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29.xml"/>
  <Override ContentType="application/vnd.openxmlformats-officedocument.spreadsheetml.table+xml" PartName="/xl/tables/table28.xml"/>
  <Override ContentType="application/vnd.openxmlformats-officedocument.spreadsheetml.table+xml" PartName="/xl/tables/table15.xml"/>
  <Override ContentType="application/vnd.openxmlformats-officedocument.spreadsheetml.table+xml" PartName="/xl/tables/table8.xml"/>
  <Override ContentType="application/vnd.openxmlformats-officedocument.spreadsheetml.table+xml" PartName="/xl/tables/table24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19.xml"/>
  <Override ContentType="application/vnd.openxmlformats-officedocument.spreadsheetml.table+xml" PartName="/xl/tables/table10.xml"/>
  <Override ContentType="application/vnd.openxmlformats-officedocument.spreadsheetml.table+xml" PartName="/xl/tables/table27.xml"/>
  <Override ContentType="application/vnd.openxmlformats-officedocument.spreadsheetml.table+xml" PartName="/xl/tables/table14.xml"/>
  <Override ContentType="application/vnd.openxmlformats-officedocument.spreadsheetml.table+xml" PartName="/xl/tables/table23.xml"/>
  <Override ContentType="application/vnd.openxmlformats-officedocument.spreadsheetml.table+xml" PartName="/xl/tables/table9.xml"/>
  <Override ContentType="application/vnd.openxmlformats-officedocument.spreadsheetml.table+xml" PartName="/xl/tables/table18.xml"/>
  <Override ContentType="application/vnd.openxmlformats-officedocument.spreadsheetml.table+xml" PartName="/xl/tables/table13.xml"/>
  <Override ContentType="application/vnd.openxmlformats-officedocument.spreadsheetml.table+xml" PartName="/xl/tables/table1.xml"/>
  <Override ContentType="application/vnd.openxmlformats-officedocument.spreadsheetml.table+xml" PartName="/xl/tables/table30.xml"/>
  <Override ContentType="application/vnd.openxmlformats-officedocument.spreadsheetml.table+xml" PartName="/xl/tables/table22.xml"/>
  <Override ContentType="application/vnd.openxmlformats-officedocument.spreadsheetml.table+xml" PartName="/xl/tables/table2.xml"/>
  <Override ContentType="application/vnd.openxmlformats-officedocument.spreadsheetml.table+xml" PartName="/xl/tables/table26.xml"/>
  <Override ContentType="application/vnd.openxmlformats-officedocument.spreadsheetml.table+xml" PartName="/xl/tables/table6.xml"/>
  <Override ContentType="application/vnd.openxmlformats-officedocument.spreadsheetml.table+xml" PartName="/xl/tables/table20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21.xml"/>
  <Override ContentType="application/vnd.openxmlformats-officedocument.spreadsheetml.table+xml" PartName="/xl/tables/table12.xml"/>
  <Override ContentType="application/vnd.openxmlformats-officedocument.spreadsheetml.table+xml" PartName="/xl/tables/table2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SM3617" sheetId="1" r:id="rId5"/>
    <sheet state="visible" name=" ABTS1418" sheetId="2" r:id="rId6"/>
    <sheet state="visible" name="ACIF5790" sheetId="3" r:id="rId7"/>
    <sheet state="visible" name="UR3486" sheetId="4" r:id="rId8"/>
    <sheet state="visible" name=" ASL1080" sheetId="5" r:id="rId9"/>
    <sheet state="visible" name="ASF2163" sheetId="6" r:id="rId10"/>
    <sheet state="visible" name="ABTS5911" sheetId="7" r:id="rId11"/>
    <sheet state="visible" name="ASF2230" sheetId="8" r:id="rId12"/>
    <sheet state="visible" name="ATB0722" sheetId="9" r:id="rId13"/>
    <sheet state="hidden" name="Cópia de ABTS5911" sheetId="10" r:id="rId14"/>
    <sheet state="visible" name=" SOU" sheetId="11" r:id="rId15"/>
    <sheet state="visible" name="SETOR DE MEIOS" sheetId="12" r:id="rId16"/>
    <sheet state="visible" name="SALA DE MERGULHO" sheetId="13" r:id="rId17"/>
    <sheet state="visible" name="OFICINA " sheetId="14" r:id="rId18"/>
    <sheet state="visible" name="materiais permanenteconsumo" sheetId="15" r:id="rId19"/>
    <sheet state="visible" name="Planilhas compilada ordem alfab" sheetId="16" r:id="rId20"/>
    <sheet state="hidden" name="Cadastro Automático VTRSEÇÃOMIL" sheetId="17" r:id="rId21"/>
    <sheet state="hidden" name="TIPO VALIDADOR" sheetId="18" r:id="rId22"/>
    <sheet state="hidden" name="VTRSEÇÃOMILITAR - VALIDADOR" sheetId="19" r:id="rId23"/>
  </sheets>
  <definedNames>
    <definedName hidden="1" localSheetId="0" name="_xlnm._FilterDatabase">'ASM3617'!$A$4:$I$1703</definedName>
    <definedName hidden="1" localSheetId="1" name="_xlnm._FilterDatabase">' ABTS1418'!$A$4:$I$1703</definedName>
    <definedName hidden="1" localSheetId="2" name="_xlnm._FilterDatabase">ACIF5790!$A$4:$I$1703</definedName>
    <definedName hidden="1" localSheetId="3" name="_xlnm._FilterDatabase">'UR3486'!$A$4:$I$1703</definedName>
    <definedName hidden="1" localSheetId="4" name="_xlnm._FilterDatabase">' ASL1080'!$A$4:$I$1703</definedName>
    <definedName hidden="1" localSheetId="5" name="_xlnm._FilterDatabase">'ASF2163'!$A$4:$I$1703</definedName>
    <definedName hidden="1" localSheetId="6" name="_xlnm._FilterDatabase">ABTS5911!$A$4:$I$1703</definedName>
    <definedName hidden="1" localSheetId="7" name="_xlnm._FilterDatabase">'ASF2230'!$A$4:$I$1703</definedName>
    <definedName hidden="1" localSheetId="8" name="_xlnm._FilterDatabase">'ATB0722'!$A$4:$I$1703</definedName>
    <definedName hidden="1" localSheetId="9" name="_xlnm._FilterDatabase">'Cópia de ABTS5911'!$A$4:$I$1703</definedName>
    <definedName hidden="1" localSheetId="10" name="_xlnm._FilterDatabase">' SOU'!$A$4:$I$1703</definedName>
    <definedName hidden="1" localSheetId="11" name="_xlnm._FilterDatabase">'SETOR DE MEIOS'!$A$4:$I$1702</definedName>
    <definedName hidden="1" localSheetId="12" name="_xlnm._FilterDatabase">'SALA DE MERGULHO'!$A$4:$I$1703</definedName>
    <definedName hidden="1" localSheetId="13" name="_xlnm._FilterDatabase">'OFICINA '!$A$4:$I$1703</definedName>
    <definedName hidden="1" localSheetId="14" name="_xlnm._FilterDatabase">'materiais permanenteconsumo'!$A$1:$G$1250</definedName>
  </definedNames>
  <calcPr/>
</workbook>
</file>

<file path=xl/sharedStrings.xml><?xml version="1.0" encoding="utf-8"?>
<sst xmlns="http://schemas.openxmlformats.org/spreadsheetml/2006/main" count="10542" uniqueCount="1685">
  <si>
    <t>VTR/ MILITAR/ SEÇÃO</t>
  </si>
  <si>
    <t>1 - ASM3617</t>
  </si>
  <si>
    <t>LOCAL ARMAZENAMENTO</t>
  </si>
  <si>
    <t>ID</t>
  </si>
  <si>
    <t>MATERIAL</t>
  </si>
  <si>
    <t>QTD</t>
  </si>
  <si>
    <t>TIPO</t>
  </si>
  <si>
    <t>LOCAL DE ARMAZENAMENTO</t>
  </si>
  <si>
    <t>PATRIMÔNIO</t>
  </si>
  <si>
    <t>Nº SÉRIE</t>
  </si>
  <si>
    <t>OBSERVAÇÃO</t>
  </si>
  <si>
    <t>CAIXA DE FERRAMENTA</t>
  </si>
  <si>
    <t>1 - ABTS1418</t>
  </si>
  <si>
    <t>1 - ACIF5790</t>
  </si>
  <si>
    <t>FILTRO</t>
  </si>
  <si>
    <t xml:space="preserve">OBSERVAÇÃO </t>
  </si>
  <si>
    <t>1 - UR3486</t>
  </si>
  <si>
    <t>1 - ASL1080</t>
  </si>
  <si>
    <t>1 - ASF2163</t>
  </si>
  <si>
    <t>1 - ABTS5911</t>
  </si>
  <si>
    <t>1 - ACA2230</t>
  </si>
  <si>
    <t>1 - ATB0722</t>
  </si>
  <si>
    <t>https://encurtador.com.br/c3jpQ</t>
  </si>
  <si>
    <t>3 - SOU</t>
  </si>
  <si>
    <t>OBSERVAÇÃO https://encurtador.com.br/c3jpQ</t>
  </si>
  <si>
    <t>3 - SETOR DE MEIOS</t>
  </si>
  <si>
    <t>3 - 1ª CIA OP</t>
  </si>
  <si>
    <t>SALA DE MERGULHO</t>
  </si>
  <si>
    <t>OFICINA</t>
  </si>
  <si>
    <t xml:space="preserve"> ID</t>
  </si>
  <si>
    <t xml:space="preserve"> Produto </t>
  </si>
  <si>
    <t xml:space="preserve"> Qantidade</t>
  </si>
  <si>
    <t xml:space="preserve"> TIPO</t>
  </si>
  <si>
    <t xml:space="preserve"> Viatura/Militar/Seção</t>
  </si>
  <si>
    <t xml:space="preserve"> Local de armazenamento</t>
  </si>
  <si>
    <t xml:space="preserve"> Número Patrimônio</t>
  </si>
  <si>
    <t xml:space="preserve"> Número de Série</t>
  </si>
  <si>
    <t xml:space="preserve"> Especificação do Material</t>
  </si>
  <si>
    <t>ARMARIO-BALCAO -</t>
  </si>
  <si>
    <t>SEÇÃO</t>
  </si>
  <si>
    <t>3 - ALMOX. ESTOQUE</t>
  </si>
  <si>
    <t>ALMOX. APH</t>
  </si>
  <si>
    <t>ASPIRADOR DE SECREÇÃO TIPO REVÓLVER</t>
  </si>
  <si>
    <t>BATERIA PARA DEA PHILIPS</t>
  </si>
  <si>
    <t>BATERIA PARA DEA ZOLL/AED PLUS (PCT C/10)</t>
  </si>
  <si>
    <t>CAIXA DE LUVAS DESCARTÁVEIS G</t>
  </si>
  <si>
    <t>CAIXA DE LUVAS DESCARTÁVEIS M</t>
  </si>
  <si>
    <t>CAIXA DE LUVAS DESCARTÁVEIS P</t>
  </si>
  <si>
    <t>CAIXA DE LUVAS DESCARTÁVEIS PP</t>
  </si>
  <si>
    <t>CINTA PARA ESTABILIZAÇÃO PÉLVICA</t>
  </si>
  <si>
    <t>DESFIBRILADOR CARDIACO -</t>
  </si>
  <si>
    <t xml:space="preserve">X08K179096 </t>
  </si>
  <si>
    <t>ZOLL AEDPLUS - NÃO POSSUI PÁS. BAT. SUBSTITUÍDA EM 28/01/2021 BAT. FRACA</t>
  </si>
  <si>
    <t>3 - CSM</t>
  </si>
  <si>
    <t>X08K179074</t>
  </si>
  <si>
    <t>ZOLL AEDPLUS - NÃO POSSUI PÁS. COM DEFEITO</t>
  </si>
  <si>
    <t>X08K179086</t>
  </si>
  <si>
    <t>ZOLL AEDPLUS - NÃO POSSUI PÁS. BAT. BAT FRACA</t>
  </si>
  <si>
    <t>PHILIPS FRX</t>
  </si>
  <si>
    <t>ELETRODO PARA DESFIBRILADOR</t>
  </si>
  <si>
    <t>ESFIGMOMANOMETRO -</t>
  </si>
  <si>
    <t>INFANTIL</t>
  </si>
  <si>
    <t>ok</t>
  </si>
  <si>
    <t>EXTRA GRANDE - transferido para o 1º BBM</t>
  </si>
  <si>
    <t xml:space="preserve">EXTRA GRANDE </t>
  </si>
  <si>
    <t>L.032001-N.S.6128134</t>
  </si>
  <si>
    <t>N.S.786903</t>
  </si>
  <si>
    <t>ESTETOSCOPIO -</t>
  </si>
  <si>
    <t>está constando no SIAD como estação de trabalho.</t>
  </si>
  <si>
    <t>FLUXÔMETRO</t>
  </si>
  <si>
    <t>MACA BOLHA -</t>
  </si>
  <si>
    <t>MANEQUIM - SIMULADOR AVANCADO -</t>
  </si>
  <si>
    <t>3 - SALA DE INSTRUÇÃO</t>
  </si>
  <si>
    <t>MANEQUIM ADULTO</t>
  </si>
  <si>
    <t>MANEQUIM - SIMULADOR AVANCADO - IDENTIFICACAO MANEQUIM ADULTO - TIPO TORSO; APLICACAO TREINAMENTO DE RCP E DAS TECNICAS BLS; MEDIDA COM DIMENSOES REAIS DE PACIENTE ADULTO;</t>
  </si>
  <si>
    <t>MANEQUIM INFANTIL</t>
  </si>
  <si>
    <t xml:space="preserve">Marca Practiman CPR Training solutions, </t>
  </si>
  <si>
    <t>OXIMETRO -</t>
  </si>
  <si>
    <t>N.S. 182323208985</t>
  </si>
  <si>
    <t>Oximetro de pulso G-TECH</t>
  </si>
  <si>
    <t>N.S. 182323208987</t>
  </si>
  <si>
    <t>N.S 3021E2040114417</t>
  </si>
  <si>
    <t>tranferido 1º COB</t>
  </si>
  <si>
    <t>3 - CURVELO</t>
  </si>
  <si>
    <t>OXIMETRO - MODELO: DEDO; ADULTO E PEDIATRICO; ALIMENTACAO: PILHAS DE USO COMUM;</t>
  </si>
  <si>
    <t>SIMULADOR DE ARRITMIAS CARDIACAS -</t>
  </si>
  <si>
    <t>SISTEMA PORTATIL OXIGENIO -</t>
  </si>
  <si>
    <t>TALA MOLDÁVEL M</t>
  </si>
  <si>
    <t>TRACIONADOR DE FEMUR ADULTO</t>
  </si>
  <si>
    <t>UMIDIFICADOR</t>
  </si>
  <si>
    <t>VÁLVULA REGULADORA CILINDRO O2</t>
  </si>
  <si>
    <t>ROUPEIRO PARA VESTIARIO -</t>
  </si>
  <si>
    <t>ALMOX. PISCINA</t>
  </si>
  <si>
    <t>sendo utilizado pelo funcionário civil Silvério</t>
  </si>
  <si>
    <t>ASPIRADOR DE PO E/OU LIQUIDOS -</t>
  </si>
  <si>
    <t>ALMOX. SAO (SEDE)</t>
  </si>
  <si>
    <t>BARCO -</t>
  </si>
  <si>
    <t>BATERIA HOLMATRO EVO 3</t>
  </si>
  <si>
    <t>FA20209-0023-3923C</t>
  </si>
  <si>
    <t>FA220209-0119-3923C</t>
  </si>
  <si>
    <t>FA220209-0060-3923C</t>
  </si>
  <si>
    <t>FA220209-0086-3923C</t>
  </si>
  <si>
    <t>FA220209-0005-3923C</t>
  </si>
  <si>
    <t>FA220209-0523-3923C</t>
  </si>
  <si>
    <t>BOMBA COSTAL PARA COMBATE A INCENDIO -</t>
  </si>
  <si>
    <t>BORRIFADOR</t>
  </si>
  <si>
    <t xml:space="preserve">CAMBÃO - CAPTURA DE ANIMAIS </t>
  </si>
  <si>
    <t>CONFECCIONADO EM ALUMINIO</t>
  </si>
  <si>
    <t>CAPACETE DE SALVAMENTO E PROTECAO -</t>
  </si>
  <si>
    <t>CAPACETE PARA CORTE DE ÁRVORE</t>
  </si>
  <si>
    <t>CARRINHO DE MAO TIPO TRANSPORTE DE BAGAGEM -</t>
  </si>
  <si>
    <t>CERA LÍQUIDA</t>
  </si>
  <si>
    <t xml:space="preserve">CERA USO AUTOMOTIVO </t>
  </si>
  <si>
    <t>CHAVE DE MANGUEIRA</t>
  </si>
  <si>
    <t>MATERIAL EM SUBSTITUIÇÃO AOS DO BOX 8 EMPERRADO.</t>
  </si>
  <si>
    <t>CHAVE DE TAMPÃO DE HIRANTE</t>
  </si>
  <si>
    <t>CILINDRO DE OXIGENIO, PARA MERGULHO -</t>
  </si>
  <si>
    <t>CILINDRO RESERVA PA SCOTT</t>
  </si>
  <si>
    <t>CONJUNTO COMBINADO DESENCARCERAMENTO DE VITIMAS -</t>
  </si>
  <si>
    <t>homatro a combustão</t>
  </si>
  <si>
    <t>CONJUNTO DE APARELHO DE MERGULHO -</t>
  </si>
  <si>
    <t>Atrás do palco</t>
  </si>
  <si>
    <t>CONJUNTO DE BLOCOS E CALCOS -</t>
  </si>
  <si>
    <t>CORTA FRIO 36''</t>
  </si>
  <si>
    <t xml:space="preserve">DESINFETANTE  </t>
  </si>
  <si>
    <t>DETERGENTE NEUTRO (5L)</t>
  </si>
  <si>
    <t>DISPENSER DE SABONETE LIQUIDO</t>
  </si>
  <si>
    <t>EQUIPAMENTO DE PROTEÇÃO RESPIRATÓRIO, COMPLETO -</t>
  </si>
  <si>
    <t>CSM JUNTO COM ALMOFADA PNEUMATICA</t>
  </si>
  <si>
    <t>N.S.115S2208011460</t>
  </si>
  <si>
    <t>MATERIAL DA ATB 0722 ARMAZENADO NA SAO (SEDE)</t>
  </si>
  <si>
    <t xml:space="preserve">N.S.115S1920012559 </t>
  </si>
  <si>
    <t>EPR MSA COMPLETO, VALVULA DE DEMANDA, ARRIATA, CILINDRO E MÁSCARA</t>
  </si>
  <si>
    <t>EQUIPAMENTO GERADOR DE ESPUMA</t>
  </si>
  <si>
    <t>ESCADA PROLONGAVEL PARA ATIVIDADES BOMBEIRO -</t>
  </si>
  <si>
    <t>EMPRESTADO PARA O CTPM, SEI 72271/2024-10</t>
  </si>
  <si>
    <t>FIBRA DE VIDRO; DEGRAU: ALUMINIO, LANCE: 02 LANCES DE 3,5 METROS;</t>
  </si>
  <si>
    <t>ESGUICHO PARA MANGUEIRA COMBATE A INCENDIO -</t>
  </si>
  <si>
    <t>esguicho com defeito na SAO Térreo 1 e 1/2"</t>
  </si>
  <si>
    <t>Esguicho de 1¹/²</t>
  </si>
  <si>
    <t>Esguicho de 2¹/²</t>
  </si>
  <si>
    <t xml:space="preserve">N.S- 0403-23 </t>
  </si>
  <si>
    <t xml:space="preserve">Esguicho POK Firefighting equipment </t>
  </si>
  <si>
    <t xml:space="preserve">N.S- 0388-23 </t>
  </si>
  <si>
    <t xml:space="preserve">Esguicho POK Firefighting equipment - </t>
  </si>
  <si>
    <t>ESGUICHO PARA MANGUEIRA COMBATE A INCENDIO - (KR4)</t>
  </si>
  <si>
    <t>MATERIAL EM SUBSTITUIÇÃO AOS DO BOX EMPERRADO.</t>
  </si>
  <si>
    <t>ESPONJA DE AÇO</t>
  </si>
  <si>
    <t>ESPONJA SINTETICA PARA LIMPEZA -</t>
  </si>
  <si>
    <t>EXAUSTOR CENTRIFUGO -</t>
  </si>
  <si>
    <t xml:space="preserve">EXTENSÃO TOMADA INDÚSTRIAL </t>
  </si>
  <si>
    <t>plug steck 2p t Extensão Industrial 20 Metros 2p+t 16a 220v Cabo Pp 3x2,50mm</t>
  </si>
  <si>
    <t>EXTINTOR DE INCÊNDIO 2A 20BC</t>
  </si>
  <si>
    <t>FERRAMENTA PARA DESENCARCERAMENTO -</t>
  </si>
  <si>
    <t>1416988HH</t>
  </si>
  <si>
    <t xml:space="preserve">(CORTADOR) - HOLMATRO MODELO:PCU50 - PENTHEON </t>
  </si>
  <si>
    <t>FLUTUADOR PARA SALVAMENTO AQUATICO -</t>
  </si>
  <si>
    <t>FORNO -</t>
  </si>
  <si>
    <t>FURADEIRA/PARAFUSADEIRA MANUAL -</t>
  </si>
  <si>
    <t>HIPOCLORITO DE SODIO -</t>
  </si>
  <si>
    <t>5L</t>
  </si>
  <si>
    <t>JOGO CHAVES DE ESTRIA -</t>
  </si>
  <si>
    <t>no almox. Térreo. caixa Belzer, estria n.10 ao n.32</t>
  </si>
  <si>
    <t>JOGO DE CHAVES FIXAS -</t>
  </si>
  <si>
    <t>jogo de chave boca/estria</t>
  </si>
  <si>
    <t>KED INFANTIL</t>
  </si>
  <si>
    <t>LANTERNA LUZ DE CENA  -</t>
  </si>
  <si>
    <t>LIMPA PNEU (PRETINHO) 500 ML</t>
  </si>
  <si>
    <t>LIXEIRA 60L</t>
  </si>
  <si>
    <t>LUVA DE AMIANTO</t>
  </si>
  <si>
    <t>LUVA DE RASPA</t>
  </si>
  <si>
    <t>LUVA DE SEGURANÇA PARA MOTOSSERRISTA</t>
  </si>
  <si>
    <t>DOIS PARES</t>
  </si>
  <si>
    <t>LUVA DE VAQUETA</t>
  </si>
  <si>
    <t>MACHADO CABO COMPRIDO</t>
  </si>
  <si>
    <t>MAQUINA DE LAVAR VEICULOS E EQUIPAMENTOS -</t>
  </si>
  <si>
    <t>MASCARAS PARA MERGULHADORES -</t>
  </si>
  <si>
    <t>MOTO-ABRASIVO -</t>
  </si>
  <si>
    <t>RECOLHIDO PARA A SAO DO SUPRIMETOS. SEM O DISCO DE CORTE</t>
  </si>
  <si>
    <t>MOTOR DE POPA -</t>
  </si>
  <si>
    <t>MOTOR DE POPA - POTENCIA: 15 HP; TIPO: 2 TEMPOS; NUMERO DE PISTAO: 2 PISTOES; SISTEMA REFRIGERACAO: A AGUA COM TERMOSTATO; COMBUSTIVEL: GASOLINA;</t>
  </si>
  <si>
    <t xml:space="preserve">MOTOR DE POPA - </t>
  </si>
  <si>
    <t>ON421279</t>
  </si>
  <si>
    <t>Motor de Popa Mercury 30HP, modelo 1030201EL</t>
  </si>
  <si>
    <t>MOTOSERRA</t>
  </si>
  <si>
    <t>MOTOSSERRA -</t>
  </si>
  <si>
    <t>SAO</t>
  </si>
  <si>
    <t>N.S. 361161231</t>
  </si>
  <si>
    <t>STIHL, MS650-POTENCIA MOTOR 2,3 KW; ROTACAO MAXIMA DE 1400 RPM; TANQUE DE COMBUSTIVEL 0,47 LITROS; TANQUE DE OLEO 0,20 LITROS; SABRE 30CM, 35CM E 40CM</t>
  </si>
  <si>
    <t>N.S. 361204667</t>
  </si>
  <si>
    <t>STIHL, MS660 POTENCIA MOTOR 3,9 KW; ROTACAO MAXIMA DE 12   00 RPM E MINIMA DE 2500; TANQUE DE COMBUSTIVEL 0,68 LITROS; TANQUE DE OLEO 0,3  6 LITROS; SABRE 50CM</t>
  </si>
  <si>
    <t>N.S. 20172857601</t>
  </si>
  <si>
    <t xml:space="preserve">HUSQVARNA, 288-POTENCIA MOTOR MINIMA DE 4,2KW; ROTACAO MINMA DE 12000; TANQUE DE COMBUSTIVEL MINIMA DE 800ML; TANQUE DE OLEO MINIMA DE 360ML; SABRE DE 16" A 28" </t>
  </si>
  <si>
    <t>HUSQVARNA, T435 1,5KW; ROTACAO MIN  MA DE 12000 RPM; TANQUE DE COMBUSTIVEL MINIMA DE 250ML; TANQUE DE OLEO MINIMA DE 145ML; SABRE 16 POLEGADAS</t>
  </si>
  <si>
    <t xml:space="preserve">POTENCIA MOTOR MINIMA DE 1,5KW; ROTACAO MINIMA DE 12000 RPM; TANQUE DE COMBUSTIVEL MINIMA DE 250ML; TANQUE DE OLEO MINIMA   DE 145ML; SABRE 16 POLEGADAS </t>
  </si>
  <si>
    <t>POTENCIA MOTOR MINIMA DE 4,2KW; ROTACAO MINIMA DE 12000; TANQUE DE COMBUSTIVEL MINIMA DE 800ML; TANQUE DE OLEO MINIMA DE 360ML; SABRE DE 16" A 28"</t>
  </si>
  <si>
    <t>ODORIZADOR</t>
  </si>
  <si>
    <t>PANO DE CHAO -</t>
  </si>
  <si>
    <t>PRANCHA DE IMOBILIZACAO E TRANSPORTE -</t>
  </si>
  <si>
    <t>COLHER, REGULAVEL E DOBRAVEL; MODELO: POLIETILENO E ALUMINIO</t>
  </si>
  <si>
    <t>PROPORCIONADORES/REDUTORES DE ESPUMA -</t>
  </si>
  <si>
    <t>PULVERIZADOR -</t>
  </si>
  <si>
    <t>REBOQUE PARA EMBARCACOES -</t>
  </si>
  <si>
    <t>9A9RA1SMC9DEN1141</t>
  </si>
  <si>
    <t>Barco (carretinha) - HMH8989</t>
  </si>
  <si>
    <t>Carretinha Barco que era da PM.</t>
  </si>
  <si>
    <t xml:space="preserve">REDUÇÃO 2 ¹/² P/ 1¹/² </t>
  </si>
  <si>
    <t>REDUÇÃO DE TAMPÃO DE MANGOTE 4" PARA 2 ¹/²"</t>
  </si>
  <si>
    <t>RODO</t>
  </si>
  <si>
    <t>SABAO EM PO -</t>
  </si>
  <si>
    <t>5KG</t>
  </si>
  <si>
    <t>SABONETE LÍQUIDO REFIL</t>
  </si>
  <si>
    <t>SACO DE ARREMESSO</t>
  </si>
  <si>
    <t>SACO DE LIXO (100L)</t>
  </si>
  <si>
    <t>SNORKEL BOCAL, PARA MERGULHADOR -</t>
  </si>
  <si>
    <t>SOPRADOR</t>
  </si>
  <si>
    <t>N.S. 520191125</t>
  </si>
  <si>
    <t>STIHL BR600</t>
  </si>
  <si>
    <t>N.S. 530020781</t>
  </si>
  <si>
    <t>STIHL BR800</t>
  </si>
  <si>
    <t>N.S. 520091198</t>
  </si>
  <si>
    <t>TOALHA DE PAPEL (SC) -</t>
  </si>
  <si>
    <t>TUBO PESCANTE DE 2 1/2"</t>
  </si>
  <si>
    <t>VASSOURINHA PARA SANITÁRIO</t>
  </si>
  <si>
    <t>ABAFADOR PARA COMBATE A INCENDIO FLORESTAL</t>
  </si>
  <si>
    <t>ALMOX. SAPA</t>
  </si>
  <si>
    <t>CHICOTE PARA INCÊNDIO FLORESTAL</t>
  </si>
  <si>
    <t>ENXADINHA DE JARDIM</t>
  </si>
  <si>
    <t>GARFO COM 10 DENTES</t>
  </si>
  <si>
    <t>GORGUI</t>
  </si>
  <si>
    <t>MALHO 5KG</t>
  </si>
  <si>
    <t>PÁ DE BICO</t>
  </si>
  <si>
    <t>PÁ DE CAMPANHA</t>
  </si>
  <si>
    <t>PÁ QUADRADA</t>
  </si>
  <si>
    <t>PICARETA</t>
  </si>
  <si>
    <t>REMO DE ALUMÍNIO</t>
  </si>
  <si>
    <t>AR CONDICIONADO SPLIT -</t>
  </si>
  <si>
    <t>ALOJAMENTO CB/SD</t>
  </si>
  <si>
    <t>modelo highwalt alpjamento CB/Sd</t>
  </si>
  <si>
    <t>CAMA -(I)</t>
  </si>
  <si>
    <t xml:space="preserve"> EM PROCESSO DE DESCARGA SEI-1400.01.0026473/2023-03</t>
  </si>
  <si>
    <t>alojamento Cb/Sd</t>
  </si>
  <si>
    <t>CAMA -(II)</t>
  </si>
  <si>
    <t>cama alojamento Cb/Sd</t>
  </si>
  <si>
    <t>MESA PARA ESCRITORIO -</t>
  </si>
  <si>
    <t>3 - GUARDA</t>
  </si>
  <si>
    <t>ALOJAMENTO DA GUARDA</t>
  </si>
  <si>
    <t>VENTILADOR, NAO INDUSTRIAL -</t>
  </si>
  <si>
    <t>ALOJAMENTO FEM</t>
  </si>
  <si>
    <t>ALOJAMENTO OFICIAIS</t>
  </si>
  <si>
    <t>ALOJAMENTO SUB TEN/CAB SD</t>
  </si>
  <si>
    <t>modelo highwalt - alojamento Sub Ten / Sgt</t>
  </si>
  <si>
    <t>CADEIRA PARA ESCRITORIO -</t>
  </si>
  <si>
    <t>3 - DESCARGA</t>
  </si>
  <si>
    <t>ÁREA DE DESCARGA</t>
  </si>
  <si>
    <t>CADEIRA PARA ESCRITORIO -(III)</t>
  </si>
  <si>
    <t>N.S. 1505070000211</t>
  </si>
  <si>
    <t>ARMARIO DE USO GERAL -</t>
  </si>
  <si>
    <t>3 - PPV</t>
  </si>
  <si>
    <t>ARQUIVO</t>
  </si>
  <si>
    <t>ARMARIO PARA ESCRITORIO -(II)</t>
  </si>
  <si>
    <t>ARQUIVO PARA ESCRITORIO -</t>
  </si>
  <si>
    <t>ARQUIVO PARA ESCRITORIO -(II)</t>
  </si>
  <si>
    <t>ARQUIVO PARA ESCRITORIO -(III)</t>
  </si>
  <si>
    <t>ARQUIVOS DESLIZANTES -(II)</t>
  </si>
  <si>
    <t>ESTANTE PARA ALMOXARIFADO -(III)</t>
  </si>
  <si>
    <t>BAIXADO</t>
  </si>
  <si>
    <t>1416118HH</t>
  </si>
  <si>
    <t xml:space="preserve">(ALARGADOR) HOLMATRO MODELO: PSP40 PENTHEON C/ BATERIA, TRANSFERIR PARA CURVELO - </t>
  </si>
  <si>
    <t>1415970HH</t>
  </si>
  <si>
    <t>(EXTENSOR) - HOLMATRO MODELO:PTR50 - PENTHEON - C/ BATERIA</t>
  </si>
  <si>
    <t>LANTERNA LUZ DE CENA -</t>
  </si>
  <si>
    <t>N.S. 44353</t>
  </si>
  <si>
    <t>Lanterna Survivor streamlight  c/ base carregador e carr. veicular (ALTERAÇÃO: NÃO FOI LOCALIZADO O CABO DO CARREGADOR PELA 4° ALA NO DIA 07/09/24, AGUARDANDO SOLUÇÃO)</t>
  </si>
  <si>
    <t>CADEIRINHA BAUDRIER RAPEL - NÍVEL II</t>
  </si>
  <si>
    <t>VIATURA</t>
  </si>
  <si>
    <t>BANCO</t>
  </si>
  <si>
    <t>CADEIRINHA BAUDRIER RAPEL - NÍVEL III</t>
  </si>
  <si>
    <t>CAPACETE DE ALTURA VERMELHO</t>
  </si>
  <si>
    <t>CAPACETE DE ALTURA BRANCO</t>
  </si>
  <si>
    <t>CONE SINALEIRO</t>
  </si>
  <si>
    <t>CORDA PARA SALVAMENTO EM ALTURA - 30M</t>
  </si>
  <si>
    <t>CORDELETE</t>
  </si>
  <si>
    <t>FREIO OITO -</t>
  </si>
  <si>
    <t>KED AULTO</t>
  </si>
  <si>
    <t>PAR</t>
  </si>
  <si>
    <t>MOSQUETÃO DE AÇO</t>
  </si>
  <si>
    <t>MOSQUETÃO DE ALUMÍNIO</t>
  </si>
  <si>
    <t>POLIA SIMPLES PLACA FIXA</t>
  </si>
  <si>
    <t>PRANCHA LONGA</t>
  </si>
  <si>
    <t>COM ENCOSTO DE CABEÇA, TIRANTES DE CABEÇA, BACHAL E TIRANTE ARANHA</t>
  </si>
  <si>
    <t>BANHEIRO PCD (SEDE)</t>
  </si>
  <si>
    <t>CHAVE DE BOCA/ESTRIA</t>
  </si>
  <si>
    <t>BOLSA DE OXIGÊNIO</t>
  </si>
  <si>
    <t>MASCARA FACIAL PARA OXIGÊNIO</t>
  </si>
  <si>
    <t>ABRIDOR DE MANDÍBULA</t>
  </si>
  <si>
    <t>BOLSA DE RESGATE</t>
  </si>
  <si>
    <t>ALGEMA</t>
  </si>
  <si>
    <t>AMBÚ  ADULTO</t>
  </si>
  <si>
    <t>AMBÚ INFANTIL</t>
  </si>
  <si>
    <t>ASPIRADOR DE SECREÇÃO MANUAL TIPO PERA</t>
  </si>
  <si>
    <t>ATADURAS</t>
  </si>
  <si>
    <t>BOLSA DE APH PRETA COM MATERIAIS DIVERSOS</t>
  </si>
  <si>
    <t>CAIXA DE MASCARAS TRIPLA DESCARTÁVEL</t>
  </si>
  <si>
    <t>CAMPO OPERATÓRIO</t>
  </si>
  <si>
    <t>CANIVETE MULTIUSO</t>
  </si>
  <si>
    <t>CÂNULA DE GUEDEL</t>
  </si>
  <si>
    <t>CÂNULAS DE GUEDEL  Nº 0, 2, 3, 4, 5</t>
  </si>
  <si>
    <t>CAPA DE CHUVA</t>
  </si>
  <si>
    <t>COLAR CERVICAL</t>
  </si>
  <si>
    <t>COLAR CERVICAL COM REGULAGEM DE ALTURA ADULTO</t>
  </si>
  <si>
    <t>COLAR CERVICAL COM REGULAGEM DE ALTURA INFANTIL</t>
  </si>
  <si>
    <t>COLDRE DE COURO</t>
  </si>
  <si>
    <t>COLETE ANTIBALISTICO PARA USO POLICIAL -</t>
  </si>
  <si>
    <t>CORTADOR DE ANEL MANUAL</t>
  </si>
  <si>
    <t>1 - APV8340</t>
  </si>
  <si>
    <t>1 - APV1331</t>
  </si>
  <si>
    <t>bolsa de instrução</t>
  </si>
  <si>
    <t>1 - APV1330</t>
  </si>
  <si>
    <t>ADULTO</t>
  </si>
  <si>
    <t>ESPARADRAPO</t>
  </si>
  <si>
    <t>FITA CIRÚRGICA</t>
  </si>
  <si>
    <t>FRASCO DE ÁLCOOL 70% 250ML</t>
  </si>
  <si>
    <t>KIT PARA PARTO -</t>
  </si>
  <si>
    <t>KIT QUEIMADURA</t>
  </si>
  <si>
    <t>LANTERNA DE PUPILA</t>
  </si>
  <si>
    <t>MANTA ALUMINIZADA</t>
  </si>
  <si>
    <t>MASCARA PARA PCR - POCKET MASK</t>
  </si>
  <si>
    <t>MUNICAO PARA ARMAS (USO REAL) -</t>
  </si>
  <si>
    <t>MUNIÇÃO PARA CALIBRE .38</t>
  </si>
  <si>
    <t>ÓCULOS DE PROTEÇÃO</t>
  </si>
  <si>
    <t>OCULOS DE SEGURANCA -</t>
  </si>
  <si>
    <t>OXÍMETRO</t>
  </si>
  <si>
    <t>N.S. 202854505980</t>
  </si>
  <si>
    <t>N.S. 202854505975</t>
  </si>
  <si>
    <t>N.S 202854505972</t>
  </si>
  <si>
    <t>1 - UR3478</t>
  </si>
  <si>
    <t>N.S. E 20421409100900</t>
  </si>
  <si>
    <t>PERA DE SUCÇÃO</t>
  </si>
  <si>
    <t xml:space="preserve">PINÇA  </t>
  </si>
  <si>
    <t>PINÇA TIPO TESOURA</t>
  </si>
  <si>
    <t>PRANCHA COMPLETA (COM TIRANTES E ENCOSTO DE CABEÇA</t>
  </si>
  <si>
    <t>QUEBRA VIDRO</t>
  </si>
  <si>
    <t>SORO FISIOLÓGICO</t>
  </si>
  <si>
    <t>TERMÔMETRO A LASER</t>
  </si>
  <si>
    <t>TERMÔMETRO DIGITAL</t>
  </si>
  <si>
    <t>TESOURA -</t>
  </si>
  <si>
    <t>TORNIQUETE</t>
  </si>
  <si>
    <t>ANEL DE FITA 120 CM</t>
  </si>
  <si>
    <t>BOLSA DE SALV. ALTURA</t>
  </si>
  <si>
    <t>ANEL DE FITA 60CM</t>
  </si>
  <si>
    <t>ANEL DE FITA 80CM</t>
  </si>
  <si>
    <t>ASCENSOR (PAR)</t>
  </si>
  <si>
    <t>CABO SOLTEIRO</t>
  </si>
  <si>
    <t>CINTO SEGURANÇA - TIPO: PARAQUEDISTA C/ MOSQUETÃO</t>
  </si>
  <si>
    <t>baudriers Ultra Safe com um mosquetão de aço oval cada</t>
  </si>
  <si>
    <t>Corda para Salvamento em Altura (preta/branca).</t>
  </si>
  <si>
    <t>CORDA PARA SALVAMENTO EM ALTURA - 50M</t>
  </si>
  <si>
    <t>placa de multiancoragem vermelha marca Rock Exotica tipo Bolt</t>
  </si>
  <si>
    <t>DESCENSOR AUTOBLOCANTE (RIG)</t>
  </si>
  <si>
    <t>RIG - Descensor Autoblocante, para cordas de 10 a 11,5 mm, marca Petzl.</t>
  </si>
  <si>
    <t>DESCENSOR INDUSTRIAL (ID)</t>
  </si>
  <si>
    <t>RIG ID</t>
  </si>
  <si>
    <t>FREIO OITO DE RESGATE</t>
  </si>
  <si>
    <t>mosquetões de alumínio de trava automática marca Rock Exotica</t>
  </si>
  <si>
    <t>mosquetões de alumínio de trava automática marca William</t>
  </si>
  <si>
    <t>MOSQUETAO DE ALUMINIO OVAL</t>
  </si>
  <si>
    <t>PASSADOR DE CORDAS SEGMENTADO</t>
  </si>
  <si>
    <t>passador de cordas segmentado contendo 04 placas</t>
  </si>
  <si>
    <t xml:space="preserve">PLACA MULTI ANCORAGEM </t>
  </si>
  <si>
    <t>Marca: Rock exótica tipo Bolt</t>
  </si>
  <si>
    <t>POLIA DUPLA 40 KN (AZUL)</t>
  </si>
  <si>
    <t>polias duplas cor preta marca Rock Exotica 40Kn</t>
  </si>
  <si>
    <t>POLIA SIMPLES 30 KN (VERMELHA/PRETA)</t>
  </si>
  <si>
    <t xml:space="preserve">POLIA SIMPLES 36 KN </t>
  </si>
  <si>
    <t>polias simples cor preta marca Rock Exotica 36Kn</t>
  </si>
  <si>
    <t>POLIA TANDEM 24 KN (VERMELHA)</t>
  </si>
  <si>
    <t>BOLSA SALV. ALTURA (MERET)</t>
  </si>
  <si>
    <t>BOX 01</t>
  </si>
  <si>
    <t>AUTO CRIB IT</t>
  </si>
  <si>
    <t>BATERIAS PARA DESENCARCERADORES</t>
  </si>
  <si>
    <t>BOTA DE BORRACHA 7 LÉGUAS</t>
  </si>
  <si>
    <t>CALÇO PARA VIATURAS (POLIETILENO)</t>
  </si>
  <si>
    <t>CARREGADOR VEICULAR E CARREGADOR DE TOMADA DA LANTERNA DE CENA STREAMLIGHT</t>
  </si>
  <si>
    <t>Holmatro - 08 calços em cunha, 06 calços quadrados, 02 calços escalonados grandes</t>
  </si>
  <si>
    <t>CORDA -</t>
  </si>
  <si>
    <t>30 METROS</t>
  </si>
  <si>
    <t>1 - ABTS3026</t>
  </si>
  <si>
    <t>ESTEPE</t>
  </si>
  <si>
    <t>* ENCONTRA-SE NA VTR EM MANUTENÇÃO NO CSM</t>
  </si>
  <si>
    <t xml:space="preserve">EXTENSÃO  </t>
  </si>
  <si>
    <t>EXTINTOR DE INCÊNDIO 6A 40BC 12 KG</t>
  </si>
  <si>
    <t>* NA ABTS5911 QUE SE ENCONTRA NO CSM</t>
  </si>
  <si>
    <t>EXTINTOR DE INCÊNDIO CO2 6 KG</t>
  </si>
  <si>
    <t>1407815HH</t>
  </si>
  <si>
    <t>1401344HH</t>
  </si>
  <si>
    <t>(ALARGADOR) - HOLMATRO MODELO: PSP40 PENTHEON C/ BATERIA  -  *PERTENCE À VIATURA ABTS5911</t>
  </si>
  <si>
    <t>1401575HH</t>
  </si>
  <si>
    <t>(CORTADOR) - HOLMATRO MODELO:PCU50 - PENTHEON - TESOURA C/ BATERIA</t>
  </si>
  <si>
    <t>STREAMLIGHT</t>
  </si>
  <si>
    <t>MANGUEIRA DE 1 ¹/²</t>
  </si>
  <si>
    <t>MARTELO DE BORRACHA</t>
  </si>
  <si>
    <t>PERTENCE À ABTS5911</t>
  </si>
  <si>
    <t>MOCHILA COSTAL (VALLFIREST) C/ ESGUICHO</t>
  </si>
  <si>
    <t>SERRA SABRE -</t>
  </si>
  <si>
    <t>N.S.992576</t>
  </si>
  <si>
    <t>MARCA: DEWALT MODELO DCS380-B3  C/ BATERIA 4AH, 05 SERRAS E 01 CASE PARA ARMAZENAMENTO.</t>
  </si>
  <si>
    <t>BOX 01 - SAO</t>
  </si>
  <si>
    <t>BOX 02</t>
  </si>
  <si>
    <t>BATERIA SOBRESALENTE DO HOLMATRO PENTHEON</t>
  </si>
  <si>
    <t>BOTA DE NEOPRENE (PAR)</t>
  </si>
  <si>
    <t>CALÇA DE MOTOSSERRISTA XG</t>
  </si>
  <si>
    <t>CALÇO PARA VIATURA</t>
  </si>
  <si>
    <t>CALÇO POLIETILENO PRETO</t>
  </si>
  <si>
    <t>CATRACA 05 TON</t>
  </si>
  <si>
    <t>CATRACA 1,5 TON</t>
  </si>
  <si>
    <t>CATRACA 10 TON</t>
  </si>
  <si>
    <t>COLETE RESGATE AQUATICO -</t>
  </si>
  <si>
    <t>EXTINTOR DE INCÊNDIO 2A</t>
  </si>
  <si>
    <t>10 LITROS</t>
  </si>
  <si>
    <t>1418622HH</t>
  </si>
  <si>
    <t>(CORTADOR) - HOLMATRO MODELO:PCU50 - PENTHEON C/ BATERIA</t>
  </si>
  <si>
    <t>FLUTUADOR SALVA-VIDAS SALSICHÃO EM ESPUMA DE POLIETILENO - FLUTSPUMA</t>
  </si>
  <si>
    <t>GANCHO PARA CAPTURA DE SERPENTES -</t>
  </si>
  <si>
    <t>ASL1080</t>
  </si>
  <si>
    <t>MANGUEIRA DE 2 ¹/²</t>
  </si>
  <si>
    <t>NADADEIRA PARA MERGULHO E SALVAMENTO FECHADA - (PAR)</t>
  </si>
  <si>
    <t>Nº 38-39/ 44-46</t>
  </si>
  <si>
    <t>ROUPÃO SANITÁRIO</t>
  </si>
  <si>
    <t>SACO DE CORDAS PARA RESGATE AQUATICO -</t>
  </si>
  <si>
    <t>TALHA -</t>
  </si>
  <si>
    <t>ADAPTADOR STORZ 2 ¹/²"</t>
  </si>
  <si>
    <t>BOX 03</t>
  </si>
  <si>
    <t>ADAPTADOR STORZ 2 ¹/²" PARA ROSCA 3 FIOS</t>
  </si>
  <si>
    <t>ALAVANCA PÉ DE CABRA</t>
  </si>
  <si>
    <t>ALAVANCA PÉ DE CABRA DUPLO</t>
  </si>
  <si>
    <t>AMPLIFICADOR DE MASCARA CIURB</t>
  </si>
  <si>
    <t>BARRA HALLIGAN</t>
  </si>
  <si>
    <t>BOMBA COSTAL</t>
  </si>
  <si>
    <t>RECOLHIDO PARA O SUPRIMENTOS</t>
  </si>
  <si>
    <t>CABO DE AÇO</t>
  </si>
  <si>
    <t>CARRETEL COM MANGUEIRAS PARA DESENCARCERADOR HOLMATRO HIDRÁULICO</t>
  </si>
  <si>
    <t>CHAVE DE MANGOTE</t>
  </si>
  <si>
    <t>CHAVE DE REGISTRO DE HIDRANTE TIPO “T”</t>
  </si>
  <si>
    <t>DESENCARCERADOR HIDRÁULICO HOLMATRO</t>
  </si>
  <si>
    <t>DIVISOR 3 BOCAS</t>
  </si>
  <si>
    <t>ENXADÃO</t>
  </si>
  <si>
    <t>EPR SCOTT COMPLETO, VALVULA DE DEMANDA, ARRIATA, CILINDRO E MÁSCARA</t>
  </si>
  <si>
    <t>N.S.115S2201004795</t>
  </si>
  <si>
    <t xml:space="preserve">ESGUICHO DE 1¹/² </t>
  </si>
  <si>
    <t xml:space="preserve">ESGUICHO DE 2¹/² </t>
  </si>
  <si>
    <t>ESGUICHO KR4</t>
  </si>
  <si>
    <t>EXPANSOR HOLMATRO HIDRÁULICO</t>
  </si>
  <si>
    <t>CARRETEL</t>
  </si>
  <si>
    <t>EXTENSÃO COM LAMPADA</t>
  </si>
  <si>
    <t>FACÕES</t>
  </si>
  <si>
    <t>FERRAMENTA COMBINADA HOLMATRO HIDRÁULICO</t>
  </si>
  <si>
    <t>FOICE</t>
  </si>
  <si>
    <t>FUMEGADOR</t>
  </si>
  <si>
    <t>GADANHO</t>
  </si>
  <si>
    <t>GURPIÃO</t>
  </si>
  <si>
    <t>LINGA</t>
  </si>
  <si>
    <t>LINGA DE AÇO TIFOR</t>
  </si>
  <si>
    <t>LUVAS DE BORRACHA 220V</t>
  </si>
  <si>
    <t>MACHADINHA</t>
  </si>
  <si>
    <t>MASCARA DE CIURB SOBRESSALENTE</t>
  </si>
  <si>
    <t>MÁSCARA CARONA</t>
  </si>
  <si>
    <t>MOCHILA COSTAL - AMARELA</t>
  </si>
  <si>
    <t>NIPS</t>
  </si>
  <si>
    <t>ÓLEO LUBRIFICANTE 5W30</t>
  </si>
  <si>
    <t>RALO DE 1 ¹/²"</t>
  </si>
  <si>
    <t>REGULADOR DE AR - EPR (RESERVA)</t>
  </si>
  <si>
    <t>REGULADOR SCOTT COM MANGEIRA DE DEMANDA</t>
  </si>
  <si>
    <t>n.s. 200894</t>
  </si>
  <si>
    <t>3.200 kg</t>
  </si>
  <si>
    <t>TALHADEIRA</t>
  </si>
  <si>
    <t>TUBO PESCANTE DE 1 ¹/²"</t>
  </si>
  <si>
    <t>TUBO TELESCÓPICO</t>
  </si>
  <si>
    <t>BOX 03 - SAO</t>
  </si>
  <si>
    <t>TRAVA CORRENTE HOLMATRO</t>
  </si>
  <si>
    <t>BALDE PARA SERRAGEM</t>
  </si>
  <si>
    <t>BOX 04</t>
  </si>
  <si>
    <t>BIDÃO</t>
  </si>
  <si>
    <t>CHAVE "L" TORX</t>
  </si>
  <si>
    <t>CHAVE DE FENDA</t>
  </si>
  <si>
    <t>CHAVE DE REGULAGEM DE MOTOSSERRA</t>
  </si>
  <si>
    <t>CHAVE DE VELA COMBINADA PARA MOTOSERRA</t>
  </si>
  <si>
    <t>CHAVE PHILIPS</t>
  </si>
  <si>
    <t>LIMA REDONDA</t>
  </si>
  <si>
    <t>BOX 05</t>
  </si>
  <si>
    <t>BIG OITO</t>
  </si>
  <si>
    <t>BOLSA DE SALVAMENTO EM ALTURA</t>
  </si>
  <si>
    <t>BOLSA SALV. ALTURA MERET</t>
  </si>
  <si>
    <t>CAIXA PARA GUARDA DE FERRAMENTAS -</t>
  </si>
  <si>
    <t>CALÇO PARA VIATURAS (PLÁSTICO)</t>
  </si>
  <si>
    <t>CHAVE MAGNÉTICA</t>
  </si>
  <si>
    <t xml:space="preserve">CINTA PARA IÇAMENTO </t>
  </si>
  <si>
    <t>CONJUNTO DE BLOCOS E CALCOS (13)</t>
  </si>
  <si>
    <t xml:space="preserve">CONJUNTO DE CALÇOS DE POLIETILENO PARA SALVAMENTO VEÍCULAR. (02 CALÇO ESCADA, 02 CUNHA PEQUENA, 04 CUNHA GRANDE, 05 QUADRADOS) </t>
  </si>
  <si>
    <t>N.S-4630-22</t>
  </si>
  <si>
    <t>1407131HH</t>
  </si>
  <si>
    <t xml:space="preserve">(ALARGADOR) - HOLMATRO MODELO: PSP40 PENTHEON  C/ BATERIA </t>
  </si>
  <si>
    <t>LONA PARA ACONDICIONAMENTO DE MATERIAIS</t>
  </si>
  <si>
    <t>LONA VERMELHA DO CBMMG</t>
  </si>
  <si>
    <t xml:space="preserve">MANILHA CURVA COM PINO </t>
  </si>
  <si>
    <t>POLIA DUPLA PLACA MÓVEL</t>
  </si>
  <si>
    <t>POLIA SIMPLES DE AÇO</t>
  </si>
  <si>
    <t>POLIA SIMPLES PLACA MÓVEL</t>
  </si>
  <si>
    <t xml:space="preserve">PROTETOR DE QUINA </t>
  </si>
  <si>
    <t>PROTETOR DE QUINA SALV. VEICULAR</t>
  </si>
  <si>
    <t>PROTETOR DE VÍTIMA SAL. VEICULAR</t>
  </si>
  <si>
    <t>RALO DE 8"</t>
  </si>
  <si>
    <t>REDE TARRAFA</t>
  </si>
  <si>
    <t>TAMPÃO DE 4'' ROSCA GROSSA</t>
  </si>
  <si>
    <t>BOX 06</t>
  </si>
  <si>
    <t>COLETE RESGATE AQUÁTICO (LARANJA)</t>
  </si>
  <si>
    <t>(ALARGADOR) HOLMATRO MODELO: PSP40 PENTHEON  C/ BATERIA</t>
  </si>
  <si>
    <t>MOCHILA COSTAL PARA COMBATE A INCENDIO</t>
  </si>
  <si>
    <t>COLETOR</t>
  </si>
  <si>
    <t>BOX 07</t>
  </si>
  <si>
    <t>ADAPTADOR DE ¹/²" COM ROSCA</t>
  </si>
  <si>
    <t>BOX 08</t>
  </si>
  <si>
    <t>REDUÇÃO 2 ¹/² P/ 1¹/²  COM ROSCA</t>
  </si>
  <si>
    <t>BOX CENTRAL</t>
  </si>
  <si>
    <t>100 METROS</t>
  </si>
  <si>
    <t xml:space="preserve">50 METROS - </t>
  </si>
  <si>
    <t>150 METROS</t>
  </si>
  <si>
    <t>ESCORA DE ESTABILIZAÇÃO</t>
  </si>
  <si>
    <t>HOLMATRO MODELO: V-STRUT</t>
  </si>
  <si>
    <t>MACA ENVELOPE (SKED)</t>
  </si>
  <si>
    <t>MACA SKED COM UMA CORDA, 02 CINTAS PARA IÇAMENTO E 01 MOSQUETÃO DE AÇO.</t>
  </si>
  <si>
    <t>POLIA DUPLA COM DESTORCEDOR</t>
  </si>
  <si>
    <t>POLIA SIMPLES COM DESTORCEDOR</t>
  </si>
  <si>
    <t>PRANCHA DE FIBRA AMARELA C/ ENCOSTO DE CABEÇA E BACHAL</t>
  </si>
  <si>
    <t>BOX SUPERIOR 01</t>
  </si>
  <si>
    <t>ALAVANCA CORTE E PONTEIRA</t>
  </si>
  <si>
    <t>BASTAO ISOLADO</t>
  </si>
  <si>
    <t>CHAVE DE HIDRANTE</t>
  </si>
  <si>
    <t>CORTA FRIO 24''</t>
  </si>
  <si>
    <t>ENROLADOR DE MANGUEIRA</t>
  </si>
  <si>
    <t>ENXADA</t>
  </si>
  <si>
    <t>ENXADA COMUM</t>
  </si>
  <si>
    <t>ESCADA DE DOIS GANCHOS - ALUMÍNIO</t>
  </si>
  <si>
    <t>ESCADA DE FIBRA COM 02 GANCHOS</t>
  </si>
  <si>
    <t>ESTACA DE AÇO</t>
  </si>
  <si>
    <t>MACHADO CABO CURTO</t>
  </si>
  <si>
    <t xml:space="preserve">PINÇÃO CAPTURADOR DE SERPENTES </t>
  </si>
  <si>
    <t>BOX TRASEIRO</t>
  </si>
  <si>
    <t>TAMPÃO DE MANGOTE COM ROSCA GROSSA 4"</t>
  </si>
  <si>
    <t>CABINE</t>
  </si>
  <si>
    <t>BOLSA DE RESGATE (MERET)</t>
  </si>
  <si>
    <t>CARTÃO DE ABASTECIMENTO</t>
  </si>
  <si>
    <t>CHAVE "L" PARA DESCABINAR</t>
  </si>
  <si>
    <t>CHAVE DE RODA</t>
  </si>
  <si>
    <t>CONTROLE DO GUINCHO</t>
  </si>
  <si>
    <t xml:space="preserve">N.S- 0600-23 </t>
  </si>
  <si>
    <t xml:space="preserve">FICHA DE ACIDENTE DE TRÂNSITO </t>
  </si>
  <si>
    <t>GUINCHO ELÉTRICO 4.100 KG</t>
  </si>
  <si>
    <t>IMOBILIZADOR DE NUCA E CABECA -</t>
  </si>
  <si>
    <t>O PAR, COM TIRANTES PARA FIXAÇÃO</t>
  </si>
  <si>
    <t>LANTERNA DE COMBATE A INCÊNDIO INDIVIDUAL (ADALIT) COM  CARREGADOR FIXO</t>
  </si>
  <si>
    <t>LANTERNA TÁTICA NIGHTSTICK</t>
  </si>
  <si>
    <t>MACACO AUTOMOTIVO HIDRÁULICO/ SAPATA</t>
  </si>
  <si>
    <t>MANUAL DO VEÍCULO</t>
  </si>
  <si>
    <t xml:space="preserve">OLHAIS PARA GUINCHO </t>
  </si>
  <si>
    <t>PASTA DE MOVIMENTAÇÃO DA VTR</t>
  </si>
  <si>
    <t>PINO PARA REBOQUE</t>
  </si>
  <si>
    <t>RÁDIO MOTOROLA</t>
  </si>
  <si>
    <t>RÁDIO MÓVEL -</t>
  </si>
  <si>
    <t>SACO PARA CADÁVER</t>
  </si>
  <si>
    <t>TRIÂNGULO DE SINALIZAÇÃO</t>
  </si>
  <si>
    <t xml:space="preserve">ALICATE DE CORTE  </t>
  </si>
  <si>
    <t>ALICATE DE CORTE 8"</t>
  </si>
  <si>
    <t>ALICATE DE PRESSÃO</t>
  </si>
  <si>
    <t>ALICATE UNIVERSAL</t>
  </si>
  <si>
    <t>CHAVE "L"</t>
  </si>
  <si>
    <t>CHAVE DE BOCA</t>
  </si>
  <si>
    <t>CHAVE DE ESTRIA</t>
  </si>
  <si>
    <t>05 CHAVES PERTENCIAM À ABTS5911</t>
  </si>
  <si>
    <t>CHAVE DE FENDA PARA MOTOSSERRA</t>
  </si>
  <si>
    <t>CHAVE DE GRIFO 14"</t>
  </si>
  <si>
    <t>CHAVE INGLESA</t>
  </si>
  <si>
    <t>CORTA FRIO 14''</t>
  </si>
  <si>
    <t>JOGO DE CHAVE ESTRIA DE 6" À 22" (17 PEÇAS)</t>
  </si>
  <si>
    <t>JOGO DE CHAVE TORX CONTENDO 09 CHAVES</t>
  </si>
  <si>
    <t>MARRETA PEQUENA</t>
  </si>
  <si>
    <t>MARTELO</t>
  </si>
  <si>
    <t>ANILHA PARA GINASTICA -</t>
  </si>
  <si>
    <t>CAMARIM</t>
  </si>
  <si>
    <t>BARRA PARA ENCAIXE DE ANILHAS -</t>
  </si>
  <si>
    <t>ESPALDAR PARA GINASTICA -</t>
  </si>
  <si>
    <t>PUXADOR PARA GINASTICA -</t>
  </si>
  <si>
    <t>N.S. 540696994</t>
  </si>
  <si>
    <t>N.S. 541753460</t>
  </si>
  <si>
    <t xml:space="preserve"> (KIT GUARANI) CONJ ACOPLAVEL A VEICULO, COMBATE INCENDIO -</t>
  </si>
  <si>
    <t>CARROCERIA</t>
  </si>
  <si>
    <t>T051002110016456</t>
  </si>
  <si>
    <t xml:space="preserve">CONJ. DE COMBATE PICKUP TR C/ MANGUEIRA RESERVA (LARANJADA) + ESGUICHO 2 ESTÁGIOS + MANGUEIRA P/ ESCORVA AZUL.. </t>
  </si>
  <si>
    <t>1 - ASL2285</t>
  </si>
  <si>
    <t>84248990</t>
  </si>
  <si>
    <t>KIT GUARANY</t>
  </si>
  <si>
    <t>BOIA SALVA VIDAS CIRCULAR</t>
  </si>
  <si>
    <t>BOLSA CINZA PARA SALVAMENTO EM ALTURA</t>
  </si>
  <si>
    <t>BOLSA LACRADA (LACRE: 005306)</t>
  </si>
  <si>
    <t>BOLSA LACRADA (LACRES: 005331/005366)</t>
  </si>
  <si>
    <t>almox. Terreo, caixa de ferreo FERCAR</t>
  </si>
  <si>
    <t>CAPTURADOR DE COBRA</t>
  </si>
  <si>
    <t>CORTADOR MANUAL (HOLMATRO)</t>
  </si>
  <si>
    <t>FERRAMENTA DE CORTE (TITAN CRASH AXE)</t>
  </si>
  <si>
    <t>1346500 HH</t>
  </si>
  <si>
    <t>(COMBINADA) - HOLMATRO EVO - 3, COM 01 BATERIA</t>
  </si>
  <si>
    <t>CABO SOLTEIRO (PRETO E BRANCO 9M), MOSQUETÃO DE AÇO TIPO "D" C/ TRAVA AUTOMÁTICA.</t>
  </si>
  <si>
    <t>MISTURADOR DE COMBUSTÍVEL STIHL</t>
  </si>
  <si>
    <t>COM TIRANTE</t>
  </si>
  <si>
    <t>PULSAR</t>
  </si>
  <si>
    <t>RADIO TRANSCEPTOR -</t>
  </si>
  <si>
    <t>ANTENA ACOPLÁVEL AO RTK</t>
  </si>
  <si>
    <t>CASE DRONE</t>
  </si>
  <si>
    <t>BASE RTK</t>
  </si>
  <si>
    <t>BASES PARA CARREGAMENTO DAS BATERIAS</t>
  </si>
  <si>
    <t>BATERIAS DA MATRIZ DO DRONE</t>
  </si>
  <si>
    <t>BATERIAS DO VISOR/CONTROLE</t>
  </si>
  <si>
    <t>CABO DE DADOS</t>
  </si>
  <si>
    <t>CABO DE FORÇA DO CARREGADOR DO HUB E DAS BASES DA BATERIA</t>
  </si>
  <si>
    <t>CASE PARA TRANSPORTE</t>
  </si>
  <si>
    <t>CONTROLE COM DUAS ANTENAS</t>
  </si>
  <si>
    <t>FONTE DO CARREGADOR FO HUB E DAS BASES DA BATERIA</t>
  </si>
  <si>
    <t>HÉLICES</t>
  </si>
  <si>
    <t>HUB COMPLETO DE CARREGAMENTO DAS BATERIAS DA MATRIZ</t>
  </si>
  <si>
    <t>SKI DE POUSO</t>
  </si>
  <si>
    <t>VISOR DO CONTROLE</t>
  </si>
  <si>
    <t>AR CONDICIONADO -</t>
  </si>
  <si>
    <t>CMT OPERACIONAL</t>
  </si>
  <si>
    <t>SALA DO CMT OPERACIONAL</t>
  </si>
  <si>
    <t>COMPUTADOR -</t>
  </si>
  <si>
    <t>NS 4A348F99D</t>
  </si>
  <si>
    <t>Cap Samuel - Positivo D535 - 500 GB / NS 4A348F99D - fab.2017</t>
  </si>
  <si>
    <t>NOTEBOOK,NETBOOK E/OU ULTRAFINO -</t>
  </si>
  <si>
    <t>N.S 4AD63QD5N</t>
  </si>
  <si>
    <t xml:space="preserve">CMT Cmt Operacional - Cap Samuel </t>
  </si>
  <si>
    <t>WEBCAM -</t>
  </si>
  <si>
    <t>INTELBRAS FULL HD</t>
  </si>
  <si>
    <t>CMT PPV</t>
  </si>
  <si>
    <t>multilaser mini pc ut 161 ultra - Ten Araújo</t>
  </si>
  <si>
    <t>AERONAVE REMOTAMENTE PILOTADA RPA ( DRONE )</t>
  </si>
  <si>
    <t>CPD</t>
  </si>
  <si>
    <t>Matrice 210 RTK Zenmuse XT com cartão de memória 16 GB</t>
  </si>
  <si>
    <t>AERONAVE REMOTAMENTE PILOTADA RPA ( DRONE ) -</t>
  </si>
  <si>
    <t>Componentes conforme doc 47125670, SEI - 1400.01.0030.404/2022-84 - Drone DJI MavicEnterprise 2</t>
  </si>
  <si>
    <t>não está funcionando.</t>
  </si>
  <si>
    <t>está funcionando.</t>
  </si>
  <si>
    <t>EM PROCESSO DE DESCARGA  1400.01.0026473/2023-03</t>
  </si>
  <si>
    <t>CAIXA DE FERRAMENTA VONDER PLUS</t>
  </si>
  <si>
    <t>Caixa de acondicionamento das baterias do Drone Matrice</t>
  </si>
  <si>
    <t>CAMERA P/ AERONAVE REMOTAMENTE PILOTADA (DRONE)</t>
  </si>
  <si>
    <t>Câmera de Zoom 30x Zenmuse Z30 com cartão de memória 16 GB</t>
  </si>
  <si>
    <t>Câmera Termográfica Zenmuse XT com cartão de memória 16 GB</t>
  </si>
  <si>
    <t>CENTRAL TELEFONICA (PABX) -</t>
  </si>
  <si>
    <t>NS 4A348FS6J</t>
  </si>
  <si>
    <t xml:space="preserve">Positivo D535 </t>
  </si>
  <si>
    <t>NS BRG907F066</t>
  </si>
  <si>
    <t>HP Compaq DC5850, 160 GB / NS BRG907F066 / Gravador</t>
  </si>
  <si>
    <t>NS 4A348G550</t>
  </si>
  <si>
    <t>MASTER N 4350 Cb Rocha</t>
  </si>
  <si>
    <t>3 - SUPRIMENTOS</t>
  </si>
  <si>
    <t>Daten DC1A-T - Servidor (cpd)</t>
  </si>
  <si>
    <t>NS 1AF497C95</t>
  </si>
  <si>
    <t>GUARDADO/ POSITIVO MASTER D480</t>
  </si>
  <si>
    <t>NS 1AF50UL9X</t>
  </si>
  <si>
    <t>positivo Mater d480, NS 1AF50UL9X</t>
  </si>
  <si>
    <t>EQUIPAMENTO PARA DETECCAO DE GASES -</t>
  </si>
  <si>
    <t>COMPONENTES CONFORME SEI 118109804</t>
  </si>
  <si>
    <t>GRAVADOR PARA EQUIPAMENTO DE COMUNICACAO -</t>
  </si>
  <si>
    <t>TRANSFERIDO PARA NTS</t>
  </si>
  <si>
    <t>INTERFACE CELULAR -</t>
  </si>
  <si>
    <t>KIT CALIBRACAO PARA GAS EXPLOSIVO -</t>
  </si>
  <si>
    <t>COMPONENTES CONFORME SEI 118109805</t>
  </si>
  <si>
    <t>NOBREAK -</t>
  </si>
  <si>
    <t>TERMOVISOR -</t>
  </si>
  <si>
    <t>DEPÓSITO</t>
  </si>
  <si>
    <t>DEPPOSITO PRÓXIMO À SALA DE ASSEPSIA</t>
  </si>
  <si>
    <t>ESTANTE PARA ALMOXARIFADO -(II)</t>
  </si>
  <si>
    <t>ÁGUA OXIGENADA</t>
  </si>
  <si>
    <t>MATERIAL DE CONSUMO</t>
  </si>
  <si>
    <t>ÁLCOOL LÍQUIDO</t>
  </si>
  <si>
    <t>CLORO</t>
  </si>
  <si>
    <t>GAZE</t>
  </si>
  <si>
    <t>MANTA ALUMINIZADA -</t>
  </si>
  <si>
    <t>SACO PARA COLETA DE RESIDUOS DE SAUDE -</t>
  </si>
  <si>
    <t>MATERIAL DE MERGULHO</t>
  </si>
  <si>
    <t xml:space="preserve">seção de mergulho </t>
  </si>
  <si>
    <t>COM TRÊS PEÇAS</t>
  </si>
  <si>
    <t>BOIA PARA MERGULHO</t>
  </si>
  <si>
    <t>COM MATERIAIS DIVERSOS;</t>
  </si>
  <si>
    <t>BOLSA VERDE</t>
  </si>
  <si>
    <t>BOTE SALVA-VIDAS, PNEUMATICO -</t>
  </si>
  <si>
    <t xml:space="preserve">Bote REMAR </t>
  </si>
  <si>
    <t xml:space="preserve"> DOIS ENCONTRAM-SE AMARRANDO O BOTE *(BOLSA VERDE)</t>
  </si>
  <si>
    <t xml:space="preserve">CARRETILHA </t>
  </si>
  <si>
    <t>CARRINHO SUPORTE PARA MOTOR DE POPA</t>
  </si>
  <si>
    <t>CAVALETE PARA SUPORTE DO MOTOR DE POPA</t>
  </si>
  <si>
    <t>TAMANHO 11/8 (TRANCANDO A JANELA)</t>
  </si>
  <si>
    <t>CILINDRO INUTILIZADO C/ BANDEIRA DA 5ª CIA IND BM</t>
  </si>
  <si>
    <t>CINTO DE LASTRO</t>
  </si>
  <si>
    <t>COLETE EQUILIBRADOR PARA MERGULHO</t>
  </si>
  <si>
    <t>TIPO JACKET</t>
  </si>
  <si>
    <t>ISCA-VIVA</t>
  </si>
  <si>
    <t>*(BOLSA VERDE)</t>
  </si>
  <si>
    <t>CROQUI</t>
  </si>
  <si>
    <t>COM DUAS PEÇAS APENAS</t>
  </si>
  <si>
    <t>DECO MARKER</t>
  </si>
  <si>
    <t>VERDE</t>
  </si>
  <si>
    <t>VERMELHO</t>
  </si>
  <si>
    <t>ESTANTE DE MADEIRA</t>
  </si>
  <si>
    <t xml:space="preserve">Bolsa de Resgate </t>
  </si>
  <si>
    <t>FACA DE MERGULHO</t>
  </si>
  <si>
    <t>FLUT-SPUMA</t>
  </si>
  <si>
    <t>GARATEIA</t>
  </si>
  <si>
    <t>LANTERNA DE MERGULHO</t>
  </si>
  <si>
    <t>LIFT BAG 60 L</t>
  </si>
  <si>
    <t>MANEQUIM</t>
  </si>
  <si>
    <t>motor 15 hp - encontra-se na ALA Op.</t>
  </si>
  <si>
    <t>PESO DE LASTRO</t>
  </si>
  <si>
    <t>POITA</t>
  </si>
  <si>
    <t>REGULADOR DE MERGULHO COMPLETO (1º E 2º ESTÁGIO)</t>
  </si>
  <si>
    <t>OBS: 05 REGULADORES FORAM RECOLHIDOS PELO SUPRIMENTOS</t>
  </si>
  <si>
    <t>RETINIDA</t>
  </si>
  <si>
    <t>200 METROS *(BOLSA VERDE)</t>
  </si>
  <si>
    <t>ROUPA DE MERGULHO NEOPRENE -</t>
  </si>
  <si>
    <t>* DOIS ENCONTRAM-SE ACAUTELADOS: ASP MARTINELLI E SD ASSUNÇÃO.</t>
  </si>
  <si>
    <t>ROUPA DE MERGULHO NEOPRENE - TIPO JARDINEIRA</t>
  </si>
  <si>
    <t>TAMBOR DE 120L</t>
  </si>
  <si>
    <t>TAMBOR DE 50L</t>
  </si>
  <si>
    <t xml:space="preserve">TANQUE DE COMBUSTÍVEL </t>
  </si>
  <si>
    <t>COM BOMBA MANUAL (TOYAMA)</t>
  </si>
  <si>
    <t>TENDA -</t>
  </si>
  <si>
    <t>TOUCA NEOPRENE</t>
  </si>
  <si>
    <t>TRIÂNGULO DE AÇO PARA RECUPERAÇÃO DE CORPOS</t>
  </si>
  <si>
    <t>CARRETA AGRICOLA -</t>
  </si>
  <si>
    <t>9A9BC05111TDH8043</t>
  </si>
  <si>
    <t>Carretinha de Barco - PLACA HMH0805</t>
  </si>
  <si>
    <t>ESCADA PROLONGÁVEL FIBRA</t>
  </si>
  <si>
    <t>POSSUI SOMENTE UM GANCHO</t>
  </si>
  <si>
    <t>GAIOLA DE METAL PARA CAPTURA DE ANIMAIS</t>
  </si>
  <si>
    <t xml:space="preserve">MANGOTE </t>
  </si>
  <si>
    <t>NA BANCADA DE MANUTENÇÃO;</t>
  </si>
  <si>
    <t xml:space="preserve">MAQUINA DE LAVAR ROUPA - </t>
  </si>
  <si>
    <t>REBOQUE -</t>
  </si>
  <si>
    <t>9A9DF01CP8BDT6896</t>
  </si>
  <si>
    <t xml:space="preserve">Animais (carretinha) - HMH5584
</t>
  </si>
  <si>
    <t>PARTE EXTERNA</t>
  </si>
  <si>
    <t>AMARRANDO OS ABAFADORES.</t>
  </si>
  <si>
    <t>ARMARIO PARA ESCRITORIO -(III)</t>
  </si>
  <si>
    <t>PPV (ANTIGA)</t>
  </si>
  <si>
    <t>CADEIRA UNIVERSITARIA -</t>
  </si>
  <si>
    <t>ESTANTE PARA ALMOXARIFADO -</t>
  </si>
  <si>
    <t>GUARDA-ROUPAS -</t>
  </si>
  <si>
    <t>ASPIRADOR DE SECRECAO -</t>
  </si>
  <si>
    <t>PRATELEIRAS E GAVETAS</t>
  </si>
  <si>
    <t>B20E-00854</t>
  </si>
  <si>
    <t>Philips HeartStart Mod.861304 n.sB20E-00932</t>
  </si>
  <si>
    <t>IMOBILIZADOR RESERVA</t>
  </si>
  <si>
    <t>CADEIRA GAMER</t>
  </si>
  <si>
    <t>3 - CARTÓRIO</t>
  </si>
  <si>
    <t>PROTOCOLO</t>
  </si>
  <si>
    <t>Func civil Sergia</t>
  </si>
  <si>
    <t>ESTABILIZADOR ELETRONICO DE TENSAO -</t>
  </si>
  <si>
    <t>ESTACAO DE TRABALHO -</t>
  </si>
  <si>
    <t>Func. Civil Sérgia</t>
  </si>
  <si>
    <t>ABAFADOR DE PROTEÇAO AUDITIVA</t>
  </si>
  <si>
    <t>RÁDIO OPERADOR</t>
  </si>
  <si>
    <t>AMPLIFICADOR DE VOZ - EPR</t>
  </si>
  <si>
    <t>N.S.115A1931011827</t>
  </si>
  <si>
    <t>EPIC 3 VOICE AMPLIFIER</t>
  </si>
  <si>
    <t>N.S.115A1920006007</t>
  </si>
  <si>
    <t>N.S.115A1920006244</t>
  </si>
  <si>
    <t>BANDEIRA DO COMANDANTE</t>
  </si>
  <si>
    <t>ENCONTRAM-SE NO MASTRO DAS BANDEIRAS</t>
  </si>
  <si>
    <t xml:space="preserve">CADEADO 25MM </t>
  </si>
  <si>
    <t>CADEADO HASTE CURTA COM DUAS CHAVES</t>
  </si>
  <si>
    <t>CADEADO HASTE LONGA COM DUAS CHAVES</t>
  </si>
  <si>
    <t>CADEIRA</t>
  </si>
  <si>
    <t>cadeira gaming marca: MYMAX MXO Sala de REDS</t>
  </si>
  <si>
    <t>CARREGADOR PARA FERRAMENTA HOLMATRO</t>
  </si>
  <si>
    <t>FA214417-0053-1322C</t>
  </si>
  <si>
    <t>MODELO PBCH1</t>
  </si>
  <si>
    <t>FA214419-0082-1722C</t>
  </si>
  <si>
    <t>FA214417-0043-1322C</t>
  </si>
  <si>
    <t>MODELO PBCH2</t>
  </si>
  <si>
    <t xml:space="preserve">CARREGADOR PARA SERRA SABRE </t>
  </si>
  <si>
    <t>2024 27-QX</t>
  </si>
  <si>
    <t>DEWALT DCB1106 12 - 20V</t>
  </si>
  <si>
    <t>CASSETETE DE MADEIRA</t>
  </si>
  <si>
    <t>CELOTEX</t>
  </si>
  <si>
    <t>N.S. 01044463010008</t>
  </si>
  <si>
    <t>DATEN Modelo: DC5A-U-R5 PRO (SALA DE REDS),02-Monitor, 01 Mouse, 01 Teclado</t>
  </si>
  <si>
    <t>CORRENTE DE FERRO GALVANIZADO</t>
  </si>
  <si>
    <t>GAVETEIRO -</t>
  </si>
  <si>
    <t>sala telefones</t>
  </si>
  <si>
    <t>GAVETEIRO USO ESCRITORIO -</t>
  </si>
  <si>
    <t>IMPRESSORA MULTIFUNCIONAL -</t>
  </si>
  <si>
    <t>SELB-20XR</t>
  </si>
  <si>
    <t>impressora RICOH IM 430F (SELB-11XP)</t>
  </si>
  <si>
    <t>LIVRO PARA ACAUTELAMENTO DE MATERIAIS</t>
  </si>
  <si>
    <t xml:space="preserve">MESA DE ESCRITÓRIO </t>
  </si>
  <si>
    <t>mesa de escritório reta  (Azul)</t>
  </si>
  <si>
    <t>MESA PARA COMPUTADOR -</t>
  </si>
  <si>
    <t>mesa telefones</t>
  </si>
  <si>
    <t>MESA PARA ESCRITORIO (II) -</t>
  </si>
  <si>
    <t xml:space="preserve">mesa dos telefones </t>
  </si>
  <si>
    <t>MICRO RETIFICA -</t>
  </si>
  <si>
    <t>MINI MOSQUETÃO</t>
  </si>
  <si>
    <t xml:space="preserve">Rádio Sentinela </t>
  </si>
  <si>
    <t>REVOLVER -</t>
  </si>
  <si>
    <t>ZK433717*</t>
  </si>
  <si>
    <t>38 SPECIAL TAURUS</t>
  </si>
  <si>
    <t>TELEFONE</t>
  </si>
  <si>
    <t xml:space="preserve">CADEIRA REFEITÓRIO - </t>
  </si>
  <si>
    <t>REFEITÓRIO (CIA OP)</t>
  </si>
  <si>
    <t>LIQUIDIFICADOR</t>
  </si>
  <si>
    <t>LIQUIDIFICADOR MONDIAL</t>
  </si>
  <si>
    <t>TELEVISAO -</t>
  </si>
  <si>
    <t>Sala Comandante CVO</t>
  </si>
  <si>
    <t>5ª Cia Ind / 2º Pel Curvelo - Cia PV  (Positivo Master 535)</t>
  </si>
  <si>
    <t>PRANCHA LONGA (ESTOQUE)</t>
  </si>
  <si>
    <t>SALA DE ASSEPSIA</t>
  </si>
  <si>
    <t xml:space="preserve">DE FIBRA (AMARELA)  </t>
  </si>
  <si>
    <t>ADAPTADOR PARA ROSCA DO COMPRESSOR</t>
  </si>
  <si>
    <t>CILINDRO DE MERGULHO</t>
  </si>
  <si>
    <t>OBS: UM DOS CILINDROS PERTENCE AO TEN ALVES</t>
  </si>
  <si>
    <t>COMPRESSOR DE AR RESPIRAVEL -</t>
  </si>
  <si>
    <t>LUXON - GMC300/ET</t>
  </si>
  <si>
    <t>ALICATE PARA CORTE DE ANEL MD</t>
  </si>
  <si>
    <t>SALA DE REDS</t>
  </si>
  <si>
    <t>ARMÁRIO ESCANINHO COM DUAS GAVETAS (MADEIRA)</t>
  </si>
  <si>
    <t>ARMÁRIO ESCANINHO DE METAL</t>
  </si>
  <si>
    <t xml:space="preserve">BANDEIRA DE MINAS GERAIS </t>
  </si>
  <si>
    <t xml:space="preserve">BANDEIRA DO BRASIL </t>
  </si>
  <si>
    <t>BINOCULO -</t>
  </si>
  <si>
    <t>Binóculo TASCO</t>
  </si>
  <si>
    <t>BINOCULO USO POLICIAL -</t>
  </si>
  <si>
    <t>Binóculo ATN Night Scout</t>
  </si>
  <si>
    <t>CADEIRA PARA ESCRITÓRIO TIPO DIRETOR</t>
  </si>
  <si>
    <t>CAPA PROTETORA  PARA  HT</t>
  </si>
  <si>
    <t xml:space="preserve">CARREGADOR COMPLETO LANTERNA NIGHTSTICK </t>
  </si>
  <si>
    <t>Base para carregamento, fonte e adaptador veicular</t>
  </si>
  <si>
    <t>CARREGADOR DAS BATERIAS DO EPR MSA</t>
  </si>
  <si>
    <t>CARREGADOR LUZ DE CENA</t>
  </si>
  <si>
    <t xml:space="preserve">CARREGADOR PARA FERRAMENTA HOLMATRO </t>
  </si>
  <si>
    <t>EVO 3</t>
  </si>
  <si>
    <t>CARREGADOR PARA HT DIGITAL</t>
  </si>
  <si>
    <t>00355-61108-55728-AAOEM</t>
  </si>
  <si>
    <t>DATEN - DC5A-U 7686921-0, 01 Monitor 26", 01 Teclado, 01 Mouse</t>
  </si>
  <si>
    <t>00355-61108-55688-AAOEM</t>
  </si>
  <si>
    <t>DATEN - DC5A-U 7686923-7, 01 Monitor 26", 01 Teclado, 01 Mouse</t>
  </si>
  <si>
    <t>COR VERMELHA MARCA  MILWAUKEE. foi pago 2 baterias e um carregador</t>
  </si>
  <si>
    <t>871IYJ0917</t>
  </si>
  <si>
    <t>MOTOROLA, Modelo: DGP 8550E, HT portátil</t>
  </si>
  <si>
    <t>871IYL3209</t>
  </si>
  <si>
    <t>871IYL3213</t>
  </si>
  <si>
    <t>871IYJ0823</t>
  </si>
  <si>
    <t>871IYJ0863</t>
  </si>
  <si>
    <t>BLUECASE BWEB1080P-02</t>
  </si>
  <si>
    <t>BEBEDOURO PARA GARRAFAO AGUA MINERAL -</t>
  </si>
  <si>
    <t>SALA DO FUTEBOL (SEDE)</t>
  </si>
  <si>
    <t>BEBEDOURO REFRIGERADO -</t>
  </si>
  <si>
    <t>BEBEDOURO REFRIGERADO - TIPO: INDUSTRIAL; CAPACIDADE REFRIGERACAO: 50 LITROS;</t>
  </si>
  <si>
    <t>estocado no CPD</t>
  </si>
  <si>
    <t>MESA PARA MICROCOMPUTADOR - (II)</t>
  </si>
  <si>
    <t>Adicionar ao processo de descarga</t>
  </si>
  <si>
    <t>REFRIGERADOR DOMESTICO -</t>
  </si>
  <si>
    <t>ABRAÇADEIRA DE NYLON 3,5 X 300 MM PCT C/100</t>
  </si>
  <si>
    <t>ADAPTADOR HDMI PARA VGA 19 CM</t>
  </si>
  <si>
    <t>BATERIA 9V RECARREGÁVEL</t>
  </si>
  <si>
    <t>BATERIA PARA SERRA SABRE (RESERVA)</t>
  </si>
  <si>
    <t>almox. Principal</t>
  </si>
  <si>
    <t xml:space="preserve">CABO EXTENSOR HDMI </t>
  </si>
  <si>
    <t>MATERIAL BAIXADO DA VTR ABTS 1418</t>
  </si>
  <si>
    <t>CAPACETE PARA COMBATE INCENDIO -</t>
  </si>
  <si>
    <t>capacete SICOR, AMARELO</t>
  </si>
  <si>
    <t xml:space="preserve">capacete SICOR, vermelho </t>
  </si>
  <si>
    <t>capacete SICOR, Amarelo, Cb Eder</t>
  </si>
  <si>
    <t>capacete SICOR, vermelho</t>
  </si>
  <si>
    <t>capacete vermelho Sgt Amarildo</t>
  </si>
  <si>
    <t>CAPACETE RECOLHIDO POR MOTIVO DE BAIXA DO MILITAR. 2 - SD ARTHUR DE BARROS VIEIRA ROCHA</t>
  </si>
  <si>
    <t>capacete SICOR, VERMELHO</t>
  </si>
  <si>
    <t>NÃO CONSTA NA CARGA ATUAL - 25/09/24</t>
  </si>
  <si>
    <t>capacete de incendio florestal</t>
  </si>
  <si>
    <t>CAPACETE PARA COMBATE INCENDIO FLORESTAL</t>
  </si>
  <si>
    <t>CARREGADOR DE BATERIAS E PILHAS AA E AAA. BIVOLT</t>
  </si>
  <si>
    <t>CONECTOR RJ45 CAT 6 PCT C/100 UNID.</t>
  </si>
  <si>
    <t>CARRETEL FECHADO</t>
  </si>
  <si>
    <t xml:space="preserve">N.S- 0523-23 </t>
  </si>
  <si>
    <t xml:space="preserve">N.S- 0488-23 </t>
  </si>
  <si>
    <t>Esguicho POK Firefighting equipment -</t>
  </si>
  <si>
    <t xml:space="preserve">N.S- 0545-23 </t>
  </si>
  <si>
    <t>GPS AUTONOMO -</t>
  </si>
  <si>
    <t>HUB USB 2.0 REF AC 064</t>
  </si>
  <si>
    <t>N.S.64645</t>
  </si>
  <si>
    <t>LANTERNA SURVIVOR</t>
  </si>
  <si>
    <t>N.S. BR014434</t>
  </si>
  <si>
    <t>N.S. BR014433</t>
  </si>
  <si>
    <t>N.S. BR014430</t>
  </si>
  <si>
    <t>N.S. BR014432</t>
  </si>
  <si>
    <t>N.S. BR014429</t>
  </si>
  <si>
    <t>N.S. BR06929</t>
  </si>
  <si>
    <t>PAD MOUSE COM APOIO DE PUNHO ERGONOMICO</t>
  </si>
  <si>
    <t>PASSADOR DE SLIDE COM APOTADOR A LASER</t>
  </si>
  <si>
    <t>PEN DRIVE 32 GB USB 2.0</t>
  </si>
  <si>
    <t>PROJETOR MULTIMIDIA -</t>
  </si>
  <si>
    <t>469PRY200900151</t>
  </si>
  <si>
    <t xml:space="preserve">sao principal - projetor modelo: M18 </t>
  </si>
  <si>
    <t>N.S. 547037121</t>
  </si>
  <si>
    <t>N.S. 546107834</t>
  </si>
  <si>
    <t>N.S. 546106737</t>
  </si>
  <si>
    <t>SOPRADOR -</t>
  </si>
  <si>
    <t xml:space="preserve">TECLADO E MOUSE SEM FIO </t>
  </si>
  <si>
    <t>TELA DE PROJECAO -</t>
  </si>
  <si>
    <t>MEDIDAS: 180 X 240CM; 120 POLEGADAS 4:3</t>
  </si>
  <si>
    <t>TRANSFORMADOR DE VOLTAGEM -</t>
  </si>
  <si>
    <t>emprestado para o ten Samuel em 24/07/2024, pelo Sub Ten Dawison</t>
  </si>
  <si>
    <t>SECRETARIA</t>
  </si>
  <si>
    <t>CAIXA ACUSTICA -</t>
  </si>
  <si>
    <t>DATEN - SECRETARIA</t>
  </si>
  <si>
    <t>N.S.1AF51DC8M</t>
  </si>
  <si>
    <t>POSITIVO MASTER D480- comp. utilizado pelo Cb Romano</t>
  </si>
  <si>
    <t>MAQUINA DE FUMACA -</t>
  </si>
  <si>
    <t>Positivo Master N 4350, Sgt Carmo</t>
  </si>
  <si>
    <t>SETOR DE MEIOS</t>
  </si>
  <si>
    <t>ALMOFADA PNEUMATICA -</t>
  </si>
  <si>
    <t xml:space="preserve"> 03 ALMOFADAS, 01 VÁLVULA REDUTORA DE PRESSÃO, 01 VÁLVULA CONTROLE DE FLUXO, 01 CILINDRO, 03 MANGUEIRAS AMARELAS E 01 VERMELHA </t>
  </si>
  <si>
    <t>pago no dia 15/06/2026, retirado do Almoxifado</t>
  </si>
  <si>
    <t>MOCHILA COSTAL (VALLFIREST) SEM ESGUICHO</t>
  </si>
  <si>
    <t>CAIXA AMARELA COM CORRENTES PARA TRIPÉ</t>
  </si>
  <si>
    <t>CAIXA DE FERRAMENTAS (METAL)</t>
  </si>
  <si>
    <t>CAIXA TERMICA</t>
  </si>
  <si>
    <t>CAIXA TERMICA 20L INVICTA - LARANJA</t>
  </si>
  <si>
    <t>CAVALETE DE SINALIZAÇÃO</t>
  </si>
  <si>
    <t>CORDA  PARA SALVAMENTO EM ALTURA - 150M</t>
  </si>
  <si>
    <t>CORDA PARA USO GERAL (100 METRO)</t>
  </si>
  <si>
    <t>CORRENTE PARA DESENCARCERADOR</t>
  </si>
  <si>
    <t>ENCONTRA-SE DENTRO DO BALDE AZUL</t>
  </si>
  <si>
    <t>ESTANTE DE AÇO</t>
  </si>
  <si>
    <t>GALÃO DE LGE</t>
  </si>
  <si>
    <t>02 transferidos para abts5911</t>
  </si>
  <si>
    <t>GARFO COM 4 DENTES</t>
  </si>
  <si>
    <t>GARRAFA TERMICA -</t>
  </si>
  <si>
    <t>GARRAFA DE 5L - SOPRANO</t>
  </si>
  <si>
    <t>GERADOR PORTATIL -</t>
  </si>
  <si>
    <t>MACACÃO NÍVEL "C" 02 - ROUPÃO, 02 BOTAS, 02 MÁSCARAS FACIAIS (KIT DA VIBRA)</t>
  </si>
  <si>
    <t>MOITÃO</t>
  </si>
  <si>
    <t>VOITÃO COM TRÊS ROLDANAS</t>
  </si>
  <si>
    <t>MOTOBOMBA DE SUCÇÃO - TOYAMA</t>
  </si>
  <si>
    <t>SEM MANGOTE</t>
  </si>
  <si>
    <t>PERNEIRA (PAR)</t>
  </si>
  <si>
    <t>PONTEIRO</t>
  </si>
  <si>
    <t xml:space="preserve">ROUPÃO NÍVEL A </t>
  </si>
  <si>
    <t>COM BOLSA AZUL</t>
  </si>
  <si>
    <t>SEGUETA</t>
  </si>
  <si>
    <t>COM MAIS UM ARCO DE SERRA COM SERRA</t>
  </si>
  <si>
    <t>SERROTE</t>
  </si>
  <si>
    <t>N.S. 15618</t>
  </si>
  <si>
    <t>MODELO GA3200 (3.200KG)</t>
  </si>
  <si>
    <t>1.600 KG</t>
  </si>
  <si>
    <t>TRIÉ (ALUMÍNIO)</t>
  </si>
  <si>
    <t>FALTA UM PINO PARA TRAVAMENTO DO TRIPÉ</t>
  </si>
  <si>
    <t>TRIPÉ PARA RESGATE DE ANIMAIS</t>
  </si>
  <si>
    <t>ALMOTOLIA DE PLÁSTICO</t>
  </si>
  <si>
    <t>AMBULANCIA -</t>
  </si>
  <si>
    <t>8AC907643RE232244</t>
  </si>
  <si>
    <t>UR      PLACA SJC3E86</t>
  </si>
  <si>
    <t>CADEIRA ARTICULÁVEL</t>
  </si>
  <si>
    <t>FAROL DE MAEJO (LED)</t>
  </si>
  <si>
    <t>KIT OBRIGATÓRIO VEÍCULAR</t>
  </si>
  <si>
    <t>01- CHAVE DE RODA, 01 MACACO, 01 TRIÂNGULO</t>
  </si>
  <si>
    <t xml:space="preserve">MACA ARTICULÁVEL </t>
  </si>
  <si>
    <t>N.S.511NRF00B0</t>
  </si>
  <si>
    <t xml:space="preserve">NÚMERO DE SÉRIO NÃO CORRESPONDE. </t>
  </si>
  <si>
    <t>690417</t>
  </si>
  <si>
    <t>ALOJAMENTO FEM.</t>
  </si>
  <si>
    <t>ADAPTADOR STORZ 1 ¹/²" PARA ROSCA 3 FIOS</t>
  </si>
  <si>
    <t>tablet ipad chip 89550237001018043787</t>
  </si>
  <si>
    <t>SEI - 1400.01.0030.404/2022-84 - Drone DJI Phantom 4 Pro</t>
  </si>
  <si>
    <t>MATERIAL DESCARREGADO - PROCESSO Nº 1400.01.0026473/2023-03</t>
  </si>
  <si>
    <t>36 cm/ 8bar/ 621L/ 31,4T Material armazenado temporariamente na antiga sala da PPV cia op.</t>
  </si>
  <si>
    <t>Chassi:93W245G3RG2159239</t>
  </si>
  <si>
    <t>PUE8I36  -  LOTE/LEILAO: 0194019412000092025</t>
  </si>
  <si>
    <t>8AC907643NE213947</t>
  </si>
  <si>
    <t xml:space="preserve">UR-4336 placa QXW4D36 </t>
  </si>
  <si>
    <t>3C6DFVDK5ME538089</t>
  </si>
  <si>
    <t>UR-5125 placa RTE5B25</t>
  </si>
  <si>
    <t>UR</t>
  </si>
  <si>
    <t>UR8866</t>
  </si>
  <si>
    <t>PLACA - QXW2B08</t>
  </si>
  <si>
    <t>Transferida para ABM - SEI 1400.01.0046184/2024-42</t>
  </si>
  <si>
    <t>3 - FROTA 5ª CIA IND</t>
  </si>
  <si>
    <t>8AC907643RE232181</t>
  </si>
  <si>
    <t>UR      PLACA SJC3E78</t>
  </si>
  <si>
    <t>93YF62000RJ838203</t>
  </si>
  <si>
    <t>UR5508 - PLACA QXW5G08</t>
  </si>
  <si>
    <t>1 - UR5527</t>
  </si>
  <si>
    <t>93YF62006RJ667375</t>
  </si>
  <si>
    <t>URQXW5527 AMBULANCIA - PORTE: GRANDE PORTE, MAXIMO 6000 MM; FINALIDADE: ATENDIMENTO PRE-HOSPITALAR; NUMERO DE MACAS: 01; MOTORIZACAO: MINIMA DE 2100 CC; COR: CONFORME LINHA DE PRODUCAO E DEFINIDA EM EDITAL; COMBUSTIVEL: DIESEL;</t>
  </si>
  <si>
    <t>MILITAR</t>
  </si>
  <si>
    <t>2 - 2º TEN RODRIGO ALVES TEIXEIRA</t>
  </si>
  <si>
    <t>(CONSUMO CONTROLADO)</t>
  </si>
  <si>
    <t>2 - SD ARTHUR LIMA VIEIRA</t>
  </si>
  <si>
    <t>SEI nº 99355692</t>
  </si>
  <si>
    <t>2 - SD CAIO GABRIEL CARVALHO DE ALMEIDA</t>
  </si>
  <si>
    <t>ANEMÔMETRO KESTREL</t>
  </si>
  <si>
    <t>APARELHO DE POCO - COMPLETO</t>
  </si>
  <si>
    <t>APARELHO TELEFONICO -</t>
  </si>
  <si>
    <t>MATERIAL DESCARREGADO - PROCESSO Nº 1400.01.0026473/2023-01</t>
  </si>
  <si>
    <t>ADM</t>
  </si>
  <si>
    <t>MATERIAL DESCARREGADO - PROCESSO Nº 1400.01.0026473/2023-04</t>
  </si>
  <si>
    <t>Guarda 5ª Cia - Sede</t>
  </si>
  <si>
    <t>MATERIAL DESCARREGADO - PROCESSO Nº 1400.01.0026473/2023-02</t>
  </si>
  <si>
    <t>ar condicionado LG mod. TSNC122YMA/12.000BTU</t>
  </si>
  <si>
    <t>3 - COMANDANTE</t>
  </si>
  <si>
    <t>ar condicionado marca springer midea 22 mil btu</t>
  </si>
  <si>
    <t>3 - SEPLAN</t>
  </si>
  <si>
    <t>AR CONDICIONADO - CAPACIDADE 12000 BTU</t>
  </si>
  <si>
    <t>AR CONDICIONADO - CAPACIDADE 48000 BTU</t>
  </si>
  <si>
    <t>ar condicionado LG 47.000 BTU's n.s 205AZWS9W209</t>
  </si>
  <si>
    <t>ar condicionado marca elgin 24 mil btu</t>
  </si>
  <si>
    <t>Ar condicionado Midea inverter 18.000 btus</t>
  </si>
  <si>
    <t>N.S 4523B13284826</t>
  </si>
  <si>
    <t>ALOJ. OFICIAL</t>
  </si>
  <si>
    <t>ALOJ. CB/SD</t>
  </si>
  <si>
    <t>ALOJ. FEM.</t>
  </si>
  <si>
    <t>modelo highwalt - análise PPV</t>
  </si>
  <si>
    <t>ARMÁRIO DE AÇO</t>
  </si>
  <si>
    <t>3 - SALA DE MERGULHO (SEDE)</t>
  </si>
  <si>
    <t>COM 04 PRATELEIRAS</t>
  </si>
  <si>
    <t>ARMÁRIO DE MADEIRA</t>
  </si>
  <si>
    <t>armário de escritório 1 porta, 2 gavetas (Azul )</t>
  </si>
  <si>
    <t>armário de escritório tipo expositor 25 compartimentos</t>
  </si>
  <si>
    <t>Armário para armazenamento de materiais particulares. n1 e 2</t>
  </si>
  <si>
    <t>armário de duas portas com expositor</t>
  </si>
  <si>
    <t xml:space="preserve">armário (velho) de duas portas </t>
  </si>
  <si>
    <t xml:space="preserve">escaninho de madeira 04 gavetas </t>
  </si>
  <si>
    <t>armário de madeira 02 portas</t>
  </si>
  <si>
    <t xml:space="preserve">armário de 02 portas com 01 prateleiras no meio </t>
  </si>
  <si>
    <t xml:space="preserve">armário de madeira, 04 gavetas </t>
  </si>
  <si>
    <t xml:space="preserve">armário de metal, 04 gavetas </t>
  </si>
  <si>
    <t>ARMARIO PARA ESCRITORIO -</t>
  </si>
  <si>
    <t>3 - ARMARIA</t>
  </si>
  <si>
    <t>REFEITÓRIO (RUIM)</t>
  </si>
  <si>
    <t>B4</t>
  </si>
  <si>
    <t xml:space="preserve">de metal, 04 gavetas </t>
  </si>
  <si>
    <t>transferido para Curvelo</t>
  </si>
  <si>
    <t>AUTOMOVEL DE SERVICO -</t>
  </si>
  <si>
    <t>9BD15822786075261</t>
  </si>
  <si>
    <t>APF - 0779 placa HMH2069</t>
  </si>
  <si>
    <t>BALACLAVA</t>
  </si>
  <si>
    <t>2 - SUBTEN WALISTON ALEX DOURADO SIQUEIRA</t>
  </si>
  <si>
    <t>GARAGEM P I</t>
  </si>
  <si>
    <t>GARAGEM PI</t>
  </si>
  <si>
    <t>BARRA PARA PULLEY -</t>
  </si>
  <si>
    <t>BARRACA (PERMANENTE) -</t>
  </si>
  <si>
    <t>Possui somente uma sacola com algumas varetas de camping.</t>
  </si>
  <si>
    <t>BATERIA</t>
  </si>
  <si>
    <t>N.S.25921232</t>
  </si>
  <si>
    <t>Bateria reserva para ht digital T03-00011-CAAA</t>
  </si>
  <si>
    <t>N.S.25956787</t>
  </si>
  <si>
    <t>N.S.25923263</t>
  </si>
  <si>
    <t>BATERIAS MAKITA XGT 40v (VENTILADOR SUPERVAC)</t>
  </si>
  <si>
    <t>BEBEDOURO</t>
  </si>
  <si>
    <t>mod. CJK40ABVNA</t>
  </si>
  <si>
    <t xml:space="preserve">bebedour marca: Consul </t>
  </si>
  <si>
    <t>n. série 050723</t>
  </si>
  <si>
    <t xml:space="preserve">bebedouro marca: AGRATTO </t>
  </si>
  <si>
    <t>3 - REFEITÓRIO (SEDE)</t>
  </si>
  <si>
    <t>ADM (OK)</t>
  </si>
  <si>
    <t>BEBEDOURO REFRIGERADO - TIPO: INDUSTRIAL; CAPACIDADE REFRIGERACAO: 50 LITROS; TRANSFERIR PARA CURVELO</t>
  </si>
  <si>
    <t>CRESSI</t>
  </si>
  <si>
    <t xml:space="preserve">BOLSA DE MERGULHO PARA LASTRO </t>
  </si>
  <si>
    <t>ABTS-3026</t>
  </si>
  <si>
    <t>MATERIAL DESCARREGADO - PROCESSO Nº 1400.01.0026473/2023-05</t>
  </si>
  <si>
    <t>MATERIAL DESCARREGADO - PROCESSO Nº 1400.01.0026473/2023-06</t>
  </si>
  <si>
    <t>MATERIAL DESCARREGADO - PROCESSO Nº 1400.01.0026473/2023-07</t>
  </si>
  <si>
    <t>MATERIAL DESCARREGADO - PROCESSO Nº 1400.01.0026473/2023-08</t>
  </si>
  <si>
    <t>MATERIAL DESCARREGADO - PROCESSO Nº 1400.01.0026473/2023-09</t>
  </si>
  <si>
    <t>MATERIAL DESCARREGADO - PROCESSO Nº 1400.01.0026473/2023-10</t>
  </si>
  <si>
    <t>MATERIAL DESCARREGADO - PROCESSO Nº 1400.01.0026473/2023-11</t>
  </si>
  <si>
    <t>MATERIAL DESCARREGADO - PROCESSO Nº 1400.01.0026473/2023-12</t>
  </si>
  <si>
    <t>MATERIAL DESCARREGADO - PROCESSO Nº 1400.01.0026473/2023-13</t>
  </si>
  <si>
    <t>NÃO CONSTA NA CARGA ATUAL</t>
  </si>
  <si>
    <t>transferido para a 6ª Cia Ind BM</t>
  </si>
  <si>
    <t>cadeira gaming marca: MYMAX MXO</t>
  </si>
  <si>
    <t xml:space="preserve">cadeira gaming marca: pichau </t>
  </si>
  <si>
    <t>CADEIRA -</t>
  </si>
  <si>
    <t xml:space="preserve">MATERIAL DESCARREGADO - PROCESSO Nº 1400.01.0026473/2023-03						</t>
  </si>
  <si>
    <t>CADEIRA DE ESCRITÓRIO</t>
  </si>
  <si>
    <t>cadeira de escritório com codinhas</t>
  </si>
  <si>
    <t>cadeira com rodinha</t>
  </si>
  <si>
    <t>3 - GRD</t>
  </si>
  <si>
    <t>CADEIRA GIRATORIA PARA DIGITADOR -</t>
  </si>
  <si>
    <t>3 - SUB COMANDANTE</t>
  </si>
  <si>
    <t xml:space="preserve">MATERIAL DESCARREGADO - PROCESSO Nº 1400.01.0026473/2023-01                                                </t>
  </si>
  <si>
    <t xml:space="preserve"> EM PROCESSO DE DESCARGA SEI-1400.01.0026473/2023-03. NA ÁREA DE DESCARTES </t>
  </si>
  <si>
    <t>refeitório SEDE</t>
  </si>
  <si>
    <t>SALA DO CARTÓRIO</t>
  </si>
  <si>
    <t>ANTESSALA DO CARTÓRIO (CEDMU)</t>
  </si>
  <si>
    <t>CADEIRA PARA ESCRITORIO -(II)</t>
  </si>
  <si>
    <t>CAIXA ACUSTICA - FINALIDADE SOM AMBIENTE</t>
  </si>
  <si>
    <t>Caixa de som Bluetooth Edifier M206bt n.s. 01541-21-09439</t>
  </si>
  <si>
    <t>CAIXA ACUSTICA - FINALIDADE SONORIZACAO</t>
  </si>
  <si>
    <t>Caixa amplificada Mondial mod. cm-400 cod. 0685-03</t>
  </si>
  <si>
    <t>CALÇO PARA VIATURA (FERRO)</t>
  </si>
  <si>
    <t xml:space="preserve">CAMA </t>
  </si>
  <si>
    <t>CAMA -</t>
  </si>
  <si>
    <t>CAMERA FILMADORA DIGITAL -</t>
  </si>
  <si>
    <t>CAMERA FOTOGRAFICA DIGITAL -</t>
  </si>
  <si>
    <t>CAMINHAO -</t>
  </si>
  <si>
    <t>93ZA01RF0P8955916</t>
  </si>
  <si>
    <t>ACIF5790 - PLACA SIA5H90 (IVECO TECTOR), NÃO CONSTA NA CARGA ATUAL 25/09/24</t>
  </si>
  <si>
    <t>9533G8242GR606389</t>
  </si>
  <si>
    <t>ABTS1418 - PLACA PUE8483, NÃO CONSTA NA CARGA ATUAL 25/09/24</t>
  </si>
  <si>
    <t>9BSP4X200P4028268</t>
  </si>
  <si>
    <t>ABTS5911 - PLACA  QXW5J11</t>
  </si>
  <si>
    <t>CAMINHAO (S) -</t>
  </si>
  <si>
    <t>93ZC53B0198408144</t>
  </si>
  <si>
    <t>ASM - 0866 PLACA , HMH4885</t>
  </si>
  <si>
    <t>9BWCN82T55R534396</t>
  </si>
  <si>
    <t>ABT - 0477, placa HMG5273 (BAIXADA)</t>
  </si>
  <si>
    <t>9BWPR82U36R608236</t>
  </si>
  <si>
    <t>ATB0722 - PLACA  HMH0893</t>
  </si>
  <si>
    <t>CAMINHONETE -</t>
  </si>
  <si>
    <t>8AJKA8CD0K3187307</t>
  </si>
  <si>
    <t>ACA2230 - PLACA QMV2230 (HILUX)</t>
  </si>
  <si>
    <t>EM PROCESSO DE DESCARGA SEI- 1400.01.0026473/2023-03</t>
  </si>
  <si>
    <t>B4 - KIT CSALT</t>
  </si>
  <si>
    <t xml:space="preserve">B4 </t>
  </si>
  <si>
    <t>ASL-1382</t>
  </si>
  <si>
    <t>UR-4336</t>
  </si>
  <si>
    <t>UR-5125</t>
  </si>
  <si>
    <t>2 - 1º SGT LUCIANO CARLOS BATISTA</t>
  </si>
  <si>
    <t>RESERVA AMARELO</t>
  </si>
  <si>
    <t>2 - 2º SGT ALESSANDRA DUARTE FONSECA KLEIN</t>
  </si>
  <si>
    <t>RESERVA VERMELHO</t>
  </si>
  <si>
    <t>2 - 2º SGT DOUGLAS DOS ANJOS CHAGAS</t>
  </si>
  <si>
    <t>2 - 2º SGT ADENILSON LUIZ MENDES</t>
  </si>
  <si>
    <t>2 - SD JEYZER FELIPE JOSE ALMEIDA FERREIRA</t>
  </si>
  <si>
    <t>2 - SD ARTHUR HENRIQUE ALVARENGA LAGE</t>
  </si>
  <si>
    <t>2 - SD ALISSON MATEUS DIONISIO MOURA</t>
  </si>
  <si>
    <t>2 - SD OLIVIER MATHEUS MENDES ALVES</t>
  </si>
  <si>
    <t>2 - SD LETÍCIA FERREIRA SILVEIRA</t>
  </si>
  <si>
    <t>2 - SD WESLEY DE SOUZA SOARES</t>
  </si>
  <si>
    <t>2 - CAP EVANDRO SAMUEL DA VEIGA PIMENTEL</t>
  </si>
  <si>
    <t>2 - SD RODRIGO BARBOSA VIÇOSO</t>
  </si>
  <si>
    <t>2 - SD BRUNO HENRIQUES DE CAMARGOS</t>
  </si>
  <si>
    <t>2 - 2º SGT DEMÉTRIO DE CARVALHO SILVA</t>
  </si>
  <si>
    <t>2 - CB TIAGO DE OLIVEIRA ALMEIDA</t>
  </si>
  <si>
    <t>2 - CAP JEFFERSON GERALDO DE MIRANDA</t>
  </si>
  <si>
    <t>2 - 1º TEN OTACILIO COUTINHO JÚNIOR</t>
  </si>
  <si>
    <t>2 - 1º TEN DOUGLAS WILLIAM ARAÚJO DA SILVA</t>
  </si>
  <si>
    <t>2 - 1º TEN MATEUS FONTANA GOMES NEVES</t>
  </si>
  <si>
    <t>2 - 2º TEN CARLOS EDUARDO COSTA DIAS</t>
  </si>
  <si>
    <t>2 - 2º TEN MARCO PAULO LAGES</t>
  </si>
  <si>
    <t>2 - SD LEONARDO VICTOR SILVA BRUM</t>
  </si>
  <si>
    <t>2 - ASP PAULO VITOR MARTINELLI CUNHA</t>
  </si>
  <si>
    <t>2 - SD ALONSO RODRIGUES DO CARMO NETO</t>
  </si>
  <si>
    <t>2 - MAJ LUIZ PAULO BARBOSA ARAÚJO</t>
  </si>
  <si>
    <t>patrimônio transferido para o 7ºBBM. dia 04/02/2026.</t>
  </si>
  <si>
    <t>2 - SD MÁRCIO PEDRO DE ANDRADE</t>
  </si>
  <si>
    <t>SEI nº 101563490</t>
  </si>
  <si>
    <t>MARCA PETZ AMARELO</t>
  </si>
  <si>
    <t>CAPACETE MULTIMISSAO - TIPO III</t>
  </si>
  <si>
    <t>2 - KENNEDY LUCAS XAVIER COLEN</t>
  </si>
  <si>
    <t>2 - 2º SGT GABRIEL CAMILO SANTOS</t>
  </si>
  <si>
    <t>2 - SD NUNES</t>
  </si>
  <si>
    <t>capacete SICOR, Amarelo, Sd Nunes, tranferido p/ 1º BBM</t>
  </si>
  <si>
    <t>2 - SD LUIS PAULO</t>
  </si>
  <si>
    <t xml:space="preserve">capacete amarelo. patr. tranferido para o 3º BBM </t>
  </si>
  <si>
    <t>2 - MAJ ULISSES SILVA DE OLIVEIRA</t>
  </si>
  <si>
    <t>TRANSFERIR PARA BT VARGINHA</t>
  </si>
  <si>
    <t>2 - CAP RAFAEL DE FIGUEIREDO BARBOSA</t>
  </si>
  <si>
    <t xml:space="preserve">capacete SICOR, </t>
  </si>
  <si>
    <t>capacete SICOR, vermelho, Sgt Batista</t>
  </si>
  <si>
    <t>capacete SICOR, BRANCO MSA</t>
  </si>
  <si>
    <t>capacete SICOR, vermelho, Sub ten Alex Dourado</t>
  </si>
  <si>
    <t>capacete SICOR</t>
  </si>
  <si>
    <t>SEI nº 101078254</t>
  </si>
  <si>
    <t>capacete SICOR, BRANCO</t>
  </si>
  <si>
    <t>2 - 3º SGT SABRINE LARISSA PRATES CARMO</t>
  </si>
  <si>
    <t>SEI nº 129284852</t>
  </si>
  <si>
    <t>capacete GALLET Vermelho</t>
  </si>
  <si>
    <t>capacete SICOR, VERMELHO, Condição Ruim</t>
  </si>
  <si>
    <t>capacete SICOR, vermelho, CAPACETE TRANSFERIDO PARA A ABM</t>
  </si>
  <si>
    <t>2 - 2º SGT ANTÔNIO FREDERICO RIBEIRO</t>
  </si>
  <si>
    <t>capacete SICOR, Amarelo, Cb Ribeiro</t>
  </si>
  <si>
    <t>2 - 2º SGT ANDRÉ ALVES DOS SANTOS</t>
  </si>
  <si>
    <t>2- SD PEDRO HENRIQUE PASSOS PEREIRA</t>
  </si>
  <si>
    <t>2 - CB GUILHERME HENRIQUE PAULINO ORDONHES</t>
  </si>
  <si>
    <t xml:space="preserve">capacete SICOR, vermelho, </t>
  </si>
  <si>
    <t>2 - CB BRUNO MENDES SILVA</t>
  </si>
  <si>
    <t>capacete SICOR, Amarelo, Sd Almeida</t>
  </si>
  <si>
    <t>2 - 1º SGT DAVIDSON GATTI</t>
  </si>
  <si>
    <t>capacete SICOR, vermelho, Sgt Gatti</t>
  </si>
  <si>
    <t>CB RICARDO, TRANSFERIDO P/ TRÊS MARIAS</t>
  </si>
  <si>
    <t>CB NUNES, TRANSFERIDO P/ MONTES CLAROS</t>
  </si>
  <si>
    <t>ARMAZENADO NA B4</t>
  </si>
  <si>
    <t>DESCARGA</t>
  </si>
  <si>
    <t>TEN SANTOS, TRANFERIDO PARA PIRAPORA</t>
  </si>
  <si>
    <t>SD HENRIQUE, TRANFERIDO PARA MONTES CLAROS</t>
  </si>
  <si>
    <t>CB BATISTA, TRANSFERIDO PARA PIRAPORA</t>
  </si>
  <si>
    <t>SGT EDMAR, TRANSFERIDO PARA TRÊS MARIAS</t>
  </si>
  <si>
    <t>SGT DOS ANJOS, TRANFERIDO PARA 7 LAGOAS</t>
  </si>
  <si>
    <t>2 - CB ALCEBÍADES RIBEIRO DE VARGAS</t>
  </si>
  <si>
    <t>Capacete SICOR Amarelo, condição BOM, CB vargas</t>
  </si>
  <si>
    <t>SD BERNARD, TRANFERIDO PARA MONTES CLAROS</t>
  </si>
  <si>
    <t>2 - CB THIAGO HENRIQUE DUARTE</t>
  </si>
  <si>
    <t>capacete SICOR, amarelo, cond. Razoável, Cb Thiago</t>
  </si>
  <si>
    <t>2 - CB JOSÉ GERALDO SOARES DA SILVA</t>
  </si>
  <si>
    <t>capacete SICOR, amarelo, cond. Razoável, Cb GERALDO</t>
  </si>
  <si>
    <t>2 - 2º SGT ALEX SANDRO MARQUES DE LIMA</t>
  </si>
  <si>
    <t>capacete SICOR, vermelho, . Sgt ALEX</t>
  </si>
  <si>
    <t>2 - 2º SGT ELMIRO LAUDELINO PACHECO JÚNIOR</t>
  </si>
  <si>
    <t>capacete SICOR, vermelho, . Sgt PACHECO, transferido para Pirapora</t>
  </si>
  <si>
    <t>2 - 2º SGT DIEGO RAPHAEL DE MOURA</t>
  </si>
  <si>
    <t>capacete SICOR, vermelho, . Sgt MOURA</t>
  </si>
  <si>
    <t>2 - 2º SGT ROMILDO MARTINS DE VASCONCELOS JÚNIOR</t>
  </si>
  <si>
    <t>capacete SICOR, vermelho, . Sgt VASCONCELOS</t>
  </si>
  <si>
    <t>2 - 2º SGT CLEITON ANTÔNIO RODRIGUES</t>
  </si>
  <si>
    <t>capacete SICOR, vermelho, . Sgt RODRIGUES</t>
  </si>
  <si>
    <t>2 - 3º SGT RONALDO DE MEIRA SANTIAGO</t>
  </si>
  <si>
    <t>capacete SICOR, vermelho, cond. ÒTIMO. Sgt Santiago</t>
  </si>
  <si>
    <t>capacete SICOR, VERMELHO, Condição BOM</t>
  </si>
  <si>
    <t>2 - SD 2º CL GABRIEL DA SILVA FREITAS</t>
  </si>
  <si>
    <t>2 - 2º SGT AGNALDO CELESTINO DO COUTO</t>
  </si>
  <si>
    <t>2 - 3º SGT RICARDO ALEXANDRE BARBOSA TEIXEIRA</t>
  </si>
  <si>
    <t>2 - 3º SGT JORGE ANDRÉ RUAS DE OLIVEIRA</t>
  </si>
  <si>
    <t>2 - CB SHEILA CRISTINA DA SILVA RUAS</t>
  </si>
  <si>
    <t>2 - CB ALEX COSTA MACHADO</t>
  </si>
  <si>
    <t>2 - CB FÁBIO DA CUNHA LARA</t>
  </si>
  <si>
    <t>2 - CB CLEITON SOUZA ROCHA</t>
  </si>
  <si>
    <t>2 - CB HUDSON HENRIQUE RODRIGUES PEREIRA</t>
  </si>
  <si>
    <t>2 - CB DOUGLAS PETERSON TORTIERI COSTA</t>
  </si>
  <si>
    <t>2 - CB LEONARDO OLIVEIRA DE DEUS</t>
  </si>
  <si>
    <t>2 - CB RAFAEL PEREIRA DE SOUZA</t>
  </si>
  <si>
    <t>2 - CB ÉDER CHRISTIAN SOUZA</t>
  </si>
  <si>
    <t>2 - CB PAULO HENRIQUE DA ROCHA RODRIGUES</t>
  </si>
  <si>
    <t>2 - CB ROMANO PIRES LIMA FILHO</t>
  </si>
  <si>
    <t>2 - SD HERICK LUCAS CARDOSO SALGUEIRO</t>
  </si>
  <si>
    <t>2 - SD RENILSON ADRIANO CAMPOS FILHO</t>
  </si>
  <si>
    <t>TRANSFERIR PARA A ABM</t>
  </si>
  <si>
    <t>2 - 1º SGT WANDERSON XAVIER ALVES</t>
  </si>
  <si>
    <t>SEI nº 119489254</t>
  </si>
  <si>
    <t>capacete SICOR, VERMELHO ACAUTELDO PELO 1 SGT WANDERSON XAVIER ALVES</t>
  </si>
  <si>
    <t>capacete SICOR, VERMELHO (CAPACETE PAGO PARA CURVELO)</t>
  </si>
  <si>
    <t>2 - 1º TEN ALESSANDRO DE SENA COSTA</t>
  </si>
  <si>
    <t>TRANSFERIR PATR. PARA O 7º BBM</t>
  </si>
  <si>
    <t>2 - SD DIEGO LUCAS DA SILVA MENDES</t>
  </si>
  <si>
    <t xml:space="preserve">TRANFERIR PARA </t>
  </si>
  <si>
    <t>2 - GERSON GONÇALVES COSTA</t>
  </si>
  <si>
    <t>Capacete Amarelo SICOR, cond. BOM, Sd Gerson, tranferido p/ 1º BBM</t>
  </si>
  <si>
    <t>Capacete Hércules, AMARELO</t>
  </si>
  <si>
    <t>1400.01.0071712/2022-74</t>
  </si>
  <si>
    <t>2 - SD PEDRO BRANDÃO DE PAULA</t>
  </si>
  <si>
    <t xml:space="preserve">Capacete Amarelo SICOR, cond. BOM, Sd Brandão, transferido p/ ABM </t>
  </si>
  <si>
    <t>2 - CAD LEONARDO BARROS SANTINI</t>
  </si>
  <si>
    <t>TRANSFERIR PARA ABM</t>
  </si>
  <si>
    <t>2 - MARIA ALICE DE ALMEIDA CRUZ FÉLIX</t>
  </si>
  <si>
    <t>Capacete Amarelo SICOR, Sd Maria Alice, Ttransferido p/ 3º BBM</t>
  </si>
  <si>
    <t>2 - SD TÚLIO FONSECA PAES DE CASTRO</t>
  </si>
  <si>
    <t>TRANSFERIR PARA O 3º BBM</t>
  </si>
  <si>
    <t>2 - 1º TEN PEDRO HENRIQUE TAVARES VIEIRA DINIZ</t>
  </si>
  <si>
    <t>pago ao Tenente Alves - Gallet Helmet F1XF</t>
  </si>
  <si>
    <t>Gallet Helmet F1XF  (Amarelo),pago à Sd Letícia</t>
  </si>
  <si>
    <t>03512053</t>
  </si>
  <si>
    <t>Gallet Helmet F1XF  (Branco),pago ao Ten Samuel</t>
  </si>
  <si>
    <t>03512065</t>
  </si>
  <si>
    <t>Gallet Helmet F1XF  (Branco),pago ao Ten Araújo</t>
  </si>
  <si>
    <t>2 - 1º TEN DANIEL SOARES MACEDO</t>
  </si>
  <si>
    <t>Gallet Helmet F1XF  (Branco),pago ao Ten Daniel</t>
  </si>
  <si>
    <t>2 - SD BERNARDO LACERDA ASSUNÇÃO</t>
  </si>
  <si>
    <t>1660667</t>
  </si>
  <si>
    <t>2 - PATRÍCIO SANTOS CHAMONE</t>
  </si>
  <si>
    <t>NÃO CONSTA NA CARGA ATUAL 25/09/24</t>
  </si>
  <si>
    <t>2 - SD LUCAS CARVALHO DE ALMEIDA</t>
  </si>
  <si>
    <t>2 - SUBTEN DAWISON MAIA FERNANDES</t>
  </si>
  <si>
    <t>2 - 3º SGT WEISMAN RODRIGUES FERREIRA</t>
  </si>
  <si>
    <t>2 - 3º SGT GEOVANI RODRIGUES SIQUEIRA SOARES</t>
  </si>
  <si>
    <t>2 - 2º SGT LUIS FERNANDO JOSÉ FERREIRA</t>
  </si>
  <si>
    <t>2 - 3º SGT REGINALDO AVELAR BARBOSA</t>
  </si>
  <si>
    <t>2 - SD THIAGO AZEVEDO DE FREITAS COSTA</t>
  </si>
  <si>
    <t>2 - 2º SGT EDNEI ALVES DA SILVA</t>
  </si>
  <si>
    <t>CAPACETE DE CIURB</t>
  </si>
  <si>
    <t>2 - TEN CEL HEITOR AGUIAR MENDONÇA</t>
  </si>
  <si>
    <t xml:space="preserve">PATR. Transferido para o BEMAD. </t>
  </si>
  <si>
    <t>2 - SD JOSÉ OLYMPIO SOUZA CARDOSO DAMASCENO</t>
  </si>
  <si>
    <t>CAPACETE CIURB SD JOSÉ OLYMPIO SOUZA CARDOSO DAMASCENO</t>
  </si>
  <si>
    <t>2 - SD ALEX JUNIOR BASTOS MARTINS</t>
  </si>
  <si>
    <t>Pedir para transferir para a 5ª CIa Ind, encontra-se na 6ª Cia Ind</t>
  </si>
  <si>
    <t>2 - 3º SGT EVERSON CORRÊA</t>
  </si>
  <si>
    <t>2 - 3º SGT ADILSON BARBOSA VIEIRA JUNIOR</t>
  </si>
  <si>
    <t>2 - 3º SGT JONAS FERREIRA ROCHA</t>
  </si>
  <si>
    <t>2 - 3º SGT MOISES DA LUZ BALBINO</t>
  </si>
  <si>
    <t>2 - 3º SGT RICARDO LEITE NERES</t>
  </si>
  <si>
    <t>2 - 3º SGT HUGO NUNES ALEXANDRE</t>
  </si>
  <si>
    <t>2 - 3º SGT ANTONIO CARLOS DE ABREU FILHO</t>
  </si>
  <si>
    <t>2 - 3º SGT HERNANE SILVA FERREIRA</t>
  </si>
  <si>
    <t>2 - 3º SGT RENAN MENDES ROCHA</t>
  </si>
  <si>
    <t>2 - 3º SGT SOLIMAR SILVA NEVES PAIVA DE ARAUJO</t>
  </si>
  <si>
    <t>CARREGADOR LANTERNA</t>
  </si>
  <si>
    <t>CARREGADOR MAKITA DC40RB (VENTILADOR SUPERVAC)</t>
  </si>
  <si>
    <t>NYLON VERDE</t>
  </si>
  <si>
    <t>COM FITA</t>
  </si>
  <si>
    <t>CELULAR</t>
  </si>
  <si>
    <t xml:space="preserve">CELULAR </t>
  </si>
  <si>
    <t xml:space="preserve"> Celular Moto G35 5G 256 GB</t>
  </si>
  <si>
    <t>SEI 1400,01,0028636/2026-84  TEL 31 992001567</t>
  </si>
  <si>
    <t>Celular Moto G35 5G 256 GB</t>
  </si>
  <si>
    <t>SEI 1400,01,0028636/2026-84  TEL 31 984331985</t>
  </si>
  <si>
    <t>ENCONTRA-SE ATRÁS DO PALCO PARA DESCARGA</t>
  </si>
  <si>
    <t>CILINDRO PARA OXIGENIO USO MEDICO CIRURGICO -</t>
  </si>
  <si>
    <t>CILINDRO RESERVA P.A MSA</t>
  </si>
  <si>
    <t>SOMENTE O CINTO E A FIVELA</t>
  </si>
  <si>
    <t>CINTO PARAQUEDISTA</t>
  </si>
  <si>
    <t>MARCA TASK, COM MOSQUETÃO</t>
  </si>
  <si>
    <t>CINTO PROTETOR DE AIRBAG</t>
  </si>
  <si>
    <t>RECOLHIDO</t>
  </si>
  <si>
    <t>(CONSUMO CONTROLADO) MARCA TASK</t>
  </si>
  <si>
    <t>COFRE</t>
  </si>
  <si>
    <t>TIPO ASA</t>
  </si>
  <si>
    <t>COMPRESSA TIPO CAMPO OPERATORIO -</t>
  </si>
  <si>
    <t>COMPRESSOR DE AR -</t>
  </si>
  <si>
    <t>compressor NH16, TRANSFERIDO PARA O CSM</t>
  </si>
  <si>
    <t>5ª Cia Ind / 2º Pel Curvelo (Positivo Master 535) - MATERIAL DESCARREGADO - PROCESSO Nº 1400.01.0026473/2023-01</t>
  </si>
  <si>
    <t>5ª Cia Ind / 2º Pel Curvelo  (Positivo Master 535) - MATERIAL DESCARREGADO - PROCESSO Nº 1400.01.0026473/2023-01</t>
  </si>
  <si>
    <t>5ª Cia Ind / 2º Pel Curvelo - Cia PV  (Positivo Master 535) -  PPV</t>
  </si>
  <si>
    <t>5ª Cia Ind / 2º Pel Curvelo - Cia PV  (Positivo Master 535) - PPV</t>
  </si>
  <si>
    <t>3 - NTS</t>
  </si>
  <si>
    <t>DATEN - Ten Mateus</t>
  </si>
  <si>
    <t>DATEN - TRANSFERIR PARA O PEL DE CURVELO</t>
  </si>
  <si>
    <t>DATEN TRANSFERIR PARA O PEL DE CURVELO</t>
  </si>
  <si>
    <t xml:space="preserve">Apoio Guarda, ITAUTEC Mod. Infoway st4265 </t>
  </si>
  <si>
    <t>N.S.BRG030FB3K</t>
  </si>
  <si>
    <t>4A348F89A</t>
  </si>
  <si>
    <t>ITAUTEC SM 3322</t>
  </si>
  <si>
    <t>3 - ABM</t>
  </si>
  <si>
    <t>HP 6005PRO</t>
  </si>
  <si>
    <t>TRANSFERIDO PARA ABM SA DE INFORMÁTICA</t>
  </si>
  <si>
    <t>POSITIVO D480</t>
  </si>
  <si>
    <t>GUARDADO - transferido para NTS</t>
  </si>
  <si>
    <t>NS 1AF73JL7S</t>
  </si>
  <si>
    <t>POSITIVO MASTER D480</t>
  </si>
  <si>
    <t>antessala para audição</t>
  </si>
  <si>
    <t>transferido para NTS</t>
  </si>
  <si>
    <t>DESMONTADO - transferido para NTS</t>
  </si>
  <si>
    <t>transferido para ABM</t>
  </si>
  <si>
    <t>antessala - transferido para NTS</t>
  </si>
  <si>
    <t>5A265PB7C</t>
  </si>
  <si>
    <t>Transferido para a carga de Curvelo</t>
  </si>
  <si>
    <t>N.S.5A265P94R</t>
  </si>
  <si>
    <t>Positivo Master N 4350, Sgt Alessandra</t>
  </si>
  <si>
    <t>N.S.5A265PV6V</t>
  </si>
  <si>
    <t>Positivo Master N 4350,  Vistoriador</t>
  </si>
  <si>
    <t>9JZRMM3</t>
  </si>
  <si>
    <t>DELL OPTIPLEX 3080 - Sgt Avelar</t>
  </si>
  <si>
    <t>DHZRMM3</t>
  </si>
  <si>
    <t>DELL OPTIPLEX 3080 - SOF DE CURVELO</t>
  </si>
  <si>
    <t>6JCRMM3</t>
  </si>
  <si>
    <t>DELL OPTIPLEX 3080 - ten Otacílio</t>
  </si>
  <si>
    <t>8FZRMM3</t>
  </si>
  <si>
    <t>DELL OPTIPLEX 3080 - COM CB THIAGO DE CURVELO</t>
  </si>
  <si>
    <t>TE08L72E</t>
  </si>
  <si>
    <t>Lenovo M70Q tyme thinkcentre - (SGT GATTI) - FAB. 2022</t>
  </si>
  <si>
    <t>multilaser mini pc ut 161 ultra - Sgt Dos Anjos</t>
  </si>
  <si>
    <t>multilaser mini pc ut 161 ultra -Ten Cel Arthur</t>
  </si>
  <si>
    <t>multilaser mini pc ut 161 ultra - Sgt Batista</t>
  </si>
  <si>
    <t>Multilaser Mini PC UT 161 Ultra - Tortieti</t>
  </si>
  <si>
    <t>multilaser mini pc ut 161 ultra - Sgt Carvalho</t>
  </si>
  <si>
    <t>multilaser mini pc ut 161 ultra - Maj Figueiredo</t>
  </si>
  <si>
    <t>multilaser mini pc ut 161 ultra - Ten Tavarez</t>
  </si>
  <si>
    <t>00355-61310-59375-AAOEM</t>
  </si>
  <si>
    <t>Multilaser mini pc ut 161 ultra. 2º SGT  CAMILO</t>
  </si>
  <si>
    <t>00330-50000-00000-AAOEM, HP COMPAQ 8307203-9,</t>
  </si>
  <si>
    <t>N.S. 01044463010002</t>
  </si>
  <si>
    <t>DATEN Modelo: DC5A-U-R5 PRO - Sd 2ª Cl Freitas</t>
  </si>
  <si>
    <t>N.S. 01044463010047</t>
  </si>
  <si>
    <t>DATEN Modelo: DC5A-U-R5 PRO, PAGO AO TENENTE EDUARDO GRD</t>
  </si>
  <si>
    <t>N.S. 01044463010043</t>
  </si>
  <si>
    <t xml:space="preserve">DATEN Modelo: DC5A-U-R5 PRO </t>
  </si>
  <si>
    <t xml:space="preserve"> CILINDRO, TESOURA, EXPANSOR E CORTA PEDAL. MOTOR 4 TEMPOS CORRENTES: 01 JOGO DE CORRENTES; MANGUEIRA/ACESSORIOS: DEVERA SER UNICA COAXIAL;</t>
  </si>
  <si>
    <t>(COMBINADA) - FERRAMENTA PARA DESENCARCERAMENTO - C/ BATERIA</t>
  </si>
  <si>
    <t>MATERIAL VINDO 2ºBBM</t>
  </si>
  <si>
    <t>CONJUNTO DE ESCORAS PARA SALVAMENTO -</t>
  </si>
  <si>
    <t>CONJUNTO DE SOM -</t>
  </si>
  <si>
    <t>CONJUNTO DE TRALHERES CANADÁ (CONTENDO 24 UN. CADA)</t>
  </si>
  <si>
    <t>CORDA SEMI ESTATICA 60M</t>
  </si>
  <si>
    <t>CROSS OVER (APARELHO DE MUSCULACAO)-</t>
  </si>
  <si>
    <t>LARANJA</t>
  </si>
  <si>
    <t>transferido para o CSM</t>
  </si>
  <si>
    <t>APV-1347</t>
  </si>
  <si>
    <t>ENCADERNADORA -</t>
  </si>
  <si>
    <t>X3PSC?4.5.QD18UEBSEM</t>
  </si>
  <si>
    <t>MATERIAL TRANSFERIDO PARA CURVELO</t>
  </si>
  <si>
    <t>N.S.115S1921027659</t>
  </si>
  <si>
    <t>CONJUNTO COMPLETO (BACKPLAT, CILINDRO DE FIBRA, MASCARA, DEMANDA RESERVA.
MATERIAL DESCARREGADO - PROCESSO Nº 1400.01.0026473/2023-01</t>
  </si>
  <si>
    <t>EQUIPAMENTO DE SOLDA E CORTE OXI-ACETILENO -</t>
  </si>
  <si>
    <t>XT-XWHM-Y-BR 4 GASES - transferido para a 6ª Cia Ind BM</t>
  </si>
  <si>
    <t>Transferido para Curvelo</t>
  </si>
  <si>
    <t>ESCADAS DE INCENDIO, PORTATEIS -</t>
  </si>
  <si>
    <t>EM CIMA DO TELHADO DA CIA</t>
  </si>
  <si>
    <t xml:space="preserve">N.S- 0352-23 </t>
  </si>
  <si>
    <t>ESMERILHADEIRA -</t>
  </si>
  <si>
    <t>ESTABILIZADOR ELETRONICO -</t>
  </si>
  <si>
    <t>mesa de escritório em L (Azul )</t>
  </si>
  <si>
    <t xml:space="preserve">mesas em L (Cor de madeira) c/gavetas </t>
  </si>
  <si>
    <t>ESTACAO REPETIDORA -</t>
  </si>
  <si>
    <t>Encontrava-se na Serra St Helena. Foi recolhido pela NTS</t>
  </si>
  <si>
    <t xml:space="preserve">ESTANTE DE AÇO - </t>
  </si>
  <si>
    <t>nº de patrimônio não existe no SIAD</t>
  </si>
  <si>
    <t>EXTINTOR DE INCENDIO -</t>
  </si>
  <si>
    <t>RUIM</t>
  </si>
  <si>
    <t>TIPO: CO2; CAPACIDADE CARGA: 8 KG</t>
  </si>
  <si>
    <t>PO QUIMICO; CAPACIDADE CARGA: 12 KG</t>
  </si>
  <si>
    <t xml:space="preserve">Extintor A,B,C 6kg </t>
  </si>
  <si>
    <t>PRÓXIMO AO REFEITÓRIO 5ª CIA IND (SEDE)</t>
  </si>
  <si>
    <t>PRÓXIMO AO ALMOX. APH</t>
  </si>
  <si>
    <t>GARAGEM 5ª CIA IND (SEDE)</t>
  </si>
  <si>
    <t>Próx. à SOU</t>
  </si>
  <si>
    <t>pó químico</t>
  </si>
  <si>
    <t>PRÓXIMO à PPV</t>
  </si>
  <si>
    <t>PRÓXIMO AO BANHEIRO MASCULINO (SEDE)</t>
  </si>
  <si>
    <t>Extintor de Pó BC 06 kg</t>
  </si>
  <si>
    <t>Garagem da PI - transferido para o 1º COB</t>
  </si>
  <si>
    <t>Pront. Incêndio próx. à sala de materiais provisórios -Transferido p/ 1º COB</t>
  </si>
  <si>
    <t>Sala de mergulho</t>
  </si>
  <si>
    <t>Tipo B:C 6 Kg</t>
  </si>
  <si>
    <t>prox. a sala do comandante</t>
  </si>
  <si>
    <t>prox. a armaria</t>
  </si>
  <si>
    <t>Guarda (sede)</t>
  </si>
  <si>
    <t>Banheiro Masculino, próx. ao compo de futebol</t>
  </si>
  <si>
    <t>Tipo B:C 12 Kg</t>
  </si>
  <si>
    <t>Tipo A:B:C 12 Kg</t>
  </si>
  <si>
    <t>PROBLUE</t>
  </si>
  <si>
    <t>FAQUEIRO -</t>
  </si>
  <si>
    <t>FAX -</t>
  </si>
  <si>
    <t>1407715HH</t>
  </si>
  <si>
    <t>(CORTADOR) - HOLMATRO MODELO:PCU50 - PENTHEON -  C/ BATERIA,</t>
  </si>
  <si>
    <t>1415971HH</t>
  </si>
  <si>
    <t xml:space="preserve">(EXTENSOR) - HOLMATRO MODELO:PTR50 - PENTHEON, </t>
  </si>
  <si>
    <t>FERRAMENTA PRT (7 PONTEIRAS)</t>
  </si>
  <si>
    <t>Percussive rescue tool com 7 ponteiras</t>
  </si>
  <si>
    <t>FERRO PARA PASSAR ROUPA, DOMESTICO -</t>
  </si>
  <si>
    <t>FICHARIO PARA ESCRITORIO -</t>
  </si>
  <si>
    <t>FILTRO DE LINHA 5 TOMADAS</t>
  </si>
  <si>
    <t>FOGAO -</t>
  </si>
  <si>
    <t>FONE DE OUVIDO</t>
  </si>
  <si>
    <t>COM FIO MULTI HF700</t>
  </si>
  <si>
    <t>FONE PARA EQUIPAMENTO TELEFONICO -</t>
  </si>
  <si>
    <t>FRAGMENTADORA -</t>
  </si>
  <si>
    <t>FRIGOBAR -</t>
  </si>
  <si>
    <t>FRITADEIRA SEM OLEO (AIR FRYER) -</t>
  </si>
  <si>
    <t xml:space="preserve"> EM PROCESSO DE DESCARGA SEI-1400.01.0026473/2023-03
Área de descarte</t>
  </si>
  <si>
    <t>GPS NAO AUTOMOTIVO -</t>
  </si>
  <si>
    <t xml:space="preserve">IMPRESSORA  </t>
  </si>
  <si>
    <t xml:space="preserve">impressora EPSON L575 </t>
  </si>
  <si>
    <t>(SELB-91YJ)</t>
  </si>
  <si>
    <t>impressora RICOH SP 3710DN (SELB-91YJ)</t>
  </si>
  <si>
    <t>IMPRESSORA -</t>
  </si>
  <si>
    <t xml:space="preserve">MATERIAL DESCARREGADO - PROCESSO Nº 1400.01.0026473/2023-01                                             </t>
  </si>
  <si>
    <t>Impressora Brother 5250DN</t>
  </si>
  <si>
    <t>PPV</t>
  </si>
  <si>
    <t>impressora RICOH SP3710DN (SELB-92YJ)</t>
  </si>
  <si>
    <t>Transferido para Curvelo.</t>
  </si>
  <si>
    <t>KIT GUARANI- 400L</t>
  </si>
  <si>
    <t>CONJUNTO, ACOPLAVEL A VEICULO, COMBATE INCENDIO - MOTOR: 4 TEMPOS, A GASOLINA; MOTO BOMBA: 39 L/MIN. A 40 BAR DE PRESSAO; TANQUE: RIGIDO DE 400 LITROS; MANGUEIRA: 60 METROS 1/2 300 PSI RESISTENTE AO FOGO;</t>
  </si>
  <si>
    <t>LANTERNA DE BOMBEIRO -</t>
  </si>
  <si>
    <t>N.S BR012000</t>
  </si>
  <si>
    <t>Lanterna Survivor streamlight  c/ base carregador e carr. veicular</t>
  </si>
  <si>
    <t>N.S. BR012346</t>
  </si>
  <si>
    <t>N.S. BR012349</t>
  </si>
  <si>
    <t>3 - SAO</t>
  </si>
  <si>
    <t>Lanterna Survivor streamlight  c/ base carregador e carr. veicular *PAGO AO ASP MARTINELI</t>
  </si>
  <si>
    <t>FUN DIVE</t>
  </si>
  <si>
    <t>LAVADORA DE PRESSAO -</t>
  </si>
  <si>
    <t>LIQUIDIFICADOR -</t>
  </si>
  <si>
    <t>LIXEIRA-CINZEIRO -</t>
  </si>
  <si>
    <t>LONGARINA -</t>
  </si>
  <si>
    <t>LUVA DE INCÊNDIO</t>
  </si>
  <si>
    <t>2 - SD ERIC ROSCELI ALVES RODRIGUES</t>
  </si>
  <si>
    <t>131094593</t>
  </si>
  <si>
    <t>Tamanho 9-L</t>
  </si>
  <si>
    <t>116105506</t>
  </si>
  <si>
    <t>116106707</t>
  </si>
  <si>
    <t>LUXIMETRO -</t>
  </si>
  <si>
    <t>LUZ ROTATIVA DE EMERGÊNCIA VEICULAR</t>
  </si>
  <si>
    <t>MACA -</t>
  </si>
  <si>
    <t>MACHADO PARATECH BIEL TOOL</t>
  </si>
  <si>
    <t>MANEQUIM - SIMULADOR AVANCADO - IDENTIFICACAO BEBE</t>
  </si>
  <si>
    <t>LAERDAL, LITTLE BABY QCPR</t>
  </si>
  <si>
    <t>MANGO PARA LIMA</t>
  </si>
  <si>
    <t>3 - 1ª ALA OP.</t>
  </si>
  <si>
    <t>MANOMETRO -</t>
  </si>
  <si>
    <t xml:space="preserve">MANUAL KIT GUARANI </t>
  </si>
  <si>
    <t>MAQUINA DE LAVAR ROUPA, TIPO DOMESTICA -</t>
  </si>
  <si>
    <t>MASCARA DE MERGULHO FULL FACE</t>
  </si>
  <si>
    <t>MARCA OTS</t>
  </si>
  <si>
    <t>SEMI FACIAL</t>
  </si>
  <si>
    <t>MESA DE CENTRO -(I)</t>
  </si>
  <si>
    <t>MESA DE REUNIÃO</t>
  </si>
  <si>
    <t>MESA DE ESCRITORIO (III) -</t>
  </si>
  <si>
    <t xml:space="preserve">encontra-se no hall principal, prox. ao refeitório </t>
  </si>
  <si>
    <t>MESA DE REUNIAO USO ESCOLAR -</t>
  </si>
  <si>
    <t>ANTESSALA</t>
  </si>
  <si>
    <t>MESA MISTURADORA DE SOM -</t>
  </si>
  <si>
    <t xml:space="preserve">antessala- </t>
  </si>
  <si>
    <t>3 - ALOJAMENTO FEM (SEDE)</t>
  </si>
  <si>
    <t xml:space="preserve">mesa branca com 03 gavetas </t>
  </si>
  <si>
    <t xml:space="preserve">mesa de escritório reta </t>
  </si>
  <si>
    <t>MESA MDF RETA COR DE MADEIRA</t>
  </si>
  <si>
    <t xml:space="preserve">antessala </t>
  </si>
  <si>
    <t>MESA PARA IMPRESSORA - (II)</t>
  </si>
  <si>
    <t>EM PROCESSO DE DESCARGA SEI- 1400.01.0026473/2023-03, encontra-se no alojamento. Cb/Sd</t>
  </si>
  <si>
    <t>MESA PARA MICROCOMPUTADOR -(III)</t>
  </si>
  <si>
    <t>MESA PARA REUNIAO -</t>
  </si>
  <si>
    <t>MICROFONE -</t>
  </si>
  <si>
    <t>krs pro modelo:KM-58</t>
  </si>
  <si>
    <t>MOTOBOMBA -</t>
  </si>
  <si>
    <t>MOTOPODA</t>
  </si>
  <si>
    <t>N.S. 537860401 STIHL HT 135</t>
  </si>
  <si>
    <t>3 - 2ª ALA OP.</t>
  </si>
  <si>
    <t>N.S. 20173205149</t>
  </si>
  <si>
    <t>MOTOSSERRA - POTENCIA MOTOR MINIMA DE 4,2KW; ROTACAO MINIMA DE 12000; TANQUE DE COMBUSTIVEL MINIMA DE 800ML; TANQUE DE OLEO MINIMA DE 360ML; SABRE DE 16" A 28"</t>
  </si>
  <si>
    <t>STIHL, MS630 POTENCIA MOTOR A EXPLOSAO, DE 3,6 HP, COM 1500 RPM; ROTACAO ACIONAMENTO POR CORRENTE DENTADA E CORTE DE 85CC; TANQUE DE COMBUSTIVEL DE COMBUSTIVEL E DE LUBRIFICACAO; TANQUE DE OLEO IGNICAO ELETRONICA</t>
  </si>
  <si>
    <t>3 - 4ª ALA OP.</t>
  </si>
  <si>
    <t>HUSQVARMA, ALTA CILINDRADA - POTENCIA MOTOR MINIMA DE 4,2KW; ROTACAO MINIMA DE 12000; TANQUE DE COMBUSTIVEL MINIMA DE 800ML; TANQUE DE OLEO MINIMA DE 360ML; SABRE DE 16" A 28"</t>
  </si>
  <si>
    <t>3 - 3ª ALA OP.</t>
  </si>
  <si>
    <t>N.S. 8467220</t>
  </si>
  <si>
    <t xml:space="preserve">HUSQVARMA, T435 - POTENCIA MOTOR MINIMA DE 1,5KW; ROTACAO MINIMA DE 12000 RPM; TANQUE DE COMBUSTIVEL MINIMA DE 250ML; TANQUE DE OLEO MINIMA DE 145ML; SABRE 16 POLEGADAS </t>
  </si>
  <si>
    <t>MUNICAO PARA ARMAS (TREINAMENTO) -</t>
  </si>
  <si>
    <t>NADADEIRA PARA MERGULHO E SALVAMENTO ABERTA - (PAR)</t>
  </si>
  <si>
    <t>NADADEIRA FECHADA</t>
  </si>
  <si>
    <t>3 - ADM Cia OP.</t>
  </si>
  <si>
    <t>N.S.UL154M16W11832</t>
  </si>
  <si>
    <t>utilizando para curso Bombeiro nas Escolas. MULTILASER UL154 I5 16GB - ULTRA</t>
  </si>
  <si>
    <t>SALA DO COMANDANTE</t>
  </si>
  <si>
    <t>Positivo Master N 4350</t>
  </si>
  <si>
    <t>AVELL - A55 MOB 1650 NOTEBOOK DO RPA</t>
  </si>
  <si>
    <t>Positivo, Master N 4350 - Major Figueiredo</t>
  </si>
  <si>
    <t>N.S 4AD63Q97L</t>
  </si>
  <si>
    <t xml:space="preserve">Disponível para o ten Araújo </t>
  </si>
  <si>
    <t>Positivo, Master N 4350 -</t>
  </si>
  <si>
    <t>N.S PE0AT323</t>
  </si>
  <si>
    <t>notebook Ideapad 3 15ITL6 N.S PE0AT323 - Le Novo</t>
  </si>
  <si>
    <t>notebook Ideapad 3 15ITL6 LAP TOP-1IJUU0QK - Le Novo</t>
  </si>
  <si>
    <t>PINGA FOGO</t>
  </si>
  <si>
    <t>POLTRONA -</t>
  </si>
  <si>
    <t>NÃO LOCALIZADO</t>
  </si>
  <si>
    <t>POLTRONA PARA ESCRITORIO -</t>
  </si>
  <si>
    <t xml:space="preserve">POLTRONA PARA ESCRITORIO - </t>
  </si>
  <si>
    <t>POLTRONA PARA ESCRITORIO -(II)</t>
  </si>
  <si>
    <t>PRANCHA LONGA COM TIRANTES E BAIXAL</t>
  </si>
  <si>
    <t>PROCESSADOR DE ALIMENTOS -</t>
  </si>
  <si>
    <t>PROFUNDIMETRO -</t>
  </si>
  <si>
    <t>QUADRICÍCLO</t>
  </si>
  <si>
    <t>Chaci.LL8AETHW7N0A00106</t>
  </si>
  <si>
    <t>Chaci - LL8AETHW7N0A00106</t>
  </si>
  <si>
    <t>QUADRO BRANCO -</t>
  </si>
  <si>
    <t>QUADRO DE AVISO -</t>
  </si>
  <si>
    <t>CORREDOR DA COZINHA (SEDE)</t>
  </si>
  <si>
    <t>ENCONTRANVA-SE NO PROCESSO DE DESCARGA, CONTUDO ESTÁ EM USO NA SEPLAN</t>
  </si>
  <si>
    <t>QUADRO PARA USO DIDATICO -</t>
  </si>
  <si>
    <t>RACK PARA MICROCOMPUTADOR -</t>
  </si>
  <si>
    <t>RADIO COMUNICADOR -</t>
  </si>
  <si>
    <t>RÁDIO PORTÁTIL -</t>
  </si>
  <si>
    <t>871IYJ0918</t>
  </si>
  <si>
    <t>N.S.25951661</t>
  </si>
  <si>
    <t>HT DIGITAL T03-00035-BCDG COM PTT</t>
  </si>
  <si>
    <t>transferido para o 2º BBM</t>
  </si>
  <si>
    <t>transferido para Ribeirão das Neves</t>
  </si>
  <si>
    <t>N.S.25921624</t>
  </si>
  <si>
    <t>N.S.25937873</t>
  </si>
  <si>
    <t>N.S.25929266</t>
  </si>
  <si>
    <t>N.S.25929270</t>
  </si>
  <si>
    <t xml:space="preserve">MATERIAL DESCARREGADO - PROCESSO Nº 1400.01.0026473/2023-03	DESCARREGADO, retirado da UR8834 </t>
  </si>
  <si>
    <t>MATERIAL DESCARREGADO - PROCESSO Nº 1400.01.0026473/2023-01, retirado da ASL1382 em 15/12/20</t>
  </si>
  <si>
    <t>transferido para o 10ºBBM - motorola SLR5100 Serie:478IVG3110</t>
  </si>
  <si>
    <t>SOF</t>
  </si>
  <si>
    <t>RÁDIO TRANSFERIDO PARA DIVINÓPOLIS</t>
  </si>
  <si>
    <t>1400.01.0071486/2024-59</t>
  </si>
  <si>
    <t>Transferido para o 2ºBBM</t>
  </si>
  <si>
    <t>Foi transferido para a carga de Curvelo.</t>
  </si>
  <si>
    <t>Acautelado na ficha de recebimento do Suprimentos no dia 13/04/2026</t>
  </si>
  <si>
    <t>1-  APV4072</t>
  </si>
  <si>
    <t>9A9DF01CP8BDT6897</t>
  </si>
  <si>
    <t>carretinha - Animais, placa HMH5585</t>
  </si>
  <si>
    <t>9A9TJET0181BZ7185</t>
  </si>
  <si>
    <t>Carretinha - Barco, placa HMH2286</t>
  </si>
  <si>
    <t>9A9CG053151BX8204</t>
  </si>
  <si>
    <t>Carretinha - Barco, placa HMG5251</t>
  </si>
  <si>
    <t>VÁLVULA 1º ESTÁGIO, VÁLVULA 2º ESTÁGIO (PRINCIPAL E RESERVA), MANGUEIRA PRESSURIZAÇÃO DO COLETE</t>
  </si>
  <si>
    <t>RETROPROJETOR -</t>
  </si>
  <si>
    <t>1111690*</t>
  </si>
  <si>
    <t>38 TAURUS, 06 TIROS CANO 4'</t>
  </si>
  <si>
    <t>ZK433308</t>
  </si>
  <si>
    <t>ZK433309*</t>
  </si>
  <si>
    <t>ZK433357*</t>
  </si>
  <si>
    <t>ZK433718</t>
  </si>
  <si>
    <t xml:space="preserve">38 SPECIAL TAURUS (ESTRAVIADA), PROCESSO EM ANDAMENTO. </t>
  </si>
  <si>
    <t>ZK433719*</t>
  </si>
  <si>
    <t>ZK93457*</t>
  </si>
  <si>
    <t>38 SPECIAL TAURUS cinco tiros, cano 2"</t>
  </si>
  <si>
    <t>ROTEADOR PARA REDE WIRELLES -</t>
  </si>
  <si>
    <t>ROUPA DE APICULTOR XG</t>
  </si>
  <si>
    <t>SANDUICHEIRA -</t>
  </si>
  <si>
    <t>SERRA ELETRICA -</t>
  </si>
  <si>
    <t>N.S. 990182</t>
  </si>
  <si>
    <t>DEWALT DCS380-B3 12 - 20V, C/ 02 BATERIAS DCB204, CARREGADOR DCB107 N.S. 202337QX E 05 SERRAS</t>
  </si>
  <si>
    <t xml:space="preserve"> modelo n.XFT-120C+</t>
  </si>
  <si>
    <t>SOFA PARA ESCRITORIO -</t>
  </si>
  <si>
    <t>SOFA PARA ESCRITORIO -(II)</t>
  </si>
  <si>
    <t>N.S. 540696991</t>
  </si>
  <si>
    <t>SOPRADOR - TIPO: A GASOLINA; POTENCIA: MINIMA DE 3 KW E 64,8 CILINDRADAS; VAZAO DE AR: MINIMA 1700 M3/H E MAXIMA 1720 M3/H; TEMPERATURA: NAO APLICAVEL; ALIMENTACAO: MOTOR DE 02 TEMPOS A GASOLINA;</t>
  </si>
  <si>
    <t>SPLIT -</t>
  </si>
  <si>
    <t>SUPORTE DE TETO PARA PROJETOR -</t>
  </si>
  <si>
    <t>SWITCH -</t>
  </si>
  <si>
    <t>TABLET PC -</t>
  </si>
  <si>
    <t>Tablet antigo, encontra-se com o Sgt Avelar</t>
  </si>
  <si>
    <t>N.S.RXT2T10018SN</t>
  </si>
  <si>
    <t>IMEI:352855860817536, N.S.RXT2T10018SN, chip 89550237001018043878 (SGT LUIS)</t>
  </si>
  <si>
    <t>N.S.RX2T10059CP</t>
  </si>
  <si>
    <t>IMEI:352855860861286, N.S.RX2T10059CP, chip 89550237001018043860 (SGT GATTI)</t>
  </si>
  <si>
    <t>N.S.RX2T1006ADJ</t>
  </si>
  <si>
    <t>IMEI:352855880872515, N.S.RX2T1006ADJ (C/ TEN SAMUEL - RESERVA</t>
  </si>
  <si>
    <t>N.S.RX2T1006A1L</t>
  </si>
  <si>
    <t>IMEI:352855860872390, N.S.RX2T1006A1L (C/ TEN SAMUEL - RESERVA</t>
  </si>
  <si>
    <t>N.S.RX2T1006F3W</t>
  </si>
  <si>
    <t>IMEI:352855860874065, N.S.RX2T1006F3W, chip 89550237001018043811  (SGT DOS ANJOS)</t>
  </si>
  <si>
    <t>N.S.RX2T10042YV</t>
  </si>
  <si>
    <t>IMEI: 352855860848275  N.S.RX2T10042YV, transferido p/ Curvelo</t>
  </si>
  <si>
    <t>N.S.RX2T10046LR</t>
  </si>
  <si>
    <t>IMEI: 352855860849489 N.S.RX2T10046LR, transferido p/ Curvelo</t>
  </si>
  <si>
    <t>DMPY3PSJF8D</t>
  </si>
  <si>
    <t>IPAD (6ª Geração) nº modelo: MR6P2BZ/A CHIP: 89550237001018043787</t>
  </si>
  <si>
    <t>TAMPÃO DE 2 ¹/²</t>
  </si>
  <si>
    <t>TANQUE PARA CAMINHAO -</t>
  </si>
  <si>
    <t>IMPLEMENTO.</t>
  </si>
  <si>
    <t>TV AOC Roku 50" LED</t>
  </si>
  <si>
    <t>SMART TV FULL HD; 55; LED; CONVERSOR DIGITAL INTEGRADO; 115-220VCA / 60HZ (BIVOLT); CONTROLE REMOTO MULTIFUN.</t>
  </si>
  <si>
    <t>Câmera Térmica</t>
  </si>
  <si>
    <t>TRENA ELETRONICA -</t>
  </si>
  <si>
    <t>N.S.412208538</t>
  </si>
  <si>
    <t>Para descarga na ultima gaveta do armário de madeira</t>
  </si>
  <si>
    <t>VEICULO AUTO BOMBA/TANQUE -</t>
  </si>
  <si>
    <t>953658244PR014947</t>
  </si>
  <si>
    <t>ABTS-3026 placa QXW3A26</t>
  </si>
  <si>
    <t>ABTS1418 - PLACA PUE8483</t>
  </si>
  <si>
    <t>VENTILADOR DE PRESSAO POSITIVA -</t>
  </si>
  <si>
    <t>VIATURA BASICA -</t>
  </si>
  <si>
    <t>9BD195A6MG0726041</t>
  </si>
  <si>
    <t>APF -1347 placa PUE8060</t>
  </si>
  <si>
    <t>9BD195A6MG0725381</t>
  </si>
  <si>
    <t>APV1331 - PLACA PUE8030</t>
  </si>
  <si>
    <t>9BD195A6MG0719634</t>
  </si>
  <si>
    <t>APV1330 - PLACA PUE8029</t>
  </si>
  <si>
    <t>9BD19716TG3287213</t>
  </si>
  <si>
    <t>APV8340 - PLACA PUE8340</t>
  </si>
  <si>
    <t>SSM6C38</t>
  </si>
  <si>
    <t>YARIS</t>
  </si>
  <si>
    <t>VIATURA CAMINHAO -</t>
  </si>
  <si>
    <t>8AC907153NE206900</t>
  </si>
  <si>
    <t>ASM3617 - PLACA QXW3H17</t>
  </si>
  <si>
    <t>VIATURA CAMINHONETE -</t>
  </si>
  <si>
    <t>93XLNKB8TGCF19643</t>
  </si>
  <si>
    <t>ASL-1382 placa PUE8D64</t>
  </si>
  <si>
    <t>93XSYKL1TPCN64488</t>
  </si>
  <si>
    <t>ASL4429 - PLACA QXW4E29 (L200)</t>
  </si>
  <si>
    <t>8AJDA3CD2R1840348</t>
  </si>
  <si>
    <t>ASL2163 - PLACA SYZ2B63 (ALUGADA), NÃO CONSTA NA CARGA ATUAL 25/09/24</t>
  </si>
  <si>
    <t>PERTENCE AO PELOTÃO DE CURVELO</t>
  </si>
  <si>
    <t>SYZ1A79</t>
  </si>
  <si>
    <t>CAMINHONETE L200</t>
  </si>
  <si>
    <t>SYZ1A80</t>
  </si>
  <si>
    <t>SGT BATISTA</t>
  </si>
  <si>
    <t>TEN MATEUS</t>
  </si>
  <si>
    <t>SGT CARVALHO</t>
  </si>
  <si>
    <t xml:space="preserve">guardado </t>
  </si>
  <si>
    <t>Sd 2ª Cl Freitas</t>
  </si>
  <si>
    <t>SALA CEDMU</t>
  </si>
  <si>
    <t>Sgt Alessandra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</si>
</sst>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0">
    <font>
      <sz val="10.0"/>
      <color rgb="FF000000"/>
      <name val="Arial"/>
      <scheme val="minor"/>
    </font>
    <font>
      <b/>
      <sz val="8.0"/>
      <color rgb="FFFFFFFF"/>
      <name val="Arial"/>
      <scheme val="minor"/>
    </font>
    <font>
      <b/>
      <color theme="1"/>
      <name val="Arial"/>
      <scheme val="minor"/>
    </font>
    <font>
      <b/>
      <sz val="9.0"/>
      <color theme="1"/>
      <name val="Arial"/>
      <scheme val="minor"/>
    </font>
    <font>
      <b/>
      <strike/>
      <color theme="1"/>
      <name val="Arial"/>
      <scheme val="minor"/>
    </font>
    <font>
      <sz val="9.0"/>
      <color theme="1"/>
      <name val="Arial"/>
      <scheme val="minor"/>
    </font>
    <font>
      <color theme="1"/>
      <name val="Arial"/>
      <scheme val="minor"/>
    </font>
    <font>
      <b/>
      <color rgb="FF434343"/>
      <name val="Roboto"/>
    </font>
    <font>
      <color rgb="FF434343"/>
      <name val="Roboto"/>
    </font>
    <font>
      <color theme="1"/>
      <name val="Arial"/>
    </font>
    <font>
      <b/>
      <u/>
      <color rgb="FF0000FF"/>
    </font>
    <font>
      <b/>
      <sz val="9.0"/>
      <color rgb="FFF3F3F3"/>
      <name val="Arial"/>
      <scheme val="minor"/>
    </font>
    <font>
      <b/>
      <color rgb="FFF3F3F3"/>
      <name val="Arial"/>
      <scheme val="minor"/>
    </font>
    <font>
      <sz val="9.0"/>
      <color theme="1"/>
      <name val="Calibri"/>
    </font>
    <font>
      <sz val="9.0"/>
      <color rgb="FF008000"/>
      <name val="&quot;Google Sans Mono&quot;"/>
    </font>
    <font>
      <sz val="10.0"/>
      <color theme="1"/>
      <name val="Arial"/>
      <scheme val="minor"/>
    </font>
    <font>
      <sz val="9.0"/>
      <color rgb="FF000000"/>
      <name val="Arial"/>
    </font>
    <font>
      <color rgb="FF000000"/>
      <name val="Arial"/>
      <scheme val="minor"/>
    </font>
    <font>
      <sz val="9.0"/>
      <color rgb="FF000000"/>
      <name val="Arial"/>
      <scheme val="minor"/>
    </font>
    <font>
      <sz val="9.0"/>
      <color rgb="FF000000"/>
      <name val="&quot;Google Sans Mono&quot;"/>
    </font>
  </fonts>
  <fills count="8">
    <fill>
      <patternFill patternType="none"/>
    </fill>
    <fill>
      <patternFill patternType="lightGray"/>
    </fill>
    <fill>
      <patternFill patternType="solid">
        <fgColor rgb="FF434343"/>
        <bgColor rgb="FF434343"/>
      </patternFill>
    </fill>
    <fill>
      <patternFill patternType="solid">
        <fgColor rgb="FFF47F32"/>
        <bgColor rgb="FFF47F32"/>
      </patternFill>
    </fill>
    <fill>
      <patternFill patternType="solid">
        <fgColor rgb="FFFFFFFF"/>
        <bgColor rgb="FFFFFFFF"/>
      </patternFill>
    </fill>
    <fill>
      <patternFill patternType="solid">
        <fgColor rgb="FFEAD1DC"/>
        <bgColor rgb="FFEAD1DC"/>
      </patternFill>
    </fill>
    <fill>
      <patternFill patternType="solid">
        <fgColor rgb="FF999999"/>
        <bgColor rgb="FF999999"/>
      </patternFill>
    </fill>
    <fill>
      <patternFill patternType="solid">
        <fgColor rgb="FF20124D"/>
        <bgColor rgb="FF20124D"/>
      </patternFill>
    </fill>
  </fills>
  <borders count="17">
    <border/>
    <border>
      <left style="thin">
        <color rgb="FF434343"/>
      </left>
      <right style="thin">
        <color rgb="FF434343"/>
      </right>
      <top style="thin">
        <color rgb="FF434343"/>
      </top>
      <bottom style="thin">
        <color rgb="FF434343"/>
      </bottom>
    </border>
    <border>
      <bottom style="thin">
        <color rgb="FF999999"/>
      </bottom>
    </border>
    <border>
      <top style="thin">
        <color rgb="FF999999"/>
      </top>
      <bottom style="thin">
        <color rgb="FF999999"/>
      </bottom>
    </border>
    <border>
      <top style="thin">
        <color rgb="FF999999"/>
      </top>
    </border>
    <border>
      <left style="thin">
        <color rgb="FFA85C0A"/>
      </left>
      <right style="thin">
        <color rgb="FFEAD1DC"/>
      </right>
      <top style="thin">
        <color rgb="FFEAD1DC"/>
      </top>
      <bottom style="thin">
        <color rgb="FFEAD1DC"/>
      </bottom>
    </border>
    <border>
      <left style="thin">
        <color rgb="FFEAD1DC"/>
      </left>
      <right style="thin">
        <color rgb="FFEAD1DC"/>
      </right>
      <top style="thin">
        <color rgb="FFEAD1DC"/>
      </top>
      <bottom style="thin">
        <color rgb="FFEAD1DC"/>
      </bottom>
    </border>
    <border>
      <left style="thin">
        <color rgb="FFEAD1DC"/>
      </left>
      <right style="thin">
        <color rgb="FFA85C0A"/>
      </right>
      <top style="thin">
        <color rgb="FFEAD1DC"/>
      </top>
      <bottom style="thin">
        <color rgb="FFEAD1DC"/>
      </bottom>
    </border>
    <border>
      <left style="thin">
        <color rgb="FF434343"/>
      </left>
      <right style="thin">
        <color rgb="FF434343"/>
      </right>
      <top style="thin">
        <color rgb="FF434343"/>
      </top>
    </border>
    <border>
      <left style="thin">
        <color rgb="FF434343"/>
      </left>
      <top style="thin">
        <color rgb="FF434343"/>
      </top>
      <bottom style="thin">
        <color rgb="FF434343"/>
      </bottom>
    </border>
    <border>
      <left style="thin">
        <color rgb="FF434343"/>
      </left>
      <right style="thin">
        <color rgb="FF434343"/>
      </right>
      <bottom style="thin">
        <color rgb="FF434343"/>
      </bottom>
    </border>
    <border>
      <right style="thin">
        <color rgb="FF434343"/>
      </right>
      <top style="thin">
        <color rgb="FF434343"/>
      </top>
      <bottom style="thin">
        <color rgb="FF434343"/>
      </bottom>
    </border>
    <border>
      <top style="thin">
        <color rgb="FFCCCCCC"/>
      </top>
    </border>
    <border>
      <top style="thin">
        <color rgb="FFF3F3F3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double">
        <color rgb="FFF3F3F3"/>
      </left>
      <right style="double">
        <color rgb="FFF3F3F3"/>
      </right>
      <top style="double">
        <color rgb="FFF3F3F3"/>
      </top>
      <bottom style="double">
        <color rgb="FFF3F3F3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12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wrapText="1"/>
    </xf>
    <xf borderId="1" fillId="2" fontId="2" numFmtId="0" xfId="0" applyAlignment="1" applyBorder="1" applyFont="1">
      <alignment horizontal="center" readingOrder="0" shrinkToFit="0" wrapText="1"/>
    </xf>
    <xf borderId="1" fillId="2" fontId="2" numFmtId="0" xfId="0" applyAlignment="1" applyBorder="1" applyFont="1">
      <alignment readingOrder="0" shrinkToFit="0" wrapText="1"/>
    </xf>
    <xf borderId="1" fillId="2" fontId="2" numFmtId="0" xfId="0" applyAlignment="1" applyBorder="1" applyFont="1">
      <alignment horizontal="center" readingOrder="0" shrinkToFit="0" wrapText="0"/>
    </xf>
    <xf borderId="1" fillId="2" fontId="3" numFmtId="0" xfId="0" applyAlignment="1" applyBorder="1" applyFont="1">
      <alignment readingOrder="0" shrinkToFit="0" wrapText="1"/>
    </xf>
    <xf borderId="1" fillId="2" fontId="4" numFmtId="0" xfId="0" applyAlignment="1" applyBorder="1" applyFont="1">
      <alignment horizontal="center" readingOrder="0" shrinkToFit="0" wrapText="1"/>
    </xf>
    <xf borderId="1" fillId="2" fontId="3" numFmtId="0" xfId="0" applyAlignment="1" applyBorder="1" applyFont="1">
      <alignment horizontal="center" readingOrder="0" shrinkToFit="0" wrapText="1"/>
    </xf>
    <xf borderId="1" fillId="2" fontId="5" numFmtId="0" xfId="0" applyAlignment="1" applyBorder="1" applyFont="1">
      <alignment horizontal="left" readingOrder="0" shrinkToFit="0" wrapText="1"/>
    </xf>
    <xf borderId="0" fillId="3" fontId="2" numFmtId="0" xfId="0" applyAlignment="1" applyFill="1" applyFont="1">
      <alignment horizontal="center" readingOrder="0" shrinkToFit="0" vertical="center" wrapText="0"/>
    </xf>
    <xf borderId="0" fillId="3" fontId="2" numFmtId="0" xfId="0" applyAlignment="1" applyFont="1">
      <alignment horizontal="left" readingOrder="0" shrinkToFit="0" vertical="center" wrapText="0"/>
    </xf>
    <xf borderId="0" fillId="3" fontId="2" numFmtId="0" xfId="0" applyAlignment="1" applyFont="1">
      <alignment horizontal="center" readingOrder="0" shrinkToFit="0" vertical="center" wrapText="0"/>
    </xf>
    <xf borderId="0" fillId="3" fontId="2" numFmtId="0" xfId="0" applyAlignment="1" applyFont="1">
      <alignment horizontal="left" readingOrder="0" shrinkToFit="0" vertical="center" wrapText="1"/>
    </xf>
    <xf borderId="0" fillId="3" fontId="3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center" shrinkToFit="0" vertical="center" wrapText="0"/>
    </xf>
    <xf borderId="0" fillId="0" fontId="6" numFmtId="49" xfId="0" applyAlignment="1" applyFont="1" applyNumberFormat="1">
      <alignment shrinkToFit="0" vertical="center" wrapText="0"/>
    </xf>
    <xf borderId="0" fillId="0" fontId="2" numFmtId="3" xfId="0" applyAlignment="1" applyFont="1" applyNumberFormat="1">
      <alignment horizontal="center" shrinkToFit="0" vertical="center" wrapText="0"/>
    </xf>
    <xf borderId="0" fillId="0" fontId="6" numFmtId="0" xfId="0" applyAlignment="1" applyFont="1">
      <alignment shrinkToFit="0" vertical="center" wrapText="1"/>
    </xf>
    <xf borderId="0" fillId="0" fontId="6" numFmtId="0" xfId="0" applyAlignment="1" applyFont="1">
      <alignment shrinkToFit="0" vertical="center" wrapText="0"/>
    </xf>
    <xf borderId="0" fillId="0" fontId="6" numFmtId="1" xfId="0" applyAlignment="1" applyFont="1" applyNumberFormat="1">
      <alignment horizontal="center" shrinkToFit="0" vertical="center" wrapText="0"/>
    </xf>
    <xf borderId="0" fillId="0" fontId="6" numFmtId="0" xfId="0" applyAlignment="1" applyFont="1">
      <alignment horizontal="center" shrinkToFit="0" vertical="center" wrapText="0"/>
    </xf>
    <xf borderId="0" fillId="0" fontId="5" numFmtId="0" xfId="0" applyAlignment="1" applyFont="1">
      <alignment shrinkToFit="0" vertical="center" wrapText="1"/>
    </xf>
    <xf borderId="2" fillId="0" fontId="2" numFmtId="0" xfId="0" applyAlignment="1" applyBorder="1" applyFont="1">
      <alignment horizontal="center" shrinkToFit="0" vertical="center" wrapText="0"/>
    </xf>
    <xf borderId="2" fillId="0" fontId="6" numFmtId="49" xfId="0" applyAlignment="1" applyBorder="1" applyFont="1" applyNumberFormat="1">
      <alignment shrinkToFit="0" vertical="center" wrapText="0"/>
    </xf>
    <xf borderId="2" fillId="0" fontId="2" numFmtId="3" xfId="0" applyAlignment="1" applyBorder="1" applyFont="1" applyNumberFormat="1">
      <alignment horizontal="center" shrinkToFit="0" vertical="center" wrapText="0"/>
    </xf>
    <xf borderId="2" fillId="0" fontId="6" numFmtId="0" xfId="0" applyAlignment="1" applyBorder="1" applyFont="1">
      <alignment shrinkToFit="0" vertical="center" wrapText="1"/>
    </xf>
    <xf borderId="2" fillId="0" fontId="6" numFmtId="0" xfId="0" applyAlignment="1" applyBorder="1" applyFont="1">
      <alignment shrinkToFit="0" vertical="center" wrapText="0"/>
    </xf>
    <xf borderId="2" fillId="0" fontId="6" numFmtId="1" xfId="0" applyAlignment="1" applyBorder="1" applyFont="1" applyNumberFormat="1">
      <alignment horizontal="center" shrinkToFit="0" vertical="center" wrapText="0"/>
    </xf>
    <xf borderId="2" fillId="0" fontId="6" numFmtId="0" xfId="0" applyAlignment="1" applyBorder="1" applyFont="1">
      <alignment horizontal="center" shrinkToFit="0" vertical="center" wrapText="0"/>
    </xf>
    <xf borderId="2" fillId="0" fontId="5" numFmtId="0" xfId="0" applyAlignment="1" applyBorder="1" applyFont="1">
      <alignment shrinkToFit="0" vertical="center" wrapText="1"/>
    </xf>
    <xf borderId="3" fillId="0" fontId="2" numFmtId="0" xfId="0" applyAlignment="1" applyBorder="1" applyFont="1">
      <alignment horizontal="center" shrinkToFit="0" vertical="center" wrapText="0"/>
    </xf>
    <xf borderId="3" fillId="0" fontId="6" numFmtId="49" xfId="0" applyAlignment="1" applyBorder="1" applyFont="1" applyNumberFormat="1">
      <alignment shrinkToFit="0" vertical="center" wrapText="0"/>
    </xf>
    <xf borderId="3" fillId="0" fontId="2" numFmtId="3" xfId="0" applyAlignment="1" applyBorder="1" applyFont="1" applyNumberFormat="1">
      <alignment horizontal="center" shrinkToFit="0" vertical="center" wrapText="0"/>
    </xf>
    <xf borderId="3" fillId="0" fontId="6" numFmtId="0" xfId="0" applyAlignment="1" applyBorder="1" applyFont="1">
      <alignment shrinkToFit="0" vertical="center" wrapText="1"/>
    </xf>
    <xf borderId="3" fillId="0" fontId="6" numFmtId="0" xfId="0" applyAlignment="1" applyBorder="1" applyFont="1">
      <alignment shrinkToFit="0" vertical="center" wrapText="0"/>
    </xf>
    <xf borderId="3" fillId="0" fontId="6" numFmtId="1" xfId="0" applyAlignment="1" applyBorder="1" applyFont="1" applyNumberFormat="1">
      <alignment horizontal="center" shrinkToFit="0" vertical="center" wrapText="0"/>
    </xf>
    <xf borderId="3" fillId="0" fontId="6" numFmtId="0" xfId="0" applyAlignment="1" applyBorder="1" applyFont="1">
      <alignment horizontal="center" shrinkToFit="0" vertical="center" wrapText="0"/>
    </xf>
    <xf borderId="3" fillId="0" fontId="5" numFmtId="0" xfId="0" applyAlignment="1" applyBorder="1" applyFont="1">
      <alignment shrinkToFit="0" vertical="center" wrapText="1"/>
    </xf>
    <xf borderId="3" fillId="0" fontId="5" numFmtId="0" xfId="0" applyAlignment="1" applyBorder="1" applyFont="1">
      <alignment shrinkToFit="0" vertical="center" wrapText="1"/>
    </xf>
    <xf borderId="3" fillId="4" fontId="6" numFmtId="49" xfId="0" applyAlignment="1" applyBorder="1" applyFill="1" applyFont="1" applyNumberFormat="1">
      <alignment shrinkToFit="0" vertical="center" wrapText="0"/>
    </xf>
    <xf borderId="3" fillId="0" fontId="6" numFmtId="49" xfId="0" applyAlignment="1" applyBorder="1" applyFont="1" applyNumberFormat="1">
      <alignment shrinkToFit="0" vertical="center" wrapText="0"/>
    </xf>
    <xf borderId="4" fillId="0" fontId="2" numFmtId="0" xfId="0" applyAlignment="1" applyBorder="1" applyFont="1">
      <alignment horizontal="center" shrinkToFit="0" vertical="center" wrapText="0"/>
    </xf>
    <xf borderId="4" fillId="0" fontId="6" numFmtId="49" xfId="0" applyAlignment="1" applyBorder="1" applyFont="1" applyNumberFormat="1">
      <alignment shrinkToFit="0" vertical="center" wrapText="0"/>
    </xf>
    <xf borderId="4" fillId="0" fontId="6" numFmtId="0" xfId="0" applyAlignment="1" applyBorder="1" applyFont="1">
      <alignment shrinkToFit="0" vertical="center" wrapText="1"/>
    </xf>
    <xf borderId="4" fillId="0" fontId="6" numFmtId="0" xfId="0" applyAlignment="1" applyBorder="1" applyFont="1">
      <alignment shrinkToFit="0" vertical="center" wrapText="0"/>
    </xf>
    <xf borderId="4" fillId="0" fontId="6" numFmtId="0" xfId="0" applyAlignment="1" applyBorder="1" applyFont="1">
      <alignment horizontal="center" shrinkToFit="0" vertical="center" wrapText="0"/>
    </xf>
    <xf borderId="4" fillId="0" fontId="5" numFmtId="0" xfId="0" applyAlignment="1" applyBorder="1" applyFont="1">
      <alignment shrinkToFit="0" vertical="center" wrapText="1"/>
    </xf>
    <xf borderId="1" fillId="2" fontId="1" numFmtId="0" xfId="0" applyAlignment="1" applyBorder="1" applyFont="1">
      <alignment readingOrder="0" shrinkToFit="0" wrapText="1"/>
    </xf>
    <xf borderId="1" fillId="2" fontId="2" numFmtId="0" xfId="0" applyAlignment="1" applyBorder="1" applyFont="1">
      <alignment horizontal="center" readingOrder="0" shrinkToFit="0" wrapText="1"/>
    </xf>
    <xf borderId="1" fillId="2" fontId="2" numFmtId="0" xfId="0" applyAlignment="1" applyBorder="1" applyFont="1">
      <alignment readingOrder="0" shrinkToFit="0" wrapText="0"/>
    </xf>
    <xf borderId="0" fillId="3" fontId="2" numFmtId="0" xfId="0" applyAlignment="1" applyFont="1">
      <alignment horizontal="left" readingOrder="0" shrinkToFit="0" vertical="center" wrapText="0"/>
    </xf>
    <xf borderId="5" fillId="5" fontId="7" numFmtId="0" xfId="0" applyAlignment="1" applyBorder="1" applyFill="1" applyFont="1">
      <alignment horizontal="center" shrinkToFit="0" vertical="center" wrapText="0"/>
    </xf>
    <xf borderId="6" fillId="5" fontId="8" numFmtId="49" xfId="0" applyAlignment="1" applyBorder="1" applyFont="1" applyNumberFormat="1">
      <alignment shrinkToFit="0" vertical="center" wrapText="0"/>
    </xf>
    <xf borderId="6" fillId="5" fontId="7" numFmtId="3" xfId="0" applyAlignment="1" applyBorder="1" applyFont="1" applyNumberFormat="1">
      <alignment horizontal="center" shrinkToFit="0" vertical="center" wrapText="0"/>
    </xf>
    <xf borderId="6" fillId="5" fontId="8" numFmtId="0" xfId="0" applyAlignment="1" applyBorder="1" applyFont="1">
      <alignment shrinkToFit="0" vertical="center" wrapText="1"/>
    </xf>
    <xf borderId="6" fillId="5" fontId="8" numFmtId="0" xfId="0" applyAlignment="1" applyBorder="1" applyFont="1">
      <alignment shrinkToFit="0" vertical="center" wrapText="0"/>
    </xf>
    <xf borderId="6" fillId="5" fontId="9" numFmtId="1" xfId="0" applyAlignment="1" applyBorder="1" applyFont="1" applyNumberFormat="1">
      <alignment shrinkToFit="0" vertical="center" wrapText="0"/>
    </xf>
    <xf borderId="6" fillId="5" fontId="9" numFmtId="0" xfId="0" applyAlignment="1" applyBorder="1" applyFont="1">
      <alignment shrinkToFit="0" vertical="center" wrapText="0"/>
    </xf>
    <xf borderId="7" fillId="5" fontId="9" numFmtId="0" xfId="0" applyAlignment="1" applyBorder="1" applyFont="1">
      <alignment shrinkToFit="0" vertical="center" wrapText="0"/>
    </xf>
    <xf borderId="0" fillId="3" fontId="3" numFmtId="0" xfId="0" applyAlignment="1" applyFont="1">
      <alignment horizontal="left" readingOrder="0" shrinkToFit="0" vertical="center" wrapText="1"/>
    </xf>
    <xf borderId="0" fillId="0" fontId="6" numFmtId="49" xfId="0" applyAlignment="1" applyFont="1" applyNumberFormat="1">
      <alignment shrinkToFit="0" vertical="center" wrapText="0"/>
    </xf>
    <xf borderId="8" fillId="2" fontId="2" numFmtId="0" xfId="0" applyAlignment="1" applyBorder="1" applyFont="1">
      <alignment readingOrder="0" shrinkToFit="0" wrapText="0"/>
    </xf>
    <xf borderId="9" fillId="2" fontId="2" numFmtId="0" xfId="0" applyAlignment="1" applyBorder="1" applyFont="1">
      <alignment horizontal="center" readingOrder="0" shrinkToFit="0" wrapText="0"/>
    </xf>
    <xf borderId="10" fillId="2" fontId="2" numFmtId="0" xfId="0" applyAlignment="1" applyBorder="1" applyFont="1">
      <alignment readingOrder="0" shrinkToFit="0" wrapText="0"/>
    </xf>
    <xf borderId="11" fillId="2" fontId="3" numFmtId="0" xfId="0" applyAlignment="1" applyBorder="1" applyFont="1">
      <alignment readingOrder="0" shrinkToFit="0" wrapText="1"/>
    </xf>
    <xf borderId="12" fillId="0" fontId="2" numFmtId="0" xfId="0" applyAlignment="1" applyBorder="1" applyFont="1">
      <alignment horizontal="center" shrinkToFit="0" vertical="center" wrapText="0"/>
    </xf>
    <xf borderId="12" fillId="0" fontId="6" numFmtId="49" xfId="0" applyAlignment="1" applyBorder="1" applyFont="1" applyNumberFormat="1">
      <alignment shrinkToFit="0" vertical="center" wrapText="0"/>
    </xf>
    <xf borderId="12" fillId="0" fontId="6" numFmtId="0" xfId="0" applyAlignment="1" applyBorder="1" applyFont="1">
      <alignment shrinkToFit="0" vertical="center" wrapText="1"/>
    </xf>
    <xf borderId="12" fillId="0" fontId="6" numFmtId="0" xfId="0" applyAlignment="1" applyBorder="1" applyFont="1">
      <alignment shrinkToFit="0" vertical="center" wrapText="0"/>
    </xf>
    <xf borderId="12" fillId="0" fontId="6" numFmtId="0" xfId="0" applyAlignment="1" applyBorder="1" applyFont="1">
      <alignment horizontal="center" shrinkToFit="0" vertical="center" wrapText="0"/>
    </xf>
    <xf borderId="12" fillId="0" fontId="5" numFmtId="0" xfId="0" applyAlignment="1" applyBorder="1" applyFont="1">
      <alignment shrinkToFit="0" vertical="center" wrapText="1"/>
    </xf>
    <xf borderId="13" fillId="0" fontId="2" numFmtId="0" xfId="0" applyAlignment="1" applyBorder="1" applyFont="1">
      <alignment horizontal="center" shrinkToFit="0" vertical="center" wrapText="0"/>
    </xf>
    <xf borderId="13" fillId="0" fontId="6" numFmtId="49" xfId="0" applyAlignment="1" applyBorder="1" applyFont="1" applyNumberFormat="1">
      <alignment shrinkToFit="0" vertical="center" wrapText="0"/>
    </xf>
    <xf borderId="13" fillId="0" fontId="6" numFmtId="0" xfId="0" applyAlignment="1" applyBorder="1" applyFont="1">
      <alignment shrinkToFit="0" vertical="center" wrapText="1"/>
    </xf>
    <xf borderId="13" fillId="0" fontId="6" numFmtId="0" xfId="0" applyAlignment="1" applyBorder="1" applyFont="1">
      <alignment shrinkToFit="0" vertical="center" wrapText="0"/>
    </xf>
    <xf borderId="13" fillId="0" fontId="6" numFmtId="0" xfId="0" applyAlignment="1" applyBorder="1" applyFont="1">
      <alignment horizontal="center" shrinkToFit="0" vertical="center" wrapText="0"/>
    </xf>
    <xf borderId="13" fillId="0" fontId="5" numFmtId="0" xfId="0" applyAlignment="1" applyBorder="1" applyFont="1">
      <alignment shrinkToFit="0" vertical="center" wrapText="1"/>
    </xf>
    <xf borderId="1" fillId="2" fontId="6" numFmtId="0" xfId="0" applyAlignment="1" applyBorder="1" applyFont="1">
      <alignment horizontal="center" readingOrder="0" shrinkToFit="0" wrapText="1"/>
    </xf>
    <xf borderId="0" fillId="0" fontId="6" numFmtId="0" xfId="0" applyAlignment="1" applyFont="1">
      <alignment shrinkToFit="0" vertical="center" wrapText="0"/>
    </xf>
    <xf borderId="14" fillId="6" fontId="10" numFmtId="0" xfId="0" applyAlignment="1" applyBorder="1" applyFill="1" applyFont="1">
      <alignment readingOrder="0" shrinkToFit="0" wrapText="0"/>
    </xf>
    <xf borderId="0" fillId="0" fontId="5" numFmtId="0" xfId="0" applyAlignment="1" applyFont="1">
      <alignment shrinkToFit="0" vertical="center" wrapText="1"/>
    </xf>
    <xf borderId="0" fillId="4" fontId="6" numFmtId="49" xfId="0" applyAlignment="1" applyFont="1" applyNumberFormat="1">
      <alignment shrinkToFit="0" vertical="center" wrapText="0"/>
    </xf>
    <xf borderId="15" fillId="7" fontId="11" numFmtId="0" xfId="0" applyAlignment="1" applyBorder="1" applyFill="1" applyFont="1">
      <alignment horizontal="center" shrinkToFit="0" vertical="center" wrapText="1"/>
    </xf>
    <xf borderId="15" fillId="7" fontId="12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horizontal="center"/>
    </xf>
    <xf borderId="0" fillId="0" fontId="6" numFmtId="0" xfId="0" applyAlignment="1" applyFont="1">
      <alignment horizontal="center"/>
    </xf>
    <xf borderId="0" fillId="0" fontId="6" numFmtId="3" xfId="0" applyAlignment="1" applyFont="1" applyNumberFormat="1">
      <alignment horizontal="center"/>
    </xf>
    <xf borderId="0" fillId="0" fontId="6" numFmtId="0" xfId="0" applyFont="1"/>
    <xf borderId="0" fillId="0" fontId="13" numFmtId="0" xfId="0" applyAlignment="1" applyFont="1">
      <alignment horizontal="center" shrinkToFit="0" wrapText="1"/>
    </xf>
    <xf borderId="0" fillId="0" fontId="6" numFmtId="1" xfId="0" applyAlignment="1" applyFont="1" applyNumberFormat="1">
      <alignment horizontal="center"/>
    </xf>
    <xf borderId="0" fillId="4" fontId="14" numFmtId="0" xfId="0" applyAlignment="1" applyFont="1">
      <alignment readingOrder="0"/>
    </xf>
    <xf borderId="0" fillId="0" fontId="6" numFmtId="0" xfId="0" applyAlignment="1" applyFont="1">
      <alignment horizontal="center" readingOrder="0"/>
    </xf>
    <xf borderId="0" fillId="0" fontId="5" numFmtId="0" xfId="0" applyAlignment="1" applyFont="1">
      <alignment horizontal="center" shrinkToFit="0" wrapText="1"/>
    </xf>
    <xf borderId="0" fillId="0" fontId="6" numFmtId="3" xfId="0" applyFont="1" applyNumberFormat="1"/>
    <xf borderId="0" fillId="0" fontId="6" numFmtId="1" xfId="0" applyFont="1" applyNumberFormat="1"/>
    <xf borderId="0" fillId="0" fontId="6" numFmtId="0" xfId="0" applyAlignment="1" applyFont="1">
      <alignment horizontal="left"/>
    </xf>
    <xf borderId="0" fillId="0" fontId="15" numFmtId="0" xfId="0" applyAlignment="1" applyFont="1">
      <alignment horizontal="left"/>
    </xf>
    <xf borderId="0" fillId="4" fontId="16" numFmtId="0" xfId="0" applyAlignment="1" applyFont="1">
      <alignment shrinkToFit="0" vertical="bottom" wrapText="1"/>
    </xf>
    <xf borderId="16" fillId="4" fontId="16" numFmtId="0" xfId="0" applyAlignment="1" applyBorder="1" applyFont="1">
      <alignment shrinkToFit="0" vertical="bottom" wrapText="1"/>
    </xf>
    <xf borderId="0" fillId="4" fontId="17" numFmtId="0" xfId="0" applyFont="1"/>
    <xf borderId="0" fillId="4" fontId="18" numFmtId="0" xfId="0" applyAlignment="1" applyFont="1">
      <alignment horizontal="left" shrinkToFit="0" vertical="bottom" wrapText="1"/>
    </xf>
    <xf borderId="0" fillId="4" fontId="0" numFmtId="0" xfId="0" applyAlignment="1" applyFont="1">
      <alignment horizontal="left" shrinkToFit="0" vertical="bottom" wrapText="1"/>
    </xf>
    <xf borderId="0" fillId="4" fontId="9" numFmtId="0" xfId="0" applyAlignment="1" applyFont="1">
      <alignment vertical="bottom"/>
    </xf>
    <xf borderId="0" fillId="4" fontId="6" numFmtId="0" xfId="0" applyFont="1"/>
    <xf borderId="0" fillId="4" fontId="6" numFmtId="0" xfId="0" applyAlignment="1" applyFont="1">
      <alignment horizontal="left" vertical="bottom"/>
    </xf>
    <xf borderId="0" fillId="4" fontId="6" numFmtId="0" xfId="0" applyAlignment="1" applyFont="1">
      <alignment horizontal="left" readingOrder="0"/>
    </xf>
    <xf borderId="0" fillId="4" fontId="15" numFmtId="0" xfId="0" applyAlignment="1" applyFont="1">
      <alignment horizontal="left" vertical="bottom"/>
    </xf>
    <xf borderId="0" fillId="4" fontId="6" numFmtId="0" xfId="0" applyAlignment="1" applyFont="1">
      <alignment horizontal="left"/>
    </xf>
    <xf borderId="0" fillId="4" fontId="6" numFmtId="0" xfId="0" applyAlignment="1" applyFont="1">
      <alignment horizontal="left" readingOrder="0" vertical="bottom"/>
    </xf>
    <xf borderId="0" fillId="4" fontId="9" numFmtId="0" xfId="0" applyAlignment="1" applyFont="1">
      <alignment shrinkToFit="0" vertical="bottom" wrapText="1"/>
    </xf>
    <xf borderId="0" fillId="4" fontId="15" numFmtId="0" xfId="0" applyAlignment="1" applyFont="1">
      <alignment horizontal="left"/>
    </xf>
    <xf borderId="0" fillId="4" fontId="17" numFmtId="1" xfId="0" applyAlignment="1" applyFont="1" applyNumberFormat="1">
      <alignment horizontal="left" readingOrder="0" shrinkToFit="0" wrapText="1"/>
    </xf>
    <xf borderId="0" fillId="4" fontId="6" numFmtId="1" xfId="0" applyAlignment="1" applyFont="1" applyNumberFormat="1">
      <alignment horizontal="left" shrinkToFit="0" wrapText="1"/>
    </xf>
    <xf borderId="0" fillId="4" fontId="15" numFmtId="0" xfId="0" applyAlignment="1" applyFont="1">
      <alignment horizontal="left" shrinkToFit="0" wrapText="1"/>
    </xf>
    <xf borderId="0" fillId="4" fontId="6" numFmtId="0" xfId="0" applyAlignment="1" applyFont="1">
      <alignment readingOrder="0"/>
    </xf>
    <xf borderId="0" fillId="4" fontId="6" numFmtId="1" xfId="0" applyAlignment="1" applyFont="1" applyNumberFormat="1">
      <alignment horizontal="left" readingOrder="0" shrinkToFit="0" wrapText="1"/>
    </xf>
    <xf borderId="0" fillId="4" fontId="6" numFmtId="49" xfId="0" applyAlignment="1" applyFont="1" applyNumberFormat="1">
      <alignment horizontal="left" shrinkToFit="0" wrapText="1"/>
    </xf>
    <xf borderId="0" fillId="4" fontId="17" numFmtId="0" xfId="0" applyAlignment="1" applyFont="1">
      <alignment horizontal="left" readingOrder="0" shrinkToFit="0" wrapText="1"/>
    </xf>
    <xf borderId="0" fillId="4" fontId="6" numFmtId="49" xfId="0" applyAlignment="1" applyFont="1" applyNumberFormat="1">
      <alignment horizontal="left" readingOrder="0" shrinkToFit="0" wrapText="1"/>
    </xf>
    <xf borderId="0" fillId="0" fontId="9" numFmtId="0" xfId="0" applyAlignment="1" applyFont="1">
      <alignment vertical="bottom"/>
    </xf>
    <xf borderId="0" fillId="4" fontId="19" numFmtId="0" xfId="0" applyFont="1"/>
  </cellXfs>
  <cellStyles count="1">
    <cellStyle xfId="0" name="Normal" builtinId="0"/>
  </cellStyles>
  <dxfs count="36">
    <dxf>
      <font/>
      <fill>
        <patternFill patternType="none"/>
      </fill>
      <border/>
    </dxf>
    <dxf>
      <font/>
      <fill>
        <patternFill patternType="solid">
          <fgColor rgb="FFF8F9FA"/>
          <bgColor rgb="FFF8F9FA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07B0D"/>
          <bgColor rgb="FFE07B0D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E07B0D"/>
        </left>
        <right style="thin">
          <color rgb="FFE07B0D"/>
        </right>
        <top style="thin">
          <color rgb="FFE07B0D"/>
        </top>
        <bottom style="thin">
          <color rgb="FFE07B0D"/>
        </bottom>
      </border>
    </dxf>
    <dxf>
      <font/>
      <fill>
        <patternFill patternType="solid">
          <fgColor rgb="FFEAD1DC"/>
          <bgColor rgb="FFEAD1DC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C9DAF8"/>
          <bgColor rgb="FFC9DAF8"/>
        </patternFill>
      </fill>
      <border/>
    </dxf>
    <dxf>
      <font/>
      <fill>
        <patternFill patternType="solid">
          <fgColor rgb="FFB4A7D6"/>
          <bgColor rgb="FFB4A7D6"/>
        </patternFill>
      </fill>
      <border/>
    </dxf>
    <dxf>
      <font/>
      <fill>
        <patternFill patternType="solid">
          <fgColor theme="9"/>
          <bgColor theme="9"/>
        </patternFill>
      </fill>
      <border/>
    </dxf>
    <dxf>
      <font/>
      <fill>
        <patternFill patternType="solid">
          <fgColor rgb="FF76A5AF"/>
          <bgColor rgb="FF76A5AF"/>
        </patternFill>
      </fill>
      <border/>
    </dxf>
    <dxf>
      <font/>
      <fill>
        <patternFill patternType="solid">
          <fgColor theme="6"/>
          <bgColor theme="6"/>
        </patternFill>
      </fill>
      <border/>
    </dxf>
    <dxf>
      <font/>
      <fill>
        <patternFill patternType="solid">
          <fgColor rgb="FF93C47D"/>
          <bgColor rgb="FF93C47D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  <dxf>
      <font>
        <color rgb="FFFFFFFF"/>
      </font>
      <fill>
        <patternFill patternType="solid">
          <fgColor rgb="FFFF00FF"/>
          <bgColor rgb="FFFF00FF"/>
        </patternFill>
      </fill>
      <border/>
    </dxf>
    <dxf>
      <font>
        <color rgb="FFF3F3F3"/>
      </font>
      <fill>
        <patternFill patternType="solid">
          <fgColor rgb="FFCC0000"/>
          <bgColor rgb="FFCC0000"/>
        </patternFill>
      </fill>
      <border/>
    </dxf>
    <dxf>
      <font>
        <color rgb="FFF3F3F3"/>
      </font>
      <fill>
        <patternFill patternType="solid">
          <fgColor rgb="FF434343"/>
          <bgColor rgb="FF434343"/>
        </patternFill>
      </fill>
      <border/>
    </dxf>
    <dxf>
      <font>
        <color rgb="FF000000"/>
      </font>
      <fill>
        <patternFill patternType="solid">
          <fgColor rgb="FFFFFFFF"/>
          <bgColor rgb="FFFFFFFF"/>
        </patternFill>
      </fill>
      <border/>
    </dxf>
    <dxf>
      <font>
        <color rgb="FFFFFFFF"/>
      </font>
      <fill>
        <patternFill patternType="solid">
          <fgColor rgb="FF000000"/>
          <bgColor rgb="FF000000"/>
        </patternFill>
      </fill>
      <border/>
    </dxf>
    <dxf>
      <font>
        <color rgb="FFFFFFFF"/>
      </font>
      <fill>
        <patternFill patternType="solid">
          <fgColor rgb="FF0000FF"/>
          <bgColor rgb="FF0000FF"/>
        </patternFill>
      </fill>
      <border/>
    </dxf>
    <dxf>
      <font>
        <color rgb="FFFFFFFF"/>
      </font>
      <fill>
        <patternFill patternType="solid">
          <fgColor rgb="FF274E13"/>
          <bgColor rgb="FF274E13"/>
        </patternFill>
      </fill>
      <border/>
    </dxf>
    <dxf>
      <font>
        <color rgb="FFFFFFFF"/>
      </font>
      <fill>
        <patternFill patternType="solid">
          <fgColor rgb="FF20124D"/>
          <bgColor rgb="FF20124D"/>
        </patternFill>
      </fill>
      <border/>
    </dxf>
    <dxf>
      <font>
        <color rgb="FFFFFFFF"/>
      </font>
      <fill>
        <patternFill patternType="solid">
          <fgColor rgb="FF7F6000"/>
          <bgColor rgb="FF7F6000"/>
        </patternFill>
      </fill>
      <border/>
    </dxf>
    <dxf>
      <font>
        <color rgb="FF000000"/>
      </font>
      <fill>
        <patternFill patternType="solid">
          <fgColor rgb="FFB7B7B7"/>
          <bgColor rgb="FFB7B7B7"/>
        </patternFill>
      </fill>
      <border/>
    </dxf>
    <dxf>
      <font>
        <color rgb="FF000000"/>
      </font>
      <fill>
        <patternFill patternType="solid">
          <fgColor rgb="FF76A5AF"/>
          <bgColor rgb="FF76A5AF"/>
        </patternFill>
      </fill>
      <border/>
    </dxf>
    <dxf>
      <font>
        <color rgb="FF000000"/>
      </font>
      <fill>
        <patternFill patternType="solid">
          <fgColor rgb="FFF6B26B"/>
          <bgColor rgb="FFF6B26B"/>
        </patternFill>
      </fill>
      <border/>
    </dxf>
    <dxf>
      <font>
        <color rgb="FF000000"/>
      </font>
      <fill>
        <patternFill patternType="solid">
          <fgColor rgb="FFC27BA0"/>
          <bgColor rgb="FFC27BA0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>
        <color rgb="FFFFFFFF"/>
      </font>
      <fill>
        <patternFill patternType="solid">
          <fgColor rgb="FF6D9EEB"/>
          <bgColor rgb="FF6D9EEB"/>
        </patternFill>
      </fill>
      <border/>
    </dxf>
    <dxf>
      <font>
        <color rgb="FFFFFFFF"/>
      </font>
      <fill>
        <patternFill patternType="solid">
          <fgColor rgb="FF5B0F00"/>
          <bgColor rgb="FF5B0F00"/>
        </patternFill>
      </fill>
      <border/>
    </dxf>
    <dxf>
      <font>
        <color rgb="FF000000"/>
      </font>
      <fill>
        <patternFill patternType="solid">
          <fgColor rgb="FF93C47D"/>
          <bgColor rgb="FF93C47D"/>
        </patternFill>
      </fill>
      <border/>
    </dxf>
    <dxf>
      <font>
        <color rgb="FF000000"/>
      </font>
      <fill>
        <patternFill patternType="solid">
          <fgColor rgb="FFF1C232"/>
          <bgColor rgb="FFF1C232"/>
        </patternFill>
      </fill>
      <border/>
    </dxf>
    <dxf>
      <font/>
      <fill>
        <patternFill patternType="solid">
          <fgColor rgb="FFE8F0FE"/>
          <bgColor rgb="FFE8F0FE"/>
        </patternFill>
      </fill>
      <border/>
    </dxf>
  </dxfs>
  <tableStyles count="30">
    <tableStyle count="2" pivot="0" name="ASM3617-style">
      <tableStyleElement dxfId="1" type="firstRowStripe"/>
      <tableStyleElement dxfId="2" type="secondRowStripe"/>
    </tableStyle>
    <tableStyle count="4" pivot="0" name="ASM3617-style 2">
      <tableStyleElement dxfId="3" type="headerRow"/>
      <tableStyleElement dxfId="2" type="firstRowStripe"/>
      <tableStyleElement dxfId="4" type="secondRowStripe"/>
      <tableStyleElement dxfId="5" size="0" type="wholeTable"/>
    </tableStyle>
    <tableStyle count="2" pivot="0" name=" ABTS1418-style">
      <tableStyleElement dxfId="1" type="firstRowStripe"/>
      <tableStyleElement dxfId="2" type="secondRowStripe"/>
    </tableStyle>
    <tableStyle count="4" pivot="0" name=" ABTS1418-style 2">
      <tableStyleElement dxfId="3" type="headerRow"/>
      <tableStyleElement dxfId="2" type="firstRowStripe"/>
      <tableStyleElement dxfId="4" type="secondRowStripe"/>
      <tableStyleElement dxfId="5" size="0" type="wholeTable"/>
    </tableStyle>
    <tableStyle count="2" pivot="0" name="ACIF5790-style">
      <tableStyleElement dxfId="1" type="firstRowStripe"/>
      <tableStyleElement dxfId="2" type="secondRowStripe"/>
    </tableStyle>
    <tableStyle count="4" pivot="0" name="ACIF5790-style 2">
      <tableStyleElement dxfId="3" type="headerRow"/>
      <tableStyleElement dxfId="2" type="firstRowStripe"/>
      <tableStyleElement dxfId="4" type="secondRowStripe"/>
      <tableStyleElement dxfId="5" size="0" type="wholeTable"/>
    </tableStyle>
    <tableStyle count="2" pivot="0" name="UR3486-style">
      <tableStyleElement dxfId="1" type="firstRowStripe"/>
      <tableStyleElement dxfId="2" type="secondRowStripe"/>
    </tableStyle>
    <tableStyle count="4" pivot="0" name="UR3486-style 2">
      <tableStyleElement dxfId="3" type="headerRow"/>
      <tableStyleElement dxfId="2" type="firstRowStripe"/>
      <tableStyleElement dxfId="4" type="secondRowStripe"/>
      <tableStyleElement dxfId="5" size="0" type="wholeTable"/>
    </tableStyle>
    <tableStyle count="2" pivot="0" name=" ASL1080-style">
      <tableStyleElement dxfId="1" type="firstRowStripe"/>
      <tableStyleElement dxfId="2" type="secondRowStripe"/>
    </tableStyle>
    <tableStyle count="4" pivot="0" name=" ASL1080-style 2">
      <tableStyleElement dxfId="3" type="headerRow"/>
      <tableStyleElement dxfId="2" type="firstRowStripe"/>
      <tableStyleElement dxfId="4" type="secondRowStripe"/>
      <tableStyleElement dxfId="5" size="0" type="wholeTable"/>
    </tableStyle>
    <tableStyle count="2" pivot="0" name="ASF2163-style">
      <tableStyleElement dxfId="1" type="firstRowStripe"/>
      <tableStyleElement dxfId="2" type="secondRowStripe"/>
    </tableStyle>
    <tableStyle count="4" pivot="0" name="ASF2163-style 2">
      <tableStyleElement dxfId="3" type="headerRow"/>
      <tableStyleElement dxfId="2" type="firstRowStripe"/>
      <tableStyleElement dxfId="4" type="secondRowStripe"/>
      <tableStyleElement dxfId="5" size="0" type="wholeTable"/>
    </tableStyle>
    <tableStyle count="2" pivot="0" name="ABTS5911-style">
      <tableStyleElement dxfId="1" type="firstRowStripe"/>
      <tableStyleElement dxfId="2" type="secondRowStripe"/>
    </tableStyle>
    <tableStyle count="4" pivot="0" name="ABTS5911-style 2">
      <tableStyleElement dxfId="3" type="headerRow"/>
      <tableStyleElement dxfId="2" type="firstRowStripe"/>
      <tableStyleElement dxfId="4" type="secondRowStripe"/>
      <tableStyleElement dxfId="5" size="0" type="wholeTable"/>
    </tableStyle>
    <tableStyle count="2" pivot="0" name="ASF2230-style">
      <tableStyleElement dxfId="1" type="firstRowStripe"/>
      <tableStyleElement dxfId="2" type="secondRowStripe"/>
    </tableStyle>
    <tableStyle count="4" pivot="0" name="ASF2230-style 2">
      <tableStyleElement dxfId="3" type="headerRow"/>
      <tableStyleElement dxfId="2" type="firstRowStripe"/>
      <tableStyleElement dxfId="4" type="secondRowStripe"/>
      <tableStyleElement dxfId="5" size="0" type="wholeTable"/>
    </tableStyle>
    <tableStyle count="2" pivot="0" name="ATB0722-style">
      <tableStyleElement dxfId="1" type="firstRowStripe"/>
      <tableStyleElement dxfId="2" type="secondRowStripe"/>
    </tableStyle>
    <tableStyle count="4" pivot="0" name="ATB0722-style 2">
      <tableStyleElement dxfId="3" type="headerRow"/>
      <tableStyleElement dxfId="2" type="firstRowStripe"/>
      <tableStyleElement dxfId="4" type="secondRowStripe"/>
      <tableStyleElement dxfId="5" size="0" type="wholeTable"/>
    </tableStyle>
    <tableStyle count="2" pivot="0" name="Cópia de ABTS5911-style">
      <tableStyleElement dxfId="1" type="firstRowStripe"/>
      <tableStyleElement dxfId="2" type="secondRowStripe"/>
    </tableStyle>
    <tableStyle count="4" pivot="0" name="Cópia de ABTS5911-style 2">
      <tableStyleElement dxfId="3" type="headerRow"/>
      <tableStyleElement dxfId="2" type="firstRowStripe"/>
      <tableStyleElement dxfId="4" type="secondRowStripe"/>
      <tableStyleElement dxfId="5" size="0" type="wholeTable"/>
    </tableStyle>
    <tableStyle count="2" pivot="0" name=" SOU-style">
      <tableStyleElement dxfId="1" type="firstRowStripe"/>
      <tableStyleElement dxfId="2" type="secondRowStripe"/>
    </tableStyle>
    <tableStyle count="4" pivot="0" name=" SOU-style 2">
      <tableStyleElement dxfId="3" type="headerRow"/>
      <tableStyleElement dxfId="2" type="firstRowStripe"/>
      <tableStyleElement dxfId="4" type="secondRowStripe"/>
      <tableStyleElement dxfId="5" size="0" type="wholeTable"/>
    </tableStyle>
    <tableStyle count="2" pivot="0" name="SETOR DE MEIOS-style">
      <tableStyleElement dxfId="1" type="firstRowStripe"/>
      <tableStyleElement dxfId="2" type="secondRowStripe"/>
    </tableStyle>
    <tableStyle count="4" pivot="0" name="SETOR DE MEIOS-style 2">
      <tableStyleElement dxfId="3" type="headerRow"/>
      <tableStyleElement dxfId="2" type="firstRowStripe"/>
      <tableStyleElement dxfId="4" type="secondRowStripe"/>
      <tableStyleElement dxfId="5" size="0" type="wholeTable"/>
    </tableStyle>
    <tableStyle count="2" pivot="0" name="SALA DE MERGULHO-style">
      <tableStyleElement dxfId="1" type="firstRowStripe"/>
      <tableStyleElement dxfId="2" type="secondRowStripe"/>
    </tableStyle>
    <tableStyle count="4" pivot="0" name="SALA DE MERGULHO-style 2">
      <tableStyleElement dxfId="3" type="headerRow"/>
      <tableStyleElement dxfId="2" type="firstRowStripe"/>
      <tableStyleElement dxfId="4" type="secondRowStripe"/>
      <tableStyleElement dxfId="5" size="0" type="wholeTable"/>
    </tableStyle>
    <tableStyle count="2" pivot="0" name="OFICINA -style">
      <tableStyleElement dxfId="1" type="firstRowStripe"/>
      <tableStyleElement dxfId="2" type="secondRowStripe"/>
    </tableStyle>
    <tableStyle count="4" pivot="0" name="OFICINA -style 2">
      <tableStyleElement dxfId="3" type="headerRow"/>
      <tableStyleElement dxfId="2" type="firstRowStripe"/>
      <tableStyleElement dxfId="4" type="secondRowStripe"/>
      <tableStyleElement dxfId="5" size="0" type="wholeTable"/>
    </tableStyle>
    <tableStyle count="2" pivot="0" name="Cadastro Automático VTRSEÇÃOMIL-style">
      <tableStyleElement dxfId="2" type="firstRowStripe"/>
      <tableStyleElement dxfId="35" type="secondRowStripe"/>
    </tableStyle>
    <tableStyle count="2" pivot="0" name="Cadastro Automático VTRSEÇÃOMIL-style 2">
      <tableStyleElement dxfId="2" type="firstRowStripe"/>
      <tableStyleElement dxfId="35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933450</xdr:colOff>
      <xdr:row>1</xdr:row>
      <xdr:rowOff>219075</xdr:rowOff>
    </xdr:from>
    <xdr:ext cx="1905000" cy="323850"/>
    <xdr:grpSp>
      <xdr:nvGrpSpPr>
        <xdr:cNvPr id="2" name="Shape 2" title="Desenho"/>
        <xdr:cNvGrpSpPr/>
      </xdr:nvGrpSpPr>
      <xdr:grpSpPr>
        <a:xfrm>
          <a:off x="2249150" y="1526200"/>
          <a:ext cx="2650800" cy="442075"/>
          <a:chOff x="2249150" y="1526200"/>
          <a:chExt cx="2650800" cy="442075"/>
        </a:xfrm>
      </xdr:grpSpPr>
      <xdr:sp>
        <xdr:nvSpPr>
          <xdr:cNvPr id="3" name="Shape 3"/>
          <xdr:cNvSpPr/>
        </xdr:nvSpPr>
        <xdr:spPr>
          <a:xfrm>
            <a:off x="2249150" y="1526200"/>
            <a:ext cx="2650800" cy="441900"/>
          </a:xfrm>
          <a:prstGeom prst="upArrowCallout">
            <a:avLst>
              <a:gd fmla="val 25000" name="adj1"/>
              <a:gd fmla="val 25000" name="adj2"/>
              <a:gd fmla="val 25000" name="adj3"/>
              <a:gd fmla="val 64977" name="adj4"/>
            </a:avLst>
          </a:prstGeom>
          <a:solidFill>
            <a:srgbClr val="D9D9D9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4" name="Shape 4"/>
          <xdr:cNvSpPr txBox="1"/>
        </xdr:nvSpPr>
        <xdr:spPr>
          <a:xfrm>
            <a:off x="2296000" y="1686875"/>
            <a:ext cx="2557500" cy="281400"/>
          </a:xfrm>
          <a:prstGeom prst="rect">
            <a:avLst/>
          </a:prstGeom>
          <a:noFill/>
          <a:ln>
            <a:noFill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b="1" lang="en-US" sz="1200"/>
              <a:t>FILTRE O BOX POR AQUI!</a:t>
            </a:r>
            <a:endParaRPr b="1" sz="1200"/>
          </a:p>
        </xdr:txBody>
      </xdr:sp>
    </xdr:grpSp>
    <xdr:clientData fLocksWithSheet="0"/>
  </xdr:oneCellAnchor>
  <xdr:oneCellAnchor>
    <xdr:from>
      <xdr:col>3</xdr:col>
      <xdr:colOff>342900</xdr:colOff>
      <xdr:row>0</xdr:row>
      <xdr:rowOff>76200</xdr:rowOff>
    </xdr:from>
    <xdr:ext cx="685800" cy="733425"/>
    <xdr:pic>
      <xdr:nvPicPr>
        <xdr:cNvPr id="0" name="image2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228600</xdr:colOff>
      <xdr:row>0</xdr:row>
      <xdr:rowOff>76200</xdr:rowOff>
    </xdr:from>
    <xdr:ext cx="742950" cy="733425"/>
    <xdr:pic>
      <xdr:nvPicPr>
        <xdr:cNvPr id="0" name="image1.pn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1009650</xdr:colOff>
      <xdr:row>2</xdr:row>
      <xdr:rowOff>9525</xdr:rowOff>
    </xdr:from>
    <xdr:ext cx="1809750" cy="314325"/>
    <xdr:grpSp>
      <xdr:nvGrpSpPr>
        <xdr:cNvPr id="2" name="Shape 2" title="Desenho"/>
        <xdr:cNvGrpSpPr/>
      </xdr:nvGrpSpPr>
      <xdr:grpSpPr>
        <a:xfrm>
          <a:off x="2249150" y="1526200"/>
          <a:ext cx="2650800" cy="442075"/>
          <a:chOff x="2249150" y="1526200"/>
          <a:chExt cx="2650800" cy="442075"/>
        </a:xfrm>
      </xdr:grpSpPr>
      <xdr:sp>
        <xdr:nvSpPr>
          <xdr:cNvPr id="5" name="Shape 5"/>
          <xdr:cNvSpPr/>
        </xdr:nvSpPr>
        <xdr:spPr>
          <a:xfrm>
            <a:off x="2249150" y="1526200"/>
            <a:ext cx="2650800" cy="441900"/>
          </a:xfrm>
          <a:prstGeom prst="upArrowCallout">
            <a:avLst>
              <a:gd fmla="val 25000" name="adj1"/>
              <a:gd fmla="val 25000" name="adj2"/>
              <a:gd fmla="val 25000" name="adj3"/>
              <a:gd fmla="val 64977" name="adj4"/>
            </a:avLst>
          </a:prstGeom>
          <a:solidFill>
            <a:srgbClr val="D9D9D9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6" name="Shape 6"/>
          <xdr:cNvSpPr txBox="1"/>
        </xdr:nvSpPr>
        <xdr:spPr>
          <a:xfrm>
            <a:off x="2296000" y="1686875"/>
            <a:ext cx="2557500" cy="281400"/>
          </a:xfrm>
          <a:prstGeom prst="rect">
            <a:avLst/>
          </a:prstGeom>
          <a:noFill/>
          <a:ln>
            <a:noFill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b="1" lang="en-US" sz="1200"/>
              <a:t>FILTRE O BOX POR AQUI!</a:t>
            </a:r>
            <a:endParaRPr b="1" sz="1200"/>
          </a:p>
        </xdr:txBody>
      </xdr:sp>
    </xdr:grpSp>
    <xdr:clientData fLocksWithSheet="0"/>
  </xdr:oneCellAnchor>
  <xdr:oneCellAnchor>
    <xdr:from>
      <xdr:col>3</xdr:col>
      <xdr:colOff>342900</xdr:colOff>
      <xdr:row>0</xdr:row>
      <xdr:rowOff>76200</xdr:rowOff>
    </xdr:from>
    <xdr:ext cx="685800" cy="733425"/>
    <xdr:pic>
      <xdr:nvPicPr>
        <xdr:cNvPr id="0" name="image2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228600</xdr:colOff>
      <xdr:row>0</xdr:row>
      <xdr:rowOff>76200</xdr:rowOff>
    </xdr:from>
    <xdr:ext cx="742950" cy="733425"/>
    <xdr:pic>
      <xdr:nvPicPr>
        <xdr:cNvPr id="0" name="image1.pn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809625</xdr:colOff>
      <xdr:row>2</xdr:row>
      <xdr:rowOff>0</xdr:rowOff>
    </xdr:from>
    <xdr:ext cx="2038350" cy="323850"/>
    <xdr:grpSp>
      <xdr:nvGrpSpPr>
        <xdr:cNvPr id="2" name="Shape 2" title="Desenho"/>
        <xdr:cNvGrpSpPr/>
      </xdr:nvGrpSpPr>
      <xdr:grpSpPr>
        <a:xfrm>
          <a:off x="2249150" y="1526200"/>
          <a:ext cx="2650800" cy="442075"/>
          <a:chOff x="2249150" y="1526200"/>
          <a:chExt cx="2650800" cy="442075"/>
        </a:xfrm>
      </xdr:grpSpPr>
      <xdr:sp>
        <xdr:nvSpPr>
          <xdr:cNvPr id="7" name="Shape 7"/>
          <xdr:cNvSpPr/>
        </xdr:nvSpPr>
        <xdr:spPr>
          <a:xfrm>
            <a:off x="2249150" y="1526200"/>
            <a:ext cx="2650800" cy="441900"/>
          </a:xfrm>
          <a:prstGeom prst="upArrowCallout">
            <a:avLst>
              <a:gd fmla="val 25000" name="adj1"/>
              <a:gd fmla="val 25000" name="adj2"/>
              <a:gd fmla="val 25000" name="adj3"/>
              <a:gd fmla="val 64977" name="adj4"/>
            </a:avLst>
          </a:prstGeom>
          <a:solidFill>
            <a:srgbClr val="D9D9D9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8" name="Shape 8"/>
          <xdr:cNvSpPr txBox="1"/>
        </xdr:nvSpPr>
        <xdr:spPr>
          <a:xfrm>
            <a:off x="2296000" y="1686875"/>
            <a:ext cx="2557500" cy="281400"/>
          </a:xfrm>
          <a:prstGeom prst="rect">
            <a:avLst/>
          </a:prstGeom>
          <a:noFill/>
          <a:ln>
            <a:noFill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b="1" lang="en-US" sz="1200"/>
              <a:t>FILTRE O BOX POR AQUI!</a:t>
            </a:r>
            <a:endParaRPr b="1" sz="1200"/>
          </a:p>
        </xdr:txBody>
      </xdr:sp>
    </xdr:grpSp>
    <xdr:clientData fLocksWithSheet="0"/>
  </xdr:oneCellAnchor>
  <xdr:oneCellAnchor>
    <xdr:from>
      <xdr:col>3</xdr:col>
      <xdr:colOff>342900</xdr:colOff>
      <xdr:row>0</xdr:row>
      <xdr:rowOff>76200</xdr:rowOff>
    </xdr:from>
    <xdr:ext cx="685800" cy="733425"/>
    <xdr:pic>
      <xdr:nvPicPr>
        <xdr:cNvPr id="0" name="image2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228600</xdr:colOff>
      <xdr:row>0</xdr:row>
      <xdr:rowOff>76200</xdr:rowOff>
    </xdr:from>
    <xdr:ext cx="742950" cy="733425"/>
    <xdr:pic>
      <xdr:nvPicPr>
        <xdr:cNvPr id="0" name="image1.pn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809625</xdr:colOff>
      <xdr:row>2</xdr:row>
      <xdr:rowOff>0</xdr:rowOff>
    </xdr:from>
    <xdr:ext cx="2038350" cy="323850"/>
    <xdr:grpSp>
      <xdr:nvGrpSpPr>
        <xdr:cNvPr id="2" name="Shape 2" title="Desenho"/>
        <xdr:cNvGrpSpPr/>
      </xdr:nvGrpSpPr>
      <xdr:grpSpPr>
        <a:xfrm>
          <a:off x="2249150" y="1526200"/>
          <a:ext cx="2650800" cy="442075"/>
          <a:chOff x="2249150" y="1526200"/>
          <a:chExt cx="2650800" cy="442075"/>
        </a:xfrm>
      </xdr:grpSpPr>
      <xdr:sp>
        <xdr:nvSpPr>
          <xdr:cNvPr id="7" name="Shape 7"/>
          <xdr:cNvSpPr/>
        </xdr:nvSpPr>
        <xdr:spPr>
          <a:xfrm>
            <a:off x="2249150" y="1526200"/>
            <a:ext cx="2650800" cy="441900"/>
          </a:xfrm>
          <a:prstGeom prst="upArrowCallout">
            <a:avLst>
              <a:gd fmla="val 25000" name="adj1"/>
              <a:gd fmla="val 25000" name="adj2"/>
              <a:gd fmla="val 25000" name="adj3"/>
              <a:gd fmla="val 64977" name="adj4"/>
            </a:avLst>
          </a:prstGeom>
          <a:solidFill>
            <a:srgbClr val="D9D9D9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8" name="Shape 8"/>
          <xdr:cNvSpPr txBox="1"/>
        </xdr:nvSpPr>
        <xdr:spPr>
          <a:xfrm>
            <a:off x="2296000" y="1686875"/>
            <a:ext cx="2557500" cy="281400"/>
          </a:xfrm>
          <a:prstGeom prst="rect">
            <a:avLst/>
          </a:prstGeom>
          <a:noFill/>
          <a:ln>
            <a:noFill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b="1" lang="en-US" sz="1200"/>
              <a:t>FILTRE O BOX POR AQUI!</a:t>
            </a:r>
            <a:endParaRPr b="1" sz="1200"/>
          </a:p>
        </xdr:txBody>
      </xdr:sp>
    </xdr:grpSp>
    <xdr:clientData fLocksWithSheet="0"/>
  </xdr:oneCellAnchor>
  <xdr:oneCellAnchor>
    <xdr:from>
      <xdr:col>3</xdr:col>
      <xdr:colOff>342900</xdr:colOff>
      <xdr:row>0</xdr:row>
      <xdr:rowOff>76200</xdr:rowOff>
    </xdr:from>
    <xdr:ext cx="685800" cy="733425"/>
    <xdr:pic>
      <xdr:nvPicPr>
        <xdr:cNvPr id="0" name="image2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228600</xdr:colOff>
      <xdr:row>0</xdr:row>
      <xdr:rowOff>76200</xdr:rowOff>
    </xdr:from>
    <xdr:ext cx="742950" cy="733425"/>
    <xdr:pic>
      <xdr:nvPicPr>
        <xdr:cNvPr id="0" name="image1.pn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914400</xdr:colOff>
      <xdr:row>1</xdr:row>
      <xdr:rowOff>180975</xdr:rowOff>
    </xdr:from>
    <xdr:ext cx="1905000" cy="361950"/>
    <xdr:grpSp>
      <xdr:nvGrpSpPr>
        <xdr:cNvPr id="2" name="Shape 2" title="Desenho"/>
        <xdr:cNvGrpSpPr/>
      </xdr:nvGrpSpPr>
      <xdr:grpSpPr>
        <a:xfrm>
          <a:off x="2249150" y="1526200"/>
          <a:ext cx="2650800" cy="442075"/>
          <a:chOff x="2249150" y="1526200"/>
          <a:chExt cx="2650800" cy="442075"/>
        </a:xfrm>
      </xdr:grpSpPr>
      <xdr:sp>
        <xdr:nvSpPr>
          <xdr:cNvPr id="9" name="Shape 9"/>
          <xdr:cNvSpPr/>
        </xdr:nvSpPr>
        <xdr:spPr>
          <a:xfrm>
            <a:off x="2249150" y="1526200"/>
            <a:ext cx="2650800" cy="441900"/>
          </a:xfrm>
          <a:prstGeom prst="upArrowCallout">
            <a:avLst>
              <a:gd fmla="val 25000" name="adj1"/>
              <a:gd fmla="val 25000" name="adj2"/>
              <a:gd fmla="val 25000" name="adj3"/>
              <a:gd fmla="val 64977" name="adj4"/>
            </a:avLst>
          </a:prstGeom>
          <a:solidFill>
            <a:srgbClr val="D9D9D9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0" name="Shape 10"/>
          <xdr:cNvSpPr txBox="1"/>
        </xdr:nvSpPr>
        <xdr:spPr>
          <a:xfrm>
            <a:off x="2296000" y="1686875"/>
            <a:ext cx="2557500" cy="281400"/>
          </a:xfrm>
          <a:prstGeom prst="rect">
            <a:avLst/>
          </a:prstGeom>
          <a:noFill/>
          <a:ln>
            <a:noFill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b="1" lang="en-US" sz="1200"/>
              <a:t>FILTRE O BOX POR AQUI!</a:t>
            </a:r>
            <a:endParaRPr b="1" sz="1200"/>
          </a:p>
        </xdr:txBody>
      </xdr:sp>
    </xdr:grpSp>
    <xdr:clientData fLocksWithSheet="0"/>
  </xdr:oneCellAnchor>
  <xdr:oneCellAnchor>
    <xdr:from>
      <xdr:col>3</xdr:col>
      <xdr:colOff>342900</xdr:colOff>
      <xdr:row>0</xdr:row>
      <xdr:rowOff>76200</xdr:rowOff>
    </xdr:from>
    <xdr:ext cx="685800" cy="733425"/>
    <xdr:pic>
      <xdr:nvPicPr>
        <xdr:cNvPr id="0" name="image2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228600</xdr:colOff>
      <xdr:row>0</xdr:row>
      <xdr:rowOff>76200</xdr:rowOff>
    </xdr:from>
    <xdr:ext cx="742950" cy="733425"/>
    <xdr:pic>
      <xdr:nvPicPr>
        <xdr:cNvPr id="0" name="image1.pn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914400</xdr:colOff>
      <xdr:row>1</xdr:row>
      <xdr:rowOff>180975</xdr:rowOff>
    </xdr:from>
    <xdr:ext cx="1905000" cy="361950"/>
    <xdr:grpSp>
      <xdr:nvGrpSpPr>
        <xdr:cNvPr id="2" name="Shape 2" title="Desenho"/>
        <xdr:cNvGrpSpPr/>
      </xdr:nvGrpSpPr>
      <xdr:grpSpPr>
        <a:xfrm>
          <a:off x="2249150" y="1526200"/>
          <a:ext cx="2650800" cy="442075"/>
          <a:chOff x="2249150" y="1526200"/>
          <a:chExt cx="2650800" cy="442075"/>
        </a:xfrm>
      </xdr:grpSpPr>
      <xdr:sp>
        <xdr:nvSpPr>
          <xdr:cNvPr id="9" name="Shape 9"/>
          <xdr:cNvSpPr/>
        </xdr:nvSpPr>
        <xdr:spPr>
          <a:xfrm>
            <a:off x="2249150" y="1526200"/>
            <a:ext cx="2650800" cy="441900"/>
          </a:xfrm>
          <a:prstGeom prst="upArrowCallout">
            <a:avLst>
              <a:gd fmla="val 25000" name="adj1"/>
              <a:gd fmla="val 25000" name="adj2"/>
              <a:gd fmla="val 25000" name="adj3"/>
              <a:gd fmla="val 64977" name="adj4"/>
            </a:avLst>
          </a:prstGeom>
          <a:solidFill>
            <a:srgbClr val="D9D9D9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0" name="Shape 10"/>
          <xdr:cNvSpPr txBox="1"/>
        </xdr:nvSpPr>
        <xdr:spPr>
          <a:xfrm>
            <a:off x="2296000" y="1686875"/>
            <a:ext cx="2557500" cy="281400"/>
          </a:xfrm>
          <a:prstGeom prst="rect">
            <a:avLst/>
          </a:prstGeom>
          <a:noFill/>
          <a:ln>
            <a:noFill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b="1" lang="en-US" sz="1200"/>
              <a:t>FILTRE O BOX POR AQUI!</a:t>
            </a:r>
            <a:endParaRPr b="1" sz="1200"/>
          </a:p>
        </xdr:txBody>
      </xdr:sp>
    </xdr:grpSp>
    <xdr:clientData fLocksWithSheet="0"/>
  </xdr:oneCellAnchor>
  <xdr:oneCellAnchor>
    <xdr:from>
      <xdr:col>3</xdr:col>
      <xdr:colOff>342900</xdr:colOff>
      <xdr:row>0</xdr:row>
      <xdr:rowOff>76200</xdr:rowOff>
    </xdr:from>
    <xdr:ext cx="685800" cy="733425"/>
    <xdr:pic>
      <xdr:nvPicPr>
        <xdr:cNvPr id="0" name="image2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228600</xdr:colOff>
      <xdr:row>0</xdr:row>
      <xdr:rowOff>76200</xdr:rowOff>
    </xdr:from>
    <xdr:ext cx="742950" cy="733425"/>
    <xdr:pic>
      <xdr:nvPicPr>
        <xdr:cNvPr id="0" name="image1.pn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342900</xdr:colOff>
      <xdr:row>0</xdr:row>
      <xdr:rowOff>76200</xdr:rowOff>
    </xdr:from>
    <xdr:ext cx="685800" cy="733425"/>
    <xdr:pic>
      <xdr:nvPicPr>
        <xdr:cNvPr id="0" name="image2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228600</xdr:colOff>
      <xdr:row>0</xdr:row>
      <xdr:rowOff>76200</xdr:rowOff>
    </xdr:from>
    <xdr:ext cx="742950" cy="733425"/>
    <xdr:pic>
      <xdr:nvPicPr>
        <xdr:cNvPr id="0" name="image1.pn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914400</xdr:colOff>
      <xdr:row>1</xdr:row>
      <xdr:rowOff>180975</xdr:rowOff>
    </xdr:from>
    <xdr:ext cx="1905000" cy="361950"/>
    <xdr:grpSp>
      <xdr:nvGrpSpPr>
        <xdr:cNvPr id="2" name="Shape 2" title="Desenho"/>
        <xdr:cNvGrpSpPr/>
      </xdr:nvGrpSpPr>
      <xdr:grpSpPr>
        <a:xfrm>
          <a:off x="2249150" y="1526200"/>
          <a:ext cx="2650800" cy="442075"/>
          <a:chOff x="2249150" y="1526200"/>
          <a:chExt cx="2650800" cy="442075"/>
        </a:xfrm>
      </xdr:grpSpPr>
      <xdr:sp>
        <xdr:nvSpPr>
          <xdr:cNvPr id="9" name="Shape 9"/>
          <xdr:cNvSpPr/>
        </xdr:nvSpPr>
        <xdr:spPr>
          <a:xfrm>
            <a:off x="2249150" y="1526200"/>
            <a:ext cx="2650800" cy="441900"/>
          </a:xfrm>
          <a:prstGeom prst="upArrowCallout">
            <a:avLst>
              <a:gd fmla="val 25000" name="adj1"/>
              <a:gd fmla="val 25000" name="adj2"/>
              <a:gd fmla="val 25000" name="adj3"/>
              <a:gd fmla="val 64977" name="adj4"/>
            </a:avLst>
          </a:prstGeom>
          <a:solidFill>
            <a:srgbClr val="D9D9D9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0" name="Shape 10"/>
          <xdr:cNvSpPr txBox="1"/>
        </xdr:nvSpPr>
        <xdr:spPr>
          <a:xfrm>
            <a:off x="2296000" y="1686875"/>
            <a:ext cx="2557500" cy="281400"/>
          </a:xfrm>
          <a:prstGeom prst="rect">
            <a:avLst/>
          </a:prstGeom>
          <a:noFill/>
          <a:ln>
            <a:noFill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b="1" lang="en-US" sz="1200"/>
              <a:t>FILTRE O BOX POR AQUI!</a:t>
            </a:r>
            <a:endParaRPr b="1" sz="1200"/>
          </a:p>
        </xdr:txBody>
      </xdr:sp>
    </xdr:grpSp>
    <xdr:clientData fLocksWithSheet="0"/>
  </xdr:oneCellAnchor>
  <xdr:oneCellAnchor>
    <xdr:from>
      <xdr:col>3</xdr:col>
      <xdr:colOff>342900</xdr:colOff>
      <xdr:row>0</xdr:row>
      <xdr:rowOff>76200</xdr:rowOff>
    </xdr:from>
    <xdr:ext cx="685800" cy="733425"/>
    <xdr:pic>
      <xdr:nvPicPr>
        <xdr:cNvPr id="0" name="image2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228600</xdr:colOff>
      <xdr:row>0</xdr:row>
      <xdr:rowOff>76200</xdr:rowOff>
    </xdr:from>
    <xdr:ext cx="742950" cy="733425"/>
    <xdr:pic>
      <xdr:nvPicPr>
        <xdr:cNvPr id="0" name="image1.pn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342900</xdr:colOff>
      <xdr:row>0</xdr:row>
      <xdr:rowOff>76200</xdr:rowOff>
    </xdr:from>
    <xdr:ext cx="685800" cy="733425"/>
    <xdr:pic>
      <xdr:nvPicPr>
        <xdr:cNvPr id="0" name="image2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228600</xdr:colOff>
      <xdr:row>0</xdr:row>
      <xdr:rowOff>76200</xdr:rowOff>
    </xdr:from>
    <xdr:ext cx="742950" cy="733425"/>
    <xdr:pic>
      <xdr:nvPicPr>
        <xdr:cNvPr id="0" name="image1.pn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104775</xdr:colOff>
      <xdr:row>0</xdr:row>
      <xdr:rowOff>219075</xdr:rowOff>
    </xdr:from>
    <xdr:ext cx="3143250" cy="438150"/>
    <xdr:grpSp>
      <xdr:nvGrpSpPr>
        <xdr:cNvPr id="2" name="Shape 2" title="Desenho"/>
        <xdr:cNvGrpSpPr/>
      </xdr:nvGrpSpPr>
      <xdr:grpSpPr>
        <a:xfrm>
          <a:off x="2299400" y="1144675"/>
          <a:ext cx="4076700" cy="552250"/>
          <a:chOff x="2299400" y="1144675"/>
          <a:chExt cx="4076700" cy="552250"/>
        </a:xfrm>
      </xdr:grpSpPr>
      <xdr:sp>
        <xdr:nvSpPr>
          <xdr:cNvPr id="11" name="Shape 11"/>
          <xdr:cNvSpPr/>
        </xdr:nvSpPr>
        <xdr:spPr>
          <a:xfrm>
            <a:off x="2299400" y="1144675"/>
            <a:ext cx="4076700" cy="471900"/>
          </a:xfrm>
          <a:prstGeom prst="rightArrowCallout">
            <a:avLst>
              <a:gd fmla="val 31914" name="adj1"/>
              <a:gd fmla="val 28724" name="adj2"/>
              <a:gd fmla="val 25000" name="adj3"/>
              <a:gd fmla="val 79309" name="adj4"/>
            </a:avLst>
          </a:prstGeom>
          <a:solidFill>
            <a:srgbClr val="B7B7B7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2" name="Shape 12"/>
          <xdr:cNvSpPr txBox="1"/>
        </xdr:nvSpPr>
        <xdr:spPr>
          <a:xfrm>
            <a:off x="2389775" y="1225025"/>
            <a:ext cx="3162900" cy="471900"/>
          </a:xfrm>
          <a:prstGeom prst="rect">
            <a:avLst/>
          </a:prstGeom>
          <a:noFill/>
          <a:ln>
            <a:noFill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/>
              <a:t>LINK PARA INFORMAR ALTERAÇÃO NO RECEBIMENTO DE SERVIÇO.</a:t>
            </a:r>
            <a:endParaRPr sz="1000"/>
          </a:p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000"/>
          </a:p>
        </xdr:txBody>
      </xdr:sp>
    </xdr:grpSp>
    <xdr:clientData fLocksWithSheet="0"/>
  </xdr:oneCellAnchor>
  <xdr:oneCellAnchor>
    <xdr:from>
      <xdr:col>3</xdr:col>
      <xdr:colOff>342900</xdr:colOff>
      <xdr:row>0</xdr:row>
      <xdr:rowOff>76200</xdr:rowOff>
    </xdr:from>
    <xdr:ext cx="685800" cy="733425"/>
    <xdr:pic>
      <xdr:nvPicPr>
        <xdr:cNvPr id="0" name="image2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228600</xdr:colOff>
      <xdr:row>0</xdr:row>
      <xdr:rowOff>76200</xdr:rowOff>
    </xdr:from>
    <xdr:ext cx="742950" cy="733425"/>
    <xdr:pic>
      <xdr:nvPicPr>
        <xdr:cNvPr id="0" name="image1.pn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809625</xdr:colOff>
      <xdr:row>2</xdr:row>
      <xdr:rowOff>0</xdr:rowOff>
    </xdr:from>
    <xdr:ext cx="2038350" cy="323850"/>
    <xdr:grpSp>
      <xdr:nvGrpSpPr>
        <xdr:cNvPr id="2" name="Shape 2" title="Desenho"/>
        <xdr:cNvGrpSpPr/>
      </xdr:nvGrpSpPr>
      <xdr:grpSpPr>
        <a:xfrm>
          <a:off x="2249150" y="1526200"/>
          <a:ext cx="2650800" cy="442075"/>
          <a:chOff x="2249150" y="1526200"/>
          <a:chExt cx="2650800" cy="442075"/>
        </a:xfrm>
      </xdr:grpSpPr>
      <xdr:sp>
        <xdr:nvSpPr>
          <xdr:cNvPr id="7" name="Shape 7"/>
          <xdr:cNvSpPr/>
        </xdr:nvSpPr>
        <xdr:spPr>
          <a:xfrm>
            <a:off x="2249150" y="1526200"/>
            <a:ext cx="2650800" cy="441900"/>
          </a:xfrm>
          <a:prstGeom prst="upArrowCallout">
            <a:avLst>
              <a:gd fmla="val 25000" name="adj1"/>
              <a:gd fmla="val 25000" name="adj2"/>
              <a:gd fmla="val 25000" name="adj3"/>
              <a:gd fmla="val 64977" name="adj4"/>
            </a:avLst>
          </a:prstGeom>
          <a:solidFill>
            <a:srgbClr val="D9D9D9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8" name="Shape 8"/>
          <xdr:cNvSpPr txBox="1"/>
        </xdr:nvSpPr>
        <xdr:spPr>
          <a:xfrm>
            <a:off x="2296000" y="1686875"/>
            <a:ext cx="2557500" cy="281400"/>
          </a:xfrm>
          <a:prstGeom prst="rect">
            <a:avLst/>
          </a:prstGeom>
          <a:noFill/>
          <a:ln>
            <a:noFill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b="1" lang="en-US" sz="1200"/>
              <a:t>FILTRE O BOX POR AQUI!</a:t>
            </a:r>
            <a:endParaRPr b="1" sz="1200"/>
          </a:p>
        </xdr:txBody>
      </xdr:sp>
    </xdr:grpSp>
    <xdr:clientData fLocksWithSheet="0"/>
  </xdr:oneCellAnchor>
  <xdr:oneCellAnchor>
    <xdr:from>
      <xdr:col>3</xdr:col>
      <xdr:colOff>342900</xdr:colOff>
      <xdr:row>0</xdr:row>
      <xdr:rowOff>76200</xdr:rowOff>
    </xdr:from>
    <xdr:ext cx="685800" cy="733425"/>
    <xdr:pic>
      <xdr:nvPicPr>
        <xdr:cNvPr id="0" name="image2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228600</xdr:colOff>
      <xdr:row>0</xdr:row>
      <xdr:rowOff>76200</xdr:rowOff>
    </xdr:from>
    <xdr:ext cx="742950" cy="733425"/>
    <xdr:pic>
      <xdr:nvPicPr>
        <xdr:cNvPr id="0" name="image1.pn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809625</xdr:colOff>
      <xdr:row>2</xdr:row>
      <xdr:rowOff>0</xdr:rowOff>
    </xdr:from>
    <xdr:ext cx="2038350" cy="323850"/>
    <xdr:grpSp>
      <xdr:nvGrpSpPr>
        <xdr:cNvPr id="2" name="Shape 2" title="Desenho"/>
        <xdr:cNvGrpSpPr/>
      </xdr:nvGrpSpPr>
      <xdr:grpSpPr>
        <a:xfrm>
          <a:off x="2249150" y="1526200"/>
          <a:ext cx="2650800" cy="442075"/>
          <a:chOff x="2249150" y="1526200"/>
          <a:chExt cx="2650800" cy="442075"/>
        </a:xfrm>
      </xdr:grpSpPr>
      <xdr:sp>
        <xdr:nvSpPr>
          <xdr:cNvPr id="7" name="Shape 7"/>
          <xdr:cNvSpPr/>
        </xdr:nvSpPr>
        <xdr:spPr>
          <a:xfrm>
            <a:off x="2249150" y="1526200"/>
            <a:ext cx="2650800" cy="441900"/>
          </a:xfrm>
          <a:prstGeom prst="upArrowCallout">
            <a:avLst>
              <a:gd fmla="val 25000" name="adj1"/>
              <a:gd fmla="val 25000" name="adj2"/>
              <a:gd fmla="val 25000" name="adj3"/>
              <a:gd fmla="val 64977" name="adj4"/>
            </a:avLst>
          </a:prstGeom>
          <a:solidFill>
            <a:srgbClr val="D9D9D9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8" name="Shape 8"/>
          <xdr:cNvSpPr txBox="1"/>
        </xdr:nvSpPr>
        <xdr:spPr>
          <a:xfrm>
            <a:off x="2296000" y="1686875"/>
            <a:ext cx="2557500" cy="281400"/>
          </a:xfrm>
          <a:prstGeom prst="rect">
            <a:avLst/>
          </a:prstGeom>
          <a:noFill/>
          <a:ln>
            <a:noFill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b="1" lang="en-US" sz="1200"/>
              <a:t>FILTRE O BOX POR AQUI!</a:t>
            </a:r>
            <a:endParaRPr b="1" sz="1200"/>
          </a:p>
        </xdr:txBody>
      </xdr:sp>
    </xdr:grpSp>
    <xdr:clientData fLocksWithSheet="0"/>
  </xdr:oneCellAnchor>
  <xdr:oneCellAnchor>
    <xdr:from>
      <xdr:col>3</xdr:col>
      <xdr:colOff>342900</xdr:colOff>
      <xdr:row>0</xdr:row>
      <xdr:rowOff>76200</xdr:rowOff>
    </xdr:from>
    <xdr:ext cx="685800" cy="733425"/>
    <xdr:pic>
      <xdr:nvPicPr>
        <xdr:cNvPr id="0" name="image2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228600</xdr:colOff>
      <xdr:row>0</xdr:row>
      <xdr:rowOff>76200</xdr:rowOff>
    </xdr:from>
    <xdr:ext cx="742950" cy="733425"/>
    <xdr:pic>
      <xdr:nvPicPr>
        <xdr:cNvPr id="0" name="image1.pn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809625</xdr:colOff>
      <xdr:row>2</xdr:row>
      <xdr:rowOff>0</xdr:rowOff>
    </xdr:from>
    <xdr:ext cx="2038350" cy="323850"/>
    <xdr:grpSp>
      <xdr:nvGrpSpPr>
        <xdr:cNvPr id="2" name="Shape 2" title="Desenho"/>
        <xdr:cNvGrpSpPr/>
      </xdr:nvGrpSpPr>
      <xdr:grpSpPr>
        <a:xfrm>
          <a:off x="2249150" y="1526200"/>
          <a:ext cx="2650800" cy="442075"/>
          <a:chOff x="2249150" y="1526200"/>
          <a:chExt cx="2650800" cy="442075"/>
        </a:xfrm>
      </xdr:grpSpPr>
      <xdr:sp>
        <xdr:nvSpPr>
          <xdr:cNvPr id="7" name="Shape 7"/>
          <xdr:cNvSpPr/>
        </xdr:nvSpPr>
        <xdr:spPr>
          <a:xfrm>
            <a:off x="2249150" y="1526200"/>
            <a:ext cx="2650800" cy="441900"/>
          </a:xfrm>
          <a:prstGeom prst="upArrowCallout">
            <a:avLst>
              <a:gd fmla="val 25000" name="adj1"/>
              <a:gd fmla="val 25000" name="adj2"/>
              <a:gd fmla="val 25000" name="adj3"/>
              <a:gd fmla="val 64977" name="adj4"/>
            </a:avLst>
          </a:prstGeom>
          <a:solidFill>
            <a:srgbClr val="D9D9D9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8" name="Shape 8"/>
          <xdr:cNvSpPr txBox="1"/>
        </xdr:nvSpPr>
        <xdr:spPr>
          <a:xfrm>
            <a:off x="2296000" y="1686875"/>
            <a:ext cx="2557500" cy="281400"/>
          </a:xfrm>
          <a:prstGeom prst="rect">
            <a:avLst/>
          </a:prstGeom>
          <a:noFill/>
          <a:ln>
            <a:noFill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b="1" lang="en-US" sz="1200"/>
              <a:t>FILTRE O BOX POR AQUI!</a:t>
            </a:r>
            <a:endParaRPr b="1" sz="1200"/>
          </a:p>
        </xdr:txBody>
      </xdr:sp>
    </xdr:grpSp>
    <xdr:clientData fLocksWithSheet="0"/>
  </xdr:oneCellAnchor>
  <xdr:oneCellAnchor>
    <xdr:from>
      <xdr:col>3</xdr:col>
      <xdr:colOff>342900</xdr:colOff>
      <xdr:row>0</xdr:row>
      <xdr:rowOff>76200</xdr:rowOff>
    </xdr:from>
    <xdr:ext cx="685800" cy="733425"/>
    <xdr:pic>
      <xdr:nvPicPr>
        <xdr:cNvPr id="0" name="image2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228600</xdr:colOff>
      <xdr:row>0</xdr:row>
      <xdr:rowOff>76200</xdr:rowOff>
    </xdr:from>
    <xdr:ext cx="742950" cy="733425"/>
    <xdr:pic>
      <xdr:nvPicPr>
        <xdr:cNvPr id="0" name="image1.pn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809625</xdr:colOff>
      <xdr:row>2</xdr:row>
      <xdr:rowOff>0</xdr:rowOff>
    </xdr:from>
    <xdr:ext cx="2038350" cy="323850"/>
    <xdr:grpSp>
      <xdr:nvGrpSpPr>
        <xdr:cNvPr id="2" name="Shape 2" title="Desenho"/>
        <xdr:cNvGrpSpPr/>
      </xdr:nvGrpSpPr>
      <xdr:grpSpPr>
        <a:xfrm>
          <a:off x="2249150" y="1526200"/>
          <a:ext cx="2650800" cy="442075"/>
          <a:chOff x="2249150" y="1526200"/>
          <a:chExt cx="2650800" cy="442075"/>
        </a:xfrm>
      </xdr:grpSpPr>
      <xdr:sp>
        <xdr:nvSpPr>
          <xdr:cNvPr id="7" name="Shape 7"/>
          <xdr:cNvSpPr/>
        </xdr:nvSpPr>
        <xdr:spPr>
          <a:xfrm>
            <a:off x="2249150" y="1526200"/>
            <a:ext cx="2650800" cy="441900"/>
          </a:xfrm>
          <a:prstGeom prst="upArrowCallout">
            <a:avLst>
              <a:gd fmla="val 25000" name="adj1"/>
              <a:gd fmla="val 25000" name="adj2"/>
              <a:gd fmla="val 25000" name="adj3"/>
              <a:gd fmla="val 64977" name="adj4"/>
            </a:avLst>
          </a:prstGeom>
          <a:solidFill>
            <a:srgbClr val="D9D9D9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8" name="Shape 8"/>
          <xdr:cNvSpPr txBox="1"/>
        </xdr:nvSpPr>
        <xdr:spPr>
          <a:xfrm>
            <a:off x="2296000" y="1686875"/>
            <a:ext cx="2557500" cy="281400"/>
          </a:xfrm>
          <a:prstGeom prst="rect">
            <a:avLst/>
          </a:prstGeom>
          <a:noFill/>
          <a:ln>
            <a:noFill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b="1" lang="en-US" sz="1200"/>
              <a:t>FILTRE O BOX POR AQUI!</a:t>
            </a:r>
            <a:endParaRPr b="1" sz="1200"/>
          </a:p>
        </xdr:txBody>
      </xdr:sp>
    </xdr:grpSp>
    <xdr:clientData fLocksWithSheet="0"/>
  </xdr:oneCellAnchor>
  <xdr:oneCellAnchor>
    <xdr:from>
      <xdr:col>3</xdr:col>
      <xdr:colOff>342900</xdr:colOff>
      <xdr:row>0</xdr:row>
      <xdr:rowOff>76200</xdr:rowOff>
    </xdr:from>
    <xdr:ext cx="685800" cy="733425"/>
    <xdr:pic>
      <xdr:nvPicPr>
        <xdr:cNvPr id="0" name="image2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228600</xdr:colOff>
      <xdr:row>0</xdr:row>
      <xdr:rowOff>76200</xdr:rowOff>
    </xdr:from>
    <xdr:ext cx="742950" cy="733425"/>
    <xdr:pic>
      <xdr:nvPicPr>
        <xdr:cNvPr id="0" name="image1.pn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:B3" displayName="Table_1" name="Table_1" id="1">
  <tableColumns count="2">
    <tableColumn name="Column1" id="1"/>
    <tableColumn name="Column2" id="2"/>
  </tableColumns>
  <tableStyleInfo name="ASM3617-style" showColumnStripes="0" showFirstColumn="1" showLastColumn="1" showRowStripes="1"/>
</table>
</file>

<file path=xl/tables/table2.xml><?xml version="1.0" encoding="utf-8"?>
<table xmlns="http://schemas.openxmlformats.org/spreadsheetml/2006/main" ref="A4:I1703" displayName="MAPA_CARGA_ASM3617" name="MAPA_CARGA_ASM3617" id="2">
  <autoFilter ref="$A$4:$I$1703"/>
  <tableColumns count="9">
    <tableColumn name="ID" id="1"/>
    <tableColumn name="MATERIAL" id="2"/>
    <tableColumn name="QTD" id="3"/>
    <tableColumn name="TIPO" id="4"/>
    <tableColumn name="VTR/ MILITAR/ SEÇÃO" id="5"/>
    <tableColumn name="LOCAL DE ARMAZENAMENTO" id="6"/>
    <tableColumn name="PATRIMÔNIO" id="7"/>
    <tableColumn name="Nº SÉRIE" id="8"/>
    <tableColumn name="OBSERVAÇÃO" id="9"/>
  </tableColumns>
  <tableStyleInfo name="ASM3617-style 2" showColumnStripes="0" showFirstColumn="1" showLastColumn="1" showRowStripes="1"/>
</table>
</file>

<file path=xl/tables/table3.xml><?xml version="1.0" encoding="utf-8"?>
<table xmlns="http://schemas.openxmlformats.org/spreadsheetml/2006/main" headerRowCount="0" ref="A1:B3" displayName="Table_2" name="Table_2" id="3">
  <tableColumns count="2">
    <tableColumn name="Column1" id="1"/>
    <tableColumn name="Column2" id="2"/>
  </tableColumns>
  <tableStyleInfo name=" ABTS1418-style" showColumnStripes="0" showFirstColumn="1" showLastColumn="1" showRowStripes="1"/>
</table>
</file>

<file path=xl/tables/table4.xml><?xml version="1.0" encoding="utf-8"?>
<table xmlns="http://schemas.openxmlformats.org/spreadsheetml/2006/main" ref="A4:I1703" displayName="MAPA_CARGA_ABTS1418" name="MAPA_CARGA_ABTS1418" id="4">
  <autoFilter ref="$A$4:$I$1703"/>
  <tableColumns count="9">
    <tableColumn name="ID" id="1"/>
    <tableColumn name="MATERIAL" id="2"/>
    <tableColumn name="QTD" id="3"/>
    <tableColumn name="TIPO" id="4"/>
    <tableColumn name="VTR/ MILITAR/ SEÇÃO" id="5"/>
    <tableColumn name="LOCAL DE ARMAZENAMENTO" id="6"/>
    <tableColumn name="PATRIMÔNIO" id="7"/>
    <tableColumn name="Nº SÉRIE" id="8"/>
    <tableColumn name="OBSERVAÇÃO" id="9"/>
  </tableColumns>
  <tableStyleInfo name=" ABTS1418-style 2" showColumnStripes="0" showFirstColumn="1" showLastColumn="1" showRowStripes="1"/>
</table>
</file>

<file path=xl/tables/table5.xml><?xml version="1.0" encoding="utf-8"?>
<table xmlns="http://schemas.openxmlformats.org/spreadsheetml/2006/main" headerRowCount="0" ref="A1:B3" displayName="Table_3" name="Table_3" id="5">
  <tableColumns count="2">
    <tableColumn name="Column1" id="1"/>
    <tableColumn name="Column2" id="2"/>
  </tableColumns>
  <tableStyleInfo name="ACIF5790-style" showColumnStripes="0" showFirstColumn="1" showLastColumn="1" showRowStripes="1"/>
</table>
</file>

<file path=xl/tables/table6.xml><?xml version="1.0" encoding="utf-8"?>
<table xmlns="http://schemas.openxmlformats.org/spreadsheetml/2006/main" ref="A4:I1703" displayName="MAPA_CARGA_SAO_5" name="MAPA_CARGA_SAO_5" id="6">
  <autoFilter ref="$A$4:$I$1703"/>
  <tableColumns count="9">
    <tableColumn name="FILTRO" id="1"/>
    <tableColumn name="MATERIAL" id="2"/>
    <tableColumn name="QTD" id="3"/>
    <tableColumn name="TIPO" id="4"/>
    <tableColumn name="VTR/ MILITAR/ SEÇÃO" id="5"/>
    <tableColumn name="LOCAL DE ARMAZENAMENTO" id="6"/>
    <tableColumn name="PATRIMÔNIO" id="7"/>
    <tableColumn name="Nº SÉRIE" id="8"/>
    <tableColumn name="OBSERVAÇÃO " id="9"/>
  </tableColumns>
  <tableStyleInfo name="ACIF5790-style 2" showColumnStripes="0" showFirstColumn="1" showLastColumn="1" showRowStripes="1"/>
</table>
</file>

<file path=xl/tables/table7.xml><?xml version="1.0" encoding="utf-8"?>
<table xmlns="http://schemas.openxmlformats.org/spreadsheetml/2006/main" headerRowCount="0" ref="A1:B3" displayName="Table_4" name="Table_4" id="7">
  <tableColumns count="2">
    <tableColumn name="Column1" id="1"/>
    <tableColumn name="Column2" id="2"/>
  </tableColumns>
  <tableStyleInfo name="UR3486-style" showColumnStripes="0" showFirstColumn="1" showLastColumn="1" showRowStripes="1"/>
</table>
</file>

<file path=xl/tables/table8.xml><?xml version="1.0" encoding="utf-8"?>
<table xmlns="http://schemas.openxmlformats.org/spreadsheetml/2006/main" ref="A4:I1703" displayName="MAPA_CARGA_SAO_6" name="MAPA_CARGA_SAO_6" id="8">
  <autoFilter ref="$A$4:$I$1703"/>
  <tableColumns count="9">
    <tableColumn name="FILTRO" id="1"/>
    <tableColumn name="MATERIAL" id="2"/>
    <tableColumn name="QTD" id="3"/>
    <tableColumn name="TIPO" id="4"/>
    <tableColumn name="VTR/ MILITAR/ SEÇÃO" id="5"/>
    <tableColumn name="LOCAL DE ARMAZENAMENTO" id="6"/>
    <tableColumn name="PATRIMÔNIO" id="7"/>
    <tableColumn name="Nº SÉRIE" id="8"/>
    <tableColumn name="OBSERVAÇÃO " id="9"/>
  </tableColumns>
  <tableStyleInfo name="UR3486-style 2" showColumnStripes="0" showFirstColumn="1" showLastColumn="1" showRowStripes="1"/>
</table>
</file>

<file path=xl/tables/table9.xml><?xml version="1.0" encoding="utf-8"?>
<table xmlns="http://schemas.openxmlformats.org/spreadsheetml/2006/main" headerRowCount="0" ref="A1:B3" displayName="Table_5" name="Table_5" id="9">
  <tableColumns count="2">
    <tableColumn name="Column1" id="1"/>
    <tableColumn name="Column2" id="2"/>
  </tableColumns>
  <tableStyleInfo name=" ASL1080-style" showColumnStripes="0" showFirstColumn="1" showLastColumn="1" showRowStripes="1"/>
</table>
</file>

<file path=xl/tables/table10.xml><?xml version="1.0" encoding="utf-8"?>
<table xmlns="http://schemas.openxmlformats.org/spreadsheetml/2006/main" ref="A4:I1703" displayName="MAPA_CARGA_SAO_2" name="MAPA_CARGA_SAO_2" id="10">
  <autoFilter ref="$A$4:$I$1703"/>
  <tableColumns count="9">
    <tableColumn name="FILTRO" id="1"/>
    <tableColumn name="MATERIAL" id="2"/>
    <tableColumn name="QTD" id="3"/>
    <tableColumn name="TIPO" id="4"/>
    <tableColumn name="VTR/ MILITAR/ SEÇÃO" id="5"/>
    <tableColumn name="LOCAL DE ARMAZENAMENTO" id="6"/>
    <tableColumn name="PATRIMÔNIO" id="7"/>
    <tableColumn name="Nº SÉRIE" id="8"/>
    <tableColumn name="OBSERVAÇÃO" id="9"/>
  </tableColumns>
  <tableStyleInfo name=" ASL1080-style 2" showColumnStripes="0" showFirstColumn="1" showLastColumn="1" showRowStripes="1"/>
</table>
</file>

<file path=xl/tables/table11.xml><?xml version="1.0" encoding="utf-8"?>
<table xmlns="http://schemas.openxmlformats.org/spreadsheetml/2006/main" headerRowCount="0" ref="A1:B3" displayName="Table_6" name="Table_6" id="11">
  <tableColumns count="2">
    <tableColumn name="Column1" id="1"/>
    <tableColumn name="Column2" id="2"/>
  </tableColumns>
  <tableStyleInfo name="ASF2163-style" showColumnStripes="0" showFirstColumn="1" showLastColumn="1" showRowStripes="1"/>
</table>
</file>

<file path=xl/tables/table12.xml><?xml version="1.0" encoding="utf-8"?>
<table xmlns="http://schemas.openxmlformats.org/spreadsheetml/2006/main" ref="A4:I1703" displayName="MAPA_CARGA_SAO_7" name="MAPA_CARGA_SAO_7" id="12">
  <autoFilter ref="$A$4:$I$1703"/>
  <tableColumns count="9">
    <tableColumn name="FILTRO" id="1"/>
    <tableColumn name="MATERIAL" id="2"/>
    <tableColumn name="QTD" id="3"/>
    <tableColumn name="TIPO" id="4"/>
    <tableColumn name="VTR/ MILITAR/ SEÇÃO" id="5"/>
    <tableColumn name="LOCAL DE ARMAZENAMENTO" id="6"/>
    <tableColumn name="PATRIMÔNIO" id="7"/>
    <tableColumn name="Nº SÉRIE" id="8"/>
    <tableColumn name="OBSERVAÇÃO" id="9"/>
  </tableColumns>
  <tableStyleInfo name="ASF2163-style 2" showColumnStripes="0" showFirstColumn="1" showLastColumn="1" showRowStripes="1"/>
</table>
</file>

<file path=xl/tables/table13.xml><?xml version="1.0" encoding="utf-8"?>
<table xmlns="http://schemas.openxmlformats.org/spreadsheetml/2006/main" headerRowCount="0" ref="A1:B3" displayName="Table_7" name="Table_7" id="13">
  <tableColumns count="2">
    <tableColumn name="Column1" id="1"/>
    <tableColumn name="Column2" id="2"/>
  </tableColumns>
  <tableStyleInfo name="ABTS5911-style" showColumnStripes="0" showFirstColumn="1" showLastColumn="1" showRowStripes="1"/>
</table>
</file>

<file path=xl/tables/table14.xml><?xml version="1.0" encoding="utf-8"?>
<table xmlns="http://schemas.openxmlformats.org/spreadsheetml/2006/main" ref="A4:I1703" displayName="MAPA_CARGA_SAO_3" name="MAPA_CARGA_SAO_3" id="14">
  <autoFilter ref="$A$4:$I$1703"/>
  <tableColumns count="9">
    <tableColumn name="FILTRO" id="1"/>
    <tableColumn name="MATERIAL" id="2"/>
    <tableColumn name="QTD" id="3"/>
    <tableColumn name="TIPO" id="4"/>
    <tableColumn name="VTR/ MILITAR/ SEÇÃO" id="5"/>
    <tableColumn name="LOCAL DE ARMAZENAMENTO" id="6"/>
    <tableColumn name="PATRIMÔNIO" id="7"/>
    <tableColumn name="Nº SÉRIE" id="8"/>
    <tableColumn name="OBSERVAÇÃO" id="9"/>
  </tableColumns>
  <tableStyleInfo name="ABTS5911-style 2" showColumnStripes="0" showFirstColumn="1" showLastColumn="1" showRowStripes="1"/>
</table>
</file>

<file path=xl/tables/table15.xml><?xml version="1.0" encoding="utf-8"?>
<table xmlns="http://schemas.openxmlformats.org/spreadsheetml/2006/main" headerRowCount="0" ref="A1:B3" displayName="Table_8" name="Table_8" id="15">
  <tableColumns count="2">
    <tableColumn name="Column1" id="1"/>
    <tableColumn name="Column2" id="2"/>
  </tableColumns>
  <tableStyleInfo name="ASF2230-style" showColumnStripes="0" showFirstColumn="1" showLastColumn="1" showRowStripes="1"/>
</table>
</file>

<file path=xl/tables/table16.xml><?xml version="1.0" encoding="utf-8"?>
<table xmlns="http://schemas.openxmlformats.org/spreadsheetml/2006/main" ref="A4:I1703" displayName="MAPA_CARGA_SAO_12" name="MAPA_CARGA_SAO_12" id="16">
  <autoFilter ref="$A$4:$I$1703"/>
  <tableColumns count="9">
    <tableColumn name="FILTRO" id="1"/>
    <tableColumn name="MATERIAL" id="2"/>
    <tableColumn name="QTD" id="3"/>
    <tableColumn name="TIPO" id="4"/>
    <tableColumn name="VTR/ MILITAR/ SEÇÃO" id="5"/>
    <tableColumn name="LOCAL DE ARMAZENAMENTO" id="6"/>
    <tableColumn name="PATRIMÔNIO" id="7"/>
    <tableColumn name="Nº SÉRIE" id="8"/>
    <tableColumn name="OBSERVAÇÃO" id="9"/>
  </tableColumns>
  <tableStyleInfo name="ASF2230-style 2" showColumnStripes="0" showFirstColumn="1" showLastColumn="1" showRowStripes="1"/>
</table>
</file>

<file path=xl/tables/table17.xml><?xml version="1.0" encoding="utf-8"?>
<table xmlns="http://schemas.openxmlformats.org/spreadsheetml/2006/main" headerRowCount="0" ref="A1:B3" displayName="Table_9" name="Table_9" id="17">
  <tableColumns count="2">
    <tableColumn name="Column1" id="1"/>
    <tableColumn name="Column2" id="2"/>
  </tableColumns>
  <tableStyleInfo name="ATB0722-style" showColumnStripes="0" showFirstColumn="1" showLastColumn="1" showRowStripes="1"/>
</table>
</file>

<file path=xl/tables/table18.xml><?xml version="1.0" encoding="utf-8"?>
<table xmlns="http://schemas.openxmlformats.org/spreadsheetml/2006/main" ref="A4:I1703" displayName="MAPA_CARGA_SAO_10" name="MAPA_CARGA_SAO_10" id="18">
  <autoFilter ref="$A$4:$I$1703"/>
  <tableColumns count="9">
    <tableColumn name="FILTRO" id="1"/>
    <tableColumn name="MATERIAL" id="2"/>
    <tableColumn name="QTD" id="3"/>
    <tableColumn name="TIPO" id="4"/>
    <tableColumn name="VTR/ MILITAR/ SEÇÃO" id="5"/>
    <tableColumn name="LOCAL DE ARMAZENAMENTO" id="6"/>
    <tableColumn name="PATRIMÔNIO" id="7"/>
    <tableColumn name="Nº SÉRIE" id="8"/>
    <tableColumn name="OBSERVAÇÃO" id="9"/>
  </tableColumns>
  <tableStyleInfo name="ATB0722-style 2" showColumnStripes="0" showFirstColumn="1" showLastColumn="1" showRowStripes="1"/>
</table>
</file>

<file path=xl/tables/table19.xml><?xml version="1.0" encoding="utf-8"?>
<table xmlns="http://schemas.openxmlformats.org/spreadsheetml/2006/main" headerRowCount="0" ref="A1:B3" displayName="Table_10" name="Table_10" id="19">
  <tableColumns count="2">
    <tableColumn name="Column1" id="1"/>
    <tableColumn name="Column2" id="2"/>
  </tableColumns>
  <tableStyleInfo name="Cópia de ABTS5911-style" showColumnStripes="0" showFirstColumn="1" showLastColumn="1" showRowStripes="1"/>
</table>
</file>

<file path=xl/tables/table20.xml><?xml version="1.0" encoding="utf-8"?>
<table xmlns="http://schemas.openxmlformats.org/spreadsheetml/2006/main" ref="A4:I1703" displayName="MAPA_CARGA_SAO_8" name="MAPA_CARGA_SAO_8" id="20">
  <autoFilter ref="$A$4:$I$1703"/>
  <tableColumns count="9">
    <tableColumn name="FILTRO" id="1"/>
    <tableColumn name="MATERIAL" id="2"/>
    <tableColumn name="QTD" id="3"/>
    <tableColumn name="TIPO" id="4"/>
    <tableColumn name="VTR/ MILITAR/ SEÇÃO" id="5"/>
    <tableColumn name="LOCAL DE ARMAZENAMENTO" id="6"/>
    <tableColumn name="PATRIMÔNIO" id="7"/>
    <tableColumn name="Nº SÉRIE" id="8"/>
    <tableColumn name="OBSERVAÇÃO" id="9"/>
  </tableColumns>
  <tableStyleInfo name="Cópia de ABTS5911-style 2" showColumnStripes="0" showFirstColumn="1" showLastColumn="1" showRowStripes="1"/>
</table>
</file>

<file path=xl/tables/table21.xml><?xml version="1.0" encoding="utf-8"?>
<table xmlns="http://schemas.openxmlformats.org/spreadsheetml/2006/main" headerRowCount="0" ref="A1:B3" displayName="Table_11" name="Table_11" id="21">
  <tableColumns count="2">
    <tableColumn name="Column1" id="1"/>
    <tableColumn name="Column2" id="2"/>
  </tableColumns>
  <tableStyleInfo name=" SOU-style" showColumnStripes="0" showFirstColumn="1" showLastColumn="1" showRowStripes="1"/>
</table>
</file>

<file path=xl/tables/table22.xml><?xml version="1.0" encoding="utf-8"?>
<table xmlns="http://schemas.openxmlformats.org/spreadsheetml/2006/main" ref="A4:I1703" displayName="MAPA_CARGA_SAO_4" name="MAPA_CARGA_SAO_4" id="22">
  <autoFilter ref="$A$4:$I$1703"/>
  <tableColumns count="9">
    <tableColumn name="FILTRO" id="1"/>
    <tableColumn name="MATERIAL" id="2"/>
    <tableColumn name="QTD" id="3"/>
    <tableColumn name="TIPO" id="4"/>
    <tableColumn name="VTR/ MILITAR/ SEÇÃO" id="5"/>
    <tableColumn name="LOCAL DE ARMAZENAMENTO" id="6"/>
    <tableColumn name="PATRIMÔNIO" id="7"/>
    <tableColumn name="Nº SÉRIE" id="8"/>
    <tableColumn name="OBSERVAÇÃO https://encurtador.com.br/c3jpQ" id="9"/>
  </tableColumns>
  <tableStyleInfo name=" SOU-style 2" showColumnStripes="0" showFirstColumn="1" showLastColumn="1" showRowStripes="1"/>
</table>
</file>

<file path=xl/tables/table23.xml><?xml version="1.0" encoding="utf-8"?>
<table xmlns="http://schemas.openxmlformats.org/spreadsheetml/2006/main" headerRowCount="0" ref="A1:B3" displayName="Table_12" name="Table_12" id="23">
  <tableColumns count="2">
    <tableColumn name="Column1" id="1"/>
    <tableColumn name="Column2" id="2"/>
  </tableColumns>
  <tableStyleInfo name="SETOR DE MEIOS-style" showColumnStripes="0" showFirstColumn="1" showLastColumn="1" showRowStripes="1"/>
</table>
</file>

<file path=xl/tables/table24.xml><?xml version="1.0" encoding="utf-8"?>
<table xmlns="http://schemas.openxmlformats.org/spreadsheetml/2006/main" ref="A4:I1702" displayName="MAPA_CARGA_SAO" name="MAPA_CARGA_SAO" id="24">
  <autoFilter ref="$A$4:$I$1702"/>
  <tableColumns count="9">
    <tableColumn name="FILTRO" id="1"/>
    <tableColumn name="MATERIAL" id="2"/>
    <tableColumn name="QTD" id="3"/>
    <tableColumn name="TIPO" id="4"/>
    <tableColumn name="VTR/ MILITAR/ SEÇÃO" id="5"/>
    <tableColumn name="LOCAL DE ARMAZENAMENTO" id="6"/>
    <tableColumn name="PATRIMÔNIO" id="7"/>
    <tableColumn name="Nº SÉRIE" id="8"/>
    <tableColumn name="OBSERVAÇÃO " id="9"/>
  </tableColumns>
  <tableStyleInfo name="SETOR DE MEIOS-style 2" showColumnStripes="0" showFirstColumn="1" showLastColumn="1" showRowStripes="1"/>
</table>
</file>

<file path=xl/tables/table25.xml><?xml version="1.0" encoding="utf-8"?>
<table xmlns="http://schemas.openxmlformats.org/spreadsheetml/2006/main" headerRowCount="0" ref="A1:B3" displayName="Table_13" name="Table_13" id="25">
  <tableColumns count="2">
    <tableColumn name="Column1" id="1"/>
    <tableColumn name="Column2" id="2"/>
  </tableColumns>
  <tableStyleInfo name="SALA DE MERGULHO-style" showColumnStripes="0" showFirstColumn="1" showLastColumn="1" showRowStripes="1"/>
</table>
</file>

<file path=xl/tables/table26.xml><?xml version="1.0" encoding="utf-8"?>
<table xmlns="http://schemas.openxmlformats.org/spreadsheetml/2006/main" ref="A4:I1703" displayName="MAPA_CARGA_SAO_9" name="MAPA_CARGA_SAO_9" id="26">
  <autoFilter ref="$A$4:$I$1703"/>
  <tableColumns count="9">
    <tableColumn name="FILTRO" id="1"/>
    <tableColumn name="MATERIAL" id="2"/>
    <tableColumn name="QTD" id="3"/>
    <tableColumn name="TIPO" id="4"/>
    <tableColumn name="VTR/ MILITAR/ SEÇÃO" id="5"/>
    <tableColumn name="LOCAL DE ARMAZENAMENTO" id="6"/>
    <tableColumn name="PATRIMÔNIO" id="7"/>
    <tableColumn name="Nº SÉRIE" id="8"/>
    <tableColumn name="OBSERVAÇÃO " id="9"/>
  </tableColumns>
  <tableStyleInfo name="SALA DE MERGULHO-style 2" showColumnStripes="0" showFirstColumn="1" showLastColumn="1" showRowStripes="1"/>
</table>
</file>

<file path=xl/tables/table27.xml><?xml version="1.0" encoding="utf-8"?>
<table xmlns="http://schemas.openxmlformats.org/spreadsheetml/2006/main" headerRowCount="0" ref="A1:B3" displayName="Table_14" name="Table_14" id="27">
  <tableColumns count="2">
    <tableColumn name="Column1" id="1"/>
    <tableColumn name="Column2" id="2"/>
  </tableColumns>
  <tableStyleInfo name="OFICINA -style" showColumnStripes="0" showFirstColumn="1" showLastColumn="1" showRowStripes="1"/>
</table>
</file>

<file path=xl/tables/table28.xml><?xml version="1.0" encoding="utf-8"?>
<table xmlns="http://schemas.openxmlformats.org/spreadsheetml/2006/main" ref="A4:I1703" displayName="MAPA_CARGA_SAO_11" name="MAPA_CARGA_SAO_11" id="28">
  <autoFilter ref="$A$4:$I$1703"/>
  <tableColumns count="9">
    <tableColumn name="FILTRO" id="1"/>
    <tableColumn name="MATERIAL" id="2"/>
    <tableColumn name="QTD" id="3"/>
    <tableColumn name="TIPO" id="4"/>
    <tableColumn name="VTR/ MILITAR/ SEÇÃO" id="5"/>
    <tableColumn name="LOCAL DE ARMAZENAMENTO" id="6"/>
    <tableColumn name="PATRIMÔNIO" id="7"/>
    <tableColumn name="Nº SÉRIE" id="8"/>
    <tableColumn name="OBSERVAÇÃO " id="9"/>
  </tableColumns>
  <tableStyleInfo name="OFICINA -style 2" showColumnStripes="0" showFirstColumn="1" showLastColumn="1" showRowStripes="1"/>
</table>
</file>

<file path=xl/tables/table29.xml><?xml version="1.0" encoding="utf-8"?>
<table xmlns="http://schemas.openxmlformats.org/spreadsheetml/2006/main" headerRowCount="0" ref="F3:G101" displayName="Table_15" name="Table_15" id="29">
  <tableColumns count="2">
    <tableColumn name="Column1" id="1"/>
    <tableColumn name="Column2" id="2"/>
  </tableColumns>
  <tableStyleInfo name="Cadastro Automático VTRSEÇÃOMIL-style" showColumnStripes="0" showFirstColumn="1" showLastColumn="1" showRowStripes="1"/>
</table>
</file>

<file path=xl/tables/table30.xml><?xml version="1.0" encoding="utf-8"?>
<table xmlns="http://schemas.openxmlformats.org/spreadsheetml/2006/main" headerRowCount="0" ref="F103:F106" displayName="Table_16" name="Table_16" id="30">
  <tableColumns count="1">
    <tableColumn name="Column1" id="1"/>
  </tableColumns>
  <tableStyleInfo name="Cadastro Automático VTRSEÇÃOMIL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4" Type="http://schemas.openxmlformats.org/officeDocument/2006/relationships/table" Target="../tables/table3.xml"/><Relationship Id="rId5" Type="http://schemas.openxmlformats.org/officeDocument/2006/relationships/table" Target="../tables/table4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4" Type="http://schemas.openxmlformats.org/officeDocument/2006/relationships/table" Target="../tables/table5.xml"/><Relationship Id="rId5" Type="http://schemas.openxmlformats.org/officeDocument/2006/relationships/table" Target="../tables/table6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4" Type="http://schemas.openxmlformats.org/officeDocument/2006/relationships/table" Target="../tables/table7.xml"/><Relationship Id="rId5" Type="http://schemas.openxmlformats.org/officeDocument/2006/relationships/table" Target="../tables/table8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4" Type="http://schemas.openxmlformats.org/officeDocument/2006/relationships/table" Target="../tables/table9.xml"/><Relationship Id="rId5" Type="http://schemas.openxmlformats.org/officeDocument/2006/relationships/table" Target="../tables/table10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4" Type="http://schemas.openxmlformats.org/officeDocument/2006/relationships/table" Target="../tables/table11.xml"/><Relationship Id="rId5" Type="http://schemas.openxmlformats.org/officeDocument/2006/relationships/table" Target="../tables/table12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4" Type="http://schemas.openxmlformats.org/officeDocument/2006/relationships/table" Target="../tables/table13.xml"/><Relationship Id="rId5" Type="http://schemas.openxmlformats.org/officeDocument/2006/relationships/table" Target="../tables/table14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4" Type="http://schemas.openxmlformats.org/officeDocument/2006/relationships/table" Target="../tables/table15.xml"/><Relationship Id="rId5" Type="http://schemas.openxmlformats.org/officeDocument/2006/relationships/table" Target="../tables/table16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4" Type="http://schemas.openxmlformats.org/officeDocument/2006/relationships/table" Target="../tables/table17.xml"/><Relationship Id="rId5" Type="http://schemas.openxmlformats.org/officeDocument/2006/relationships/table" Target="../tables/table18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s://encurtador.com.br/c3jpQ" TargetMode="External"/><Relationship Id="rId2" Type="http://schemas.openxmlformats.org/officeDocument/2006/relationships/drawing" Target="../drawings/drawing10.xml"/><Relationship Id="rId5" Type="http://schemas.openxmlformats.org/officeDocument/2006/relationships/table" Target="../tables/table19.xml"/><Relationship Id="rId6" Type="http://schemas.openxmlformats.org/officeDocument/2006/relationships/table" Target="../tables/table2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4" Type="http://schemas.openxmlformats.org/officeDocument/2006/relationships/table" Target="../tables/table21.xml"/><Relationship Id="rId5" Type="http://schemas.openxmlformats.org/officeDocument/2006/relationships/table" Target="../tables/table22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4" Type="http://schemas.openxmlformats.org/officeDocument/2006/relationships/table" Target="../tables/table23.xml"/><Relationship Id="rId5" Type="http://schemas.openxmlformats.org/officeDocument/2006/relationships/table" Target="../tables/table24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Relationship Id="rId4" Type="http://schemas.openxmlformats.org/officeDocument/2006/relationships/table" Target="../tables/table25.xml"/><Relationship Id="rId5" Type="http://schemas.openxmlformats.org/officeDocument/2006/relationships/table" Target="../tables/table26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Relationship Id="rId4" Type="http://schemas.openxmlformats.org/officeDocument/2006/relationships/table" Target="../tables/table27.xml"/><Relationship Id="rId5" Type="http://schemas.openxmlformats.org/officeDocument/2006/relationships/table" Target="../tables/table28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Relationship Id="rId4" Type="http://schemas.openxmlformats.org/officeDocument/2006/relationships/table" Target="../tables/table29.xml"/><Relationship Id="rId5" Type="http://schemas.openxmlformats.org/officeDocument/2006/relationships/table" Target="../tables/table30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20.38"/>
    <col customWidth="1" min="2" max="2" width="50.88"/>
    <col customWidth="1" min="3" max="3" width="9.5"/>
    <col customWidth="1" min="4" max="4" width="14.0"/>
    <col customWidth="1" min="5" max="5" width="17.75"/>
    <col customWidth="1" min="6" max="6" width="30.5"/>
    <col customWidth="1" min="7" max="7" width="14.25"/>
    <col customWidth="1" min="8" max="8" width="31.25"/>
    <col customWidth="1" min="9" max="9" width="81.38"/>
  </cols>
  <sheetData>
    <row r="1" ht="21.0" customHeight="1">
      <c r="A1" s="1" t="s">
        <v>0</v>
      </c>
      <c r="B1" s="2" t="s">
        <v>1</v>
      </c>
      <c r="C1" s="3"/>
      <c r="D1" s="3"/>
      <c r="E1" s="3"/>
      <c r="F1" s="3"/>
      <c r="G1" s="4"/>
      <c r="H1" s="4"/>
      <c r="I1" s="5"/>
    </row>
    <row r="2" ht="17.25" customHeight="1">
      <c r="A2" s="1" t="s">
        <v>2</v>
      </c>
      <c r="B2" s="6"/>
      <c r="C2" s="3"/>
      <c r="D2" s="3"/>
      <c r="E2" s="3"/>
      <c r="F2" s="3"/>
      <c r="G2" s="4"/>
      <c r="H2" s="7"/>
      <c r="I2" s="5"/>
    </row>
    <row r="3" ht="30.0" customHeight="1">
      <c r="A3" s="3"/>
      <c r="B3" s="3"/>
      <c r="C3" s="3"/>
      <c r="D3" s="3"/>
      <c r="E3" s="3"/>
      <c r="F3" s="3"/>
      <c r="G3" s="4"/>
      <c r="H3" s="4"/>
      <c r="I3" s="8"/>
    </row>
    <row r="4" ht="37.5" customHeight="1">
      <c r="A4" s="9" t="s">
        <v>3</v>
      </c>
      <c r="B4" s="10" t="s">
        <v>4</v>
      </c>
      <c r="C4" s="11" t="s">
        <v>5</v>
      </c>
      <c r="D4" s="12" t="s">
        <v>6</v>
      </c>
      <c r="E4" s="12" t="s">
        <v>0</v>
      </c>
      <c r="F4" s="12" t="s">
        <v>7</v>
      </c>
      <c r="G4" s="11" t="s">
        <v>8</v>
      </c>
      <c r="H4" s="11" t="s">
        <v>9</v>
      </c>
      <c r="I4" s="13" t="s">
        <v>10</v>
      </c>
    </row>
    <row r="5" ht="22.5" customHeight="1">
      <c r="A5" s="14"/>
      <c r="B5" s="15"/>
      <c r="C5" s="16"/>
      <c r="D5" s="17"/>
      <c r="E5" s="18"/>
      <c r="F5" s="18"/>
      <c r="G5" s="19"/>
      <c r="H5" s="20"/>
      <c r="I5" s="21"/>
    </row>
    <row r="6" ht="22.5" customHeight="1">
      <c r="A6" s="22">
        <f>IFERROR(__xludf.DUMMYFUNCTION("IF(B2&lt;&gt;"""",FILTER('Planilhas compilada ordem alfab'!A2:I1703,'Planilhas compilada ordem alfab'!E2:E1703=B1,'Planilhas compilada ordem alfab'!F2:F1703=B2),FILTER('Planilhas compilada ordem alfab'!A2:I1703,'Planilhas compilada ordem alfab'!E2:E1703=B1))"),242.0)</f>
        <v>242</v>
      </c>
      <c r="B6" s="23" t="str">
        <f>IFERROR(__xludf.DUMMYFUNCTION("""COMPUTED_VALUE"""),"ANEL DE FITA 120 CM")</f>
        <v>ANEL DE FITA 120 CM</v>
      </c>
      <c r="C6" s="24">
        <f>IFERROR(__xludf.DUMMYFUNCTION("""COMPUTED_VALUE"""),3.0)</f>
        <v>3</v>
      </c>
      <c r="D6" s="25" t="str">
        <f>IFERROR(__xludf.DUMMYFUNCTION("""COMPUTED_VALUE"""),"VIATURA")</f>
        <v>VIATURA</v>
      </c>
      <c r="E6" s="26" t="str">
        <f>IFERROR(__xludf.DUMMYFUNCTION("""COMPUTED_VALUE"""),"1 - ASM3617")</f>
        <v>1 - ASM3617</v>
      </c>
      <c r="F6" s="26" t="str">
        <f>IFERROR(__xludf.DUMMYFUNCTION("""COMPUTED_VALUE"""),"BOLSA SALV. ALTURA (MERET)")</f>
        <v>BOLSA SALV. ALTURA (MERET)</v>
      </c>
      <c r="G6" s="27"/>
      <c r="H6" s="28"/>
      <c r="I6" s="29"/>
    </row>
    <row r="7" ht="25.5" customHeight="1">
      <c r="A7" s="30">
        <f>IFERROR(__xludf.DUMMYFUNCTION("""COMPUTED_VALUE"""),249.0)</f>
        <v>249</v>
      </c>
      <c r="B7" s="31" t="str">
        <f>IFERROR(__xludf.DUMMYFUNCTION("""COMPUTED_VALUE"""),"ANEL DE FITA 60CM")</f>
        <v>ANEL DE FITA 60CM</v>
      </c>
      <c r="C7" s="32">
        <f>IFERROR(__xludf.DUMMYFUNCTION("""COMPUTED_VALUE"""),1.0)</f>
        <v>1</v>
      </c>
      <c r="D7" s="33" t="str">
        <f>IFERROR(__xludf.DUMMYFUNCTION("""COMPUTED_VALUE"""),"VIATURA")</f>
        <v>VIATURA</v>
      </c>
      <c r="E7" s="34" t="str">
        <f>IFERROR(__xludf.DUMMYFUNCTION("""COMPUTED_VALUE"""),"1 - ASM3617")</f>
        <v>1 - ASM3617</v>
      </c>
      <c r="F7" s="34" t="str">
        <f>IFERROR(__xludf.DUMMYFUNCTION("""COMPUTED_VALUE"""),"BOLSA SALV. ALTURA (MERET)")</f>
        <v>BOLSA SALV. ALTURA (MERET)</v>
      </c>
      <c r="G7" s="35"/>
      <c r="H7" s="36"/>
      <c r="I7" s="37"/>
    </row>
    <row r="8" ht="22.5" customHeight="1">
      <c r="A8" s="30">
        <f>IFERROR(__xludf.DUMMYFUNCTION("""COMPUTED_VALUE"""),248.0)</f>
        <v>248</v>
      </c>
      <c r="B8" s="31" t="str">
        <f>IFERROR(__xludf.DUMMYFUNCTION("""COMPUTED_VALUE"""),"ANEL DE FITA 80CM")</f>
        <v>ANEL DE FITA 80CM</v>
      </c>
      <c r="C8" s="32">
        <f>IFERROR(__xludf.DUMMYFUNCTION("""COMPUTED_VALUE"""),2.0)</f>
        <v>2</v>
      </c>
      <c r="D8" s="33" t="str">
        <f>IFERROR(__xludf.DUMMYFUNCTION("""COMPUTED_VALUE"""),"VIATURA")</f>
        <v>VIATURA</v>
      </c>
      <c r="E8" s="34" t="str">
        <f>IFERROR(__xludf.DUMMYFUNCTION("""COMPUTED_VALUE"""),"1 - ASM3617")</f>
        <v>1 - ASM3617</v>
      </c>
      <c r="F8" s="34" t="str">
        <f>IFERROR(__xludf.DUMMYFUNCTION("""COMPUTED_VALUE"""),"BOLSA SALV. ALTURA (MERET)")</f>
        <v>BOLSA SALV. ALTURA (MERET)</v>
      </c>
      <c r="G8" s="35"/>
      <c r="H8" s="36"/>
      <c r="I8" s="37"/>
    </row>
    <row r="9" ht="22.5" customHeight="1">
      <c r="A9" s="30">
        <f>IFERROR(__xludf.DUMMYFUNCTION("""COMPUTED_VALUE"""),253.0)</f>
        <v>253</v>
      </c>
      <c r="B9" s="31" t="str">
        <f>IFERROR(__xludf.DUMMYFUNCTION("""COMPUTED_VALUE"""),"ASCENSOR (PAR)")</f>
        <v>ASCENSOR (PAR)</v>
      </c>
      <c r="C9" s="32">
        <f>IFERROR(__xludf.DUMMYFUNCTION("""COMPUTED_VALUE"""),1.0)</f>
        <v>1</v>
      </c>
      <c r="D9" s="33" t="str">
        <f>IFERROR(__xludf.DUMMYFUNCTION("""COMPUTED_VALUE"""),"VIATURA")</f>
        <v>VIATURA</v>
      </c>
      <c r="E9" s="34" t="str">
        <f>IFERROR(__xludf.DUMMYFUNCTION("""COMPUTED_VALUE"""),"1 - ASM3617")</f>
        <v>1 - ASM3617</v>
      </c>
      <c r="F9" s="34" t="str">
        <f>IFERROR(__xludf.DUMMYFUNCTION("""COMPUTED_VALUE"""),"BOLSA SALV. ALTURA (MERET)")</f>
        <v>BOLSA SALV. ALTURA (MERET)</v>
      </c>
      <c r="G9" s="35"/>
      <c r="H9" s="36"/>
      <c r="I9" s="38"/>
    </row>
    <row r="10" ht="22.5" customHeight="1">
      <c r="A10" s="30">
        <f>IFERROR(__xludf.DUMMYFUNCTION("""COMPUTED_VALUE"""),245.0)</f>
        <v>245</v>
      </c>
      <c r="B10" s="39" t="str">
        <f>IFERROR(__xludf.DUMMYFUNCTION("""COMPUTED_VALUE"""),"CORDELETE")</f>
        <v>CORDELETE</v>
      </c>
      <c r="C10" s="32">
        <f>IFERROR(__xludf.DUMMYFUNCTION("""COMPUTED_VALUE"""),7.0)</f>
        <v>7</v>
      </c>
      <c r="D10" s="33" t="str">
        <f>IFERROR(__xludf.DUMMYFUNCTION("""COMPUTED_VALUE"""),"VIATURA")</f>
        <v>VIATURA</v>
      </c>
      <c r="E10" s="34" t="str">
        <f>IFERROR(__xludf.DUMMYFUNCTION("""COMPUTED_VALUE"""),"1 - ASM3617")</f>
        <v>1 - ASM3617</v>
      </c>
      <c r="F10" s="34" t="str">
        <f>IFERROR(__xludf.DUMMYFUNCTION("""COMPUTED_VALUE"""),"BOLSA SALV. ALTURA (MERET)")</f>
        <v>BOLSA SALV. ALTURA (MERET)</v>
      </c>
      <c r="G10" s="35"/>
      <c r="H10" s="36"/>
      <c r="I10" s="37"/>
    </row>
    <row r="11" ht="22.5" customHeight="1">
      <c r="A11" s="30">
        <f>IFERROR(__xludf.DUMMYFUNCTION("""COMPUTED_VALUE"""),244.0)</f>
        <v>244</v>
      </c>
      <c r="B11" s="31" t="str">
        <f>IFERROR(__xludf.DUMMYFUNCTION("""COMPUTED_VALUE"""),"FREIO OITO -")</f>
        <v>FREIO OITO -</v>
      </c>
      <c r="C11" s="32">
        <f>IFERROR(__xludf.DUMMYFUNCTION("""COMPUTED_VALUE"""),4.0)</f>
        <v>4</v>
      </c>
      <c r="D11" s="33" t="str">
        <f>IFERROR(__xludf.DUMMYFUNCTION("""COMPUTED_VALUE"""),"VIATURA")</f>
        <v>VIATURA</v>
      </c>
      <c r="E11" s="34" t="str">
        <f>IFERROR(__xludf.DUMMYFUNCTION("""COMPUTED_VALUE"""),"1 - ASM3617")</f>
        <v>1 - ASM3617</v>
      </c>
      <c r="F11" s="34" t="str">
        <f>IFERROR(__xludf.DUMMYFUNCTION("""COMPUTED_VALUE"""),"BOLSA SALV. ALTURA (MERET)")</f>
        <v>BOLSA SALV. ALTURA (MERET)</v>
      </c>
      <c r="G11" s="35"/>
      <c r="H11" s="36"/>
      <c r="I11" s="37"/>
    </row>
    <row r="12" ht="22.5" customHeight="1">
      <c r="A12" s="30">
        <f>IFERROR(__xludf.DUMMYFUNCTION("""COMPUTED_VALUE"""),246.0)</f>
        <v>246</v>
      </c>
      <c r="B12" s="31" t="str">
        <f>IFERROR(__xludf.DUMMYFUNCTION("""COMPUTED_VALUE"""),"MOSQUETÃO DE AÇO")</f>
        <v>MOSQUETÃO DE AÇO</v>
      </c>
      <c r="C12" s="32">
        <f>IFERROR(__xludf.DUMMYFUNCTION("""COMPUTED_VALUE"""),7.0)</f>
        <v>7</v>
      </c>
      <c r="D12" s="33" t="str">
        <f>IFERROR(__xludf.DUMMYFUNCTION("""COMPUTED_VALUE"""),"VIATURA")</f>
        <v>VIATURA</v>
      </c>
      <c r="E12" s="34" t="str">
        <f>IFERROR(__xludf.DUMMYFUNCTION("""COMPUTED_VALUE"""),"1 - ASM3617")</f>
        <v>1 - ASM3617</v>
      </c>
      <c r="F12" s="34" t="str">
        <f>IFERROR(__xludf.DUMMYFUNCTION("""COMPUTED_VALUE"""),"BOLSA SALV. ALTURA (MERET)")</f>
        <v>BOLSA SALV. ALTURA (MERET)</v>
      </c>
      <c r="G12" s="35"/>
      <c r="H12" s="36"/>
      <c r="I12" s="37"/>
    </row>
    <row r="13" ht="22.5" customHeight="1">
      <c r="A13" s="30">
        <f>IFERROR(__xludf.DUMMYFUNCTION("""COMPUTED_VALUE"""),243.0)</f>
        <v>243</v>
      </c>
      <c r="B13" s="31" t="str">
        <f>IFERROR(__xludf.DUMMYFUNCTION("""COMPUTED_VALUE"""),"MOSQUETÃO DE ALUMÍNIO")</f>
        <v>MOSQUETÃO DE ALUMÍNIO</v>
      </c>
      <c r="C13" s="32">
        <f>IFERROR(__xludf.DUMMYFUNCTION("""COMPUTED_VALUE"""),6.0)</f>
        <v>6</v>
      </c>
      <c r="D13" s="33" t="str">
        <f>IFERROR(__xludf.DUMMYFUNCTION("""COMPUTED_VALUE"""),"VIATURA")</f>
        <v>VIATURA</v>
      </c>
      <c r="E13" s="34" t="str">
        <f>IFERROR(__xludf.DUMMYFUNCTION("""COMPUTED_VALUE"""),"1 - ASM3617")</f>
        <v>1 - ASM3617</v>
      </c>
      <c r="F13" s="34" t="str">
        <f>IFERROR(__xludf.DUMMYFUNCTION("""COMPUTED_VALUE"""),"BOLSA SALV. ALTURA (MERET)")</f>
        <v>BOLSA SALV. ALTURA (MERET)</v>
      </c>
      <c r="G13" s="35"/>
      <c r="H13" s="36"/>
      <c r="I13" s="37"/>
    </row>
    <row r="14" ht="22.5" customHeight="1">
      <c r="A14" s="30">
        <f>IFERROR(__xludf.DUMMYFUNCTION("""COMPUTED_VALUE"""),247.0)</f>
        <v>247</v>
      </c>
      <c r="B14" s="39" t="str">
        <f>IFERROR(__xludf.DUMMYFUNCTION("""COMPUTED_VALUE"""),"POLIA SIMPLES PLACA FIXA")</f>
        <v>POLIA SIMPLES PLACA FIXA</v>
      </c>
      <c r="C14" s="32">
        <f>IFERROR(__xludf.DUMMYFUNCTION("""COMPUTED_VALUE"""),3.0)</f>
        <v>3</v>
      </c>
      <c r="D14" s="33" t="str">
        <f>IFERROR(__xludf.DUMMYFUNCTION("""COMPUTED_VALUE"""),"VIATURA")</f>
        <v>VIATURA</v>
      </c>
      <c r="E14" s="34" t="str">
        <f>IFERROR(__xludf.DUMMYFUNCTION("""COMPUTED_VALUE"""),"1 - ASM3617")</f>
        <v>1 - ASM3617</v>
      </c>
      <c r="F14" s="34" t="str">
        <f>IFERROR(__xludf.DUMMYFUNCTION("""COMPUTED_VALUE"""),"BOLSA SALV. ALTURA (MERET)")</f>
        <v>BOLSA SALV. ALTURA (MERET)</v>
      </c>
      <c r="G14" s="35"/>
      <c r="H14" s="36"/>
      <c r="I14" s="37"/>
    </row>
    <row r="15" ht="22.5" customHeight="1">
      <c r="A15" s="30">
        <f>IFERROR(__xludf.DUMMYFUNCTION("""COMPUTED_VALUE"""),146.0)</f>
        <v>146</v>
      </c>
      <c r="B15" s="31" t="str">
        <f>IFERROR(__xludf.DUMMYFUNCTION("""COMPUTED_VALUE"""),"AUTO CRIB IT")</f>
        <v>AUTO CRIB IT</v>
      </c>
      <c r="C15" s="32">
        <f>IFERROR(__xludf.DUMMYFUNCTION("""COMPUTED_VALUE"""),2.0)</f>
        <v>2</v>
      </c>
      <c r="D15" s="33" t="str">
        <f>IFERROR(__xludf.DUMMYFUNCTION("""COMPUTED_VALUE"""),"VIATURA")</f>
        <v>VIATURA</v>
      </c>
      <c r="E15" s="34" t="str">
        <f>IFERROR(__xludf.DUMMYFUNCTION("""COMPUTED_VALUE"""),"1 - ASM3617")</f>
        <v>1 - ASM3617</v>
      </c>
      <c r="F15" s="34" t="str">
        <f>IFERROR(__xludf.DUMMYFUNCTION("""COMPUTED_VALUE"""),"BOX 01")</f>
        <v>BOX 01</v>
      </c>
      <c r="G15" s="35">
        <f>IFERROR(__xludf.DUMMYFUNCTION("""COMPUTED_VALUE"""),45723.0)</f>
        <v>45723</v>
      </c>
      <c r="H15" s="36"/>
      <c r="I15" s="37"/>
    </row>
    <row r="16" ht="22.5" customHeight="1">
      <c r="A16" s="30">
        <f>IFERROR(__xludf.DUMMYFUNCTION("""COMPUTED_VALUE"""),147.0)</f>
        <v>147</v>
      </c>
      <c r="B16" s="39" t="str">
        <f>IFERROR(__xludf.DUMMYFUNCTION("""COMPUTED_VALUE"""),"BATERIAS PARA DESENCARCERADORES")</f>
        <v>BATERIAS PARA DESENCARCERADORES</v>
      </c>
      <c r="C16" s="32">
        <f>IFERROR(__xludf.DUMMYFUNCTION("""COMPUTED_VALUE"""),3.0)</f>
        <v>3</v>
      </c>
      <c r="D16" s="33" t="str">
        <f>IFERROR(__xludf.DUMMYFUNCTION("""COMPUTED_VALUE"""),"VIATURA")</f>
        <v>VIATURA</v>
      </c>
      <c r="E16" s="34" t="str">
        <f>IFERROR(__xludf.DUMMYFUNCTION("""COMPUTED_VALUE"""),"1 - ASM3617")</f>
        <v>1 - ASM3617</v>
      </c>
      <c r="F16" s="34" t="str">
        <f>IFERROR(__xludf.DUMMYFUNCTION("""COMPUTED_VALUE"""),"BOX 01")</f>
        <v>BOX 01</v>
      </c>
      <c r="G16" s="35">
        <f>IFERROR(__xludf.DUMMYFUNCTION("""COMPUTED_VALUE"""),45525.0)</f>
        <v>45525</v>
      </c>
      <c r="H16" s="36"/>
      <c r="I16" s="37"/>
    </row>
    <row r="17" ht="22.5" customHeight="1">
      <c r="A17" s="30">
        <f>IFERROR(__xludf.DUMMYFUNCTION("""COMPUTED_VALUE"""),254.0)</f>
        <v>254</v>
      </c>
      <c r="B17" s="31" t="str">
        <f>IFERROR(__xludf.DUMMYFUNCTION("""COMPUTED_VALUE"""),"BOTA DE BORRACHA 7 LÉGUAS")</f>
        <v>BOTA DE BORRACHA 7 LÉGUAS</v>
      </c>
      <c r="C17" s="32">
        <f>IFERROR(__xludf.DUMMYFUNCTION("""COMPUTED_VALUE"""),3.0)</f>
        <v>3</v>
      </c>
      <c r="D17" s="33" t="str">
        <f>IFERROR(__xludf.DUMMYFUNCTION("""COMPUTED_VALUE"""),"VIATURA")</f>
        <v>VIATURA</v>
      </c>
      <c r="E17" s="34" t="str">
        <f>IFERROR(__xludf.DUMMYFUNCTION("""COMPUTED_VALUE"""),"1 - ASM3617")</f>
        <v>1 - ASM3617</v>
      </c>
      <c r="F17" s="34" t="str">
        <f>IFERROR(__xludf.DUMMYFUNCTION("""COMPUTED_VALUE"""),"BOX 01")</f>
        <v>BOX 01</v>
      </c>
      <c r="G17" s="35"/>
      <c r="H17" s="36"/>
      <c r="I17" s="37" t="str">
        <f>IFERROR(__xludf.DUMMYFUNCTION("""COMPUTED_VALUE"""),"PAR")</f>
        <v>PAR</v>
      </c>
    </row>
    <row r="18" ht="22.5" customHeight="1">
      <c r="A18" s="30">
        <f>IFERROR(__xludf.DUMMYFUNCTION("""COMPUTED_VALUE"""),282.0)</f>
        <v>282</v>
      </c>
      <c r="B18" s="31" t="str">
        <f>IFERROR(__xludf.DUMMYFUNCTION("""COMPUTED_VALUE"""),"CALÇO PARA VIATURAS (POLIETILENO)")</f>
        <v>CALÇO PARA VIATURAS (POLIETILENO)</v>
      </c>
      <c r="C18" s="32">
        <f>IFERROR(__xludf.DUMMYFUNCTION("""COMPUTED_VALUE"""),2.0)</f>
        <v>2</v>
      </c>
      <c r="D18" s="33" t="str">
        <f>IFERROR(__xludf.DUMMYFUNCTION("""COMPUTED_VALUE"""),"VIATURA")</f>
        <v>VIATURA</v>
      </c>
      <c r="E18" s="34" t="str">
        <f>IFERROR(__xludf.DUMMYFUNCTION("""COMPUTED_VALUE"""),"1 - ASM3617")</f>
        <v>1 - ASM3617</v>
      </c>
      <c r="F18" s="34" t="str">
        <f>IFERROR(__xludf.DUMMYFUNCTION("""COMPUTED_VALUE"""),"BOX 01")</f>
        <v>BOX 01</v>
      </c>
      <c r="G18" s="35"/>
      <c r="H18" s="36"/>
      <c r="I18" s="37"/>
    </row>
    <row r="19" ht="22.5" customHeight="1">
      <c r="A19" s="30">
        <f>IFERROR(__xludf.DUMMYFUNCTION("""COMPUTED_VALUE"""),1196.0)</f>
        <v>1196</v>
      </c>
      <c r="B19" s="31" t="str">
        <f>IFERROR(__xludf.DUMMYFUNCTION("""COMPUTED_VALUE"""),"FERRAMENTA PARA DESENCARCERAMENTO -")</f>
        <v>FERRAMENTA PARA DESENCARCERAMENTO -</v>
      </c>
      <c r="C19" s="32">
        <f>IFERROR(__xludf.DUMMYFUNCTION("""COMPUTED_VALUE"""),1.0)</f>
        <v>1</v>
      </c>
      <c r="D19" s="33" t="str">
        <f>IFERROR(__xludf.DUMMYFUNCTION("""COMPUTED_VALUE"""),"VIATURA")</f>
        <v>VIATURA</v>
      </c>
      <c r="E19" s="34" t="str">
        <f>IFERROR(__xludf.DUMMYFUNCTION("""COMPUTED_VALUE"""),"1 - ASM3617")</f>
        <v>1 - ASM3617</v>
      </c>
      <c r="F19" s="34" t="str">
        <f>IFERROR(__xludf.DUMMYFUNCTION("""COMPUTED_VALUE"""),"BOX 01")</f>
        <v>BOX 01</v>
      </c>
      <c r="G19" s="35">
        <f>IFERROR(__xludf.DUMMYFUNCTION("""COMPUTED_VALUE"""),7.6832872E7)</f>
        <v>76832872</v>
      </c>
      <c r="H19" s="36" t="str">
        <f>IFERROR(__xludf.DUMMYFUNCTION("""COMPUTED_VALUE"""),"1407815HH")</f>
        <v>1407815HH</v>
      </c>
      <c r="I19" s="37" t="str">
        <f>IFERROR(__xludf.DUMMYFUNCTION("""COMPUTED_VALUE"""),"(EXTENSOR) - HOLMATRO MODELO:PTR50 - PENTHEON - C/ BATERIA")</f>
        <v>(EXTENSOR) - HOLMATRO MODELO:PTR50 - PENTHEON - C/ BATERIA</v>
      </c>
    </row>
    <row r="20" ht="22.5" customHeight="1">
      <c r="A20" s="30">
        <f>IFERROR(__xludf.DUMMYFUNCTION("""COMPUTED_VALUE"""),1290.0)</f>
        <v>1290</v>
      </c>
      <c r="B20" s="31" t="str">
        <f>IFERROR(__xludf.DUMMYFUNCTION("""COMPUTED_VALUE"""),"FERRAMENTA PARA DESENCARCERAMENTO -")</f>
        <v>FERRAMENTA PARA DESENCARCERAMENTO -</v>
      </c>
      <c r="C20" s="32">
        <f>IFERROR(__xludf.DUMMYFUNCTION("""COMPUTED_VALUE"""),1.0)</f>
        <v>1</v>
      </c>
      <c r="D20" s="33" t="str">
        <f>IFERROR(__xludf.DUMMYFUNCTION("""COMPUTED_VALUE"""),"VIATURA")</f>
        <v>VIATURA</v>
      </c>
      <c r="E20" s="34" t="str">
        <f>IFERROR(__xludf.DUMMYFUNCTION("""COMPUTED_VALUE"""),"1 - ASM3617")</f>
        <v>1 - ASM3617</v>
      </c>
      <c r="F20" s="34" t="str">
        <f>IFERROR(__xludf.DUMMYFUNCTION("""COMPUTED_VALUE"""),"BOX 01")</f>
        <v>BOX 01</v>
      </c>
      <c r="G20" s="35">
        <f>IFERROR(__xludf.DUMMYFUNCTION("""COMPUTED_VALUE"""),7.685793E7)</f>
        <v>76857930</v>
      </c>
      <c r="H20" s="36" t="str">
        <f>IFERROR(__xludf.DUMMYFUNCTION("""COMPUTED_VALUE"""),"1401344HH")</f>
        <v>1401344HH</v>
      </c>
      <c r="I20" s="37" t="str">
        <f>IFERROR(__xludf.DUMMYFUNCTION("""COMPUTED_VALUE"""),"(ALARGADOR) - HOLMATRO MODELO: PSP40 PENTHEON C/ BATERIA  -  *PERTENCE À VIATURA ABTS5911")</f>
        <v>(ALARGADOR) - HOLMATRO MODELO: PSP40 PENTHEON C/ BATERIA  -  *PERTENCE À VIATURA ABTS5911</v>
      </c>
    </row>
    <row r="21" ht="22.5" customHeight="1">
      <c r="A21" s="30">
        <f>IFERROR(__xludf.DUMMYFUNCTION("""COMPUTED_VALUE"""),1291.0)</f>
        <v>1291</v>
      </c>
      <c r="B21" s="31" t="str">
        <f>IFERROR(__xludf.DUMMYFUNCTION("""COMPUTED_VALUE"""),"FERRAMENTA PARA DESENCARCERAMENTO -")</f>
        <v>FERRAMENTA PARA DESENCARCERAMENTO -</v>
      </c>
      <c r="C21" s="32">
        <f>IFERROR(__xludf.DUMMYFUNCTION("""COMPUTED_VALUE"""),1.0)</f>
        <v>1</v>
      </c>
      <c r="D21" s="33" t="str">
        <f>IFERROR(__xludf.DUMMYFUNCTION("""COMPUTED_VALUE"""),"VIATURA")</f>
        <v>VIATURA</v>
      </c>
      <c r="E21" s="34" t="str">
        <f>IFERROR(__xludf.DUMMYFUNCTION("""COMPUTED_VALUE"""),"1 - ASM3617")</f>
        <v>1 - ASM3617</v>
      </c>
      <c r="F21" s="34" t="str">
        <f>IFERROR(__xludf.DUMMYFUNCTION("""COMPUTED_VALUE"""),"BOX 01")</f>
        <v>BOX 01</v>
      </c>
      <c r="G21" s="35">
        <f>IFERROR(__xludf.DUMMYFUNCTION("""COMPUTED_VALUE"""),7.6857131E7)</f>
        <v>76857131</v>
      </c>
      <c r="H21" s="36" t="str">
        <f>IFERROR(__xludf.DUMMYFUNCTION("""COMPUTED_VALUE"""),"1401575HH")</f>
        <v>1401575HH</v>
      </c>
      <c r="I21" s="37" t="str">
        <f>IFERROR(__xludf.DUMMYFUNCTION("""COMPUTED_VALUE"""),"(CORTADOR) - HOLMATRO MODELO:PCU50 - PENTHEON - TESOURA C/ BATERIA")</f>
        <v>(CORTADOR) - HOLMATRO MODELO:PCU50 - PENTHEON - TESOURA C/ BATERIA</v>
      </c>
    </row>
    <row r="22" ht="22.5" customHeight="1">
      <c r="A22" s="30">
        <f>IFERROR(__xludf.DUMMYFUNCTION("""COMPUTED_VALUE"""),315.0)</f>
        <v>315</v>
      </c>
      <c r="B22" s="31" t="str">
        <f>IFERROR(__xludf.DUMMYFUNCTION("""COMPUTED_VALUE"""),"MARTELO DE BORRACHA")</f>
        <v>MARTELO DE BORRACHA</v>
      </c>
      <c r="C22" s="32">
        <f>IFERROR(__xludf.DUMMYFUNCTION("""COMPUTED_VALUE"""),1.0)</f>
        <v>1</v>
      </c>
      <c r="D22" s="33" t="str">
        <f>IFERROR(__xludf.DUMMYFUNCTION("""COMPUTED_VALUE"""),"VIATURA")</f>
        <v>VIATURA</v>
      </c>
      <c r="E22" s="34" t="str">
        <f>IFERROR(__xludf.DUMMYFUNCTION("""COMPUTED_VALUE"""),"1 - ASM3617")</f>
        <v>1 - ASM3617</v>
      </c>
      <c r="F22" s="34" t="str">
        <f>IFERROR(__xludf.DUMMYFUNCTION("""COMPUTED_VALUE"""),"BOX 01")</f>
        <v>BOX 01</v>
      </c>
      <c r="G22" s="35"/>
      <c r="H22" s="36"/>
      <c r="I22" s="37" t="str">
        <f>IFERROR(__xludf.DUMMYFUNCTION("""COMPUTED_VALUE"""),"PERTENCE À ABTS5911")</f>
        <v>PERTENCE À ABTS5911</v>
      </c>
    </row>
    <row r="23" ht="22.5" customHeight="1">
      <c r="A23" s="30">
        <f>IFERROR(__xludf.DUMMYFUNCTION("""COMPUTED_VALUE"""),1293.0)</f>
        <v>1293</v>
      </c>
      <c r="B23" s="31" t="str">
        <f>IFERROR(__xludf.DUMMYFUNCTION("""COMPUTED_VALUE"""),"SERRA SABRE -")</f>
        <v>SERRA SABRE -</v>
      </c>
      <c r="C23" s="32">
        <f>IFERROR(__xludf.DUMMYFUNCTION("""COMPUTED_VALUE"""),1.0)</f>
        <v>1</v>
      </c>
      <c r="D23" s="33" t="str">
        <f>IFERROR(__xludf.DUMMYFUNCTION("""COMPUTED_VALUE"""),"VIATURA")</f>
        <v>VIATURA</v>
      </c>
      <c r="E23" s="34" t="str">
        <f>IFERROR(__xludf.DUMMYFUNCTION("""COMPUTED_VALUE"""),"1 - ASM3617")</f>
        <v>1 - ASM3617</v>
      </c>
      <c r="F23" s="34" t="str">
        <f>IFERROR(__xludf.DUMMYFUNCTION("""COMPUTED_VALUE"""),"BOX 01")</f>
        <v>BOX 01</v>
      </c>
      <c r="G23" s="35"/>
      <c r="H23" s="36" t="str">
        <f>IFERROR(__xludf.DUMMYFUNCTION("""COMPUTED_VALUE"""),"N.S.992576")</f>
        <v>N.S.992576</v>
      </c>
      <c r="I23" s="37" t="str">
        <f>IFERROR(__xludf.DUMMYFUNCTION("""COMPUTED_VALUE"""),"MARCA: DEWALT MODELO DCS380-B3  C/ BATERIA 4AH, 05 SERRAS E 01 CASE PARA ARMAZENAMENTO.")</f>
        <v>MARCA: DEWALT MODELO DCS380-B3  C/ BATERIA 4AH, 05 SERRAS E 01 CASE PARA ARMAZENAMENTO.</v>
      </c>
    </row>
    <row r="24" ht="22.5" customHeight="1">
      <c r="A24" s="30">
        <f>IFERROR(__xludf.DUMMYFUNCTION("""COMPUTED_VALUE"""),487.0)</f>
        <v>487</v>
      </c>
      <c r="B24" s="31" t="str">
        <f>IFERROR(__xludf.DUMMYFUNCTION("""COMPUTED_VALUE"""),"BOTA DE NEOPRENE (PAR)")</f>
        <v>BOTA DE NEOPRENE (PAR)</v>
      </c>
      <c r="C24" s="32">
        <f>IFERROR(__xludf.DUMMYFUNCTION("""COMPUTED_VALUE"""),3.0)</f>
        <v>3</v>
      </c>
      <c r="D24" s="33" t="str">
        <f>IFERROR(__xludf.DUMMYFUNCTION("""COMPUTED_VALUE"""),"VIATURA")</f>
        <v>VIATURA</v>
      </c>
      <c r="E24" s="34" t="str">
        <f>IFERROR(__xludf.DUMMYFUNCTION("""COMPUTED_VALUE"""),"1 - ASM3617")</f>
        <v>1 - ASM3617</v>
      </c>
      <c r="F24" s="34" t="str">
        <f>IFERROR(__xludf.DUMMYFUNCTION("""COMPUTED_VALUE"""),"BOX 02")</f>
        <v>BOX 02</v>
      </c>
      <c r="G24" s="35"/>
      <c r="H24" s="36"/>
      <c r="I24" s="37"/>
    </row>
    <row r="25" ht="22.5" customHeight="1">
      <c r="A25" s="30">
        <f>IFERROR(__xludf.DUMMYFUNCTION("""COMPUTED_VALUE"""),84.0)</f>
        <v>84</v>
      </c>
      <c r="B25" s="31" t="str">
        <f>IFERROR(__xludf.DUMMYFUNCTION("""COMPUTED_VALUE"""),"COLETE RESGATE AQUATICO -")</f>
        <v>COLETE RESGATE AQUATICO -</v>
      </c>
      <c r="C25" s="32">
        <f>IFERROR(__xludf.DUMMYFUNCTION("""COMPUTED_VALUE"""),1.0)</f>
        <v>1</v>
      </c>
      <c r="D25" s="33" t="str">
        <f>IFERROR(__xludf.DUMMYFUNCTION("""COMPUTED_VALUE"""),"VIATURA")</f>
        <v>VIATURA</v>
      </c>
      <c r="E25" s="34" t="str">
        <f>IFERROR(__xludf.DUMMYFUNCTION("""COMPUTED_VALUE"""),"1 - ASM3617")</f>
        <v>1 - ASM3617</v>
      </c>
      <c r="F25" s="34" t="str">
        <f>IFERROR(__xludf.DUMMYFUNCTION("""COMPUTED_VALUE"""),"BOX 02")</f>
        <v>BOX 02</v>
      </c>
      <c r="G25" s="35"/>
      <c r="H25" s="36"/>
      <c r="I25" s="37"/>
    </row>
    <row r="26" ht="22.5" customHeight="1">
      <c r="A26" s="30">
        <f>IFERROR(__xludf.DUMMYFUNCTION("""COMPUTED_VALUE"""),273.0)</f>
        <v>273</v>
      </c>
      <c r="B26" s="31" t="str">
        <f>IFERROR(__xludf.DUMMYFUNCTION("""COMPUTED_VALUE"""),"EXTINTOR DE INCÊNDIO 2A")</f>
        <v>EXTINTOR DE INCÊNDIO 2A</v>
      </c>
      <c r="C26" s="32">
        <f>IFERROR(__xludf.DUMMYFUNCTION("""COMPUTED_VALUE"""),1.0)</f>
        <v>1</v>
      </c>
      <c r="D26" s="33" t="str">
        <f>IFERROR(__xludf.DUMMYFUNCTION("""COMPUTED_VALUE"""),"VIATURA")</f>
        <v>VIATURA</v>
      </c>
      <c r="E26" s="34" t="str">
        <f>IFERROR(__xludf.DUMMYFUNCTION("""COMPUTED_VALUE"""),"1 - ASM3617")</f>
        <v>1 - ASM3617</v>
      </c>
      <c r="F26" s="34" t="str">
        <f>IFERROR(__xludf.DUMMYFUNCTION("""COMPUTED_VALUE"""),"BOX 02")</f>
        <v>BOX 02</v>
      </c>
      <c r="G26" s="35"/>
      <c r="H26" s="36"/>
      <c r="I26" s="37" t="str">
        <f>IFERROR(__xludf.DUMMYFUNCTION("""COMPUTED_VALUE"""),"10 LITROS")</f>
        <v>10 LITROS</v>
      </c>
    </row>
    <row r="27" ht="22.5" customHeight="1">
      <c r="A27" s="30">
        <f>IFERROR(__xludf.DUMMYFUNCTION("""COMPUTED_VALUE"""),277.0)</f>
        <v>277</v>
      </c>
      <c r="B27" s="40" t="str">
        <f>IFERROR(__xludf.DUMMYFUNCTION("""COMPUTED_VALUE"""),"FLUTUADOR PARA SALVAMENTO AQUATICO -")</f>
        <v>FLUTUADOR PARA SALVAMENTO AQUATICO -</v>
      </c>
      <c r="C27" s="32">
        <f>IFERROR(__xludf.DUMMYFUNCTION("""COMPUTED_VALUE"""),1.0)</f>
        <v>1</v>
      </c>
      <c r="D27" s="33" t="str">
        <f>IFERROR(__xludf.DUMMYFUNCTION("""COMPUTED_VALUE"""),"VIATURA")</f>
        <v>VIATURA</v>
      </c>
      <c r="E27" s="34" t="str">
        <f>IFERROR(__xludf.DUMMYFUNCTION("""COMPUTED_VALUE"""),"1 - ASM3617")</f>
        <v>1 - ASM3617</v>
      </c>
      <c r="F27" s="34" t="str">
        <f>IFERROR(__xludf.DUMMYFUNCTION("""COMPUTED_VALUE"""),"BOX 02")</f>
        <v>BOX 02</v>
      </c>
      <c r="G27" s="35">
        <f>IFERROR(__xludf.DUMMYFUNCTION("""COMPUTED_VALUE"""),45526.0)</f>
        <v>45526</v>
      </c>
      <c r="H27" s="36"/>
      <c r="I27" s="37" t="str">
        <f>IFERROR(__xludf.DUMMYFUNCTION("""COMPUTED_VALUE"""),"FLUTUADOR SALVA-VIDAS SALSICHÃO EM ESPUMA DE POLIETILENO - FLUTSPUMA")</f>
        <v>FLUTUADOR SALVA-VIDAS SALSICHÃO EM ESPUMA DE POLIETILENO - FLUTSPUMA</v>
      </c>
    </row>
    <row r="28" ht="22.5" customHeight="1">
      <c r="A28" s="30">
        <f>IFERROR(__xludf.DUMMYFUNCTION("""COMPUTED_VALUE"""),279.0)</f>
        <v>279</v>
      </c>
      <c r="B28" s="31" t="str">
        <f>IFERROR(__xludf.DUMMYFUNCTION("""COMPUTED_VALUE"""),"NADADEIRA PARA MERGULHO E SALVAMENTO FECHADA - (PAR)")</f>
        <v>NADADEIRA PARA MERGULHO E SALVAMENTO FECHADA - (PAR)</v>
      </c>
      <c r="C28" s="32">
        <f>IFERROR(__xludf.DUMMYFUNCTION("""COMPUTED_VALUE"""),2.0)</f>
        <v>2</v>
      </c>
      <c r="D28" s="33" t="str">
        <f>IFERROR(__xludf.DUMMYFUNCTION("""COMPUTED_VALUE"""),"VIATURA")</f>
        <v>VIATURA</v>
      </c>
      <c r="E28" s="34" t="str">
        <f>IFERROR(__xludf.DUMMYFUNCTION("""COMPUTED_VALUE"""),"1 - ASM3617")</f>
        <v>1 - ASM3617</v>
      </c>
      <c r="F28" s="34" t="str">
        <f>IFERROR(__xludf.DUMMYFUNCTION("""COMPUTED_VALUE"""),"BOX 02")</f>
        <v>BOX 02</v>
      </c>
      <c r="G28" s="35">
        <f>IFERROR(__xludf.DUMMYFUNCTION("""COMPUTED_VALUE"""),45526.0)</f>
        <v>45526</v>
      </c>
      <c r="H28" s="36"/>
      <c r="I28" s="37" t="str">
        <f>IFERROR(__xludf.DUMMYFUNCTION("""COMPUTED_VALUE"""),"Nº 38-39/ 44-46")</f>
        <v>Nº 38-39/ 44-46</v>
      </c>
    </row>
    <row r="29" ht="22.5" customHeight="1">
      <c r="A29" s="30">
        <f>IFERROR(__xludf.DUMMYFUNCTION("""COMPUTED_VALUE"""),280.0)</f>
        <v>280</v>
      </c>
      <c r="B29" s="31" t="str">
        <f>IFERROR(__xludf.DUMMYFUNCTION("""COMPUTED_VALUE"""),"SACO DE CORDAS PARA RESGATE AQUATICO -")</f>
        <v>SACO DE CORDAS PARA RESGATE AQUATICO -</v>
      </c>
      <c r="C29" s="32">
        <f>IFERROR(__xludf.DUMMYFUNCTION("""COMPUTED_VALUE"""),2.0)</f>
        <v>2</v>
      </c>
      <c r="D29" s="33" t="str">
        <f>IFERROR(__xludf.DUMMYFUNCTION("""COMPUTED_VALUE"""),"VIATURA")</f>
        <v>VIATURA</v>
      </c>
      <c r="E29" s="34" t="str">
        <f>IFERROR(__xludf.DUMMYFUNCTION("""COMPUTED_VALUE"""),"1 - ASM3617")</f>
        <v>1 - ASM3617</v>
      </c>
      <c r="F29" s="34" t="str">
        <f>IFERROR(__xludf.DUMMYFUNCTION("""COMPUTED_VALUE"""),"BOX 02")</f>
        <v>BOX 02</v>
      </c>
      <c r="G29" s="35">
        <f>IFERROR(__xludf.DUMMYFUNCTION("""COMPUTED_VALUE"""),45526.0)</f>
        <v>45526</v>
      </c>
      <c r="H29" s="36"/>
      <c r="I29" s="37" t="str">
        <f>IFERROR(__xludf.DUMMYFUNCTION("""COMPUTED_VALUE"""),"SACO DE ARREMESSO")</f>
        <v>SACO DE ARREMESSO</v>
      </c>
    </row>
    <row r="30" ht="22.5" customHeight="1">
      <c r="A30" s="30">
        <f>IFERROR(__xludf.DUMMYFUNCTION("""COMPUTED_VALUE"""),91.0)</f>
        <v>91</v>
      </c>
      <c r="B30" s="31" t="str">
        <f>IFERROR(__xludf.DUMMYFUNCTION("""COMPUTED_VALUE"""),"AMPLIFICADOR DE MASCARA CIURB")</f>
        <v>AMPLIFICADOR DE MASCARA CIURB</v>
      </c>
      <c r="C30" s="32">
        <f>IFERROR(__xludf.DUMMYFUNCTION("""COMPUTED_VALUE"""),3.0)</f>
        <v>3</v>
      </c>
      <c r="D30" s="33" t="str">
        <f>IFERROR(__xludf.DUMMYFUNCTION("""COMPUTED_VALUE"""),"VIATURA")</f>
        <v>VIATURA</v>
      </c>
      <c r="E30" s="34" t="str">
        <f>IFERROR(__xludf.DUMMYFUNCTION("""COMPUTED_VALUE"""),"1 - ASM3617")</f>
        <v>1 - ASM3617</v>
      </c>
      <c r="F30" s="34" t="str">
        <f>IFERROR(__xludf.DUMMYFUNCTION("""COMPUTED_VALUE"""),"BOX 03")</f>
        <v>BOX 03</v>
      </c>
      <c r="G30" s="35">
        <f>IFERROR(__xludf.DUMMYFUNCTION("""COMPUTED_VALUE"""),45525.0)</f>
        <v>45525</v>
      </c>
      <c r="H30" s="36"/>
      <c r="I30" s="37"/>
    </row>
    <row r="31" ht="22.5" customHeight="1">
      <c r="A31" s="30">
        <f>IFERROR(__xludf.DUMMYFUNCTION("""COMPUTED_VALUE"""),265.0)</f>
        <v>265</v>
      </c>
      <c r="B31" s="31" t="str">
        <f>IFERROR(__xludf.DUMMYFUNCTION("""COMPUTED_VALUE"""),"CADEIRINHA BAUDRIER RAPEL - NÍVEL II")</f>
        <v>CADEIRINHA BAUDRIER RAPEL - NÍVEL II</v>
      </c>
      <c r="C31" s="32">
        <f>IFERROR(__xludf.DUMMYFUNCTION("""COMPUTED_VALUE"""),1.0)</f>
        <v>1</v>
      </c>
      <c r="D31" s="33" t="str">
        <f>IFERROR(__xludf.DUMMYFUNCTION("""COMPUTED_VALUE"""),"VIATURA")</f>
        <v>VIATURA</v>
      </c>
      <c r="E31" s="34" t="str">
        <f>IFERROR(__xludf.DUMMYFUNCTION("""COMPUTED_VALUE"""),"1 - ASM3617")</f>
        <v>1 - ASM3617</v>
      </c>
      <c r="F31" s="34" t="str">
        <f>IFERROR(__xludf.DUMMYFUNCTION("""COMPUTED_VALUE"""),"BOX 03")</f>
        <v>BOX 03</v>
      </c>
      <c r="G31" s="35"/>
      <c r="H31" s="36"/>
      <c r="I31" s="37"/>
    </row>
    <row r="32" ht="22.5" customHeight="1">
      <c r="A32" s="30">
        <f>IFERROR(__xludf.DUMMYFUNCTION("""COMPUTED_VALUE"""),267.0)</f>
        <v>267</v>
      </c>
      <c r="B32" s="31" t="str">
        <f>IFERROR(__xludf.DUMMYFUNCTION("""COMPUTED_VALUE"""),"CINTO SEGURANÇA - TIPO: PARAQUEDISTA C/ MOSQUETÃO")</f>
        <v>CINTO SEGURANÇA - TIPO: PARAQUEDISTA C/ MOSQUETÃO</v>
      </c>
      <c r="C32" s="32">
        <f>IFERROR(__xludf.DUMMYFUNCTION("""COMPUTED_VALUE"""),2.0)</f>
        <v>2</v>
      </c>
      <c r="D32" s="33" t="str">
        <f>IFERROR(__xludf.DUMMYFUNCTION("""COMPUTED_VALUE"""),"VIATURA")</f>
        <v>VIATURA</v>
      </c>
      <c r="E32" s="34" t="str">
        <f>IFERROR(__xludf.DUMMYFUNCTION("""COMPUTED_VALUE"""),"1 - ASM3617")</f>
        <v>1 - ASM3617</v>
      </c>
      <c r="F32" s="34" t="str">
        <f>IFERROR(__xludf.DUMMYFUNCTION("""COMPUTED_VALUE"""),"BOX 03")</f>
        <v>BOX 03</v>
      </c>
      <c r="G32" s="35"/>
      <c r="H32" s="36"/>
      <c r="I32" s="37"/>
    </row>
    <row r="33" ht="22.5" customHeight="1">
      <c r="A33" s="30">
        <f>IFERROR(__xludf.DUMMYFUNCTION("""COMPUTED_VALUE"""),274.0)</f>
        <v>274</v>
      </c>
      <c r="B33" s="31" t="str">
        <f>IFERROR(__xludf.DUMMYFUNCTION("""COMPUTED_VALUE"""),"CONE SINALEIRO")</f>
        <v>CONE SINALEIRO</v>
      </c>
      <c r="C33" s="32">
        <f>IFERROR(__xludf.DUMMYFUNCTION("""COMPUTED_VALUE"""),5.0)</f>
        <v>5</v>
      </c>
      <c r="D33" s="33" t="str">
        <f>IFERROR(__xludf.DUMMYFUNCTION("""COMPUTED_VALUE"""),"VIATURA")</f>
        <v>VIATURA</v>
      </c>
      <c r="E33" s="34" t="str">
        <f>IFERROR(__xludf.DUMMYFUNCTION("""COMPUTED_VALUE"""),"1 - ASM3617")</f>
        <v>1 - ASM3617</v>
      </c>
      <c r="F33" s="34" t="str">
        <f>IFERROR(__xludf.DUMMYFUNCTION("""COMPUTED_VALUE"""),"BOX 03")</f>
        <v>BOX 03</v>
      </c>
      <c r="G33" s="35"/>
      <c r="H33" s="36"/>
      <c r="I33" s="37"/>
    </row>
    <row r="34" ht="22.5" customHeight="1">
      <c r="A34" s="30">
        <f>IFERROR(__xludf.DUMMYFUNCTION("""COMPUTED_VALUE"""),977.0)</f>
        <v>977</v>
      </c>
      <c r="B34" s="39" t="str">
        <f>IFERROR(__xludf.DUMMYFUNCTION("""COMPUTED_VALUE"""),"EQUIPAMENTO DE PROTEÇÃO RESPIRATÓRIO, COMPLETO -")</f>
        <v>EQUIPAMENTO DE PROTEÇÃO RESPIRATÓRIO, COMPLETO -</v>
      </c>
      <c r="C34" s="32">
        <f>IFERROR(__xludf.DUMMYFUNCTION("""COMPUTED_VALUE"""),1.0)</f>
        <v>1</v>
      </c>
      <c r="D34" s="33" t="str">
        <f>IFERROR(__xludf.DUMMYFUNCTION("""COMPUTED_VALUE"""),"VIATURA")</f>
        <v>VIATURA</v>
      </c>
      <c r="E34" s="34" t="str">
        <f>IFERROR(__xludf.DUMMYFUNCTION("""COMPUTED_VALUE"""),"1 - ASM3617")</f>
        <v>1 - ASM3617</v>
      </c>
      <c r="F34" s="34" t="str">
        <f>IFERROR(__xludf.DUMMYFUNCTION("""COMPUTED_VALUE"""),"BOX 03")</f>
        <v>BOX 03</v>
      </c>
      <c r="G34" s="35">
        <f>IFERROR(__xludf.DUMMYFUNCTION("""COMPUTED_VALUE"""),7.6830713E7)</f>
        <v>76830713</v>
      </c>
      <c r="H34" s="36"/>
      <c r="I34" s="37" t="str">
        <f>IFERROR(__xludf.DUMMYFUNCTION("""COMPUTED_VALUE"""),"EPR SCOTT COMPLETO, VALVULA DE DEMANDA, ARRIATA, CILINDRO E MÁSCARA")</f>
        <v>EPR SCOTT COMPLETO, VALVULA DE DEMANDA, ARRIATA, CILINDRO E MÁSCARA</v>
      </c>
    </row>
    <row r="35" ht="22.5" customHeight="1">
      <c r="A35" s="30">
        <f>IFERROR(__xludf.DUMMYFUNCTION("""COMPUTED_VALUE"""),980.0)</f>
        <v>980</v>
      </c>
      <c r="B35" s="39" t="str">
        <f>IFERROR(__xludf.DUMMYFUNCTION("""COMPUTED_VALUE"""),"EQUIPAMENTO DE PROTEÇÃO RESPIRATÓRIO, COMPLETO -")</f>
        <v>EQUIPAMENTO DE PROTEÇÃO RESPIRATÓRIO, COMPLETO -</v>
      </c>
      <c r="C35" s="32">
        <f>IFERROR(__xludf.DUMMYFUNCTION("""COMPUTED_VALUE"""),1.0)</f>
        <v>1</v>
      </c>
      <c r="D35" s="33" t="str">
        <f>IFERROR(__xludf.DUMMYFUNCTION("""COMPUTED_VALUE"""),"VIATURA")</f>
        <v>VIATURA</v>
      </c>
      <c r="E35" s="34" t="str">
        <f>IFERROR(__xludf.DUMMYFUNCTION("""COMPUTED_VALUE"""),"1 - ASM3617")</f>
        <v>1 - ASM3617</v>
      </c>
      <c r="F35" s="34" t="str">
        <f>IFERROR(__xludf.DUMMYFUNCTION("""COMPUTED_VALUE"""),"BOX 03")</f>
        <v>BOX 03</v>
      </c>
      <c r="G35" s="35">
        <f>IFERROR(__xludf.DUMMYFUNCTION("""COMPUTED_VALUE"""),7.681307E7)</f>
        <v>76813070</v>
      </c>
      <c r="H35" s="36" t="str">
        <f>IFERROR(__xludf.DUMMYFUNCTION("""COMPUTED_VALUE"""),"N.S.115S2201004795")</f>
        <v>N.S.115S2201004795</v>
      </c>
      <c r="I35" s="37" t="str">
        <f>IFERROR(__xludf.DUMMYFUNCTION("""COMPUTED_VALUE"""),"EPR SCOTT COMPLETO, VALVULA DE DEMANDA, ARRIATA, CILINDRO E MÁSCARA")</f>
        <v>EPR SCOTT COMPLETO, VALVULA DE DEMANDA, ARRIATA, CILINDRO E MÁSCARA</v>
      </c>
    </row>
    <row r="36" ht="22.5" customHeight="1">
      <c r="A36" s="30">
        <f>IFERROR(__xludf.DUMMYFUNCTION("""COMPUTED_VALUE"""),1061.0)</f>
        <v>1061</v>
      </c>
      <c r="B36" s="39" t="str">
        <f>IFERROR(__xludf.DUMMYFUNCTION("""COMPUTED_VALUE"""),"EQUIPAMENTO DE PROTEÇÃO RESPIRATÓRIO, COMPLETO -")</f>
        <v>EQUIPAMENTO DE PROTEÇÃO RESPIRATÓRIO, COMPLETO -</v>
      </c>
      <c r="C36" s="32">
        <f>IFERROR(__xludf.DUMMYFUNCTION("""COMPUTED_VALUE"""),1.0)</f>
        <v>1</v>
      </c>
      <c r="D36" s="33" t="str">
        <f>IFERROR(__xludf.DUMMYFUNCTION("""COMPUTED_VALUE"""),"VIATURA")</f>
        <v>VIATURA</v>
      </c>
      <c r="E36" s="34" t="str">
        <f>IFERROR(__xludf.DUMMYFUNCTION("""COMPUTED_VALUE"""),"1 - ASM3617")</f>
        <v>1 - ASM3617</v>
      </c>
      <c r="F36" s="34" t="str">
        <f>IFERROR(__xludf.DUMMYFUNCTION("""COMPUTED_VALUE"""),"BOX 03")</f>
        <v>BOX 03</v>
      </c>
      <c r="G36" s="35">
        <f>IFERROR(__xludf.DUMMYFUNCTION("""COMPUTED_VALUE"""),7.6808076E7)</f>
        <v>76808076</v>
      </c>
      <c r="H36" s="36"/>
      <c r="I36" s="37" t="str">
        <f>IFERROR(__xludf.DUMMYFUNCTION("""COMPUTED_VALUE"""),"EPR SCOTT COMPLETO, VALVULA DE DEMANDA, ARRIATA, CILINDRO E MÁSCARA")</f>
        <v>EPR SCOTT COMPLETO, VALVULA DE DEMANDA, ARRIATA, CILINDRO E MÁSCARA</v>
      </c>
    </row>
    <row r="37" ht="22.5" customHeight="1">
      <c r="A37" s="30">
        <f>IFERROR(__xludf.DUMMYFUNCTION("""COMPUTED_VALUE"""),275.0)</f>
        <v>275</v>
      </c>
      <c r="B37" s="40" t="str">
        <f>IFERROR(__xludf.DUMMYFUNCTION("""COMPUTED_VALUE"""),"EXTENSÃO  ")</f>
        <v>EXTENSÃO  </v>
      </c>
      <c r="C37" s="32">
        <f>IFERROR(__xludf.DUMMYFUNCTION("""COMPUTED_VALUE"""),1.0)</f>
        <v>1</v>
      </c>
      <c r="D37" s="33" t="str">
        <f>IFERROR(__xludf.DUMMYFUNCTION("""COMPUTED_VALUE"""),"VIATURA")</f>
        <v>VIATURA</v>
      </c>
      <c r="E37" s="34" t="str">
        <f>IFERROR(__xludf.DUMMYFUNCTION("""COMPUTED_VALUE"""),"1 - ASM3617")</f>
        <v>1 - ASM3617</v>
      </c>
      <c r="F37" s="34" t="str">
        <f>IFERROR(__xludf.DUMMYFUNCTION("""COMPUTED_VALUE"""),"BOX 03")</f>
        <v>BOX 03</v>
      </c>
      <c r="G37" s="35"/>
      <c r="H37" s="36"/>
      <c r="I37" s="37" t="str">
        <f>IFERROR(__xludf.DUMMYFUNCTION("""COMPUTED_VALUE"""),"CARRETEL")</f>
        <v>CARRETEL</v>
      </c>
    </row>
    <row r="38" ht="22.5" customHeight="1">
      <c r="A38" s="30">
        <f>IFERROR(__xludf.DUMMYFUNCTION("""COMPUTED_VALUE"""),281.0)</f>
        <v>281</v>
      </c>
      <c r="B38" s="31" t="str">
        <f>IFERROR(__xludf.DUMMYFUNCTION("""COMPUTED_VALUE"""),"MASCARA DE CIURB SOBRESSALENTE")</f>
        <v>MASCARA DE CIURB SOBRESSALENTE</v>
      </c>
      <c r="C38" s="32">
        <f>IFERROR(__xludf.DUMMYFUNCTION("""COMPUTED_VALUE"""),3.0)</f>
        <v>3</v>
      </c>
      <c r="D38" s="33" t="str">
        <f>IFERROR(__xludf.DUMMYFUNCTION("""COMPUTED_VALUE"""),"VIATURA")</f>
        <v>VIATURA</v>
      </c>
      <c r="E38" s="34" t="str">
        <f>IFERROR(__xludf.DUMMYFUNCTION("""COMPUTED_VALUE"""),"1 - ASM3617")</f>
        <v>1 - ASM3617</v>
      </c>
      <c r="F38" s="34" t="str">
        <f>IFERROR(__xludf.DUMMYFUNCTION("""COMPUTED_VALUE"""),"BOX 03")</f>
        <v>BOX 03</v>
      </c>
      <c r="G38" s="35">
        <f>IFERROR(__xludf.DUMMYFUNCTION("""COMPUTED_VALUE"""),45580.0)</f>
        <v>45580</v>
      </c>
      <c r="H38" s="36"/>
      <c r="I38" s="37" t="str">
        <f>IFERROR(__xludf.DUMMYFUNCTION("""COMPUTED_VALUE"""),"MÁSCARA CARONA")</f>
        <v>MÁSCARA CARONA</v>
      </c>
    </row>
    <row r="39" ht="22.5" customHeight="1">
      <c r="A39" s="30">
        <f>IFERROR(__xludf.DUMMYFUNCTION("""COMPUTED_VALUE"""),337.0)</f>
        <v>337</v>
      </c>
      <c r="B39" s="31" t="str">
        <f>IFERROR(__xludf.DUMMYFUNCTION("""COMPUTED_VALUE"""),"REGULADOR DE AR - EPR (RESERVA)")</f>
        <v>REGULADOR DE AR - EPR (RESERVA)</v>
      </c>
      <c r="C39" s="32">
        <f>IFERROR(__xludf.DUMMYFUNCTION("""COMPUTED_VALUE"""),3.0)</f>
        <v>3</v>
      </c>
      <c r="D39" s="33" t="str">
        <f>IFERROR(__xludf.DUMMYFUNCTION("""COMPUTED_VALUE"""),"VIATURA")</f>
        <v>VIATURA</v>
      </c>
      <c r="E39" s="34" t="str">
        <f>IFERROR(__xludf.DUMMYFUNCTION("""COMPUTED_VALUE"""),"1 - ASM3617")</f>
        <v>1 - ASM3617</v>
      </c>
      <c r="F39" s="34" t="str">
        <f>IFERROR(__xludf.DUMMYFUNCTION("""COMPUTED_VALUE"""),"BOX 03")</f>
        <v>BOX 03</v>
      </c>
      <c r="G39" s="35">
        <f>IFERROR(__xludf.DUMMYFUNCTION("""COMPUTED_VALUE"""),45526.0)</f>
        <v>45526</v>
      </c>
      <c r="H39" s="36"/>
      <c r="I39" s="37" t="str">
        <f>IFERROR(__xludf.DUMMYFUNCTION("""COMPUTED_VALUE"""),"REGULADOR SCOTT COM MANGEIRA DE DEMANDA")</f>
        <v>REGULADOR SCOTT COM MANGEIRA DE DEMANDA</v>
      </c>
    </row>
    <row r="40" ht="22.5" customHeight="1">
      <c r="A40" s="30">
        <f>IFERROR(__xludf.DUMMYFUNCTION("""COMPUTED_VALUE"""),311.0)</f>
        <v>311</v>
      </c>
      <c r="B40" s="31" t="str">
        <f>IFERROR(__xludf.DUMMYFUNCTION("""COMPUTED_VALUE"""),"BIDÃO")</f>
        <v>BIDÃO</v>
      </c>
      <c r="C40" s="32">
        <f>IFERROR(__xludf.DUMMYFUNCTION("""COMPUTED_VALUE"""),1.0)</f>
        <v>1</v>
      </c>
      <c r="D40" s="33" t="str">
        <f>IFERROR(__xludf.DUMMYFUNCTION("""COMPUTED_VALUE"""),"VIATURA")</f>
        <v>VIATURA</v>
      </c>
      <c r="E40" s="34" t="str">
        <f>IFERROR(__xludf.DUMMYFUNCTION("""COMPUTED_VALUE"""),"1 - ASM3617")</f>
        <v>1 - ASM3617</v>
      </c>
      <c r="F40" s="34" t="str">
        <f>IFERROR(__xludf.DUMMYFUNCTION("""COMPUTED_VALUE"""),"BOX 04")</f>
        <v>BOX 04</v>
      </c>
      <c r="G40" s="35">
        <f>IFERROR(__xludf.DUMMYFUNCTION("""COMPUTED_VALUE"""),45558.0)</f>
        <v>45558</v>
      </c>
      <c r="H40" s="36"/>
      <c r="I40" s="37"/>
    </row>
    <row r="41" ht="22.5" customHeight="1">
      <c r="A41" s="30">
        <f>IFERROR(__xludf.DUMMYFUNCTION("""COMPUTED_VALUE"""),283.0)</f>
        <v>283</v>
      </c>
      <c r="B41" s="31" t="str">
        <f>IFERROR(__xludf.DUMMYFUNCTION("""COMPUTED_VALUE"""),"CALÇA DE MOTOSSERRISTA XG")</f>
        <v>CALÇA DE MOTOSSERRISTA XG</v>
      </c>
      <c r="C41" s="32">
        <f>IFERROR(__xludf.DUMMYFUNCTION("""COMPUTED_VALUE"""),2.0)</f>
        <v>2</v>
      </c>
      <c r="D41" s="33" t="str">
        <f>IFERROR(__xludf.DUMMYFUNCTION("""COMPUTED_VALUE"""),"VIATURA")</f>
        <v>VIATURA</v>
      </c>
      <c r="E41" s="34" t="str">
        <f>IFERROR(__xludf.DUMMYFUNCTION("""COMPUTED_VALUE"""),"1 - ASM3617")</f>
        <v>1 - ASM3617</v>
      </c>
      <c r="F41" s="34" t="str">
        <f>IFERROR(__xludf.DUMMYFUNCTION("""COMPUTED_VALUE"""),"BOX 04")</f>
        <v>BOX 04</v>
      </c>
      <c r="G41" s="35"/>
      <c r="H41" s="36"/>
      <c r="I41" s="37"/>
    </row>
    <row r="42" ht="22.5" customHeight="1">
      <c r="A42" s="30">
        <f>IFERROR(__xludf.DUMMYFUNCTION("""COMPUTED_VALUE"""),309.0)</f>
        <v>309</v>
      </c>
      <c r="B42" s="31" t="str">
        <f>IFERROR(__xludf.DUMMYFUNCTION("""COMPUTED_VALUE"""),"CHAVE ""L"" TORX")</f>
        <v>CHAVE "L" TORX</v>
      </c>
      <c r="C42" s="32">
        <f>IFERROR(__xludf.DUMMYFUNCTION("""COMPUTED_VALUE"""),2.0)</f>
        <v>2</v>
      </c>
      <c r="D42" s="33" t="str">
        <f>IFERROR(__xludf.DUMMYFUNCTION("""COMPUTED_VALUE"""),"VIATURA")</f>
        <v>VIATURA</v>
      </c>
      <c r="E42" s="34" t="str">
        <f>IFERROR(__xludf.DUMMYFUNCTION("""COMPUTED_VALUE"""),"1 - ASM3617")</f>
        <v>1 - ASM3617</v>
      </c>
      <c r="F42" s="34" t="str">
        <f>IFERROR(__xludf.DUMMYFUNCTION("""COMPUTED_VALUE"""),"BOX 04")</f>
        <v>BOX 04</v>
      </c>
      <c r="G42" s="35">
        <f>IFERROR(__xludf.DUMMYFUNCTION("""COMPUTED_VALUE"""),45527.0)</f>
        <v>45527</v>
      </c>
      <c r="H42" s="36"/>
      <c r="I42" s="37"/>
    </row>
    <row r="43" ht="22.5" customHeight="1">
      <c r="A43" s="30">
        <f>IFERROR(__xludf.DUMMYFUNCTION("""COMPUTED_VALUE"""),141.0)</f>
        <v>141</v>
      </c>
      <c r="B43" s="31" t="str">
        <f>IFERROR(__xludf.DUMMYFUNCTION("""COMPUTED_VALUE"""),"CHAVE DE FENDA")</f>
        <v>CHAVE DE FENDA</v>
      </c>
      <c r="C43" s="32">
        <f>IFERROR(__xludf.DUMMYFUNCTION("""COMPUTED_VALUE"""),1.0)</f>
        <v>1</v>
      </c>
      <c r="D43" s="33" t="str">
        <f>IFERROR(__xludf.DUMMYFUNCTION("""COMPUTED_VALUE"""),"VIATURA")</f>
        <v>VIATURA</v>
      </c>
      <c r="E43" s="34" t="str">
        <f>IFERROR(__xludf.DUMMYFUNCTION("""COMPUTED_VALUE"""),"1 - ASM3617")</f>
        <v>1 - ASM3617</v>
      </c>
      <c r="F43" s="34" t="str">
        <f>IFERROR(__xludf.DUMMYFUNCTION("""COMPUTED_VALUE"""),"BOX 04")</f>
        <v>BOX 04</v>
      </c>
      <c r="G43" s="35">
        <f>IFERROR(__xludf.DUMMYFUNCTION("""COMPUTED_VALUE"""),45525.0)</f>
        <v>45525</v>
      </c>
      <c r="H43" s="36"/>
      <c r="I43" s="37"/>
    </row>
    <row r="44" ht="22.5" customHeight="1">
      <c r="A44" s="30">
        <f>IFERROR(__xludf.DUMMYFUNCTION("""COMPUTED_VALUE"""),317.0)</f>
        <v>317</v>
      </c>
      <c r="B44" s="31" t="str">
        <f>IFERROR(__xludf.DUMMYFUNCTION("""COMPUTED_VALUE"""),"CHAVE DE REGULAGEM DE MOTOSSERRA")</f>
        <v>CHAVE DE REGULAGEM DE MOTOSSERRA</v>
      </c>
      <c r="C44" s="32">
        <f>IFERROR(__xludf.DUMMYFUNCTION("""COMPUTED_VALUE"""),1.0)</f>
        <v>1</v>
      </c>
      <c r="D44" s="33" t="str">
        <f>IFERROR(__xludf.DUMMYFUNCTION("""COMPUTED_VALUE"""),"VIATURA")</f>
        <v>VIATURA</v>
      </c>
      <c r="E44" s="34" t="str">
        <f>IFERROR(__xludf.DUMMYFUNCTION("""COMPUTED_VALUE"""),"1 - ASM3617")</f>
        <v>1 - ASM3617</v>
      </c>
      <c r="F44" s="34" t="str">
        <f>IFERROR(__xludf.DUMMYFUNCTION("""COMPUTED_VALUE"""),"BOX 04")</f>
        <v>BOX 04</v>
      </c>
      <c r="G44" s="35"/>
      <c r="H44" s="36"/>
      <c r="I44" s="37"/>
    </row>
    <row r="45" ht="22.5" customHeight="1">
      <c r="A45" s="30">
        <f>IFERROR(__xludf.DUMMYFUNCTION("""COMPUTED_VALUE"""),303.0)</f>
        <v>303</v>
      </c>
      <c r="B45" s="31" t="str">
        <f>IFERROR(__xludf.DUMMYFUNCTION("""COMPUTED_VALUE"""),"CHAVE DE VELA COMBINADA PARA MOTOSERRA")</f>
        <v>CHAVE DE VELA COMBINADA PARA MOTOSERRA</v>
      </c>
      <c r="C45" s="32">
        <f>IFERROR(__xludf.DUMMYFUNCTION("""COMPUTED_VALUE"""),2.0)</f>
        <v>2</v>
      </c>
      <c r="D45" s="33" t="str">
        <f>IFERROR(__xludf.DUMMYFUNCTION("""COMPUTED_VALUE"""),"VIATURA")</f>
        <v>VIATURA</v>
      </c>
      <c r="E45" s="34" t="str">
        <f>IFERROR(__xludf.DUMMYFUNCTION("""COMPUTED_VALUE"""),"1 - ASM3617")</f>
        <v>1 - ASM3617</v>
      </c>
      <c r="F45" s="34" t="str">
        <f>IFERROR(__xludf.DUMMYFUNCTION("""COMPUTED_VALUE"""),"BOX 04")</f>
        <v>BOX 04</v>
      </c>
      <c r="G45" s="35">
        <f>IFERROR(__xludf.DUMMYFUNCTION("""COMPUTED_VALUE"""),45527.0)</f>
        <v>45527</v>
      </c>
      <c r="H45" s="36"/>
      <c r="I45" s="37"/>
    </row>
    <row r="46" ht="22.5" customHeight="1">
      <c r="A46" s="30">
        <f>IFERROR(__xludf.DUMMYFUNCTION("""COMPUTED_VALUE"""),304.0)</f>
        <v>304</v>
      </c>
      <c r="B46" s="31" t="str">
        <f>IFERROR(__xludf.DUMMYFUNCTION("""COMPUTED_VALUE"""),"CHAVE PHILIPS")</f>
        <v>CHAVE PHILIPS</v>
      </c>
      <c r="C46" s="32">
        <f>IFERROR(__xludf.DUMMYFUNCTION("""COMPUTED_VALUE"""),1.0)</f>
        <v>1</v>
      </c>
      <c r="D46" s="33" t="str">
        <f>IFERROR(__xludf.DUMMYFUNCTION("""COMPUTED_VALUE"""),"VIATURA")</f>
        <v>VIATURA</v>
      </c>
      <c r="E46" s="34" t="str">
        <f>IFERROR(__xludf.DUMMYFUNCTION("""COMPUTED_VALUE"""),"1 - ASM3617")</f>
        <v>1 - ASM3617</v>
      </c>
      <c r="F46" s="34" t="str">
        <f>IFERROR(__xludf.DUMMYFUNCTION("""COMPUTED_VALUE"""),"BOX 04")</f>
        <v>BOX 04</v>
      </c>
      <c r="G46" s="35"/>
      <c r="H46" s="36"/>
      <c r="I46" s="37"/>
    </row>
    <row r="47" ht="22.5" customHeight="1">
      <c r="A47" s="30">
        <f>IFERROR(__xludf.DUMMYFUNCTION("""COMPUTED_VALUE"""),308.0)</f>
        <v>308</v>
      </c>
      <c r="B47" s="40" t="str">
        <f>IFERROR(__xludf.DUMMYFUNCTION("""COMPUTED_VALUE"""),"EXTINTOR DE INCÊNDIO 2A")</f>
        <v>EXTINTOR DE INCÊNDIO 2A</v>
      </c>
      <c r="C47" s="32">
        <f>IFERROR(__xludf.DUMMYFUNCTION("""COMPUTED_VALUE"""),0.0)</f>
        <v>0</v>
      </c>
      <c r="D47" s="33" t="str">
        <f>IFERROR(__xludf.DUMMYFUNCTION("""COMPUTED_VALUE"""),"VIATURA")</f>
        <v>VIATURA</v>
      </c>
      <c r="E47" s="34" t="str">
        <f>IFERROR(__xludf.DUMMYFUNCTION("""COMPUTED_VALUE"""),"1 - ASM3617")</f>
        <v>1 - ASM3617</v>
      </c>
      <c r="F47" s="34" t="str">
        <f>IFERROR(__xludf.DUMMYFUNCTION("""COMPUTED_VALUE"""),"BOX 04")</f>
        <v>BOX 04</v>
      </c>
      <c r="G47" s="35"/>
      <c r="H47" s="36"/>
      <c r="I47" s="37"/>
    </row>
    <row r="48" ht="22.5" customHeight="1">
      <c r="A48" s="30">
        <f>IFERROR(__xludf.DUMMYFUNCTION("""COMPUTED_VALUE"""),276.0)</f>
        <v>276</v>
      </c>
      <c r="B48" s="31" t="str">
        <f>IFERROR(__xludf.DUMMYFUNCTION("""COMPUTED_VALUE"""),"EXTINTOR DE INCÊNDIO 2A 20BC")</f>
        <v>EXTINTOR DE INCÊNDIO 2A 20BC</v>
      </c>
      <c r="C48" s="32">
        <f>IFERROR(__xludf.DUMMYFUNCTION("""COMPUTED_VALUE"""),1.0)</f>
        <v>1</v>
      </c>
      <c r="D48" s="33" t="str">
        <f>IFERROR(__xludf.DUMMYFUNCTION("""COMPUTED_VALUE"""),"VIATURA")</f>
        <v>VIATURA</v>
      </c>
      <c r="E48" s="34" t="str">
        <f>IFERROR(__xludf.DUMMYFUNCTION("""COMPUTED_VALUE"""),"1 - ASM3617")</f>
        <v>1 - ASM3617</v>
      </c>
      <c r="F48" s="34" t="str">
        <f>IFERROR(__xludf.DUMMYFUNCTION("""COMPUTED_VALUE"""),"BOX 04")</f>
        <v>BOX 04</v>
      </c>
      <c r="G48" s="35">
        <f>IFERROR(__xludf.DUMMYFUNCTION("""COMPUTED_VALUE"""),45525.0)</f>
        <v>45525</v>
      </c>
      <c r="H48" s="36"/>
      <c r="I48" s="37"/>
    </row>
    <row r="49" ht="22.5" customHeight="1">
      <c r="A49" s="30">
        <f>IFERROR(__xludf.DUMMYFUNCTION("""COMPUTED_VALUE"""),302.0)</f>
        <v>302</v>
      </c>
      <c r="B49" s="31" t="str">
        <f>IFERROR(__xludf.DUMMYFUNCTION("""COMPUTED_VALUE"""),"LIMA REDONDA")</f>
        <v>LIMA REDONDA</v>
      </c>
      <c r="C49" s="32">
        <f>IFERROR(__xludf.DUMMYFUNCTION("""COMPUTED_VALUE"""),4.0)</f>
        <v>4</v>
      </c>
      <c r="D49" s="33" t="str">
        <f>IFERROR(__xludf.DUMMYFUNCTION("""COMPUTED_VALUE"""),"VIATURA")</f>
        <v>VIATURA</v>
      </c>
      <c r="E49" s="34" t="str">
        <f>IFERROR(__xludf.DUMMYFUNCTION("""COMPUTED_VALUE"""),"1 - ASM3617")</f>
        <v>1 - ASM3617</v>
      </c>
      <c r="F49" s="34" t="str">
        <f>IFERROR(__xludf.DUMMYFUNCTION("""COMPUTED_VALUE"""),"BOX 04")</f>
        <v>BOX 04</v>
      </c>
      <c r="G49" s="35">
        <f>IFERROR(__xludf.DUMMYFUNCTION("""COMPUTED_VALUE"""),45527.0)</f>
        <v>45527</v>
      </c>
      <c r="H49" s="36"/>
      <c r="I49" s="37"/>
    </row>
    <row r="50" ht="22.5" customHeight="1">
      <c r="A50" s="30">
        <f>IFERROR(__xludf.DUMMYFUNCTION("""COMPUTED_VALUE"""),1292.0)</f>
        <v>1292</v>
      </c>
      <c r="B50" s="31" t="str">
        <f>IFERROR(__xludf.DUMMYFUNCTION("""COMPUTED_VALUE"""),"MOTOSSERRA -")</f>
        <v>MOTOSSERRA -</v>
      </c>
      <c r="C50" s="32">
        <f>IFERROR(__xludf.DUMMYFUNCTION("""COMPUTED_VALUE"""),1.0)</f>
        <v>1</v>
      </c>
      <c r="D50" s="33" t="str">
        <f>IFERROR(__xludf.DUMMYFUNCTION("""COMPUTED_VALUE"""),"VIATURA")</f>
        <v>VIATURA</v>
      </c>
      <c r="E50" s="34" t="str">
        <f>IFERROR(__xludf.DUMMYFUNCTION("""COMPUTED_VALUE"""),"1 - ASM3617")</f>
        <v>1 - ASM3617</v>
      </c>
      <c r="F50" s="34" t="str">
        <f>IFERROR(__xludf.DUMMYFUNCTION("""COMPUTED_VALUE"""),"BOX 04")</f>
        <v>BOX 04</v>
      </c>
      <c r="G50" s="35">
        <f>IFERROR(__xludf.DUMMYFUNCTION("""COMPUTED_VALUE"""),7.6666484E7)</f>
        <v>76666484</v>
      </c>
      <c r="H50" s="36"/>
      <c r="I50" s="37" t="str">
        <f>IFERROR(__xludf.DUMMYFUNCTION("""COMPUTED_VALUE"""),"HUSQVARNA, 288-POTENCIA MOTOR MINIMA DE 4,2KW; ROTACAO MINMA DE 12000; TANQUE DE COMBUSTIVEL MINIMA DE 800ML; TANQUE DE OLEO MINIMA DE 360ML; SABRE DE 16"" A 28"" ")</f>
        <v>HUSQVARNA, 288-POTENCIA MOTOR MINIMA DE 4,2KW; ROTACAO MINMA DE 12000; TANQUE DE COMBUSTIVEL MINIMA DE 800ML; TANQUE DE OLEO MINIMA DE 360ML; SABRE DE 16" A 28" </v>
      </c>
    </row>
    <row r="51" ht="22.5" customHeight="1">
      <c r="A51" s="30">
        <f>IFERROR(__xludf.DUMMYFUNCTION("""COMPUTED_VALUE"""),269.0)</f>
        <v>269</v>
      </c>
      <c r="B51" s="40" t="str">
        <f>IFERROR(__xludf.DUMMYFUNCTION("""COMPUTED_VALUE"""),"CINTA PARA IÇAMENTO ")</f>
        <v>CINTA PARA IÇAMENTO </v>
      </c>
      <c r="C51" s="32">
        <f>IFERROR(__xludf.DUMMYFUNCTION("""COMPUTED_VALUE"""),2.0)</f>
        <v>2</v>
      </c>
      <c r="D51" s="33" t="str">
        <f>IFERROR(__xludf.DUMMYFUNCTION("""COMPUTED_VALUE"""),"VIATURA")</f>
        <v>VIATURA</v>
      </c>
      <c r="E51" s="34" t="str">
        <f>IFERROR(__xludf.DUMMYFUNCTION("""COMPUTED_VALUE"""),"1 - ASM3617")</f>
        <v>1 - ASM3617</v>
      </c>
      <c r="F51" s="34" t="str">
        <f>IFERROR(__xludf.DUMMYFUNCTION("""COMPUTED_VALUE"""),"BOX 05")</f>
        <v>BOX 05</v>
      </c>
      <c r="G51" s="35">
        <f>IFERROR(__xludf.DUMMYFUNCTION("""COMPUTED_VALUE"""),45526.0)</f>
        <v>45526</v>
      </c>
      <c r="H51" s="36"/>
      <c r="I51" s="37"/>
    </row>
    <row r="52" ht="22.5" customHeight="1">
      <c r="A52" s="30">
        <f>IFERROR(__xludf.DUMMYFUNCTION("""COMPUTED_VALUE"""),658.0)</f>
        <v>658</v>
      </c>
      <c r="B52" s="31" t="str">
        <f>IFERROR(__xludf.DUMMYFUNCTION("""COMPUTED_VALUE"""),"CONJUNTO DE BLOCOS E CALCOS (13)")</f>
        <v>CONJUNTO DE BLOCOS E CALCOS (13)</v>
      </c>
      <c r="C52" s="32">
        <f>IFERROR(__xludf.DUMMYFUNCTION("""COMPUTED_VALUE"""),1.0)</f>
        <v>1</v>
      </c>
      <c r="D52" s="33" t="str">
        <f>IFERROR(__xludf.DUMMYFUNCTION("""COMPUTED_VALUE"""),"VIATURA")</f>
        <v>VIATURA</v>
      </c>
      <c r="E52" s="34" t="str">
        <f>IFERROR(__xludf.DUMMYFUNCTION("""COMPUTED_VALUE"""),"1 - ASM3617")</f>
        <v>1 - ASM3617</v>
      </c>
      <c r="F52" s="34" t="str">
        <f>IFERROR(__xludf.DUMMYFUNCTION("""COMPUTED_VALUE"""),"BOX 05")</f>
        <v>BOX 05</v>
      </c>
      <c r="G52" s="35">
        <f>IFERROR(__xludf.DUMMYFUNCTION("""COMPUTED_VALUE"""),4.026615E7)</f>
        <v>40266150</v>
      </c>
      <c r="H52" s="36"/>
      <c r="I52" s="37" t="str">
        <f>IFERROR(__xludf.DUMMYFUNCTION("""COMPUTED_VALUE"""),"CONJUNTO DE CALÇOS DE POLIETILENO PARA SALVAMENTO VEÍCULAR. (02 CALÇO ESCADA, 02 CUNHA PEQUENA, 04 CUNHA GRANDE, 05 QUADRADOS) ")</f>
        <v>CONJUNTO DE CALÇOS DE POLIETILENO PARA SALVAMENTO VEÍCULAR. (02 CALÇO ESCADA, 02 CUNHA PEQUENA, 04 CUNHA GRANDE, 05 QUADRADOS) </v>
      </c>
    </row>
    <row r="53" ht="22.5" customHeight="1">
      <c r="A53" s="30">
        <f>IFERROR(__xludf.DUMMYFUNCTION("""COMPUTED_VALUE"""),256.0)</f>
        <v>256</v>
      </c>
      <c r="B53" s="31" t="str">
        <f>IFERROR(__xludf.DUMMYFUNCTION("""COMPUTED_VALUE"""),"LONA PARA ACONDICIONAMENTO DE MATERIAIS")</f>
        <v>LONA PARA ACONDICIONAMENTO DE MATERIAIS</v>
      </c>
      <c r="C53" s="32">
        <f>IFERROR(__xludf.DUMMYFUNCTION("""COMPUTED_VALUE"""),2.0)</f>
        <v>2</v>
      </c>
      <c r="D53" s="33" t="str">
        <f>IFERROR(__xludf.DUMMYFUNCTION("""COMPUTED_VALUE"""),"VIATURA")</f>
        <v>VIATURA</v>
      </c>
      <c r="E53" s="34" t="str">
        <f>IFERROR(__xludf.DUMMYFUNCTION("""COMPUTED_VALUE"""),"1 - ASM3617")</f>
        <v>1 - ASM3617</v>
      </c>
      <c r="F53" s="34" t="str">
        <f>IFERROR(__xludf.DUMMYFUNCTION("""COMPUTED_VALUE"""),"BOX 05")</f>
        <v>BOX 05</v>
      </c>
      <c r="G53" s="35"/>
      <c r="H53" s="36"/>
      <c r="I53" s="37" t="str">
        <f>IFERROR(__xludf.DUMMYFUNCTION("""COMPUTED_VALUE"""),"LONA VERMELHA DO CBMMG")</f>
        <v>LONA VERMELHA DO CBMMG</v>
      </c>
    </row>
    <row r="54" ht="22.5" customHeight="1">
      <c r="A54" s="30">
        <f>IFERROR(__xludf.DUMMYFUNCTION("""COMPUTED_VALUE"""),250.0)</f>
        <v>250</v>
      </c>
      <c r="B54" s="31" t="str">
        <f>IFERROR(__xludf.DUMMYFUNCTION("""COMPUTED_VALUE"""),"MANILHA CURVA COM PINO ")</f>
        <v>MANILHA CURVA COM PINO </v>
      </c>
      <c r="C54" s="32">
        <f>IFERROR(__xludf.DUMMYFUNCTION("""COMPUTED_VALUE"""),2.0)</f>
        <v>2</v>
      </c>
      <c r="D54" s="33" t="str">
        <f>IFERROR(__xludf.DUMMYFUNCTION("""COMPUTED_VALUE"""),"VIATURA")</f>
        <v>VIATURA</v>
      </c>
      <c r="E54" s="34" t="str">
        <f>IFERROR(__xludf.DUMMYFUNCTION("""COMPUTED_VALUE"""),"1 - ASM3617")</f>
        <v>1 - ASM3617</v>
      </c>
      <c r="F54" s="34" t="str">
        <f>IFERROR(__xludf.DUMMYFUNCTION("""COMPUTED_VALUE"""),"BOX 05")</f>
        <v>BOX 05</v>
      </c>
      <c r="G54" s="35">
        <f>IFERROR(__xludf.DUMMYFUNCTION("""COMPUTED_VALUE"""),45526.0)</f>
        <v>45526</v>
      </c>
      <c r="H54" s="36"/>
      <c r="I54" s="37"/>
    </row>
    <row r="55" ht="22.5" customHeight="1">
      <c r="A55" s="30">
        <f>IFERROR(__xludf.DUMMYFUNCTION("""COMPUTED_VALUE"""),251.0)</f>
        <v>251</v>
      </c>
      <c r="B55" s="31" t="str">
        <f>IFERROR(__xludf.DUMMYFUNCTION("""COMPUTED_VALUE"""),"POLIA SIMPLES DE AÇO")</f>
        <v>POLIA SIMPLES DE AÇO</v>
      </c>
      <c r="C55" s="32">
        <f>IFERROR(__xludf.DUMMYFUNCTION("""COMPUTED_VALUE"""),1.0)</f>
        <v>1</v>
      </c>
      <c r="D55" s="33" t="str">
        <f>IFERROR(__xludf.DUMMYFUNCTION("""COMPUTED_VALUE"""),"VIATURA")</f>
        <v>VIATURA</v>
      </c>
      <c r="E55" s="34" t="str">
        <f>IFERROR(__xludf.DUMMYFUNCTION("""COMPUTED_VALUE"""),"1 - ASM3617")</f>
        <v>1 - ASM3617</v>
      </c>
      <c r="F55" s="34" t="str">
        <f>IFERROR(__xludf.DUMMYFUNCTION("""COMPUTED_VALUE"""),"BOX 05")</f>
        <v>BOX 05</v>
      </c>
      <c r="G55" s="35">
        <f>IFERROR(__xludf.DUMMYFUNCTION("""COMPUTED_VALUE"""),45526.0)</f>
        <v>45526</v>
      </c>
      <c r="H55" s="36"/>
      <c r="I55" s="37"/>
    </row>
    <row r="56" ht="22.5" customHeight="1">
      <c r="A56" s="30">
        <f>IFERROR(__xludf.DUMMYFUNCTION("""COMPUTED_VALUE"""),312.0)</f>
        <v>312</v>
      </c>
      <c r="B56" s="31" t="str">
        <f>IFERROR(__xludf.DUMMYFUNCTION("""COMPUTED_VALUE"""),"PROTETOR DE QUINA SALV. VEICULAR")</f>
        <v>PROTETOR DE QUINA SALV. VEICULAR</v>
      </c>
      <c r="C56" s="32">
        <f>IFERROR(__xludf.DUMMYFUNCTION("""COMPUTED_VALUE"""),3.0)</f>
        <v>3</v>
      </c>
      <c r="D56" s="33" t="str">
        <f>IFERROR(__xludf.DUMMYFUNCTION("""COMPUTED_VALUE"""),"VIATURA")</f>
        <v>VIATURA</v>
      </c>
      <c r="E56" s="34" t="str">
        <f>IFERROR(__xludf.DUMMYFUNCTION("""COMPUTED_VALUE"""),"1 - ASM3617")</f>
        <v>1 - ASM3617</v>
      </c>
      <c r="F56" s="34" t="str">
        <f>IFERROR(__xludf.DUMMYFUNCTION("""COMPUTED_VALUE"""),"BOX 05")</f>
        <v>BOX 05</v>
      </c>
      <c r="G56" s="35">
        <f>IFERROR(__xludf.DUMMYFUNCTION("""COMPUTED_VALUE"""),45726.0)</f>
        <v>45726</v>
      </c>
      <c r="H56" s="36"/>
      <c r="I56" s="37"/>
    </row>
    <row r="57" ht="22.5" customHeight="1">
      <c r="A57" s="30">
        <f>IFERROR(__xludf.DUMMYFUNCTION("""COMPUTED_VALUE"""),313.0)</f>
        <v>313</v>
      </c>
      <c r="B57" s="31" t="str">
        <f>IFERROR(__xludf.DUMMYFUNCTION("""COMPUTED_VALUE"""),"PROTETOR DE VÍTIMA SAL. VEICULAR")</f>
        <v>PROTETOR DE VÍTIMA SAL. VEICULAR</v>
      </c>
      <c r="C57" s="32">
        <f>IFERROR(__xludf.DUMMYFUNCTION("""COMPUTED_VALUE"""),2.0)</f>
        <v>2</v>
      </c>
      <c r="D57" s="33" t="str">
        <f>IFERROR(__xludf.DUMMYFUNCTION("""COMPUTED_VALUE"""),"VIATURA")</f>
        <v>VIATURA</v>
      </c>
      <c r="E57" s="34" t="str">
        <f>IFERROR(__xludf.DUMMYFUNCTION("""COMPUTED_VALUE"""),"1 - ASM3617")</f>
        <v>1 - ASM3617</v>
      </c>
      <c r="F57" s="34" t="str">
        <f>IFERROR(__xludf.DUMMYFUNCTION("""COMPUTED_VALUE"""),"BOX 05")</f>
        <v>BOX 05</v>
      </c>
      <c r="G57" s="35">
        <f>IFERROR(__xludf.DUMMYFUNCTION("""COMPUTED_VALUE"""),45726.0)</f>
        <v>45726</v>
      </c>
      <c r="H57" s="36"/>
      <c r="I57" s="37"/>
    </row>
    <row r="58" ht="22.5" customHeight="1">
      <c r="A58" s="30">
        <f>IFERROR(__xludf.DUMMYFUNCTION("""COMPUTED_VALUE"""),255.0)</f>
        <v>255</v>
      </c>
      <c r="B58" s="31" t="str">
        <f>IFERROR(__xludf.DUMMYFUNCTION("""COMPUTED_VALUE"""),"REDE TARRAFA")</f>
        <v>REDE TARRAFA</v>
      </c>
      <c r="C58" s="32">
        <f>IFERROR(__xludf.DUMMYFUNCTION("""COMPUTED_VALUE"""),1.0)</f>
        <v>1</v>
      </c>
      <c r="D58" s="33" t="str">
        <f>IFERROR(__xludf.DUMMYFUNCTION("""COMPUTED_VALUE"""),"VIATURA")</f>
        <v>VIATURA</v>
      </c>
      <c r="E58" s="34" t="str">
        <f>IFERROR(__xludf.DUMMYFUNCTION("""COMPUTED_VALUE"""),"1 - ASM3617")</f>
        <v>1 - ASM3617</v>
      </c>
      <c r="F58" s="34" t="str">
        <f>IFERROR(__xludf.DUMMYFUNCTION("""COMPUTED_VALUE"""),"BOX 05")</f>
        <v>BOX 05</v>
      </c>
      <c r="G58" s="35"/>
      <c r="H58" s="36"/>
      <c r="I58" s="37"/>
    </row>
    <row r="59" ht="22.5" customHeight="1">
      <c r="A59" s="30">
        <f>IFERROR(__xludf.DUMMYFUNCTION("""COMPUTED_VALUE"""),318.0)</f>
        <v>318</v>
      </c>
      <c r="B59" s="31" t="str">
        <f>IFERROR(__xludf.DUMMYFUNCTION("""COMPUTED_VALUE"""),"ROUPÃO SANITÁRIO")</f>
        <v>ROUPÃO SANITÁRIO</v>
      </c>
      <c r="C59" s="32">
        <f>IFERROR(__xludf.DUMMYFUNCTION("""COMPUTED_VALUE"""),2.0)</f>
        <v>2</v>
      </c>
      <c r="D59" s="33" t="str">
        <f>IFERROR(__xludf.DUMMYFUNCTION("""COMPUTED_VALUE"""),"VIATURA")</f>
        <v>VIATURA</v>
      </c>
      <c r="E59" s="34" t="str">
        <f>IFERROR(__xludf.DUMMYFUNCTION("""COMPUTED_VALUE"""),"1 - ASM3617")</f>
        <v>1 - ASM3617</v>
      </c>
      <c r="F59" s="34" t="str">
        <f>IFERROR(__xludf.DUMMYFUNCTION("""COMPUTED_VALUE"""),"BOX 05")</f>
        <v>BOX 05</v>
      </c>
      <c r="G59" s="35"/>
      <c r="H59" s="36"/>
      <c r="I59" s="37"/>
    </row>
    <row r="60" ht="22.5" customHeight="1">
      <c r="A60" s="30">
        <f>IFERROR(__xludf.DUMMYFUNCTION("""COMPUTED_VALUE"""),268.0)</f>
        <v>268</v>
      </c>
      <c r="B60" s="31" t="str">
        <f>IFERROR(__xludf.DUMMYFUNCTION("""COMPUTED_VALUE"""),"BOLSA SALV. ALTURA MERET")</f>
        <v>BOLSA SALV. ALTURA MERET</v>
      </c>
      <c r="C60" s="32">
        <f>IFERROR(__xludf.DUMMYFUNCTION("""COMPUTED_VALUE"""),1.0)</f>
        <v>1</v>
      </c>
      <c r="D60" s="33" t="str">
        <f>IFERROR(__xludf.DUMMYFUNCTION("""COMPUTED_VALUE"""),"VIATURA")</f>
        <v>VIATURA</v>
      </c>
      <c r="E60" s="34" t="str">
        <f>IFERROR(__xludf.DUMMYFUNCTION("""COMPUTED_VALUE"""),"1 - ASM3617")</f>
        <v>1 - ASM3617</v>
      </c>
      <c r="F60" s="34" t="str">
        <f>IFERROR(__xludf.DUMMYFUNCTION("""COMPUTED_VALUE"""),"BOX CENTRAL")</f>
        <v>BOX CENTRAL</v>
      </c>
      <c r="G60" s="35"/>
      <c r="H60" s="36"/>
      <c r="I60" s="37"/>
    </row>
    <row r="61" ht="22.5" customHeight="1">
      <c r="A61" s="30">
        <f>IFERROR(__xludf.DUMMYFUNCTION("""COMPUTED_VALUE"""),264.0)</f>
        <v>264</v>
      </c>
      <c r="B61" s="31" t="str">
        <f>IFERROR(__xludf.DUMMYFUNCTION("""COMPUTED_VALUE"""),"CABO SOLTEIRO")</f>
        <v>CABO SOLTEIRO</v>
      </c>
      <c r="C61" s="32">
        <f>IFERROR(__xludf.DUMMYFUNCTION("""COMPUTED_VALUE"""),4.0)</f>
        <v>4</v>
      </c>
      <c r="D61" s="33" t="str">
        <f>IFERROR(__xludf.DUMMYFUNCTION("""COMPUTED_VALUE"""),"VIATURA")</f>
        <v>VIATURA</v>
      </c>
      <c r="E61" s="34" t="str">
        <f>IFERROR(__xludf.DUMMYFUNCTION("""COMPUTED_VALUE"""),"1 - ASM3617")</f>
        <v>1 - ASM3617</v>
      </c>
      <c r="F61" s="34" t="str">
        <f>IFERROR(__xludf.DUMMYFUNCTION("""COMPUTED_VALUE"""),"BOX CENTRAL")</f>
        <v>BOX CENTRAL</v>
      </c>
      <c r="G61" s="35"/>
      <c r="H61" s="36"/>
      <c r="I61" s="37"/>
    </row>
    <row r="62" ht="22.5" customHeight="1">
      <c r="A62" s="30">
        <f>IFERROR(__xludf.DUMMYFUNCTION("""COMPUTED_VALUE"""),257.0)</f>
        <v>257</v>
      </c>
      <c r="B62" s="31" t="str">
        <f>IFERROR(__xludf.DUMMYFUNCTION("""COMPUTED_VALUE"""),"CORDA -")</f>
        <v>CORDA -</v>
      </c>
      <c r="C62" s="32">
        <f>IFERROR(__xludf.DUMMYFUNCTION("""COMPUTED_VALUE"""),2.0)</f>
        <v>2</v>
      </c>
      <c r="D62" s="33" t="str">
        <f>IFERROR(__xludf.DUMMYFUNCTION("""COMPUTED_VALUE"""),"VIATURA")</f>
        <v>VIATURA</v>
      </c>
      <c r="E62" s="34" t="str">
        <f>IFERROR(__xludf.DUMMYFUNCTION("""COMPUTED_VALUE"""),"1 - ASM3617")</f>
        <v>1 - ASM3617</v>
      </c>
      <c r="F62" s="34" t="str">
        <f>IFERROR(__xludf.DUMMYFUNCTION("""COMPUTED_VALUE"""),"BOX CENTRAL")</f>
        <v>BOX CENTRAL</v>
      </c>
      <c r="G62" s="35"/>
      <c r="H62" s="36"/>
      <c r="I62" s="37" t="str">
        <f>IFERROR(__xludf.DUMMYFUNCTION("""COMPUTED_VALUE"""),"100 METROS")</f>
        <v>100 METROS</v>
      </c>
    </row>
    <row r="63" ht="22.5" customHeight="1">
      <c r="A63" s="30">
        <f>IFERROR(__xludf.DUMMYFUNCTION("""COMPUTED_VALUE"""),258.0)</f>
        <v>258</v>
      </c>
      <c r="B63" s="31" t="str">
        <f>IFERROR(__xludf.DUMMYFUNCTION("""COMPUTED_VALUE"""),"CORDA -")</f>
        <v>CORDA -</v>
      </c>
      <c r="C63" s="32">
        <f>IFERROR(__xludf.DUMMYFUNCTION("""COMPUTED_VALUE"""),2.0)</f>
        <v>2</v>
      </c>
      <c r="D63" s="33" t="str">
        <f>IFERROR(__xludf.DUMMYFUNCTION("""COMPUTED_VALUE"""),"VIATURA")</f>
        <v>VIATURA</v>
      </c>
      <c r="E63" s="34" t="str">
        <f>IFERROR(__xludf.DUMMYFUNCTION("""COMPUTED_VALUE"""),"1 - ASM3617")</f>
        <v>1 - ASM3617</v>
      </c>
      <c r="F63" s="34" t="str">
        <f>IFERROR(__xludf.DUMMYFUNCTION("""COMPUTED_VALUE"""),"BOX CENTRAL")</f>
        <v>BOX CENTRAL</v>
      </c>
      <c r="G63" s="35"/>
      <c r="H63" s="36"/>
      <c r="I63" s="37" t="str">
        <f>IFERROR(__xludf.DUMMYFUNCTION("""COMPUTED_VALUE"""),"50 METROS - ")</f>
        <v>50 METROS - </v>
      </c>
    </row>
    <row r="64" ht="22.5" customHeight="1">
      <c r="A64" s="30">
        <f>IFERROR(__xludf.DUMMYFUNCTION("""COMPUTED_VALUE"""),266.0)</f>
        <v>266</v>
      </c>
      <c r="B64" s="31" t="str">
        <f>IFERROR(__xludf.DUMMYFUNCTION("""COMPUTED_VALUE"""),"CORDA -")</f>
        <v>CORDA -</v>
      </c>
      <c r="C64" s="32">
        <f>IFERROR(__xludf.DUMMYFUNCTION("""COMPUTED_VALUE"""),2.0)</f>
        <v>2</v>
      </c>
      <c r="D64" s="33" t="str">
        <f>IFERROR(__xludf.DUMMYFUNCTION("""COMPUTED_VALUE"""),"VIATURA")</f>
        <v>VIATURA</v>
      </c>
      <c r="E64" s="34" t="str">
        <f>IFERROR(__xludf.DUMMYFUNCTION("""COMPUTED_VALUE"""),"1 - ASM3617")</f>
        <v>1 - ASM3617</v>
      </c>
      <c r="F64" s="34" t="str">
        <f>IFERROR(__xludf.DUMMYFUNCTION("""COMPUTED_VALUE"""),"BOX CENTRAL")</f>
        <v>BOX CENTRAL</v>
      </c>
      <c r="G64" s="35"/>
      <c r="H64" s="36"/>
      <c r="I64" s="37" t="str">
        <f>IFERROR(__xludf.DUMMYFUNCTION("""COMPUTED_VALUE"""),"150 METROS")</f>
        <v>150 METROS</v>
      </c>
    </row>
    <row r="65" ht="22.5" customHeight="1">
      <c r="A65" s="30">
        <f>IFERROR(__xludf.DUMMYFUNCTION("""COMPUTED_VALUE"""),316.0)</f>
        <v>316</v>
      </c>
      <c r="B65" s="31" t="str">
        <f>IFERROR(__xludf.DUMMYFUNCTION("""COMPUTED_VALUE"""),"ESCORA DE ESTABILIZAÇÃO")</f>
        <v>ESCORA DE ESTABILIZAÇÃO</v>
      </c>
      <c r="C65" s="32">
        <f>IFERROR(__xludf.DUMMYFUNCTION("""COMPUTED_VALUE"""),3.0)</f>
        <v>3</v>
      </c>
      <c r="D65" s="33" t="str">
        <f>IFERROR(__xludf.DUMMYFUNCTION("""COMPUTED_VALUE"""),"VIATURA")</f>
        <v>VIATURA</v>
      </c>
      <c r="E65" s="34" t="str">
        <f>IFERROR(__xludf.DUMMYFUNCTION("""COMPUTED_VALUE"""),"1 - ASM3617")</f>
        <v>1 - ASM3617</v>
      </c>
      <c r="F65" s="34" t="str">
        <f>IFERROR(__xludf.DUMMYFUNCTION("""COMPUTED_VALUE"""),"BOX CENTRAL")</f>
        <v>BOX CENTRAL</v>
      </c>
      <c r="G65" s="35">
        <f>IFERROR(__xludf.DUMMYFUNCTION("""COMPUTED_VALUE"""),45723.0)</f>
        <v>45723</v>
      </c>
      <c r="H65" s="36"/>
      <c r="I65" s="37" t="str">
        <f>IFERROR(__xludf.DUMMYFUNCTION("""COMPUTED_VALUE"""),"HOLMATRO MODELO: V-STRUT")</f>
        <v>HOLMATRO MODELO: V-STRUT</v>
      </c>
    </row>
    <row r="66" ht="22.5" customHeight="1">
      <c r="A66" s="30">
        <f>IFERROR(__xludf.DUMMYFUNCTION("""COMPUTED_VALUE"""),314.0)</f>
        <v>314</v>
      </c>
      <c r="B66" s="40" t="str">
        <f>IFERROR(__xludf.DUMMYFUNCTION("""COMPUTED_VALUE"""),"MACA ENVELOPE (SKED)")</f>
        <v>MACA ENVELOPE (SKED)</v>
      </c>
      <c r="C66" s="32">
        <f>IFERROR(__xludf.DUMMYFUNCTION("""COMPUTED_VALUE"""),1.0)</f>
        <v>1</v>
      </c>
      <c r="D66" s="33" t="str">
        <f>IFERROR(__xludf.DUMMYFUNCTION("""COMPUTED_VALUE"""),"VIATURA")</f>
        <v>VIATURA</v>
      </c>
      <c r="E66" s="34" t="str">
        <f>IFERROR(__xludf.DUMMYFUNCTION("""COMPUTED_VALUE"""),"1 - ASM3617")</f>
        <v>1 - ASM3617</v>
      </c>
      <c r="F66" s="34" t="str">
        <f>IFERROR(__xludf.DUMMYFUNCTION("""COMPUTED_VALUE"""),"BOX CENTRAL")</f>
        <v>BOX CENTRAL</v>
      </c>
      <c r="G66" s="35"/>
      <c r="H66" s="36"/>
      <c r="I66" s="37" t="str">
        <f>IFERROR(__xludf.DUMMYFUNCTION("""COMPUTED_VALUE"""),"MACA SKED COM UMA CORDA, 02 CINTAS PARA IÇAMENTO E 01 MOSQUETÃO DE AÇO.")</f>
        <v>MACA SKED COM UMA CORDA, 02 CINTAS PARA IÇAMENTO E 01 MOSQUETÃO DE AÇO.</v>
      </c>
    </row>
    <row r="67" ht="22.5" customHeight="1">
      <c r="A67" s="30">
        <f>IFERROR(__xludf.DUMMYFUNCTION("""COMPUTED_VALUE"""),263.0)</f>
        <v>263</v>
      </c>
      <c r="B67" s="31" t="str">
        <f>IFERROR(__xludf.DUMMYFUNCTION("""COMPUTED_VALUE"""),"MOSQUETÃO DE AÇO")</f>
        <v>MOSQUETÃO DE AÇO</v>
      </c>
      <c r="C67" s="32">
        <f>IFERROR(__xludf.DUMMYFUNCTION("""COMPUTED_VALUE"""),2.0)</f>
        <v>2</v>
      </c>
      <c r="D67" s="33" t="str">
        <f>IFERROR(__xludf.DUMMYFUNCTION("""COMPUTED_VALUE"""),"VIATURA")</f>
        <v>VIATURA</v>
      </c>
      <c r="E67" s="34" t="str">
        <f>IFERROR(__xludf.DUMMYFUNCTION("""COMPUTED_VALUE"""),"1 - ASM3617")</f>
        <v>1 - ASM3617</v>
      </c>
      <c r="F67" s="34" t="str">
        <f>IFERROR(__xludf.DUMMYFUNCTION("""COMPUTED_VALUE"""),"BOX CENTRAL")</f>
        <v>BOX CENTRAL</v>
      </c>
      <c r="G67" s="35"/>
      <c r="H67" s="36"/>
      <c r="I67" s="37"/>
    </row>
    <row r="68" ht="22.5" customHeight="1">
      <c r="A68" s="30">
        <f>IFERROR(__xludf.DUMMYFUNCTION("""COMPUTED_VALUE"""),261.0)</f>
        <v>261</v>
      </c>
      <c r="B68" s="40" t="str">
        <f>IFERROR(__xludf.DUMMYFUNCTION("""COMPUTED_VALUE"""),"POLIA DUPLA 40 KN (AZUL)")</f>
        <v>POLIA DUPLA 40 KN (AZUL)</v>
      </c>
      <c r="C68" s="32">
        <f>IFERROR(__xludf.DUMMYFUNCTION("""COMPUTED_VALUE"""),1.0)</f>
        <v>1</v>
      </c>
      <c r="D68" s="33" t="str">
        <f>IFERROR(__xludf.DUMMYFUNCTION("""COMPUTED_VALUE"""),"VIATURA")</f>
        <v>VIATURA</v>
      </c>
      <c r="E68" s="34" t="str">
        <f>IFERROR(__xludf.DUMMYFUNCTION("""COMPUTED_VALUE"""),"1 - ASM3617")</f>
        <v>1 - ASM3617</v>
      </c>
      <c r="F68" s="34" t="str">
        <f>IFERROR(__xludf.DUMMYFUNCTION("""COMPUTED_VALUE"""),"BOX CENTRAL")</f>
        <v>BOX CENTRAL</v>
      </c>
      <c r="G68" s="35"/>
      <c r="H68" s="36"/>
      <c r="I68" s="37"/>
    </row>
    <row r="69" ht="22.5" customHeight="1">
      <c r="A69" s="30">
        <f>IFERROR(__xludf.DUMMYFUNCTION("""COMPUTED_VALUE"""),259.0)</f>
        <v>259</v>
      </c>
      <c r="B69" s="31" t="str">
        <f>IFERROR(__xludf.DUMMYFUNCTION("""COMPUTED_VALUE"""),"POLIA DUPLA COM DESTORCEDOR")</f>
        <v>POLIA DUPLA COM DESTORCEDOR</v>
      </c>
      <c r="C69" s="32">
        <f>IFERROR(__xludf.DUMMYFUNCTION("""COMPUTED_VALUE"""),1.0)</f>
        <v>1</v>
      </c>
      <c r="D69" s="33" t="str">
        <f>IFERROR(__xludf.DUMMYFUNCTION("""COMPUTED_VALUE"""),"VIATURA")</f>
        <v>VIATURA</v>
      </c>
      <c r="E69" s="34" t="str">
        <f>IFERROR(__xludf.DUMMYFUNCTION("""COMPUTED_VALUE"""),"1 - ASM3617")</f>
        <v>1 - ASM3617</v>
      </c>
      <c r="F69" s="34" t="str">
        <f>IFERROR(__xludf.DUMMYFUNCTION("""COMPUTED_VALUE"""),"BOX CENTRAL")</f>
        <v>BOX CENTRAL</v>
      </c>
      <c r="G69" s="35"/>
      <c r="H69" s="36"/>
      <c r="I69" s="37"/>
    </row>
    <row r="70" ht="22.5" customHeight="1">
      <c r="A70" s="30">
        <f>IFERROR(__xludf.DUMMYFUNCTION("""COMPUTED_VALUE"""),260.0)</f>
        <v>260</v>
      </c>
      <c r="B70" s="31" t="str">
        <f>IFERROR(__xludf.DUMMYFUNCTION("""COMPUTED_VALUE"""),"POLIA SIMPLES COM DESTORCEDOR")</f>
        <v>POLIA SIMPLES COM DESTORCEDOR</v>
      </c>
      <c r="C70" s="32">
        <f>IFERROR(__xludf.DUMMYFUNCTION("""COMPUTED_VALUE"""),1.0)</f>
        <v>1</v>
      </c>
      <c r="D70" s="33" t="str">
        <f>IFERROR(__xludf.DUMMYFUNCTION("""COMPUTED_VALUE"""),"VIATURA")</f>
        <v>VIATURA</v>
      </c>
      <c r="E70" s="34" t="str">
        <f>IFERROR(__xludf.DUMMYFUNCTION("""COMPUTED_VALUE"""),"1 - ASM3617")</f>
        <v>1 - ASM3617</v>
      </c>
      <c r="F70" s="34" t="str">
        <f>IFERROR(__xludf.DUMMYFUNCTION("""COMPUTED_VALUE"""),"BOX CENTRAL")</f>
        <v>BOX CENTRAL</v>
      </c>
      <c r="G70" s="35"/>
      <c r="H70" s="36"/>
      <c r="I70" s="37"/>
    </row>
    <row r="71" ht="22.5" customHeight="1">
      <c r="A71" s="30">
        <f>IFERROR(__xludf.DUMMYFUNCTION("""COMPUTED_VALUE"""),262.0)</f>
        <v>262</v>
      </c>
      <c r="B71" s="31" t="str">
        <f>IFERROR(__xludf.DUMMYFUNCTION("""COMPUTED_VALUE"""),"POLIA TANDEM 24 KN (VERMELHA)")</f>
        <v>POLIA TANDEM 24 KN (VERMELHA)</v>
      </c>
      <c r="C71" s="32">
        <f>IFERROR(__xludf.DUMMYFUNCTION("""COMPUTED_VALUE"""),1.0)</f>
        <v>1</v>
      </c>
      <c r="D71" s="33" t="str">
        <f>IFERROR(__xludf.DUMMYFUNCTION("""COMPUTED_VALUE"""),"VIATURA")</f>
        <v>VIATURA</v>
      </c>
      <c r="E71" s="34" t="str">
        <f>IFERROR(__xludf.DUMMYFUNCTION("""COMPUTED_VALUE"""),"1 - ASM3617")</f>
        <v>1 - ASM3617</v>
      </c>
      <c r="F71" s="34" t="str">
        <f>IFERROR(__xludf.DUMMYFUNCTION("""COMPUTED_VALUE"""),"BOX CENTRAL")</f>
        <v>BOX CENTRAL</v>
      </c>
      <c r="G71" s="35"/>
      <c r="H71" s="36"/>
      <c r="I71" s="37"/>
    </row>
    <row r="72" ht="22.5" customHeight="1">
      <c r="A72" s="30">
        <f>IFERROR(__xludf.DUMMYFUNCTION("""COMPUTED_VALUE"""),271.0)</f>
        <v>271</v>
      </c>
      <c r="B72" s="31" t="str">
        <f>IFERROR(__xludf.DUMMYFUNCTION("""COMPUTED_VALUE"""),"PRANCHA LONGA")</f>
        <v>PRANCHA LONGA</v>
      </c>
      <c r="C72" s="32">
        <f>IFERROR(__xludf.DUMMYFUNCTION("""COMPUTED_VALUE"""),1.0)</f>
        <v>1</v>
      </c>
      <c r="D72" s="33" t="str">
        <f>IFERROR(__xludf.DUMMYFUNCTION("""COMPUTED_VALUE"""),"VIATURA")</f>
        <v>VIATURA</v>
      </c>
      <c r="E72" s="34" t="str">
        <f>IFERROR(__xludf.DUMMYFUNCTION("""COMPUTED_VALUE"""),"1 - ASM3617")</f>
        <v>1 - ASM3617</v>
      </c>
      <c r="F72" s="34" t="str">
        <f>IFERROR(__xludf.DUMMYFUNCTION("""COMPUTED_VALUE"""),"BOX CENTRAL")</f>
        <v>BOX CENTRAL</v>
      </c>
      <c r="G72" s="35">
        <f>IFERROR(__xludf.DUMMYFUNCTION("""COMPUTED_VALUE"""),45526.0)</f>
        <v>45526</v>
      </c>
      <c r="H72" s="36"/>
      <c r="I72" s="37" t="str">
        <f>IFERROR(__xludf.DUMMYFUNCTION("""COMPUTED_VALUE"""),"PRANCHA DE FIBRA AMARELA C/ ENCOSTO DE CABEÇA E BACHAL")</f>
        <v>PRANCHA DE FIBRA AMARELA C/ ENCOSTO DE CABEÇA E BACHAL</v>
      </c>
    </row>
    <row r="73" ht="22.5" customHeight="1">
      <c r="A73" s="30">
        <f>IFERROR(__xludf.DUMMYFUNCTION("""COMPUTED_VALUE"""),286.0)</f>
        <v>286</v>
      </c>
      <c r="B73" s="40" t="str">
        <f>IFERROR(__xludf.DUMMYFUNCTION("""COMPUTED_VALUE"""),"ABAFADOR PARA COMBATE A INCENDIO FLORESTAL")</f>
        <v>ABAFADOR PARA COMBATE A INCENDIO FLORESTAL</v>
      </c>
      <c r="C73" s="32">
        <f>IFERROR(__xludf.DUMMYFUNCTION("""COMPUTED_VALUE"""),3.0)</f>
        <v>3</v>
      </c>
      <c r="D73" s="33" t="str">
        <f>IFERROR(__xludf.DUMMYFUNCTION("""COMPUTED_VALUE"""),"VIATURA")</f>
        <v>VIATURA</v>
      </c>
      <c r="E73" s="34" t="str">
        <f>IFERROR(__xludf.DUMMYFUNCTION("""COMPUTED_VALUE"""),"1 - ASM3617")</f>
        <v>1 - ASM3617</v>
      </c>
      <c r="F73" s="34" t="str">
        <f>IFERROR(__xludf.DUMMYFUNCTION("""COMPUTED_VALUE"""),"BOX SUPERIOR 01")</f>
        <v>BOX SUPERIOR 01</v>
      </c>
      <c r="G73" s="35"/>
      <c r="H73" s="36"/>
      <c r="I73" s="37"/>
    </row>
    <row r="74" ht="22.5" customHeight="1">
      <c r="A74" s="30">
        <f>IFERROR(__xludf.DUMMYFUNCTION("""COMPUTED_VALUE"""),294.0)</f>
        <v>294</v>
      </c>
      <c r="B74" s="31" t="str">
        <f>IFERROR(__xludf.DUMMYFUNCTION("""COMPUTED_VALUE"""),"BASTAO ISOLADO")</f>
        <v>BASTAO ISOLADO</v>
      </c>
      <c r="C74" s="32">
        <f>IFERROR(__xludf.DUMMYFUNCTION("""COMPUTED_VALUE"""),1.0)</f>
        <v>1</v>
      </c>
      <c r="D74" s="33" t="str">
        <f>IFERROR(__xludf.DUMMYFUNCTION("""COMPUTED_VALUE"""),"VIATURA")</f>
        <v>VIATURA</v>
      </c>
      <c r="E74" s="34" t="str">
        <f>IFERROR(__xludf.DUMMYFUNCTION("""COMPUTED_VALUE"""),"1 - ASM3617")</f>
        <v>1 - ASM3617</v>
      </c>
      <c r="F74" s="34" t="str">
        <f>IFERROR(__xludf.DUMMYFUNCTION("""COMPUTED_VALUE"""),"BOX SUPERIOR 01")</f>
        <v>BOX SUPERIOR 01</v>
      </c>
      <c r="G74" s="35"/>
      <c r="H74" s="36"/>
      <c r="I74" s="37"/>
    </row>
    <row r="75" ht="22.5" customHeight="1">
      <c r="A75" s="30">
        <f>IFERROR(__xludf.DUMMYFUNCTION("""COMPUTED_VALUE"""),301.0)</f>
        <v>301</v>
      </c>
      <c r="B75" s="31" t="str">
        <f>IFERROR(__xludf.DUMMYFUNCTION("""COMPUTED_VALUE"""),"CAMBÃO - CAPTURA DE ANIMAIS ")</f>
        <v>CAMBÃO - CAPTURA DE ANIMAIS </v>
      </c>
      <c r="C75" s="32">
        <f>IFERROR(__xludf.DUMMYFUNCTION("""COMPUTED_VALUE"""),2.0)</f>
        <v>2</v>
      </c>
      <c r="D75" s="33" t="str">
        <f>IFERROR(__xludf.DUMMYFUNCTION("""COMPUTED_VALUE"""),"VIATURA")</f>
        <v>VIATURA</v>
      </c>
      <c r="E75" s="34" t="str">
        <f>IFERROR(__xludf.DUMMYFUNCTION("""COMPUTED_VALUE"""),"1 - ASM3617")</f>
        <v>1 - ASM3617</v>
      </c>
      <c r="F75" s="34" t="str">
        <f>IFERROR(__xludf.DUMMYFUNCTION("""COMPUTED_VALUE"""),"BOX SUPERIOR 01")</f>
        <v>BOX SUPERIOR 01</v>
      </c>
      <c r="G75" s="35"/>
      <c r="H75" s="36"/>
      <c r="I75" s="37"/>
    </row>
    <row r="76" ht="22.5" customHeight="1">
      <c r="A76" s="30">
        <f>IFERROR(__xludf.DUMMYFUNCTION("""COMPUTED_VALUE"""),292.0)</f>
        <v>292</v>
      </c>
      <c r="B76" s="31" t="str">
        <f>IFERROR(__xludf.DUMMYFUNCTION("""COMPUTED_VALUE"""),"ENXADA")</f>
        <v>ENXADA</v>
      </c>
      <c r="C76" s="32">
        <f>IFERROR(__xludf.DUMMYFUNCTION("""COMPUTED_VALUE"""),1.0)</f>
        <v>1</v>
      </c>
      <c r="D76" s="33" t="str">
        <f>IFERROR(__xludf.DUMMYFUNCTION("""COMPUTED_VALUE"""),"VIATURA")</f>
        <v>VIATURA</v>
      </c>
      <c r="E76" s="34" t="str">
        <f>IFERROR(__xludf.DUMMYFUNCTION("""COMPUTED_VALUE"""),"1 - ASM3617")</f>
        <v>1 - ASM3617</v>
      </c>
      <c r="F76" s="34" t="str">
        <f>IFERROR(__xludf.DUMMYFUNCTION("""COMPUTED_VALUE"""),"BOX SUPERIOR 01")</f>
        <v>BOX SUPERIOR 01</v>
      </c>
      <c r="G76" s="35"/>
      <c r="H76" s="36"/>
      <c r="I76" s="37"/>
    </row>
    <row r="77" ht="22.5" customHeight="1">
      <c r="A77" s="30">
        <f>IFERROR(__xludf.DUMMYFUNCTION("""COMPUTED_VALUE"""),291.0)</f>
        <v>291</v>
      </c>
      <c r="B77" s="31" t="str">
        <f>IFERROR(__xludf.DUMMYFUNCTION("""COMPUTED_VALUE"""),"ENXADÃO")</f>
        <v>ENXADÃO</v>
      </c>
      <c r="C77" s="32">
        <f>IFERROR(__xludf.DUMMYFUNCTION("""COMPUTED_VALUE"""),1.0)</f>
        <v>1</v>
      </c>
      <c r="D77" s="33" t="str">
        <f>IFERROR(__xludf.DUMMYFUNCTION("""COMPUTED_VALUE"""),"VIATURA")</f>
        <v>VIATURA</v>
      </c>
      <c r="E77" s="34" t="str">
        <f>IFERROR(__xludf.DUMMYFUNCTION("""COMPUTED_VALUE"""),"1 - ASM3617")</f>
        <v>1 - ASM3617</v>
      </c>
      <c r="F77" s="34" t="str">
        <f>IFERROR(__xludf.DUMMYFUNCTION("""COMPUTED_VALUE"""),"BOX SUPERIOR 01")</f>
        <v>BOX SUPERIOR 01</v>
      </c>
      <c r="G77" s="35"/>
      <c r="H77" s="36"/>
      <c r="I77" s="37"/>
    </row>
    <row r="78" ht="22.5" customHeight="1">
      <c r="A78" s="30">
        <f>IFERROR(__xludf.DUMMYFUNCTION("""COMPUTED_VALUE"""),296.0)</f>
        <v>296</v>
      </c>
      <c r="B78" s="31" t="str">
        <f>IFERROR(__xludf.DUMMYFUNCTION("""COMPUTED_VALUE"""),"ESCADA DE DOIS GANCHOS - ALUMÍNIO")</f>
        <v>ESCADA DE DOIS GANCHOS - ALUMÍNIO</v>
      </c>
      <c r="C78" s="32">
        <f>IFERROR(__xludf.DUMMYFUNCTION("""COMPUTED_VALUE"""),1.0)</f>
        <v>1</v>
      </c>
      <c r="D78" s="33" t="str">
        <f>IFERROR(__xludf.DUMMYFUNCTION("""COMPUTED_VALUE"""),"VIATURA")</f>
        <v>VIATURA</v>
      </c>
      <c r="E78" s="34" t="str">
        <f>IFERROR(__xludf.DUMMYFUNCTION("""COMPUTED_VALUE"""),"1 - ASM3617")</f>
        <v>1 - ASM3617</v>
      </c>
      <c r="F78" s="34" t="str">
        <f>IFERROR(__xludf.DUMMYFUNCTION("""COMPUTED_VALUE"""),"BOX SUPERIOR 01")</f>
        <v>BOX SUPERIOR 01</v>
      </c>
      <c r="G78" s="35"/>
      <c r="H78" s="36"/>
      <c r="I78" s="37"/>
    </row>
    <row r="79" ht="22.5" customHeight="1">
      <c r="A79" s="30">
        <f>IFERROR(__xludf.DUMMYFUNCTION("""COMPUTED_VALUE"""),1104.0)</f>
        <v>1104</v>
      </c>
      <c r="B79" s="31" t="str">
        <f>IFERROR(__xludf.DUMMYFUNCTION("""COMPUTED_VALUE"""),"ESCADA PROLONGAVEL PARA ATIVIDADES BOMBEIRO -")</f>
        <v>ESCADA PROLONGAVEL PARA ATIVIDADES BOMBEIRO -</v>
      </c>
      <c r="C79" s="32">
        <f>IFERROR(__xludf.DUMMYFUNCTION("""COMPUTED_VALUE"""),1.0)</f>
        <v>1</v>
      </c>
      <c r="D79" s="33" t="str">
        <f>IFERROR(__xludf.DUMMYFUNCTION("""COMPUTED_VALUE"""),"VIATURA")</f>
        <v>VIATURA</v>
      </c>
      <c r="E79" s="34" t="str">
        <f>IFERROR(__xludf.DUMMYFUNCTION("""COMPUTED_VALUE"""),"1 - ASM3617")</f>
        <v>1 - ASM3617</v>
      </c>
      <c r="F79" s="34" t="str">
        <f>IFERROR(__xludf.DUMMYFUNCTION("""COMPUTED_VALUE"""),"BOX SUPERIOR 01")</f>
        <v>BOX SUPERIOR 01</v>
      </c>
      <c r="G79" s="35">
        <f>IFERROR(__xludf.DUMMYFUNCTION("""COMPUTED_VALUE"""),7.6878546E7)</f>
        <v>76878546</v>
      </c>
      <c r="H79" s="36"/>
      <c r="I79" s="37"/>
    </row>
    <row r="80" ht="22.5" customHeight="1">
      <c r="A80" s="30">
        <f>IFERROR(__xludf.DUMMYFUNCTION("""COMPUTED_VALUE"""),285.0)</f>
        <v>285</v>
      </c>
      <c r="B80" s="31" t="str">
        <f>IFERROR(__xludf.DUMMYFUNCTION("""COMPUTED_VALUE"""),"ESTACA DE AÇO")</f>
        <v>ESTACA DE AÇO</v>
      </c>
      <c r="C80" s="32">
        <f>IFERROR(__xludf.DUMMYFUNCTION("""COMPUTED_VALUE"""),6.0)</f>
        <v>6</v>
      </c>
      <c r="D80" s="33" t="str">
        <f>IFERROR(__xludf.DUMMYFUNCTION("""COMPUTED_VALUE"""),"VIATURA")</f>
        <v>VIATURA</v>
      </c>
      <c r="E80" s="34" t="str">
        <f>IFERROR(__xludf.DUMMYFUNCTION("""COMPUTED_VALUE"""),"1 - ASM3617")</f>
        <v>1 - ASM3617</v>
      </c>
      <c r="F80" s="34" t="str">
        <f>IFERROR(__xludf.DUMMYFUNCTION("""COMPUTED_VALUE"""),"BOX SUPERIOR 01")</f>
        <v>BOX SUPERIOR 01</v>
      </c>
      <c r="G80" s="35"/>
      <c r="H80" s="36"/>
      <c r="I80" s="37"/>
    </row>
    <row r="81" ht="22.5" customHeight="1">
      <c r="A81" s="30">
        <f>IFERROR(__xludf.DUMMYFUNCTION("""COMPUTED_VALUE"""),300.0)</f>
        <v>300</v>
      </c>
      <c r="B81" s="31" t="str">
        <f>IFERROR(__xludf.DUMMYFUNCTION("""COMPUTED_VALUE"""),"FACÕES")</f>
        <v>FACÕES</v>
      </c>
      <c r="C81" s="32">
        <f>IFERROR(__xludf.DUMMYFUNCTION("""COMPUTED_VALUE"""),2.0)</f>
        <v>2</v>
      </c>
      <c r="D81" s="33" t="str">
        <f>IFERROR(__xludf.DUMMYFUNCTION("""COMPUTED_VALUE"""),"VIATURA")</f>
        <v>VIATURA</v>
      </c>
      <c r="E81" s="34" t="str">
        <f>IFERROR(__xludf.DUMMYFUNCTION("""COMPUTED_VALUE"""),"1 - ASM3617")</f>
        <v>1 - ASM3617</v>
      </c>
      <c r="F81" s="34" t="str">
        <f>IFERROR(__xludf.DUMMYFUNCTION("""COMPUTED_VALUE"""),"BOX SUPERIOR 01")</f>
        <v>BOX SUPERIOR 01</v>
      </c>
      <c r="G81" s="35"/>
      <c r="H81" s="36"/>
      <c r="I81" s="37"/>
    </row>
    <row r="82" ht="22.5" customHeight="1">
      <c r="A82" s="30">
        <f>IFERROR(__xludf.DUMMYFUNCTION("""COMPUTED_VALUE"""),293.0)</f>
        <v>293</v>
      </c>
      <c r="B82" s="31" t="str">
        <f>IFERROR(__xludf.DUMMYFUNCTION("""COMPUTED_VALUE"""),"FOICE")</f>
        <v>FOICE</v>
      </c>
      <c r="C82" s="32">
        <f>IFERROR(__xludf.DUMMYFUNCTION("""COMPUTED_VALUE"""),1.0)</f>
        <v>1</v>
      </c>
      <c r="D82" s="33" t="str">
        <f>IFERROR(__xludf.DUMMYFUNCTION("""COMPUTED_VALUE"""),"VIATURA")</f>
        <v>VIATURA</v>
      </c>
      <c r="E82" s="34" t="str">
        <f>IFERROR(__xludf.DUMMYFUNCTION("""COMPUTED_VALUE"""),"1 - ASM3617")</f>
        <v>1 - ASM3617</v>
      </c>
      <c r="F82" s="34" t="str">
        <f>IFERROR(__xludf.DUMMYFUNCTION("""COMPUTED_VALUE"""),"BOX SUPERIOR 01")</f>
        <v>BOX SUPERIOR 01</v>
      </c>
      <c r="G82" s="35"/>
      <c r="H82" s="36"/>
      <c r="I82" s="37"/>
    </row>
    <row r="83" ht="22.5" customHeight="1">
      <c r="A83" s="30">
        <f>IFERROR(__xludf.DUMMYFUNCTION("""COMPUTED_VALUE"""),299.0)</f>
        <v>299</v>
      </c>
      <c r="B83" s="31" t="str">
        <f>IFERROR(__xludf.DUMMYFUNCTION("""COMPUTED_VALUE"""),"GANCHO PARA CAPTURA DE SERPENTES -")</f>
        <v>GANCHO PARA CAPTURA DE SERPENTES -</v>
      </c>
      <c r="C83" s="32">
        <f>IFERROR(__xludf.DUMMYFUNCTION("""COMPUTED_VALUE"""),1.0)</f>
        <v>1</v>
      </c>
      <c r="D83" s="33" t="str">
        <f>IFERROR(__xludf.DUMMYFUNCTION("""COMPUTED_VALUE"""),"VIATURA")</f>
        <v>VIATURA</v>
      </c>
      <c r="E83" s="34" t="str">
        <f>IFERROR(__xludf.DUMMYFUNCTION("""COMPUTED_VALUE"""),"1 - ASM3617")</f>
        <v>1 - ASM3617</v>
      </c>
      <c r="F83" s="34" t="str">
        <f>IFERROR(__xludf.DUMMYFUNCTION("""COMPUTED_VALUE"""),"BOX SUPERIOR 01")</f>
        <v>BOX SUPERIOR 01</v>
      </c>
      <c r="G83" s="35"/>
      <c r="H83" s="36"/>
      <c r="I83" s="37"/>
    </row>
    <row r="84" ht="22.5" customHeight="1">
      <c r="A84" s="30">
        <f>IFERROR(__xludf.DUMMYFUNCTION("""COMPUTED_VALUE"""),298.0)</f>
        <v>298</v>
      </c>
      <c r="B84" s="31" t="str">
        <f>IFERROR(__xludf.DUMMYFUNCTION("""COMPUTED_VALUE"""),"GORGUI")</f>
        <v>GORGUI</v>
      </c>
      <c r="C84" s="32">
        <f>IFERROR(__xludf.DUMMYFUNCTION("""COMPUTED_VALUE"""),2.0)</f>
        <v>2</v>
      </c>
      <c r="D84" s="33" t="str">
        <f>IFERROR(__xludf.DUMMYFUNCTION("""COMPUTED_VALUE"""),"VIATURA")</f>
        <v>VIATURA</v>
      </c>
      <c r="E84" s="34" t="str">
        <f>IFERROR(__xludf.DUMMYFUNCTION("""COMPUTED_VALUE"""),"1 - ASM3617")</f>
        <v>1 - ASM3617</v>
      </c>
      <c r="F84" s="34" t="str">
        <f>IFERROR(__xludf.DUMMYFUNCTION("""COMPUTED_VALUE"""),"BOX SUPERIOR 01")</f>
        <v>BOX SUPERIOR 01</v>
      </c>
      <c r="G84" s="35"/>
      <c r="H84" s="36"/>
      <c r="I84" s="37"/>
    </row>
    <row r="85" ht="22.5" customHeight="1">
      <c r="A85" s="30">
        <f>IFERROR(__xludf.DUMMYFUNCTION("""COMPUTED_VALUE"""),297.0)</f>
        <v>297</v>
      </c>
      <c r="B85" s="31" t="str">
        <f>IFERROR(__xludf.DUMMYFUNCTION("""COMPUTED_VALUE"""),"MACHADINHA")</f>
        <v>MACHADINHA</v>
      </c>
      <c r="C85" s="32">
        <f>IFERROR(__xludf.DUMMYFUNCTION("""COMPUTED_VALUE"""),1.0)</f>
        <v>1</v>
      </c>
      <c r="D85" s="33" t="str">
        <f>IFERROR(__xludf.DUMMYFUNCTION("""COMPUTED_VALUE"""),"VIATURA")</f>
        <v>VIATURA</v>
      </c>
      <c r="E85" s="34" t="str">
        <f>IFERROR(__xludf.DUMMYFUNCTION("""COMPUTED_VALUE"""),"1 - ASM3617")</f>
        <v>1 - ASM3617</v>
      </c>
      <c r="F85" s="34" t="str">
        <f>IFERROR(__xludf.DUMMYFUNCTION("""COMPUTED_VALUE"""),"BOX SUPERIOR 01")</f>
        <v>BOX SUPERIOR 01</v>
      </c>
      <c r="G85" s="35"/>
      <c r="H85" s="36"/>
      <c r="I85" s="37"/>
    </row>
    <row r="86" ht="22.5" customHeight="1">
      <c r="A86" s="30">
        <f>IFERROR(__xludf.DUMMYFUNCTION("""COMPUTED_VALUE"""),289.0)</f>
        <v>289</v>
      </c>
      <c r="B86" s="31" t="str">
        <f>IFERROR(__xludf.DUMMYFUNCTION("""COMPUTED_VALUE"""),"MACHADO CABO COMPRIDO")</f>
        <v>MACHADO CABO COMPRIDO</v>
      </c>
      <c r="C86" s="32">
        <f>IFERROR(__xludf.DUMMYFUNCTION("""COMPUTED_VALUE"""),1.0)</f>
        <v>1</v>
      </c>
      <c r="D86" s="33" t="str">
        <f>IFERROR(__xludf.DUMMYFUNCTION("""COMPUTED_VALUE"""),"VIATURA")</f>
        <v>VIATURA</v>
      </c>
      <c r="E86" s="34" t="str">
        <f>IFERROR(__xludf.DUMMYFUNCTION("""COMPUTED_VALUE"""),"1 - ASM3617")</f>
        <v>1 - ASM3617</v>
      </c>
      <c r="F86" s="34" t="str">
        <f>IFERROR(__xludf.DUMMYFUNCTION("""COMPUTED_VALUE"""),"BOX SUPERIOR 01")</f>
        <v>BOX SUPERIOR 01</v>
      </c>
      <c r="G86" s="35"/>
      <c r="H86" s="36"/>
      <c r="I86" s="37"/>
    </row>
    <row r="87" ht="22.5" customHeight="1">
      <c r="A87" s="30">
        <f>IFERROR(__xludf.DUMMYFUNCTION("""COMPUTED_VALUE"""),290.0)</f>
        <v>290</v>
      </c>
      <c r="B87" s="31" t="str">
        <f>IFERROR(__xludf.DUMMYFUNCTION("""COMPUTED_VALUE"""),"MACHADO CABO CURTO")</f>
        <v>MACHADO CABO CURTO</v>
      </c>
      <c r="C87" s="32">
        <f>IFERROR(__xludf.DUMMYFUNCTION("""COMPUTED_VALUE"""),1.0)</f>
        <v>1</v>
      </c>
      <c r="D87" s="33" t="str">
        <f>IFERROR(__xludf.DUMMYFUNCTION("""COMPUTED_VALUE"""),"VIATURA")</f>
        <v>VIATURA</v>
      </c>
      <c r="E87" s="34" t="str">
        <f>IFERROR(__xludf.DUMMYFUNCTION("""COMPUTED_VALUE"""),"1 - ASM3617")</f>
        <v>1 - ASM3617</v>
      </c>
      <c r="F87" s="34" t="str">
        <f>IFERROR(__xludf.DUMMYFUNCTION("""COMPUTED_VALUE"""),"BOX SUPERIOR 01")</f>
        <v>BOX SUPERIOR 01</v>
      </c>
      <c r="G87" s="35"/>
      <c r="H87" s="36"/>
      <c r="I87" s="37"/>
    </row>
    <row r="88" ht="22.5" customHeight="1">
      <c r="A88" s="30">
        <f>IFERROR(__xludf.DUMMYFUNCTION("""COMPUTED_VALUE"""),288.0)</f>
        <v>288</v>
      </c>
      <c r="B88" s="31" t="str">
        <f>IFERROR(__xludf.DUMMYFUNCTION("""COMPUTED_VALUE"""),"PÁ DE BICO")</f>
        <v>PÁ DE BICO</v>
      </c>
      <c r="C88" s="32">
        <f>IFERROR(__xludf.DUMMYFUNCTION("""COMPUTED_VALUE"""),1.0)</f>
        <v>1</v>
      </c>
      <c r="D88" s="33" t="str">
        <f>IFERROR(__xludf.DUMMYFUNCTION("""COMPUTED_VALUE"""),"VIATURA")</f>
        <v>VIATURA</v>
      </c>
      <c r="E88" s="34" t="str">
        <f>IFERROR(__xludf.DUMMYFUNCTION("""COMPUTED_VALUE"""),"1 - ASM3617")</f>
        <v>1 - ASM3617</v>
      </c>
      <c r="F88" s="34" t="str">
        <f>IFERROR(__xludf.DUMMYFUNCTION("""COMPUTED_VALUE"""),"BOX SUPERIOR 01")</f>
        <v>BOX SUPERIOR 01</v>
      </c>
      <c r="G88" s="35"/>
      <c r="H88" s="36"/>
      <c r="I88" s="37"/>
    </row>
    <row r="89" ht="22.5" customHeight="1">
      <c r="A89" s="30">
        <f>IFERROR(__xludf.DUMMYFUNCTION("""COMPUTED_VALUE"""),287.0)</f>
        <v>287</v>
      </c>
      <c r="B89" s="31" t="str">
        <f>IFERROR(__xludf.DUMMYFUNCTION("""COMPUTED_VALUE"""),"PÁ DE CAMPANHA")</f>
        <v>PÁ DE CAMPANHA</v>
      </c>
      <c r="C89" s="32">
        <f>IFERROR(__xludf.DUMMYFUNCTION("""COMPUTED_VALUE"""),2.0)</f>
        <v>2</v>
      </c>
      <c r="D89" s="33" t="str">
        <f>IFERROR(__xludf.DUMMYFUNCTION("""COMPUTED_VALUE"""),"VIATURA")</f>
        <v>VIATURA</v>
      </c>
      <c r="E89" s="34" t="str">
        <f>IFERROR(__xludf.DUMMYFUNCTION("""COMPUTED_VALUE"""),"1 - ASM3617")</f>
        <v>1 - ASM3617</v>
      </c>
      <c r="F89" s="34" t="str">
        <f>IFERROR(__xludf.DUMMYFUNCTION("""COMPUTED_VALUE"""),"BOX SUPERIOR 01")</f>
        <v>BOX SUPERIOR 01</v>
      </c>
      <c r="G89" s="35"/>
      <c r="H89" s="36"/>
      <c r="I89" s="37"/>
    </row>
    <row r="90" ht="22.5" customHeight="1">
      <c r="A90" s="30">
        <f>IFERROR(__xludf.DUMMYFUNCTION("""COMPUTED_VALUE"""),295.0)</f>
        <v>295</v>
      </c>
      <c r="B90" s="31" t="str">
        <f>IFERROR(__xludf.DUMMYFUNCTION("""COMPUTED_VALUE"""),"PÁ QUADRADA")</f>
        <v>PÁ QUADRADA</v>
      </c>
      <c r="C90" s="32">
        <f>IFERROR(__xludf.DUMMYFUNCTION("""COMPUTED_VALUE"""),1.0)</f>
        <v>1</v>
      </c>
      <c r="D90" s="33" t="str">
        <f>IFERROR(__xludf.DUMMYFUNCTION("""COMPUTED_VALUE"""),"VIATURA")</f>
        <v>VIATURA</v>
      </c>
      <c r="E90" s="34" t="str">
        <f>IFERROR(__xludf.DUMMYFUNCTION("""COMPUTED_VALUE"""),"1 - ASM3617")</f>
        <v>1 - ASM3617</v>
      </c>
      <c r="F90" s="34" t="str">
        <f>IFERROR(__xludf.DUMMYFUNCTION("""COMPUTED_VALUE"""),"BOX SUPERIOR 01")</f>
        <v>BOX SUPERIOR 01</v>
      </c>
      <c r="G90" s="35"/>
      <c r="H90" s="36"/>
      <c r="I90" s="37"/>
    </row>
    <row r="91" ht="22.5" customHeight="1">
      <c r="A91" s="30">
        <f>IFERROR(__xludf.DUMMYFUNCTION("""COMPUTED_VALUE"""),270.0)</f>
        <v>270</v>
      </c>
      <c r="B91" s="31" t="str">
        <f>IFERROR(__xludf.DUMMYFUNCTION("""COMPUTED_VALUE"""),"PINÇÃO CAPTURADOR DE SERPENTES ")</f>
        <v>PINÇÃO CAPTURADOR DE SERPENTES </v>
      </c>
      <c r="C91" s="32">
        <f>IFERROR(__xludf.DUMMYFUNCTION("""COMPUTED_VALUE"""),2.0)</f>
        <v>2</v>
      </c>
      <c r="D91" s="33" t="str">
        <f>IFERROR(__xludf.DUMMYFUNCTION("""COMPUTED_VALUE"""),"VIATURA")</f>
        <v>VIATURA</v>
      </c>
      <c r="E91" s="34" t="str">
        <f>IFERROR(__xludf.DUMMYFUNCTION("""COMPUTED_VALUE"""),"1 - ASM3617")</f>
        <v>1 - ASM3617</v>
      </c>
      <c r="F91" s="34" t="str">
        <f>IFERROR(__xludf.DUMMYFUNCTION("""COMPUTED_VALUE"""),"BOX SUPERIOR 01")</f>
        <v>BOX SUPERIOR 01</v>
      </c>
      <c r="G91" s="35"/>
      <c r="H91" s="36"/>
      <c r="I91" s="37"/>
    </row>
    <row r="92" ht="22.5" customHeight="1">
      <c r="A92" s="30">
        <f>IFERROR(__xludf.DUMMYFUNCTION("""COMPUTED_VALUE"""),284.0)</f>
        <v>284</v>
      </c>
      <c r="B92" s="31" t="str">
        <f>IFERROR(__xludf.DUMMYFUNCTION("""COMPUTED_VALUE"""),"IMOBILIZADOR DE NUCA E CABECA -")</f>
        <v>IMOBILIZADOR DE NUCA E CABECA -</v>
      </c>
      <c r="C92" s="32">
        <f>IFERROR(__xludf.DUMMYFUNCTION("""COMPUTED_VALUE"""),1.0)</f>
        <v>1</v>
      </c>
      <c r="D92" s="33" t="str">
        <f>IFERROR(__xludf.DUMMYFUNCTION("""COMPUTED_VALUE"""),"VIATURA")</f>
        <v>VIATURA</v>
      </c>
      <c r="E92" s="34" t="str">
        <f>IFERROR(__xludf.DUMMYFUNCTION("""COMPUTED_VALUE"""),"1 - ASM3617")</f>
        <v>1 - ASM3617</v>
      </c>
      <c r="F92" s="34" t="str">
        <f>IFERROR(__xludf.DUMMYFUNCTION("""COMPUTED_VALUE"""),"CABINE")</f>
        <v>CABINE</v>
      </c>
      <c r="G92" s="35"/>
      <c r="H92" s="36"/>
      <c r="I92" s="37" t="str">
        <f>IFERROR(__xludf.DUMMYFUNCTION("""COMPUTED_VALUE"""),"O PAR, COM TIRANTES PARA FIXAÇÃO")</f>
        <v>O PAR, COM TIRANTES PARA FIXAÇÃO</v>
      </c>
    </row>
    <row r="93" ht="22.5" customHeight="1">
      <c r="A93" s="30">
        <f>IFERROR(__xludf.DUMMYFUNCTION("""COMPUTED_VALUE"""),750.0)</f>
        <v>750</v>
      </c>
      <c r="B93" s="31" t="str">
        <f>IFERROR(__xludf.DUMMYFUNCTION("""COMPUTED_VALUE"""),"LANTERNA TÁTICA NIGHTSTICK")</f>
        <v>LANTERNA TÁTICA NIGHTSTICK</v>
      </c>
      <c r="C93" s="32">
        <f>IFERROR(__xludf.DUMMYFUNCTION("""COMPUTED_VALUE"""),1.0)</f>
        <v>1</v>
      </c>
      <c r="D93" s="33" t="str">
        <f>IFERROR(__xludf.DUMMYFUNCTION("""COMPUTED_VALUE"""),"VIATURA")</f>
        <v>VIATURA</v>
      </c>
      <c r="E93" s="34" t="str">
        <f>IFERROR(__xludf.DUMMYFUNCTION("""COMPUTED_VALUE"""),"1 - ASM3617")</f>
        <v>1 - ASM3617</v>
      </c>
      <c r="F93" s="34" t="str">
        <f>IFERROR(__xludf.DUMMYFUNCTION("""COMPUTED_VALUE"""),"CABINE")</f>
        <v>CABINE</v>
      </c>
      <c r="G93" s="35"/>
      <c r="H93" s="36"/>
      <c r="I93" s="37"/>
    </row>
    <row r="94" ht="22.5" customHeight="1">
      <c r="A94" s="30">
        <f>IFERROR(__xludf.DUMMYFUNCTION("""COMPUTED_VALUE"""),148.0)</f>
        <v>148</v>
      </c>
      <c r="B94" s="31" t="str">
        <f>IFERROR(__xludf.DUMMYFUNCTION("""COMPUTED_VALUE"""),"ALICATE DE CORTE 8""")</f>
        <v>ALICATE DE CORTE 8"</v>
      </c>
      <c r="C94" s="32">
        <f>IFERROR(__xludf.DUMMYFUNCTION("""COMPUTED_VALUE"""),1.0)</f>
        <v>1</v>
      </c>
      <c r="D94" s="33" t="str">
        <f>IFERROR(__xludf.DUMMYFUNCTION("""COMPUTED_VALUE"""),"VIATURA")</f>
        <v>VIATURA</v>
      </c>
      <c r="E94" s="34" t="str">
        <f>IFERROR(__xludf.DUMMYFUNCTION("""COMPUTED_VALUE"""),"1 - ASM3617")</f>
        <v>1 - ASM3617</v>
      </c>
      <c r="F94" s="34" t="str">
        <f>IFERROR(__xludf.DUMMYFUNCTION("""COMPUTED_VALUE"""),"CAIXA DE FERRAMENTA")</f>
        <v>CAIXA DE FERRAMENTA</v>
      </c>
      <c r="G94" s="35">
        <f>IFERROR(__xludf.DUMMYFUNCTION("""COMPUTED_VALUE"""),45525.0)</f>
        <v>45525</v>
      </c>
      <c r="H94" s="36"/>
      <c r="I94" s="37"/>
    </row>
    <row r="95" ht="22.5" customHeight="1">
      <c r="A95" s="30">
        <f>IFERROR(__xludf.DUMMYFUNCTION("""COMPUTED_VALUE"""),143.0)</f>
        <v>143</v>
      </c>
      <c r="B95" s="40" t="str">
        <f>IFERROR(__xludf.DUMMYFUNCTION("""COMPUTED_VALUE"""),"ALICATE DE PRESSÃO")</f>
        <v>ALICATE DE PRESSÃO</v>
      </c>
      <c r="C95" s="32">
        <f>IFERROR(__xludf.DUMMYFUNCTION("""COMPUTED_VALUE"""),1.0)</f>
        <v>1</v>
      </c>
      <c r="D95" s="33" t="str">
        <f>IFERROR(__xludf.DUMMYFUNCTION("""COMPUTED_VALUE"""),"VIATURA")</f>
        <v>VIATURA</v>
      </c>
      <c r="E95" s="34" t="str">
        <f>IFERROR(__xludf.DUMMYFUNCTION("""COMPUTED_VALUE"""),"1 - ASM3617")</f>
        <v>1 - ASM3617</v>
      </c>
      <c r="F95" s="34" t="str">
        <f>IFERROR(__xludf.DUMMYFUNCTION("""COMPUTED_VALUE"""),"CAIXA DE FERRAMENTA")</f>
        <v>CAIXA DE FERRAMENTA</v>
      </c>
      <c r="G95" s="35">
        <f>IFERROR(__xludf.DUMMYFUNCTION("""COMPUTED_VALUE"""),45525.0)</f>
        <v>45525</v>
      </c>
      <c r="H95" s="36"/>
      <c r="I95" s="37"/>
    </row>
    <row r="96" ht="22.5" customHeight="1">
      <c r="A96" s="30">
        <f>IFERROR(__xludf.DUMMYFUNCTION("""COMPUTED_VALUE"""),144.0)</f>
        <v>144</v>
      </c>
      <c r="B96" s="31" t="str">
        <f>IFERROR(__xludf.DUMMYFUNCTION("""COMPUTED_VALUE"""),"ALICATE UNIVERSAL")</f>
        <v>ALICATE UNIVERSAL</v>
      </c>
      <c r="C96" s="32">
        <f>IFERROR(__xludf.DUMMYFUNCTION("""COMPUTED_VALUE"""),1.0)</f>
        <v>1</v>
      </c>
      <c r="D96" s="33" t="str">
        <f>IFERROR(__xludf.DUMMYFUNCTION("""COMPUTED_VALUE"""),"VIATURA")</f>
        <v>VIATURA</v>
      </c>
      <c r="E96" s="34" t="str">
        <f>IFERROR(__xludf.DUMMYFUNCTION("""COMPUTED_VALUE"""),"1 - ASM3617")</f>
        <v>1 - ASM3617</v>
      </c>
      <c r="F96" s="34" t="str">
        <f>IFERROR(__xludf.DUMMYFUNCTION("""COMPUTED_VALUE"""),"CAIXA DE FERRAMENTA")</f>
        <v>CAIXA DE FERRAMENTA</v>
      </c>
      <c r="G96" s="35">
        <f>IFERROR(__xludf.DUMMYFUNCTION("""COMPUTED_VALUE"""),45525.0)</f>
        <v>45525</v>
      </c>
      <c r="H96" s="36"/>
      <c r="I96" s="37"/>
    </row>
    <row r="97" ht="22.5" customHeight="1">
      <c r="A97" s="30">
        <f>IFERROR(__xludf.DUMMYFUNCTION("""COMPUTED_VALUE"""),306.0)</f>
        <v>306</v>
      </c>
      <c r="B97" s="31" t="str">
        <f>IFERROR(__xludf.DUMMYFUNCTION("""COMPUTED_VALUE"""),"CHAVE DE FENDA")</f>
        <v>CHAVE DE FENDA</v>
      </c>
      <c r="C97" s="32">
        <f>IFERROR(__xludf.DUMMYFUNCTION("""COMPUTED_VALUE"""),5.0)</f>
        <v>5</v>
      </c>
      <c r="D97" s="33" t="str">
        <f>IFERROR(__xludf.DUMMYFUNCTION("""COMPUTED_VALUE"""),"VIATURA")</f>
        <v>VIATURA</v>
      </c>
      <c r="E97" s="34" t="str">
        <f>IFERROR(__xludf.DUMMYFUNCTION("""COMPUTED_VALUE"""),"1 - ASM3617")</f>
        <v>1 - ASM3617</v>
      </c>
      <c r="F97" s="34" t="str">
        <f>IFERROR(__xludf.DUMMYFUNCTION("""COMPUTED_VALUE"""),"CAIXA DE FERRAMENTA")</f>
        <v>CAIXA DE FERRAMENTA</v>
      </c>
      <c r="G97" s="35"/>
      <c r="H97" s="36"/>
      <c r="I97" s="37" t="str">
        <f>IFERROR(__xludf.DUMMYFUNCTION("""COMPUTED_VALUE"""),"05 CHAVES PERTENCIAM À ABTS5911")</f>
        <v>05 CHAVES PERTENCIAM À ABTS5911</v>
      </c>
    </row>
    <row r="98" ht="22.5" customHeight="1">
      <c r="A98" s="30">
        <f>IFERROR(__xludf.DUMMYFUNCTION("""COMPUTED_VALUE"""),150.0)</f>
        <v>150</v>
      </c>
      <c r="B98" s="31" t="str">
        <f>IFERROR(__xludf.DUMMYFUNCTION("""COMPUTED_VALUE"""),"CHAVE DE GRIFO 14""")</f>
        <v>CHAVE DE GRIFO 14"</v>
      </c>
      <c r="C98" s="32">
        <f>IFERROR(__xludf.DUMMYFUNCTION("""COMPUTED_VALUE"""),1.0)</f>
        <v>1</v>
      </c>
      <c r="D98" s="33" t="str">
        <f>IFERROR(__xludf.DUMMYFUNCTION("""COMPUTED_VALUE"""),"VIATURA")</f>
        <v>VIATURA</v>
      </c>
      <c r="E98" s="34" t="str">
        <f>IFERROR(__xludf.DUMMYFUNCTION("""COMPUTED_VALUE"""),"1 - ASM3617")</f>
        <v>1 - ASM3617</v>
      </c>
      <c r="F98" s="34" t="str">
        <f>IFERROR(__xludf.DUMMYFUNCTION("""COMPUTED_VALUE"""),"CAIXA DE FERRAMENTA")</f>
        <v>CAIXA DE FERRAMENTA</v>
      </c>
      <c r="G98" s="35">
        <f>IFERROR(__xludf.DUMMYFUNCTION("""COMPUTED_VALUE"""),45525.0)</f>
        <v>45525</v>
      </c>
      <c r="H98" s="36"/>
      <c r="I98" s="37"/>
    </row>
    <row r="99" ht="22.5" customHeight="1">
      <c r="A99" s="30">
        <f>IFERROR(__xludf.DUMMYFUNCTION("""COMPUTED_VALUE"""),142.0)</f>
        <v>142</v>
      </c>
      <c r="B99" s="31" t="str">
        <f>IFERROR(__xludf.DUMMYFUNCTION("""COMPUTED_VALUE"""),"CHAVE PHILIPS")</f>
        <v>CHAVE PHILIPS</v>
      </c>
      <c r="C99" s="32">
        <f>IFERROR(__xludf.DUMMYFUNCTION("""COMPUTED_VALUE"""),4.0)</f>
        <v>4</v>
      </c>
      <c r="D99" s="33" t="str">
        <f>IFERROR(__xludf.DUMMYFUNCTION("""COMPUTED_VALUE"""),"VIATURA")</f>
        <v>VIATURA</v>
      </c>
      <c r="E99" s="34" t="str">
        <f>IFERROR(__xludf.DUMMYFUNCTION("""COMPUTED_VALUE"""),"1 - ASM3617")</f>
        <v>1 - ASM3617</v>
      </c>
      <c r="F99" s="34" t="str">
        <f>IFERROR(__xludf.DUMMYFUNCTION("""COMPUTED_VALUE"""),"CAIXA DE FERRAMENTA")</f>
        <v>CAIXA DE FERRAMENTA</v>
      </c>
      <c r="G99" s="35">
        <f>IFERROR(__xludf.DUMMYFUNCTION("""COMPUTED_VALUE"""),45525.0)</f>
        <v>45525</v>
      </c>
      <c r="H99" s="36"/>
      <c r="I99" s="38"/>
    </row>
    <row r="100" ht="22.5" customHeight="1">
      <c r="A100" s="30">
        <f>IFERROR(__xludf.DUMMYFUNCTION("""COMPUTED_VALUE"""),149.0)</f>
        <v>149</v>
      </c>
      <c r="B100" s="39" t="str">
        <f>IFERROR(__xludf.DUMMYFUNCTION("""COMPUTED_VALUE"""),"CORTA FRIO 14''")</f>
        <v>CORTA FRIO 14''</v>
      </c>
      <c r="C100" s="32">
        <f>IFERROR(__xludf.DUMMYFUNCTION("""COMPUTED_VALUE"""),1.0)</f>
        <v>1</v>
      </c>
      <c r="D100" s="33" t="str">
        <f>IFERROR(__xludf.DUMMYFUNCTION("""COMPUTED_VALUE"""),"VIATURA")</f>
        <v>VIATURA</v>
      </c>
      <c r="E100" s="34" t="str">
        <f>IFERROR(__xludf.DUMMYFUNCTION("""COMPUTED_VALUE"""),"1 - ASM3617")</f>
        <v>1 - ASM3617</v>
      </c>
      <c r="F100" s="34" t="str">
        <f>IFERROR(__xludf.DUMMYFUNCTION("""COMPUTED_VALUE"""),"CAIXA DE FERRAMENTA")</f>
        <v>CAIXA DE FERRAMENTA</v>
      </c>
      <c r="G100" s="35">
        <f>IFERROR(__xludf.DUMMYFUNCTION("""COMPUTED_VALUE"""),45525.0)</f>
        <v>45525</v>
      </c>
      <c r="H100" s="36"/>
      <c r="I100" s="37"/>
    </row>
    <row r="101" ht="22.5" customHeight="1">
      <c r="A101" s="30">
        <f>IFERROR(__xludf.DUMMYFUNCTION("""COMPUTED_VALUE"""),307.0)</f>
        <v>307</v>
      </c>
      <c r="B101" s="31" t="str">
        <f>IFERROR(__xludf.DUMMYFUNCTION("""COMPUTED_VALUE"""),"JOGO DE CHAVE ESTRIA DE 6"" À 22"" (17 PEÇAS)")</f>
        <v>JOGO DE CHAVE ESTRIA DE 6" À 22" (17 PEÇAS)</v>
      </c>
      <c r="C101" s="32">
        <f>IFERROR(__xludf.DUMMYFUNCTION("""COMPUTED_VALUE"""),1.0)</f>
        <v>1</v>
      </c>
      <c r="D101" s="33" t="str">
        <f>IFERROR(__xludf.DUMMYFUNCTION("""COMPUTED_VALUE"""),"VIATURA")</f>
        <v>VIATURA</v>
      </c>
      <c r="E101" s="34" t="str">
        <f>IFERROR(__xludf.DUMMYFUNCTION("""COMPUTED_VALUE"""),"1 - ASM3617")</f>
        <v>1 - ASM3617</v>
      </c>
      <c r="F101" s="34" t="str">
        <f>IFERROR(__xludf.DUMMYFUNCTION("""COMPUTED_VALUE"""),"CAIXA DE FERRAMENTA")</f>
        <v>CAIXA DE FERRAMENTA</v>
      </c>
      <c r="G101" s="35"/>
      <c r="H101" s="36"/>
      <c r="I101" s="37"/>
    </row>
    <row r="102" ht="22.5" customHeight="1">
      <c r="A102" s="30">
        <f>IFERROR(__xludf.DUMMYFUNCTION("""COMPUTED_VALUE"""),173.0)</f>
        <v>173</v>
      </c>
      <c r="B102" s="31" t="str">
        <f>IFERROR(__xludf.DUMMYFUNCTION("""COMPUTED_VALUE"""),"JOGO DE CHAVE TORX CONTENDO 09 CHAVES")</f>
        <v>JOGO DE CHAVE TORX CONTENDO 09 CHAVES</v>
      </c>
      <c r="C102" s="32">
        <f>IFERROR(__xludf.DUMMYFUNCTION("""COMPUTED_VALUE"""),1.0)</f>
        <v>1</v>
      </c>
      <c r="D102" s="33" t="str">
        <f>IFERROR(__xludf.DUMMYFUNCTION("""COMPUTED_VALUE"""),"VIATURA")</f>
        <v>VIATURA</v>
      </c>
      <c r="E102" s="34" t="str">
        <f>IFERROR(__xludf.DUMMYFUNCTION("""COMPUTED_VALUE"""),"1 - ASM3617")</f>
        <v>1 - ASM3617</v>
      </c>
      <c r="F102" s="34" t="str">
        <f>IFERROR(__xludf.DUMMYFUNCTION("""COMPUTED_VALUE"""),"CAIXA DE FERRAMENTA")</f>
        <v>CAIXA DE FERRAMENTA</v>
      </c>
      <c r="G102" s="35"/>
      <c r="H102" s="36"/>
      <c r="I102" s="37"/>
    </row>
    <row r="103" ht="22.5" customHeight="1">
      <c r="A103" s="30">
        <f>IFERROR(__xludf.DUMMYFUNCTION("""COMPUTED_VALUE"""),145.0)</f>
        <v>145</v>
      </c>
      <c r="B103" s="31" t="str">
        <f>IFERROR(__xludf.DUMMYFUNCTION("""COMPUTED_VALUE"""),"MARTELO")</f>
        <v>MARTELO</v>
      </c>
      <c r="C103" s="32">
        <f>IFERROR(__xludf.DUMMYFUNCTION("""COMPUTED_VALUE"""),1.0)</f>
        <v>1</v>
      </c>
      <c r="D103" s="33" t="str">
        <f>IFERROR(__xludf.DUMMYFUNCTION("""COMPUTED_VALUE"""),"VIATURA")</f>
        <v>VIATURA</v>
      </c>
      <c r="E103" s="34" t="str">
        <f>IFERROR(__xludf.DUMMYFUNCTION("""COMPUTED_VALUE"""),"1 - ASM3617")</f>
        <v>1 - ASM3617</v>
      </c>
      <c r="F103" s="34" t="str">
        <f>IFERROR(__xludf.DUMMYFUNCTION("""COMPUTED_VALUE"""),"CAIXA DE FERRAMENTA")</f>
        <v>CAIXA DE FERRAMENTA</v>
      </c>
      <c r="G103" s="35">
        <f>IFERROR(__xludf.DUMMYFUNCTION("""COMPUTED_VALUE"""),45525.0)</f>
        <v>45525</v>
      </c>
      <c r="H103" s="36"/>
      <c r="I103" s="37"/>
    </row>
    <row r="104" ht="22.5" customHeight="1">
      <c r="A104" s="30">
        <f>IFERROR(__xludf.DUMMYFUNCTION("""COMPUTED_VALUE"""),305.0)</f>
        <v>305</v>
      </c>
      <c r="B104" s="39" t="str">
        <f>IFERROR(__xludf.DUMMYFUNCTION("""COMPUTED_VALUE"""),"MARTELO DE BORRACHA")</f>
        <v>MARTELO DE BORRACHA</v>
      </c>
      <c r="C104" s="32">
        <f>IFERROR(__xludf.DUMMYFUNCTION("""COMPUTED_VALUE"""),1.0)</f>
        <v>1</v>
      </c>
      <c r="D104" s="33" t="str">
        <f>IFERROR(__xludf.DUMMYFUNCTION("""COMPUTED_VALUE"""),"VIATURA")</f>
        <v>VIATURA</v>
      </c>
      <c r="E104" s="34" t="str">
        <f>IFERROR(__xludf.DUMMYFUNCTION("""COMPUTED_VALUE"""),"1 - ASM3617")</f>
        <v>1 - ASM3617</v>
      </c>
      <c r="F104" s="34" t="str">
        <f>IFERROR(__xludf.DUMMYFUNCTION("""COMPUTED_VALUE"""),"CAIXA DE FERRAMENTA")</f>
        <v>CAIXA DE FERRAMENTA</v>
      </c>
      <c r="G104" s="35"/>
      <c r="H104" s="36"/>
      <c r="I104" s="37"/>
    </row>
    <row r="105" ht="22.5" customHeight="1">
      <c r="A105" s="30">
        <f>IFERROR(__xludf.DUMMYFUNCTION("""COMPUTED_VALUE"""),860.0)</f>
        <v>860</v>
      </c>
      <c r="B105" s="31" t="str">
        <f>IFERROR(__xludf.DUMMYFUNCTION("""COMPUTED_VALUE"""),"CORDA SEMI ESTATICA 60M")</f>
        <v>CORDA SEMI ESTATICA 60M</v>
      </c>
      <c r="C105" s="32">
        <f>IFERROR(__xludf.DUMMYFUNCTION("""COMPUTED_VALUE"""),1.0)</f>
        <v>1</v>
      </c>
      <c r="D105" s="33" t="str">
        <f>IFERROR(__xludf.DUMMYFUNCTION("""COMPUTED_VALUE"""),"VIATURA")</f>
        <v>VIATURA</v>
      </c>
      <c r="E105" s="34" t="str">
        <f>IFERROR(__xludf.DUMMYFUNCTION("""COMPUTED_VALUE"""),"1 - ASM3617")</f>
        <v>1 - ASM3617</v>
      </c>
      <c r="F105" s="34"/>
      <c r="G105" s="35">
        <f>IFERROR(__xludf.DUMMYFUNCTION("""COMPUTED_VALUE"""),46188.0)</f>
        <v>46188</v>
      </c>
      <c r="H105" s="36"/>
      <c r="I105" s="37"/>
    </row>
    <row r="106" ht="22.5" customHeight="1">
      <c r="A106" s="30">
        <f>IFERROR(__xludf.DUMMYFUNCTION("""COMPUTED_VALUE"""),861.0)</f>
        <v>861</v>
      </c>
      <c r="B106" s="39" t="str">
        <f>IFERROR(__xludf.DUMMYFUNCTION("""COMPUTED_VALUE"""),"FERRAMENTA PRT (7 PONTEIRAS)")</f>
        <v>FERRAMENTA PRT (7 PONTEIRAS)</v>
      </c>
      <c r="C106" s="32">
        <f>IFERROR(__xludf.DUMMYFUNCTION("""COMPUTED_VALUE"""),1.0)</f>
        <v>1</v>
      </c>
      <c r="D106" s="33" t="str">
        <f>IFERROR(__xludf.DUMMYFUNCTION("""COMPUTED_VALUE"""),"VIATURA")</f>
        <v>VIATURA</v>
      </c>
      <c r="E106" s="34" t="str">
        <f>IFERROR(__xludf.DUMMYFUNCTION("""COMPUTED_VALUE"""),"1 - ASM3617")</f>
        <v>1 - ASM3617</v>
      </c>
      <c r="F106" s="34"/>
      <c r="G106" s="35">
        <f>IFERROR(__xludf.DUMMYFUNCTION("""COMPUTED_VALUE"""),46188.0)</f>
        <v>46188</v>
      </c>
      <c r="H106" s="36"/>
      <c r="I106" s="37" t="str">
        <f>IFERROR(__xludf.DUMMYFUNCTION("""COMPUTED_VALUE"""),"Percussive rescue tool com 7 ponteiras")</f>
        <v>Percussive rescue tool com 7 ponteiras</v>
      </c>
    </row>
    <row r="107" ht="22.5" customHeight="1">
      <c r="A107" s="30"/>
      <c r="B107" s="31"/>
      <c r="C107" s="32"/>
      <c r="D107" s="33"/>
      <c r="E107" s="34"/>
      <c r="F107" s="34"/>
      <c r="G107" s="35"/>
      <c r="H107" s="36"/>
      <c r="I107" s="37"/>
    </row>
    <row r="108" ht="22.5" customHeight="1">
      <c r="A108" s="30"/>
      <c r="B108" s="31"/>
      <c r="C108" s="32"/>
      <c r="D108" s="33"/>
      <c r="E108" s="34"/>
      <c r="F108" s="34"/>
      <c r="G108" s="35"/>
      <c r="H108" s="36"/>
      <c r="I108" s="37"/>
    </row>
    <row r="109" ht="22.5" customHeight="1">
      <c r="A109" s="30"/>
      <c r="B109" s="31"/>
      <c r="C109" s="32"/>
      <c r="D109" s="33"/>
      <c r="E109" s="34"/>
      <c r="F109" s="34"/>
      <c r="G109" s="35"/>
      <c r="H109" s="36"/>
      <c r="I109" s="37"/>
    </row>
    <row r="110" ht="22.5" customHeight="1">
      <c r="A110" s="30"/>
      <c r="B110" s="31"/>
      <c r="C110" s="32"/>
      <c r="D110" s="33"/>
      <c r="E110" s="34"/>
      <c r="F110" s="34"/>
      <c r="G110" s="35"/>
      <c r="H110" s="36"/>
      <c r="I110" s="37"/>
    </row>
    <row r="111" ht="22.5" customHeight="1">
      <c r="A111" s="30"/>
      <c r="B111" s="31"/>
      <c r="C111" s="32"/>
      <c r="D111" s="33"/>
      <c r="E111" s="34"/>
      <c r="F111" s="34"/>
      <c r="G111" s="35"/>
      <c r="H111" s="36"/>
      <c r="I111" s="37"/>
    </row>
    <row r="112" ht="22.5" customHeight="1">
      <c r="A112" s="30"/>
      <c r="B112" s="31"/>
      <c r="C112" s="32"/>
      <c r="D112" s="33"/>
      <c r="E112" s="34"/>
      <c r="F112" s="34"/>
      <c r="G112" s="35"/>
      <c r="H112" s="36"/>
      <c r="I112" s="37"/>
    </row>
    <row r="113" ht="22.5" customHeight="1">
      <c r="A113" s="30"/>
      <c r="B113" s="31"/>
      <c r="C113" s="32"/>
      <c r="D113" s="33"/>
      <c r="E113" s="34"/>
      <c r="F113" s="34"/>
      <c r="G113" s="35"/>
      <c r="H113" s="36"/>
      <c r="I113" s="37"/>
    </row>
    <row r="114" ht="22.5" customHeight="1">
      <c r="A114" s="30"/>
      <c r="B114" s="31"/>
      <c r="C114" s="32"/>
      <c r="D114" s="33"/>
      <c r="E114" s="34"/>
      <c r="F114" s="34"/>
      <c r="G114" s="35"/>
      <c r="H114" s="36"/>
      <c r="I114" s="37"/>
    </row>
    <row r="115" ht="22.5" customHeight="1">
      <c r="A115" s="30"/>
      <c r="B115" s="31"/>
      <c r="C115" s="32"/>
      <c r="D115" s="33"/>
      <c r="E115" s="34"/>
      <c r="F115" s="34"/>
      <c r="G115" s="35"/>
      <c r="H115" s="36"/>
      <c r="I115" s="37"/>
    </row>
    <row r="116" ht="22.5" customHeight="1">
      <c r="A116" s="30"/>
      <c r="B116" s="31"/>
      <c r="C116" s="32"/>
      <c r="D116" s="33"/>
      <c r="E116" s="34"/>
      <c r="F116" s="34"/>
      <c r="G116" s="35"/>
      <c r="H116" s="36"/>
      <c r="I116" s="37"/>
    </row>
    <row r="117" ht="22.5" customHeight="1">
      <c r="A117" s="30"/>
      <c r="B117" s="40"/>
      <c r="C117" s="32"/>
      <c r="D117" s="33"/>
      <c r="E117" s="34"/>
      <c r="F117" s="34"/>
      <c r="G117" s="35"/>
      <c r="H117" s="36"/>
      <c r="I117" s="37"/>
    </row>
    <row r="118" ht="22.5" customHeight="1">
      <c r="A118" s="30"/>
      <c r="B118" s="31"/>
      <c r="C118" s="32"/>
      <c r="D118" s="33"/>
      <c r="E118" s="34"/>
      <c r="F118" s="34"/>
      <c r="G118" s="35"/>
      <c r="H118" s="36"/>
      <c r="I118" s="37"/>
    </row>
    <row r="119" ht="22.5" customHeight="1">
      <c r="A119" s="30"/>
      <c r="B119" s="31"/>
      <c r="C119" s="32"/>
      <c r="D119" s="33"/>
      <c r="E119" s="34"/>
      <c r="F119" s="34"/>
      <c r="G119" s="35"/>
      <c r="H119" s="36"/>
      <c r="I119" s="37"/>
    </row>
    <row r="120" ht="22.5" customHeight="1">
      <c r="A120" s="30"/>
      <c r="B120" s="31"/>
      <c r="C120" s="32"/>
      <c r="D120" s="33"/>
      <c r="E120" s="34"/>
      <c r="F120" s="34"/>
      <c r="G120" s="35"/>
      <c r="H120" s="36"/>
      <c r="I120" s="37"/>
    </row>
    <row r="121" ht="22.5" customHeight="1">
      <c r="A121" s="30"/>
      <c r="B121" s="31"/>
      <c r="C121" s="32"/>
      <c r="D121" s="33"/>
      <c r="E121" s="34"/>
      <c r="F121" s="34"/>
      <c r="G121" s="35"/>
      <c r="H121" s="36"/>
      <c r="I121" s="37"/>
    </row>
    <row r="122" ht="22.5" customHeight="1">
      <c r="A122" s="30"/>
      <c r="B122" s="31"/>
      <c r="C122" s="32"/>
      <c r="D122" s="33"/>
      <c r="E122" s="34"/>
      <c r="F122" s="34"/>
      <c r="G122" s="35"/>
      <c r="H122" s="36"/>
      <c r="I122" s="37"/>
    </row>
    <row r="123" ht="22.5" customHeight="1">
      <c r="A123" s="30"/>
      <c r="B123" s="31"/>
      <c r="C123" s="32"/>
      <c r="D123" s="33"/>
      <c r="E123" s="34"/>
      <c r="F123" s="34"/>
      <c r="G123" s="35"/>
      <c r="H123" s="36"/>
      <c r="I123" s="37"/>
    </row>
    <row r="124" ht="22.5" customHeight="1">
      <c r="A124" s="30"/>
      <c r="B124" s="39"/>
      <c r="C124" s="32"/>
      <c r="D124" s="33"/>
      <c r="E124" s="34"/>
      <c r="F124" s="34"/>
      <c r="G124" s="35"/>
      <c r="H124" s="36"/>
      <c r="I124" s="37"/>
    </row>
    <row r="125" ht="22.5" customHeight="1">
      <c r="A125" s="30"/>
      <c r="B125" s="39"/>
      <c r="C125" s="32"/>
      <c r="D125" s="33"/>
      <c r="E125" s="34"/>
      <c r="F125" s="34"/>
      <c r="G125" s="35"/>
      <c r="H125" s="36"/>
      <c r="I125" s="37"/>
    </row>
    <row r="126" ht="22.5" customHeight="1">
      <c r="A126" s="30"/>
      <c r="B126" s="39"/>
      <c r="C126" s="32"/>
      <c r="D126" s="33"/>
      <c r="E126" s="34"/>
      <c r="F126" s="34"/>
      <c r="G126" s="35"/>
      <c r="H126" s="36"/>
      <c r="I126" s="37"/>
    </row>
    <row r="127" ht="22.5" customHeight="1">
      <c r="A127" s="30"/>
      <c r="B127" s="40"/>
      <c r="C127" s="32"/>
      <c r="D127" s="33"/>
      <c r="E127" s="34"/>
      <c r="F127" s="34"/>
      <c r="G127" s="35"/>
      <c r="H127" s="36"/>
      <c r="I127" s="37"/>
    </row>
    <row r="128" ht="22.5" customHeight="1">
      <c r="A128" s="30"/>
      <c r="B128" s="31"/>
      <c r="C128" s="32"/>
      <c r="D128" s="33"/>
      <c r="E128" s="34"/>
      <c r="F128" s="34"/>
      <c r="G128" s="35"/>
      <c r="H128" s="36"/>
      <c r="I128" s="37"/>
    </row>
    <row r="129" ht="22.5" customHeight="1">
      <c r="A129" s="30"/>
      <c r="B129" s="31"/>
      <c r="C129" s="32"/>
      <c r="D129" s="33"/>
      <c r="E129" s="34"/>
      <c r="F129" s="34"/>
      <c r="G129" s="35"/>
      <c r="H129" s="36"/>
      <c r="I129" s="37"/>
    </row>
    <row r="130" ht="22.5" customHeight="1">
      <c r="A130" s="30"/>
      <c r="B130" s="31"/>
      <c r="C130" s="32"/>
      <c r="D130" s="33"/>
      <c r="E130" s="34"/>
      <c r="F130" s="34"/>
      <c r="G130" s="35"/>
      <c r="H130" s="36"/>
      <c r="I130" s="37"/>
    </row>
    <row r="131" ht="22.5" customHeight="1">
      <c r="A131" s="30"/>
      <c r="B131" s="31"/>
      <c r="C131" s="32"/>
      <c r="D131" s="33"/>
      <c r="E131" s="34"/>
      <c r="F131" s="34"/>
      <c r="G131" s="35"/>
      <c r="H131" s="36"/>
      <c r="I131" s="37"/>
    </row>
    <row r="132" ht="22.5" customHeight="1">
      <c r="A132" s="30"/>
      <c r="B132" s="31"/>
      <c r="C132" s="32"/>
      <c r="D132" s="33"/>
      <c r="E132" s="34"/>
      <c r="F132" s="34"/>
      <c r="G132" s="35"/>
      <c r="H132" s="36"/>
      <c r="I132" s="37"/>
    </row>
    <row r="133" ht="22.5" customHeight="1">
      <c r="A133" s="30"/>
      <c r="B133" s="31"/>
      <c r="C133" s="32"/>
      <c r="D133" s="33"/>
      <c r="E133" s="34"/>
      <c r="F133" s="34"/>
      <c r="G133" s="35"/>
      <c r="H133" s="36"/>
      <c r="I133" s="37"/>
    </row>
    <row r="134" ht="22.5" customHeight="1">
      <c r="A134" s="30"/>
      <c r="B134" s="31"/>
      <c r="C134" s="32"/>
      <c r="D134" s="33"/>
      <c r="E134" s="34"/>
      <c r="F134" s="34"/>
      <c r="G134" s="35"/>
      <c r="H134" s="36"/>
      <c r="I134" s="37"/>
    </row>
    <row r="135" ht="22.5" customHeight="1">
      <c r="A135" s="30"/>
      <c r="B135" s="31"/>
      <c r="C135" s="32"/>
      <c r="D135" s="33"/>
      <c r="E135" s="34"/>
      <c r="F135" s="34"/>
      <c r="G135" s="35"/>
      <c r="H135" s="36"/>
      <c r="I135" s="37"/>
    </row>
    <row r="136" ht="22.5" customHeight="1">
      <c r="A136" s="30"/>
      <c r="B136" s="31"/>
      <c r="C136" s="32"/>
      <c r="D136" s="33"/>
      <c r="E136" s="34"/>
      <c r="F136" s="34"/>
      <c r="G136" s="35"/>
      <c r="H136" s="36"/>
      <c r="I136" s="37"/>
    </row>
    <row r="137" ht="22.5" customHeight="1">
      <c r="A137" s="30"/>
      <c r="B137" s="40"/>
      <c r="C137" s="32"/>
      <c r="D137" s="33"/>
      <c r="E137" s="34"/>
      <c r="F137" s="34"/>
      <c r="G137" s="35"/>
      <c r="H137" s="36"/>
      <c r="I137" s="37"/>
    </row>
    <row r="138" ht="22.5" customHeight="1">
      <c r="A138" s="30"/>
      <c r="B138" s="31"/>
      <c r="C138" s="32"/>
      <c r="D138" s="33"/>
      <c r="E138" s="34"/>
      <c r="F138" s="34"/>
      <c r="G138" s="35"/>
      <c r="H138" s="36"/>
      <c r="I138" s="37"/>
    </row>
    <row r="139" ht="22.5" customHeight="1">
      <c r="A139" s="30"/>
      <c r="B139" s="31"/>
      <c r="C139" s="32"/>
      <c r="D139" s="33"/>
      <c r="E139" s="34"/>
      <c r="F139" s="34"/>
      <c r="G139" s="35"/>
      <c r="H139" s="36"/>
      <c r="I139" s="37"/>
    </row>
    <row r="140" ht="22.5" customHeight="1">
      <c r="A140" s="30"/>
      <c r="B140" s="31"/>
      <c r="C140" s="32"/>
      <c r="D140" s="33"/>
      <c r="E140" s="34"/>
      <c r="F140" s="34"/>
      <c r="G140" s="35"/>
      <c r="H140" s="36"/>
      <c r="I140" s="37"/>
    </row>
    <row r="141" ht="22.5" customHeight="1">
      <c r="A141" s="30"/>
      <c r="B141" s="40"/>
      <c r="C141" s="32"/>
      <c r="D141" s="33"/>
      <c r="E141" s="34"/>
      <c r="F141" s="34"/>
      <c r="G141" s="35"/>
      <c r="H141" s="36"/>
      <c r="I141" s="37"/>
    </row>
    <row r="142" ht="22.5" customHeight="1">
      <c r="A142" s="30"/>
      <c r="B142" s="31"/>
      <c r="C142" s="32"/>
      <c r="D142" s="33"/>
      <c r="E142" s="34"/>
      <c r="F142" s="34"/>
      <c r="G142" s="35"/>
      <c r="H142" s="36"/>
      <c r="I142" s="37"/>
    </row>
    <row r="143" ht="22.5" customHeight="1">
      <c r="A143" s="30"/>
      <c r="B143" s="31"/>
      <c r="C143" s="32"/>
      <c r="D143" s="33"/>
      <c r="E143" s="34"/>
      <c r="F143" s="34"/>
      <c r="G143" s="35"/>
      <c r="H143" s="36"/>
      <c r="I143" s="37"/>
    </row>
    <row r="144" ht="22.5" customHeight="1">
      <c r="A144" s="30"/>
      <c r="B144" s="31"/>
      <c r="C144" s="32"/>
      <c r="D144" s="33"/>
      <c r="E144" s="34"/>
      <c r="F144" s="34"/>
      <c r="G144" s="35"/>
      <c r="H144" s="36"/>
      <c r="I144" s="37"/>
    </row>
    <row r="145" ht="22.5" customHeight="1">
      <c r="A145" s="30"/>
      <c r="B145" s="31"/>
      <c r="C145" s="32"/>
      <c r="D145" s="33"/>
      <c r="E145" s="34"/>
      <c r="F145" s="34"/>
      <c r="G145" s="35"/>
      <c r="H145" s="36"/>
      <c r="I145" s="37"/>
    </row>
    <row r="146" ht="22.5" customHeight="1">
      <c r="A146" s="30"/>
      <c r="B146" s="31"/>
      <c r="C146" s="32"/>
      <c r="D146" s="33"/>
      <c r="E146" s="34"/>
      <c r="F146" s="34"/>
      <c r="G146" s="35"/>
      <c r="H146" s="36"/>
      <c r="I146" s="37"/>
    </row>
    <row r="147" ht="22.5" customHeight="1">
      <c r="A147" s="30"/>
      <c r="B147" s="31"/>
      <c r="C147" s="32"/>
      <c r="D147" s="33"/>
      <c r="E147" s="34"/>
      <c r="F147" s="34"/>
      <c r="G147" s="35"/>
      <c r="H147" s="36"/>
      <c r="I147" s="37"/>
    </row>
    <row r="148" ht="22.5" customHeight="1">
      <c r="A148" s="30"/>
      <c r="B148" s="31"/>
      <c r="C148" s="32"/>
      <c r="D148" s="33"/>
      <c r="E148" s="34"/>
      <c r="F148" s="34"/>
      <c r="G148" s="35"/>
      <c r="H148" s="36"/>
      <c r="I148" s="37"/>
    </row>
    <row r="149" ht="22.5" customHeight="1">
      <c r="A149" s="30"/>
      <c r="B149" s="31"/>
      <c r="C149" s="32"/>
      <c r="D149" s="33"/>
      <c r="E149" s="34"/>
      <c r="F149" s="34"/>
      <c r="G149" s="35"/>
      <c r="H149" s="36"/>
      <c r="I149" s="37"/>
    </row>
    <row r="150" ht="22.5" customHeight="1">
      <c r="A150" s="30"/>
      <c r="B150" s="31"/>
      <c r="C150" s="32"/>
      <c r="D150" s="33"/>
      <c r="E150" s="34"/>
      <c r="F150" s="34"/>
      <c r="G150" s="35"/>
      <c r="H150" s="36"/>
      <c r="I150" s="37"/>
    </row>
    <row r="151" ht="22.5" customHeight="1">
      <c r="A151" s="30"/>
      <c r="B151" s="31"/>
      <c r="C151" s="32"/>
      <c r="D151" s="33"/>
      <c r="E151" s="34"/>
      <c r="F151" s="34"/>
      <c r="G151" s="35"/>
      <c r="H151" s="36"/>
      <c r="I151" s="37"/>
    </row>
    <row r="152" ht="22.5" customHeight="1">
      <c r="A152" s="30"/>
      <c r="B152" s="31"/>
      <c r="C152" s="32"/>
      <c r="D152" s="33"/>
      <c r="E152" s="34"/>
      <c r="F152" s="34"/>
      <c r="G152" s="35"/>
      <c r="H152" s="36"/>
      <c r="I152" s="37"/>
    </row>
    <row r="153" ht="22.5" customHeight="1">
      <c r="A153" s="30"/>
      <c r="B153" s="31"/>
      <c r="C153" s="32"/>
      <c r="D153" s="33"/>
      <c r="E153" s="34"/>
      <c r="F153" s="34"/>
      <c r="G153" s="35"/>
      <c r="H153" s="36"/>
      <c r="I153" s="37"/>
    </row>
    <row r="154" ht="22.5" customHeight="1">
      <c r="A154" s="30"/>
      <c r="B154" s="31"/>
      <c r="C154" s="32"/>
      <c r="D154" s="33"/>
      <c r="E154" s="34"/>
      <c r="F154" s="34"/>
      <c r="G154" s="35"/>
      <c r="H154" s="36"/>
      <c r="I154" s="37"/>
    </row>
    <row r="155" ht="22.5" customHeight="1">
      <c r="A155" s="30"/>
      <c r="B155" s="31"/>
      <c r="C155" s="32"/>
      <c r="D155" s="33"/>
      <c r="E155" s="34"/>
      <c r="F155" s="34"/>
      <c r="G155" s="35"/>
      <c r="H155" s="36"/>
      <c r="I155" s="37"/>
    </row>
    <row r="156" ht="22.5" customHeight="1">
      <c r="A156" s="30"/>
      <c r="B156" s="40"/>
      <c r="C156" s="32"/>
      <c r="D156" s="33"/>
      <c r="E156" s="34"/>
      <c r="F156" s="34"/>
      <c r="G156" s="35"/>
      <c r="H156" s="36"/>
      <c r="I156" s="37"/>
    </row>
    <row r="157" ht="22.5" customHeight="1">
      <c r="A157" s="30"/>
      <c r="B157" s="31"/>
      <c r="C157" s="32"/>
      <c r="D157" s="33"/>
      <c r="E157" s="34"/>
      <c r="F157" s="34"/>
      <c r="G157" s="35"/>
      <c r="H157" s="36"/>
      <c r="I157" s="37"/>
    </row>
    <row r="158" ht="22.5" customHeight="1">
      <c r="A158" s="30"/>
      <c r="B158" s="40"/>
      <c r="C158" s="32"/>
      <c r="D158" s="33"/>
      <c r="E158" s="34"/>
      <c r="F158" s="34"/>
      <c r="G158" s="35"/>
      <c r="H158" s="36"/>
      <c r="I158" s="37"/>
    </row>
    <row r="159" ht="22.5" customHeight="1">
      <c r="A159" s="30"/>
      <c r="B159" s="31"/>
      <c r="C159" s="32"/>
      <c r="D159" s="33"/>
      <c r="E159" s="34"/>
      <c r="F159" s="34"/>
      <c r="G159" s="35"/>
      <c r="H159" s="36"/>
      <c r="I159" s="37"/>
    </row>
    <row r="160" ht="22.5" customHeight="1">
      <c r="A160" s="30"/>
      <c r="B160" s="31"/>
      <c r="C160" s="32"/>
      <c r="D160" s="33"/>
      <c r="E160" s="34"/>
      <c r="F160" s="34"/>
      <c r="G160" s="35"/>
      <c r="H160" s="36"/>
      <c r="I160" s="37"/>
    </row>
    <row r="161" ht="22.5" customHeight="1">
      <c r="A161" s="30"/>
      <c r="B161" s="31"/>
      <c r="C161" s="32"/>
      <c r="D161" s="33"/>
      <c r="E161" s="34"/>
      <c r="F161" s="34"/>
      <c r="G161" s="35"/>
      <c r="H161" s="36"/>
      <c r="I161" s="37"/>
    </row>
    <row r="162" ht="22.5" customHeight="1">
      <c r="A162" s="30"/>
      <c r="B162" s="31"/>
      <c r="C162" s="32"/>
      <c r="D162" s="33"/>
      <c r="E162" s="34"/>
      <c r="F162" s="34"/>
      <c r="G162" s="35"/>
      <c r="H162" s="36"/>
      <c r="I162" s="37"/>
    </row>
    <row r="163" ht="22.5" customHeight="1">
      <c r="A163" s="30"/>
      <c r="B163" s="40"/>
      <c r="C163" s="32"/>
      <c r="D163" s="33"/>
      <c r="E163" s="34"/>
      <c r="F163" s="34"/>
      <c r="G163" s="35"/>
      <c r="H163" s="36"/>
      <c r="I163" s="37"/>
    </row>
    <row r="164" ht="22.5" customHeight="1">
      <c r="A164" s="30"/>
      <c r="B164" s="31"/>
      <c r="C164" s="32"/>
      <c r="D164" s="33"/>
      <c r="E164" s="34"/>
      <c r="F164" s="34"/>
      <c r="G164" s="35"/>
      <c r="H164" s="36"/>
      <c r="I164" s="37"/>
    </row>
    <row r="165" ht="22.5" customHeight="1">
      <c r="A165" s="30"/>
      <c r="B165" s="31"/>
      <c r="C165" s="32"/>
      <c r="D165" s="33"/>
      <c r="E165" s="34"/>
      <c r="F165" s="34"/>
      <c r="G165" s="35"/>
      <c r="H165" s="36"/>
      <c r="I165" s="37"/>
    </row>
    <row r="166" ht="22.5" customHeight="1">
      <c r="A166" s="30"/>
      <c r="B166" s="31"/>
      <c r="C166" s="32"/>
      <c r="D166" s="33"/>
      <c r="E166" s="34"/>
      <c r="F166" s="34"/>
      <c r="G166" s="35"/>
      <c r="H166" s="36"/>
      <c r="I166" s="37"/>
    </row>
    <row r="167" ht="22.5" customHeight="1">
      <c r="A167" s="30"/>
      <c r="B167" s="31"/>
      <c r="C167" s="32"/>
      <c r="D167" s="33"/>
      <c r="E167" s="34"/>
      <c r="F167" s="34"/>
      <c r="G167" s="35"/>
      <c r="H167" s="36"/>
      <c r="I167" s="37"/>
    </row>
    <row r="168" ht="22.5" customHeight="1">
      <c r="A168" s="30"/>
      <c r="B168" s="31"/>
      <c r="C168" s="32"/>
      <c r="D168" s="33"/>
      <c r="E168" s="34"/>
      <c r="F168" s="34"/>
      <c r="G168" s="35"/>
      <c r="H168" s="36"/>
      <c r="I168" s="37"/>
    </row>
    <row r="169" ht="22.5" customHeight="1">
      <c r="A169" s="30"/>
      <c r="B169" s="31"/>
      <c r="C169" s="32"/>
      <c r="D169" s="33"/>
      <c r="E169" s="34"/>
      <c r="F169" s="34"/>
      <c r="G169" s="35"/>
      <c r="H169" s="36"/>
      <c r="I169" s="37"/>
    </row>
    <row r="170" ht="22.5" customHeight="1">
      <c r="A170" s="30"/>
      <c r="B170" s="31"/>
      <c r="C170" s="32"/>
      <c r="D170" s="33"/>
      <c r="E170" s="34"/>
      <c r="F170" s="34"/>
      <c r="G170" s="35"/>
      <c r="H170" s="36"/>
      <c r="I170" s="37"/>
    </row>
    <row r="171" ht="22.5" customHeight="1">
      <c r="A171" s="30"/>
      <c r="B171" s="31"/>
      <c r="C171" s="32"/>
      <c r="D171" s="33"/>
      <c r="E171" s="34"/>
      <c r="F171" s="34"/>
      <c r="G171" s="35"/>
      <c r="H171" s="36"/>
      <c r="I171" s="37"/>
    </row>
    <row r="172" ht="22.5" customHeight="1">
      <c r="A172" s="30"/>
      <c r="B172" s="31"/>
      <c r="C172" s="32"/>
      <c r="D172" s="33"/>
      <c r="E172" s="34"/>
      <c r="F172" s="34"/>
      <c r="G172" s="35"/>
      <c r="H172" s="36"/>
      <c r="I172" s="37"/>
    </row>
    <row r="173" ht="22.5" customHeight="1">
      <c r="A173" s="30"/>
      <c r="B173" s="31"/>
      <c r="C173" s="32"/>
      <c r="D173" s="33"/>
      <c r="E173" s="34"/>
      <c r="F173" s="34"/>
      <c r="G173" s="35"/>
      <c r="H173" s="36"/>
      <c r="I173" s="37"/>
    </row>
    <row r="174" ht="22.5" customHeight="1">
      <c r="A174" s="30"/>
      <c r="B174" s="31"/>
      <c r="C174" s="32"/>
      <c r="D174" s="33"/>
      <c r="E174" s="34"/>
      <c r="F174" s="34"/>
      <c r="G174" s="35"/>
      <c r="H174" s="36"/>
      <c r="I174" s="37"/>
    </row>
    <row r="175" ht="22.5" customHeight="1">
      <c r="A175" s="30"/>
      <c r="B175" s="31"/>
      <c r="C175" s="32"/>
      <c r="D175" s="33"/>
      <c r="E175" s="34"/>
      <c r="F175" s="34"/>
      <c r="G175" s="35"/>
      <c r="H175" s="36"/>
      <c r="I175" s="37"/>
    </row>
    <row r="176" ht="22.5" customHeight="1">
      <c r="A176" s="30"/>
      <c r="B176" s="31"/>
      <c r="C176" s="32"/>
      <c r="D176" s="33"/>
      <c r="E176" s="34"/>
      <c r="F176" s="34"/>
      <c r="G176" s="35"/>
      <c r="H176" s="36"/>
      <c r="I176" s="37"/>
    </row>
    <row r="177" ht="22.5" customHeight="1">
      <c r="A177" s="30"/>
      <c r="B177" s="31"/>
      <c r="C177" s="32"/>
      <c r="D177" s="33"/>
      <c r="E177" s="34"/>
      <c r="F177" s="34"/>
      <c r="G177" s="35"/>
      <c r="H177" s="36"/>
      <c r="I177" s="37"/>
    </row>
    <row r="178" ht="22.5" customHeight="1">
      <c r="A178" s="30"/>
      <c r="B178" s="31"/>
      <c r="C178" s="32"/>
      <c r="D178" s="33"/>
      <c r="E178" s="34"/>
      <c r="F178" s="34"/>
      <c r="G178" s="35"/>
      <c r="H178" s="36"/>
      <c r="I178" s="37"/>
    </row>
    <row r="179" ht="22.5" customHeight="1">
      <c r="A179" s="30"/>
      <c r="B179" s="31"/>
      <c r="C179" s="32"/>
      <c r="D179" s="33"/>
      <c r="E179" s="34"/>
      <c r="F179" s="34"/>
      <c r="G179" s="35"/>
      <c r="H179" s="36"/>
      <c r="I179" s="37"/>
    </row>
    <row r="180" ht="22.5" customHeight="1">
      <c r="A180" s="30"/>
      <c r="B180" s="31"/>
      <c r="C180" s="32"/>
      <c r="D180" s="33"/>
      <c r="E180" s="34"/>
      <c r="F180" s="34"/>
      <c r="G180" s="35"/>
      <c r="H180" s="36"/>
      <c r="I180" s="37"/>
    </row>
    <row r="181" ht="22.5" customHeight="1">
      <c r="A181" s="30"/>
      <c r="B181" s="31"/>
      <c r="C181" s="32"/>
      <c r="D181" s="33"/>
      <c r="E181" s="34"/>
      <c r="F181" s="34"/>
      <c r="G181" s="35"/>
      <c r="H181" s="36"/>
      <c r="I181" s="37"/>
    </row>
    <row r="182" ht="22.5" customHeight="1">
      <c r="A182" s="30"/>
      <c r="B182" s="31"/>
      <c r="C182" s="32"/>
      <c r="D182" s="33"/>
      <c r="E182" s="34"/>
      <c r="F182" s="34"/>
      <c r="G182" s="35"/>
      <c r="H182" s="36"/>
      <c r="I182" s="37"/>
    </row>
    <row r="183" ht="22.5" customHeight="1">
      <c r="A183" s="30"/>
      <c r="B183" s="31"/>
      <c r="C183" s="32"/>
      <c r="D183" s="33"/>
      <c r="E183" s="34"/>
      <c r="F183" s="34"/>
      <c r="G183" s="35"/>
      <c r="H183" s="36"/>
      <c r="I183" s="37"/>
    </row>
    <row r="184" ht="22.5" customHeight="1">
      <c r="A184" s="30"/>
      <c r="B184" s="31"/>
      <c r="C184" s="32"/>
      <c r="D184" s="33"/>
      <c r="E184" s="34"/>
      <c r="F184" s="34"/>
      <c r="G184" s="35"/>
      <c r="H184" s="36"/>
      <c r="I184" s="37"/>
    </row>
    <row r="185" ht="22.5" customHeight="1">
      <c r="A185" s="30"/>
      <c r="B185" s="40"/>
      <c r="C185" s="32"/>
      <c r="D185" s="33"/>
      <c r="E185" s="34"/>
      <c r="F185" s="34"/>
      <c r="G185" s="35"/>
      <c r="H185" s="36"/>
      <c r="I185" s="37"/>
    </row>
    <row r="186" ht="22.5" customHeight="1">
      <c r="A186" s="30"/>
      <c r="B186" s="31"/>
      <c r="C186" s="32"/>
      <c r="D186" s="33"/>
      <c r="E186" s="34"/>
      <c r="F186" s="34"/>
      <c r="G186" s="35"/>
      <c r="H186" s="36"/>
      <c r="I186" s="37"/>
    </row>
    <row r="187" ht="22.5" customHeight="1">
      <c r="A187" s="30"/>
      <c r="B187" s="31"/>
      <c r="C187" s="32"/>
      <c r="D187" s="33"/>
      <c r="E187" s="34"/>
      <c r="F187" s="34"/>
      <c r="G187" s="35"/>
      <c r="H187" s="36"/>
      <c r="I187" s="37"/>
    </row>
    <row r="188" ht="22.5" customHeight="1">
      <c r="A188" s="30"/>
      <c r="B188" s="31"/>
      <c r="C188" s="32"/>
      <c r="D188" s="33"/>
      <c r="E188" s="34"/>
      <c r="F188" s="34"/>
      <c r="G188" s="35"/>
      <c r="H188" s="36"/>
      <c r="I188" s="37"/>
    </row>
    <row r="189" ht="22.5" customHeight="1">
      <c r="A189" s="30"/>
      <c r="B189" s="31"/>
      <c r="C189" s="32"/>
      <c r="D189" s="33"/>
      <c r="E189" s="34"/>
      <c r="F189" s="34"/>
      <c r="G189" s="35"/>
      <c r="H189" s="36"/>
      <c r="I189" s="38"/>
    </row>
    <row r="190" ht="22.5" customHeight="1">
      <c r="A190" s="30"/>
      <c r="B190" s="39"/>
      <c r="C190" s="32"/>
      <c r="D190" s="33"/>
      <c r="E190" s="34"/>
      <c r="F190" s="34"/>
      <c r="G190" s="35"/>
      <c r="H190" s="36"/>
      <c r="I190" s="37"/>
    </row>
    <row r="191" ht="22.5" customHeight="1">
      <c r="A191" s="30"/>
      <c r="B191" s="31"/>
      <c r="C191" s="32"/>
      <c r="D191" s="33"/>
      <c r="E191" s="34"/>
      <c r="F191" s="34"/>
      <c r="G191" s="35"/>
      <c r="H191" s="36"/>
      <c r="I191" s="37"/>
    </row>
    <row r="192" ht="22.5" customHeight="1">
      <c r="A192" s="30"/>
      <c r="B192" s="31"/>
      <c r="C192" s="32"/>
      <c r="D192" s="33"/>
      <c r="E192" s="34"/>
      <c r="F192" s="34"/>
      <c r="G192" s="35"/>
      <c r="H192" s="36"/>
      <c r="I192" s="37"/>
    </row>
    <row r="193" ht="22.5" customHeight="1">
      <c r="A193" s="30"/>
      <c r="B193" s="31"/>
      <c r="C193" s="32"/>
      <c r="D193" s="33"/>
      <c r="E193" s="34"/>
      <c r="F193" s="34"/>
      <c r="G193" s="35"/>
      <c r="H193" s="36"/>
      <c r="I193" s="37"/>
    </row>
    <row r="194" ht="22.5" customHeight="1">
      <c r="A194" s="30"/>
      <c r="B194" s="39"/>
      <c r="C194" s="32"/>
      <c r="D194" s="33"/>
      <c r="E194" s="34"/>
      <c r="F194" s="34"/>
      <c r="G194" s="35"/>
      <c r="H194" s="36"/>
      <c r="I194" s="37"/>
    </row>
    <row r="195" ht="22.5" customHeight="1">
      <c r="A195" s="30"/>
      <c r="B195" s="31"/>
      <c r="C195" s="32"/>
      <c r="D195" s="33"/>
      <c r="E195" s="34"/>
      <c r="F195" s="34"/>
      <c r="G195" s="35"/>
      <c r="H195" s="36"/>
      <c r="I195" s="37"/>
    </row>
    <row r="196" ht="22.5" customHeight="1">
      <c r="A196" s="30"/>
      <c r="B196" s="39"/>
      <c r="C196" s="32"/>
      <c r="D196" s="33"/>
      <c r="E196" s="34"/>
      <c r="F196" s="34"/>
      <c r="G196" s="35"/>
      <c r="H196" s="36"/>
      <c r="I196" s="37"/>
    </row>
    <row r="197" ht="22.5" customHeight="1">
      <c r="A197" s="30"/>
      <c r="B197" s="31"/>
      <c r="C197" s="32"/>
      <c r="D197" s="33"/>
      <c r="E197" s="34"/>
      <c r="F197" s="34"/>
      <c r="G197" s="35"/>
      <c r="H197" s="36"/>
      <c r="I197" s="37"/>
    </row>
    <row r="198" ht="22.5" customHeight="1">
      <c r="A198" s="30"/>
      <c r="B198" s="31"/>
      <c r="C198" s="32"/>
      <c r="D198" s="33"/>
      <c r="E198" s="34"/>
      <c r="F198" s="34"/>
      <c r="G198" s="35"/>
      <c r="H198" s="36"/>
      <c r="I198" s="37"/>
    </row>
    <row r="199" ht="22.5" customHeight="1">
      <c r="A199" s="30"/>
      <c r="B199" s="31"/>
      <c r="C199" s="32"/>
      <c r="D199" s="33"/>
      <c r="E199" s="34"/>
      <c r="F199" s="34"/>
      <c r="G199" s="35"/>
      <c r="H199" s="36"/>
      <c r="I199" s="37"/>
    </row>
    <row r="200" ht="22.5" customHeight="1">
      <c r="A200" s="30"/>
      <c r="B200" s="31"/>
      <c r="C200" s="32"/>
      <c r="D200" s="33"/>
      <c r="E200" s="34"/>
      <c r="F200" s="34"/>
      <c r="G200" s="35"/>
      <c r="H200" s="36"/>
      <c r="I200" s="37"/>
    </row>
    <row r="201" ht="22.5" customHeight="1">
      <c r="A201" s="30"/>
      <c r="B201" s="31"/>
      <c r="C201" s="32"/>
      <c r="D201" s="33"/>
      <c r="E201" s="34"/>
      <c r="F201" s="34"/>
      <c r="G201" s="35"/>
      <c r="H201" s="36"/>
      <c r="I201" s="37"/>
    </row>
    <row r="202" ht="22.5" customHeight="1">
      <c r="A202" s="30"/>
      <c r="B202" s="31"/>
      <c r="C202" s="32"/>
      <c r="D202" s="33"/>
      <c r="E202" s="34"/>
      <c r="F202" s="34"/>
      <c r="G202" s="35"/>
      <c r="H202" s="36"/>
      <c r="I202" s="37"/>
    </row>
    <row r="203" ht="22.5" customHeight="1">
      <c r="A203" s="30"/>
      <c r="B203" s="31"/>
      <c r="C203" s="32"/>
      <c r="D203" s="33"/>
      <c r="E203" s="34"/>
      <c r="F203" s="34"/>
      <c r="G203" s="35"/>
      <c r="H203" s="36"/>
      <c r="I203" s="37"/>
    </row>
    <row r="204" ht="22.5" customHeight="1">
      <c r="A204" s="30"/>
      <c r="B204" s="31"/>
      <c r="C204" s="32"/>
      <c r="D204" s="33"/>
      <c r="E204" s="34"/>
      <c r="F204" s="34"/>
      <c r="G204" s="35"/>
      <c r="H204" s="36"/>
      <c r="I204" s="37"/>
    </row>
    <row r="205" ht="22.5" customHeight="1">
      <c r="A205" s="30"/>
      <c r="B205" s="31"/>
      <c r="C205" s="32"/>
      <c r="D205" s="33"/>
      <c r="E205" s="34"/>
      <c r="F205" s="34"/>
      <c r="G205" s="35"/>
      <c r="H205" s="36"/>
      <c r="I205" s="37"/>
    </row>
    <row r="206" ht="22.5" customHeight="1">
      <c r="A206" s="30"/>
      <c r="B206" s="31"/>
      <c r="C206" s="32"/>
      <c r="D206" s="33"/>
      <c r="E206" s="34"/>
      <c r="F206" s="34"/>
      <c r="G206" s="35"/>
      <c r="H206" s="36"/>
      <c r="I206" s="37"/>
    </row>
    <row r="207" ht="22.5" customHeight="1">
      <c r="A207" s="30"/>
      <c r="B207" s="40"/>
      <c r="C207" s="32"/>
      <c r="D207" s="33"/>
      <c r="E207" s="34"/>
      <c r="F207" s="34"/>
      <c r="G207" s="35"/>
      <c r="H207" s="36"/>
      <c r="I207" s="37"/>
    </row>
    <row r="208" ht="22.5" customHeight="1">
      <c r="A208" s="30"/>
      <c r="B208" s="31"/>
      <c r="C208" s="32"/>
      <c r="D208" s="33"/>
      <c r="E208" s="34"/>
      <c r="F208" s="34"/>
      <c r="G208" s="35"/>
      <c r="H208" s="36"/>
      <c r="I208" s="37"/>
    </row>
    <row r="209" ht="22.5" customHeight="1">
      <c r="A209" s="30"/>
      <c r="B209" s="31"/>
      <c r="C209" s="32"/>
      <c r="D209" s="33"/>
      <c r="E209" s="34"/>
      <c r="F209" s="34"/>
      <c r="G209" s="35"/>
      <c r="H209" s="36"/>
      <c r="I209" s="37"/>
    </row>
    <row r="210" ht="22.5" customHeight="1">
      <c r="A210" s="30"/>
      <c r="B210" s="31"/>
      <c r="C210" s="32"/>
      <c r="D210" s="33"/>
      <c r="E210" s="34"/>
      <c r="F210" s="34"/>
      <c r="G210" s="35"/>
      <c r="H210" s="36"/>
      <c r="I210" s="37"/>
    </row>
    <row r="211" ht="22.5" customHeight="1">
      <c r="A211" s="30"/>
      <c r="B211" s="31"/>
      <c r="C211" s="32"/>
      <c r="D211" s="33"/>
      <c r="E211" s="34"/>
      <c r="F211" s="34"/>
      <c r="G211" s="35"/>
      <c r="H211" s="36"/>
      <c r="I211" s="37"/>
    </row>
    <row r="212" ht="22.5" customHeight="1">
      <c r="A212" s="30"/>
      <c r="B212" s="31"/>
      <c r="C212" s="32"/>
      <c r="D212" s="33"/>
      <c r="E212" s="34"/>
      <c r="F212" s="34"/>
      <c r="G212" s="35"/>
      <c r="H212" s="36"/>
      <c r="I212" s="37"/>
    </row>
    <row r="213" ht="22.5" customHeight="1">
      <c r="A213" s="30"/>
      <c r="B213" s="31"/>
      <c r="C213" s="32"/>
      <c r="D213" s="33"/>
      <c r="E213" s="34"/>
      <c r="F213" s="34"/>
      <c r="G213" s="35"/>
      <c r="H213" s="36"/>
      <c r="I213" s="37"/>
    </row>
    <row r="214" ht="22.5" customHeight="1">
      <c r="A214" s="30"/>
      <c r="B214" s="39"/>
      <c r="C214" s="32"/>
      <c r="D214" s="33"/>
      <c r="E214" s="34"/>
      <c r="F214" s="34"/>
      <c r="G214" s="35"/>
      <c r="H214" s="36"/>
      <c r="I214" s="37"/>
    </row>
    <row r="215" ht="22.5" customHeight="1">
      <c r="A215" s="30"/>
      <c r="B215" s="39"/>
      <c r="C215" s="32"/>
      <c r="D215" s="33"/>
      <c r="E215" s="34"/>
      <c r="F215" s="34"/>
      <c r="G215" s="35"/>
      <c r="H215" s="36"/>
      <c r="I215" s="37"/>
    </row>
    <row r="216" ht="22.5" customHeight="1">
      <c r="A216" s="30"/>
      <c r="B216" s="39"/>
      <c r="C216" s="32"/>
      <c r="D216" s="33"/>
      <c r="E216" s="34"/>
      <c r="F216" s="34"/>
      <c r="G216" s="35"/>
      <c r="H216" s="36"/>
      <c r="I216" s="37"/>
    </row>
    <row r="217" ht="22.5" customHeight="1">
      <c r="A217" s="30"/>
      <c r="B217" s="40"/>
      <c r="C217" s="32"/>
      <c r="D217" s="33"/>
      <c r="E217" s="34"/>
      <c r="F217" s="34"/>
      <c r="G217" s="35"/>
      <c r="H217" s="36"/>
      <c r="I217" s="37"/>
    </row>
    <row r="218" ht="22.5" customHeight="1">
      <c r="A218" s="30"/>
      <c r="B218" s="31"/>
      <c r="C218" s="32"/>
      <c r="D218" s="33"/>
      <c r="E218" s="34"/>
      <c r="F218" s="34"/>
      <c r="G218" s="35"/>
      <c r="H218" s="36"/>
      <c r="I218" s="37"/>
    </row>
    <row r="219" ht="22.5" customHeight="1">
      <c r="A219" s="30"/>
      <c r="B219" s="31"/>
      <c r="C219" s="32"/>
      <c r="D219" s="33"/>
      <c r="E219" s="34"/>
      <c r="F219" s="34"/>
      <c r="G219" s="35"/>
      <c r="H219" s="36"/>
      <c r="I219" s="37"/>
    </row>
    <row r="220" ht="22.5" customHeight="1">
      <c r="A220" s="30"/>
      <c r="B220" s="31"/>
      <c r="C220" s="32"/>
      <c r="D220" s="33"/>
      <c r="E220" s="34"/>
      <c r="F220" s="34"/>
      <c r="G220" s="35"/>
      <c r="H220" s="36"/>
      <c r="I220" s="37"/>
    </row>
    <row r="221" ht="22.5" customHeight="1">
      <c r="A221" s="30"/>
      <c r="B221" s="31"/>
      <c r="C221" s="32"/>
      <c r="D221" s="33"/>
      <c r="E221" s="34"/>
      <c r="F221" s="34"/>
      <c r="G221" s="35"/>
      <c r="H221" s="36"/>
      <c r="I221" s="37"/>
    </row>
    <row r="222" ht="22.5" customHeight="1">
      <c r="A222" s="30"/>
      <c r="B222" s="31"/>
      <c r="C222" s="32"/>
      <c r="D222" s="33"/>
      <c r="E222" s="34"/>
      <c r="F222" s="34"/>
      <c r="G222" s="35"/>
      <c r="H222" s="36"/>
      <c r="I222" s="37"/>
    </row>
    <row r="223" ht="22.5" customHeight="1">
      <c r="A223" s="30"/>
      <c r="B223" s="31"/>
      <c r="C223" s="32"/>
      <c r="D223" s="33"/>
      <c r="E223" s="34"/>
      <c r="F223" s="34"/>
      <c r="G223" s="35"/>
      <c r="H223" s="36"/>
      <c r="I223" s="37"/>
    </row>
    <row r="224" ht="22.5" customHeight="1">
      <c r="A224" s="30"/>
      <c r="B224" s="31"/>
      <c r="C224" s="32"/>
      <c r="D224" s="33"/>
      <c r="E224" s="34"/>
      <c r="F224" s="34"/>
      <c r="G224" s="35"/>
      <c r="H224" s="36"/>
      <c r="I224" s="37"/>
    </row>
    <row r="225" ht="22.5" customHeight="1">
      <c r="A225" s="30"/>
      <c r="B225" s="31"/>
      <c r="C225" s="32"/>
      <c r="D225" s="33"/>
      <c r="E225" s="34"/>
      <c r="F225" s="34"/>
      <c r="G225" s="35"/>
      <c r="H225" s="36"/>
      <c r="I225" s="37"/>
    </row>
    <row r="226" ht="22.5" customHeight="1">
      <c r="A226" s="30"/>
      <c r="B226" s="31"/>
      <c r="C226" s="32"/>
      <c r="D226" s="33"/>
      <c r="E226" s="34"/>
      <c r="F226" s="34"/>
      <c r="G226" s="35"/>
      <c r="H226" s="36"/>
      <c r="I226" s="37"/>
    </row>
    <row r="227" ht="22.5" customHeight="1">
      <c r="A227" s="30"/>
      <c r="B227" s="40"/>
      <c r="C227" s="32"/>
      <c r="D227" s="33"/>
      <c r="E227" s="34"/>
      <c r="F227" s="34"/>
      <c r="G227" s="35"/>
      <c r="H227" s="36"/>
      <c r="I227" s="37"/>
    </row>
    <row r="228" ht="22.5" customHeight="1">
      <c r="A228" s="30"/>
      <c r="B228" s="31"/>
      <c r="C228" s="32"/>
      <c r="D228" s="33"/>
      <c r="E228" s="34"/>
      <c r="F228" s="34"/>
      <c r="G228" s="35"/>
      <c r="H228" s="36"/>
      <c r="I228" s="37"/>
    </row>
    <row r="229" ht="22.5" customHeight="1">
      <c r="A229" s="30"/>
      <c r="B229" s="31"/>
      <c r="C229" s="32"/>
      <c r="D229" s="33"/>
      <c r="E229" s="34"/>
      <c r="F229" s="34"/>
      <c r="G229" s="35"/>
      <c r="H229" s="36"/>
      <c r="I229" s="37"/>
    </row>
    <row r="230" ht="22.5" customHeight="1">
      <c r="A230" s="30"/>
      <c r="B230" s="31"/>
      <c r="C230" s="32"/>
      <c r="D230" s="33"/>
      <c r="E230" s="34"/>
      <c r="F230" s="34"/>
      <c r="G230" s="35"/>
      <c r="H230" s="36"/>
      <c r="I230" s="37"/>
    </row>
    <row r="231" ht="22.5" customHeight="1">
      <c r="A231" s="30"/>
      <c r="B231" s="40"/>
      <c r="C231" s="32"/>
      <c r="D231" s="33"/>
      <c r="E231" s="34"/>
      <c r="F231" s="34"/>
      <c r="G231" s="35"/>
      <c r="H231" s="36"/>
      <c r="I231" s="37"/>
    </row>
    <row r="232" ht="22.5" customHeight="1">
      <c r="A232" s="30"/>
      <c r="B232" s="31"/>
      <c r="C232" s="32"/>
      <c r="D232" s="33"/>
      <c r="E232" s="34"/>
      <c r="F232" s="34"/>
      <c r="G232" s="35"/>
      <c r="H232" s="36"/>
      <c r="I232" s="37"/>
    </row>
    <row r="233" ht="22.5" customHeight="1">
      <c r="A233" s="30"/>
      <c r="B233" s="31"/>
      <c r="C233" s="32"/>
      <c r="D233" s="33"/>
      <c r="E233" s="34"/>
      <c r="F233" s="34"/>
      <c r="G233" s="35"/>
      <c r="H233" s="36"/>
      <c r="I233" s="37"/>
    </row>
    <row r="234" ht="22.5" customHeight="1">
      <c r="A234" s="30"/>
      <c r="B234" s="31"/>
      <c r="C234" s="32"/>
      <c r="D234" s="33"/>
      <c r="E234" s="34"/>
      <c r="F234" s="34"/>
      <c r="G234" s="35"/>
      <c r="H234" s="36"/>
      <c r="I234" s="37"/>
    </row>
    <row r="235" ht="22.5" customHeight="1">
      <c r="A235" s="30"/>
      <c r="B235" s="31"/>
      <c r="C235" s="32"/>
      <c r="D235" s="33"/>
      <c r="E235" s="34"/>
      <c r="F235" s="34"/>
      <c r="G235" s="35"/>
      <c r="H235" s="36"/>
      <c r="I235" s="37"/>
    </row>
    <row r="236" ht="22.5" customHeight="1">
      <c r="A236" s="30"/>
      <c r="B236" s="31"/>
      <c r="C236" s="32"/>
      <c r="D236" s="33"/>
      <c r="E236" s="34"/>
      <c r="F236" s="34"/>
      <c r="G236" s="35"/>
      <c r="H236" s="36"/>
      <c r="I236" s="37"/>
    </row>
    <row r="237" ht="22.5" customHeight="1">
      <c r="A237" s="30"/>
      <c r="B237" s="31"/>
      <c r="C237" s="32"/>
      <c r="D237" s="33"/>
      <c r="E237" s="34"/>
      <c r="F237" s="34"/>
      <c r="G237" s="35"/>
      <c r="H237" s="36"/>
      <c r="I237" s="37"/>
    </row>
    <row r="238" ht="22.5" customHeight="1">
      <c r="A238" s="30"/>
      <c r="B238" s="31"/>
      <c r="C238" s="32"/>
      <c r="D238" s="33"/>
      <c r="E238" s="34"/>
      <c r="F238" s="34"/>
      <c r="G238" s="35"/>
      <c r="H238" s="36"/>
      <c r="I238" s="37"/>
    </row>
    <row r="239" ht="22.5" customHeight="1">
      <c r="A239" s="30"/>
      <c r="B239" s="31"/>
      <c r="C239" s="32"/>
      <c r="D239" s="33"/>
      <c r="E239" s="34"/>
      <c r="F239" s="34"/>
      <c r="G239" s="35"/>
      <c r="H239" s="36"/>
      <c r="I239" s="37"/>
    </row>
    <row r="240" ht="22.5" customHeight="1">
      <c r="A240" s="30"/>
      <c r="B240" s="31"/>
      <c r="C240" s="32"/>
      <c r="D240" s="33"/>
      <c r="E240" s="34"/>
      <c r="F240" s="34"/>
      <c r="G240" s="35"/>
      <c r="H240" s="36"/>
      <c r="I240" s="37"/>
    </row>
    <row r="241" ht="22.5" customHeight="1">
      <c r="A241" s="30"/>
      <c r="B241" s="31"/>
      <c r="C241" s="32"/>
      <c r="D241" s="33"/>
      <c r="E241" s="34"/>
      <c r="F241" s="34"/>
      <c r="G241" s="35"/>
      <c r="H241" s="36"/>
      <c r="I241" s="37"/>
    </row>
    <row r="242" ht="22.5" customHeight="1">
      <c r="A242" s="30"/>
      <c r="B242" s="31"/>
      <c r="C242" s="32"/>
      <c r="D242" s="33"/>
      <c r="E242" s="34"/>
      <c r="F242" s="34"/>
      <c r="G242" s="35"/>
      <c r="H242" s="36"/>
      <c r="I242" s="37"/>
    </row>
    <row r="243" ht="22.5" customHeight="1">
      <c r="A243" s="30"/>
      <c r="B243" s="31"/>
      <c r="C243" s="32"/>
      <c r="D243" s="33"/>
      <c r="E243" s="34"/>
      <c r="F243" s="34"/>
      <c r="G243" s="35"/>
      <c r="H243" s="36"/>
      <c r="I243" s="37"/>
    </row>
    <row r="244" ht="22.5" customHeight="1">
      <c r="A244" s="30"/>
      <c r="B244" s="31"/>
      <c r="C244" s="32"/>
      <c r="D244" s="33"/>
      <c r="E244" s="34"/>
      <c r="F244" s="34"/>
      <c r="G244" s="35"/>
      <c r="H244" s="36"/>
      <c r="I244" s="37"/>
    </row>
    <row r="245" ht="22.5" customHeight="1">
      <c r="A245" s="30"/>
      <c r="B245" s="31"/>
      <c r="C245" s="32"/>
      <c r="D245" s="33"/>
      <c r="E245" s="34"/>
      <c r="F245" s="34"/>
      <c r="G245" s="35"/>
      <c r="H245" s="36"/>
      <c r="I245" s="37"/>
    </row>
    <row r="246" ht="22.5" customHeight="1">
      <c r="A246" s="30"/>
      <c r="B246" s="40"/>
      <c r="C246" s="32"/>
      <c r="D246" s="33"/>
      <c r="E246" s="34"/>
      <c r="F246" s="34"/>
      <c r="G246" s="35"/>
      <c r="H246" s="36"/>
      <c r="I246" s="37"/>
    </row>
    <row r="247" ht="22.5" customHeight="1">
      <c r="A247" s="30"/>
      <c r="B247" s="31"/>
      <c r="C247" s="32"/>
      <c r="D247" s="33"/>
      <c r="E247" s="34"/>
      <c r="F247" s="34"/>
      <c r="G247" s="35"/>
      <c r="H247" s="36"/>
      <c r="I247" s="37"/>
    </row>
    <row r="248" ht="22.5" customHeight="1">
      <c r="A248" s="30"/>
      <c r="B248" s="40"/>
      <c r="C248" s="32"/>
      <c r="D248" s="33"/>
      <c r="E248" s="34"/>
      <c r="F248" s="34"/>
      <c r="G248" s="35"/>
      <c r="H248" s="36"/>
      <c r="I248" s="37"/>
    </row>
    <row r="249" ht="22.5" customHeight="1">
      <c r="A249" s="30"/>
      <c r="B249" s="31"/>
      <c r="C249" s="32"/>
      <c r="D249" s="33"/>
      <c r="E249" s="34"/>
      <c r="F249" s="34"/>
      <c r="G249" s="35"/>
      <c r="H249" s="36"/>
      <c r="I249" s="37"/>
    </row>
    <row r="250" ht="22.5" customHeight="1">
      <c r="A250" s="30"/>
      <c r="B250" s="31"/>
      <c r="C250" s="32"/>
      <c r="D250" s="33"/>
      <c r="E250" s="34"/>
      <c r="F250" s="34"/>
      <c r="G250" s="35"/>
      <c r="H250" s="36"/>
      <c r="I250" s="37"/>
    </row>
    <row r="251" ht="22.5" customHeight="1">
      <c r="A251" s="30"/>
      <c r="B251" s="31"/>
      <c r="C251" s="32"/>
      <c r="D251" s="33"/>
      <c r="E251" s="34"/>
      <c r="F251" s="34"/>
      <c r="G251" s="35"/>
      <c r="H251" s="36"/>
      <c r="I251" s="37"/>
    </row>
    <row r="252" ht="22.5" customHeight="1">
      <c r="A252" s="30"/>
      <c r="B252" s="31"/>
      <c r="C252" s="32"/>
      <c r="D252" s="33"/>
      <c r="E252" s="34"/>
      <c r="F252" s="34"/>
      <c r="G252" s="35"/>
      <c r="H252" s="36"/>
      <c r="I252" s="37"/>
    </row>
    <row r="253" ht="22.5" customHeight="1">
      <c r="A253" s="30"/>
      <c r="B253" s="40"/>
      <c r="C253" s="32"/>
      <c r="D253" s="33"/>
      <c r="E253" s="34"/>
      <c r="F253" s="34"/>
      <c r="G253" s="35"/>
      <c r="H253" s="36"/>
      <c r="I253" s="37"/>
    </row>
    <row r="254" ht="22.5" customHeight="1">
      <c r="A254" s="30"/>
      <c r="B254" s="31"/>
      <c r="C254" s="32"/>
      <c r="D254" s="33"/>
      <c r="E254" s="34"/>
      <c r="F254" s="34"/>
      <c r="G254" s="35"/>
      <c r="H254" s="36"/>
      <c r="I254" s="37"/>
    </row>
    <row r="255" ht="22.5" customHeight="1">
      <c r="A255" s="30"/>
      <c r="B255" s="31"/>
      <c r="C255" s="32"/>
      <c r="D255" s="33"/>
      <c r="E255" s="34"/>
      <c r="F255" s="34"/>
      <c r="G255" s="35"/>
      <c r="H255" s="36"/>
      <c r="I255" s="37"/>
    </row>
    <row r="256" ht="22.5" customHeight="1">
      <c r="A256" s="30"/>
      <c r="B256" s="31"/>
      <c r="C256" s="32"/>
      <c r="D256" s="33"/>
      <c r="E256" s="34"/>
      <c r="F256" s="34"/>
      <c r="G256" s="35"/>
      <c r="H256" s="36"/>
      <c r="I256" s="37"/>
    </row>
    <row r="257" ht="22.5" customHeight="1">
      <c r="A257" s="30"/>
      <c r="B257" s="31"/>
      <c r="C257" s="32"/>
      <c r="D257" s="33"/>
      <c r="E257" s="34"/>
      <c r="F257" s="34"/>
      <c r="G257" s="35"/>
      <c r="H257" s="36"/>
      <c r="I257" s="37"/>
    </row>
    <row r="258" ht="22.5" customHeight="1">
      <c r="A258" s="30"/>
      <c r="B258" s="31"/>
      <c r="C258" s="32"/>
      <c r="D258" s="33"/>
      <c r="E258" s="34"/>
      <c r="F258" s="34"/>
      <c r="G258" s="35"/>
      <c r="H258" s="36"/>
      <c r="I258" s="37"/>
    </row>
    <row r="259" ht="22.5" customHeight="1">
      <c r="A259" s="30"/>
      <c r="B259" s="31"/>
      <c r="C259" s="32"/>
      <c r="D259" s="33"/>
      <c r="E259" s="34"/>
      <c r="F259" s="34"/>
      <c r="G259" s="35"/>
      <c r="H259" s="36"/>
      <c r="I259" s="37"/>
    </row>
    <row r="260" ht="22.5" customHeight="1">
      <c r="A260" s="30"/>
      <c r="B260" s="31"/>
      <c r="C260" s="32"/>
      <c r="D260" s="33"/>
      <c r="E260" s="34"/>
      <c r="F260" s="34"/>
      <c r="G260" s="35"/>
      <c r="H260" s="36"/>
      <c r="I260" s="37"/>
    </row>
    <row r="261" ht="22.5" customHeight="1">
      <c r="A261" s="30"/>
      <c r="B261" s="31"/>
      <c r="C261" s="32"/>
      <c r="D261" s="33"/>
      <c r="E261" s="34"/>
      <c r="F261" s="34"/>
      <c r="G261" s="35"/>
      <c r="H261" s="36"/>
      <c r="I261" s="37"/>
    </row>
    <row r="262" ht="22.5" customHeight="1">
      <c r="A262" s="30"/>
      <c r="B262" s="31"/>
      <c r="C262" s="32"/>
      <c r="D262" s="33"/>
      <c r="E262" s="34"/>
      <c r="F262" s="34"/>
      <c r="G262" s="35"/>
      <c r="H262" s="36"/>
      <c r="I262" s="37"/>
    </row>
    <row r="263" ht="22.5" customHeight="1">
      <c r="A263" s="30"/>
      <c r="B263" s="31"/>
      <c r="C263" s="32"/>
      <c r="D263" s="33"/>
      <c r="E263" s="34"/>
      <c r="F263" s="34"/>
      <c r="G263" s="35"/>
      <c r="H263" s="36"/>
      <c r="I263" s="37"/>
    </row>
    <row r="264" ht="22.5" customHeight="1">
      <c r="A264" s="30"/>
      <c r="B264" s="31"/>
      <c r="C264" s="32"/>
      <c r="D264" s="33"/>
      <c r="E264" s="34"/>
      <c r="F264" s="34"/>
      <c r="G264" s="35"/>
      <c r="H264" s="36"/>
      <c r="I264" s="37"/>
    </row>
    <row r="265" ht="22.5" customHeight="1">
      <c r="A265" s="30"/>
      <c r="B265" s="31"/>
      <c r="C265" s="32"/>
      <c r="D265" s="33"/>
      <c r="E265" s="34"/>
      <c r="F265" s="34"/>
      <c r="G265" s="35"/>
      <c r="H265" s="36"/>
      <c r="I265" s="37"/>
    </row>
    <row r="266" ht="22.5" customHeight="1">
      <c r="A266" s="30"/>
      <c r="B266" s="31"/>
      <c r="C266" s="32"/>
      <c r="D266" s="33"/>
      <c r="E266" s="34"/>
      <c r="F266" s="34"/>
      <c r="G266" s="35"/>
      <c r="H266" s="36"/>
      <c r="I266" s="37"/>
    </row>
    <row r="267" ht="22.5" customHeight="1">
      <c r="A267" s="30"/>
      <c r="B267" s="31"/>
      <c r="C267" s="32"/>
      <c r="D267" s="33"/>
      <c r="E267" s="34"/>
      <c r="F267" s="34"/>
      <c r="G267" s="35"/>
      <c r="H267" s="36"/>
      <c r="I267" s="37"/>
    </row>
    <row r="268" ht="22.5" customHeight="1">
      <c r="A268" s="30"/>
      <c r="B268" s="31"/>
      <c r="C268" s="32"/>
      <c r="D268" s="33"/>
      <c r="E268" s="34"/>
      <c r="F268" s="34"/>
      <c r="G268" s="35"/>
      <c r="H268" s="36"/>
      <c r="I268" s="37"/>
    </row>
    <row r="269" ht="22.5" customHeight="1">
      <c r="A269" s="30"/>
      <c r="B269" s="31"/>
      <c r="C269" s="32"/>
      <c r="D269" s="33"/>
      <c r="E269" s="34"/>
      <c r="F269" s="34"/>
      <c r="G269" s="35"/>
      <c r="H269" s="36"/>
      <c r="I269" s="37"/>
    </row>
    <row r="270" ht="22.5" customHeight="1">
      <c r="A270" s="30"/>
      <c r="B270" s="31"/>
      <c r="C270" s="32"/>
      <c r="D270" s="33"/>
      <c r="E270" s="34"/>
      <c r="F270" s="34"/>
      <c r="G270" s="35"/>
      <c r="H270" s="36"/>
      <c r="I270" s="37"/>
    </row>
    <row r="271" ht="22.5" customHeight="1">
      <c r="A271" s="30"/>
      <c r="B271" s="31"/>
      <c r="C271" s="32"/>
      <c r="D271" s="33"/>
      <c r="E271" s="34"/>
      <c r="F271" s="34"/>
      <c r="G271" s="35"/>
      <c r="H271" s="36"/>
      <c r="I271" s="37"/>
    </row>
    <row r="272" ht="22.5" customHeight="1">
      <c r="A272" s="30"/>
      <c r="B272" s="31"/>
      <c r="C272" s="32"/>
      <c r="D272" s="33"/>
      <c r="E272" s="34"/>
      <c r="F272" s="34"/>
      <c r="G272" s="35"/>
      <c r="H272" s="36"/>
      <c r="I272" s="37"/>
    </row>
    <row r="273" ht="22.5" customHeight="1">
      <c r="A273" s="30"/>
      <c r="B273" s="31"/>
      <c r="C273" s="32"/>
      <c r="D273" s="33"/>
      <c r="E273" s="34"/>
      <c r="F273" s="34"/>
      <c r="G273" s="35"/>
      <c r="H273" s="36"/>
      <c r="I273" s="37"/>
    </row>
    <row r="274" ht="22.5" customHeight="1">
      <c r="A274" s="30"/>
      <c r="B274" s="31"/>
      <c r="C274" s="32"/>
      <c r="D274" s="33"/>
      <c r="E274" s="34"/>
      <c r="F274" s="34"/>
      <c r="G274" s="35"/>
      <c r="H274" s="36"/>
      <c r="I274" s="37"/>
    </row>
    <row r="275" ht="22.5" customHeight="1">
      <c r="A275" s="30"/>
      <c r="B275" s="40"/>
      <c r="C275" s="32"/>
      <c r="D275" s="33"/>
      <c r="E275" s="34"/>
      <c r="F275" s="34"/>
      <c r="G275" s="35"/>
      <c r="H275" s="36"/>
      <c r="I275" s="37"/>
    </row>
    <row r="276" ht="22.5" customHeight="1">
      <c r="A276" s="30"/>
      <c r="B276" s="31"/>
      <c r="C276" s="32"/>
      <c r="D276" s="33"/>
      <c r="E276" s="34"/>
      <c r="F276" s="34"/>
      <c r="G276" s="35"/>
      <c r="H276" s="36"/>
      <c r="I276" s="37"/>
    </row>
    <row r="277" ht="22.5" customHeight="1">
      <c r="A277" s="30"/>
      <c r="B277" s="31"/>
      <c r="C277" s="32"/>
      <c r="D277" s="33"/>
      <c r="E277" s="34"/>
      <c r="F277" s="34"/>
      <c r="G277" s="35"/>
      <c r="H277" s="36"/>
      <c r="I277" s="37"/>
    </row>
    <row r="278" ht="22.5" customHeight="1">
      <c r="A278" s="30"/>
      <c r="B278" s="31"/>
      <c r="C278" s="32"/>
      <c r="D278" s="33"/>
      <c r="E278" s="34"/>
      <c r="F278" s="34"/>
      <c r="G278" s="35"/>
      <c r="H278" s="36"/>
      <c r="I278" s="37"/>
    </row>
    <row r="279" ht="22.5" customHeight="1">
      <c r="A279" s="30"/>
      <c r="B279" s="31"/>
      <c r="C279" s="32"/>
      <c r="D279" s="33"/>
      <c r="E279" s="34"/>
      <c r="F279" s="34"/>
      <c r="G279" s="35"/>
      <c r="H279" s="36"/>
      <c r="I279" s="38"/>
    </row>
    <row r="280" ht="22.5" customHeight="1">
      <c r="A280" s="30"/>
      <c r="B280" s="39"/>
      <c r="C280" s="32"/>
      <c r="D280" s="33"/>
      <c r="E280" s="34"/>
      <c r="F280" s="34"/>
      <c r="G280" s="35"/>
      <c r="H280" s="36"/>
      <c r="I280" s="37"/>
    </row>
    <row r="281" ht="22.5" customHeight="1">
      <c r="A281" s="30"/>
      <c r="B281" s="31"/>
      <c r="C281" s="32"/>
      <c r="D281" s="33"/>
      <c r="E281" s="34"/>
      <c r="F281" s="34"/>
      <c r="G281" s="35"/>
      <c r="H281" s="36"/>
      <c r="I281" s="37"/>
    </row>
    <row r="282" ht="22.5" customHeight="1">
      <c r="A282" s="30"/>
      <c r="B282" s="31"/>
      <c r="C282" s="32"/>
      <c r="D282" s="33"/>
      <c r="E282" s="34"/>
      <c r="F282" s="34"/>
      <c r="G282" s="35"/>
      <c r="H282" s="36"/>
      <c r="I282" s="37"/>
    </row>
    <row r="283" ht="22.5" customHeight="1">
      <c r="A283" s="30"/>
      <c r="B283" s="31"/>
      <c r="C283" s="32"/>
      <c r="D283" s="33"/>
      <c r="E283" s="34"/>
      <c r="F283" s="34"/>
      <c r="G283" s="35"/>
      <c r="H283" s="36"/>
      <c r="I283" s="37"/>
    </row>
    <row r="284" ht="22.5" customHeight="1">
      <c r="A284" s="30"/>
      <c r="B284" s="39"/>
      <c r="C284" s="32"/>
      <c r="D284" s="33"/>
      <c r="E284" s="34"/>
      <c r="F284" s="34"/>
      <c r="G284" s="35"/>
      <c r="H284" s="36"/>
      <c r="I284" s="37"/>
    </row>
    <row r="285" ht="22.5" customHeight="1">
      <c r="A285" s="30"/>
      <c r="B285" s="31"/>
      <c r="C285" s="32"/>
      <c r="D285" s="33"/>
      <c r="E285" s="34"/>
      <c r="F285" s="34"/>
      <c r="G285" s="35"/>
      <c r="H285" s="36"/>
      <c r="I285" s="37"/>
    </row>
    <row r="286" ht="22.5" customHeight="1">
      <c r="A286" s="30"/>
      <c r="B286" s="39"/>
      <c r="C286" s="32"/>
      <c r="D286" s="33"/>
      <c r="E286" s="34"/>
      <c r="F286" s="34"/>
      <c r="G286" s="35"/>
      <c r="H286" s="36"/>
      <c r="I286" s="37"/>
    </row>
    <row r="287" ht="22.5" customHeight="1">
      <c r="A287" s="30"/>
      <c r="B287" s="31"/>
      <c r="C287" s="32"/>
      <c r="D287" s="33"/>
      <c r="E287" s="34"/>
      <c r="F287" s="34"/>
      <c r="G287" s="35"/>
      <c r="H287" s="36"/>
      <c r="I287" s="37"/>
    </row>
    <row r="288" ht="22.5" customHeight="1">
      <c r="A288" s="30"/>
      <c r="B288" s="31"/>
      <c r="C288" s="32"/>
      <c r="D288" s="33"/>
      <c r="E288" s="34"/>
      <c r="F288" s="34"/>
      <c r="G288" s="35"/>
      <c r="H288" s="36"/>
      <c r="I288" s="37"/>
    </row>
    <row r="289" ht="22.5" customHeight="1">
      <c r="A289" s="30"/>
      <c r="B289" s="31"/>
      <c r="C289" s="32"/>
      <c r="D289" s="33"/>
      <c r="E289" s="34"/>
      <c r="F289" s="34"/>
      <c r="G289" s="35"/>
      <c r="H289" s="36"/>
      <c r="I289" s="37"/>
    </row>
    <row r="290" ht="22.5" customHeight="1">
      <c r="A290" s="30"/>
      <c r="B290" s="31"/>
      <c r="C290" s="32"/>
      <c r="D290" s="33"/>
      <c r="E290" s="34"/>
      <c r="F290" s="34"/>
      <c r="G290" s="35"/>
      <c r="H290" s="36"/>
      <c r="I290" s="37"/>
    </row>
    <row r="291" ht="22.5" customHeight="1">
      <c r="A291" s="30"/>
      <c r="B291" s="31"/>
      <c r="C291" s="32"/>
      <c r="D291" s="33"/>
      <c r="E291" s="34"/>
      <c r="F291" s="34"/>
      <c r="G291" s="35"/>
      <c r="H291" s="36"/>
      <c r="I291" s="37"/>
    </row>
    <row r="292" ht="22.5" customHeight="1">
      <c r="A292" s="30"/>
      <c r="B292" s="31"/>
      <c r="C292" s="32"/>
      <c r="D292" s="33"/>
      <c r="E292" s="34"/>
      <c r="F292" s="34"/>
      <c r="G292" s="35"/>
      <c r="H292" s="36"/>
      <c r="I292" s="37"/>
    </row>
    <row r="293" ht="22.5" customHeight="1">
      <c r="A293" s="30"/>
      <c r="B293" s="31"/>
      <c r="C293" s="32"/>
      <c r="D293" s="33"/>
      <c r="E293" s="34"/>
      <c r="F293" s="34"/>
      <c r="G293" s="35"/>
      <c r="H293" s="36"/>
      <c r="I293" s="37"/>
    </row>
    <row r="294" ht="22.5" customHeight="1">
      <c r="A294" s="30"/>
      <c r="B294" s="31"/>
      <c r="C294" s="32"/>
      <c r="D294" s="33"/>
      <c r="E294" s="34"/>
      <c r="F294" s="34"/>
      <c r="G294" s="35"/>
      <c r="H294" s="36"/>
      <c r="I294" s="37"/>
    </row>
    <row r="295" ht="22.5" customHeight="1">
      <c r="A295" s="30"/>
      <c r="B295" s="31"/>
      <c r="C295" s="32"/>
      <c r="D295" s="33"/>
      <c r="E295" s="34"/>
      <c r="F295" s="34"/>
      <c r="G295" s="35"/>
      <c r="H295" s="36"/>
      <c r="I295" s="37"/>
    </row>
    <row r="296" ht="22.5" customHeight="1">
      <c r="A296" s="30"/>
      <c r="B296" s="31"/>
      <c r="C296" s="32"/>
      <c r="D296" s="33"/>
      <c r="E296" s="34"/>
      <c r="F296" s="34"/>
      <c r="G296" s="35"/>
      <c r="H296" s="36"/>
      <c r="I296" s="37"/>
    </row>
    <row r="297" ht="22.5" customHeight="1">
      <c r="A297" s="30"/>
      <c r="B297" s="40"/>
      <c r="C297" s="32"/>
      <c r="D297" s="33"/>
      <c r="E297" s="34"/>
      <c r="F297" s="34"/>
      <c r="G297" s="35"/>
      <c r="H297" s="36"/>
      <c r="I297" s="37"/>
    </row>
    <row r="298" ht="22.5" customHeight="1">
      <c r="A298" s="30"/>
      <c r="B298" s="31"/>
      <c r="C298" s="32"/>
      <c r="D298" s="33"/>
      <c r="E298" s="34"/>
      <c r="F298" s="34"/>
      <c r="G298" s="35"/>
      <c r="H298" s="36"/>
      <c r="I298" s="37"/>
    </row>
    <row r="299" ht="22.5" customHeight="1">
      <c r="A299" s="30"/>
      <c r="B299" s="31"/>
      <c r="C299" s="32"/>
      <c r="D299" s="33"/>
      <c r="E299" s="34"/>
      <c r="F299" s="34"/>
      <c r="G299" s="35"/>
      <c r="H299" s="36"/>
      <c r="I299" s="37"/>
    </row>
    <row r="300" ht="22.5" customHeight="1">
      <c r="A300" s="30"/>
      <c r="B300" s="31"/>
      <c r="C300" s="32"/>
      <c r="D300" s="33"/>
      <c r="E300" s="34"/>
      <c r="F300" s="34"/>
      <c r="G300" s="35"/>
      <c r="H300" s="36"/>
      <c r="I300" s="37"/>
    </row>
    <row r="301" ht="22.5" customHeight="1">
      <c r="A301" s="30"/>
      <c r="B301" s="31"/>
      <c r="C301" s="32"/>
      <c r="D301" s="33"/>
      <c r="E301" s="34"/>
      <c r="F301" s="34"/>
      <c r="G301" s="35"/>
      <c r="H301" s="36"/>
      <c r="I301" s="37"/>
    </row>
    <row r="302" ht="22.5" customHeight="1">
      <c r="A302" s="30"/>
      <c r="B302" s="31"/>
      <c r="C302" s="32"/>
      <c r="D302" s="33"/>
      <c r="E302" s="34"/>
      <c r="F302" s="34"/>
      <c r="G302" s="35"/>
      <c r="H302" s="36"/>
      <c r="I302" s="37"/>
    </row>
    <row r="303" ht="22.5" customHeight="1">
      <c r="A303" s="30"/>
      <c r="B303" s="31"/>
      <c r="C303" s="32"/>
      <c r="D303" s="33"/>
      <c r="E303" s="34"/>
      <c r="F303" s="34"/>
      <c r="G303" s="35"/>
      <c r="H303" s="36"/>
      <c r="I303" s="37"/>
    </row>
    <row r="304" ht="22.5" customHeight="1">
      <c r="A304" s="30"/>
      <c r="B304" s="39"/>
      <c r="C304" s="32"/>
      <c r="D304" s="33"/>
      <c r="E304" s="34"/>
      <c r="F304" s="34"/>
      <c r="G304" s="35"/>
      <c r="H304" s="36"/>
      <c r="I304" s="37"/>
    </row>
    <row r="305" ht="22.5" customHeight="1">
      <c r="A305" s="30"/>
      <c r="B305" s="39"/>
      <c r="C305" s="32"/>
      <c r="D305" s="33"/>
      <c r="E305" s="34"/>
      <c r="F305" s="34"/>
      <c r="G305" s="35"/>
      <c r="H305" s="36"/>
      <c r="I305" s="37"/>
    </row>
    <row r="306" ht="22.5" customHeight="1">
      <c r="A306" s="30"/>
      <c r="B306" s="39"/>
      <c r="C306" s="32"/>
      <c r="D306" s="33"/>
      <c r="E306" s="34"/>
      <c r="F306" s="34"/>
      <c r="G306" s="35"/>
      <c r="H306" s="36"/>
      <c r="I306" s="37"/>
    </row>
    <row r="307" ht="22.5" customHeight="1">
      <c r="A307" s="30"/>
      <c r="B307" s="40"/>
      <c r="C307" s="32"/>
      <c r="D307" s="33"/>
      <c r="E307" s="34"/>
      <c r="F307" s="34"/>
      <c r="G307" s="35"/>
      <c r="H307" s="36"/>
      <c r="I307" s="37"/>
    </row>
    <row r="308" ht="22.5" customHeight="1">
      <c r="A308" s="30"/>
      <c r="B308" s="31"/>
      <c r="C308" s="32"/>
      <c r="D308" s="33"/>
      <c r="E308" s="34"/>
      <c r="F308" s="34"/>
      <c r="G308" s="35"/>
      <c r="H308" s="36"/>
      <c r="I308" s="37"/>
    </row>
    <row r="309" ht="22.5" customHeight="1">
      <c r="A309" s="30"/>
      <c r="B309" s="31"/>
      <c r="C309" s="32"/>
      <c r="D309" s="33"/>
      <c r="E309" s="34"/>
      <c r="F309" s="34"/>
      <c r="G309" s="35"/>
      <c r="H309" s="36"/>
      <c r="I309" s="37"/>
    </row>
    <row r="310" ht="22.5" customHeight="1">
      <c r="A310" s="30"/>
      <c r="B310" s="31"/>
      <c r="C310" s="32"/>
      <c r="D310" s="33"/>
      <c r="E310" s="34"/>
      <c r="F310" s="34"/>
      <c r="G310" s="35"/>
      <c r="H310" s="36"/>
      <c r="I310" s="37"/>
    </row>
    <row r="311" ht="22.5" customHeight="1">
      <c r="A311" s="30"/>
      <c r="B311" s="31"/>
      <c r="C311" s="32"/>
      <c r="D311" s="33"/>
      <c r="E311" s="34"/>
      <c r="F311" s="34"/>
      <c r="G311" s="35"/>
      <c r="H311" s="36"/>
      <c r="I311" s="37"/>
    </row>
    <row r="312" ht="22.5" customHeight="1">
      <c r="A312" s="30"/>
      <c r="B312" s="31"/>
      <c r="C312" s="32"/>
      <c r="D312" s="33"/>
      <c r="E312" s="34"/>
      <c r="F312" s="34"/>
      <c r="G312" s="35"/>
      <c r="H312" s="36"/>
      <c r="I312" s="37"/>
    </row>
    <row r="313" ht="22.5" customHeight="1">
      <c r="A313" s="30"/>
      <c r="B313" s="31"/>
      <c r="C313" s="32"/>
      <c r="D313" s="33"/>
      <c r="E313" s="34"/>
      <c r="F313" s="34"/>
      <c r="G313" s="35"/>
      <c r="H313" s="36"/>
      <c r="I313" s="37"/>
    </row>
    <row r="314" ht="22.5" customHeight="1">
      <c r="A314" s="30"/>
      <c r="B314" s="31"/>
      <c r="C314" s="32"/>
      <c r="D314" s="33"/>
      <c r="E314" s="34"/>
      <c r="F314" s="34"/>
      <c r="G314" s="35"/>
      <c r="H314" s="36"/>
      <c r="I314" s="37"/>
    </row>
    <row r="315" ht="22.5" customHeight="1">
      <c r="A315" s="30"/>
      <c r="B315" s="31"/>
      <c r="C315" s="32"/>
      <c r="D315" s="33"/>
      <c r="E315" s="34"/>
      <c r="F315" s="34"/>
      <c r="G315" s="35"/>
      <c r="H315" s="36"/>
      <c r="I315" s="37"/>
    </row>
    <row r="316" ht="22.5" customHeight="1">
      <c r="A316" s="30"/>
      <c r="B316" s="31"/>
      <c r="C316" s="32"/>
      <c r="D316" s="33"/>
      <c r="E316" s="34"/>
      <c r="F316" s="34"/>
      <c r="G316" s="35"/>
      <c r="H316" s="36"/>
      <c r="I316" s="37"/>
    </row>
    <row r="317" ht="22.5" customHeight="1">
      <c r="A317" s="30"/>
      <c r="B317" s="40"/>
      <c r="C317" s="32"/>
      <c r="D317" s="33"/>
      <c r="E317" s="34"/>
      <c r="F317" s="34"/>
      <c r="G317" s="35"/>
      <c r="H317" s="36"/>
      <c r="I317" s="37"/>
    </row>
    <row r="318" ht="22.5" customHeight="1">
      <c r="A318" s="30"/>
      <c r="B318" s="31"/>
      <c r="C318" s="32"/>
      <c r="D318" s="33"/>
      <c r="E318" s="34"/>
      <c r="F318" s="34"/>
      <c r="G318" s="35"/>
      <c r="H318" s="36"/>
      <c r="I318" s="37"/>
    </row>
    <row r="319" ht="22.5" customHeight="1">
      <c r="A319" s="30"/>
      <c r="B319" s="31"/>
      <c r="C319" s="32"/>
      <c r="D319" s="33"/>
      <c r="E319" s="34"/>
      <c r="F319" s="34"/>
      <c r="G319" s="35"/>
      <c r="H319" s="36"/>
      <c r="I319" s="37"/>
    </row>
    <row r="320" ht="22.5" customHeight="1">
      <c r="A320" s="30"/>
      <c r="B320" s="31"/>
      <c r="C320" s="32"/>
      <c r="D320" s="33"/>
      <c r="E320" s="34"/>
      <c r="F320" s="34"/>
      <c r="G320" s="35"/>
      <c r="H320" s="36"/>
      <c r="I320" s="37"/>
    </row>
    <row r="321" ht="22.5" customHeight="1">
      <c r="A321" s="30"/>
      <c r="B321" s="40"/>
      <c r="C321" s="32"/>
      <c r="D321" s="33"/>
      <c r="E321" s="34"/>
      <c r="F321" s="34"/>
      <c r="G321" s="35"/>
      <c r="H321" s="36"/>
      <c r="I321" s="37"/>
    </row>
    <row r="322" ht="22.5" customHeight="1">
      <c r="A322" s="30"/>
      <c r="B322" s="31"/>
      <c r="C322" s="32"/>
      <c r="D322" s="33"/>
      <c r="E322" s="34"/>
      <c r="F322" s="34"/>
      <c r="G322" s="35"/>
      <c r="H322" s="36"/>
      <c r="I322" s="37"/>
    </row>
    <row r="323" ht="22.5" customHeight="1">
      <c r="A323" s="30"/>
      <c r="B323" s="31"/>
      <c r="C323" s="32"/>
      <c r="D323" s="33"/>
      <c r="E323" s="34"/>
      <c r="F323" s="34"/>
      <c r="G323" s="35"/>
      <c r="H323" s="36"/>
      <c r="I323" s="37"/>
    </row>
    <row r="324" ht="22.5" customHeight="1">
      <c r="A324" s="30"/>
      <c r="B324" s="31"/>
      <c r="C324" s="32"/>
      <c r="D324" s="33"/>
      <c r="E324" s="34"/>
      <c r="F324" s="34"/>
      <c r="G324" s="35"/>
      <c r="H324" s="36"/>
      <c r="I324" s="37"/>
    </row>
    <row r="325" ht="22.5" customHeight="1">
      <c r="A325" s="30"/>
      <c r="B325" s="31"/>
      <c r="C325" s="32"/>
      <c r="D325" s="33"/>
      <c r="E325" s="34"/>
      <c r="F325" s="34"/>
      <c r="G325" s="35"/>
      <c r="H325" s="36"/>
      <c r="I325" s="37"/>
    </row>
    <row r="326" ht="22.5" customHeight="1">
      <c r="A326" s="30"/>
      <c r="B326" s="31"/>
      <c r="C326" s="32"/>
      <c r="D326" s="33"/>
      <c r="E326" s="34"/>
      <c r="F326" s="34"/>
      <c r="G326" s="35"/>
      <c r="H326" s="36"/>
      <c r="I326" s="37"/>
    </row>
    <row r="327" ht="22.5" customHeight="1">
      <c r="A327" s="30"/>
      <c r="B327" s="31"/>
      <c r="C327" s="32"/>
      <c r="D327" s="33"/>
      <c r="E327" s="34"/>
      <c r="F327" s="34"/>
      <c r="G327" s="35"/>
      <c r="H327" s="36"/>
      <c r="I327" s="37"/>
    </row>
    <row r="328" ht="22.5" customHeight="1">
      <c r="A328" s="30"/>
      <c r="B328" s="31"/>
      <c r="C328" s="32"/>
      <c r="D328" s="33"/>
      <c r="E328" s="34"/>
      <c r="F328" s="34"/>
      <c r="G328" s="35"/>
      <c r="H328" s="36"/>
      <c r="I328" s="37"/>
    </row>
    <row r="329" ht="22.5" customHeight="1">
      <c r="A329" s="30"/>
      <c r="B329" s="31"/>
      <c r="C329" s="32"/>
      <c r="D329" s="33"/>
      <c r="E329" s="34"/>
      <c r="F329" s="34"/>
      <c r="G329" s="35"/>
      <c r="H329" s="36"/>
      <c r="I329" s="37"/>
    </row>
    <row r="330" ht="22.5" customHeight="1">
      <c r="A330" s="30"/>
      <c r="B330" s="31"/>
      <c r="C330" s="32"/>
      <c r="D330" s="33"/>
      <c r="E330" s="34"/>
      <c r="F330" s="34"/>
      <c r="G330" s="35"/>
      <c r="H330" s="36"/>
      <c r="I330" s="37"/>
    </row>
    <row r="331" ht="22.5" customHeight="1">
      <c r="A331" s="30"/>
      <c r="B331" s="31"/>
      <c r="C331" s="32"/>
      <c r="D331" s="33"/>
      <c r="E331" s="34"/>
      <c r="F331" s="34"/>
      <c r="G331" s="35"/>
      <c r="H331" s="36"/>
      <c r="I331" s="37"/>
    </row>
    <row r="332" ht="22.5" customHeight="1">
      <c r="A332" s="30"/>
      <c r="B332" s="31"/>
      <c r="C332" s="32"/>
      <c r="D332" s="33"/>
      <c r="E332" s="34"/>
      <c r="F332" s="34"/>
      <c r="G332" s="35"/>
      <c r="H332" s="36"/>
      <c r="I332" s="37"/>
    </row>
    <row r="333" ht="22.5" customHeight="1">
      <c r="A333" s="30"/>
      <c r="B333" s="31"/>
      <c r="C333" s="32"/>
      <c r="D333" s="33"/>
      <c r="E333" s="34"/>
      <c r="F333" s="34"/>
      <c r="G333" s="35"/>
      <c r="H333" s="36"/>
      <c r="I333" s="37"/>
    </row>
    <row r="334" ht="22.5" customHeight="1">
      <c r="A334" s="30"/>
      <c r="B334" s="31"/>
      <c r="C334" s="32"/>
      <c r="D334" s="33"/>
      <c r="E334" s="34"/>
      <c r="F334" s="34"/>
      <c r="G334" s="35"/>
      <c r="H334" s="36"/>
      <c r="I334" s="37"/>
    </row>
    <row r="335" ht="22.5" customHeight="1">
      <c r="A335" s="30"/>
      <c r="B335" s="31"/>
      <c r="C335" s="32"/>
      <c r="D335" s="33"/>
      <c r="E335" s="34"/>
      <c r="F335" s="34"/>
      <c r="G335" s="35"/>
      <c r="H335" s="36"/>
      <c r="I335" s="37"/>
    </row>
    <row r="336" ht="22.5" customHeight="1">
      <c r="A336" s="30"/>
      <c r="B336" s="40"/>
      <c r="C336" s="32"/>
      <c r="D336" s="33"/>
      <c r="E336" s="34"/>
      <c r="F336" s="34"/>
      <c r="G336" s="35"/>
      <c r="H336" s="36"/>
      <c r="I336" s="37"/>
    </row>
    <row r="337" ht="22.5" customHeight="1">
      <c r="A337" s="30"/>
      <c r="B337" s="31"/>
      <c r="C337" s="32"/>
      <c r="D337" s="33"/>
      <c r="E337" s="34"/>
      <c r="F337" s="34"/>
      <c r="G337" s="35"/>
      <c r="H337" s="36"/>
      <c r="I337" s="37"/>
    </row>
    <row r="338" ht="22.5" customHeight="1">
      <c r="A338" s="30"/>
      <c r="B338" s="40"/>
      <c r="C338" s="32"/>
      <c r="D338" s="33"/>
      <c r="E338" s="34"/>
      <c r="F338" s="34"/>
      <c r="G338" s="35"/>
      <c r="H338" s="36"/>
      <c r="I338" s="37"/>
    </row>
    <row r="339" ht="22.5" customHeight="1">
      <c r="A339" s="30"/>
      <c r="B339" s="31"/>
      <c r="C339" s="32"/>
      <c r="D339" s="33"/>
      <c r="E339" s="34"/>
      <c r="F339" s="34"/>
      <c r="G339" s="35"/>
      <c r="H339" s="36"/>
      <c r="I339" s="37"/>
    </row>
    <row r="340" ht="22.5" customHeight="1">
      <c r="A340" s="30"/>
      <c r="B340" s="31"/>
      <c r="C340" s="32"/>
      <c r="D340" s="33"/>
      <c r="E340" s="34"/>
      <c r="F340" s="34"/>
      <c r="G340" s="35"/>
      <c r="H340" s="36"/>
      <c r="I340" s="37"/>
    </row>
    <row r="341" ht="22.5" customHeight="1">
      <c r="A341" s="30"/>
      <c r="B341" s="31"/>
      <c r="C341" s="32"/>
      <c r="D341" s="33"/>
      <c r="E341" s="34"/>
      <c r="F341" s="34"/>
      <c r="G341" s="35"/>
      <c r="H341" s="36"/>
      <c r="I341" s="37"/>
    </row>
    <row r="342" ht="22.5" customHeight="1">
      <c r="A342" s="30"/>
      <c r="B342" s="31"/>
      <c r="C342" s="32"/>
      <c r="D342" s="33"/>
      <c r="E342" s="34"/>
      <c r="F342" s="34"/>
      <c r="G342" s="35"/>
      <c r="H342" s="36"/>
      <c r="I342" s="37"/>
    </row>
    <row r="343" ht="22.5" customHeight="1">
      <c r="A343" s="30"/>
      <c r="B343" s="40"/>
      <c r="C343" s="32"/>
      <c r="D343" s="33"/>
      <c r="E343" s="34"/>
      <c r="F343" s="34"/>
      <c r="G343" s="35"/>
      <c r="H343" s="36"/>
      <c r="I343" s="37"/>
    </row>
    <row r="344" ht="22.5" customHeight="1">
      <c r="A344" s="30"/>
      <c r="B344" s="31"/>
      <c r="C344" s="32"/>
      <c r="D344" s="33"/>
      <c r="E344" s="34"/>
      <c r="F344" s="34"/>
      <c r="G344" s="35"/>
      <c r="H344" s="36"/>
      <c r="I344" s="37"/>
    </row>
    <row r="345" ht="22.5" customHeight="1">
      <c r="A345" s="30"/>
      <c r="B345" s="31"/>
      <c r="C345" s="32"/>
      <c r="D345" s="33"/>
      <c r="E345" s="34"/>
      <c r="F345" s="34"/>
      <c r="G345" s="35"/>
      <c r="H345" s="36"/>
      <c r="I345" s="37"/>
    </row>
    <row r="346" ht="22.5" customHeight="1">
      <c r="A346" s="30"/>
      <c r="B346" s="31"/>
      <c r="C346" s="32"/>
      <c r="D346" s="33"/>
      <c r="E346" s="34"/>
      <c r="F346" s="34"/>
      <c r="G346" s="35"/>
      <c r="H346" s="36"/>
      <c r="I346" s="37"/>
    </row>
    <row r="347" ht="22.5" customHeight="1">
      <c r="A347" s="30"/>
      <c r="B347" s="31"/>
      <c r="C347" s="32"/>
      <c r="D347" s="33"/>
      <c r="E347" s="34"/>
      <c r="F347" s="34"/>
      <c r="G347" s="35"/>
      <c r="H347" s="36"/>
      <c r="I347" s="37"/>
    </row>
    <row r="348" ht="22.5" customHeight="1">
      <c r="A348" s="30"/>
      <c r="B348" s="31"/>
      <c r="C348" s="32"/>
      <c r="D348" s="33"/>
      <c r="E348" s="34"/>
      <c r="F348" s="34"/>
      <c r="G348" s="35"/>
      <c r="H348" s="36"/>
      <c r="I348" s="37"/>
    </row>
    <row r="349" ht="22.5" customHeight="1">
      <c r="A349" s="30"/>
      <c r="B349" s="31"/>
      <c r="C349" s="32"/>
      <c r="D349" s="33"/>
      <c r="E349" s="34"/>
      <c r="F349" s="34"/>
      <c r="G349" s="35"/>
      <c r="H349" s="36"/>
      <c r="I349" s="37"/>
    </row>
    <row r="350" ht="22.5" customHeight="1">
      <c r="A350" s="30"/>
      <c r="B350" s="31"/>
      <c r="C350" s="32"/>
      <c r="D350" s="33"/>
      <c r="E350" s="34"/>
      <c r="F350" s="34"/>
      <c r="G350" s="35"/>
      <c r="H350" s="36"/>
      <c r="I350" s="37"/>
    </row>
    <row r="351" ht="22.5" customHeight="1">
      <c r="A351" s="30"/>
      <c r="B351" s="31"/>
      <c r="C351" s="32"/>
      <c r="D351" s="33"/>
      <c r="E351" s="34"/>
      <c r="F351" s="34"/>
      <c r="G351" s="35"/>
      <c r="H351" s="36"/>
      <c r="I351" s="37"/>
    </row>
    <row r="352" ht="22.5" customHeight="1">
      <c r="A352" s="30"/>
      <c r="B352" s="31"/>
      <c r="C352" s="32"/>
      <c r="D352" s="33"/>
      <c r="E352" s="34"/>
      <c r="F352" s="34"/>
      <c r="G352" s="35"/>
      <c r="H352" s="36"/>
      <c r="I352" s="37"/>
    </row>
    <row r="353" ht="22.5" customHeight="1">
      <c r="A353" s="30"/>
      <c r="B353" s="31"/>
      <c r="C353" s="32"/>
      <c r="D353" s="33"/>
      <c r="E353" s="34"/>
      <c r="F353" s="34"/>
      <c r="G353" s="35"/>
      <c r="H353" s="36"/>
      <c r="I353" s="37"/>
    </row>
    <row r="354" ht="22.5" customHeight="1">
      <c r="A354" s="30"/>
      <c r="B354" s="31"/>
      <c r="C354" s="32"/>
      <c r="D354" s="33"/>
      <c r="E354" s="34"/>
      <c r="F354" s="34"/>
      <c r="G354" s="35"/>
      <c r="H354" s="36"/>
      <c r="I354" s="37"/>
    </row>
    <row r="355" ht="22.5" customHeight="1">
      <c r="A355" s="30"/>
      <c r="B355" s="31"/>
      <c r="C355" s="32"/>
      <c r="D355" s="33"/>
      <c r="E355" s="34"/>
      <c r="F355" s="34"/>
      <c r="G355" s="35"/>
      <c r="H355" s="36"/>
      <c r="I355" s="37"/>
    </row>
    <row r="356" ht="22.5" customHeight="1">
      <c r="A356" s="30"/>
      <c r="B356" s="31"/>
      <c r="C356" s="32"/>
      <c r="D356" s="33"/>
      <c r="E356" s="34"/>
      <c r="F356" s="34"/>
      <c r="G356" s="35"/>
      <c r="H356" s="36"/>
      <c r="I356" s="37"/>
    </row>
    <row r="357" ht="22.5" customHeight="1">
      <c r="A357" s="30"/>
      <c r="B357" s="31"/>
      <c r="C357" s="32"/>
      <c r="D357" s="33"/>
      <c r="E357" s="34"/>
      <c r="F357" s="34"/>
      <c r="G357" s="35"/>
      <c r="H357" s="36"/>
      <c r="I357" s="37"/>
    </row>
    <row r="358" ht="22.5" customHeight="1">
      <c r="A358" s="30"/>
      <c r="B358" s="31"/>
      <c r="C358" s="32"/>
      <c r="D358" s="33"/>
      <c r="E358" s="34"/>
      <c r="F358" s="34"/>
      <c r="G358" s="35"/>
      <c r="H358" s="36"/>
      <c r="I358" s="37"/>
    </row>
    <row r="359" ht="22.5" customHeight="1">
      <c r="A359" s="30"/>
      <c r="B359" s="31"/>
      <c r="C359" s="32"/>
      <c r="D359" s="33"/>
      <c r="E359" s="34"/>
      <c r="F359" s="34"/>
      <c r="G359" s="35"/>
      <c r="H359" s="36"/>
      <c r="I359" s="37"/>
    </row>
    <row r="360" ht="22.5" customHeight="1">
      <c r="A360" s="30"/>
      <c r="B360" s="31"/>
      <c r="C360" s="32"/>
      <c r="D360" s="33"/>
      <c r="E360" s="34"/>
      <c r="F360" s="34"/>
      <c r="G360" s="35"/>
      <c r="H360" s="36"/>
      <c r="I360" s="37"/>
    </row>
    <row r="361" ht="22.5" customHeight="1">
      <c r="A361" s="30"/>
      <c r="B361" s="31"/>
      <c r="C361" s="32"/>
      <c r="D361" s="33"/>
      <c r="E361" s="34"/>
      <c r="F361" s="34"/>
      <c r="G361" s="35"/>
      <c r="H361" s="36"/>
      <c r="I361" s="37"/>
    </row>
    <row r="362" ht="22.5" customHeight="1">
      <c r="A362" s="30"/>
      <c r="B362" s="31"/>
      <c r="C362" s="32"/>
      <c r="D362" s="33"/>
      <c r="E362" s="34"/>
      <c r="F362" s="34"/>
      <c r="G362" s="35"/>
      <c r="H362" s="36"/>
      <c r="I362" s="37"/>
    </row>
    <row r="363" ht="22.5" customHeight="1">
      <c r="A363" s="30"/>
      <c r="B363" s="31"/>
      <c r="C363" s="32"/>
      <c r="D363" s="33"/>
      <c r="E363" s="34"/>
      <c r="F363" s="34"/>
      <c r="G363" s="35"/>
      <c r="H363" s="36"/>
      <c r="I363" s="37"/>
    </row>
    <row r="364" ht="22.5" customHeight="1">
      <c r="A364" s="30"/>
      <c r="B364" s="31"/>
      <c r="C364" s="32"/>
      <c r="D364" s="33"/>
      <c r="E364" s="34"/>
      <c r="F364" s="34"/>
      <c r="G364" s="35"/>
      <c r="H364" s="36"/>
      <c r="I364" s="37"/>
    </row>
    <row r="365" ht="22.5" customHeight="1">
      <c r="A365" s="30"/>
      <c r="B365" s="40"/>
      <c r="C365" s="32"/>
      <c r="D365" s="33"/>
      <c r="E365" s="34"/>
      <c r="F365" s="34"/>
      <c r="G365" s="35"/>
      <c r="H365" s="36"/>
      <c r="I365" s="37"/>
    </row>
    <row r="366" ht="22.5" customHeight="1">
      <c r="A366" s="30"/>
      <c r="B366" s="31"/>
      <c r="C366" s="32"/>
      <c r="D366" s="33"/>
      <c r="E366" s="34"/>
      <c r="F366" s="34"/>
      <c r="G366" s="35"/>
      <c r="H366" s="36"/>
      <c r="I366" s="37"/>
    </row>
    <row r="367" ht="22.5" customHeight="1">
      <c r="A367" s="30"/>
      <c r="B367" s="31"/>
      <c r="C367" s="32"/>
      <c r="D367" s="33"/>
      <c r="E367" s="34"/>
      <c r="F367" s="34"/>
      <c r="G367" s="35"/>
      <c r="H367" s="36"/>
      <c r="I367" s="37"/>
    </row>
    <row r="368" ht="22.5" customHeight="1">
      <c r="A368" s="30"/>
      <c r="B368" s="31"/>
      <c r="C368" s="32"/>
      <c r="D368" s="33"/>
      <c r="E368" s="34"/>
      <c r="F368" s="34"/>
      <c r="G368" s="35"/>
      <c r="H368" s="36"/>
      <c r="I368" s="37"/>
    </row>
    <row r="369" ht="22.5" customHeight="1">
      <c r="A369" s="30"/>
      <c r="B369" s="31"/>
      <c r="C369" s="32"/>
      <c r="D369" s="33"/>
      <c r="E369" s="34"/>
      <c r="F369" s="34"/>
      <c r="G369" s="35"/>
      <c r="H369" s="36"/>
      <c r="I369" s="38"/>
    </row>
    <row r="370" ht="22.5" customHeight="1">
      <c r="A370" s="30"/>
      <c r="B370" s="39"/>
      <c r="C370" s="32"/>
      <c r="D370" s="33"/>
      <c r="E370" s="34"/>
      <c r="F370" s="34"/>
      <c r="G370" s="35"/>
      <c r="H370" s="36"/>
      <c r="I370" s="37"/>
    </row>
    <row r="371" ht="22.5" customHeight="1">
      <c r="A371" s="30"/>
      <c r="B371" s="31"/>
      <c r="C371" s="32"/>
      <c r="D371" s="33"/>
      <c r="E371" s="34"/>
      <c r="F371" s="34"/>
      <c r="G371" s="35"/>
      <c r="H371" s="36"/>
      <c r="I371" s="37"/>
    </row>
    <row r="372" ht="22.5" customHeight="1">
      <c r="A372" s="30"/>
      <c r="B372" s="31"/>
      <c r="C372" s="32"/>
      <c r="D372" s="33"/>
      <c r="E372" s="34"/>
      <c r="F372" s="34"/>
      <c r="G372" s="35"/>
      <c r="H372" s="36"/>
      <c r="I372" s="37"/>
    </row>
    <row r="373" ht="22.5" customHeight="1">
      <c r="A373" s="30"/>
      <c r="B373" s="31"/>
      <c r="C373" s="32"/>
      <c r="D373" s="33"/>
      <c r="E373" s="34"/>
      <c r="F373" s="34"/>
      <c r="G373" s="35"/>
      <c r="H373" s="36"/>
      <c r="I373" s="37"/>
    </row>
    <row r="374" ht="22.5" customHeight="1">
      <c r="A374" s="30"/>
      <c r="B374" s="39"/>
      <c r="C374" s="32"/>
      <c r="D374" s="33"/>
      <c r="E374" s="34"/>
      <c r="F374" s="34"/>
      <c r="G374" s="35"/>
      <c r="H374" s="36"/>
      <c r="I374" s="37"/>
    </row>
    <row r="375" ht="22.5" customHeight="1">
      <c r="A375" s="30"/>
      <c r="B375" s="31"/>
      <c r="C375" s="32"/>
      <c r="D375" s="33"/>
      <c r="E375" s="34"/>
      <c r="F375" s="34"/>
      <c r="G375" s="35"/>
      <c r="H375" s="36"/>
      <c r="I375" s="37"/>
    </row>
    <row r="376" ht="22.5" customHeight="1">
      <c r="A376" s="30"/>
      <c r="B376" s="39"/>
      <c r="C376" s="32"/>
      <c r="D376" s="33"/>
      <c r="E376" s="34"/>
      <c r="F376" s="34"/>
      <c r="G376" s="35"/>
      <c r="H376" s="36"/>
      <c r="I376" s="37"/>
    </row>
    <row r="377" ht="22.5" customHeight="1">
      <c r="A377" s="30"/>
      <c r="B377" s="31"/>
      <c r="C377" s="32"/>
      <c r="D377" s="33"/>
      <c r="E377" s="34"/>
      <c r="F377" s="34"/>
      <c r="G377" s="35"/>
      <c r="H377" s="36"/>
      <c r="I377" s="37"/>
    </row>
    <row r="378" ht="22.5" customHeight="1">
      <c r="A378" s="30"/>
      <c r="B378" s="31"/>
      <c r="C378" s="32"/>
      <c r="D378" s="33"/>
      <c r="E378" s="34"/>
      <c r="F378" s="34"/>
      <c r="G378" s="35"/>
      <c r="H378" s="36"/>
      <c r="I378" s="37"/>
    </row>
    <row r="379" ht="22.5" customHeight="1">
      <c r="A379" s="30"/>
      <c r="B379" s="31"/>
      <c r="C379" s="32"/>
      <c r="D379" s="33"/>
      <c r="E379" s="34"/>
      <c r="F379" s="34"/>
      <c r="G379" s="35"/>
      <c r="H379" s="36"/>
      <c r="I379" s="37"/>
    </row>
    <row r="380" ht="22.5" customHeight="1">
      <c r="A380" s="30"/>
      <c r="B380" s="31"/>
      <c r="C380" s="32"/>
      <c r="D380" s="33"/>
      <c r="E380" s="34"/>
      <c r="F380" s="34"/>
      <c r="G380" s="35"/>
      <c r="H380" s="36"/>
      <c r="I380" s="37"/>
    </row>
    <row r="381" ht="22.5" customHeight="1">
      <c r="A381" s="30"/>
      <c r="B381" s="31"/>
      <c r="C381" s="32"/>
      <c r="D381" s="33"/>
      <c r="E381" s="34"/>
      <c r="F381" s="34"/>
      <c r="G381" s="35"/>
      <c r="H381" s="36"/>
      <c r="I381" s="37"/>
    </row>
    <row r="382" ht="22.5" customHeight="1">
      <c r="A382" s="30"/>
      <c r="B382" s="31"/>
      <c r="C382" s="32"/>
      <c r="D382" s="33"/>
      <c r="E382" s="34"/>
      <c r="F382" s="34"/>
      <c r="G382" s="35"/>
      <c r="H382" s="36"/>
      <c r="I382" s="37"/>
    </row>
    <row r="383" ht="22.5" customHeight="1">
      <c r="A383" s="30"/>
      <c r="B383" s="31"/>
      <c r="C383" s="32"/>
      <c r="D383" s="33"/>
      <c r="E383" s="34"/>
      <c r="F383" s="34"/>
      <c r="G383" s="35"/>
      <c r="H383" s="36"/>
      <c r="I383" s="37"/>
    </row>
    <row r="384" ht="22.5" customHeight="1">
      <c r="A384" s="30"/>
      <c r="B384" s="31"/>
      <c r="C384" s="32"/>
      <c r="D384" s="33"/>
      <c r="E384" s="34"/>
      <c r="F384" s="34"/>
      <c r="G384" s="35"/>
      <c r="H384" s="36"/>
      <c r="I384" s="37"/>
    </row>
    <row r="385" ht="22.5" customHeight="1">
      <c r="A385" s="30"/>
      <c r="B385" s="31"/>
      <c r="C385" s="32"/>
      <c r="D385" s="33"/>
      <c r="E385" s="34"/>
      <c r="F385" s="34"/>
      <c r="G385" s="35"/>
      <c r="H385" s="36"/>
      <c r="I385" s="37"/>
    </row>
    <row r="386" ht="22.5" customHeight="1">
      <c r="A386" s="30"/>
      <c r="B386" s="31"/>
      <c r="C386" s="32"/>
      <c r="D386" s="33"/>
      <c r="E386" s="34"/>
      <c r="F386" s="34"/>
      <c r="G386" s="35"/>
      <c r="H386" s="36"/>
      <c r="I386" s="37"/>
    </row>
    <row r="387" ht="22.5" customHeight="1">
      <c r="A387" s="30"/>
      <c r="B387" s="40"/>
      <c r="C387" s="32"/>
      <c r="D387" s="33"/>
      <c r="E387" s="34"/>
      <c r="F387" s="34"/>
      <c r="G387" s="35"/>
      <c r="H387" s="36"/>
      <c r="I387" s="37"/>
    </row>
    <row r="388" ht="22.5" customHeight="1">
      <c r="A388" s="30"/>
      <c r="B388" s="31"/>
      <c r="C388" s="32"/>
      <c r="D388" s="33"/>
      <c r="E388" s="34"/>
      <c r="F388" s="34"/>
      <c r="G388" s="35"/>
      <c r="H388" s="36"/>
      <c r="I388" s="37"/>
    </row>
    <row r="389" ht="22.5" customHeight="1">
      <c r="A389" s="30"/>
      <c r="B389" s="31"/>
      <c r="C389" s="32"/>
      <c r="D389" s="33"/>
      <c r="E389" s="34"/>
      <c r="F389" s="34"/>
      <c r="G389" s="35"/>
      <c r="H389" s="36"/>
      <c r="I389" s="37"/>
    </row>
    <row r="390" ht="22.5" customHeight="1">
      <c r="A390" s="30"/>
      <c r="B390" s="31"/>
      <c r="C390" s="32"/>
      <c r="D390" s="33"/>
      <c r="E390" s="34"/>
      <c r="F390" s="34"/>
      <c r="G390" s="35"/>
      <c r="H390" s="36"/>
      <c r="I390" s="37"/>
    </row>
    <row r="391" ht="22.5" customHeight="1">
      <c r="A391" s="30"/>
      <c r="B391" s="31"/>
      <c r="C391" s="32"/>
      <c r="D391" s="33"/>
      <c r="E391" s="34"/>
      <c r="F391" s="34"/>
      <c r="G391" s="35"/>
      <c r="H391" s="36"/>
      <c r="I391" s="37"/>
    </row>
    <row r="392" ht="22.5" customHeight="1">
      <c r="A392" s="30"/>
      <c r="B392" s="31"/>
      <c r="C392" s="32"/>
      <c r="D392" s="33"/>
      <c r="E392" s="34"/>
      <c r="F392" s="34"/>
      <c r="G392" s="35"/>
      <c r="H392" s="36"/>
      <c r="I392" s="37"/>
    </row>
    <row r="393" ht="22.5" customHeight="1">
      <c r="A393" s="30"/>
      <c r="B393" s="31"/>
      <c r="C393" s="32"/>
      <c r="D393" s="33"/>
      <c r="E393" s="34"/>
      <c r="F393" s="34"/>
      <c r="G393" s="35"/>
      <c r="H393" s="36"/>
      <c r="I393" s="37"/>
    </row>
    <row r="394" ht="22.5" customHeight="1">
      <c r="A394" s="30"/>
      <c r="B394" s="39"/>
      <c r="C394" s="32"/>
      <c r="D394" s="33"/>
      <c r="E394" s="34"/>
      <c r="F394" s="34"/>
      <c r="G394" s="35"/>
      <c r="H394" s="36"/>
      <c r="I394" s="37"/>
    </row>
    <row r="395" ht="22.5" customHeight="1">
      <c r="A395" s="30"/>
      <c r="B395" s="39"/>
      <c r="C395" s="32"/>
      <c r="D395" s="33"/>
      <c r="E395" s="34"/>
      <c r="F395" s="34"/>
      <c r="G395" s="35"/>
      <c r="H395" s="36"/>
      <c r="I395" s="37"/>
    </row>
    <row r="396" ht="22.5" customHeight="1">
      <c r="A396" s="30"/>
      <c r="B396" s="39"/>
      <c r="C396" s="32"/>
      <c r="D396" s="33"/>
      <c r="E396" s="34"/>
      <c r="F396" s="34"/>
      <c r="G396" s="35"/>
      <c r="H396" s="36"/>
      <c r="I396" s="37"/>
    </row>
    <row r="397" ht="22.5" customHeight="1">
      <c r="A397" s="30"/>
      <c r="B397" s="40"/>
      <c r="C397" s="32"/>
      <c r="D397" s="33"/>
      <c r="E397" s="34"/>
      <c r="F397" s="34"/>
      <c r="G397" s="35"/>
      <c r="H397" s="36"/>
      <c r="I397" s="37"/>
    </row>
    <row r="398" ht="22.5" customHeight="1">
      <c r="A398" s="30"/>
      <c r="B398" s="31"/>
      <c r="C398" s="32"/>
      <c r="D398" s="33"/>
      <c r="E398" s="34"/>
      <c r="F398" s="34"/>
      <c r="G398" s="35"/>
      <c r="H398" s="36"/>
      <c r="I398" s="37"/>
    </row>
    <row r="399" ht="22.5" customHeight="1">
      <c r="A399" s="30"/>
      <c r="B399" s="31"/>
      <c r="C399" s="32"/>
      <c r="D399" s="33"/>
      <c r="E399" s="34"/>
      <c r="F399" s="34"/>
      <c r="G399" s="35"/>
      <c r="H399" s="36"/>
      <c r="I399" s="37"/>
    </row>
    <row r="400" ht="22.5" customHeight="1">
      <c r="A400" s="30"/>
      <c r="B400" s="31"/>
      <c r="C400" s="32"/>
      <c r="D400" s="33"/>
      <c r="E400" s="34"/>
      <c r="F400" s="34"/>
      <c r="G400" s="35"/>
      <c r="H400" s="36"/>
      <c r="I400" s="37"/>
    </row>
    <row r="401" ht="22.5" customHeight="1">
      <c r="A401" s="30"/>
      <c r="B401" s="31"/>
      <c r="C401" s="32"/>
      <c r="D401" s="33"/>
      <c r="E401" s="34"/>
      <c r="F401" s="34"/>
      <c r="G401" s="35"/>
      <c r="H401" s="36"/>
      <c r="I401" s="37"/>
    </row>
    <row r="402" ht="22.5" customHeight="1">
      <c r="A402" s="30"/>
      <c r="B402" s="31"/>
      <c r="C402" s="32"/>
      <c r="D402" s="33"/>
      <c r="E402" s="34"/>
      <c r="F402" s="34"/>
      <c r="G402" s="35"/>
      <c r="H402" s="36"/>
      <c r="I402" s="37"/>
    </row>
    <row r="403" ht="22.5" customHeight="1">
      <c r="A403" s="30"/>
      <c r="B403" s="31"/>
      <c r="C403" s="32"/>
      <c r="D403" s="33"/>
      <c r="E403" s="34"/>
      <c r="F403" s="34"/>
      <c r="G403" s="35"/>
      <c r="H403" s="36"/>
      <c r="I403" s="37"/>
    </row>
    <row r="404" ht="22.5" customHeight="1">
      <c r="A404" s="30"/>
      <c r="B404" s="31"/>
      <c r="C404" s="32"/>
      <c r="D404" s="33"/>
      <c r="E404" s="34"/>
      <c r="F404" s="34"/>
      <c r="G404" s="35"/>
      <c r="H404" s="36"/>
      <c r="I404" s="37"/>
    </row>
    <row r="405" ht="22.5" customHeight="1">
      <c r="A405" s="30"/>
      <c r="B405" s="31"/>
      <c r="C405" s="32"/>
      <c r="D405" s="33"/>
      <c r="E405" s="34"/>
      <c r="F405" s="34"/>
      <c r="G405" s="35"/>
      <c r="H405" s="36"/>
      <c r="I405" s="37"/>
    </row>
    <row r="406" ht="22.5" customHeight="1">
      <c r="A406" s="30"/>
      <c r="B406" s="31"/>
      <c r="C406" s="32"/>
      <c r="D406" s="33"/>
      <c r="E406" s="34"/>
      <c r="F406" s="34"/>
      <c r="G406" s="35"/>
      <c r="H406" s="36"/>
      <c r="I406" s="37"/>
    </row>
    <row r="407" ht="22.5" customHeight="1">
      <c r="A407" s="30"/>
      <c r="B407" s="40"/>
      <c r="C407" s="32"/>
      <c r="D407" s="33"/>
      <c r="E407" s="34"/>
      <c r="F407" s="34"/>
      <c r="G407" s="35"/>
      <c r="H407" s="36"/>
      <c r="I407" s="37"/>
    </row>
    <row r="408" ht="22.5" customHeight="1">
      <c r="A408" s="30"/>
      <c r="B408" s="31"/>
      <c r="C408" s="32"/>
      <c r="D408" s="33"/>
      <c r="E408" s="34"/>
      <c r="F408" s="34"/>
      <c r="G408" s="35"/>
      <c r="H408" s="36"/>
      <c r="I408" s="37"/>
    </row>
    <row r="409" ht="22.5" customHeight="1">
      <c r="A409" s="30"/>
      <c r="B409" s="31"/>
      <c r="C409" s="32"/>
      <c r="D409" s="33"/>
      <c r="E409" s="34"/>
      <c r="F409" s="34"/>
      <c r="G409" s="35"/>
      <c r="H409" s="36"/>
      <c r="I409" s="37"/>
    </row>
    <row r="410" ht="22.5" customHeight="1">
      <c r="A410" s="30"/>
      <c r="B410" s="31"/>
      <c r="C410" s="32"/>
      <c r="D410" s="33"/>
      <c r="E410" s="34"/>
      <c r="F410" s="34"/>
      <c r="G410" s="35"/>
      <c r="H410" s="36"/>
      <c r="I410" s="37"/>
    </row>
    <row r="411" ht="22.5" customHeight="1">
      <c r="A411" s="30"/>
      <c r="B411" s="40"/>
      <c r="C411" s="32"/>
      <c r="D411" s="33"/>
      <c r="E411" s="34"/>
      <c r="F411" s="34"/>
      <c r="G411" s="35"/>
      <c r="H411" s="36"/>
      <c r="I411" s="37"/>
    </row>
    <row r="412" ht="22.5" customHeight="1">
      <c r="A412" s="30"/>
      <c r="B412" s="31"/>
      <c r="C412" s="32"/>
      <c r="D412" s="33"/>
      <c r="E412" s="34"/>
      <c r="F412" s="34"/>
      <c r="G412" s="35"/>
      <c r="H412" s="36"/>
      <c r="I412" s="37"/>
    </row>
    <row r="413" ht="22.5" customHeight="1">
      <c r="A413" s="30"/>
      <c r="B413" s="31"/>
      <c r="C413" s="32"/>
      <c r="D413" s="33"/>
      <c r="E413" s="34"/>
      <c r="F413" s="34"/>
      <c r="G413" s="35"/>
      <c r="H413" s="36"/>
      <c r="I413" s="37"/>
    </row>
    <row r="414" ht="22.5" customHeight="1">
      <c r="A414" s="30"/>
      <c r="B414" s="31"/>
      <c r="C414" s="32"/>
      <c r="D414" s="33"/>
      <c r="E414" s="34"/>
      <c r="F414" s="34"/>
      <c r="G414" s="35"/>
      <c r="H414" s="36"/>
      <c r="I414" s="37"/>
    </row>
    <row r="415" ht="22.5" customHeight="1">
      <c r="A415" s="30"/>
      <c r="B415" s="31"/>
      <c r="C415" s="32"/>
      <c r="D415" s="33"/>
      <c r="E415" s="34"/>
      <c r="F415" s="34"/>
      <c r="G415" s="35"/>
      <c r="H415" s="36"/>
      <c r="I415" s="37"/>
    </row>
    <row r="416" ht="22.5" customHeight="1">
      <c r="A416" s="30"/>
      <c r="B416" s="31"/>
      <c r="C416" s="32"/>
      <c r="D416" s="33"/>
      <c r="E416" s="34"/>
      <c r="F416" s="34"/>
      <c r="G416" s="35"/>
      <c r="H416" s="36"/>
      <c r="I416" s="37"/>
    </row>
    <row r="417" ht="22.5" customHeight="1">
      <c r="A417" s="30"/>
      <c r="B417" s="31"/>
      <c r="C417" s="32"/>
      <c r="D417" s="33"/>
      <c r="E417" s="34"/>
      <c r="F417" s="34"/>
      <c r="G417" s="35"/>
      <c r="H417" s="36"/>
      <c r="I417" s="37"/>
    </row>
    <row r="418" ht="22.5" customHeight="1">
      <c r="A418" s="30"/>
      <c r="B418" s="31"/>
      <c r="C418" s="32"/>
      <c r="D418" s="33"/>
      <c r="E418" s="34"/>
      <c r="F418" s="34"/>
      <c r="G418" s="35"/>
      <c r="H418" s="36"/>
      <c r="I418" s="37"/>
    </row>
    <row r="419" ht="22.5" customHeight="1">
      <c r="A419" s="30"/>
      <c r="B419" s="31"/>
      <c r="C419" s="32"/>
      <c r="D419" s="33"/>
      <c r="E419" s="34"/>
      <c r="F419" s="34"/>
      <c r="G419" s="35"/>
      <c r="H419" s="36"/>
      <c r="I419" s="37"/>
    </row>
    <row r="420" ht="22.5" customHeight="1">
      <c r="A420" s="30"/>
      <c r="B420" s="31"/>
      <c r="C420" s="32"/>
      <c r="D420" s="33"/>
      <c r="E420" s="34"/>
      <c r="F420" s="34"/>
      <c r="G420" s="35"/>
      <c r="H420" s="36"/>
      <c r="I420" s="37"/>
    </row>
    <row r="421" ht="22.5" customHeight="1">
      <c r="A421" s="30"/>
      <c r="B421" s="31"/>
      <c r="C421" s="32"/>
      <c r="D421" s="33"/>
      <c r="E421" s="34"/>
      <c r="F421" s="34"/>
      <c r="G421" s="35"/>
      <c r="H421" s="36"/>
      <c r="I421" s="37"/>
    </row>
    <row r="422" ht="22.5" customHeight="1">
      <c r="A422" s="30"/>
      <c r="B422" s="31"/>
      <c r="C422" s="32"/>
      <c r="D422" s="33"/>
      <c r="E422" s="34"/>
      <c r="F422" s="34"/>
      <c r="G422" s="35"/>
      <c r="H422" s="36"/>
      <c r="I422" s="37"/>
    </row>
    <row r="423" ht="22.5" customHeight="1">
      <c r="A423" s="30"/>
      <c r="B423" s="31"/>
      <c r="C423" s="32"/>
      <c r="D423" s="33"/>
      <c r="E423" s="34"/>
      <c r="F423" s="34"/>
      <c r="G423" s="35"/>
      <c r="H423" s="36"/>
      <c r="I423" s="37"/>
    </row>
    <row r="424" ht="22.5" customHeight="1">
      <c r="A424" s="30"/>
      <c r="B424" s="31"/>
      <c r="C424" s="32"/>
      <c r="D424" s="33"/>
      <c r="E424" s="34"/>
      <c r="F424" s="34"/>
      <c r="G424" s="35"/>
      <c r="H424" s="36"/>
      <c r="I424" s="37"/>
    </row>
    <row r="425" ht="22.5" customHeight="1">
      <c r="A425" s="30"/>
      <c r="B425" s="31"/>
      <c r="C425" s="32"/>
      <c r="D425" s="33"/>
      <c r="E425" s="34"/>
      <c r="F425" s="34"/>
      <c r="G425" s="35"/>
      <c r="H425" s="36"/>
      <c r="I425" s="37"/>
    </row>
    <row r="426" ht="22.5" customHeight="1">
      <c r="A426" s="30"/>
      <c r="B426" s="40"/>
      <c r="C426" s="32"/>
      <c r="D426" s="33"/>
      <c r="E426" s="34"/>
      <c r="F426" s="34"/>
      <c r="G426" s="35"/>
      <c r="H426" s="36"/>
      <c r="I426" s="37"/>
    </row>
    <row r="427" ht="22.5" customHeight="1">
      <c r="A427" s="30"/>
      <c r="B427" s="31"/>
      <c r="C427" s="32"/>
      <c r="D427" s="33"/>
      <c r="E427" s="34"/>
      <c r="F427" s="34"/>
      <c r="G427" s="35"/>
      <c r="H427" s="36"/>
      <c r="I427" s="37"/>
    </row>
    <row r="428" ht="22.5" customHeight="1">
      <c r="A428" s="30"/>
      <c r="B428" s="40"/>
      <c r="C428" s="32"/>
      <c r="D428" s="33"/>
      <c r="E428" s="34"/>
      <c r="F428" s="34"/>
      <c r="G428" s="35"/>
      <c r="H428" s="36"/>
      <c r="I428" s="37"/>
    </row>
    <row r="429" ht="22.5" customHeight="1">
      <c r="A429" s="30"/>
      <c r="B429" s="31"/>
      <c r="C429" s="32"/>
      <c r="D429" s="33"/>
      <c r="E429" s="34"/>
      <c r="F429" s="34"/>
      <c r="G429" s="35"/>
      <c r="H429" s="36"/>
      <c r="I429" s="37"/>
    </row>
    <row r="430" ht="22.5" customHeight="1">
      <c r="A430" s="30"/>
      <c r="B430" s="31"/>
      <c r="C430" s="32"/>
      <c r="D430" s="33"/>
      <c r="E430" s="34"/>
      <c r="F430" s="34"/>
      <c r="G430" s="35"/>
      <c r="H430" s="36"/>
      <c r="I430" s="37"/>
    </row>
    <row r="431" ht="22.5" customHeight="1">
      <c r="A431" s="30"/>
      <c r="B431" s="31"/>
      <c r="C431" s="32"/>
      <c r="D431" s="33"/>
      <c r="E431" s="34"/>
      <c r="F431" s="34"/>
      <c r="G431" s="35"/>
      <c r="H431" s="36"/>
      <c r="I431" s="37"/>
    </row>
    <row r="432" ht="22.5" customHeight="1">
      <c r="A432" s="30"/>
      <c r="B432" s="31"/>
      <c r="C432" s="32"/>
      <c r="D432" s="33"/>
      <c r="E432" s="34"/>
      <c r="F432" s="34"/>
      <c r="G432" s="35"/>
      <c r="H432" s="36"/>
      <c r="I432" s="37"/>
    </row>
    <row r="433" ht="22.5" customHeight="1">
      <c r="A433" s="30"/>
      <c r="B433" s="40"/>
      <c r="C433" s="32"/>
      <c r="D433" s="33"/>
      <c r="E433" s="34"/>
      <c r="F433" s="34"/>
      <c r="G433" s="35"/>
      <c r="H433" s="36"/>
      <c r="I433" s="37"/>
    </row>
    <row r="434" ht="22.5" customHeight="1">
      <c r="A434" s="30"/>
      <c r="B434" s="31"/>
      <c r="C434" s="32"/>
      <c r="D434" s="33"/>
      <c r="E434" s="34"/>
      <c r="F434" s="34"/>
      <c r="G434" s="35"/>
      <c r="H434" s="36"/>
      <c r="I434" s="37"/>
    </row>
    <row r="435" ht="22.5" customHeight="1">
      <c r="A435" s="30"/>
      <c r="B435" s="31"/>
      <c r="C435" s="32"/>
      <c r="D435" s="33"/>
      <c r="E435" s="34"/>
      <c r="F435" s="34"/>
      <c r="G435" s="35"/>
      <c r="H435" s="36"/>
      <c r="I435" s="37"/>
    </row>
    <row r="436" ht="22.5" customHeight="1">
      <c r="A436" s="30"/>
      <c r="B436" s="31"/>
      <c r="C436" s="32"/>
      <c r="D436" s="33"/>
      <c r="E436" s="34"/>
      <c r="F436" s="34"/>
      <c r="G436" s="35"/>
      <c r="H436" s="36"/>
      <c r="I436" s="37"/>
    </row>
    <row r="437" ht="22.5" customHeight="1">
      <c r="A437" s="30"/>
      <c r="B437" s="31"/>
      <c r="C437" s="32"/>
      <c r="D437" s="33"/>
      <c r="E437" s="34"/>
      <c r="F437" s="34"/>
      <c r="G437" s="35"/>
      <c r="H437" s="36"/>
      <c r="I437" s="37"/>
    </row>
    <row r="438" ht="22.5" customHeight="1">
      <c r="A438" s="30"/>
      <c r="B438" s="31"/>
      <c r="C438" s="32"/>
      <c r="D438" s="33"/>
      <c r="E438" s="34"/>
      <c r="F438" s="34"/>
      <c r="G438" s="35"/>
      <c r="H438" s="36"/>
      <c r="I438" s="37"/>
    </row>
    <row r="439" ht="22.5" customHeight="1">
      <c r="A439" s="30"/>
      <c r="B439" s="31"/>
      <c r="C439" s="32"/>
      <c r="D439" s="33"/>
      <c r="E439" s="34"/>
      <c r="F439" s="34"/>
      <c r="G439" s="35"/>
      <c r="H439" s="36"/>
      <c r="I439" s="37"/>
    </row>
    <row r="440" ht="22.5" customHeight="1">
      <c r="A440" s="30"/>
      <c r="B440" s="31"/>
      <c r="C440" s="32"/>
      <c r="D440" s="33"/>
      <c r="E440" s="34"/>
      <c r="F440" s="34"/>
      <c r="G440" s="35"/>
      <c r="H440" s="36"/>
      <c r="I440" s="37"/>
    </row>
    <row r="441" ht="22.5" customHeight="1">
      <c r="A441" s="30"/>
      <c r="B441" s="31"/>
      <c r="C441" s="32"/>
      <c r="D441" s="33"/>
      <c r="E441" s="34"/>
      <c r="F441" s="34"/>
      <c r="G441" s="35"/>
      <c r="H441" s="36"/>
      <c r="I441" s="37"/>
    </row>
    <row r="442" ht="22.5" customHeight="1">
      <c r="A442" s="30"/>
      <c r="B442" s="31"/>
      <c r="C442" s="32"/>
      <c r="D442" s="33"/>
      <c r="E442" s="34"/>
      <c r="F442" s="34"/>
      <c r="G442" s="35"/>
      <c r="H442" s="36"/>
      <c r="I442" s="37"/>
    </row>
    <row r="443" ht="22.5" customHeight="1">
      <c r="A443" s="30"/>
      <c r="B443" s="31"/>
      <c r="C443" s="32"/>
      <c r="D443" s="33"/>
      <c r="E443" s="34"/>
      <c r="F443" s="34"/>
      <c r="G443" s="35"/>
      <c r="H443" s="36"/>
      <c r="I443" s="37"/>
    </row>
    <row r="444" ht="22.5" customHeight="1">
      <c r="A444" s="30"/>
      <c r="B444" s="31"/>
      <c r="C444" s="32"/>
      <c r="D444" s="33"/>
      <c r="E444" s="34"/>
      <c r="F444" s="34"/>
      <c r="G444" s="35"/>
      <c r="H444" s="36"/>
      <c r="I444" s="37"/>
    </row>
    <row r="445" ht="22.5" customHeight="1">
      <c r="A445" s="30"/>
      <c r="B445" s="31"/>
      <c r="C445" s="32"/>
      <c r="D445" s="33"/>
      <c r="E445" s="34"/>
      <c r="F445" s="34"/>
      <c r="G445" s="35"/>
      <c r="H445" s="36"/>
      <c r="I445" s="37"/>
    </row>
    <row r="446" ht="22.5" customHeight="1">
      <c r="A446" s="30"/>
      <c r="B446" s="31"/>
      <c r="C446" s="32"/>
      <c r="D446" s="33"/>
      <c r="E446" s="34"/>
      <c r="F446" s="34"/>
      <c r="G446" s="35"/>
      <c r="H446" s="36"/>
      <c r="I446" s="37"/>
    </row>
    <row r="447" ht="22.5" customHeight="1">
      <c r="A447" s="30"/>
      <c r="B447" s="31"/>
      <c r="C447" s="32"/>
      <c r="D447" s="33"/>
      <c r="E447" s="34"/>
      <c r="F447" s="34"/>
      <c r="G447" s="35"/>
      <c r="H447" s="36"/>
      <c r="I447" s="37"/>
    </row>
    <row r="448" ht="22.5" customHeight="1">
      <c r="A448" s="30"/>
      <c r="B448" s="31"/>
      <c r="C448" s="32"/>
      <c r="D448" s="33"/>
      <c r="E448" s="34"/>
      <c r="F448" s="34"/>
      <c r="G448" s="35"/>
      <c r="H448" s="36"/>
      <c r="I448" s="37"/>
    </row>
    <row r="449" ht="22.5" customHeight="1">
      <c r="A449" s="30"/>
      <c r="B449" s="31"/>
      <c r="C449" s="32"/>
      <c r="D449" s="33"/>
      <c r="E449" s="34"/>
      <c r="F449" s="34"/>
      <c r="G449" s="35"/>
      <c r="H449" s="36"/>
      <c r="I449" s="37"/>
    </row>
    <row r="450" ht="22.5" customHeight="1">
      <c r="A450" s="30"/>
      <c r="B450" s="31"/>
      <c r="C450" s="32"/>
      <c r="D450" s="33"/>
      <c r="E450" s="34"/>
      <c r="F450" s="34"/>
      <c r="G450" s="35"/>
      <c r="H450" s="36"/>
      <c r="I450" s="37"/>
    </row>
    <row r="451" ht="22.5" customHeight="1">
      <c r="A451" s="30"/>
      <c r="B451" s="31"/>
      <c r="C451" s="32"/>
      <c r="D451" s="33"/>
      <c r="E451" s="34"/>
      <c r="F451" s="34"/>
      <c r="G451" s="35"/>
      <c r="H451" s="36"/>
      <c r="I451" s="37"/>
    </row>
    <row r="452" ht="22.5" customHeight="1">
      <c r="A452" s="30"/>
      <c r="B452" s="31"/>
      <c r="C452" s="32"/>
      <c r="D452" s="33"/>
      <c r="E452" s="34"/>
      <c r="F452" s="34"/>
      <c r="G452" s="35"/>
      <c r="H452" s="36"/>
      <c r="I452" s="37"/>
    </row>
    <row r="453" ht="22.5" customHeight="1">
      <c r="A453" s="30"/>
      <c r="B453" s="31"/>
      <c r="C453" s="32"/>
      <c r="D453" s="33"/>
      <c r="E453" s="34"/>
      <c r="F453" s="34"/>
      <c r="G453" s="35"/>
      <c r="H453" s="36"/>
      <c r="I453" s="37"/>
    </row>
    <row r="454" ht="22.5" customHeight="1">
      <c r="A454" s="30"/>
      <c r="B454" s="31"/>
      <c r="C454" s="32"/>
      <c r="D454" s="33"/>
      <c r="E454" s="34"/>
      <c r="F454" s="34"/>
      <c r="G454" s="35"/>
      <c r="H454" s="36"/>
      <c r="I454" s="37"/>
    </row>
    <row r="455" ht="22.5" customHeight="1">
      <c r="A455" s="30"/>
      <c r="B455" s="40"/>
      <c r="C455" s="32"/>
      <c r="D455" s="33"/>
      <c r="E455" s="34"/>
      <c r="F455" s="34"/>
      <c r="G455" s="35"/>
      <c r="H455" s="36"/>
      <c r="I455" s="37"/>
    </row>
    <row r="456" ht="22.5" customHeight="1">
      <c r="A456" s="30"/>
      <c r="B456" s="31"/>
      <c r="C456" s="32"/>
      <c r="D456" s="33"/>
      <c r="E456" s="34"/>
      <c r="F456" s="34"/>
      <c r="G456" s="35"/>
      <c r="H456" s="36"/>
      <c r="I456" s="37"/>
    </row>
    <row r="457" ht="22.5" customHeight="1">
      <c r="A457" s="30"/>
      <c r="B457" s="31"/>
      <c r="C457" s="32"/>
      <c r="D457" s="33"/>
      <c r="E457" s="34"/>
      <c r="F457" s="34"/>
      <c r="G457" s="35"/>
      <c r="H457" s="36"/>
      <c r="I457" s="37"/>
    </row>
    <row r="458" ht="22.5" customHeight="1">
      <c r="A458" s="30"/>
      <c r="B458" s="31"/>
      <c r="C458" s="32"/>
      <c r="D458" s="33"/>
      <c r="E458" s="34"/>
      <c r="F458" s="34"/>
      <c r="G458" s="35"/>
      <c r="H458" s="36"/>
      <c r="I458" s="37"/>
    </row>
    <row r="459" ht="22.5" customHeight="1">
      <c r="A459" s="30"/>
      <c r="B459" s="31"/>
      <c r="C459" s="32"/>
      <c r="D459" s="33"/>
      <c r="E459" s="34"/>
      <c r="F459" s="34"/>
      <c r="G459" s="35"/>
      <c r="H459" s="36"/>
      <c r="I459" s="38"/>
    </row>
    <row r="460" ht="22.5" customHeight="1">
      <c r="A460" s="30"/>
      <c r="B460" s="39"/>
      <c r="C460" s="32"/>
      <c r="D460" s="33"/>
      <c r="E460" s="34"/>
      <c r="F460" s="34"/>
      <c r="G460" s="35"/>
      <c r="H460" s="36"/>
      <c r="I460" s="37"/>
    </row>
    <row r="461" ht="22.5" customHeight="1">
      <c r="A461" s="30"/>
      <c r="B461" s="31"/>
      <c r="C461" s="32"/>
      <c r="D461" s="33"/>
      <c r="E461" s="34"/>
      <c r="F461" s="34"/>
      <c r="G461" s="35"/>
      <c r="H461" s="36"/>
      <c r="I461" s="37"/>
    </row>
    <row r="462" ht="22.5" customHeight="1">
      <c r="A462" s="30"/>
      <c r="B462" s="31"/>
      <c r="C462" s="32"/>
      <c r="D462" s="33"/>
      <c r="E462" s="34"/>
      <c r="F462" s="34"/>
      <c r="G462" s="35"/>
      <c r="H462" s="36"/>
      <c r="I462" s="37"/>
    </row>
    <row r="463" ht="22.5" customHeight="1">
      <c r="A463" s="30"/>
      <c r="B463" s="31"/>
      <c r="C463" s="32"/>
      <c r="D463" s="33"/>
      <c r="E463" s="34"/>
      <c r="F463" s="34"/>
      <c r="G463" s="35"/>
      <c r="H463" s="36"/>
      <c r="I463" s="37"/>
    </row>
    <row r="464" ht="22.5" customHeight="1">
      <c r="A464" s="30"/>
      <c r="B464" s="39"/>
      <c r="C464" s="32"/>
      <c r="D464" s="33"/>
      <c r="E464" s="34"/>
      <c r="F464" s="34"/>
      <c r="G464" s="35"/>
      <c r="H464" s="36"/>
      <c r="I464" s="37"/>
    </row>
    <row r="465" ht="22.5" customHeight="1">
      <c r="A465" s="30"/>
      <c r="B465" s="31"/>
      <c r="C465" s="32"/>
      <c r="D465" s="33"/>
      <c r="E465" s="34"/>
      <c r="F465" s="34"/>
      <c r="G465" s="35"/>
      <c r="H465" s="36"/>
      <c r="I465" s="37"/>
    </row>
    <row r="466" ht="22.5" customHeight="1">
      <c r="A466" s="30"/>
      <c r="B466" s="39"/>
      <c r="C466" s="32"/>
      <c r="D466" s="33"/>
      <c r="E466" s="34"/>
      <c r="F466" s="34"/>
      <c r="G466" s="35"/>
      <c r="H466" s="36"/>
      <c r="I466" s="37"/>
    </row>
    <row r="467" ht="22.5" customHeight="1">
      <c r="A467" s="30"/>
      <c r="B467" s="31"/>
      <c r="C467" s="32"/>
      <c r="D467" s="33"/>
      <c r="E467" s="34"/>
      <c r="F467" s="34"/>
      <c r="G467" s="35"/>
      <c r="H467" s="36"/>
      <c r="I467" s="37"/>
    </row>
    <row r="468" ht="22.5" customHeight="1">
      <c r="A468" s="30"/>
      <c r="B468" s="31"/>
      <c r="C468" s="32"/>
      <c r="D468" s="33"/>
      <c r="E468" s="34"/>
      <c r="F468" s="34"/>
      <c r="G468" s="35"/>
      <c r="H468" s="36"/>
      <c r="I468" s="37"/>
    </row>
    <row r="469" ht="22.5" customHeight="1">
      <c r="A469" s="30"/>
      <c r="B469" s="31"/>
      <c r="C469" s="32"/>
      <c r="D469" s="33"/>
      <c r="E469" s="34"/>
      <c r="F469" s="34"/>
      <c r="G469" s="35"/>
      <c r="H469" s="36"/>
      <c r="I469" s="37"/>
    </row>
    <row r="470" ht="22.5" customHeight="1">
      <c r="A470" s="30"/>
      <c r="B470" s="31"/>
      <c r="C470" s="32"/>
      <c r="D470" s="33"/>
      <c r="E470" s="34"/>
      <c r="F470" s="34"/>
      <c r="G470" s="35"/>
      <c r="H470" s="36"/>
      <c r="I470" s="37"/>
    </row>
    <row r="471" ht="22.5" customHeight="1">
      <c r="A471" s="30"/>
      <c r="B471" s="31"/>
      <c r="C471" s="32"/>
      <c r="D471" s="33"/>
      <c r="E471" s="34"/>
      <c r="F471" s="34"/>
      <c r="G471" s="35"/>
      <c r="H471" s="36"/>
      <c r="I471" s="37"/>
    </row>
    <row r="472" ht="22.5" customHeight="1">
      <c r="A472" s="30"/>
      <c r="B472" s="31"/>
      <c r="C472" s="32"/>
      <c r="D472" s="33"/>
      <c r="E472" s="34"/>
      <c r="F472" s="34"/>
      <c r="G472" s="35"/>
      <c r="H472" s="36"/>
      <c r="I472" s="37"/>
    </row>
    <row r="473" ht="22.5" customHeight="1">
      <c r="A473" s="30"/>
      <c r="B473" s="31"/>
      <c r="C473" s="32"/>
      <c r="D473" s="33"/>
      <c r="E473" s="34"/>
      <c r="F473" s="34"/>
      <c r="G473" s="35"/>
      <c r="H473" s="36"/>
      <c r="I473" s="37"/>
    </row>
    <row r="474" ht="22.5" customHeight="1">
      <c r="A474" s="30"/>
      <c r="B474" s="31"/>
      <c r="C474" s="32"/>
      <c r="D474" s="33"/>
      <c r="E474" s="34"/>
      <c r="F474" s="34"/>
      <c r="G474" s="35"/>
      <c r="H474" s="36"/>
      <c r="I474" s="37"/>
    </row>
    <row r="475" ht="22.5" customHeight="1">
      <c r="A475" s="30"/>
      <c r="B475" s="31"/>
      <c r="C475" s="32"/>
      <c r="D475" s="33"/>
      <c r="E475" s="34"/>
      <c r="F475" s="34"/>
      <c r="G475" s="35"/>
      <c r="H475" s="36"/>
      <c r="I475" s="37"/>
    </row>
    <row r="476" ht="22.5" customHeight="1">
      <c r="A476" s="30"/>
      <c r="B476" s="31"/>
      <c r="C476" s="32"/>
      <c r="D476" s="33"/>
      <c r="E476" s="34"/>
      <c r="F476" s="34"/>
      <c r="G476" s="35"/>
      <c r="H476" s="36"/>
      <c r="I476" s="37"/>
    </row>
    <row r="477" ht="22.5" customHeight="1">
      <c r="A477" s="30"/>
      <c r="B477" s="40"/>
      <c r="C477" s="32"/>
      <c r="D477" s="33"/>
      <c r="E477" s="34"/>
      <c r="F477" s="34"/>
      <c r="G477" s="35"/>
      <c r="H477" s="36"/>
      <c r="I477" s="37"/>
    </row>
    <row r="478" ht="22.5" customHeight="1">
      <c r="A478" s="30"/>
      <c r="B478" s="31"/>
      <c r="C478" s="32"/>
      <c r="D478" s="33"/>
      <c r="E478" s="34"/>
      <c r="F478" s="34"/>
      <c r="G478" s="35"/>
      <c r="H478" s="36"/>
      <c r="I478" s="37"/>
    </row>
    <row r="479" ht="22.5" customHeight="1">
      <c r="A479" s="30"/>
      <c r="B479" s="31"/>
      <c r="C479" s="32"/>
      <c r="D479" s="33"/>
      <c r="E479" s="34"/>
      <c r="F479" s="34"/>
      <c r="G479" s="35"/>
      <c r="H479" s="36"/>
      <c r="I479" s="37"/>
    </row>
    <row r="480" ht="22.5" customHeight="1">
      <c r="A480" s="30"/>
      <c r="B480" s="31"/>
      <c r="C480" s="32"/>
      <c r="D480" s="33"/>
      <c r="E480" s="34"/>
      <c r="F480" s="34"/>
      <c r="G480" s="35"/>
      <c r="H480" s="36"/>
      <c r="I480" s="37"/>
    </row>
    <row r="481" ht="22.5" customHeight="1">
      <c r="A481" s="30"/>
      <c r="B481" s="31"/>
      <c r="C481" s="32"/>
      <c r="D481" s="33"/>
      <c r="E481" s="34"/>
      <c r="F481" s="34"/>
      <c r="G481" s="35"/>
      <c r="H481" s="36"/>
      <c r="I481" s="37"/>
    </row>
    <row r="482" ht="22.5" customHeight="1">
      <c r="A482" s="30"/>
      <c r="B482" s="31"/>
      <c r="C482" s="32"/>
      <c r="D482" s="33"/>
      <c r="E482" s="34"/>
      <c r="F482" s="34"/>
      <c r="G482" s="35"/>
      <c r="H482" s="36"/>
      <c r="I482" s="37"/>
    </row>
    <row r="483" ht="22.5" customHeight="1">
      <c r="A483" s="30"/>
      <c r="B483" s="31"/>
      <c r="C483" s="32"/>
      <c r="D483" s="33"/>
      <c r="E483" s="34"/>
      <c r="F483" s="34"/>
      <c r="G483" s="35"/>
      <c r="H483" s="36"/>
      <c r="I483" s="37"/>
    </row>
    <row r="484" ht="22.5" customHeight="1">
      <c r="A484" s="30"/>
      <c r="B484" s="39"/>
      <c r="C484" s="32"/>
      <c r="D484" s="33"/>
      <c r="E484" s="34"/>
      <c r="F484" s="34"/>
      <c r="G484" s="35"/>
      <c r="H484" s="36"/>
      <c r="I484" s="37"/>
    </row>
    <row r="485" ht="22.5" customHeight="1">
      <c r="A485" s="30"/>
      <c r="B485" s="39"/>
      <c r="C485" s="32"/>
      <c r="D485" s="33"/>
      <c r="E485" s="34"/>
      <c r="F485" s="34"/>
      <c r="G485" s="35"/>
      <c r="H485" s="36"/>
      <c r="I485" s="37"/>
    </row>
    <row r="486" ht="22.5" customHeight="1">
      <c r="A486" s="30"/>
      <c r="B486" s="39"/>
      <c r="C486" s="32"/>
      <c r="D486" s="33"/>
      <c r="E486" s="34"/>
      <c r="F486" s="34"/>
      <c r="G486" s="35"/>
      <c r="H486" s="36"/>
      <c r="I486" s="37"/>
    </row>
    <row r="487" ht="22.5" customHeight="1">
      <c r="A487" s="30"/>
      <c r="B487" s="40"/>
      <c r="C487" s="32"/>
      <c r="D487" s="33"/>
      <c r="E487" s="34"/>
      <c r="F487" s="34"/>
      <c r="G487" s="35"/>
      <c r="H487" s="36"/>
      <c r="I487" s="37"/>
    </row>
    <row r="488" ht="22.5" customHeight="1">
      <c r="A488" s="30"/>
      <c r="B488" s="31"/>
      <c r="C488" s="32"/>
      <c r="D488" s="33"/>
      <c r="E488" s="34"/>
      <c r="F488" s="34"/>
      <c r="G488" s="35"/>
      <c r="H488" s="36"/>
      <c r="I488" s="37"/>
    </row>
    <row r="489" ht="22.5" customHeight="1">
      <c r="A489" s="30"/>
      <c r="B489" s="31"/>
      <c r="C489" s="32"/>
      <c r="D489" s="33"/>
      <c r="E489" s="34"/>
      <c r="F489" s="34"/>
      <c r="G489" s="35"/>
      <c r="H489" s="36"/>
      <c r="I489" s="37"/>
    </row>
    <row r="490" ht="22.5" customHeight="1">
      <c r="A490" s="30"/>
      <c r="B490" s="31"/>
      <c r="C490" s="32"/>
      <c r="D490" s="33"/>
      <c r="E490" s="34"/>
      <c r="F490" s="34"/>
      <c r="G490" s="35"/>
      <c r="H490" s="36"/>
      <c r="I490" s="37"/>
    </row>
    <row r="491" ht="22.5" customHeight="1">
      <c r="A491" s="30"/>
      <c r="B491" s="31"/>
      <c r="C491" s="32"/>
      <c r="D491" s="33"/>
      <c r="E491" s="34"/>
      <c r="F491" s="34"/>
      <c r="G491" s="35"/>
      <c r="H491" s="36"/>
      <c r="I491" s="37"/>
    </row>
    <row r="492" ht="22.5" customHeight="1">
      <c r="A492" s="30"/>
      <c r="B492" s="31"/>
      <c r="C492" s="32"/>
      <c r="D492" s="33"/>
      <c r="E492" s="34"/>
      <c r="F492" s="34"/>
      <c r="G492" s="35"/>
      <c r="H492" s="36"/>
      <c r="I492" s="37"/>
    </row>
    <row r="493" ht="22.5" customHeight="1">
      <c r="A493" s="30"/>
      <c r="B493" s="31"/>
      <c r="C493" s="32"/>
      <c r="D493" s="33"/>
      <c r="E493" s="34"/>
      <c r="F493" s="34"/>
      <c r="G493" s="35"/>
      <c r="H493" s="36"/>
      <c r="I493" s="37"/>
    </row>
    <row r="494" ht="22.5" customHeight="1">
      <c r="A494" s="30"/>
      <c r="B494" s="31"/>
      <c r="C494" s="32"/>
      <c r="D494" s="33"/>
      <c r="E494" s="34"/>
      <c r="F494" s="34"/>
      <c r="G494" s="35"/>
      <c r="H494" s="36"/>
      <c r="I494" s="37"/>
    </row>
    <row r="495" ht="22.5" customHeight="1">
      <c r="A495" s="30"/>
      <c r="B495" s="31"/>
      <c r="C495" s="32"/>
      <c r="D495" s="33"/>
      <c r="E495" s="34"/>
      <c r="F495" s="34"/>
      <c r="G495" s="35"/>
      <c r="H495" s="36"/>
      <c r="I495" s="37"/>
    </row>
    <row r="496" ht="22.5" customHeight="1">
      <c r="A496" s="30"/>
      <c r="B496" s="31"/>
      <c r="C496" s="32"/>
      <c r="D496" s="33"/>
      <c r="E496" s="34"/>
      <c r="F496" s="34"/>
      <c r="G496" s="35"/>
      <c r="H496" s="36"/>
      <c r="I496" s="37"/>
    </row>
    <row r="497" ht="22.5" customHeight="1">
      <c r="A497" s="30"/>
      <c r="B497" s="40"/>
      <c r="C497" s="32"/>
      <c r="D497" s="33"/>
      <c r="E497" s="34"/>
      <c r="F497" s="34"/>
      <c r="G497" s="35"/>
      <c r="H497" s="36"/>
      <c r="I497" s="37"/>
    </row>
    <row r="498" ht="22.5" customHeight="1">
      <c r="A498" s="30"/>
      <c r="B498" s="31"/>
      <c r="C498" s="32"/>
      <c r="D498" s="33"/>
      <c r="E498" s="34"/>
      <c r="F498" s="34"/>
      <c r="G498" s="35"/>
      <c r="H498" s="36"/>
      <c r="I498" s="37"/>
    </row>
    <row r="499" ht="22.5" customHeight="1">
      <c r="A499" s="30"/>
      <c r="B499" s="31"/>
      <c r="C499" s="32"/>
      <c r="D499" s="33"/>
      <c r="E499" s="34"/>
      <c r="F499" s="34"/>
      <c r="G499" s="35"/>
      <c r="H499" s="36"/>
      <c r="I499" s="37"/>
    </row>
    <row r="500" ht="22.5" customHeight="1">
      <c r="A500" s="30"/>
      <c r="B500" s="31"/>
      <c r="C500" s="32"/>
      <c r="D500" s="33"/>
      <c r="E500" s="34"/>
      <c r="F500" s="34"/>
      <c r="G500" s="35"/>
      <c r="H500" s="36"/>
      <c r="I500" s="37"/>
    </row>
    <row r="501" ht="22.5" customHeight="1">
      <c r="A501" s="30"/>
      <c r="B501" s="40"/>
      <c r="C501" s="32"/>
      <c r="D501" s="33"/>
      <c r="E501" s="34"/>
      <c r="F501" s="34"/>
      <c r="G501" s="35"/>
      <c r="H501" s="36"/>
      <c r="I501" s="37"/>
    </row>
    <row r="502" ht="22.5" customHeight="1">
      <c r="A502" s="30"/>
      <c r="B502" s="31"/>
      <c r="C502" s="32"/>
      <c r="D502" s="33"/>
      <c r="E502" s="34"/>
      <c r="F502" s="34"/>
      <c r="G502" s="35"/>
      <c r="H502" s="36"/>
      <c r="I502" s="37"/>
    </row>
    <row r="503" ht="22.5" customHeight="1">
      <c r="A503" s="30"/>
      <c r="B503" s="31"/>
      <c r="C503" s="32"/>
      <c r="D503" s="33"/>
      <c r="E503" s="34"/>
      <c r="F503" s="34"/>
      <c r="G503" s="35"/>
      <c r="H503" s="36"/>
      <c r="I503" s="37"/>
    </row>
    <row r="504" ht="22.5" customHeight="1">
      <c r="A504" s="30"/>
      <c r="B504" s="31"/>
      <c r="C504" s="32"/>
      <c r="D504" s="33"/>
      <c r="E504" s="34"/>
      <c r="F504" s="34"/>
      <c r="G504" s="35"/>
      <c r="H504" s="36"/>
      <c r="I504" s="37"/>
    </row>
    <row r="505" ht="22.5" customHeight="1">
      <c r="A505" s="30"/>
      <c r="B505" s="31"/>
      <c r="C505" s="32"/>
      <c r="D505" s="33"/>
      <c r="E505" s="34"/>
      <c r="F505" s="34"/>
      <c r="G505" s="35"/>
      <c r="H505" s="36"/>
      <c r="I505" s="37"/>
    </row>
    <row r="506" ht="22.5" customHeight="1">
      <c r="A506" s="30"/>
      <c r="B506" s="31"/>
      <c r="C506" s="32"/>
      <c r="D506" s="33"/>
      <c r="E506" s="34"/>
      <c r="F506" s="34"/>
      <c r="G506" s="35"/>
      <c r="H506" s="36"/>
      <c r="I506" s="37"/>
    </row>
    <row r="507" ht="22.5" customHeight="1">
      <c r="A507" s="30"/>
      <c r="B507" s="31"/>
      <c r="C507" s="32"/>
      <c r="D507" s="33"/>
      <c r="E507" s="34"/>
      <c r="F507" s="34"/>
      <c r="G507" s="35"/>
      <c r="H507" s="36"/>
      <c r="I507" s="37"/>
    </row>
    <row r="508" ht="22.5" customHeight="1">
      <c r="A508" s="30"/>
      <c r="B508" s="31"/>
      <c r="C508" s="32"/>
      <c r="D508" s="33"/>
      <c r="E508" s="34"/>
      <c r="F508" s="34"/>
      <c r="G508" s="35"/>
      <c r="H508" s="36"/>
      <c r="I508" s="37"/>
    </row>
    <row r="509" ht="22.5" customHeight="1">
      <c r="A509" s="30"/>
      <c r="B509" s="31"/>
      <c r="C509" s="32"/>
      <c r="D509" s="33"/>
      <c r="E509" s="34"/>
      <c r="F509" s="34"/>
      <c r="G509" s="35"/>
      <c r="H509" s="36"/>
      <c r="I509" s="37"/>
    </row>
    <row r="510" ht="22.5" customHeight="1">
      <c r="A510" s="30"/>
      <c r="B510" s="31"/>
      <c r="C510" s="32"/>
      <c r="D510" s="33"/>
      <c r="E510" s="34"/>
      <c r="F510" s="34"/>
      <c r="G510" s="35"/>
      <c r="H510" s="36"/>
      <c r="I510" s="37"/>
    </row>
    <row r="511" ht="22.5" customHeight="1">
      <c r="A511" s="30"/>
      <c r="B511" s="31"/>
      <c r="C511" s="32"/>
      <c r="D511" s="33"/>
      <c r="E511" s="34"/>
      <c r="F511" s="34"/>
      <c r="G511" s="35"/>
      <c r="H511" s="36"/>
      <c r="I511" s="37"/>
    </row>
    <row r="512" ht="22.5" customHeight="1">
      <c r="A512" s="30"/>
      <c r="B512" s="31"/>
      <c r="C512" s="32"/>
      <c r="D512" s="33"/>
      <c r="E512" s="34"/>
      <c r="F512" s="34"/>
      <c r="G512" s="35"/>
      <c r="H512" s="36"/>
      <c r="I512" s="37"/>
    </row>
    <row r="513" ht="22.5" customHeight="1">
      <c r="A513" s="30"/>
      <c r="B513" s="31"/>
      <c r="C513" s="32"/>
      <c r="D513" s="33"/>
      <c r="E513" s="34"/>
      <c r="F513" s="34"/>
      <c r="G513" s="35"/>
      <c r="H513" s="36"/>
      <c r="I513" s="37"/>
    </row>
    <row r="514" ht="22.5" customHeight="1">
      <c r="A514" s="30"/>
      <c r="B514" s="31"/>
      <c r="C514" s="32"/>
      <c r="D514" s="33"/>
      <c r="E514" s="34"/>
      <c r="F514" s="34"/>
      <c r="G514" s="35"/>
      <c r="H514" s="36"/>
      <c r="I514" s="37"/>
    </row>
    <row r="515" ht="22.5" customHeight="1">
      <c r="A515" s="30"/>
      <c r="B515" s="31"/>
      <c r="C515" s="32"/>
      <c r="D515" s="33"/>
      <c r="E515" s="34"/>
      <c r="F515" s="34"/>
      <c r="G515" s="35"/>
      <c r="H515" s="36"/>
      <c r="I515" s="37"/>
    </row>
    <row r="516" ht="22.5" customHeight="1">
      <c r="A516" s="30"/>
      <c r="B516" s="40"/>
      <c r="C516" s="32"/>
      <c r="D516" s="33"/>
      <c r="E516" s="34"/>
      <c r="F516" s="34"/>
      <c r="G516" s="35"/>
      <c r="H516" s="36"/>
      <c r="I516" s="37"/>
    </row>
    <row r="517" ht="22.5" customHeight="1">
      <c r="A517" s="30"/>
      <c r="B517" s="31"/>
      <c r="C517" s="32"/>
      <c r="D517" s="33"/>
      <c r="E517" s="34"/>
      <c r="F517" s="34"/>
      <c r="G517" s="35"/>
      <c r="H517" s="36"/>
      <c r="I517" s="37"/>
    </row>
    <row r="518" ht="22.5" customHeight="1">
      <c r="A518" s="30"/>
      <c r="B518" s="40"/>
      <c r="C518" s="32"/>
      <c r="D518" s="33"/>
      <c r="E518" s="34"/>
      <c r="F518" s="34"/>
      <c r="G518" s="35"/>
      <c r="H518" s="36"/>
      <c r="I518" s="37"/>
    </row>
    <row r="519" ht="22.5" customHeight="1">
      <c r="A519" s="30"/>
      <c r="B519" s="31"/>
      <c r="C519" s="32"/>
      <c r="D519" s="33"/>
      <c r="E519" s="34"/>
      <c r="F519" s="34"/>
      <c r="G519" s="35"/>
      <c r="H519" s="36"/>
      <c r="I519" s="37"/>
    </row>
    <row r="520" ht="22.5" customHeight="1">
      <c r="A520" s="30"/>
      <c r="B520" s="31"/>
      <c r="C520" s="32"/>
      <c r="D520" s="33"/>
      <c r="E520" s="34"/>
      <c r="F520" s="34"/>
      <c r="G520" s="35"/>
      <c r="H520" s="36"/>
      <c r="I520" s="37"/>
    </row>
    <row r="521" ht="22.5" customHeight="1">
      <c r="A521" s="30"/>
      <c r="B521" s="31"/>
      <c r="C521" s="32"/>
      <c r="D521" s="33"/>
      <c r="E521" s="34"/>
      <c r="F521" s="34"/>
      <c r="G521" s="35"/>
      <c r="H521" s="36"/>
      <c r="I521" s="37"/>
    </row>
    <row r="522" ht="22.5" customHeight="1">
      <c r="A522" s="30"/>
      <c r="B522" s="31"/>
      <c r="C522" s="32"/>
      <c r="D522" s="33"/>
      <c r="E522" s="34"/>
      <c r="F522" s="34"/>
      <c r="G522" s="35"/>
      <c r="H522" s="36"/>
      <c r="I522" s="37"/>
    </row>
    <row r="523" ht="22.5" customHeight="1">
      <c r="A523" s="30"/>
      <c r="B523" s="40"/>
      <c r="C523" s="32"/>
      <c r="D523" s="33"/>
      <c r="E523" s="34"/>
      <c r="F523" s="34"/>
      <c r="G523" s="35"/>
      <c r="H523" s="36"/>
      <c r="I523" s="37"/>
    </row>
    <row r="524" ht="22.5" customHeight="1">
      <c r="A524" s="30"/>
      <c r="B524" s="31"/>
      <c r="C524" s="32"/>
      <c r="D524" s="33"/>
      <c r="E524" s="34"/>
      <c r="F524" s="34"/>
      <c r="G524" s="35"/>
      <c r="H524" s="36"/>
      <c r="I524" s="37"/>
    </row>
    <row r="525" ht="22.5" customHeight="1">
      <c r="A525" s="30"/>
      <c r="B525" s="31"/>
      <c r="C525" s="32"/>
      <c r="D525" s="33"/>
      <c r="E525" s="34"/>
      <c r="F525" s="34"/>
      <c r="G525" s="35"/>
      <c r="H525" s="36"/>
      <c r="I525" s="37"/>
    </row>
    <row r="526" ht="22.5" customHeight="1">
      <c r="A526" s="30"/>
      <c r="B526" s="31"/>
      <c r="C526" s="32"/>
      <c r="D526" s="33"/>
      <c r="E526" s="34"/>
      <c r="F526" s="34"/>
      <c r="G526" s="35"/>
      <c r="H526" s="36"/>
      <c r="I526" s="37"/>
    </row>
    <row r="527" ht="22.5" customHeight="1">
      <c r="A527" s="30"/>
      <c r="B527" s="31"/>
      <c r="C527" s="32"/>
      <c r="D527" s="33"/>
      <c r="E527" s="34"/>
      <c r="F527" s="34"/>
      <c r="G527" s="35"/>
      <c r="H527" s="36"/>
      <c r="I527" s="37"/>
    </row>
    <row r="528" ht="22.5" customHeight="1">
      <c r="A528" s="30"/>
      <c r="B528" s="31"/>
      <c r="C528" s="32"/>
      <c r="D528" s="33"/>
      <c r="E528" s="34"/>
      <c r="F528" s="34"/>
      <c r="G528" s="35"/>
      <c r="H528" s="36"/>
      <c r="I528" s="37"/>
    </row>
    <row r="529" ht="22.5" customHeight="1">
      <c r="A529" s="30"/>
      <c r="B529" s="31"/>
      <c r="C529" s="32"/>
      <c r="D529" s="33"/>
      <c r="E529" s="34"/>
      <c r="F529" s="34"/>
      <c r="G529" s="35"/>
      <c r="H529" s="36"/>
      <c r="I529" s="37"/>
    </row>
    <row r="530" ht="22.5" customHeight="1">
      <c r="A530" s="30"/>
      <c r="B530" s="31"/>
      <c r="C530" s="32"/>
      <c r="D530" s="33"/>
      <c r="E530" s="34"/>
      <c r="F530" s="34"/>
      <c r="G530" s="35"/>
      <c r="H530" s="36"/>
      <c r="I530" s="37"/>
    </row>
    <row r="531" ht="22.5" customHeight="1">
      <c r="A531" s="30"/>
      <c r="B531" s="31"/>
      <c r="C531" s="32"/>
      <c r="D531" s="33"/>
      <c r="E531" s="34"/>
      <c r="F531" s="34"/>
      <c r="G531" s="35"/>
      <c r="H531" s="36"/>
      <c r="I531" s="37"/>
    </row>
    <row r="532" ht="22.5" customHeight="1">
      <c r="A532" s="30"/>
      <c r="B532" s="31"/>
      <c r="C532" s="32"/>
      <c r="D532" s="33"/>
      <c r="E532" s="34"/>
      <c r="F532" s="34"/>
      <c r="G532" s="35"/>
      <c r="H532" s="36"/>
      <c r="I532" s="37"/>
    </row>
    <row r="533" ht="22.5" customHeight="1">
      <c r="A533" s="30"/>
      <c r="B533" s="31"/>
      <c r="C533" s="32"/>
      <c r="D533" s="33"/>
      <c r="E533" s="34"/>
      <c r="F533" s="34"/>
      <c r="G533" s="35"/>
      <c r="H533" s="36"/>
      <c r="I533" s="37"/>
    </row>
    <row r="534" ht="22.5" customHeight="1">
      <c r="A534" s="30"/>
      <c r="B534" s="31"/>
      <c r="C534" s="32"/>
      <c r="D534" s="33"/>
      <c r="E534" s="34"/>
      <c r="F534" s="34"/>
      <c r="G534" s="35"/>
      <c r="H534" s="36"/>
      <c r="I534" s="37"/>
    </row>
    <row r="535" ht="22.5" customHeight="1">
      <c r="A535" s="30"/>
      <c r="B535" s="31"/>
      <c r="C535" s="32"/>
      <c r="D535" s="33"/>
      <c r="E535" s="34"/>
      <c r="F535" s="34"/>
      <c r="G535" s="35"/>
      <c r="H535" s="36"/>
      <c r="I535" s="37"/>
    </row>
    <row r="536" ht="22.5" customHeight="1">
      <c r="A536" s="30"/>
      <c r="B536" s="31"/>
      <c r="C536" s="32"/>
      <c r="D536" s="33"/>
      <c r="E536" s="34"/>
      <c r="F536" s="34"/>
      <c r="G536" s="35"/>
      <c r="H536" s="36"/>
      <c r="I536" s="37"/>
    </row>
    <row r="537" ht="22.5" customHeight="1">
      <c r="A537" s="30"/>
      <c r="B537" s="31"/>
      <c r="C537" s="32"/>
      <c r="D537" s="33"/>
      <c r="E537" s="34"/>
      <c r="F537" s="34"/>
      <c r="G537" s="35"/>
      <c r="H537" s="36"/>
      <c r="I537" s="37"/>
    </row>
    <row r="538" ht="22.5" customHeight="1">
      <c r="A538" s="30"/>
      <c r="B538" s="31"/>
      <c r="C538" s="32"/>
      <c r="D538" s="33"/>
      <c r="E538" s="34"/>
      <c r="F538" s="34"/>
      <c r="G538" s="35"/>
      <c r="H538" s="36"/>
      <c r="I538" s="37"/>
    </row>
    <row r="539" ht="22.5" customHeight="1">
      <c r="A539" s="30"/>
      <c r="B539" s="31"/>
      <c r="C539" s="32"/>
      <c r="D539" s="33"/>
      <c r="E539" s="34"/>
      <c r="F539" s="34"/>
      <c r="G539" s="35"/>
      <c r="H539" s="36"/>
      <c r="I539" s="37"/>
    </row>
    <row r="540" ht="22.5" customHeight="1">
      <c r="A540" s="30"/>
      <c r="B540" s="31"/>
      <c r="C540" s="32"/>
      <c r="D540" s="33"/>
      <c r="E540" s="34"/>
      <c r="F540" s="34"/>
      <c r="G540" s="35"/>
      <c r="H540" s="36"/>
      <c r="I540" s="37"/>
    </row>
    <row r="541" ht="22.5" customHeight="1">
      <c r="A541" s="30"/>
      <c r="B541" s="31"/>
      <c r="C541" s="32"/>
      <c r="D541" s="33"/>
      <c r="E541" s="34"/>
      <c r="F541" s="34"/>
      <c r="G541" s="35"/>
      <c r="H541" s="36"/>
      <c r="I541" s="37"/>
    </row>
    <row r="542" ht="22.5" customHeight="1">
      <c r="A542" s="30"/>
      <c r="B542" s="31"/>
      <c r="C542" s="32"/>
      <c r="D542" s="33"/>
      <c r="E542" s="34"/>
      <c r="F542" s="34"/>
      <c r="G542" s="35"/>
      <c r="H542" s="36"/>
      <c r="I542" s="37"/>
    </row>
    <row r="543" ht="22.5" customHeight="1">
      <c r="A543" s="30"/>
      <c r="B543" s="31"/>
      <c r="C543" s="32"/>
      <c r="D543" s="33"/>
      <c r="E543" s="34"/>
      <c r="F543" s="34"/>
      <c r="G543" s="35"/>
      <c r="H543" s="36"/>
      <c r="I543" s="37"/>
    </row>
    <row r="544" ht="22.5" customHeight="1">
      <c r="A544" s="30"/>
      <c r="B544" s="31"/>
      <c r="C544" s="32"/>
      <c r="D544" s="33"/>
      <c r="E544" s="34"/>
      <c r="F544" s="34"/>
      <c r="G544" s="35"/>
      <c r="H544" s="36"/>
      <c r="I544" s="37"/>
    </row>
    <row r="545" ht="22.5" customHeight="1">
      <c r="A545" s="30"/>
      <c r="B545" s="40"/>
      <c r="C545" s="32"/>
      <c r="D545" s="33"/>
      <c r="E545" s="34"/>
      <c r="F545" s="34"/>
      <c r="G545" s="35"/>
      <c r="H545" s="36"/>
      <c r="I545" s="37"/>
    </row>
    <row r="546" ht="22.5" customHeight="1">
      <c r="A546" s="30"/>
      <c r="B546" s="31"/>
      <c r="C546" s="32"/>
      <c r="D546" s="33"/>
      <c r="E546" s="34"/>
      <c r="F546" s="34"/>
      <c r="G546" s="35"/>
      <c r="H546" s="36"/>
      <c r="I546" s="37"/>
    </row>
    <row r="547" ht="22.5" customHeight="1">
      <c r="A547" s="30"/>
      <c r="B547" s="31"/>
      <c r="C547" s="32"/>
      <c r="D547" s="33"/>
      <c r="E547" s="34"/>
      <c r="F547" s="34"/>
      <c r="G547" s="35"/>
      <c r="H547" s="36"/>
      <c r="I547" s="37"/>
    </row>
    <row r="548" ht="22.5" customHeight="1">
      <c r="A548" s="30"/>
      <c r="B548" s="31"/>
      <c r="C548" s="32"/>
      <c r="D548" s="33"/>
      <c r="E548" s="34"/>
      <c r="F548" s="34"/>
      <c r="G548" s="35"/>
      <c r="H548" s="36"/>
      <c r="I548" s="37"/>
    </row>
    <row r="549" ht="22.5" customHeight="1">
      <c r="A549" s="30"/>
      <c r="B549" s="31"/>
      <c r="C549" s="32"/>
      <c r="D549" s="33"/>
      <c r="E549" s="34"/>
      <c r="F549" s="34"/>
      <c r="G549" s="35"/>
      <c r="H549" s="36"/>
      <c r="I549" s="38"/>
    </row>
    <row r="550" ht="22.5" customHeight="1">
      <c r="A550" s="30"/>
      <c r="B550" s="39"/>
      <c r="C550" s="32"/>
      <c r="D550" s="33"/>
      <c r="E550" s="34"/>
      <c r="F550" s="34"/>
      <c r="G550" s="35"/>
      <c r="H550" s="36"/>
      <c r="I550" s="37"/>
    </row>
    <row r="551" ht="22.5" customHeight="1">
      <c r="A551" s="30"/>
      <c r="B551" s="31"/>
      <c r="C551" s="32"/>
      <c r="D551" s="33"/>
      <c r="E551" s="34"/>
      <c r="F551" s="34"/>
      <c r="G551" s="35"/>
      <c r="H551" s="36"/>
      <c r="I551" s="37"/>
    </row>
    <row r="552" ht="22.5" customHeight="1">
      <c r="A552" s="30"/>
      <c r="B552" s="31"/>
      <c r="C552" s="32"/>
      <c r="D552" s="33"/>
      <c r="E552" s="34"/>
      <c r="F552" s="34"/>
      <c r="G552" s="35"/>
      <c r="H552" s="36"/>
      <c r="I552" s="37"/>
    </row>
    <row r="553" ht="22.5" customHeight="1">
      <c r="A553" s="30"/>
      <c r="B553" s="31"/>
      <c r="C553" s="32"/>
      <c r="D553" s="33"/>
      <c r="E553" s="34"/>
      <c r="F553" s="34"/>
      <c r="G553" s="35"/>
      <c r="H553" s="36"/>
      <c r="I553" s="37"/>
    </row>
    <row r="554" ht="22.5" customHeight="1">
      <c r="A554" s="30"/>
      <c r="B554" s="39"/>
      <c r="C554" s="32"/>
      <c r="D554" s="33"/>
      <c r="E554" s="34"/>
      <c r="F554" s="34"/>
      <c r="G554" s="35"/>
      <c r="H554" s="36"/>
      <c r="I554" s="37"/>
    </row>
    <row r="555" ht="22.5" customHeight="1">
      <c r="A555" s="30"/>
      <c r="B555" s="31"/>
      <c r="C555" s="32"/>
      <c r="D555" s="33"/>
      <c r="E555" s="34"/>
      <c r="F555" s="34"/>
      <c r="G555" s="35"/>
      <c r="H555" s="36"/>
      <c r="I555" s="37"/>
    </row>
    <row r="556" ht="22.5" customHeight="1">
      <c r="A556" s="30"/>
      <c r="B556" s="39"/>
      <c r="C556" s="32"/>
      <c r="D556" s="33"/>
      <c r="E556" s="34"/>
      <c r="F556" s="34"/>
      <c r="G556" s="35"/>
      <c r="H556" s="36"/>
      <c r="I556" s="37"/>
    </row>
    <row r="557" ht="22.5" customHeight="1">
      <c r="A557" s="30"/>
      <c r="B557" s="31"/>
      <c r="C557" s="32"/>
      <c r="D557" s="33"/>
      <c r="E557" s="34"/>
      <c r="F557" s="34"/>
      <c r="G557" s="35"/>
      <c r="H557" s="36"/>
      <c r="I557" s="37"/>
    </row>
    <row r="558" ht="22.5" customHeight="1">
      <c r="A558" s="30"/>
      <c r="B558" s="31"/>
      <c r="C558" s="32"/>
      <c r="D558" s="33"/>
      <c r="E558" s="34"/>
      <c r="F558" s="34"/>
      <c r="G558" s="35"/>
      <c r="H558" s="36"/>
      <c r="I558" s="37"/>
    </row>
    <row r="559" ht="22.5" customHeight="1">
      <c r="A559" s="30"/>
      <c r="B559" s="31"/>
      <c r="C559" s="32"/>
      <c r="D559" s="33"/>
      <c r="E559" s="34"/>
      <c r="F559" s="34"/>
      <c r="G559" s="35"/>
      <c r="H559" s="36"/>
      <c r="I559" s="37"/>
    </row>
    <row r="560" ht="22.5" customHeight="1">
      <c r="A560" s="30"/>
      <c r="B560" s="31"/>
      <c r="C560" s="32"/>
      <c r="D560" s="33"/>
      <c r="E560" s="34"/>
      <c r="F560" s="34"/>
      <c r="G560" s="35"/>
      <c r="H560" s="36"/>
      <c r="I560" s="37"/>
    </row>
    <row r="561" ht="22.5" customHeight="1">
      <c r="A561" s="30"/>
      <c r="B561" s="31"/>
      <c r="C561" s="32"/>
      <c r="D561" s="33"/>
      <c r="E561" s="34"/>
      <c r="F561" s="34"/>
      <c r="G561" s="35"/>
      <c r="H561" s="36"/>
      <c r="I561" s="37"/>
    </row>
    <row r="562" ht="22.5" customHeight="1">
      <c r="A562" s="30"/>
      <c r="B562" s="31"/>
      <c r="C562" s="32"/>
      <c r="D562" s="33"/>
      <c r="E562" s="34"/>
      <c r="F562" s="34"/>
      <c r="G562" s="35"/>
      <c r="H562" s="36"/>
      <c r="I562" s="37"/>
    </row>
    <row r="563" ht="22.5" customHeight="1">
      <c r="A563" s="30"/>
      <c r="B563" s="31"/>
      <c r="C563" s="32"/>
      <c r="D563" s="33"/>
      <c r="E563" s="34"/>
      <c r="F563" s="34"/>
      <c r="G563" s="35"/>
      <c r="H563" s="36"/>
      <c r="I563" s="37"/>
    </row>
    <row r="564" ht="22.5" customHeight="1">
      <c r="A564" s="30"/>
      <c r="B564" s="31"/>
      <c r="C564" s="32"/>
      <c r="D564" s="33"/>
      <c r="E564" s="34"/>
      <c r="F564" s="34"/>
      <c r="G564" s="35"/>
      <c r="H564" s="36"/>
      <c r="I564" s="37"/>
    </row>
    <row r="565" ht="22.5" customHeight="1">
      <c r="A565" s="30"/>
      <c r="B565" s="31"/>
      <c r="C565" s="32"/>
      <c r="D565" s="33"/>
      <c r="E565" s="34"/>
      <c r="F565" s="34"/>
      <c r="G565" s="35"/>
      <c r="H565" s="36"/>
      <c r="I565" s="37"/>
    </row>
    <row r="566" ht="22.5" customHeight="1">
      <c r="A566" s="30"/>
      <c r="B566" s="31"/>
      <c r="C566" s="32"/>
      <c r="D566" s="33"/>
      <c r="E566" s="34"/>
      <c r="F566" s="34"/>
      <c r="G566" s="35"/>
      <c r="H566" s="36"/>
      <c r="I566" s="37"/>
    </row>
    <row r="567" ht="22.5" customHeight="1">
      <c r="A567" s="30"/>
      <c r="B567" s="40"/>
      <c r="C567" s="32"/>
      <c r="D567" s="33"/>
      <c r="E567" s="34"/>
      <c r="F567" s="34"/>
      <c r="G567" s="35"/>
      <c r="H567" s="36"/>
      <c r="I567" s="37"/>
    </row>
    <row r="568" ht="22.5" customHeight="1">
      <c r="A568" s="30"/>
      <c r="B568" s="31"/>
      <c r="C568" s="32"/>
      <c r="D568" s="33"/>
      <c r="E568" s="34"/>
      <c r="F568" s="34"/>
      <c r="G568" s="35"/>
      <c r="H568" s="36"/>
      <c r="I568" s="37"/>
    </row>
    <row r="569" ht="22.5" customHeight="1">
      <c r="A569" s="30"/>
      <c r="B569" s="31"/>
      <c r="C569" s="32"/>
      <c r="D569" s="33"/>
      <c r="E569" s="34"/>
      <c r="F569" s="34"/>
      <c r="G569" s="35"/>
      <c r="H569" s="36"/>
      <c r="I569" s="37"/>
    </row>
    <row r="570" ht="22.5" customHeight="1">
      <c r="A570" s="30"/>
      <c r="B570" s="31"/>
      <c r="C570" s="32"/>
      <c r="D570" s="33"/>
      <c r="E570" s="34"/>
      <c r="F570" s="34"/>
      <c r="G570" s="35"/>
      <c r="H570" s="36"/>
      <c r="I570" s="37"/>
    </row>
    <row r="571" ht="22.5" customHeight="1">
      <c r="A571" s="30"/>
      <c r="B571" s="31"/>
      <c r="C571" s="32"/>
      <c r="D571" s="33"/>
      <c r="E571" s="34"/>
      <c r="F571" s="34"/>
      <c r="G571" s="35"/>
      <c r="H571" s="36"/>
      <c r="I571" s="37"/>
    </row>
    <row r="572" ht="22.5" customHeight="1">
      <c r="A572" s="30"/>
      <c r="B572" s="31"/>
      <c r="C572" s="32"/>
      <c r="D572" s="33"/>
      <c r="E572" s="34"/>
      <c r="F572" s="34"/>
      <c r="G572" s="35"/>
      <c r="H572" s="36"/>
      <c r="I572" s="37"/>
    </row>
    <row r="573" ht="22.5" customHeight="1">
      <c r="A573" s="30"/>
      <c r="B573" s="31"/>
      <c r="C573" s="32"/>
      <c r="D573" s="33"/>
      <c r="E573" s="34"/>
      <c r="F573" s="34"/>
      <c r="G573" s="35"/>
      <c r="H573" s="36"/>
      <c r="I573" s="37"/>
    </row>
    <row r="574" ht="22.5" customHeight="1">
      <c r="A574" s="30"/>
      <c r="B574" s="39"/>
      <c r="C574" s="32"/>
      <c r="D574" s="33"/>
      <c r="E574" s="34"/>
      <c r="F574" s="34"/>
      <c r="G574" s="35"/>
      <c r="H574" s="36"/>
      <c r="I574" s="37"/>
    </row>
    <row r="575" ht="22.5" customHeight="1">
      <c r="A575" s="30"/>
      <c r="B575" s="39"/>
      <c r="C575" s="32"/>
      <c r="D575" s="33"/>
      <c r="E575" s="34"/>
      <c r="F575" s="34"/>
      <c r="G575" s="35"/>
      <c r="H575" s="36"/>
      <c r="I575" s="37"/>
    </row>
    <row r="576" ht="22.5" customHeight="1">
      <c r="A576" s="30"/>
      <c r="B576" s="39"/>
      <c r="C576" s="32"/>
      <c r="D576" s="33"/>
      <c r="E576" s="34"/>
      <c r="F576" s="34"/>
      <c r="G576" s="35"/>
      <c r="H576" s="36"/>
      <c r="I576" s="37"/>
    </row>
    <row r="577" ht="22.5" customHeight="1">
      <c r="A577" s="30"/>
      <c r="B577" s="40"/>
      <c r="C577" s="32"/>
      <c r="D577" s="33"/>
      <c r="E577" s="34"/>
      <c r="F577" s="34"/>
      <c r="G577" s="35"/>
      <c r="H577" s="36"/>
      <c r="I577" s="37"/>
    </row>
    <row r="578" ht="22.5" customHeight="1">
      <c r="A578" s="30"/>
      <c r="B578" s="31"/>
      <c r="C578" s="32"/>
      <c r="D578" s="33"/>
      <c r="E578" s="34"/>
      <c r="F578" s="34"/>
      <c r="G578" s="35"/>
      <c r="H578" s="36"/>
      <c r="I578" s="37"/>
    </row>
    <row r="579" ht="22.5" customHeight="1">
      <c r="A579" s="30"/>
      <c r="B579" s="31"/>
      <c r="C579" s="32"/>
      <c r="D579" s="33"/>
      <c r="E579" s="34"/>
      <c r="F579" s="34"/>
      <c r="G579" s="35"/>
      <c r="H579" s="36"/>
      <c r="I579" s="37"/>
    </row>
    <row r="580" ht="22.5" customHeight="1">
      <c r="A580" s="30"/>
      <c r="B580" s="31"/>
      <c r="C580" s="32"/>
      <c r="D580" s="33"/>
      <c r="E580" s="34"/>
      <c r="F580" s="34"/>
      <c r="G580" s="35"/>
      <c r="H580" s="36"/>
      <c r="I580" s="37"/>
    </row>
    <row r="581" ht="22.5" customHeight="1">
      <c r="A581" s="30"/>
      <c r="B581" s="31"/>
      <c r="C581" s="32"/>
      <c r="D581" s="33"/>
      <c r="E581" s="34"/>
      <c r="F581" s="34"/>
      <c r="G581" s="35"/>
      <c r="H581" s="36"/>
      <c r="I581" s="37"/>
    </row>
    <row r="582" ht="22.5" customHeight="1">
      <c r="A582" s="30"/>
      <c r="B582" s="31"/>
      <c r="C582" s="32"/>
      <c r="D582" s="33"/>
      <c r="E582" s="34"/>
      <c r="F582" s="34"/>
      <c r="G582" s="35"/>
      <c r="H582" s="36"/>
      <c r="I582" s="37"/>
    </row>
    <row r="583" ht="22.5" customHeight="1">
      <c r="A583" s="30"/>
      <c r="B583" s="31"/>
      <c r="C583" s="32"/>
      <c r="D583" s="33"/>
      <c r="E583" s="34"/>
      <c r="F583" s="34"/>
      <c r="G583" s="35"/>
      <c r="H583" s="36"/>
      <c r="I583" s="37"/>
    </row>
    <row r="584" ht="22.5" customHeight="1">
      <c r="A584" s="30"/>
      <c r="B584" s="31"/>
      <c r="C584" s="32"/>
      <c r="D584" s="33"/>
      <c r="E584" s="34"/>
      <c r="F584" s="34"/>
      <c r="G584" s="35"/>
      <c r="H584" s="36"/>
      <c r="I584" s="37"/>
    </row>
    <row r="585" ht="22.5" customHeight="1">
      <c r="A585" s="30"/>
      <c r="B585" s="31"/>
      <c r="C585" s="32"/>
      <c r="D585" s="33"/>
      <c r="E585" s="34"/>
      <c r="F585" s="34"/>
      <c r="G585" s="35"/>
      <c r="H585" s="36"/>
      <c r="I585" s="37"/>
    </row>
    <row r="586" ht="22.5" customHeight="1">
      <c r="A586" s="30"/>
      <c r="B586" s="31"/>
      <c r="C586" s="32"/>
      <c r="D586" s="33"/>
      <c r="E586" s="34"/>
      <c r="F586" s="34"/>
      <c r="G586" s="35"/>
      <c r="H586" s="36"/>
      <c r="I586" s="37"/>
    </row>
    <row r="587" ht="22.5" customHeight="1">
      <c r="A587" s="30"/>
      <c r="B587" s="40"/>
      <c r="C587" s="32"/>
      <c r="D587" s="33"/>
      <c r="E587" s="34"/>
      <c r="F587" s="34"/>
      <c r="G587" s="35"/>
      <c r="H587" s="36"/>
      <c r="I587" s="37"/>
    </row>
    <row r="588" ht="22.5" customHeight="1">
      <c r="A588" s="30"/>
      <c r="B588" s="31"/>
      <c r="C588" s="32"/>
      <c r="D588" s="33"/>
      <c r="E588" s="34"/>
      <c r="F588" s="34"/>
      <c r="G588" s="35"/>
      <c r="H588" s="36"/>
      <c r="I588" s="37"/>
    </row>
    <row r="589" ht="22.5" customHeight="1">
      <c r="A589" s="30"/>
      <c r="B589" s="31"/>
      <c r="C589" s="32"/>
      <c r="D589" s="33"/>
      <c r="E589" s="34"/>
      <c r="F589" s="34"/>
      <c r="G589" s="35"/>
      <c r="H589" s="36"/>
      <c r="I589" s="37"/>
    </row>
    <row r="590" ht="22.5" customHeight="1">
      <c r="A590" s="30"/>
      <c r="B590" s="31"/>
      <c r="C590" s="32"/>
      <c r="D590" s="33"/>
      <c r="E590" s="34"/>
      <c r="F590" s="34"/>
      <c r="G590" s="35"/>
      <c r="H590" s="36"/>
      <c r="I590" s="37"/>
    </row>
    <row r="591" ht="22.5" customHeight="1">
      <c r="A591" s="30"/>
      <c r="B591" s="40"/>
      <c r="C591" s="32"/>
      <c r="D591" s="33"/>
      <c r="E591" s="34"/>
      <c r="F591" s="34"/>
      <c r="G591" s="35"/>
      <c r="H591" s="36"/>
      <c r="I591" s="37"/>
    </row>
    <row r="592" ht="22.5" customHeight="1">
      <c r="A592" s="30"/>
      <c r="B592" s="31"/>
      <c r="C592" s="32"/>
      <c r="D592" s="33"/>
      <c r="E592" s="34"/>
      <c r="F592" s="34"/>
      <c r="G592" s="35"/>
      <c r="H592" s="36"/>
      <c r="I592" s="37"/>
    </row>
    <row r="593" ht="22.5" customHeight="1">
      <c r="A593" s="30"/>
      <c r="B593" s="31"/>
      <c r="C593" s="32"/>
      <c r="D593" s="33"/>
      <c r="E593" s="34"/>
      <c r="F593" s="34"/>
      <c r="G593" s="35"/>
      <c r="H593" s="36"/>
      <c r="I593" s="37"/>
    </row>
    <row r="594" ht="22.5" customHeight="1">
      <c r="A594" s="30"/>
      <c r="B594" s="31"/>
      <c r="C594" s="32"/>
      <c r="D594" s="33"/>
      <c r="E594" s="34"/>
      <c r="F594" s="34"/>
      <c r="G594" s="35"/>
      <c r="H594" s="36"/>
      <c r="I594" s="37"/>
    </row>
    <row r="595" ht="22.5" customHeight="1">
      <c r="A595" s="30"/>
      <c r="B595" s="31"/>
      <c r="C595" s="32"/>
      <c r="D595" s="33"/>
      <c r="E595" s="34"/>
      <c r="F595" s="34"/>
      <c r="G595" s="35"/>
      <c r="H595" s="36"/>
      <c r="I595" s="37"/>
    </row>
    <row r="596" ht="22.5" customHeight="1">
      <c r="A596" s="30"/>
      <c r="B596" s="31"/>
      <c r="C596" s="32"/>
      <c r="D596" s="33"/>
      <c r="E596" s="34"/>
      <c r="F596" s="34"/>
      <c r="G596" s="35"/>
      <c r="H596" s="36"/>
      <c r="I596" s="37"/>
    </row>
    <row r="597" ht="22.5" customHeight="1">
      <c r="A597" s="30"/>
      <c r="B597" s="31"/>
      <c r="C597" s="32"/>
      <c r="D597" s="33"/>
      <c r="E597" s="34"/>
      <c r="F597" s="34"/>
      <c r="G597" s="35"/>
      <c r="H597" s="36"/>
      <c r="I597" s="37"/>
    </row>
    <row r="598" ht="22.5" customHeight="1">
      <c r="A598" s="30"/>
      <c r="B598" s="31"/>
      <c r="C598" s="32"/>
      <c r="D598" s="33"/>
      <c r="E598" s="34"/>
      <c r="F598" s="34"/>
      <c r="G598" s="35"/>
      <c r="H598" s="36"/>
      <c r="I598" s="37"/>
    </row>
    <row r="599" ht="22.5" customHeight="1">
      <c r="A599" s="30"/>
      <c r="B599" s="31"/>
      <c r="C599" s="32"/>
      <c r="D599" s="33"/>
      <c r="E599" s="34"/>
      <c r="F599" s="34"/>
      <c r="G599" s="35"/>
      <c r="H599" s="36"/>
      <c r="I599" s="37"/>
    </row>
    <row r="600" ht="22.5" customHeight="1">
      <c r="A600" s="30"/>
      <c r="B600" s="31"/>
      <c r="C600" s="32"/>
      <c r="D600" s="33"/>
      <c r="E600" s="34"/>
      <c r="F600" s="34"/>
      <c r="G600" s="35"/>
      <c r="H600" s="36"/>
      <c r="I600" s="37"/>
    </row>
    <row r="601" ht="22.5" customHeight="1">
      <c r="A601" s="30"/>
      <c r="B601" s="31"/>
      <c r="C601" s="32"/>
      <c r="D601" s="33"/>
      <c r="E601" s="34"/>
      <c r="F601" s="34"/>
      <c r="G601" s="35"/>
      <c r="H601" s="36"/>
      <c r="I601" s="37"/>
    </row>
    <row r="602" ht="22.5" customHeight="1">
      <c r="A602" s="30"/>
      <c r="B602" s="31"/>
      <c r="C602" s="32"/>
      <c r="D602" s="33"/>
      <c r="E602" s="34"/>
      <c r="F602" s="34"/>
      <c r="G602" s="35"/>
      <c r="H602" s="36"/>
      <c r="I602" s="37"/>
    </row>
    <row r="603" ht="22.5" customHeight="1">
      <c r="A603" s="30"/>
      <c r="B603" s="31"/>
      <c r="C603" s="32"/>
      <c r="D603" s="33"/>
      <c r="E603" s="34"/>
      <c r="F603" s="34"/>
      <c r="G603" s="35"/>
      <c r="H603" s="36"/>
      <c r="I603" s="37"/>
    </row>
    <row r="604" ht="22.5" customHeight="1">
      <c r="A604" s="30"/>
      <c r="B604" s="31"/>
      <c r="C604" s="32"/>
      <c r="D604" s="33"/>
      <c r="E604" s="34"/>
      <c r="F604" s="34"/>
      <c r="G604" s="35"/>
      <c r="H604" s="36"/>
      <c r="I604" s="37"/>
    </row>
    <row r="605" ht="22.5" customHeight="1">
      <c r="A605" s="30"/>
      <c r="B605" s="31"/>
      <c r="C605" s="32"/>
      <c r="D605" s="33"/>
      <c r="E605" s="34"/>
      <c r="F605" s="34"/>
      <c r="G605" s="35"/>
      <c r="H605" s="36"/>
      <c r="I605" s="37"/>
    </row>
    <row r="606" ht="22.5" customHeight="1">
      <c r="A606" s="30"/>
      <c r="B606" s="40"/>
      <c r="C606" s="32"/>
      <c r="D606" s="33"/>
      <c r="E606" s="34"/>
      <c r="F606" s="34"/>
      <c r="G606" s="35"/>
      <c r="H606" s="36"/>
      <c r="I606" s="37"/>
    </row>
    <row r="607" ht="22.5" customHeight="1">
      <c r="A607" s="30"/>
      <c r="B607" s="31"/>
      <c r="C607" s="32"/>
      <c r="D607" s="33"/>
      <c r="E607" s="34"/>
      <c r="F607" s="34"/>
      <c r="G607" s="35"/>
      <c r="H607" s="36"/>
      <c r="I607" s="37"/>
    </row>
    <row r="608" ht="22.5" customHeight="1">
      <c r="A608" s="30"/>
      <c r="B608" s="40"/>
      <c r="C608" s="32"/>
      <c r="D608" s="33"/>
      <c r="E608" s="34"/>
      <c r="F608" s="34"/>
      <c r="G608" s="35"/>
      <c r="H608" s="36"/>
      <c r="I608" s="37"/>
    </row>
    <row r="609" ht="22.5" customHeight="1">
      <c r="A609" s="30"/>
      <c r="B609" s="31"/>
      <c r="C609" s="32"/>
      <c r="D609" s="33"/>
      <c r="E609" s="34"/>
      <c r="F609" s="34"/>
      <c r="G609" s="35"/>
      <c r="H609" s="36"/>
      <c r="I609" s="37"/>
    </row>
    <row r="610" ht="22.5" customHeight="1">
      <c r="A610" s="30"/>
      <c r="B610" s="31"/>
      <c r="C610" s="32"/>
      <c r="D610" s="33"/>
      <c r="E610" s="34"/>
      <c r="F610" s="34"/>
      <c r="G610" s="35"/>
      <c r="H610" s="36"/>
      <c r="I610" s="37"/>
    </row>
    <row r="611" ht="22.5" customHeight="1">
      <c r="A611" s="30"/>
      <c r="B611" s="31"/>
      <c r="C611" s="32"/>
      <c r="D611" s="33"/>
      <c r="E611" s="34"/>
      <c r="F611" s="34"/>
      <c r="G611" s="35"/>
      <c r="H611" s="36"/>
      <c r="I611" s="37"/>
    </row>
    <row r="612" ht="22.5" customHeight="1">
      <c r="A612" s="30"/>
      <c r="B612" s="31"/>
      <c r="C612" s="32"/>
      <c r="D612" s="33"/>
      <c r="E612" s="34"/>
      <c r="F612" s="34"/>
      <c r="G612" s="35"/>
      <c r="H612" s="36"/>
      <c r="I612" s="37"/>
    </row>
    <row r="613" ht="22.5" customHeight="1">
      <c r="A613" s="30"/>
      <c r="B613" s="40"/>
      <c r="C613" s="32"/>
      <c r="D613" s="33"/>
      <c r="E613" s="34"/>
      <c r="F613" s="34"/>
      <c r="G613" s="35"/>
      <c r="H613" s="36"/>
      <c r="I613" s="37"/>
    </row>
    <row r="614" ht="22.5" customHeight="1">
      <c r="A614" s="30"/>
      <c r="B614" s="31"/>
      <c r="C614" s="32"/>
      <c r="D614" s="33"/>
      <c r="E614" s="34"/>
      <c r="F614" s="34"/>
      <c r="G614" s="35"/>
      <c r="H614" s="36"/>
      <c r="I614" s="37"/>
    </row>
    <row r="615" ht="22.5" customHeight="1">
      <c r="A615" s="30"/>
      <c r="B615" s="31"/>
      <c r="C615" s="32"/>
      <c r="D615" s="33"/>
      <c r="E615" s="34"/>
      <c r="F615" s="34"/>
      <c r="G615" s="35"/>
      <c r="H615" s="36"/>
      <c r="I615" s="37"/>
    </row>
    <row r="616" ht="22.5" customHeight="1">
      <c r="A616" s="30"/>
      <c r="B616" s="31"/>
      <c r="C616" s="32"/>
      <c r="D616" s="33"/>
      <c r="E616" s="34"/>
      <c r="F616" s="34"/>
      <c r="G616" s="35"/>
      <c r="H616" s="36"/>
      <c r="I616" s="37"/>
    </row>
    <row r="617" ht="22.5" customHeight="1">
      <c r="A617" s="30"/>
      <c r="B617" s="31"/>
      <c r="C617" s="32"/>
      <c r="D617" s="33"/>
      <c r="E617" s="34"/>
      <c r="F617" s="34"/>
      <c r="G617" s="35"/>
      <c r="H617" s="36"/>
      <c r="I617" s="37"/>
    </row>
    <row r="618" ht="22.5" customHeight="1">
      <c r="A618" s="30"/>
      <c r="B618" s="31"/>
      <c r="C618" s="32"/>
      <c r="D618" s="33"/>
      <c r="E618" s="34"/>
      <c r="F618" s="34"/>
      <c r="G618" s="35"/>
      <c r="H618" s="36"/>
      <c r="I618" s="37"/>
    </row>
    <row r="619" ht="22.5" customHeight="1">
      <c r="A619" s="30"/>
      <c r="B619" s="31"/>
      <c r="C619" s="32"/>
      <c r="D619" s="33"/>
      <c r="E619" s="34"/>
      <c r="F619" s="34"/>
      <c r="G619" s="35"/>
      <c r="H619" s="36"/>
      <c r="I619" s="37"/>
    </row>
    <row r="620" ht="22.5" customHeight="1">
      <c r="A620" s="30"/>
      <c r="B620" s="31"/>
      <c r="C620" s="32"/>
      <c r="D620" s="33"/>
      <c r="E620" s="34"/>
      <c r="F620" s="34"/>
      <c r="G620" s="35"/>
      <c r="H620" s="36"/>
      <c r="I620" s="37"/>
    </row>
    <row r="621" ht="22.5" customHeight="1">
      <c r="A621" s="30"/>
      <c r="B621" s="31"/>
      <c r="C621" s="32"/>
      <c r="D621" s="33"/>
      <c r="E621" s="34"/>
      <c r="F621" s="34"/>
      <c r="G621" s="35"/>
      <c r="H621" s="36"/>
      <c r="I621" s="37"/>
    </row>
    <row r="622" ht="22.5" customHeight="1">
      <c r="A622" s="30"/>
      <c r="B622" s="31"/>
      <c r="C622" s="32"/>
      <c r="D622" s="33"/>
      <c r="E622" s="34"/>
      <c r="F622" s="34"/>
      <c r="G622" s="35"/>
      <c r="H622" s="36"/>
      <c r="I622" s="37"/>
    </row>
    <row r="623" ht="22.5" customHeight="1">
      <c r="A623" s="30"/>
      <c r="B623" s="31"/>
      <c r="C623" s="32"/>
      <c r="D623" s="33"/>
      <c r="E623" s="34"/>
      <c r="F623" s="34"/>
      <c r="G623" s="35"/>
      <c r="H623" s="36"/>
      <c r="I623" s="37"/>
    </row>
    <row r="624" ht="22.5" customHeight="1">
      <c r="A624" s="30"/>
      <c r="B624" s="31"/>
      <c r="C624" s="32"/>
      <c r="D624" s="33"/>
      <c r="E624" s="34"/>
      <c r="F624" s="34"/>
      <c r="G624" s="35"/>
      <c r="H624" s="36"/>
      <c r="I624" s="37"/>
    </row>
    <row r="625" ht="22.5" customHeight="1">
      <c r="A625" s="30"/>
      <c r="B625" s="31"/>
      <c r="C625" s="32"/>
      <c r="D625" s="33"/>
      <c r="E625" s="34"/>
      <c r="F625" s="34"/>
      <c r="G625" s="35"/>
      <c r="H625" s="36"/>
      <c r="I625" s="37"/>
    </row>
    <row r="626" ht="22.5" customHeight="1">
      <c r="A626" s="30"/>
      <c r="B626" s="31"/>
      <c r="C626" s="32"/>
      <c r="D626" s="33"/>
      <c r="E626" s="34"/>
      <c r="F626" s="34"/>
      <c r="G626" s="35"/>
      <c r="H626" s="36"/>
      <c r="I626" s="37"/>
    </row>
    <row r="627" ht="22.5" customHeight="1">
      <c r="A627" s="30"/>
      <c r="B627" s="31"/>
      <c r="C627" s="32"/>
      <c r="D627" s="33"/>
      <c r="E627" s="34"/>
      <c r="F627" s="34"/>
      <c r="G627" s="35"/>
      <c r="H627" s="36"/>
      <c r="I627" s="37"/>
    </row>
    <row r="628" ht="22.5" customHeight="1">
      <c r="A628" s="30"/>
      <c r="B628" s="31"/>
      <c r="C628" s="32"/>
      <c r="D628" s="33"/>
      <c r="E628" s="34"/>
      <c r="F628" s="34"/>
      <c r="G628" s="35"/>
      <c r="H628" s="36"/>
      <c r="I628" s="37"/>
    </row>
    <row r="629" ht="22.5" customHeight="1">
      <c r="A629" s="30"/>
      <c r="B629" s="31"/>
      <c r="C629" s="32"/>
      <c r="D629" s="33"/>
      <c r="E629" s="34"/>
      <c r="F629" s="34"/>
      <c r="G629" s="35"/>
      <c r="H629" s="36"/>
      <c r="I629" s="37"/>
    </row>
    <row r="630" ht="22.5" customHeight="1">
      <c r="A630" s="30"/>
      <c r="B630" s="31"/>
      <c r="C630" s="32"/>
      <c r="D630" s="33"/>
      <c r="E630" s="34"/>
      <c r="F630" s="34"/>
      <c r="G630" s="35"/>
      <c r="H630" s="36"/>
      <c r="I630" s="37"/>
    </row>
    <row r="631" ht="22.5" customHeight="1">
      <c r="A631" s="30"/>
      <c r="B631" s="31"/>
      <c r="C631" s="32"/>
      <c r="D631" s="33"/>
      <c r="E631" s="34"/>
      <c r="F631" s="34"/>
      <c r="G631" s="35"/>
      <c r="H631" s="36"/>
      <c r="I631" s="37"/>
    </row>
    <row r="632" ht="22.5" customHeight="1">
      <c r="A632" s="30"/>
      <c r="B632" s="31"/>
      <c r="C632" s="32"/>
      <c r="D632" s="33"/>
      <c r="E632" s="34"/>
      <c r="F632" s="34"/>
      <c r="G632" s="35"/>
      <c r="H632" s="36"/>
      <c r="I632" s="37"/>
    </row>
    <row r="633" ht="22.5" customHeight="1">
      <c r="A633" s="30"/>
      <c r="B633" s="31"/>
      <c r="C633" s="32"/>
      <c r="D633" s="33"/>
      <c r="E633" s="34"/>
      <c r="F633" s="34"/>
      <c r="G633" s="35"/>
      <c r="H633" s="36"/>
      <c r="I633" s="37"/>
    </row>
    <row r="634" ht="22.5" customHeight="1">
      <c r="A634" s="30"/>
      <c r="B634" s="31"/>
      <c r="C634" s="32"/>
      <c r="D634" s="33"/>
      <c r="E634" s="34"/>
      <c r="F634" s="34"/>
      <c r="G634" s="35"/>
      <c r="H634" s="36"/>
      <c r="I634" s="37"/>
    </row>
    <row r="635" ht="22.5" customHeight="1">
      <c r="A635" s="30"/>
      <c r="B635" s="40"/>
      <c r="C635" s="32"/>
      <c r="D635" s="33"/>
      <c r="E635" s="34"/>
      <c r="F635" s="34"/>
      <c r="G635" s="35"/>
      <c r="H635" s="36"/>
      <c r="I635" s="37"/>
    </row>
    <row r="636" ht="22.5" customHeight="1">
      <c r="A636" s="30"/>
      <c r="B636" s="31"/>
      <c r="C636" s="32"/>
      <c r="D636" s="33"/>
      <c r="E636" s="34"/>
      <c r="F636" s="34"/>
      <c r="G636" s="35"/>
      <c r="H636" s="36"/>
      <c r="I636" s="37"/>
    </row>
    <row r="637" ht="22.5" customHeight="1">
      <c r="A637" s="30"/>
      <c r="B637" s="31"/>
      <c r="C637" s="32"/>
      <c r="D637" s="33"/>
      <c r="E637" s="34"/>
      <c r="F637" s="34"/>
      <c r="G637" s="35"/>
      <c r="H637" s="36"/>
      <c r="I637" s="37"/>
    </row>
    <row r="638" ht="22.5" customHeight="1">
      <c r="A638" s="30"/>
      <c r="B638" s="31"/>
      <c r="C638" s="32"/>
      <c r="D638" s="33"/>
      <c r="E638" s="34"/>
      <c r="F638" s="34"/>
      <c r="G638" s="35"/>
      <c r="H638" s="36"/>
      <c r="I638" s="37"/>
    </row>
    <row r="639" ht="22.5" customHeight="1">
      <c r="A639" s="30"/>
      <c r="B639" s="31"/>
      <c r="C639" s="32"/>
      <c r="D639" s="33"/>
      <c r="E639" s="34"/>
      <c r="F639" s="34"/>
      <c r="G639" s="35"/>
      <c r="H639" s="36"/>
      <c r="I639" s="38"/>
    </row>
    <row r="640" ht="22.5" customHeight="1">
      <c r="A640" s="30"/>
      <c r="B640" s="39"/>
      <c r="C640" s="32"/>
      <c r="D640" s="33"/>
      <c r="E640" s="34"/>
      <c r="F640" s="34"/>
      <c r="G640" s="35"/>
      <c r="H640" s="36"/>
      <c r="I640" s="37"/>
    </row>
    <row r="641" ht="22.5" customHeight="1">
      <c r="A641" s="30"/>
      <c r="B641" s="31"/>
      <c r="C641" s="32"/>
      <c r="D641" s="33"/>
      <c r="E641" s="34"/>
      <c r="F641" s="34"/>
      <c r="G641" s="35"/>
      <c r="H641" s="36"/>
      <c r="I641" s="37"/>
    </row>
    <row r="642" ht="22.5" customHeight="1">
      <c r="A642" s="30"/>
      <c r="B642" s="31"/>
      <c r="C642" s="32"/>
      <c r="D642" s="33"/>
      <c r="E642" s="34"/>
      <c r="F642" s="34"/>
      <c r="G642" s="35"/>
      <c r="H642" s="36"/>
      <c r="I642" s="37"/>
    </row>
    <row r="643" ht="22.5" customHeight="1">
      <c r="A643" s="30"/>
      <c r="B643" s="31"/>
      <c r="C643" s="32"/>
      <c r="D643" s="33"/>
      <c r="E643" s="34"/>
      <c r="F643" s="34"/>
      <c r="G643" s="35"/>
      <c r="H643" s="36"/>
      <c r="I643" s="37"/>
    </row>
    <row r="644" ht="22.5" customHeight="1">
      <c r="A644" s="30"/>
      <c r="B644" s="39"/>
      <c r="C644" s="32"/>
      <c r="D644" s="33"/>
      <c r="E644" s="34"/>
      <c r="F644" s="34"/>
      <c r="G644" s="35"/>
      <c r="H644" s="36"/>
      <c r="I644" s="37"/>
    </row>
    <row r="645" ht="22.5" customHeight="1">
      <c r="A645" s="30"/>
      <c r="B645" s="31"/>
      <c r="C645" s="32"/>
      <c r="D645" s="33"/>
      <c r="E645" s="34"/>
      <c r="F645" s="34"/>
      <c r="G645" s="35"/>
      <c r="H645" s="36"/>
      <c r="I645" s="37"/>
    </row>
    <row r="646" ht="22.5" customHeight="1">
      <c r="A646" s="30"/>
      <c r="B646" s="39"/>
      <c r="C646" s="32"/>
      <c r="D646" s="33"/>
      <c r="E646" s="34"/>
      <c r="F646" s="34"/>
      <c r="G646" s="35"/>
      <c r="H646" s="36"/>
      <c r="I646" s="37"/>
    </row>
    <row r="647" ht="22.5" customHeight="1">
      <c r="A647" s="30"/>
      <c r="B647" s="31"/>
      <c r="C647" s="32"/>
      <c r="D647" s="33"/>
      <c r="E647" s="34"/>
      <c r="F647" s="34"/>
      <c r="G647" s="35"/>
      <c r="H647" s="36"/>
      <c r="I647" s="37"/>
    </row>
    <row r="648" ht="22.5" customHeight="1">
      <c r="A648" s="30"/>
      <c r="B648" s="31"/>
      <c r="C648" s="32"/>
      <c r="D648" s="33"/>
      <c r="E648" s="34"/>
      <c r="F648" s="34"/>
      <c r="G648" s="35"/>
      <c r="H648" s="36"/>
      <c r="I648" s="37"/>
    </row>
    <row r="649" ht="22.5" customHeight="1">
      <c r="A649" s="30"/>
      <c r="B649" s="31"/>
      <c r="C649" s="32"/>
      <c r="D649" s="33"/>
      <c r="E649" s="34"/>
      <c r="F649" s="34"/>
      <c r="G649" s="35"/>
      <c r="H649" s="36"/>
      <c r="I649" s="37"/>
    </row>
    <row r="650" ht="22.5" customHeight="1">
      <c r="A650" s="30"/>
      <c r="B650" s="31"/>
      <c r="C650" s="32"/>
      <c r="D650" s="33"/>
      <c r="E650" s="34"/>
      <c r="F650" s="34"/>
      <c r="G650" s="35"/>
      <c r="H650" s="36"/>
      <c r="I650" s="37"/>
    </row>
    <row r="651" ht="22.5" customHeight="1">
      <c r="A651" s="30"/>
      <c r="B651" s="31"/>
      <c r="C651" s="32"/>
      <c r="D651" s="33"/>
      <c r="E651" s="34"/>
      <c r="F651" s="34"/>
      <c r="G651" s="35"/>
      <c r="H651" s="36"/>
      <c r="I651" s="37"/>
    </row>
    <row r="652" ht="22.5" customHeight="1">
      <c r="A652" s="30"/>
      <c r="B652" s="31"/>
      <c r="C652" s="32"/>
      <c r="D652" s="33"/>
      <c r="E652" s="34"/>
      <c r="F652" s="34"/>
      <c r="G652" s="35"/>
      <c r="H652" s="36"/>
      <c r="I652" s="37"/>
    </row>
    <row r="653" ht="22.5" customHeight="1">
      <c r="A653" s="30"/>
      <c r="B653" s="31"/>
      <c r="C653" s="32"/>
      <c r="D653" s="33"/>
      <c r="E653" s="34"/>
      <c r="F653" s="34"/>
      <c r="G653" s="35"/>
      <c r="H653" s="36"/>
      <c r="I653" s="37"/>
    </row>
    <row r="654" ht="22.5" customHeight="1">
      <c r="A654" s="30"/>
      <c r="B654" s="31"/>
      <c r="C654" s="32"/>
      <c r="D654" s="33"/>
      <c r="E654" s="34"/>
      <c r="F654" s="34"/>
      <c r="G654" s="35"/>
      <c r="H654" s="36"/>
      <c r="I654" s="37"/>
    </row>
    <row r="655" ht="22.5" customHeight="1">
      <c r="A655" s="30"/>
      <c r="B655" s="31"/>
      <c r="C655" s="32"/>
      <c r="D655" s="33"/>
      <c r="E655" s="34"/>
      <c r="F655" s="34"/>
      <c r="G655" s="35"/>
      <c r="H655" s="36"/>
      <c r="I655" s="37"/>
    </row>
    <row r="656" ht="22.5" customHeight="1">
      <c r="A656" s="30"/>
      <c r="B656" s="31"/>
      <c r="C656" s="32"/>
      <c r="D656" s="33"/>
      <c r="E656" s="34"/>
      <c r="F656" s="34"/>
      <c r="G656" s="35"/>
      <c r="H656" s="36"/>
      <c r="I656" s="37"/>
    </row>
    <row r="657" ht="22.5" customHeight="1">
      <c r="A657" s="30"/>
      <c r="B657" s="40"/>
      <c r="C657" s="32"/>
      <c r="D657" s="33"/>
      <c r="E657" s="34"/>
      <c r="F657" s="34"/>
      <c r="G657" s="35"/>
      <c r="H657" s="36"/>
      <c r="I657" s="37"/>
    </row>
    <row r="658" ht="22.5" customHeight="1">
      <c r="A658" s="30"/>
      <c r="B658" s="31"/>
      <c r="C658" s="32"/>
      <c r="D658" s="33"/>
      <c r="E658" s="34"/>
      <c r="F658" s="34"/>
      <c r="G658" s="35"/>
      <c r="H658" s="36"/>
      <c r="I658" s="37"/>
    </row>
    <row r="659" ht="22.5" customHeight="1">
      <c r="A659" s="30"/>
      <c r="B659" s="31"/>
      <c r="C659" s="32"/>
      <c r="D659" s="33"/>
      <c r="E659" s="34"/>
      <c r="F659" s="34"/>
      <c r="G659" s="35"/>
      <c r="H659" s="36"/>
      <c r="I659" s="37"/>
    </row>
    <row r="660" ht="22.5" customHeight="1">
      <c r="A660" s="30"/>
      <c r="B660" s="31"/>
      <c r="C660" s="32"/>
      <c r="D660" s="33"/>
      <c r="E660" s="34"/>
      <c r="F660" s="34"/>
      <c r="G660" s="35"/>
      <c r="H660" s="36"/>
      <c r="I660" s="37"/>
    </row>
    <row r="661" ht="22.5" customHeight="1">
      <c r="A661" s="30"/>
      <c r="B661" s="31"/>
      <c r="C661" s="32"/>
      <c r="D661" s="33"/>
      <c r="E661" s="34"/>
      <c r="F661" s="34"/>
      <c r="G661" s="35"/>
      <c r="H661" s="36"/>
      <c r="I661" s="37"/>
    </row>
    <row r="662" ht="22.5" customHeight="1">
      <c r="A662" s="30"/>
      <c r="B662" s="31"/>
      <c r="C662" s="32"/>
      <c r="D662" s="33"/>
      <c r="E662" s="34"/>
      <c r="F662" s="34"/>
      <c r="G662" s="35"/>
      <c r="H662" s="36"/>
      <c r="I662" s="37"/>
    </row>
    <row r="663" ht="22.5" customHeight="1">
      <c r="A663" s="30"/>
      <c r="B663" s="31"/>
      <c r="C663" s="32"/>
      <c r="D663" s="33"/>
      <c r="E663" s="34"/>
      <c r="F663" s="34"/>
      <c r="G663" s="35"/>
      <c r="H663" s="36"/>
      <c r="I663" s="37"/>
    </row>
    <row r="664" ht="22.5" customHeight="1">
      <c r="A664" s="30"/>
      <c r="B664" s="39"/>
      <c r="C664" s="32"/>
      <c r="D664" s="33"/>
      <c r="E664" s="34"/>
      <c r="F664" s="34"/>
      <c r="G664" s="35"/>
      <c r="H664" s="36"/>
      <c r="I664" s="37"/>
    </row>
    <row r="665" ht="22.5" customHeight="1">
      <c r="A665" s="30"/>
      <c r="B665" s="39"/>
      <c r="C665" s="32"/>
      <c r="D665" s="33"/>
      <c r="E665" s="34"/>
      <c r="F665" s="34"/>
      <c r="G665" s="35"/>
      <c r="H665" s="36"/>
      <c r="I665" s="37"/>
    </row>
    <row r="666" ht="22.5" customHeight="1">
      <c r="A666" s="30"/>
      <c r="B666" s="39"/>
      <c r="C666" s="32"/>
      <c r="D666" s="33"/>
      <c r="E666" s="34"/>
      <c r="F666" s="34"/>
      <c r="G666" s="35"/>
      <c r="H666" s="36"/>
      <c r="I666" s="37"/>
    </row>
    <row r="667" ht="22.5" customHeight="1">
      <c r="A667" s="30"/>
      <c r="B667" s="40"/>
      <c r="C667" s="32"/>
      <c r="D667" s="33"/>
      <c r="E667" s="34"/>
      <c r="F667" s="34"/>
      <c r="G667" s="35"/>
      <c r="H667" s="36"/>
      <c r="I667" s="37"/>
    </row>
    <row r="668" ht="22.5" customHeight="1">
      <c r="A668" s="30"/>
      <c r="B668" s="31"/>
      <c r="C668" s="32"/>
      <c r="D668" s="33"/>
      <c r="E668" s="34"/>
      <c r="F668" s="34"/>
      <c r="G668" s="35"/>
      <c r="H668" s="36"/>
      <c r="I668" s="37"/>
    </row>
    <row r="669" ht="22.5" customHeight="1">
      <c r="A669" s="30"/>
      <c r="B669" s="31"/>
      <c r="C669" s="32"/>
      <c r="D669" s="33"/>
      <c r="E669" s="34"/>
      <c r="F669" s="34"/>
      <c r="G669" s="35"/>
      <c r="H669" s="36"/>
      <c r="I669" s="37"/>
    </row>
    <row r="670" ht="22.5" customHeight="1">
      <c r="A670" s="30"/>
      <c r="B670" s="31"/>
      <c r="C670" s="32"/>
      <c r="D670" s="33"/>
      <c r="E670" s="34"/>
      <c r="F670" s="34"/>
      <c r="G670" s="35"/>
      <c r="H670" s="36"/>
      <c r="I670" s="37"/>
    </row>
    <row r="671" ht="22.5" customHeight="1">
      <c r="A671" s="30"/>
      <c r="B671" s="31"/>
      <c r="C671" s="32"/>
      <c r="D671" s="33"/>
      <c r="E671" s="34"/>
      <c r="F671" s="34"/>
      <c r="G671" s="35"/>
      <c r="H671" s="36"/>
      <c r="I671" s="37"/>
    </row>
    <row r="672" ht="22.5" customHeight="1">
      <c r="A672" s="30"/>
      <c r="B672" s="31"/>
      <c r="C672" s="32"/>
      <c r="D672" s="33"/>
      <c r="E672" s="34"/>
      <c r="F672" s="34"/>
      <c r="G672" s="35"/>
      <c r="H672" s="36"/>
      <c r="I672" s="37"/>
    </row>
    <row r="673" ht="22.5" customHeight="1">
      <c r="A673" s="30"/>
      <c r="B673" s="31"/>
      <c r="C673" s="32"/>
      <c r="D673" s="33"/>
      <c r="E673" s="34"/>
      <c r="F673" s="34"/>
      <c r="G673" s="35"/>
      <c r="H673" s="36"/>
      <c r="I673" s="37"/>
    </row>
    <row r="674" ht="22.5" customHeight="1">
      <c r="A674" s="30"/>
      <c r="B674" s="31"/>
      <c r="C674" s="32"/>
      <c r="D674" s="33"/>
      <c r="E674" s="34"/>
      <c r="F674" s="34"/>
      <c r="G674" s="35"/>
      <c r="H674" s="36"/>
      <c r="I674" s="37"/>
    </row>
    <row r="675" ht="22.5" customHeight="1">
      <c r="A675" s="30"/>
      <c r="B675" s="31"/>
      <c r="C675" s="32"/>
      <c r="D675" s="33"/>
      <c r="E675" s="34"/>
      <c r="F675" s="34"/>
      <c r="G675" s="35"/>
      <c r="H675" s="36"/>
      <c r="I675" s="37"/>
    </row>
    <row r="676" ht="22.5" customHeight="1">
      <c r="A676" s="30"/>
      <c r="B676" s="31"/>
      <c r="C676" s="32"/>
      <c r="D676" s="33"/>
      <c r="E676" s="34"/>
      <c r="F676" s="34"/>
      <c r="G676" s="35"/>
      <c r="H676" s="36"/>
      <c r="I676" s="37"/>
    </row>
    <row r="677" ht="22.5" customHeight="1">
      <c r="A677" s="30"/>
      <c r="B677" s="40"/>
      <c r="C677" s="32"/>
      <c r="D677" s="33"/>
      <c r="E677" s="34"/>
      <c r="F677" s="34"/>
      <c r="G677" s="35"/>
      <c r="H677" s="36"/>
      <c r="I677" s="37"/>
    </row>
    <row r="678" ht="22.5" customHeight="1">
      <c r="A678" s="30"/>
      <c r="B678" s="31"/>
      <c r="C678" s="32"/>
      <c r="D678" s="33"/>
      <c r="E678" s="34"/>
      <c r="F678" s="34"/>
      <c r="G678" s="35"/>
      <c r="H678" s="36"/>
      <c r="I678" s="37"/>
    </row>
    <row r="679" ht="22.5" customHeight="1">
      <c r="A679" s="30"/>
      <c r="B679" s="31"/>
      <c r="C679" s="32"/>
      <c r="D679" s="33"/>
      <c r="E679" s="34"/>
      <c r="F679" s="34"/>
      <c r="G679" s="35"/>
      <c r="H679" s="36"/>
      <c r="I679" s="37"/>
    </row>
    <row r="680" ht="22.5" customHeight="1">
      <c r="A680" s="30"/>
      <c r="B680" s="31"/>
      <c r="C680" s="32"/>
      <c r="D680" s="33"/>
      <c r="E680" s="34"/>
      <c r="F680" s="34"/>
      <c r="G680" s="35"/>
      <c r="H680" s="36"/>
      <c r="I680" s="37"/>
    </row>
    <row r="681" ht="22.5" customHeight="1">
      <c r="A681" s="30"/>
      <c r="B681" s="40"/>
      <c r="C681" s="32"/>
      <c r="D681" s="33"/>
      <c r="E681" s="34"/>
      <c r="F681" s="34"/>
      <c r="G681" s="35"/>
      <c r="H681" s="36"/>
      <c r="I681" s="37"/>
    </row>
    <row r="682" ht="22.5" customHeight="1">
      <c r="A682" s="30"/>
      <c r="B682" s="31"/>
      <c r="C682" s="32"/>
      <c r="D682" s="33"/>
      <c r="E682" s="34"/>
      <c r="F682" s="34"/>
      <c r="G682" s="35"/>
      <c r="H682" s="36"/>
      <c r="I682" s="37"/>
    </row>
    <row r="683" ht="22.5" customHeight="1">
      <c r="A683" s="30"/>
      <c r="B683" s="31"/>
      <c r="C683" s="32"/>
      <c r="D683" s="33"/>
      <c r="E683" s="34"/>
      <c r="F683" s="34"/>
      <c r="G683" s="35"/>
      <c r="H683" s="36"/>
      <c r="I683" s="37"/>
    </row>
    <row r="684" ht="22.5" customHeight="1">
      <c r="A684" s="30"/>
      <c r="B684" s="31"/>
      <c r="C684" s="32"/>
      <c r="D684" s="33"/>
      <c r="E684" s="34"/>
      <c r="F684" s="34"/>
      <c r="G684" s="35"/>
      <c r="H684" s="36"/>
      <c r="I684" s="37"/>
    </row>
    <row r="685" ht="22.5" customHeight="1">
      <c r="A685" s="30"/>
      <c r="B685" s="31"/>
      <c r="C685" s="32"/>
      <c r="D685" s="33"/>
      <c r="E685" s="34"/>
      <c r="F685" s="34"/>
      <c r="G685" s="35"/>
      <c r="H685" s="36"/>
      <c r="I685" s="37"/>
    </row>
    <row r="686" ht="22.5" customHeight="1">
      <c r="A686" s="30"/>
      <c r="B686" s="31"/>
      <c r="C686" s="32"/>
      <c r="D686" s="33"/>
      <c r="E686" s="34"/>
      <c r="F686" s="34"/>
      <c r="G686" s="35"/>
      <c r="H686" s="36"/>
      <c r="I686" s="37"/>
    </row>
    <row r="687" ht="22.5" customHeight="1">
      <c r="A687" s="30"/>
      <c r="B687" s="31"/>
      <c r="C687" s="32"/>
      <c r="D687" s="33"/>
      <c r="E687" s="34"/>
      <c r="F687" s="34"/>
      <c r="G687" s="35"/>
      <c r="H687" s="36"/>
      <c r="I687" s="37"/>
    </row>
    <row r="688" ht="22.5" customHeight="1">
      <c r="A688" s="30"/>
      <c r="B688" s="31"/>
      <c r="C688" s="32"/>
      <c r="D688" s="33"/>
      <c r="E688" s="34"/>
      <c r="F688" s="34"/>
      <c r="G688" s="35"/>
      <c r="H688" s="36"/>
      <c r="I688" s="37"/>
    </row>
    <row r="689" ht="22.5" customHeight="1">
      <c r="A689" s="30"/>
      <c r="B689" s="31"/>
      <c r="C689" s="32"/>
      <c r="D689" s="33"/>
      <c r="E689" s="34"/>
      <c r="F689" s="34"/>
      <c r="G689" s="35"/>
      <c r="H689" s="36"/>
      <c r="I689" s="37"/>
    </row>
    <row r="690" ht="22.5" customHeight="1">
      <c r="A690" s="30"/>
      <c r="B690" s="31"/>
      <c r="C690" s="32"/>
      <c r="D690" s="33"/>
      <c r="E690" s="34"/>
      <c r="F690" s="34"/>
      <c r="G690" s="35"/>
      <c r="H690" s="36"/>
      <c r="I690" s="37"/>
    </row>
    <row r="691" ht="22.5" customHeight="1">
      <c r="A691" s="30"/>
      <c r="B691" s="31"/>
      <c r="C691" s="32"/>
      <c r="D691" s="33"/>
      <c r="E691" s="34"/>
      <c r="F691" s="34"/>
      <c r="G691" s="35"/>
      <c r="H691" s="36"/>
      <c r="I691" s="37"/>
    </row>
    <row r="692" ht="22.5" customHeight="1">
      <c r="A692" s="30"/>
      <c r="B692" s="31"/>
      <c r="C692" s="32"/>
      <c r="D692" s="33"/>
      <c r="E692" s="34"/>
      <c r="F692" s="34"/>
      <c r="G692" s="35"/>
      <c r="H692" s="36"/>
      <c r="I692" s="37"/>
    </row>
    <row r="693" ht="22.5" customHeight="1">
      <c r="A693" s="30"/>
      <c r="B693" s="31"/>
      <c r="C693" s="32"/>
      <c r="D693" s="33"/>
      <c r="E693" s="34"/>
      <c r="F693" s="34"/>
      <c r="G693" s="35"/>
      <c r="H693" s="36"/>
      <c r="I693" s="37"/>
    </row>
    <row r="694" ht="22.5" customHeight="1">
      <c r="A694" s="30"/>
      <c r="B694" s="31"/>
      <c r="C694" s="32"/>
      <c r="D694" s="33"/>
      <c r="E694" s="34"/>
      <c r="F694" s="34"/>
      <c r="G694" s="35"/>
      <c r="H694" s="36"/>
      <c r="I694" s="37"/>
    </row>
    <row r="695" ht="22.5" customHeight="1">
      <c r="A695" s="30"/>
      <c r="B695" s="31"/>
      <c r="C695" s="32"/>
      <c r="D695" s="33"/>
      <c r="E695" s="34"/>
      <c r="F695" s="34"/>
      <c r="G695" s="35"/>
      <c r="H695" s="36"/>
      <c r="I695" s="37"/>
    </row>
    <row r="696" ht="22.5" customHeight="1">
      <c r="A696" s="30"/>
      <c r="B696" s="40"/>
      <c r="C696" s="32"/>
      <c r="D696" s="33"/>
      <c r="E696" s="34"/>
      <c r="F696" s="34"/>
      <c r="G696" s="35"/>
      <c r="H696" s="36"/>
      <c r="I696" s="37"/>
    </row>
    <row r="697" ht="22.5" customHeight="1">
      <c r="A697" s="30"/>
      <c r="B697" s="31"/>
      <c r="C697" s="32"/>
      <c r="D697" s="33"/>
      <c r="E697" s="34"/>
      <c r="F697" s="34"/>
      <c r="G697" s="35"/>
      <c r="H697" s="36"/>
      <c r="I697" s="37"/>
    </row>
    <row r="698" ht="22.5" customHeight="1">
      <c r="A698" s="30"/>
      <c r="B698" s="40"/>
      <c r="C698" s="32"/>
      <c r="D698" s="33"/>
      <c r="E698" s="34"/>
      <c r="F698" s="34"/>
      <c r="G698" s="35"/>
      <c r="H698" s="36"/>
      <c r="I698" s="37"/>
    </row>
    <row r="699" ht="22.5" customHeight="1">
      <c r="A699" s="30"/>
      <c r="B699" s="31"/>
      <c r="C699" s="32"/>
      <c r="D699" s="33"/>
      <c r="E699" s="34"/>
      <c r="F699" s="34"/>
      <c r="G699" s="35"/>
      <c r="H699" s="36"/>
      <c r="I699" s="37"/>
    </row>
    <row r="700" ht="22.5" customHeight="1">
      <c r="A700" s="30"/>
      <c r="B700" s="31"/>
      <c r="C700" s="32"/>
      <c r="D700" s="33"/>
      <c r="E700" s="34"/>
      <c r="F700" s="34"/>
      <c r="G700" s="35"/>
      <c r="H700" s="36"/>
      <c r="I700" s="37"/>
    </row>
    <row r="701" ht="22.5" customHeight="1">
      <c r="A701" s="30"/>
      <c r="B701" s="31"/>
      <c r="C701" s="32"/>
      <c r="D701" s="33"/>
      <c r="E701" s="34"/>
      <c r="F701" s="34"/>
      <c r="G701" s="35"/>
      <c r="H701" s="36"/>
      <c r="I701" s="37"/>
    </row>
    <row r="702" ht="22.5" customHeight="1">
      <c r="A702" s="30"/>
      <c r="B702" s="31"/>
      <c r="C702" s="32"/>
      <c r="D702" s="33"/>
      <c r="E702" s="34"/>
      <c r="F702" s="34"/>
      <c r="G702" s="35"/>
      <c r="H702" s="36"/>
      <c r="I702" s="37"/>
    </row>
    <row r="703" ht="22.5" customHeight="1">
      <c r="A703" s="30"/>
      <c r="B703" s="40"/>
      <c r="C703" s="32"/>
      <c r="D703" s="33"/>
      <c r="E703" s="34"/>
      <c r="F703" s="34"/>
      <c r="G703" s="35"/>
      <c r="H703" s="36"/>
      <c r="I703" s="37"/>
    </row>
    <row r="704" ht="22.5" customHeight="1">
      <c r="A704" s="30"/>
      <c r="B704" s="31"/>
      <c r="C704" s="32"/>
      <c r="D704" s="33"/>
      <c r="E704" s="34"/>
      <c r="F704" s="34"/>
      <c r="G704" s="35"/>
      <c r="H704" s="36"/>
      <c r="I704" s="37"/>
    </row>
    <row r="705" ht="22.5" customHeight="1">
      <c r="A705" s="30"/>
      <c r="B705" s="31"/>
      <c r="C705" s="32"/>
      <c r="D705" s="33"/>
      <c r="E705" s="34"/>
      <c r="F705" s="34"/>
      <c r="G705" s="35"/>
      <c r="H705" s="36"/>
      <c r="I705" s="37"/>
    </row>
    <row r="706" ht="22.5" customHeight="1">
      <c r="A706" s="30"/>
      <c r="B706" s="31"/>
      <c r="C706" s="32"/>
      <c r="D706" s="33"/>
      <c r="E706" s="34"/>
      <c r="F706" s="34"/>
      <c r="G706" s="35"/>
      <c r="H706" s="36"/>
      <c r="I706" s="37"/>
    </row>
    <row r="707" ht="22.5" customHeight="1">
      <c r="A707" s="30"/>
      <c r="B707" s="31"/>
      <c r="C707" s="32"/>
      <c r="D707" s="33"/>
      <c r="E707" s="34"/>
      <c r="F707" s="34"/>
      <c r="G707" s="35"/>
      <c r="H707" s="36"/>
      <c r="I707" s="37"/>
    </row>
    <row r="708" ht="22.5" customHeight="1">
      <c r="A708" s="30"/>
      <c r="B708" s="31"/>
      <c r="C708" s="32"/>
      <c r="D708" s="33"/>
      <c r="E708" s="34"/>
      <c r="F708" s="34"/>
      <c r="G708" s="35"/>
      <c r="H708" s="36"/>
      <c r="I708" s="37"/>
    </row>
    <row r="709" ht="22.5" customHeight="1">
      <c r="A709" s="30"/>
      <c r="B709" s="31"/>
      <c r="C709" s="32"/>
      <c r="D709" s="33"/>
      <c r="E709" s="34"/>
      <c r="F709" s="34"/>
      <c r="G709" s="35"/>
      <c r="H709" s="36"/>
      <c r="I709" s="37"/>
    </row>
    <row r="710" ht="22.5" customHeight="1">
      <c r="A710" s="30"/>
      <c r="B710" s="31"/>
      <c r="C710" s="32"/>
      <c r="D710" s="33"/>
      <c r="E710" s="34"/>
      <c r="F710" s="34"/>
      <c r="G710" s="35"/>
      <c r="H710" s="36"/>
      <c r="I710" s="37"/>
    </row>
    <row r="711" ht="22.5" customHeight="1">
      <c r="A711" s="30"/>
      <c r="B711" s="31"/>
      <c r="C711" s="32"/>
      <c r="D711" s="33"/>
      <c r="E711" s="34"/>
      <c r="F711" s="34"/>
      <c r="G711" s="35"/>
      <c r="H711" s="36"/>
      <c r="I711" s="37"/>
    </row>
    <row r="712" ht="22.5" customHeight="1">
      <c r="A712" s="30"/>
      <c r="B712" s="31"/>
      <c r="C712" s="32"/>
      <c r="D712" s="33"/>
      <c r="E712" s="34"/>
      <c r="F712" s="34"/>
      <c r="G712" s="35"/>
      <c r="H712" s="36"/>
      <c r="I712" s="37"/>
    </row>
    <row r="713" ht="22.5" customHeight="1">
      <c r="A713" s="30"/>
      <c r="B713" s="31"/>
      <c r="C713" s="32"/>
      <c r="D713" s="33"/>
      <c r="E713" s="34"/>
      <c r="F713" s="34"/>
      <c r="G713" s="35"/>
      <c r="H713" s="36"/>
      <c r="I713" s="37"/>
    </row>
    <row r="714" ht="22.5" customHeight="1">
      <c r="A714" s="30"/>
      <c r="B714" s="31"/>
      <c r="C714" s="32"/>
      <c r="D714" s="33"/>
      <c r="E714" s="34"/>
      <c r="F714" s="34"/>
      <c r="G714" s="35"/>
      <c r="H714" s="36"/>
      <c r="I714" s="37"/>
    </row>
    <row r="715" ht="22.5" customHeight="1">
      <c r="A715" s="30"/>
      <c r="B715" s="31"/>
      <c r="C715" s="32"/>
      <c r="D715" s="33"/>
      <c r="E715" s="34"/>
      <c r="F715" s="34"/>
      <c r="G715" s="35"/>
      <c r="H715" s="36"/>
      <c r="I715" s="37"/>
    </row>
    <row r="716" ht="22.5" customHeight="1">
      <c r="A716" s="30"/>
      <c r="B716" s="31"/>
      <c r="C716" s="32"/>
      <c r="D716" s="33"/>
      <c r="E716" s="34"/>
      <c r="F716" s="34"/>
      <c r="G716" s="35"/>
      <c r="H716" s="36"/>
      <c r="I716" s="37"/>
    </row>
    <row r="717" ht="22.5" customHeight="1">
      <c r="A717" s="30"/>
      <c r="B717" s="31"/>
      <c r="C717" s="32"/>
      <c r="D717" s="33"/>
      <c r="E717" s="34"/>
      <c r="F717" s="34"/>
      <c r="G717" s="35"/>
      <c r="H717" s="36"/>
      <c r="I717" s="37"/>
    </row>
    <row r="718" ht="22.5" customHeight="1">
      <c r="A718" s="30"/>
      <c r="B718" s="31"/>
      <c r="C718" s="32"/>
      <c r="D718" s="33"/>
      <c r="E718" s="34"/>
      <c r="F718" s="34"/>
      <c r="G718" s="35"/>
      <c r="H718" s="36"/>
      <c r="I718" s="37"/>
    </row>
    <row r="719" ht="22.5" customHeight="1">
      <c r="A719" s="30"/>
      <c r="B719" s="31"/>
      <c r="C719" s="32"/>
      <c r="D719" s="33"/>
      <c r="E719" s="34"/>
      <c r="F719" s="34"/>
      <c r="G719" s="35"/>
      <c r="H719" s="36"/>
      <c r="I719" s="37"/>
    </row>
    <row r="720" ht="22.5" customHeight="1">
      <c r="A720" s="30"/>
      <c r="B720" s="31"/>
      <c r="C720" s="32"/>
      <c r="D720" s="33"/>
      <c r="E720" s="34"/>
      <c r="F720" s="34"/>
      <c r="G720" s="35"/>
      <c r="H720" s="36"/>
      <c r="I720" s="37"/>
    </row>
    <row r="721" ht="22.5" customHeight="1">
      <c r="A721" s="30"/>
      <c r="B721" s="31"/>
      <c r="C721" s="32"/>
      <c r="D721" s="33"/>
      <c r="E721" s="34"/>
      <c r="F721" s="34"/>
      <c r="G721" s="35"/>
      <c r="H721" s="36"/>
      <c r="I721" s="37"/>
    </row>
    <row r="722" ht="22.5" customHeight="1">
      <c r="A722" s="30"/>
      <c r="B722" s="31"/>
      <c r="C722" s="32"/>
      <c r="D722" s="33"/>
      <c r="E722" s="34"/>
      <c r="F722" s="34"/>
      <c r="G722" s="35"/>
      <c r="H722" s="36"/>
      <c r="I722" s="37"/>
    </row>
    <row r="723" ht="22.5" customHeight="1">
      <c r="A723" s="30"/>
      <c r="B723" s="31"/>
      <c r="C723" s="32"/>
      <c r="D723" s="33"/>
      <c r="E723" s="34"/>
      <c r="F723" s="34"/>
      <c r="G723" s="35"/>
      <c r="H723" s="36"/>
      <c r="I723" s="37"/>
    </row>
    <row r="724" ht="22.5" customHeight="1">
      <c r="A724" s="30"/>
      <c r="B724" s="31"/>
      <c r="C724" s="32"/>
      <c r="D724" s="33"/>
      <c r="E724" s="34"/>
      <c r="F724" s="34"/>
      <c r="G724" s="35"/>
      <c r="H724" s="36"/>
      <c r="I724" s="37"/>
    </row>
    <row r="725" ht="22.5" customHeight="1">
      <c r="A725" s="30"/>
      <c r="B725" s="40"/>
      <c r="C725" s="32"/>
      <c r="D725" s="33"/>
      <c r="E725" s="34"/>
      <c r="F725" s="34"/>
      <c r="G725" s="35"/>
      <c r="H725" s="36"/>
      <c r="I725" s="37"/>
    </row>
    <row r="726" ht="22.5" customHeight="1">
      <c r="A726" s="30"/>
      <c r="B726" s="31"/>
      <c r="C726" s="32"/>
      <c r="D726" s="33"/>
      <c r="E726" s="34"/>
      <c r="F726" s="34"/>
      <c r="G726" s="35"/>
      <c r="H726" s="36"/>
      <c r="I726" s="37"/>
    </row>
    <row r="727" ht="22.5" customHeight="1">
      <c r="A727" s="30"/>
      <c r="B727" s="31"/>
      <c r="C727" s="32"/>
      <c r="D727" s="33"/>
      <c r="E727" s="34"/>
      <c r="F727" s="34"/>
      <c r="G727" s="35"/>
      <c r="H727" s="36"/>
      <c r="I727" s="37"/>
    </row>
    <row r="728" ht="22.5" customHeight="1">
      <c r="A728" s="30"/>
      <c r="B728" s="31"/>
      <c r="C728" s="32"/>
      <c r="D728" s="33"/>
      <c r="E728" s="34"/>
      <c r="F728" s="34"/>
      <c r="G728" s="35"/>
      <c r="H728" s="36"/>
      <c r="I728" s="37"/>
    </row>
    <row r="729" ht="22.5" customHeight="1">
      <c r="A729" s="30"/>
      <c r="B729" s="31"/>
      <c r="C729" s="32"/>
      <c r="D729" s="33"/>
      <c r="E729" s="34"/>
      <c r="F729" s="34"/>
      <c r="G729" s="35"/>
      <c r="H729" s="36"/>
      <c r="I729" s="38"/>
    </row>
    <row r="730" ht="22.5" customHeight="1">
      <c r="A730" s="30"/>
      <c r="B730" s="39"/>
      <c r="C730" s="32"/>
      <c r="D730" s="33"/>
      <c r="E730" s="34"/>
      <c r="F730" s="34"/>
      <c r="G730" s="35"/>
      <c r="H730" s="36"/>
      <c r="I730" s="37"/>
    </row>
    <row r="731" ht="22.5" customHeight="1">
      <c r="A731" s="30"/>
      <c r="B731" s="31"/>
      <c r="C731" s="32"/>
      <c r="D731" s="33"/>
      <c r="E731" s="34"/>
      <c r="F731" s="34"/>
      <c r="G731" s="35"/>
      <c r="H731" s="36"/>
      <c r="I731" s="37"/>
    </row>
    <row r="732" ht="22.5" customHeight="1">
      <c r="A732" s="30"/>
      <c r="B732" s="31"/>
      <c r="C732" s="32"/>
      <c r="D732" s="33"/>
      <c r="E732" s="34"/>
      <c r="F732" s="34"/>
      <c r="G732" s="35"/>
      <c r="H732" s="36"/>
      <c r="I732" s="37"/>
    </row>
    <row r="733" ht="22.5" customHeight="1">
      <c r="A733" s="30"/>
      <c r="B733" s="31"/>
      <c r="C733" s="32"/>
      <c r="D733" s="33"/>
      <c r="E733" s="34"/>
      <c r="F733" s="34"/>
      <c r="G733" s="35"/>
      <c r="H733" s="36"/>
      <c r="I733" s="37"/>
    </row>
    <row r="734" ht="22.5" customHeight="1">
      <c r="A734" s="30"/>
      <c r="B734" s="39"/>
      <c r="C734" s="32"/>
      <c r="D734" s="33"/>
      <c r="E734" s="34"/>
      <c r="F734" s="34"/>
      <c r="G734" s="35"/>
      <c r="H734" s="36"/>
      <c r="I734" s="37"/>
    </row>
    <row r="735" ht="22.5" customHeight="1">
      <c r="A735" s="30"/>
      <c r="B735" s="31"/>
      <c r="C735" s="32"/>
      <c r="D735" s="33"/>
      <c r="E735" s="34"/>
      <c r="F735" s="34"/>
      <c r="G735" s="35"/>
      <c r="H735" s="36"/>
      <c r="I735" s="37"/>
    </row>
    <row r="736" ht="22.5" customHeight="1">
      <c r="A736" s="30"/>
      <c r="B736" s="39"/>
      <c r="C736" s="32"/>
      <c r="D736" s="33"/>
      <c r="E736" s="34"/>
      <c r="F736" s="34"/>
      <c r="G736" s="35"/>
      <c r="H736" s="36"/>
      <c r="I736" s="37"/>
    </row>
    <row r="737" ht="22.5" customHeight="1">
      <c r="A737" s="30"/>
      <c r="B737" s="31"/>
      <c r="C737" s="32"/>
      <c r="D737" s="33"/>
      <c r="E737" s="34"/>
      <c r="F737" s="34"/>
      <c r="G737" s="35"/>
      <c r="H737" s="36"/>
      <c r="I737" s="37"/>
    </row>
    <row r="738" ht="22.5" customHeight="1">
      <c r="A738" s="30"/>
      <c r="B738" s="31"/>
      <c r="C738" s="32"/>
      <c r="D738" s="33"/>
      <c r="E738" s="34"/>
      <c r="F738" s="34"/>
      <c r="G738" s="35"/>
      <c r="H738" s="36"/>
      <c r="I738" s="37"/>
    </row>
    <row r="739" ht="22.5" customHeight="1">
      <c r="A739" s="30"/>
      <c r="B739" s="31"/>
      <c r="C739" s="32"/>
      <c r="D739" s="33"/>
      <c r="E739" s="34"/>
      <c r="F739" s="34"/>
      <c r="G739" s="35"/>
      <c r="H739" s="36"/>
      <c r="I739" s="37"/>
    </row>
    <row r="740" ht="22.5" customHeight="1">
      <c r="A740" s="30"/>
      <c r="B740" s="31"/>
      <c r="C740" s="32"/>
      <c r="D740" s="33"/>
      <c r="E740" s="34"/>
      <c r="F740" s="34"/>
      <c r="G740" s="35"/>
      <c r="H740" s="36"/>
      <c r="I740" s="37"/>
    </row>
    <row r="741" ht="22.5" customHeight="1">
      <c r="A741" s="30"/>
      <c r="B741" s="31"/>
      <c r="C741" s="32"/>
      <c r="D741" s="33"/>
      <c r="E741" s="34"/>
      <c r="F741" s="34"/>
      <c r="G741" s="35"/>
      <c r="H741" s="36"/>
      <c r="I741" s="37"/>
    </row>
    <row r="742" ht="22.5" customHeight="1">
      <c r="A742" s="30"/>
      <c r="B742" s="31"/>
      <c r="C742" s="32"/>
      <c r="D742" s="33"/>
      <c r="E742" s="34"/>
      <c r="F742" s="34"/>
      <c r="G742" s="35"/>
      <c r="H742" s="36"/>
      <c r="I742" s="37"/>
    </row>
    <row r="743" ht="22.5" customHeight="1">
      <c r="A743" s="30"/>
      <c r="B743" s="31"/>
      <c r="C743" s="32"/>
      <c r="D743" s="33"/>
      <c r="E743" s="34"/>
      <c r="F743" s="34"/>
      <c r="G743" s="35"/>
      <c r="H743" s="36"/>
      <c r="I743" s="37"/>
    </row>
    <row r="744" ht="22.5" customHeight="1">
      <c r="A744" s="30"/>
      <c r="B744" s="31"/>
      <c r="C744" s="32"/>
      <c r="D744" s="33"/>
      <c r="E744" s="34"/>
      <c r="F744" s="34"/>
      <c r="G744" s="35"/>
      <c r="H744" s="36"/>
      <c r="I744" s="37"/>
    </row>
    <row r="745" ht="22.5" customHeight="1">
      <c r="A745" s="30"/>
      <c r="B745" s="31"/>
      <c r="C745" s="32"/>
      <c r="D745" s="33"/>
      <c r="E745" s="34"/>
      <c r="F745" s="34"/>
      <c r="G745" s="35"/>
      <c r="H745" s="36"/>
      <c r="I745" s="37"/>
    </row>
    <row r="746" ht="22.5" customHeight="1">
      <c r="A746" s="30"/>
      <c r="B746" s="31"/>
      <c r="C746" s="32"/>
      <c r="D746" s="33"/>
      <c r="E746" s="34"/>
      <c r="F746" s="34"/>
      <c r="G746" s="35"/>
      <c r="H746" s="36"/>
      <c r="I746" s="37"/>
    </row>
    <row r="747" ht="22.5" customHeight="1">
      <c r="A747" s="30"/>
      <c r="B747" s="40"/>
      <c r="C747" s="32"/>
      <c r="D747" s="33"/>
      <c r="E747" s="34"/>
      <c r="F747" s="34"/>
      <c r="G747" s="35"/>
      <c r="H747" s="36"/>
      <c r="I747" s="37"/>
    </row>
    <row r="748" ht="22.5" customHeight="1">
      <c r="A748" s="30"/>
      <c r="B748" s="31"/>
      <c r="C748" s="32"/>
      <c r="D748" s="33"/>
      <c r="E748" s="34"/>
      <c r="F748" s="34"/>
      <c r="G748" s="35"/>
      <c r="H748" s="36"/>
      <c r="I748" s="37"/>
    </row>
    <row r="749" ht="22.5" customHeight="1">
      <c r="A749" s="30"/>
      <c r="B749" s="31"/>
      <c r="C749" s="32"/>
      <c r="D749" s="33"/>
      <c r="E749" s="34"/>
      <c r="F749" s="34"/>
      <c r="G749" s="35"/>
      <c r="H749" s="36"/>
      <c r="I749" s="37"/>
    </row>
    <row r="750" ht="22.5" customHeight="1">
      <c r="A750" s="30"/>
      <c r="B750" s="31"/>
      <c r="C750" s="32"/>
      <c r="D750" s="33"/>
      <c r="E750" s="34"/>
      <c r="F750" s="34"/>
      <c r="G750" s="35"/>
      <c r="H750" s="36"/>
      <c r="I750" s="37"/>
    </row>
    <row r="751" ht="22.5" customHeight="1">
      <c r="A751" s="30"/>
      <c r="B751" s="31"/>
      <c r="C751" s="32"/>
      <c r="D751" s="33"/>
      <c r="E751" s="34"/>
      <c r="F751" s="34"/>
      <c r="G751" s="35"/>
      <c r="H751" s="36"/>
      <c r="I751" s="37"/>
    </row>
    <row r="752" ht="22.5" customHeight="1">
      <c r="A752" s="30"/>
      <c r="B752" s="31"/>
      <c r="C752" s="32"/>
      <c r="D752" s="33"/>
      <c r="E752" s="34"/>
      <c r="F752" s="34"/>
      <c r="G752" s="35"/>
      <c r="H752" s="36"/>
      <c r="I752" s="37"/>
    </row>
    <row r="753" ht="22.5" customHeight="1">
      <c r="A753" s="30"/>
      <c r="B753" s="31"/>
      <c r="C753" s="32"/>
      <c r="D753" s="33"/>
      <c r="E753" s="34"/>
      <c r="F753" s="34"/>
      <c r="G753" s="35"/>
      <c r="H753" s="36"/>
      <c r="I753" s="37"/>
    </row>
    <row r="754" ht="22.5" customHeight="1">
      <c r="A754" s="30"/>
      <c r="B754" s="39"/>
      <c r="C754" s="32"/>
      <c r="D754" s="33"/>
      <c r="E754" s="34"/>
      <c r="F754" s="34"/>
      <c r="G754" s="35"/>
      <c r="H754" s="36"/>
      <c r="I754" s="37"/>
    </row>
    <row r="755" ht="22.5" customHeight="1">
      <c r="A755" s="30"/>
      <c r="B755" s="39"/>
      <c r="C755" s="32"/>
      <c r="D755" s="33"/>
      <c r="E755" s="34"/>
      <c r="F755" s="34"/>
      <c r="G755" s="35"/>
      <c r="H755" s="36"/>
      <c r="I755" s="37"/>
    </row>
    <row r="756" ht="22.5" customHeight="1">
      <c r="A756" s="30"/>
      <c r="B756" s="39"/>
      <c r="C756" s="32"/>
      <c r="D756" s="33"/>
      <c r="E756" s="34"/>
      <c r="F756" s="34"/>
      <c r="G756" s="35"/>
      <c r="H756" s="36"/>
      <c r="I756" s="37"/>
    </row>
    <row r="757" ht="22.5" customHeight="1">
      <c r="A757" s="30"/>
      <c r="B757" s="40"/>
      <c r="C757" s="32"/>
      <c r="D757" s="33"/>
      <c r="E757" s="34"/>
      <c r="F757" s="34"/>
      <c r="G757" s="35"/>
      <c r="H757" s="36"/>
      <c r="I757" s="37"/>
    </row>
    <row r="758" ht="22.5" customHeight="1">
      <c r="A758" s="30"/>
      <c r="B758" s="31"/>
      <c r="C758" s="32"/>
      <c r="D758" s="33"/>
      <c r="E758" s="34"/>
      <c r="F758" s="34"/>
      <c r="G758" s="35"/>
      <c r="H758" s="36"/>
      <c r="I758" s="37"/>
    </row>
    <row r="759" ht="22.5" customHeight="1">
      <c r="A759" s="30"/>
      <c r="B759" s="31"/>
      <c r="C759" s="32"/>
      <c r="D759" s="33"/>
      <c r="E759" s="34"/>
      <c r="F759" s="34"/>
      <c r="G759" s="35"/>
      <c r="H759" s="36"/>
      <c r="I759" s="37"/>
    </row>
    <row r="760" ht="22.5" customHeight="1">
      <c r="A760" s="30"/>
      <c r="B760" s="31"/>
      <c r="C760" s="32"/>
      <c r="D760" s="33"/>
      <c r="E760" s="34"/>
      <c r="F760" s="34"/>
      <c r="G760" s="35"/>
      <c r="H760" s="36"/>
      <c r="I760" s="37"/>
    </row>
    <row r="761" ht="22.5" customHeight="1">
      <c r="A761" s="30"/>
      <c r="B761" s="31"/>
      <c r="C761" s="32"/>
      <c r="D761" s="33"/>
      <c r="E761" s="34"/>
      <c r="F761" s="34"/>
      <c r="G761" s="35"/>
      <c r="H761" s="36"/>
      <c r="I761" s="37"/>
    </row>
    <row r="762" ht="22.5" customHeight="1">
      <c r="A762" s="30"/>
      <c r="B762" s="31"/>
      <c r="C762" s="32"/>
      <c r="D762" s="33"/>
      <c r="E762" s="34"/>
      <c r="F762" s="34"/>
      <c r="G762" s="35"/>
      <c r="H762" s="36"/>
      <c r="I762" s="37"/>
    </row>
    <row r="763" ht="22.5" customHeight="1">
      <c r="A763" s="30"/>
      <c r="B763" s="31"/>
      <c r="C763" s="32"/>
      <c r="D763" s="33"/>
      <c r="E763" s="34"/>
      <c r="F763" s="34"/>
      <c r="G763" s="35"/>
      <c r="H763" s="36"/>
      <c r="I763" s="37"/>
    </row>
    <row r="764" ht="22.5" customHeight="1">
      <c r="A764" s="30"/>
      <c r="B764" s="31"/>
      <c r="C764" s="32"/>
      <c r="D764" s="33"/>
      <c r="E764" s="34"/>
      <c r="F764" s="34"/>
      <c r="G764" s="35"/>
      <c r="H764" s="36"/>
      <c r="I764" s="37"/>
    </row>
    <row r="765" ht="22.5" customHeight="1">
      <c r="A765" s="30"/>
      <c r="B765" s="31"/>
      <c r="C765" s="32"/>
      <c r="D765" s="33"/>
      <c r="E765" s="34"/>
      <c r="F765" s="34"/>
      <c r="G765" s="35"/>
      <c r="H765" s="36"/>
      <c r="I765" s="37"/>
    </row>
    <row r="766" ht="22.5" customHeight="1">
      <c r="A766" s="30"/>
      <c r="B766" s="31"/>
      <c r="C766" s="32"/>
      <c r="D766" s="33"/>
      <c r="E766" s="34"/>
      <c r="F766" s="34"/>
      <c r="G766" s="35"/>
      <c r="H766" s="36"/>
      <c r="I766" s="37"/>
    </row>
    <row r="767" ht="22.5" customHeight="1">
      <c r="A767" s="30"/>
      <c r="B767" s="40"/>
      <c r="C767" s="32"/>
      <c r="D767" s="33"/>
      <c r="E767" s="34"/>
      <c r="F767" s="34"/>
      <c r="G767" s="35"/>
      <c r="H767" s="36"/>
      <c r="I767" s="37"/>
    </row>
    <row r="768" ht="22.5" customHeight="1">
      <c r="A768" s="30"/>
      <c r="B768" s="31"/>
      <c r="C768" s="32"/>
      <c r="D768" s="33"/>
      <c r="E768" s="34"/>
      <c r="F768" s="34"/>
      <c r="G768" s="35"/>
      <c r="H768" s="36"/>
      <c r="I768" s="37"/>
    </row>
    <row r="769" ht="22.5" customHeight="1">
      <c r="A769" s="30"/>
      <c r="B769" s="31"/>
      <c r="C769" s="32"/>
      <c r="D769" s="33"/>
      <c r="E769" s="34"/>
      <c r="F769" s="34"/>
      <c r="G769" s="35"/>
      <c r="H769" s="36"/>
      <c r="I769" s="37"/>
    </row>
    <row r="770" ht="22.5" customHeight="1">
      <c r="A770" s="30"/>
      <c r="B770" s="31"/>
      <c r="C770" s="32"/>
      <c r="D770" s="33"/>
      <c r="E770" s="34"/>
      <c r="F770" s="34"/>
      <c r="G770" s="35"/>
      <c r="H770" s="36"/>
      <c r="I770" s="37"/>
    </row>
    <row r="771" ht="22.5" customHeight="1">
      <c r="A771" s="30"/>
      <c r="B771" s="40"/>
      <c r="C771" s="32"/>
      <c r="D771" s="33"/>
      <c r="E771" s="34"/>
      <c r="F771" s="34"/>
      <c r="G771" s="35"/>
      <c r="H771" s="36"/>
      <c r="I771" s="37"/>
    </row>
    <row r="772" ht="22.5" customHeight="1">
      <c r="A772" s="30"/>
      <c r="B772" s="31"/>
      <c r="C772" s="32"/>
      <c r="D772" s="33"/>
      <c r="E772" s="34"/>
      <c r="F772" s="34"/>
      <c r="G772" s="35"/>
      <c r="H772" s="36"/>
      <c r="I772" s="37"/>
    </row>
    <row r="773" ht="22.5" customHeight="1">
      <c r="A773" s="30"/>
      <c r="B773" s="31"/>
      <c r="C773" s="32"/>
      <c r="D773" s="33"/>
      <c r="E773" s="34"/>
      <c r="F773" s="34"/>
      <c r="G773" s="35"/>
      <c r="H773" s="36"/>
      <c r="I773" s="37"/>
    </row>
    <row r="774" ht="22.5" customHeight="1">
      <c r="A774" s="30"/>
      <c r="B774" s="31"/>
      <c r="C774" s="32"/>
      <c r="D774" s="33"/>
      <c r="E774" s="34"/>
      <c r="F774" s="34"/>
      <c r="G774" s="35"/>
      <c r="H774" s="36"/>
      <c r="I774" s="37"/>
    </row>
    <row r="775" ht="22.5" customHeight="1">
      <c r="A775" s="30"/>
      <c r="B775" s="31"/>
      <c r="C775" s="32"/>
      <c r="D775" s="33"/>
      <c r="E775" s="34"/>
      <c r="F775" s="34"/>
      <c r="G775" s="35"/>
      <c r="H775" s="36"/>
      <c r="I775" s="37"/>
    </row>
    <row r="776" ht="22.5" customHeight="1">
      <c r="A776" s="30"/>
      <c r="B776" s="31"/>
      <c r="C776" s="32"/>
      <c r="D776" s="33"/>
      <c r="E776" s="34"/>
      <c r="F776" s="34"/>
      <c r="G776" s="35"/>
      <c r="H776" s="36"/>
      <c r="I776" s="37"/>
    </row>
    <row r="777" ht="22.5" customHeight="1">
      <c r="A777" s="30"/>
      <c r="B777" s="31"/>
      <c r="C777" s="32"/>
      <c r="D777" s="33"/>
      <c r="E777" s="34"/>
      <c r="F777" s="34"/>
      <c r="G777" s="35"/>
      <c r="H777" s="36"/>
      <c r="I777" s="37"/>
    </row>
    <row r="778" ht="22.5" customHeight="1">
      <c r="A778" s="30"/>
      <c r="B778" s="31"/>
      <c r="C778" s="32"/>
      <c r="D778" s="33"/>
      <c r="E778" s="34"/>
      <c r="F778" s="34"/>
      <c r="G778" s="35"/>
      <c r="H778" s="36"/>
      <c r="I778" s="37"/>
    </row>
    <row r="779" ht="22.5" customHeight="1">
      <c r="A779" s="30"/>
      <c r="B779" s="31"/>
      <c r="C779" s="32"/>
      <c r="D779" s="33"/>
      <c r="E779" s="34"/>
      <c r="F779" s="34"/>
      <c r="G779" s="35"/>
      <c r="H779" s="36"/>
      <c r="I779" s="37"/>
    </row>
    <row r="780" ht="22.5" customHeight="1">
      <c r="A780" s="30"/>
      <c r="B780" s="31"/>
      <c r="C780" s="32"/>
      <c r="D780" s="33"/>
      <c r="E780" s="34"/>
      <c r="F780" s="34"/>
      <c r="G780" s="35"/>
      <c r="H780" s="36"/>
      <c r="I780" s="37"/>
    </row>
    <row r="781" ht="22.5" customHeight="1">
      <c r="A781" s="30"/>
      <c r="B781" s="31"/>
      <c r="C781" s="32"/>
      <c r="D781" s="33"/>
      <c r="E781" s="34"/>
      <c r="F781" s="34"/>
      <c r="G781" s="35"/>
      <c r="H781" s="36"/>
      <c r="I781" s="37"/>
    </row>
    <row r="782" ht="22.5" customHeight="1">
      <c r="A782" s="30"/>
      <c r="B782" s="31"/>
      <c r="C782" s="32"/>
      <c r="D782" s="33"/>
      <c r="E782" s="34"/>
      <c r="F782" s="34"/>
      <c r="G782" s="35"/>
      <c r="H782" s="36"/>
      <c r="I782" s="37"/>
    </row>
    <row r="783" ht="22.5" customHeight="1">
      <c r="A783" s="30"/>
      <c r="B783" s="31"/>
      <c r="C783" s="32"/>
      <c r="D783" s="33"/>
      <c r="E783" s="34"/>
      <c r="F783" s="34"/>
      <c r="G783" s="35"/>
      <c r="H783" s="36"/>
      <c r="I783" s="37"/>
    </row>
    <row r="784" ht="22.5" customHeight="1">
      <c r="A784" s="30"/>
      <c r="B784" s="31"/>
      <c r="C784" s="32"/>
      <c r="D784" s="33"/>
      <c r="E784" s="34"/>
      <c r="F784" s="34"/>
      <c r="G784" s="35"/>
      <c r="H784" s="36"/>
      <c r="I784" s="37"/>
    </row>
    <row r="785" ht="22.5" customHeight="1">
      <c r="A785" s="30"/>
      <c r="B785" s="31"/>
      <c r="C785" s="32"/>
      <c r="D785" s="33"/>
      <c r="E785" s="34"/>
      <c r="F785" s="34"/>
      <c r="G785" s="35"/>
      <c r="H785" s="36"/>
      <c r="I785" s="37"/>
    </row>
    <row r="786" ht="22.5" customHeight="1">
      <c r="A786" s="30"/>
      <c r="B786" s="40"/>
      <c r="C786" s="32"/>
      <c r="D786" s="33"/>
      <c r="E786" s="34"/>
      <c r="F786" s="34"/>
      <c r="G786" s="35"/>
      <c r="H786" s="36"/>
      <c r="I786" s="37"/>
    </row>
    <row r="787" ht="22.5" customHeight="1">
      <c r="A787" s="30"/>
      <c r="B787" s="31"/>
      <c r="C787" s="32"/>
      <c r="D787" s="33"/>
      <c r="E787" s="34"/>
      <c r="F787" s="34"/>
      <c r="G787" s="35"/>
      <c r="H787" s="36"/>
      <c r="I787" s="37"/>
    </row>
    <row r="788" ht="22.5" customHeight="1">
      <c r="A788" s="30"/>
      <c r="B788" s="40"/>
      <c r="C788" s="32"/>
      <c r="D788" s="33"/>
      <c r="E788" s="34"/>
      <c r="F788" s="34"/>
      <c r="G788" s="35"/>
      <c r="H788" s="36"/>
      <c r="I788" s="37"/>
    </row>
    <row r="789" ht="22.5" customHeight="1">
      <c r="A789" s="30"/>
      <c r="B789" s="31"/>
      <c r="C789" s="32"/>
      <c r="D789" s="33"/>
      <c r="E789" s="34"/>
      <c r="F789" s="34"/>
      <c r="G789" s="35"/>
      <c r="H789" s="36"/>
      <c r="I789" s="37"/>
    </row>
    <row r="790" ht="22.5" customHeight="1">
      <c r="A790" s="30"/>
      <c r="B790" s="31"/>
      <c r="C790" s="32"/>
      <c r="D790" s="33"/>
      <c r="E790" s="34"/>
      <c r="F790" s="34"/>
      <c r="G790" s="35"/>
      <c r="H790" s="36"/>
      <c r="I790" s="37"/>
    </row>
    <row r="791" ht="22.5" customHeight="1">
      <c r="A791" s="30"/>
      <c r="B791" s="31"/>
      <c r="C791" s="32"/>
      <c r="D791" s="33"/>
      <c r="E791" s="34"/>
      <c r="F791" s="34"/>
      <c r="G791" s="35"/>
      <c r="H791" s="36"/>
      <c r="I791" s="37"/>
    </row>
    <row r="792" ht="22.5" customHeight="1">
      <c r="A792" s="30"/>
      <c r="B792" s="31"/>
      <c r="C792" s="32"/>
      <c r="D792" s="33"/>
      <c r="E792" s="34"/>
      <c r="F792" s="34"/>
      <c r="G792" s="35"/>
      <c r="H792" s="36"/>
      <c r="I792" s="37"/>
    </row>
    <row r="793" ht="22.5" customHeight="1">
      <c r="A793" s="30"/>
      <c r="B793" s="40"/>
      <c r="C793" s="32"/>
      <c r="D793" s="33"/>
      <c r="E793" s="34"/>
      <c r="F793" s="34"/>
      <c r="G793" s="35"/>
      <c r="H793" s="36"/>
      <c r="I793" s="37"/>
    </row>
    <row r="794" ht="22.5" customHeight="1">
      <c r="A794" s="30"/>
      <c r="B794" s="31"/>
      <c r="C794" s="32"/>
      <c r="D794" s="33"/>
      <c r="E794" s="34"/>
      <c r="F794" s="34"/>
      <c r="G794" s="35"/>
      <c r="H794" s="36"/>
      <c r="I794" s="37"/>
    </row>
    <row r="795" ht="22.5" customHeight="1">
      <c r="A795" s="30"/>
      <c r="B795" s="31"/>
      <c r="C795" s="32"/>
      <c r="D795" s="33"/>
      <c r="E795" s="34"/>
      <c r="F795" s="34"/>
      <c r="G795" s="35"/>
      <c r="H795" s="36"/>
      <c r="I795" s="37"/>
    </row>
    <row r="796" ht="22.5" customHeight="1">
      <c r="A796" s="30"/>
      <c r="B796" s="31"/>
      <c r="C796" s="32"/>
      <c r="D796" s="33"/>
      <c r="E796" s="34"/>
      <c r="F796" s="34"/>
      <c r="G796" s="35"/>
      <c r="H796" s="36"/>
      <c r="I796" s="37"/>
    </row>
    <row r="797" ht="22.5" customHeight="1">
      <c r="A797" s="30"/>
      <c r="B797" s="31"/>
      <c r="C797" s="32"/>
      <c r="D797" s="33"/>
      <c r="E797" s="34"/>
      <c r="F797" s="34"/>
      <c r="G797" s="35"/>
      <c r="H797" s="36"/>
      <c r="I797" s="37"/>
    </row>
    <row r="798" ht="22.5" customHeight="1">
      <c r="A798" s="30"/>
      <c r="B798" s="31"/>
      <c r="C798" s="32"/>
      <c r="D798" s="33"/>
      <c r="E798" s="34"/>
      <c r="F798" s="34"/>
      <c r="G798" s="35"/>
      <c r="H798" s="36"/>
      <c r="I798" s="37"/>
    </row>
    <row r="799" ht="22.5" customHeight="1">
      <c r="A799" s="30"/>
      <c r="B799" s="31"/>
      <c r="C799" s="32"/>
      <c r="D799" s="33"/>
      <c r="E799" s="34"/>
      <c r="F799" s="34"/>
      <c r="G799" s="35"/>
      <c r="H799" s="36"/>
      <c r="I799" s="37"/>
    </row>
    <row r="800" ht="22.5" customHeight="1">
      <c r="A800" s="30"/>
      <c r="B800" s="31"/>
      <c r="C800" s="32"/>
      <c r="D800" s="33"/>
      <c r="E800" s="34"/>
      <c r="F800" s="34"/>
      <c r="G800" s="35"/>
      <c r="H800" s="36"/>
      <c r="I800" s="37"/>
    </row>
    <row r="801" ht="22.5" customHeight="1">
      <c r="A801" s="30"/>
      <c r="B801" s="31"/>
      <c r="C801" s="32"/>
      <c r="D801" s="33"/>
      <c r="E801" s="34"/>
      <c r="F801" s="34"/>
      <c r="G801" s="35"/>
      <c r="H801" s="36"/>
      <c r="I801" s="37"/>
    </row>
    <row r="802" ht="22.5" customHeight="1">
      <c r="A802" s="30"/>
      <c r="B802" s="31"/>
      <c r="C802" s="32"/>
      <c r="D802" s="33"/>
      <c r="E802" s="34"/>
      <c r="F802" s="34"/>
      <c r="G802" s="35"/>
      <c r="H802" s="36"/>
      <c r="I802" s="37"/>
    </row>
    <row r="803" ht="22.5" customHeight="1">
      <c r="A803" s="30"/>
      <c r="B803" s="31"/>
      <c r="C803" s="32"/>
      <c r="D803" s="33"/>
      <c r="E803" s="34"/>
      <c r="F803" s="34"/>
      <c r="G803" s="35"/>
      <c r="H803" s="36"/>
      <c r="I803" s="37"/>
    </row>
    <row r="804" ht="22.5" customHeight="1">
      <c r="A804" s="30"/>
      <c r="B804" s="31"/>
      <c r="C804" s="32"/>
      <c r="D804" s="33"/>
      <c r="E804" s="34"/>
      <c r="F804" s="34"/>
      <c r="G804" s="35"/>
      <c r="H804" s="36"/>
      <c r="I804" s="37"/>
    </row>
    <row r="805" ht="22.5" customHeight="1">
      <c r="A805" s="30"/>
      <c r="B805" s="31"/>
      <c r="C805" s="32"/>
      <c r="D805" s="33"/>
      <c r="E805" s="34"/>
      <c r="F805" s="34"/>
      <c r="G805" s="35"/>
      <c r="H805" s="36"/>
      <c r="I805" s="37"/>
    </row>
    <row r="806" ht="22.5" customHeight="1">
      <c r="A806" s="30"/>
      <c r="B806" s="31"/>
      <c r="C806" s="32"/>
      <c r="D806" s="33"/>
      <c r="E806" s="34"/>
      <c r="F806" s="34"/>
      <c r="G806" s="35"/>
      <c r="H806" s="36"/>
      <c r="I806" s="37"/>
    </row>
    <row r="807" ht="22.5" customHeight="1">
      <c r="A807" s="30"/>
      <c r="B807" s="31"/>
      <c r="C807" s="32"/>
      <c r="D807" s="33"/>
      <c r="E807" s="34"/>
      <c r="F807" s="34"/>
      <c r="G807" s="35"/>
      <c r="H807" s="36"/>
      <c r="I807" s="37"/>
    </row>
    <row r="808" ht="22.5" customHeight="1">
      <c r="A808" s="30"/>
      <c r="B808" s="31"/>
      <c r="C808" s="32"/>
      <c r="D808" s="33"/>
      <c r="E808" s="34"/>
      <c r="F808" s="34"/>
      <c r="G808" s="35"/>
      <c r="H808" s="36"/>
      <c r="I808" s="37"/>
    </row>
    <row r="809" ht="22.5" customHeight="1">
      <c r="A809" s="30"/>
      <c r="B809" s="31"/>
      <c r="C809" s="32"/>
      <c r="D809" s="33"/>
      <c r="E809" s="34"/>
      <c r="F809" s="34"/>
      <c r="G809" s="35"/>
      <c r="H809" s="36"/>
      <c r="I809" s="37"/>
    </row>
    <row r="810" ht="22.5" customHeight="1">
      <c r="A810" s="30"/>
      <c r="B810" s="31"/>
      <c r="C810" s="32"/>
      <c r="D810" s="33"/>
      <c r="E810" s="34"/>
      <c r="F810" s="34"/>
      <c r="G810" s="35"/>
      <c r="H810" s="36"/>
      <c r="I810" s="37"/>
    </row>
    <row r="811" ht="22.5" customHeight="1">
      <c r="A811" s="30"/>
      <c r="B811" s="31"/>
      <c r="C811" s="32"/>
      <c r="D811" s="33"/>
      <c r="E811" s="34"/>
      <c r="F811" s="34"/>
      <c r="G811" s="35"/>
      <c r="H811" s="36"/>
      <c r="I811" s="37"/>
    </row>
    <row r="812" ht="22.5" customHeight="1">
      <c r="A812" s="30"/>
      <c r="B812" s="31"/>
      <c r="C812" s="32"/>
      <c r="D812" s="33"/>
      <c r="E812" s="34"/>
      <c r="F812" s="34"/>
      <c r="G812" s="35"/>
      <c r="H812" s="36"/>
      <c r="I812" s="37"/>
    </row>
    <row r="813" ht="22.5" customHeight="1">
      <c r="A813" s="30"/>
      <c r="B813" s="31"/>
      <c r="C813" s="32"/>
      <c r="D813" s="33"/>
      <c r="E813" s="34"/>
      <c r="F813" s="34"/>
      <c r="G813" s="35"/>
      <c r="H813" s="36"/>
      <c r="I813" s="37"/>
    </row>
    <row r="814" ht="22.5" customHeight="1">
      <c r="A814" s="30"/>
      <c r="B814" s="31"/>
      <c r="C814" s="32"/>
      <c r="D814" s="33"/>
      <c r="E814" s="34"/>
      <c r="F814" s="34"/>
      <c r="G814" s="35"/>
      <c r="H814" s="36"/>
      <c r="I814" s="37"/>
    </row>
    <row r="815" ht="22.5" customHeight="1">
      <c r="A815" s="30"/>
      <c r="B815" s="40"/>
      <c r="C815" s="32"/>
      <c r="D815" s="33"/>
      <c r="E815" s="34"/>
      <c r="F815" s="34"/>
      <c r="G815" s="35"/>
      <c r="H815" s="36"/>
      <c r="I815" s="37"/>
    </row>
    <row r="816" ht="22.5" customHeight="1">
      <c r="A816" s="30"/>
      <c r="B816" s="31"/>
      <c r="C816" s="32"/>
      <c r="D816" s="33"/>
      <c r="E816" s="34"/>
      <c r="F816" s="34"/>
      <c r="G816" s="35"/>
      <c r="H816" s="36"/>
      <c r="I816" s="37"/>
    </row>
    <row r="817" ht="22.5" customHeight="1">
      <c r="A817" s="30"/>
      <c r="B817" s="31"/>
      <c r="C817" s="32"/>
      <c r="D817" s="33"/>
      <c r="E817" s="34"/>
      <c r="F817" s="34"/>
      <c r="G817" s="35"/>
      <c r="H817" s="36"/>
      <c r="I817" s="37"/>
    </row>
    <row r="818" ht="22.5" customHeight="1">
      <c r="A818" s="30"/>
      <c r="B818" s="31"/>
      <c r="C818" s="32"/>
      <c r="D818" s="33"/>
      <c r="E818" s="34"/>
      <c r="F818" s="34"/>
      <c r="G818" s="35"/>
      <c r="H818" s="36"/>
      <c r="I818" s="37"/>
    </row>
    <row r="819" ht="22.5" customHeight="1">
      <c r="A819" s="30"/>
      <c r="B819" s="31"/>
      <c r="C819" s="32"/>
      <c r="D819" s="33"/>
      <c r="E819" s="34"/>
      <c r="F819" s="34"/>
      <c r="G819" s="35"/>
      <c r="H819" s="36"/>
      <c r="I819" s="38"/>
    </row>
    <row r="820" ht="22.5" customHeight="1">
      <c r="A820" s="30"/>
      <c r="B820" s="39"/>
      <c r="C820" s="32"/>
      <c r="D820" s="33"/>
      <c r="E820" s="34"/>
      <c r="F820" s="34"/>
      <c r="G820" s="35"/>
      <c r="H820" s="36"/>
      <c r="I820" s="37"/>
    </row>
    <row r="821" ht="22.5" customHeight="1">
      <c r="A821" s="30"/>
      <c r="B821" s="31"/>
      <c r="C821" s="32"/>
      <c r="D821" s="33"/>
      <c r="E821" s="34"/>
      <c r="F821" s="34"/>
      <c r="G821" s="35"/>
      <c r="H821" s="36"/>
      <c r="I821" s="37"/>
    </row>
    <row r="822" ht="22.5" customHeight="1">
      <c r="A822" s="30"/>
      <c r="B822" s="31"/>
      <c r="C822" s="32"/>
      <c r="D822" s="33"/>
      <c r="E822" s="34"/>
      <c r="F822" s="34"/>
      <c r="G822" s="35"/>
      <c r="H822" s="36"/>
      <c r="I822" s="37"/>
    </row>
    <row r="823" ht="22.5" customHeight="1">
      <c r="A823" s="30"/>
      <c r="B823" s="31"/>
      <c r="C823" s="32"/>
      <c r="D823" s="33"/>
      <c r="E823" s="34"/>
      <c r="F823" s="34"/>
      <c r="G823" s="35"/>
      <c r="H823" s="36"/>
      <c r="I823" s="37"/>
    </row>
    <row r="824" ht="22.5" customHeight="1">
      <c r="A824" s="30"/>
      <c r="B824" s="39"/>
      <c r="C824" s="32"/>
      <c r="D824" s="33"/>
      <c r="E824" s="34"/>
      <c r="F824" s="34"/>
      <c r="G824" s="35"/>
      <c r="H824" s="36"/>
      <c r="I824" s="37"/>
    </row>
    <row r="825" ht="22.5" customHeight="1">
      <c r="A825" s="30"/>
      <c r="B825" s="31"/>
      <c r="C825" s="32"/>
      <c r="D825" s="33"/>
      <c r="E825" s="34"/>
      <c r="F825" s="34"/>
      <c r="G825" s="35"/>
      <c r="H825" s="36"/>
      <c r="I825" s="37"/>
    </row>
    <row r="826" ht="22.5" customHeight="1">
      <c r="A826" s="30"/>
      <c r="B826" s="39"/>
      <c r="C826" s="32"/>
      <c r="D826" s="33"/>
      <c r="E826" s="34"/>
      <c r="F826" s="34"/>
      <c r="G826" s="35"/>
      <c r="H826" s="36"/>
      <c r="I826" s="37"/>
    </row>
    <row r="827" ht="22.5" customHeight="1">
      <c r="A827" s="30"/>
      <c r="B827" s="31"/>
      <c r="C827" s="32"/>
      <c r="D827" s="33"/>
      <c r="E827" s="34"/>
      <c r="F827" s="34"/>
      <c r="G827" s="35"/>
      <c r="H827" s="36"/>
      <c r="I827" s="37"/>
    </row>
    <row r="828" ht="22.5" customHeight="1">
      <c r="A828" s="30"/>
      <c r="B828" s="31"/>
      <c r="C828" s="32"/>
      <c r="D828" s="33"/>
      <c r="E828" s="34"/>
      <c r="F828" s="34"/>
      <c r="G828" s="35"/>
      <c r="H828" s="36"/>
      <c r="I828" s="37"/>
    </row>
    <row r="829" ht="22.5" customHeight="1">
      <c r="A829" s="30"/>
      <c r="B829" s="31"/>
      <c r="C829" s="32"/>
      <c r="D829" s="33"/>
      <c r="E829" s="34"/>
      <c r="F829" s="34"/>
      <c r="G829" s="35"/>
      <c r="H829" s="36"/>
      <c r="I829" s="37"/>
    </row>
    <row r="830" ht="22.5" customHeight="1">
      <c r="A830" s="30"/>
      <c r="B830" s="31"/>
      <c r="C830" s="32"/>
      <c r="D830" s="33"/>
      <c r="E830" s="34"/>
      <c r="F830" s="34"/>
      <c r="G830" s="35"/>
      <c r="H830" s="36"/>
      <c r="I830" s="37"/>
    </row>
    <row r="831" ht="22.5" customHeight="1">
      <c r="A831" s="30"/>
      <c r="B831" s="31"/>
      <c r="C831" s="32"/>
      <c r="D831" s="33"/>
      <c r="E831" s="34"/>
      <c r="F831" s="34"/>
      <c r="G831" s="35"/>
      <c r="H831" s="36"/>
      <c r="I831" s="37"/>
    </row>
    <row r="832" ht="22.5" customHeight="1">
      <c r="A832" s="30"/>
      <c r="B832" s="31"/>
      <c r="C832" s="32"/>
      <c r="D832" s="33"/>
      <c r="E832" s="34"/>
      <c r="F832" s="34"/>
      <c r="G832" s="35"/>
      <c r="H832" s="36"/>
      <c r="I832" s="37"/>
    </row>
    <row r="833" ht="22.5" customHeight="1">
      <c r="A833" s="30"/>
      <c r="B833" s="31"/>
      <c r="C833" s="32"/>
      <c r="D833" s="33"/>
      <c r="E833" s="34"/>
      <c r="F833" s="34"/>
      <c r="G833" s="35"/>
      <c r="H833" s="36"/>
      <c r="I833" s="37"/>
    </row>
    <row r="834" ht="22.5" customHeight="1">
      <c r="A834" s="30"/>
      <c r="B834" s="31"/>
      <c r="C834" s="32"/>
      <c r="D834" s="33"/>
      <c r="E834" s="34"/>
      <c r="F834" s="34"/>
      <c r="G834" s="35"/>
      <c r="H834" s="36"/>
      <c r="I834" s="37"/>
    </row>
    <row r="835" ht="22.5" customHeight="1">
      <c r="A835" s="30"/>
      <c r="B835" s="31"/>
      <c r="C835" s="32"/>
      <c r="D835" s="33"/>
      <c r="E835" s="34"/>
      <c r="F835" s="34"/>
      <c r="G835" s="35"/>
      <c r="H835" s="36"/>
      <c r="I835" s="37"/>
    </row>
    <row r="836" ht="22.5" customHeight="1">
      <c r="A836" s="30"/>
      <c r="B836" s="31"/>
      <c r="C836" s="32"/>
      <c r="D836" s="33"/>
      <c r="E836" s="34"/>
      <c r="F836" s="34"/>
      <c r="G836" s="35"/>
      <c r="H836" s="36"/>
      <c r="I836" s="37"/>
    </row>
    <row r="837" ht="22.5" customHeight="1">
      <c r="A837" s="30"/>
      <c r="B837" s="40"/>
      <c r="C837" s="32"/>
      <c r="D837" s="33"/>
      <c r="E837" s="34"/>
      <c r="F837" s="34"/>
      <c r="G837" s="35"/>
      <c r="H837" s="36"/>
      <c r="I837" s="37"/>
    </row>
    <row r="838" ht="22.5" customHeight="1">
      <c r="A838" s="30"/>
      <c r="B838" s="31"/>
      <c r="C838" s="32"/>
      <c r="D838" s="33"/>
      <c r="E838" s="34"/>
      <c r="F838" s="34"/>
      <c r="G838" s="35"/>
      <c r="H838" s="36"/>
      <c r="I838" s="37"/>
    </row>
    <row r="839" ht="22.5" customHeight="1">
      <c r="A839" s="30"/>
      <c r="B839" s="31"/>
      <c r="C839" s="32"/>
      <c r="D839" s="33"/>
      <c r="E839" s="34"/>
      <c r="F839" s="34"/>
      <c r="G839" s="35"/>
      <c r="H839" s="36"/>
      <c r="I839" s="37"/>
    </row>
    <row r="840" ht="22.5" customHeight="1">
      <c r="A840" s="30"/>
      <c r="B840" s="31"/>
      <c r="C840" s="32"/>
      <c r="D840" s="33"/>
      <c r="E840" s="34"/>
      <c r="F840" s="34"/>
      <c r="G840" s="35"/>
      <c r="H840" s="36"/>
      <c r="I840" s="37"/>
    </row>
    <row r="841" ht="22.5" customHeight="1">
      <c r="A841" s="30"/>
      <c r="B841" s="31"/>
      <c r="C841" s="32"/>
      <c r="D841" s="33"/>
      <c r="E841" s="34"/>
      <c r="F841" s="34"/>
      <c r="G841" s="35"/>
      <c r="H841" s="36"/>
      <c r="I841" s="37"/>
    </row>
    <row r="842" ht="22.5" customHeight="1">
      <c r="A842" s="30"/>
      <c r="B842" s="31"/>
      <c r="C842" s="32"/>
      <c r="D842" s="33"/>
      <c r="E842" s="34"/>
      <c r="F842" s="34"/>
      <c r="G842" s="35"/>
      <c r="H842" s="36"/>
      <c r="I842" s="37"/>
    </row>
    <row r="843" ht="22.5" customHeight="1">
      <c r="A843" s="30"/>
      <c r="B843" s="31"/>
      <c r="C843" s="32"/>
      <c r="D843" s="33"/>
      <c r="E843" s="34"/>
      <c r="F843" s="34"/>
      <c r="G843" s="35"/>
      <c r="H843" s="36"/>
      <c r="I843" s="37"/>
    </row>
    <row r="844" ht="22.5" customHeight="1">
      <c r="A844" s="30"/>
      <c r="B844" s="39"/>
      <c r="C844" s="32"/>
      <c r="D844" s="33"/>
      <c r="E844" s="34"/>
      <c r="F844" s="34"/>
      <c r="G844" s="35"/>
      <c r="H844" s="36"/>
      <c r="I844" s="37"/>
    </row>
    <row r="845" ht="22.5" customHeight="1">
      <c r="A845" s="30"/>
      <c r="B845" s="39"/>
      <c r="C845" s="32"/>
      <c r="D845" s="33"/>
      <c r="E845" s="34"/>
      <c r="F845" s="34"/>
      <c r="G845" s="35"/>
      <c r="H845" s="36"/>
      <c r="I845" s="37"/>
    </row>
    <row r="846" ht="22.5" customHeight="1">
      <c r="A846" s="30"/>
      <c r="B846" s="39"/>
      <c r="C846" s="32"/>
      <c r="D846" s="33"/>
      <c r="E846" s="34"/>
      <c r="F846" s="34"/>
      <c r="G846" s="35"/>
      <c r="H846" s="36"/>
      <c r="I846" s="37"/>
    </row>
    <row r="847" ht="22.5" customHeight="1">
      <c r="A847" s="30"/>
      <c r="B847" s="40"/>
      <c r="C847" s="32"/>
      <c r="D847" s="33"/>
      <c r="E847" s="34"/>
      <c r="F847" s="34"/>
      <c r="G847" s="35"/>
      <c r="H847" s="36"/>
      <c r="I847" s="37"/>
    </row>
    <row r="848" ht="22.5" customHeight="1">
      <c r="A848" s="30"/>
      <c r="B848" s="31"/>
      <c r="C848" s="32"/>
      <c r="D848" s="33"/>
      <c r="E848" s="34"/>
      <c r="F848" s="34"/>
      <c r="G848" s="35"/>
      <c r="H848" s="36"/>
      <c r="I848" s="37"/>
    </row>
    <row r="849" ht="22.5" customHeight="1">
      <c r="A849" s="30"/>
      <c r="B849" s="31"/>
      <c r="C849" s="32"/>
      <c r="D849" s="33"/>
      <c r="E849" s="34"/>
      <c r="F849" s="34"/>
      <c r="G849" s="35"/>
      <c r="H849" s="36"/>
      <c r="I849" s="37"/>
    </row>
    <row r="850" ht="22.5" customHeight="1">
      <c r="A850" s="30"/>
      <c r="B850" s="31"/>
      <c r="C850" s="32"/>
      <c r="D850" s="33"/>
      <c r="E850" s="34"/>
      <c r="F850" s="34"/>
      <c r="G850" s="35"/>
      <c r="H850" s="36"/>
      <c r="I850" s="37"/>
    </row>
    <row r="851" ht="22.5" customHeight="1">
      <c r="A851" s="30"/>
      <c r="B851" s="31"/>
      <c r="C851" s="32"/>
      <c r="D851" s="33"/>
      <c r="E851" s="34"/>
      <c r="F851" s="34"/>
      <c r="G851" s="35"/>
      <c r="H851" s="36"/>
      <c r="I851" s="37"/>
    </row>
    <row r="852" ht="22.5" customHeight="1">
      <c r="A852" s="30"/>
      <c r="B852" s="31"/>
      <c r="C852" s="32"/>
      <c r="D852" s="33"/>
      <c r="E852" s="34"/>
      <c r="F852" s="34"/>
      <c r="G852" s="35"/>
      <c r="H852" s="36"/>
      <c r="I852" s="37"/>
    </row>
    <row r="853" ht="22.5" customHeight="1">
      <c r="A853" s="30"/>
      <c r="B853" s="31"/>
      <c r="C853" s="32"/>
      <c r="D853" s="33"/>
      <c r="E853" s="34"/>
      <c r="F853" s="34"/>
      <c r="G853" s="35"/>
      <c r="H853" s="36"/>
      <c r="I853" s="37"/>
    </row>
    <row r="854" ht="22.5" customHeight="1">
      <c r="A854" s="30"/>
      <c r="B854" s="31"/>
      <c r="C854" s="32"/>
      <c r="D854" s="33"/>
      <c r="E854" s="34"/>
      <c r="F854" s="34"/>
      <c r="G854" s="35"/>
      <c r="H854" s="36"/>
      <c r="I854" s="37"/>
    </row>
    <row r="855" ht="22.5" customHeight="1">
      <c r="A855" s="30"/>
      <c r="B855" s="31"/>
      <c r="C855" s="32"/>
      <c r="D855" s="33"/>
      <c r="E855" s="34"/>
      <c r="F855" s="34"/>
      <c r="G855" s="35"/>
      <c r="H855" s="36"/>
      <c r="I855" s="37"/>
    </row>
    <row r="856" ht="22.5" customHeight="1">
      <c r="A856" s="30"/>
      <c r="B856" s="31"/>
      <c r="C856" s="32"/>
      <c r="D856" s="33"/>
      <c r="E856" s="34"/>
      <c r="F856" s="34"/>
      <c r="G856" s="35"/>
      <c r="H856" s="36"/>
      <c r="I856" s="37"/>
    </row>
    <row r="857" ht="22.5" customHeight="1">
      <c r="A857" s="30"/>
      <c r="B857" s="40"/>
      <c r="C857" s="32"/>
      <c r="D857" s="33"/>
      <c r="E857" s="34"/>
      <c r="F857" s="34"/>
      <c r="G857" s="35"/>
      <c r="H857" s="36"/>
      <c r="I857" s="37"/>
    </row>
    <row r="858" ht="22.5" customHeight="1">
      <c r="A858" s="30"/>
      <c r="B858" s="31"/>
      <c r="C858" s="32"/>
      <c r="D858" s="33"/>
      <c r="E858" s="34"/>
      <c r="F858" s="34"/>
      <c r="G858" s="35"/>
      <c r="H858" s="36"/>
      <c r="I858" s="37"/>
    </row>
    <row r="859" ht="22.5" customHeight="1">
      <c r="A859" s="30"/>
      <c r="B859" s="31"/>
      <c r="C859" s="32"/>
      <c r="D859" s="33"/>
      <c r="E859" s="34"/>
      <c r="F859" s="34"/>
      <c r="G859" s="35"/>
      <c r="H859" s="36"/>
      <c r="I859" s="37"/>
    </row>
    <row r="860" ht="22.5" customHeight="1">
      <c r="A860" s="30"/>
      <c r="B860" s="31"/>
      <c r="C860" s="32"/>
      <c r="D860" s="33"/>
      <c r="E860" s="34"/>
      <c r="F860" s="34"/>
      <c r="G860" s="35"/>
      <c r="H860" s="36"/>
      <c r="I860" s="37"/>
    </row>
    <row r="861" ht="22.5" customHeight="1">
      <c r="A861" s="30"/>
      <c r="B861" s="40"/>
      <c r="C861" s="32"/>
      <c r="D861" s="33"/>
      <c r="E861" s="34"/>
      <c r="F861" s="34"/>
      <c r="G861" s="35"/>
      <c r="H861" s="36"/>
      <c r="I861" s="37"/>
    </row>
    <row r="862" ht="22.5" customHeight="1">
      <c r="A862" s="30"/>
      <c r="B862" s="31"/>
      <c r="C862" s="32"/>
      <c r="D862" s="33"/>
      <c r="E862" s="34"/>
      <c r="F862" s="34"/>
      <c r="G862" s="35"/>
      <c r="H862" s="36"/>
      <c r="I862" s="37"/>
    </row>
    <row r="863" ht="22.5" customHeight="1">
      <c r="A863" s="30"/>
      <c r="B863" s="31"/>
      <c r="C863" s="32"/>
      <c r="D863" s="33"/>
      <c r="E863" s="34"/>
      <c r="F863" s="34"/>
      <c r="G863" s="35"/>
      <c r="H863" s="36"/>
      <c r="I863" s="37"/>
    </row>
    <row r="864" ht="22.5" customHeight="1">
      <c r="A864" s="30"/>
      <c r="B864" s="31"/>
      <c r="C864" s="32"/>
      <c r="D864" s="33"/>
      <c r="E864" s="34"/>
      <c r="F864" s="34"/>
      <c r="G864" s="35"/>
      <c r="H864" s="36"/>
      <c r="I864" s="37"/>
    </row>
    <row r="865" ht="22.5" customHeight="1">
      <c r="A865" s="30"/>
      <c r="B865" s="31"/>
      <c r="C865" s="32"/>
      <c r="D865" s="33"/>
      <c r="E865" s="34"/>
      <c r="F865" s="34"/>
      <c r="G865" s="35"/>
      <c r="H865" s="36"/>
      <c r="I865" s="37"/>
    </row>
    <row r="866" ht="22.5" customHeight="1">
      <c r="A866" s="30"/>
      <c r="B866" s="31"/>
      <c r="C866" s="32"/>
      <c r="D866" s="33"/>
      <c r="E866" s="34"/>
      <c r="F866" s="34"/>
      <c r="G866" s="35"/>
      <c r="H866" s="36"/>
      <c r="I866" s="37"/>
    </row>
    <row r="867" ht="22.5" customHeight="1">
      <c r="A867" s="30"/>
      <c r="B867" s="31"/>
      <c r="C867" s="32"/>
      <c r="D867" s="33"/>
      <c r="E867" s="34"/>
      <c r="F867" s="34"/>
      <c r="G867" s="35"/>
      <c r="H867" s="36"/>
      <c r="I867" s="37"/>
    </row>
    <row r="868" ht="22.5" customHeight="1">
      <c r="A868" s="30"/>
      <c r="B868" s="31"/>
      <c r="C868" s="32"/>
      <c r="D868" s="33"/>
      <c r="E868" s="34"/>
      <c r="F868" s="34"/>
      <c r="G868" s="35"/>
      <c r="H868" s="36"/>
      <c r="I868" s="37"/>
    </row>
    <row r="869" ht="22.5" customHeight="1">
      <c r="A869" s="30"/>
      <c r="B869" s="31"/>
      <c r="C869" s="32"/>
      <c r="D869" s="33"/>
      <c r="E869" s="34"/>
      <c r="F869" s="34"/>
      <c r="G869" s="35"/>
      <c r="H869" s="36"/>
      <c r="I869" s="37"/>
    </row>
    <row r="870" ht="22.5" customHeight="1">
      <c r="A870" s="30"/>
      <c r="B870" s="31"/>
      <c r="C870" s="32"/>
      <c r="D870" s="33"/>
      <c r="E870" s="34"/>
      <c r="F870" s="34"/>
      <c r="G870" s="35"/>
      <c r="H870" s="36"/>
      <c r="I870" s="37"/>
    </row>
    <row r="871" ht="22.5" customHeight="1">
      <c r="A871" s="30"/>
      <c r="B871" s="31"/>
      <c r="C871" s="32"/>
      <c r="D871" s="33"/>
      <c r="E871" s="34"/>
      <c r="F871" s="34"/>
      <c r="G871" s="35"/>
      <c r="H871" s="36"/>
      <c r="I871" s="37"/>
    </row>
    <row r="872" ht="22.5" customHeight="1">
      <c r="A872" s="30"/>
      <c r="B872" s="31"/>
      <c r="C872" s="32"/>
      <c r="D872" s="33"/>
      <c r="E872" s="34"/>
      <c r="F872" s="34"/>
      <c r="G872" s="35"/>
      <c r="H872" s="36"/>
      <c r="I872" s="37"/>
    </row>
    <row r="873" ht="22.5" customHeight="1">
      <c r="A873" s="30"/>
      <c r="B873" s="31"/>
      <c r="C873" s="32"/>
      <c r="D873" s="33"/>
      <c r="E873" s="34"/>
      <c r="F873" s="34"/>
      <c r="G873" s="35"/>
      <c r="H873" s="36"/>
      <c r="I873" s="37"/>
    </row>
    <row r="874" ht="22.5" customHeight="1">
      <c r="A874" s="30"/>
      <c r="B874" s="31"/>
      <c r="C874" s="32"/>
      <c r="D874" s="33"/>
      <c r="E874" s="34"/>
      <c r="F874" s="34"/>
      <c r="G874" s="35"/>
      <c r="H874" s="36"/>
      <c r="I874" s="37"/>
    </row>
    <row r="875" ht="22.5" customHeight="1">
      <c r="A875" s="30"/>
      <c r="B875" s="31"/>
      <c r="C875" s="32"/>
      <c r="D875" s="33"/>
      <c r="E875" s="34"/>
      <c r="F875" s="34"/>
      <c r="G875" s="35"/>
      <c r="H875" s="36"/>
      <c r="I875" s="37"/>
    </row>
    <row r="876" ht="22.5" customHeight="1">
      <c r="A876" s="30"/>
      <c r="B876" s="40"/>
      <c r="C876" s="32"/>
      <c r="D876" s="33"/>
      <c r="E876" s="34"/>
      <c r="F876" s="34"/>
      <c r="G876" s="35"/>
      <c r="H876" s="36"/>
      <c r="I876" s="37"/>
    </row>
    <row r="877" ht="22.5" customHeight="1">
      <c r="A877" s="30"/>
      <c r="B877" s="31"/>
      <c r="C877" s="32"/>
      <c r="D877" s="33"/>
      <c r="E877" s="34"/>
      <c r="F877" s="34"/>
      <c r="G877" s="35"/>
      <c r="H877" s="36"/>
      <c r="I877" s="37"/>
    </row>
    <row r="878" ht="22.5" customHeight="1">
      <c r="A878" s="30"/>
      <c r="B878" s="40"/>
      <c r="C878" s="32"/>
      <c r="D878" s="33"/>
      <c r="E878" s="34"/>
      <c r="F878" s="34"/>
      <c r="G878" s="35"/>
      <c r="H878" s="36"/>
      <c r="I878" s="37"/>
    </row>
    <row r="879" ht="22.5" customHeight="1">
      <c r="A879" s="30"/>
      <c r="B879" s="31"/>
      <c r="C879" s="32"/>
      <c r="D879" s="33"/>
      <c r="E879" s="34"/>
      <c r="F879" s="34"/>
      <c r="G879" s="35"/>
      <c r="H879" s="36"/>
      <c r="I879" s="37"/>
    </row>
    <row r="880" ht="22.5" customHeight="1">
      <c r="A880" s="30"/>
      <c r="B880" s="31"/>
      <c r="C880" s="32"/>
      <c r="D880" s="33"/>
      <c r="E880" s="34"/>
      <c r="F880" s="34"/>
      <c r="G880" s="35"/>
      <c r="H880" s="36"/>
      <c r="I880" s="37"/>
    </row>
    <row r="881" ht="22.5" customHeight="1">
      <c r="A881" s="30"/>
      <c r="B881" s="31"/>
      <c r="C881" s="32"/>
      <c r="D881" s="33"/>
      <c r="E881" s="34"/>
      <c r="F881" s="34"/>
      <c r="G881" s="35"/>
      <c r="H881" s="36"/>
      <c r="I881" s="37"/>
    </row>
    <row r="882" ht="22.5" customHeight="1">
      <c r="A882" s="30"/>
      <c r="B882" s="31"/>
      <c r="C882" s="32"/>
      <c r="D882" s="33"/>
      <c r="E882" s="34"/>
      <c r="F882" s="34"/>
      <c r="G882" s="35"/>
      <c r="H882" s="36"/>
      <c r="I882" s="37"/>
    </row>
    <row r="883" ht="22.5" customHeight="1">
      <c r="A883" s="30"/>
      <c r="B883" s="40"/>
      <c r="C883" s="32"/>
      <c r="D883" s="33"/>
      <c r="E883" s="34"/>
      <c r="F883" s="34"/>
      <c r="G883" s="35"/>
      <c r="H883" s="36"/>
      <c r="I883" s="37"/>
    </row>
    <row r="884" ht="22.5" customHeight="1">
      <c r="A884" s="30"/>
      <c r="B884" s="31"/>
      <c r="C884" s="32"/>
      <c r="D884" s="33"/>
      <c r="E884" s="34"/>
      <c r="F884" s="34"/>
      <c r="G884" s="35"/>
      <c r="H884" s="36"/>
      <c r="I884" s="37"/>
    </row>
    <row r="885" ht="22.5" customHeight="1">
      <c r="A885" s="30"/>
      <c r="B885" s="31"/>
      <c r="C885" s="32"/>
      <c r="D885" s="33"/>
      <c r="E885" s="34"/>
      <c r="F885" s="34"/>
      <c r="G885" s="35"/>
      <c r="H885" s="36"/>
      <c r="I885" s="37"/>
    </row>
    <row r="886" ht="22.5" customHeight="1">
      <c r="A886" s="30"/>
      <c r="B886" s="31"/>
      <c r="C886" s="32"/>
      <c r="D886" s="33"/>
      <c r="E886" s="34"/>
      <c r="F886" s="34"/>
      <c r="G886" s="35"/>
      <c r="H886" s="36"/>
      <c r="I886" s="37"/>
    </row>
    <row r="887" ht="22.5" customHeight="1">
      <c r="A887" s="30"/>
      <c r="B887" s="31"/>
      <c r="C887" s="32"/>
      <c r="D887" s="33"/>
      <c r="E887" s="34"/>
      <c r="F887" s="34"/>
      <c r="G887" s="35"/>
      <c r="H887" s="36"/>
      <c r="I887" s="37"/>
    </row>
    <row r="888" ht="22.5" customHeight="1">
      <c r="A888" s="30"/>
      <c r="B888" s="31"/>
      <c r="C888" s="32"/>
      <c r="D888" s="33"/>
      <c r="E888" s="34"/>
      <c r="F888" s="34"/>
      <c r="G888" s="35"/>
      <c r="H888" s="36"/>
      <c r="I888" s="37"/>
    </row>
    <row r="889" ht="22.5" customHeight="1">
      <c r="A889" s="30"/>
      <c r="B889" s="31"/>
      <c r="C889" s="32"/>
      <c r="D889" s="33"/>
      <c r="E889" s="34"/>
      <c r="F889" s="34"/>
      <c r="G889" s="35"/>
      <c r="H889" s="36"/>
      <c r="I889" s="37"/>
    </row>
    <row r="890" ht="22.5" customHeight="1">
      <c r="A890" s="30"/>
      <c r="B890" s="31"/>
      <c r="C890" s="32"/>
      <c r="D890" s="33"/>
      <c r="E890" s="34"/>
      <c r="F890" s="34"/>
      <c r="G890" s="35"/>
      <c r="H890" s="36"/>
      <c r="I890" s="37"/>
    </row>
    <row r="891" ht="22.5" customHeight="1">
      <c r="A891" s="30"/>
      <c r="B891" s="31"/>
      <c r="C891" s="32"/>
      <c r="D891" s="33"/>
      <c r="E891" s="34"/>
      <c r="F891" s="34"/>
      <c r="G891" s="35"/>
      <c r="H891" s="36"/>
      <c r="I891" s="37"/>
    </row>
    <row r="892" ht="22.5" customHeight="1">
      <c r="A892" s="30"/>
      <c r="B892" s="31"/>
      <c r="C892" s="32"/>
      <c r="D892" s="33"/>
      <c r="E892" s="34"/>
      <c r="F892" s="34"/>
      <c r="G892" s="35"/>
      <c r="H892" s="36"/>
      <c r="I892" s="37"/>
    </row>
    <row r="893" ht="22.5" customHeight="1">
      <c r="A893" s="30"/>
      <c r="B893" s="31"/>
      <c r="C893" s="32"/>
      <c r="D893" s="33"/>
      <c r="E893" s="34"/>
      <c r="F893" s="34"/>
      <c r="G893" s="35"/>
      <c r="H893" s="36"/>
      <c r="I893" s="37"/>
    </row>
    <row r="894" ht="22.5" customHeight="1">
      <c r="A894" s="30"/>
      <c r="B894" s="31"/>
      <c r="C894" s="32"/>
      <c r="D894" s="33"/>
      <c r="E894" s="34"/>
      <c r="F894" s="34"/>
      <c r="G894" s="35"/>
      <c r="H894" s="36"/>
      <c r="I894" s="37"/>
    </row>
    <row r="895" ht="22.5" customHeight="1">
      <c r="A895" s="30"/>
      <c r="B895" s="31"/>
      <c r="C895" s="32"/>
      <c r="D895" s="33"/>
      <c r="E895" s="34"/>
      <c r="F895" s="34"/>
      <c r="G895" s="35"/>
      <c r="H895" s="36"/>
      <c r="I895" s="37"/>
    </row>
    <row r="896" ht="22.5" customHeight="1">
      <c r="A896" s="30"/>
      <c r="B896" s="31"/>
      <c r="C896" s="32"/>
      <c r="D896" s="33"/>
      <c r="E896" s="34"/>
      <c r="F896" s="34"/>
      <c r="G896" s="35"/>
      <c r="H896" s="36"/>
      <c r="I896" s="37"/>
    </row>
    <row r="897" ht="22.5" customHeight="1">
      <c r="A897" s="30"/>
      <c r="B897" s="31"/>
      <c r="C897" s="32"/>
      <c r="D897" s="33"/>
      <c r="E897" s="34"/>
      <c r="F897" s="34"/>
      <c r="G897" s="35"/>
      <c r="H897" s="36"/>
      <c r="I897" s="37"/>
    </row>
    <row r="898" ht="22.5" customHeight="1">
      <c r="A898" s="30"/>
      <c r="B898" s="31"/>
      <c r="C898" s="32"/>
      <c r="D898" s="33"/>
      <c r="E898" s="34"/>
      <c r="F898" s="34"/>
      <c r="G898" s="35"/>
      <c r="H898" s="36"/>
      <c r="I898" s="37"/>
    </row>
    <row r="899" ht="22.5" customHeight="1">
      <c r="A899" s="30"/>
      <c r="B899" s="31"/>
      <c r="C899" s="32"/>
      <c r="D899" s="33"/>
      <c r="E899" s="34"/>
      <c r="F899" s="34"/>
      <c r="G899" s="35"/>
      <c r="H899" s="36"/>
      <c r="I899" s="37"/>
    </row>
    <row r="900" ht="22.5" customHeight="1">
      <c r="A900" s="30"/>
      <c r="B900" s="31"/>
      <c r="C900" s="32"/>
      <c r="D900" s="33"/>
      <c r="E900" s="34"/>
      <c r="F900" s="34"/>
      <c r="G900" s="35"/>
      <c r="H900" s="36"/>
      <c r="I900" s="37"/>
    </row>
    <row r="901" ht="22.5" customHeight="1">
      <c r="A901" s="30"/>
      <c r="B901" s="31"/>
      <c r="C901" s="32"/>
      <c r="D901" s="33"/>
      <c r="E901" s="34"/>
      <c r="F901" s="34"/>
      <c r="G901" s="35"/>
      <c r="H901" s="36"/>
      <c r="I901" s="37"/>
    </row>
    <row r="902" ht="22.5" customHeight="1">
      <c r="A902" s="30"/>
      <c r="B902" s="31"/>
      <c r="C902" s="32"/>
      <c r="D902" s="33"/>
      <c r="E902" s="34"/>
      <c r="F902" s="34"/>
      <c r="G902" s="35"/>
      <c r="H902" s="36"/>
      <c r="I902" s="37"/>
    </row>
    <row r="903" ht="22.5" customHeight="1">
      <c r="A903" s="30"/>
      <c r="B903" s="31"/>
      <c r="C903" s="32"/>
      <c r="D903" s="33"/>
      <c r="E903" s="34"/>
      <c r="F903" s="34"/>
      <c r="G903" s="35"/>
      <c r="H903" s="36"/>
      <c r="I903" s="37"/>
    </row>
    <row r="904" ht="22.5" customHeight="1">
      <c r="A904" s="30"/>
      <c r="B904" s="31"/>
      <c r="C904" s="32"/>
      <c r="D904" s="33"/>
      <c r="E904" s="34"/>
      <c r="F904" s="34"/>
      <c r="G904" s="35"/>
      <c r="H904" s="36"/>
      <c r="I904" s="37"/>
    </row>
    <row r="905" ht="22.5" customHeight="1">
      <c r="A905" s="30"/>
      <c r="B905" s="40"/>
      <c r="C905" s="32"/>
      <c r="D905" s="33"/>
      <c r="E905" s="34"/>
      <c r="F905" s="34"/>
      <c r="G905" s="35"/>
      <c r="H905" s="36"/>
      <c r="I905" s="37"/>
    </row>
    <row r="906" ht="22.5" customHeight="1">
      <c r="A906" s="30"/>
      <c r="B906" s="31"/>
      <c r="C906" s="32"/>
      <c r="D906" s="33"/>
      <c r="E906" s="34"/>
      <c r="F906" s="34"/>
      <c r="G906" s="35"/>
      <c r="H906" s="36"/>
      <c r="I906" s="37"/>
    </row>
    <row r="907" ht="22.5" customHeight="1">
      <c r="A907" s="30"/>
      <c r="B907" s="31"/>
      <c r="C907" s="32"/>
      <c r="D907" s="33"/>
      <c r="E907" s="34"/>
      <c r="F907" s="34"/>
      <c r="G907" s="35"/>
      <c r="H907" s="36"/>
      <c r="I907" s="37"/>
    </row>
    <row r="908" ht="22.5" customHeight="1">
      <c r="A908" s="30"/>
      <c r="B908" s="31"/>
      <c r="C908" s="32"/>
      <c r="D908" s="33"/>
      <c r="E908" s="34"/>
      <c r="F908" s="34"/>
      <c r="G908" s="35"/>
      <c r="H908" s="36"/>
      <c r="I908" s="37"/>
    </row>
    <row r="909" ht="22.5" customHeight="1">
      <c r="A909" s="30"/>
      <c r="B909" s="31"/>
      <c r="C909" s="32"/>
      <c r="D909" s="33"/>
      <c r="E909" s="34"/>
      <c r="F909" s="34"/>
      <c r="G909" s="35"/>
      <c r="H909" s="36"/>
      <c r="I909" s="38"/>
    </row>
    <row r="910" ht="22.5" customHeight="1">
      <c r="A910" s="30"/>
      <c r="B910" s="39"/>
      <c r="C910" s="32"/>
      <c r="D910" s="33"/>
      <c r="E910" s="34"/>
      <c r="F910" s="34"/>
      <c r="G910" s="35"/>
      <c r="H910" s="36"/>
      <c r="I910" s="37"/>
    </row>
    <row r="911" ht="22.5" customHeight="1">
      <c r="A911" s="30"/>
      <c r="B911" s="31"/>
      <c r="C911" s="32"/>
      <c r="D911" s="33"/>
      <c r="E911" s="34"/>
      <c r="F911" s="34"/>
      <c r="G911" s="35"/>
      <c r="H911" s="36"/>
      <c r="I911" s="37"/>
    </row>
    <row r="912" ht="22.5" customHeight="1">
      <c r="A912" s="30"/>
      <c r="B912" s="31"/>
      <c r="C912" s="32"/>
      <c r="D912" s="33"/>
      <c r="E912" s="34"/>
      <c r="F912" s="34"/>
      <c r="G912" s="35"/>
      <c r="H912" s="36"/>
      <c r="I912" s="37"/>
    </row>
    <row r="913" ht="22.5" customHeight="1">
      <c r="A913" s="30"/>
      <c r="B913" s="31"/>
      <c r="C913" s="32"/>
      <c r="D913" s="33"/>
      <c r="E913" s="34"/>
      <c r="F913" s="34"/>
      <c r="G913" s="35"/>
      <c r="H913" s="36"/>
      <c r="I913" s="37"/>
    </row>
    <row r="914" ht="22.5" customHeight="1">
      <c r="A914" s="30"/>
      <c r="B914" s="39"/>
      <c r="C914" s="32"/>
      <c r="D914" s="33"/>
      <c r="E914" s="34"/>
      <c r="F914" s="34"/>
      <c r="G914" s="35"/>
      <c r="H914" s="36"/>
      <c r="I914" s="37"/>
    </row>
    <row r="915" ht="22.5" customHeight="1">
      <c r="A915" s="30"/>
      <c r="B915" s="31"/>
      <c r="C915" s="32"/>
      <c r="D915" s="33"/>
      <c r="E915" s="34"/>
      <c r="F915" s="34"/>
      <c r="G915" s="35"/>
      <c r="H915" s="36"/>
      <c r="I915" s="37"/>
    </row>
    <row r="916" ht="22.5" customHeight="1">
      <c r="A916" s="30"/>
      <c r="B916" s="39"/>
      <c r="C916" s="32"/>
      <c r="D916" s="33"/>
      <c r="E916" s="34"/>
      <c r="F916" s="34"/>
      <c r="G916" s="35"/>
      <c r="H916" s="36"/>
      <c r="I916" s="37"/>
    </row>
    <row r="917" ht="22.5" customHeight="1">
      <c r="A917" s="30"/>
      <c r="B917" s="31"/>
      <c r="C917" s="32"/>
      <c r="D917" s="33"/>
      <c r="E917" s="34"/>
      <c r="F917" s="34"/>
      <c r="G917" s="35"/>
      <c r="H917" s="36"/>
      <c r="I917" s="37"/>
    </row>
    <row r="918" ht="22.5" customHeight="1">
      <c r="A918" s="30"/>
      <c r="B918" s="31"/>
      <c r="C918" s="32"/>
      <c r="D918" s="33"/>
      <c r="E918" s="34"/>
      <c r="F918" s="34"/>
      <c r="G918" s="35"/>
      <c r="H918" s="36"/>
      <c r="I918" s="37"/>
    </row>
    <row r="919" ht="22.5" customHeight="1">
      <c r="A919" s="30"/>
      <c r="B919" s="31"/>
      <c r="C919" s="32"/>
      <c r="D919" s="33"/>
      <c r="E919" s="34"/>
      <c r="F919" s="34"/>
      <c r="G919" s="35"/>
      <c r="H919" s="36"/>
      <c r="I919" s="37"/>
    </row>
    <row r="920" ht="22.5" customHeight="1">
      <c r="A920" s="30"/>
      <c r="B920" s="31"/>
      <c r="C920" s="32"/>
      <c r="D920" s="33"/>
      <c r="E920" s="34"/>
      <c r="F920" s="34"/>
      <c r="G920" s="35"/>
      <c r="H920" s="36"/>
      <c r="I920" s="37"/>
    </row>
    <row r="921" ht="22.5" customHeight="1">
      <c r="A921" s="30"/>
      <c r="B921" s="31"/>
      <c r="C921" s="32"/>
      <c r="D921" s="33"/>
      <c r="E921" s="34"/>
      <c r="F921" s="34"/>
      <c r="G921" s="35"/>
      <c r="H921" s="36"/>
      <c r="I921" s="37"/>
    </row>
    <row r="922" ht="22.5" customHeight="1">
      <c r="A922" s="30"/>
      <c r="B922" s="31"/>
      <c r="C922" s="32"/>
      <c r="D922" s="33"/>
      <c r="E922" s="34"/>
      <c r="F922" s="34"/>
      <c r="G922" s="35"/>
      <c r="H922" s="36"/>
      <c r="I922" s="37"/>
    </row>
    <row r="923" ht="22.5" customHeight="1">
      <c r="A923" s="30"/>
      <c r="B923" s="31"/>
      <c r="C923" s="32"/>
      <c r="D923" s="33"/>
      <c r="E923" s="34"/>
      <c r="F923" s="34"/>
      <c r="G923" s="35"/>
      <c r="H923" s="36"/>
      <c r="I923" s="37"/>
    </row>
    <row r="924" ht="22.5" customHeight="1">
      <c r="A924" s="30"/>
      <c r="B924" s="31"/>
      <c r="C924" s="32"/>
      <c r="D924" s="33"/>
      <c r="E924" s="34"/>
      <c r="F924" s="34"/>
      <c r="G924" s="35"/>
      <c r="H924" s="36"/>
      <c r="I924" s="37"/>
    </row>
    <row r="925" ht="22.5" customHeight="1">
      <c r="A925" s="30"/>
      <c r="B925" s="31"/>
      <c r="C925" s="32"/>
      <c r="D925" s="33"/>
      <c r="E925" s="34"/>
      <c r="F925" s="34"/>
      <c r="G925" s="35"/>
      <c r="H925" s="36"/>
      <c r="I925" s="37"/>
    </row>
    <row r="926" ht="22.5" customHeight="1">
      <c r="A926" s="30"/>
      <c r="B926" s="31"/>
      <c r="C926" s="32"/>
      <c r="D926" s="33"/>
      <c r="E926" s="34"/>
      <c r="F926" s="34"/>
      <c r="G926" s="35"/>
      <c r="H926" s="36"/>
      <c r="I926" s="37"/>
    </row>
    <row r="927" ht="22.5" customHeight="1">
      <c r="A927" s="30"/>
      <c r="B927" s="40"/>
      <c r="C927" s="32"/>
      <c r="D927" s="33"/>
      <c r="E927" s="34"/>
      <c r="F927" s="34"/>
      <c r="G927" s="35"/>
      <c r="H927" s="36"/>
      <c r="I927" s="37"/>
    </row>
    <row r="928" ht="22.5" customHeight="1">
      <c r="A928" s="30"/>
      <c r="B928" s="31"/>
      <c r="C928" s="32"/>
      <c r="D928" s="33"/>
      <c r="E928" s="34"/>
      <c r="F928" s="34"/>
      <c r="G928" s="35"/>
      <c r="H928" s="36"/>
      <c r="I928" s="37"/>
    </row>
    <row r="929" ht="22.5" customHeight="1">
      <c r="A929" s="30"/>
      <c r="B929" s="31"/>
      <c r="C929" s="32"/>
      <c r="D929" s="33"/>
      <c r="E929" s="34"/>
      <c r="F929" s="34"/>
      <c r="G929" s="35"/>
      <c r="H929" s="36"/>
      <c r="I929" s="37"/>
    </row>
    <row r="930" ht="22.5" customHeight="1">
      <c r="A930" s="30"/>
      <c r="B930" s="31"/>
      <c r="C930" s="32"/>
      <c r="D930" s="33"/>
      <c r="E930" s="34"/>
      <c r="F930" s="34"/>
      <c r="G930" s="35"/>
      <c r="H930" s="36"/>
      <c r="I930" s="37"/>
    </row>
    <row r="931" ht="22.5" customHeight="1">
      <c r="A931" s="30"/>
      <c r="B931" s="31"/>
      <c r="C931" s="32"/>
      <c r="D931" s="33"/>
      <c r="E931" s="34"/>
      <c r="F931" s="34"/>
      <c r="G931" s="35"/>
      <c r="H931" s="36"/>
      <c r="I931" s="37"/>
    </row>
    <row r="932" ht="22.5" customHeight="1">
      <c r="A932" s="30"/>
      <c r="B932" s="31"/>
      <c r="C932" s="32"/>
      <c r="D932" s="33"/>
      <c r="E932" s="34"/>
      <c r="F932" s="34"/>
      <c r="G932" s="35"/>
      <c r="H932" s="36"/>
      <c r="I932" s="37"/>
    </row>
    <row r="933" ht="22.5" customHeight="1">
      <c r="A933" s="30"/>
      <c r="B933" s="31"/>
      <c r="C933" s="32"/>
      <c r="D933" s="33"/>
      <c r="E933" s="34"/>
      <c r="F933" s="34"/>
      <c r="G933" s="35"/>
      <c r="H933" s="36"/>
      <c r="I933" s="37"/>
    </row>
    <row r="934" ht="22.5" customHeight="1">
      <c r="A934" s="30"/>
      <c r="B934" s="39"/>
      <c r="C934" s="32"/>
      <c r="D934" s="33"/>
      <c r="E934" s="34"/>
      <c r="F934" s="34"/>
      <c r="G934" s="35"/>
      <c r="H934" s="36"/>
      <c r="I934" s="37"/>
    </row>
    <row r="935" ht="22.5" customHeight="1">
      <c r="A935" s="30"/>
      <c r="B935" s="39"/>
      <c r="C935" s="32"/>
      <c r="D935" s="33"/>
      <c r="E935" s="34"/>
      <c r="F935" s="34"/>
      <c r="G935" s="35"/>
      <c r="H935" s="36"/>
      <c r="I935" s="37"/>
    </row>
    <row r="936" ht="22.5" customHeight="1">
      <c r="A936" s="30"/>
      <c r="B936" s="39"/>
      <c r="C936" s="32"/>
      <c r="D936" s="33"/>
      <c r="E936" s="34"/>
      <c r="F936" s="34"/>
      <c r="G936" s="35"/>
      <c r="H936" s="36"/>
      <c r="I936" s="37"/>
    </row>
    <row r="937" ht="22.5" customHeight="1">
      <c r="A937" s="30"/>
      <c r="B937" s="40"/>
      <c r="C937" s="32"/>
      <c r="D937" s="33"/>
      <c r="E937" s="34"/>
      <c r="F937" s="34"/>
      <c r="G937" s="35"/>
      <c r="H937" s="36"/>
      <c r="I937" s="37"/>
    </row>
    <row r="938" ht="22.5" customHeight="1">
      <c r="A938" s="30"/>
      <c r="B938" s="31"/>
      <c r="C938" s="32"/>
      <c r="D938" s="33"/>
      <c r="E938" s="34"/>
      <c r="F938" s="34"/>
      <c r="G938" s="35"/>
      <c r="H938" s="36"/>
      <c r="I938" s="37"/>
    </row>
    <row r="939" ht="22.5" customHeight="1">
      <c r="A939" s="30"/>
      <c r="B939" s="31"/>
      <c r="C939" s="32"/>
      <c r="D939" s="33"/>
      <c r="E939" s="34"/>
      <c r="F939" s="34"/>
      <c r="G939" s="35"/>
      <c r="H939" s="36"/>
      <c r="I939" s="37"/>
    </row>
    <row r="940" ht="22.5" customHeight="1">
      <c r="A940" s="30"/>
      <c r="B940" s="31"/>
      <c r="C940" s="32"/>
      <c r="D940" s="33"/>
      <c r="E940" s="34"/>
      <c r="F940" s="34"/>
      <c r="G940" s="35"/>
      <c r="H940" s="36"/>
      <c r="I940" s="37"/>
    </row>
    <row r="941" ht="22.5" customHeight="1">
      <c r="A941" s="30"/>
      <c r="B941" s="31"/>
      <c r="C941" s="32"/>
      <c r="D941" s="33"/>
      <c r="E941" s="34"/>
      <c r="F941" s="34"/>
      <c r="G941" s="35"/>
      <c r="H941" s="36"/>
      <c r="I941" s="37"/>
    </row>
    <row r="942" ht="22.5" customHeight="1">
      <c r="A942" s="30"/>
      <c r="B942" s="31"/>
      <c r="C942" s="32"/>
      <c r="D942" s="33"/>
      <c r="E942" s="34"/>
      <c r="F942" s="34"/>
      <c r="G942" s="35"/>
      <c r="H942" s="36"/>
      <c r="I942" s="37"/>
    </row>
    <row r="943" ht="22.5" customHeight="1">
      <c r="A943" s="30"/>
      <c r="B943" s="31"/>
      <c r="C943" s="32"/>
      <c r="D943" s="33"/>
      <c r="E943" s="34"/>
      <c r="F943" s="34"/>
      <c r="G943" s="35"/>
      <c r="H943" s="36"/>
      <c r="I943" s="37"/>
    </row>
    <row r="944" ht="22.5" customHeight="1">
      <c r="A944" s="30"/>
      <c r="B944" s="31"/>
      <c r="C944" s="32"/>
      <c r="D944" s="33"/>
      <c r="E944" s="34"/>
      <c r="F944" s="34"/>
      <c r="G944" s="35"/>
      <c r="H944" s="36"/>
      <c r="I944" s="37"/>
    </row>
    <row r="945" ht="22.5" customHeight="1">
      <c r="A945" s="30"/>
      <c r="B945" s="31"/>
      <c r="C945" s="32"/>
      <c r="D945" s="33"/>
      <c r="E945" s="34"/>
      <c r="F945" s="34"/>
      <c r="G945" s="35"/>
      <c r="H945" s="36"/>
      <c r="I945" s="37"/>
    </row>
    <row r="946" ht="22.5" customHeight="1">
      <c r="A946" s="30"/>
      <c r="B946" s="31"/>
      <c r="C946" s="32"/>
      <c r="D946" s="33"/>
      <c r="E946" s="34"/>
      <c r="F946" s="34"/>
      <c r="G946" s="35"/>
      <c r="H946" s="36"/>
      <c r="I946" s="37"/>
    </row>
    <row r="947" ht="22.5" customHeight="1">
      <c r="A947" s="30"/>
      <c r="B947" s="40"/>
      <c r="C947" s="32"/>
      <c r="D947" s="33"/>
      <c r="E947" s="34"/>
      <c r="F947" s="34"/>
      <c r="G947" s="35"/>
      <c r="H947" s="36"/>
      <c r="I947" s="37"/>
    </row>
    <row r="948" ht="22.5" customHeight="1">
      <c r="A948" s="30"/>
      <c r="B948" s="31"/>
      <c r="C948" s="32"/>
      <c r="D948" s="33"/>
      <c r="E948" s="34"/>
      <c r="F948" s="34"/>
      <c r="G948" s="35"/>
      <c r="H948" s="36"/>
      <c r="I948" s="37"/>
    </row>
    <row r="949" ht="22.5" customHeight="1">
      <c r="A949" s="30"/>
      <c r="B949" s="31"/>
      <c r="C949" s="32"/>
      <c r="D949" s="33"/>
      <c r="E949" s="34"/>
      <c r="F949" s="34"/>
      <c r="G949" s="35"/>
      <c r="H949" s="36"/>
      <c r="I949" s="37"/>
    </row>
    <row r="950" ht="22.5" customHeight="1">
      <c r="A950" s="30"/>
      <c r="B950" s="31"/>
      <c r="C950" s="32"/>
      <c r="D950" s="33"/>
      <c r="E950" s="34"/>
      <c r="F950" s="34"/>
      <c r="G950" s="35"/>
      <c r="H950" s="36"/>
      <c r="I950" s="37"/>
    </row>
    <row r="951" ht="22.5" customHeight="1">
      <c r="A951" s="30"/>
      <c r="B951" s="40"/>
      <c r="C951" s="32"/>
      <c r="D951" s="33"/>
      <c r="E951" s="34"/>
      <c r="F951" s="34"/>
      <c r="G951" s="35"/>
      <c r="H951" s="36"/>
      <c r="I951" s="37"/>
    </row>
    <row r="952" ht="22.5" customHeight="1">
      <c r="A952" s="30"/>
      <c r="B952" s="31"/>
      <c r="C952" s="32"/>
      <c r="D952" s="33"/>
      <c r="E952" s="34"/>
      <c r="F952" s="34"/>
      <c r="G952" s="35"/>
      <c r="H952" s="36"/>
      <c r="I952" s="37"/>
    </row>
    <row r="953" ht="22.5" customHeight="1">
      <c r="A953" s="30"/>
      <c r="B953" s="31"/>
      <c r="C953" s="32"/>
      <c r="D953" s="33"/>
      <c r="E953" s="34"/>
      <c r="F953" s="34"/>
      <c r="G953" s="35"/>
      <c r="H953" s="36"/>
      <c r="I953" s="37"/>
    </row>
    <row r="954" ht="22.5" customHeight="1">
      <c r="A954" s="30"/>
      <c r="B954" s="31"/>
      <c r="C954" s="32"/>
      <c r="D954" s="33"/>
      <c r="E954" s="34"/>
      <c r="F954" s="34"/>
      <c r="G954" s="35"/>
      <c r="H954" s="36"/>
      <c r="I954" s="37"/>
    </row>
    <row r="955" ht="22.5" customHeight="1">
      <c r="A955" s="30"/>
      <c r="B955" s="31"/>
      <c r="C955" s="32"/>
      <c r="D955" s="33"/>
      <c r="E955" s="34"/>
      <c r="F955" s="34"/>
      <c r="G955" s="35"/>
      <c r="H955" s="36"/>
      <c r="I955" s="37"/>
    </row>
    <row r="956" ht="22.5" customHeight="1">
      <c r="A956" s="30"/>
      <c r="B956" s="31"/>
      <c r="C956" s="32"/>
      <c r="D956" s="33"/>
      <c r="E956" s="34"/>
      <c r="F956" s="34"/>
      <c r="G956" s="35"/>
      <c r="H956" s="36"/>
      <c r="I956" s="37"/>
    </row>
    <row r="957" ht="22.5" customHeight="1">
      <c r="A957" s="30"/>
      <c r="B957" s="31"/>
      <c r="C957" s="32"/>
      <c r="D957" s="33"/>
      <c r="E957" s="34"/>
      <c r="F957" s="34"/>
      <c r="G957" s="35"/>
      <c r="H957" s="36"/>
      <c r="I957" s="37"/>
    </row>
    <row r="958" ht="22.5" customHeight="1">
      <c r="A958" s="30"/>
      <c r="B958" s="31"/>
      <c r="C958" s="32"/>
      <c r="D958" s="33"/>
      <c r="E958" s="34"/>
      <c r="F958" s="34"/>
      <c r="G958" s="35"/>
      <c r="H958" s="36"/>
      <c r="I958" s="37"/>
    </row>
    <row r="959" ht="22.5" customHeight="1">
      <c r="A959" s="30"/>
      <c r="B959" s="31"/>
      <c r="C959" s="32"/>
      <c r="D959" s="33"/>
      <c r="E959" s="34"/>
      <c r="F959" s="34"/>
      <c r="G959" s="35"/>
      <c r="H959" s="36"/>
      <c r="I959" s="37"/>
    </row>
    <row r="960" ht="22.5" customHeight="1">
      <c r="A960" s="30"/>
      <c r="B960" s="31"/>
      <c r="C960" s="32"/>
      <c r="D960" s="33"/>
      <c r="E960" s="34"/>
      <c r="F960" s="34"/>
      <c r="G960" s="35"/>
      <c r="H960" s="36"/>
      <c r="I960" s="37"/>
    </row>
    <row r="961" ht="22.5" customHeight="1">
      <c r="A961" s="30"/>
      <c r="B961" s="31"/>
      <c r="C961" s="32"/>
      <c r="D961" s="33"/>
      <c r="E961" s="34"/>
      <c r="F961" s="34"/>
      <c r="G961" s="35"/>
      <c r="H961" s="36"/>
      <c r="I961" s="37"/>
    </row>
    <row r="962" ht="22.5" customHeight="1">
      <c r="A962" s="30"/>
      <c r="B962" s="31"/>
      <c r="C962" s="32"/>
      <c r="D962" s="33"/>
      <c r="E962" s="34"/>
      <c r="F962" s="34"/>
      <c r="G962" s="35"/>
      <c r="H962" s="36"/>
      <c r="I962" s="37"/>
    </row>
    <row r="963" ht="22.5" customHeight="1">
      <c r="A963" s="30"/>
      <c r="B963" s="31"/>
      <c r="C963" s="32"/>
      <c r="D963" s="33"/>
      <c r="E963" s="34"/>
      <c r="F963" s="34"/>
      <c r="G963" s="35"/>
      <c r="H963" s="36"/>
      <c r="I963" s="37"/>
    </row>
    <row r="964" ht="22.5" customHeight="1">
      <c r="A964" s="30"/>
      <c r="B964" s="31"/>
      <c r="C964" s="32"/>
      <c r="D964" s="33"/>
      <c r="E964" s="34"/>
      <c r="F964" s="34"/>
      <c r="G964" s="35"/>
      <c r="H964" s="36"/>
      <c r="I964" s="37"/>
    </row>
    <row r="965" ht="22.5" customHeight="1">
      <c r="A965" s="30"/>
      <c r="B965" s="31"/>
      <c r="C965" s="32"/>
      <c r="D965" s="33"/>
      <c r="E965" s="34"/>
      <c r="F965" s="34"/>
      <c r="G965" s="35"/>
      <c r="H965" s="36"/>
      <c r="I965" s="37"/>
    </row>
    <row r="966" ht="22.5" customHeight="1">
      <c r="A966" s="30"/>
      <c r="B966" s="40"/>
      <c r="C966" s="32"/>
      <c r="D966" s="33"/>
      <c r="E966" s="34"/>
      <c r="F966" s="34"/>
      <c r="G966" s="35"/>
      <c r="H966" s="36"/>
      <c r="I966" s="37"/>
    </row>
    <row r="967" ht="22.5" customHeight="1">
      <c r="A967" s="30"/>
      <c r="B967" s="31"/>
      <c r="C967" s="32"/>
      <c r="D967" s="33"/>
      <c r="E967" s="34"/>
      <c r="F967" s="34"/>
      <c r="G967" s="35"/>
      <c r="H967" s="36"/>
      <c r="I967" s="37"/>
    </row>
    <row r="968" ht="22.5" customHeight="1">
      <c r="A968" s="30"/>
      <c r="B968" s="40"/>
      <c r="C968" s="32"/>
      <c r="D968" s="33"/>
      <c r="E968" s="34"/>
      <c r="F968" s="34"/>
      <c r="G968" s="35"/>
      <c r="H968" s="36"/>
      <c r="I968" s="37"/>
    </row>
    <row r="969" ht="22.5" customHeight="1">
      <c r="A969" s="30"/>
      <c r="B969" s="31"/>
      <c r="C969" s="32"/>
      <c r="D969" s="33"/>
      <c r="E969" s="34"/>
      <c r="F969" s="34"/>
      <c r="G969" s="35"/>
      <c r="H969" s="36"/>
      <c r="I969" s="37"/>
    </row>
    <row r="970" ht="22.5" customHeight="1">
      <c r="A970" s="30"/>
      <c r="B970" s="31"/>
      <c r="C970" s="32"/>
      <c r="D970" s="33"/>
      <c r="E970" s="34"/>
      <c r="F970" s="34"/>
      <c r="G970" s="35"/>
      <c r="H970" s="36"/>
      <c r="I970" s="37"/>
    </row>
    <row r="971" ht="22.5" customHeight="1">
      <c r="A971" s="30"/>
      <c r="B971" s="31"/>
      <c r="C971" s="32"/>
      <c r="D971" s="33"/>
      <c r="E971" s="34"/>
      <c r="F971" s="34"/>
      <c r="G971" s="35"/>
      <c r="H971" s="36"/>
      <c r="I971" s="37"/>
    </row>
    <row r="972" ht="22.5" customHeight="1">
      <c r="A972" s="30"/>
      <c r="B972" s="31"/>
      <c r="C972" s="32"/>
      <c r="D972" s="33"/>
      <c r="E972" s="34"/>
      <c r="F972" s="34"/>
      <c r="G972" s="35"/>
      <c r="H972" s="36"/>
      <c r="I972" s="37"/>
    </row>
    <row r="973" ht="22.5" customHeight="1">
      <c r="A973" s="30"/>
      <c r="B973" s="40"/>
      <c r="C973" s="32"/>
      <c r="D973" s="33"/>
      <c r="E973" s="34"/>
      <c r="F973" s="34"/>
      <c r="G973" s="35"/>
      <c r="H973" s="36"/>
      <c r="I973" s="37"/>
    </row>
    <row r="974" ht="22.5" customHeight="1">
      <c r="A974" s="30"/>
      <c r="B974" s="31"/>
      <c r="C974" s="32"/>
      <c r="D974" s="33"/>
      <c r="E974" s="34"/>
      <c r="F974" s="34"/>
      <c r="G974" s="35"/>
      <c r="H974" s="36"/>
      <c r="I974" s="37"/>
    </row>
    <row r="975" ht="22.5" customHeight="1">
      <c r="A975" s="30"/>
      <c r="B975" s="31"/>
      <c r="C975" s="32"/>
      <c r="D975" s="33"/>
      <c r="E975" s="34"/>
      <c r="F975" s="34"/>
      <c r="G975" s="35"/>
      <c r="H975" s="36"/>
      <c r="I975" s="37"/>
    </row>
    <row r="976" ht="22.5" customHeight="1">
      <c r="A976" s="30"/>
      <c r="B976" s="31"/>
      <c r="C976" s="32"/>
      <c r="D976" s="33"/>
      <c r="E976" s="34"/>
      <c r="F976" s="34"/>
      <c r="G976" s="35"/>
      <c r="H976" s="36"/>
      <c r="I976" s="37"/>
    </row>
    <row r="977" ht="22.5" customHeight="1">
      <c r="A977" s="30"/>
      <c r="B977" s="31"/>
      <c r="C977" s="32"/>
      <c r="D977" s="33"/>
      <c r="E977" s="34"/>
      <c r="F977" s="34"/>
      <c r="G977" s="35"/>
      <c r="H977" s="36"/>
      <c r="I977" s="37"/>
    </row>
    <row r="978" ht="22.5" customHeight="1">
      <c r="A978" s="30"/>
      <c r="B978" s="31"/>
      <c r="C978" s="32"/>
      <c r="D978" s="33"/>
      <c r="E978" s="34"/>
      <c r="F978" s="34"/>
      <c r="G978" s="35"/>
      <c r="H978" s="36"/>
      <c r="I978" s="37"/>
    </row>
    <row r="979" ht="22.5" customHeight="1">
      <c r="A979" s="30"/>
      <c r="B979" s="31"/>
      <c r="C979" s="32"/>
      <c r="D979" s="33"/>
      <c r="E979" s="34"/>
      <c r="F979" s="34"/>
      <c r="G979" s="35"/>
      <c r="H979" s="36"/>
      <c r="I979" s="37"/>
    </row>
    <row r="980" ht="22.5" customHeight="1">
      <c r="A980" s="30"/>
      <c r="B980" s="31"/>
      <c r="C980" s="32"/>
      <c r="D980" s="33"/>
      <c r="E980" s="34"/>
      <c r="F980" s="34"/>
      <c r="G980" s="35"/>
      <c r="H980" s="36"/>
      <c r="I980" s="37"/>
    </row>
    <row r="981" ht="22.5" customHeight="1">
      <c r="A981" s="30"/>
      <c r="B981" s="31"/>
      <c r="C981" s="32"/>
      <c r="D981" s="33"/>
      <c r="E981" s="34"/>
      <c r="F981" s="34"/>
      <c r="G981" s="35"/>
      <c r="H981" s="36"/>
      <c r="I981" s="37"/>
    </row>
    <row r="982" ht="22.5" customHeight="1">
      <c r="A982" s="30"/>
      <c r="B982" s="31"/>
      <c r="C982" s="32"/>
      <c r="D982" s="33"/>
      <c r="E982" s="34"/>
      <c r="F982" s="34"/>
      <c r="G982" s="35"/>
      <c r="H982" s="36"/>
      <c r="I982" s="37"/>
    </row>
    <row r="983" ht="22.5" customHeight="1">
      <c r="A983" s="30"/>
      <c r="B983" s="31"/>
      <c r="C983" s="32"/>
      <c r="D983" s="33"/>
      <c r="E983" s="34"/>
      <c r="F983" s="34"/>
      <c r="G983" s="35"/>
      <c r="H983" s="36"/>
      <c r="I983" s="37"/>
    </row>
    <row r="984" ht="22.5" customHeight="1">
      <c r="A984" s="30"/>
      <c r="B984" s="31"/>
      <c r="C984" s="32"/>
      <c r="D984" s="33"/>
      <c r="E984" s="34"/>
      <c r="F984" s="34"/>
      <c r="G984" s="35"/>
      <c r="H984" s="36"/>
      <c r="I984" s="37"/>
    </row>
    <row r="985" ht="22.5" customHeight="1">
      <c r="A985" s="30"/>
      <c r="B985" s="31"/>
      <c r="C985" s="32"/>
      <c r="D985" s="33"/>
      <c r="E985" s="34"/>
      <c r="F985" s="34"/>
      <c r="G985" s="35"/>
      <c r="H985" s="36"/>
      <c r="I985" s="37"/>
    </row>
    <row r="986" ht="22.5" customHeight="1">
      <c r="A986" s="30"/>
      <c r="B986" s="31"/>
      <c r="C986" s="32"/>
      <c r="D986" s="33"/>
      <c r="E986" s="34"/>
      <c r="F986" s="34"/>
      <c r="G986" s="35"/>
      <c r="H986" s="36"/>
      <c r="I986" s="37"/>
    </row>
    <row r="987" ht="22.5" customHeight="1">
      <c r="A987" s="30"/>
      <c r="B987" s="31"/>
      <c r="C987" s="32"/>
      <c r="D987" s="33"/>
      <c r="E987" s="34"/>
      <c r="F987" s="34"/>
      <c r="G987" s="35"/>
      <c r="H987" s="36"/>
      <c r="I987" s="37"/>
    </row>
    <row r="988" ht="22.5" customHeight="1">
      <c r="A988" s="30"/>
      <c r="B988" s="31"/>
      <c r="C988" s="32"/>
      <c r="D988" s="33"/>
      <c r="E988" s="34"/>
      <c r="F988" s="34"/>
      <c r="G988" s="35"/>
      <c r="H988" s="36"/>
      <c r="I988" s="37"/>
    </row>
    <row r="989" ht="22.5" customHeight="1">
      <c r="A989" s="30"/>
      <c r="B989" s="31"/>
      <c r="C989" s="32"/>
      <c r="D989" s="33"/>
      <c r="E989" s="34"/>
      <c r="F989" s="34"/>
      <c r="G989" s="35"/>
      <c r="H989" s="36"/>
      <c r="I989" s="37"/>
    </row>
    <row r="990" ht="22.5" customHeight="1">
      <c r="A990" s="30"/>
      <c r="B990" s="31"/>
      <c r="C990" s="32"/>
      <c r="D990" s="33"/>
      <c r="E990" s="34"/>
      <c r="F990" s="34"/>
      <c r="G990" s="35"/>
      <c r="H990" s="36"/>
      <c r="I990" s="37"/>
    </row>
    <row r="991" ht="22.5" customHeight="1">
      <c r="A991" s="30"/>
      <c r="B991" s="31"/>
      <c r="C991" s="32"/>
      <c r="D991" s="33"/>
      <c r="E991" s="34"/>
      <c r="F991" s="34"/>
      <c r="G991" s="35"/>
      <c r="H991" s="36"/>
      <c r="I991" s="37"/>
    </row>
    <row r="992" ht="22.5" customHeight="1">
      <c r="A992" s="30"/>
      <c r="B992" s="31"/>
      <c r="C992" s="32"/>
      <c r="D992" s="33"/>
      <c r="E992" s="34"/>
      <c r="F992" s="34"/>
      <c r="G992" s="35"/>
      <c r="H992" s="36"/>
      <c r="I992" s="37"/>
    </row>
    <row r="993" ht="22.5" customHeight="1">
      <c r="A993" s="30"/>
      <c r="B993" s="31"/>
      <c r="C993" s="32"/>
      <c r="D993" s="33"/>
      <c r="E993" s="34"/>
      <c r="F993" s="34"/>
      <c r="G993" s="35"/>
      <c r="H993" s="36"/>
      <c r="I993" s="37"/>
    </row>
    <row r="994" ht="22.5" customHeight="1">
      <c r="A994" s="30"/>
      <c r="B994" s="31"/>
      <c r="C994" s="32"/>
      <c r="D994" s="33"/>
      <c r="E994" s="34"/>
      <c r="F994" s="34"/>
      <c r="G994" s="35"/>
      <c r="H994" s="36"/>
      <c r="I994" s="37"/>
    </row>
    <row r="995" ht="22.5" customHeight="1">
      <c r="A995" s="30"/>
      <c r="B995" s="40"/>
      <c r="C995" s="32"/>
      <c r="D995" s="33"/>
      <c r="E995" s="34"/>
      <c r="F995" s="34"/>
      <c r="G995" s="35"/>
      <c r="H995" s="36"/>
      <c r="I995" s="37"/>
    </row>
    <row r="996" ht="22.5" customHeight="1">
      <c r="A996" s="30"/>
      <c r="B996" s="31"/>
      <c r="C996" s="32"/>
      <c r="D996" s="33"/>
      <c r="E996" s="34"/>
      <c r="F996" s="34"/>
      <c r="G996" s="35"/>
      <c r="H996" s="36"/>
      <c r="I996" s="37"/>
    </row>
    <row r="997" ht="22.5" customHeight="1">
      <c r="A997" s="30"/>
      <c r="B997" s="31"/>
      <c r="C997" s="32"/>
      <c r="D997" s="33"/>
      <c r="E997" s="34"/>
      <c r="F997" s="34"/>
      <c r="G997" s="35"/>
      <c r="H997" s="36"/>
      <c r="I997" s="37"/>
    </row>
    <row r="998" ht="22.5" customHeight="1">
      <c r="A998" s="30"/>
      <c r="B998" s="31"/>
      <c r="C998" s="32"/>
      <c r="D998" s="33"/>
      <c r="E998" s="34"/>
      <c r="F998" s="34"/>
      <c r="G998" s="35"/>
      <c r="H998" s="36"/>
      <c r="I998" s="37"/>
    </row>
    <row r="999" ht="22.5" customHeight="1">
      <c r="A999" s="30"/>
      <c r="B999" s="31"/>
      <c r="C999" s="32"/>
      <c r="D999" s="33"/>
      <c r="E999" s="34"/>
      <c r="F999" s="34"/>
      <c r="G999" s="35"/>
      <c r="H999" s="36"/>
      <c r="I999" s="38"/>
    </row>
    <row r="1000" ht="22.5" customHeight="1">
      <c r="A1000" s="30"/>
      <c r="B1000" s="39"/>
      <c r="C1000" s="32"/>
      <c r="D1000" s="33"/>
      <c r="E1000" s="34"/>
      <c r="F1000" s="34"/>
      <c r="G1000" s="35"/>
      <c r="H1000" s="36"/>
      <c r="I1000" s="37"/>
    </row>
    <row r="1001" ht="22.5" customHeight="1">
      <c r="A1001" s="30"/>
      <c r="B1001" s="31"/>
      <c r="C1001" s="32"/>
      <c r="D1001" s="33"/>
      <c r="E1001" s="34"/>
      <c r="F1001" s="34"/>
      <c r="G1001" s="35"/>
      <c r="H1001" s="36"/>
      <c r="I1001" s="37"/>
    </row>
    <row r="1002" ht="22.5" customHeight="1">
      <c r="A1002" s="30"/>
      <c r="B1002" s="31"/>
      <c r="C1002" s="32"/>
      <c r="D1002" s="33"/>
      <c r="E1002" s="34"/>
      <c r="F1002" s="34"/>
      <c r="G1002" s="35"/>
      <c r="H1002" s="36"/>
      <c r="I1002" s="37"/>
    </row>
    <row r="1003" ht="22.5" customHeight="1">
      <c r="A1003" s="30"/>
      <c r="B1003" s="31"/>
      <c r="C1003" s="32"/>
      <c r="D1003" s="33"/>
      <c r="E1003" s="34"/>
      <c r="F1003" s="34"/>
      <c r="G1003" s="35"/>
      <c r="H1003" s="36"/>
      <c r="I1003" s="37"/>
    </row>
    <row r="1004" ht="22.5" customHeight="1">
      <c r="A1004" s="30"/>
      <c r="B1004" s="39"/>
      <c r="C1004" s="32"/>
      <c r="D1004" s="33"/>
      <c r="E1004" s="34"/>
      <c r="F1004" s="34"/>
      <c r="G1004" s="35"/>
      <c r="H1004" s="36"/>
      <c r="I1004" s="37"/>
    </row>
    <row r="1005" ht="22.5" customHeight="1">
      <c r="A1005" s="30"/>
      <c r="B1005" s="31"/>
      <c r="C1005" s="32"/>
      <c r="D1005" s="33"/>
      <c r="E1005" s="34"/>
      <c r="F1005" s="34"/>
      <c r="G1005" s="35"/>
      <c r="H1005" s="36"/>
      <c r="I1005" s="37"/>
    </row>
    <row r="1006" ht="22.5" customHeight="1">
      <c r="A1006" s="30"/>
      <c r="B1006" s="39"/>
      <c r="C1006" s="32"/>
      <c r="D1006" s="33"/>
      <c r="E1006" s="34"/>
      <c r="F1006" s="34"/>
      <c r="G1006" s="35"/>
      <c r="H1006" s="36"/>
      <c r="I1006" s="37"/>
    </row>
    <row r="1007" ht="22.5" customHeight="1">
      <c r="A1007" s="30"/>
      <c r="B1007" s="31"/>
      <c r="C1007" s="32"/>
      <c r="D1007" s="33"/>
      <c r="E1007" s="34"/>
      <c r="F1007" s="34"/>
      <c r="G1007" s="35"/>
      <c r="H1007" s="36"/>
      <c r="I1007" s="37"/>
    </row>
    <row r="1008" ht="22.5" customHeight="1">
      <c r="A1008" s="30"/>
      <c r="B1008" s="31"/>
      <c r="C1008" s="32"/>
      <c r="D1008" s="33"/>
      <c r="E1008" s="34"/>
      <c r="F1008" s="34"/>
      <c r="G1008" s="35"/>
      <c r="H1008" s="36"/>
      <c r="I1008" s="37"/>
    </row>
    <row r="1009" ht="22.5" customHeight="1">
      <c r="A1009" s="30"/>
      <c r="B1009" s="31"/>
      <c r="C1009" s="32"/>
      <c r="D1009" s="33"/>
      <c r="E1009" s="34"/>
      <c r="F1009" s="34"/>
      <c r="G1009" s="35"/>
      <c r="H1009" s="36"/>
      <c r="I1009" s="37"/>
    </row>
    <row r="1010" ht="22.5" customHeight="1">
      <c r="A1010" s="30"/>
      <c r="B1010" s="31"/>
      <c r="C1010" s="32"/>
      <c r="D1010" s="33"/>
      <c r="E1010" s="34"/>
      <c r="F1010" s="34"/>
      <c r="G1010" s="35"/>
      <c r="H1010" s="36"/>
      <c r="I1010" s="37"/>
    </row>
    <row r="1011" ht="22.5" customHeight="1">
      <c r="A1011" s="30"/>
      <c r="B1011" s="31"/>
      <c r="C1011" s="32"/>
      <c r="D1011" s="33"/>
      <c r="E1011" s="34"/>
      <c r="F1011" s="34"/>
      <c r="G1011" s="35"/>
      <c r="H1011" s="36"/>
      <c r="I1011" s="37"/>
    </row>
    <row r="1012" ht="22.5" customHeight="1">
      <c r="A1012" s="30"/>
      <c r="B1012" s="31"/>
      <c r="C1012" s="32"/>
      <c r="D1012" s="33"/>
      <c r="E1012" s="34"/>
      <c r="F1012" s="34"/>
      <c r="G1012" s="35"/>
      <c r="H1012" s="36"/>
      <c r="I1012" s="37"/>
    </row>
    <row r="1013" ht="22.5" customHeight="1">
      <c r="A1013" s="30"/>
      <c r="B1013" s="31"/>
      <c r="C1013" s="32"/>
      <c r="D1013" s="33"/>
      <c r="E1013" s="34"/>
      <c r="F1013" s="34"/>
      <c r="G1013" s="35"/>
      <c r="H1013" s="36"/>
      <c r="I1013" s="37"/>
    </row>
    <row r="1014" ht="22.5" customHeight="1">
      <c r="A1014" s="30"/>
      <c r="B1014" s="31"/>
      <c r="C1014" s="32"/>
      <c r="D1014" s="33"/>
      <c r="E1014" s="34"/>
      <c r="F1014" s="34"/>
      <c r="G1014" s="35"/>
      <c r="H1014" s="36"/>
      <c r="I1014" s="37"/>
    </row>
    <row r="1015" ht="22.5" customHeight="1">
      <c r="A1015" s="30"/>
      <c r="B1015" s="31"/>
      <c r="C1015" s="32"/>
      <c r="D1015" s="33"/>
      <c r="E1015" s="34"/>
      <c r="F1015" s="34"/>
      <c r="G1015" s="35"/>
      <c r="H1015" s="36"/>
      <c r="I1015" s="37"/>
    </row>
    <row r="1016" ht="22.5" customHeight="1">
      <c r="A1016" s="30"/>
      <c r="B1016" s="31"/>
      <c r="C1016" s="32"/>
      <c r="D1016" s="33"/>
      <c r="E1016" s="34"/>
      <c r="F1016" s="34"/>
      <c r="G1016" s="35"/>
      <c r="H1016" s="36"/>
      <c r="I1016" s="37"/>
    </row>
    <row r="1017" ht="22.5" customHeight="1">
      <c r="A1017" s="30"/>
      <c r="B1017" s="40"/>
      <c r="C1017" s="32"/>
      <c r="D1017" s="33"/>
      <c r="E1017" s="34"/>
      <c r="F1017" s="34"/>
      <c r="G1017" s="35"/>
      <c r="H1017" s="36"/>
      <c r="I1017" s="37"/>
    </row>
    <row r="1018" ht="22.5" customHeight="1">
      <c r="A1018" s="30"/>
      <c r="B1018" s="31"/>
      <c r="C1018" s="32"/>
      <c r="D1018" s="33"/>
      <c r="E1018" s="34"/>
      <c r="F1018" s="34"/>
      <c r="G1018" s="35"/>
      <c r="H1018" s="36"/>
      <c r="I1018" s="37"/>
    </row>
    <row r="1019" ht="22.5" customHeight="1">
      <c r="A1019" s="30"/>
      <c r="B1019" s="31"/>
      <c r="C1019" s="32"/>
      <c r="D1019" s="33"/>
      <c r="E1019" s="34"/>
      <c r="F1019" s="34"/>
      <c r="G1019" s="35"/>
      <c r="H1019" s="36"/>
      <c r="I1019" s="37"/>
    </row>
    <row r="1020" ht="22.5" customHeight="1">
      <c r="A1020" s="30"/>
      <c r="B1020" s="31"/>
      <c r="C1020" s="32"/>
      <c r="D1020" s="33"/>
      <c r="E1020" s="34"/>
      <c r="F1020" s="34"/>
      <c r="G1020" s="35"/>
      <c r="H1020" s="36"/>
      <c r="I1020" s="37"/>
    </row>
    <row r="1021" ht="22.5" customHeight="1">
      <c r="A1021" s="30"/>
      <c r="B1021" s="31"/>
      <c r="C1021" s="32"/>
      <c r="D1021" s="33"/>
      <c r="E1021" s="34"/>
      <c r="F1021" s="34"/>
      <c r="G1021" s="35"/>
      <c r="H1021" s="36"/>
      <c r="I1021" s="37"/>
    </row>
    <row r="1022" ht="22.5" customHeight="1">
      <c r="A1022" s="30"/>
      <c r="B1022" s="31"/>
      <c r="C1022" s="32"/>
      <c r="D1022" s="33"/>
      <c r="E1022" s="34"/>
      <c r="F1022" s="34"/>
      <c r="G1022" s="35"/>
      <c r="H1022" s="36"/>
      <c r="I1022" s="37"/>
    </row>
    <row r="1023" ht="22.5" customHeight="1">
      <c r="A1023" s="30"/>
      <c r="B1023" s="31"/>
      <c r="C1023" s="32"/>
      <c r="D1023" s="33"/>
      <c r="E1023" s="34"/>
      <c r="F1023" s="34"/>
      <c r="G1023" s="35"/>
      <c r="H1023" s="36"/>
      <c r="I1023" s="37"/>
    </row>
    <row r="1024" ht="22.5" customHeight="1">
      <c r="A1024" s="30"/>
      <c r="B1024" s="39"/>
      <c r="C1024" s="32"/>
      <c r="D1024" s="33"/>
      <c r="E1024" s="34"/>
      <c r="F1024" s="34"/>
      <c r="G1024" s="35"/>
      <c r="H1024" s="36"/>
      <c r="I1024" s="37"/>
    </row>
    <row r="1025" ht="22.5" customHeight="1">
      <c r="A1025" s="30"/>
      <c r="B1025" s="39"/>
      <c r="C1025" s="32"/>
      <c r="D1025" s="33"/>
      <c r="E1025" s="34"/>
      <c r="F1025" s="34"/>
      <c r="G1025" s="35"/>
      <c r="H1025" s="36"/>
      <c r="I1025" s="37"/>
    </row>
    <row r="1026" ht="22.5" customHeight="1">
      <c r="A1026" s="30"/>
      <c r="B1026" s="39"/>
      <c r="C1026" s="32"/>
      <c r="D1026" s="33"/>
      <c r="E1026" s="34"/>
      <c r="F1026" s="34"/>
      <c r="G1026" s="35"/>
      <c r="H1026" s="36"/>
      <c r="I1026" s="37"/>
    </row>
    <row r="1027" ht="22.5" customHeight="1">
      <c r="A1027" s="30"/>
      <c r="B1027" s="40"/>
      <c r="C1027" s="32"/>
      <c r="D1027" s="33"/>
      <c r="E1027" s="34"/>
      <c r="F1027" s="34"/>
      <c r="G1027" s="35"/>
      <c r="H1027" s="36"/>
      <c r="I1027" s="37"/>
    </row>
    <row r="1028" ht="22.5" customHeight="1">
      <c r="A1028" s="30"/>
      <c r="B1028" s="31"/>
      <c r="C1028" s="32"/>
      <c r="D1028" s="33"/>
      <c r="E1028" s="34"/>
      <c r="F1028" s="34"/>
      <c r="G1028" s="35"/>
      <c r="H1028" s="36"/>
      <c r="I1028" s="37"/>
    </row>
    <row r="1029" ht="22.5" customHeight="1">
      <c r="A1029" s="30"/>
      <c r="B1029" s="31"/>
      <c r="C1029" s="32"/>
      <c r="D1029" s="33"/>
      <c r="E1029" s="34"/>
      <c r="F1029" s="34"/>
      <c r="G1029" s="35"/>
      <c r="H1029" s="36"/>
      <c r="I1029" s="37"/>
    </row>
    <row r="1030" ht="22.5" customHeight="1">
      <c r="A1030" s="30"/>
      <c r="B1030" s="31"/>
      <c r="C1030" s="32"/>
      <c r="D1030" s="33"/>
      <c r="E1030" s="34"/>
      <c r="F1030" s="34"/>
      <c r="G1030" s="35"/>
      <c r="H1030" s="36"/>
      <c r="I1030" s="37"/>
    </row>
    <row r="1031" ht="22.5" customHeight="1">
      <c r="A1031" s="30"/>
      <c r="B1031" s="31"/>
      <c r="C1031" s="32"/>
      <c r="D1031" s="33"/>
      <c r="E1031" s="34"/>
      <c r="F1031" s="34"/>
      <c r="G1031" s="35"/>
      <c r="H1031" s="36"/>
      <c r="I1031" s="37"/>
    </row>
    <row r="1032" ht="22.5" customHeight="1">
      <c r="A1032" s="30"/>
      <c r="B1032" s="31"/>
      <c r="C1032" s="32"/>
      <c r="D1032" s="33"/>
      <c r="E1032" s="34"/>
      <c r="F1032" s="34"/>
      <c r="G1032" s="35"/>
      <c r="H1032" s="36"/>
      <c r="I1032" s="37"/>
    </row>
    <row r="1033" ht="22.5" customHeight="1">
      <c r="A1033" s="30"/>
      <c r="B1033" s="31"/>
      <c r="C1033" s="32"/>
      <c r="D1033" s="33"/>
      <c r="E1033" s="34"/>
      <c r="F1033" s="34"/>
      <c r="G1033" s="35"/>
      <c r="H1033" s="36"/>
      <c r="I1033" s="37"/>
    </row>
    <row r="1034" ht="22.5" customHeight="1">
      <c r="A1034" s="30"/>
      <c r="B1034" s="31"/>
      <c r="C1034" s="32"/>
      <c r="D1034" s="33"/>
      <c r="E1034" s="34"/>
      <c r="F1034" s="34"/>
      <c r="G1034" s="35"/>
      <c r="H1034" s="36"/>
      <c r="I1034" s="37"/>
    </row>
    <row r="1035" ht="22.5" customHeight="1">
      <c r="A1035" s="30"/>
      <c r="B1035" s="31"/>
      <c r="C1035" s="32"/>
      <c r="D1035" s="33"/>
      <c r="E1035" s="34"/>
      <c r="F1035" s="34"/>
      <c r="G1035" s="35"/>
      <c r="H1035" s="36"/>
      <c r="I1035" s="37"/>
    </row>
    <row r="1036" ht="22.5" customHeight="1">
      <c r="A1036" s="30"/>
      <c r="B1036" s="31"/>
      <c r="C1036" s="32"/>
      <c r="D1036" s="33"/>
      <c r="E1036" s="34"/>
      <c r="F1036" s="34"/>
      <c r="G1036" s="35"/>
      <c r="H1036" s="36"/>
      <c r="I1036" s="37"/>
    </row>
    <row r="1037" ht="22.5" customHeight="1">
      <c r="A1037" s="30"/>
      <c r="B1037" s="40"/>
      <c r="C1037" s="32"/>
      <c r="D1037" s="33"/>
      <c r="E1037" s="34"/>
      <c r="F1037" s="34"/>
      <c r="G1037" s="35"/>
      <c r="H1037" s="36"/>
      <c r="I1037" s="37"/>
    </row>
    <row r="1038" ht="22.5" customHeight="1">
      <c r="A1038" s="30"/>
      <c r="B1038" s="31"/>
      <c r="C1038" s="32"/>
      <c r="D1038" s="33"/>
      <c r="E1038" s="34"/>
      <c r="F1038" s="34"/>
      <c r="G1038" s="35"/>
      <c r="H1038" s="36"/>
      <c r="I1038" s="37"/>
    </row>
    <row r="1039" ht="22.5" customHeight="1">
      <c r="A1039" s="30"/>
      <c r="B1039" s="31"/>
      <c r="C1039" s="32"/>
      <c r="D1039" s="33"/>
      <c r="E1039" s="34"/>
      <c r="F1039" s="34"/>
      <c r="G1039" s="35"/>
      <c r="H1039" s="36"/>
      <c r="I1039" s="37"/>
    </row>
    <row r="1040" ht="22.5" customHeight="1">
      <c r="A1040" s="30"/>
      <c r="B1040" s="31"/>
      <c r="C1040" s="32"/>
      <c r="D1040" s="33"/>
      <c r="E1040" s="34"/>
      <c r="F1040" s="34"/>
      <c r="G1040" s="35"/>
      <c r="H1040" s="36"/>
      <c r="I1040" s="37"/>
    </row>
    <row r="1041" ht="22.5" customHeight="1">
      <c r="A1041" s="30"/>
      <c r="B1041" s="40"/>
      <c r="C1041" s="32"/>
      <c r="D1041" s="33"/>
      <c r="E1041" s="34"/>
      <c r="F1041" s="34"/>
      <c r="G1041" s="35"/>
      <c r="H1041" s="36"/>
      <c r="I1041" s="37"/>
    </row>
    <row r="1042" ht="22.5" customHeight="1">
      <c r="A1042" s="30"/>
      <c r="B1042" s="31"/>
      <c r="C1042" s="32"/>
      <c r="D1042" s="33"/>
      <c r="E1042" s="34"/>
      <c r="F1042" s="34"/>
      <c r="G1042" s="35"/>
      <c r="H1042" s="36"/>
      <c r="I1042" s="37"/>
    </row>
    <row r="1043" ht="22.5" customHeight="1">
      <c r="A1043" s="30"/>
      <c r="B1043" s="31"/>
      <c r="C1043" s="32"/>
      <c r="D1043" s="33"/>
      <c r="E1043" s="34"/>
      <c r="F1043" s="34"/>
      <c r="G1043" s="35"/>
      <c r="H1043" s="36"/>
      <c r="I1043" s="37"/>
    </row>
    <row r="1044" ht="22.5" customHeight="1">
      <c r="A1044" s="30"/>
      <c r="B1044" s="31"/>
      <c r="C1044" s="32"/>
      <c r="D1044" s="33"/>
      <c r="E1044" s="34"/>
      <c r="F1044" s="34"/>
      <c r="G1044" s="35"/>
      <c r="H1044" s="36"/>
      <c r="I1044" s="37"/>
    </row>
    <row r="1045" ht="22.5" customHeight="1">
      <c r="A1045" s="30"/>
      <c r="B1045" s="31"/>
      <c r="C1045" s="32"/>
      <c r="D1045" s="33"/>
      <c r="E1045" s="34"/>
      <c r="F1045" s="34"/>
      <c r="G1045" s="35"/>
      <c r="H1045" s="36"/>
      <c r="I1045" s="37"/>
    </row>
    <row r="1046" ht="22.5" customHeight="1">
      <c r="A1046" s="30"/>
      <c r="B1046" s="31"/>
      <c r="C1046" s="32"/>
      <c r="D1046" s="33"/>
      <c r="E1046" s="34"/>
      <c r="F1046" s="34"/>
      <c r="G1046" s="35"/>
      <c r="H1046" s="36"/>
      <c r="I1046" s="37"/>
    </row>
    <row r="1047" ht="22.5" customHeight="1">
      <c r="A1047" s="30"/>
      <c r="B1047" s="31"/>
      <c r="C1047" s="32"/>
      <c r="D1047" s="33"/>
      <c r="E1047" s="34"/>
      <c r="F1047" s="34"/>
      <c r="G1047" s="35"/>
      <c r="H1047" s="36"/>
      <c r="I1047" s="37"/>
    </row>
    <row r="1048" ht="22.5" customHeight="1">
      <c r="A1048" s="30"/>
      <c r="B1048" s="31"/>
      <c r="C1048" s="32"/>
      <c r="D1048" s="33"/>
      <c r="E1048" s="34"/>
      <c r="F1048" s="34"/>
      <c r="G1048" s="35"/>
      <c r="H1048" s="36"/>
      <c r="I1048" s="37"/>
    </row>
    <row r="1049" ht="22.5" customHeight="1">
      <c r="A1049" s="30"/>
      <c r="B1049" s="31"/>
      <c r="C1049" s="32"/>
      <c r="D1049" s="33"/>
      <c r="E1049" s="34"/>
      <c r="F1049" s="34"/>
      <c r="G1049" s="35"/>
      <c r="H1049" s="36"/>
      <c r="I1049" s="37"/>
    </row>
    <row r="1050" ht="22.5" customHeight="1">
      <c r="A1050" s="30"/>
      <c r="B1050" s="31"/>
      <c r="C1050" s="32"/>
      <c r="D1050" s="33"/>
      <c r="E1050" s="34"/>
      <c r="F1050" s="34"/>
      <c r="G1050" s="35"/>
      <c r="H1050" s="36"/>
      <c r="I1050" s="37"/>
    </row>
    <row r="1051" ht="22.5" customHeight="1">
      <c r="A1051" s="30"/>
      <c r="B1051" s="31"/>
      <c r="C1051" s="32"/>
      <c r="D1051" s="33"/>
      <c r="E1051" s="34"/>
      <c r="F1051" s="34"/>
      <c r="G1051" s="35"/>
      <c r="H1051" s="36"/>
      <c r="I1051" s="37"/>
    </row>
    <row r="1052" ht="22.5" customHeight="1">
      <c r="A1052" s="30"/>
      <c r="B1052" s="31"/>
      <c r="C1052" s="32"/>
      <c r="D1052" s="33"/>
      <c r="E1052" s="34"/>
      <c r="F1052" s="34"/>
      <c r="G1052" s="35"/>
      <c r="H1052" s="36"/>
      <c r="I1052" s="37"/>
    </row>
    <row r="1053" ht="22.5" customHeight="1">
      <c r="A1053" s="30"/>
      <c r="B1053" s="31"/>
      <c r="C1053" s="32"/>
      <c r="D1053" s="33"/>
      <c r="E1053" s="34"/>
      <c r="F1053" s="34"/>
      <c r="G1053" s="35"/>
      <c r="H1053" s="36"/>
      <c r="I1053" s="37"/>
    </row>
    <row r="1054" ht="22.5" customHeight="1">
      <c r="A1054" s="30"/>
      <c r="B1054" s="31"/>
      <c r="C1054" s="32"/>
      <c r="D1054" s="33"/>
      <c r="E1054" s="34"/>
      <c r="F1054" s="34"/>
      <c r="G1054" s="35"/>
      <c r="H1054" s="36"/>
      <c r="I1054" s="37"/>
    </row>
    <row r="1055" ht="22.5" customHeight="1">
      <c r="A1055" s="30"/>
      <c r="B1055" s="31"/>
      <c r="C1055" s="32"/>
      <c r="D1055" s="33"/>
      <c r="E1055" s="34"/>
      <c r="F1055" s="34"/>
      <c r="G1055" s="35"/>
      <c r="H1055" s="36"/>
      <c r="I1055" s="37"/>
    </row>
    <row r="1056" ht="22.5" customHeight="1">
      <c r="A1056" s="30"/>
      <c r="B1056" s="40"/>
      <c r="C1056" s="32"/>
      <c r="D1056" s="33"/>
      <c r="E1056" s="34"/>
      <c r="F1056" s="34"/>
      <c r="G1056" s="35"/>
      <c r="H1056" s="36"/>
      <c r="I1056" s="37"/>
    </row>
    <row r="1057" ht="22.5" customHeight="1">
      <c r="A1057" s="30"/>
      <c r="B1057" s="31"/>
      <c r="C1057" s="32"/>
      <c r="D1057" s="33"/>
      <c r="E1057" s="34"/>
      <c r="F1057" s="34"/>
      <c r="G1057" s="35"/>
      <c r="H1057" s="36"/>
      <c r="I1057" s="37"/>
    </row>
    <row r="1058" ht="22.5" customHeight="1">
      <c r="A1058" s="30"/>
      <c r="B1058" s="40"/>
      <c r="C1058" s="32"/>
      <c r="D1058" s="33"/>
      <c r="E1058" s="34"/>
      <c r="F1058" s="34"/>
      <c r="G1058" s="35"/>
      <c r="H1058" s="36"/>
      <c r="I1058" s="37"/>
    </row>
    <row r="1059" ht="22.5" customHeight="1">
      <c r="A1059" s="30"/>
      <c r="B1059" s="31"/>
      <c r="C1059" s="32"/>
      <c r="D1059" s="33"/>
      <c r="E1059" s="34"/>
      <c r="F1059" s="34"/>
      <c r="G1059" s="35"/>
      <c r="H1059" s="36"/>
      <c r="I1059" s="37"/>
    </row>
    <row r="1060" ht="22.5" customHeight="1">
      <c r="A1060" s="30"/>
      <c r="B1060" s="31"/>
      <c r="C1060" s="32"/>
      <c r="D1060" s="33"/>
      <c r="E1060" s="34"/>
      <c r="F1060" s="34"/>
      <c r="G1060" s="35"/>
      <c r="H1060" s="36"/>
      <c r="I1060" s="37"/>
    </row>
    <row r="1061" ht="22.5" customHeight="1">
      <c r="A1061" s="30"/>
      <c r="B1061" s="31"/>
      <c r="C1061" s="32"/>
      <c r="D1061" s="33"/>
      <c r="E1061" s="34"/>
      <c r="F1061" s="34"/>
      <c r="G1061" s="35"/>
      <c r="H1061" s="36"/>
      <c r="I1061" s="37"/>
    </row>
    <row r="1062" ht="22.5" customHeight="1">
      <c r="A1062" s="30"/>
      <c r="B1062" s="31"/>
      <c r="C1062" s="32"/>
      <c r="D1062" s="33"/>
      <c r="E1062" s="34"/>
      <c r="F1062" s="34"/>
      <c r="G1062" s="35"/>
      <c r="H1062" s="36"/>
      <c r="I1062" s="37"/>
    </row>
    <row r="1063" ht="22.5" customHeight="1">
      <c r="A1063" s="30"/>
      <c r="B1063" s="40"/>
      <c r="C1063" s="32"/>
      <c r="D1063" s="33"/>
      <c r="E1063" s="34"/>
      <c r="F1063" s="34"/>
      <c r="G1063" s="35"/>
      <c r="H1063" s="36"/>
      <c r="I1063" s="37"/>
    </row>
    <row r="1064" ht="22.5" customHeight="1">
      <c r="A1064" s="30"/>
      <c r="B1064" s="31"/>
      <c r="C1064" s="32"/>
      <c r="D1064" s="33"/>
      <c r="E1064" s="34"/>
      <c r="F1064" s="34"/>
      <c r="G1064" s="35"/>
      <c r="H1064" s="36"/>
      <c r="I1064" s="37"/>
    </row>
    <row r="1065" ht="22.5" customHeight="1">
      <c r="A1065" s="30"/>
      <c r="B1065" s="31"/>
      <c r="C1065" s="32"/>
      <c r="D1065" s="33"/>
      <c r="E1065" s="34"/>
      <c r="F1065" s="34"/>
      <c r="G1065" s="35"/>
      <c r="H1065" s="36"/>
      <c r="I1065" s="37"/>
    </row>
    <row r="1066" ht="22.5" customHeight="1">
      <c r="A1066" s="30"/>
      <c r="B1066" s="31"/>
      <c r="C1066" s="32"/>
      <c r="D1066" s="33"/>
      <c r="E1066" s="34"/>
      <c r="F1066" s="34"/>
      <c r="G1066" s="35"/>
      <c r="H1066" s="36"/>
      <c r="I1066" s="37"/>
    </row>
    <row r="1067" ht="22.5" customHeight="1">
      <c r="A1067" s="30"/>
      <c r="B1067" s="31"/>
      <c r="C1067" s="32"/>
      <c r="D1067" s="33"/>
      <c r="E1067" s="34"/>
      <c r="F1067" s="34"/>
      <c r="G1067" s="35"/>
      <c r="H1067" s="36"/>
      <c r="I1067" s="37"/>
    </row>
    <row r="1068" ht="22.5" customHeight="1">
      <c r="A1068" s="30"/>
      <c r="B1068" s="31"/>
      <c r="C1068" s="32"/>
      <c r="D1068" s="33"/>
      <c r="E1068" s="34"/>
      <c r="F1068" s="34"/>
      <c r="G1068" s="35"/>
      <c r="H1068" s="36"/>
      <c r="I1068" s="37"/>
    </row>
    <row r="1069" ht="22.5" customHeight="1">
      <c r="A1069" s="30"/>
      <c r="B1069" s="31"/>
      <c r="C1069" s="32"/>
      <c r="D1069" s="33"/>
      <c r="E1069" s="34"/>
      <c r="F1069" s="34"/>
      <c r="G1069" s="35"/>
      <c r="H1069" s="36"/>
      <c r="I1069" s="37"/>
    </row>
    <row r="1070" ht="22.5" customHeight="1">
      <c r="A1070" s="30"/>
      <c r="B1070" s="31"/>
      <c r="C1070" s="32"/>
      <c r="D1070" s="33"/>
      <c r="E1070" s="34"/>
      <c r="F1070" s="34"/>
      <c r="G1070" s="35"/>
      <c r="H1070" s="36"/>
      <c r="I1070" s="37"/>
    </row>
    <row r="1071" ht="22.5" customHeight="1">
      <c r="A1071" s="30"/>
      <c r="B1071" s="31"/>
      <c r="C1071" s="32"/>
      <c r="D1071" s="33"/>
      <c r="E1071" s="34"/>
      <c r="F1071" s="34"/>
      <c r="G1071" s="35"/>
      <c r="H1071" s="36"/>
      <c r="I1071" s="37"/>
    </row>
    <row r="1072" ht="22.5" customHeight="1">
      <c r="A1072" s="30"/>
      <c r="B1072" s="31"/>
      <c r="C1072" s="32"/>
      <c r="D1072" s="33"/>
      <c r="E1072" s="34"/>
      <c r="F1072" s="34"/>
      <c r="G1072" s="35"/>
      <c r="H1072" s="36"/>
      <c r="I1072" s="37"/>
    </row>
    <row r="1073" ht="22.5" customHeight="1">
      <c r="A1073" s="30"/>
      <c r="B1073" s="31"/>
      <c r="C1073" s="32"/>
      <c r="D1073" s="33"/>
      <c r="E1073" s="34"/>
      <c r="F1073" s="34"/>
      <c r="G1073" s="35"/>
      <c r="H1073" s="36"/>
      <c r="I1073" s="37"/>
    </row>
    <row r="1074" ht="22.5" customHeight="1">
      <c r="A1074" s="30"/>
      <c r="B1074" s="31"/>
      <c r="C1074" s="32"/>
      <c r="D1074" s="33"/>
      <c r="E1074" s="34"/>
      <c r="F1074" s="34"/>
      <c r="G1074" s="35"/>
      <c r="H1074" s="36"/>
      <c r="I1074" s="37"/>
    </row>
    <row r="1075" ht="22.5" customHeight="1">
      <c r="A1075" s="30"/>
      <c r="B1075" s="31"/>
      <c r="C1075" s="32"/>
      <c r="D1075" s="33"/>
      <c r="E1075" s="34"/>
      <c r="F1075" s="34"/>
      <c r="G1075" s="35"/>
      <c r="H1075" s="36"/>
      <c r="I1075" s="37"/>
    </row>
    <row r="1076" ht="22.5" customHeight="1">
      <c r="A1076" s="30"/>
      <c r="B1076" s="31"/>
      <c r="C1076" s="32"/>
      <c r="D1076" s="33"/>
      <c r="E1076" s="34"/>
      <c r="F1076" s="34"/>
      <c r="G1076" s="35"/>
      <c r="H1076" s="36"/>
      <c r="I1076" s="37"/>
    </row>
    <row r="1077" ht="22.5" customHeight="1">
      <c r="A1077" s="30"/>
      <c r="B1077" s="31"/>
      <c r="C1077" s="32"/>
      <c r="D1077" s="33"/>
      <c r="E1077" s="34"/>
      <c r="F1077" s="34"/>
      <c r="G1077" s="35"/>
      <c r="H1077" s="36"/>
      <c r="I1077" s="37"/>
    </row>
    <row r="1078" ht="22.5" customHeight="1">
      <c r="A1078" s="30"/>
      <c r="B1078" s="31"/>
      <c r="C1078" s="32"/>
      <c r="D1078" s="33"/>
      <c r="E1078" s="34"/>
      <c r="F1078" s="34"/>
      <c r="G1078" s="35"/>
      <c r="H1078" s="36"/>
      <c r="I1078" s="37"/>
    </row>
    <row r="1079" ht="22.5" customHeight="1">
      <c r="A1079" s="30"/>
      <c r="B1079" s="31"/>
      <c r="C1079" s="32"/>
      <c r="D1079" s="33"/>
      <c r="E1079" s="34"/>
      <c r="F1079" s="34"/>
      <c r="G1079" s="35"/>
      <c r="H1079" s="36"/>
      <c r="I1079" s="37"/>
    </row>
    <row r="1080" ht="22.5" customHeight="1">
      <c r="A1080" s="30"/>
      <c r="B1080" s="31"/>
      <c r="C1080" s="32"/>
      <c r="D1080" s="33"/>
      <c r="E1080" s="34"/>
      <c r="F1080" s="34"/>
      <c r="G1080" s="35"/>
      <c r="H1080" s="36"/>
      <c r="I1080" s="37"/>
    </row>
    <row r="1081" ht="22.5" customHeight="1">
      <c r="A1081" s="30"/>
      <c r="B1081" s="31"/>
      <c r="C1081" s="32"/>
      <c r="D1081" s="33"/>
      <c r="E1081" s="34"/>
      <c r="F1081" s="34"/>
      <c r="G1081" s="35"/>
      <c r="H1081" s="36"/>
      <c r="I1081" s="37"/>
    </row>
    <row r="1082" ht="22.5" customHeight="1">
      <c r="A1082" s="30"/>
      <c r="B1082" s="31"/>
      <c r="C1082" s="32"/>
      <c r="D1082" s="33"/>
      <c r="E1082" s="34"/>
      <c r="F1082" s="34"/>
      <c r="G1082" s="35"/>
      <c r="H1082" s="36"/>
      <c r="I1082" s="37"/>
    </row>
    <row r="1083" ht="22.5" customHeight="1">
      <c r="A1083" s="30"/>
      <c r="B1083" s="31"/>
      <c r="C1083" s="32"/>
      <c r="D1083" s="33"/>
      <c r="E1083" s="34"/>
      <c r="F1083" s="34"/>
      <c r="G1083" s="35"/>
      <c r="H1083" s="36"/>
      <c r="I1083" s="37"/>
    </row>
    <row r="1084" ht="22.5" customHeight="1">
      <c r="A1084" s="30"/>
      <c r="B1084" s="31"/>
      <c r="C1084" s="32"/>
      <c r="D1084" s="33"/>
      <c r="E1084" s="34"/>
      <c r="F1084" s="34"/>
      <c r="G1084" s="35"/>
      <c r="H1084" s="36"/>
      <c r="I1084" s="37"/>
    </row>
    <row r="1085" ht="22.5" customHeight="1">
      <c r="A1085" s="30"/>
      <c r="B1085" s="40"/>
      <c r="C1085" s="32"/>
      <c r="D1085" s="33"/>
      <c r="E1085" s="34"/>
      <c r="F1085" s="34"/>
      <c r="G1085" s="35"/>
      <c r="H1085" s="36"/>
      <c r="I1085" s="37"/>
    </row>
    <row r="1086" ht="22.5" customHeight="1">
      <c r="A1086" s="30"/>
      <c r="B1086" s="31"/>
      <c r="C1086" s="32"/>
      <c r="D1086" s="33"/>
      <c r="E1086" s="34"/>
      <c r="F1086" s="34"/>
      <c r="G1086" s="35"/>
      <c r="H1086" s="36"/>
      <c r="I1086" s="37"/>
    </row>
    <row r="1087" ht="22.5" customHeight="1">
      <c r="A1087" s="30"/>
      <c r="B1087" s="31"/>
      <c r="C1087" s="32"/>
      <c r="D1087" s="33"/>
      <c r="E1087" s="34"/>
      <c r="F1087" s="34"/>
      <c r="G1087" s="35"/>
      <c r="H1087" s="36"/>
      <c r="I1087" s="37"/>
    </row>
    <row r="1088" ht="22.5" customHeight="1">
      <c r="A1088" s="30"/>
      <c r="B1088" s="31"/>
      <c r="C1088" s="32"/>
      <c r="D1088" s="33"/>
      <c r="E1088" s="34"/>
      <c r="F1088" s="34"/>
      <c r="G1088" s="35"/>
      <c r="H1088" s="36"/>
      <c r="I1088" s="37"/>
    </row>
    <row r="1089" ht="22.5" customHeight="1">
      <c r="A1089" s="30"/>
      <c r="B1089" s="31"/>
      <c r="C1089" s="32"/>
      <c r="D1089" s="33"/>
      <c r="E1089" s="34"/>
      <c r="F1089" s="34"/>
      <c r="G1089" s="35"/>
      <c r="H1089" s="36"/>
      <c r="I1089" s="38"/>
    </row>
    <row r="1090" ht="22.5" customHeight="1">
      <c r="A1090" s="30"/>
      <c r="B1090" s="39"/>
      <c r="C1090" s="32"/>
      <c r="D1090" s="33"/>
      <c r="E1090" s="34"/>
      <c r="F1090" s="34"/>
      <c r="G1090" s="35"/>
      <c r="H1090" s="36"/>
      <c r="I1090" s="37"/>
    </row>
    <row r="1091" ht="22.5" customHeight="1">
      <c r="A1091" s="30"/>
      <c r="B1091" s="31"/>
      <c r="C1091" s="32"/>
      <c r="D1091" s="33"/>
      <c r="E1091" s="34"/>
      <c r="F1091" s="34"/>
      <c r="G1091" s="35"/>
      <c r="H1091" s="36"/>
      <c r="I1091" s="37"/>
    </row>
    <row r="1092" ht="22.5" customHeight="1">
      <c r="A1092" s="30"/>
      <c r="B1092" s="31"/>
      <c r="C1092" s="32"/>
      <c r="D1092" s="33"/>
      <c r="E1092" s="34"/>
      <c r="F1092" s="34"/>
      <c r="G1092" s="35"/>
      <c r="H1092" s="36"/>
      <c r="I1092" s="37"/>
    </row>
    <row r="1093" ht="22.5" customHeight="1">
      <c r="A1093" s="30"/>
      <c r="B1093" s="31"/>
      <c r="C1093" s="32"/>
      <c r="D1093" s="33"/>
      <c r="E1093" s="34"/>
      <c r="F1093" s="34"/>
      <c r="G1093" s="35"/>
      <c r="H1093" s="36"/>
      <c r="I1093" s="37"/>
    </row>
    <row r="1094" ht="22.5" customHeight="1">
      <c r="A1094" s="30"/>
      <c r="B1094" s="39"/>
      <c r="C1094" s="32"/>
      <c r="D1094" s="33"/>
      <c r="E1094" s="34"/>
      <c r="F1094" s="34"/>
      <c r="G1094" s="35"/>
      <c r="H1094" s="36"/>
      <c r="I1094" s="37"/>
    </row>
    <row r="1095" ht="22.5" customHeight="1">
      <c r="A1095" s="30"/>
      <c r="B1095" s="31"/>
      <c r="C1095" s="32"/>
      <c r="D1095" s="33"/>
      <c r="E1095" s="34"/>
      <c r="F1095" s="34"/>
      <c r="G1095" s="35"/>
      <c r="H1095" s="36"/>
      <c r="I1095" s="37"/>
    </row>
    <row r="1096" ht="22.5" customHeight="1">
      <c r="A1096" s="30"/>
      <c r="B1096" s="39"/>
      <c r="C1096" s="32"/>
      <c r="D1096" s="33"/>
      <c r="E1096" s="34"/>
      <c r="F1096" s="34"/>
      <c r="G1096" s="35"/>
      <c r="H1096" s="36"/>
      <c r="I1096" s="37"/>
    </row>
    <row r="1097" ht="22.5" customHeight="1">
      <c r="A1097" s="30"/>
      <c r="B1097" s="31"/>
      <c r="C1097" s="32"/>
      <c r="D1097" s="33"/>
      <c r="E1097" s="34"/>
      <c r="F1097" s="34"/>
      <c r="G1097" s="35"/>
      <c r="H1097" s="36"/>
      <c r="I1097" s="37"/>
    </row>
    <row r="1098" ht="22.5" customHeight="1">
      <c r="A1098" s="30"/>
      <c r="B1098" s="31"/>
      <c r="C1098" s="32"/>
      <c r="D1098" s="33"/>
      <c r="E1098" s="34"/>
      <c r="F1098" s="34"/>
      <c r="G1098" s="35"/>
      <c r="H1098" s="36"/>
      <c r="I1098" s="37"/>
    </row>
    <row r="1099" ht="22.5" customHeight="1">
      <c r="A1099" s="30"/>
      <c r="B1099" s="31"/>
      <c r="C1099" s="32"/>
      <c r="D1099" s="33"/>
      <c r="E1099" s="34"/>
      <c r="F1099" s="34"/>
      <c r="G1099" s="35"/>
      <c r="H1099" s="36"/>
      <c r="I1099" s="37"/>
    </row>
    <row r="1100" ht="22.5" customHeight="1">
      <c r="A1100" s="30"/>
      <c r="B1100" s="31"/>
      <c r="C1100" s="32"/>
      <c r="D1100" s="33"/>
      <c r="E1100" s="34"/>
      <c r="F1100" s="34"/>
      <c r="G1100" s="35"/>
      <c r="H1100" s="36"/>
      <c r="I1100" s="37"/>
    </row>
    <row r="1101" ht="22.5" customHeight="1">
      <c r="A1101" s="30"/>
      <c r="B1101" s="31"/>
      <c r="C1101" s="32"/>
      <c r="D1101" s="33"/>
      <c r="E1101" s="34"/>
      <c r="F1101" s="34"/>
      <c r="G1101" s="35"/>
      <c r="H1101" s="36"/>
      <c r="I1101" s="37"/>
    </row>
    <row r="1102" ht="22.5" customHeight="1">
      <c r="A1102" s="30"/>
      <c r="B1102" s="31"/>
      <c r="C1102" s="32"/>
      <c r="D1102" s="33"/>
      <c r="E1102" s="34"/>
      <c r="F1102" s="34"/>
      <c r="G1102" s="35"/>
      <c r="H1102" s="36"/>
      <c r="I1102" s="37"/>
    </row>
    <row r="1103" ht="22.5" customHeight="1">
      <c r="A1103" s="30"/>
      <c r="B1103" s="31"/>
      <c r="C1103" s="32"/>
      <c r="D1103" s="33"/>
      <c r="E1103" s="34"/>
      <c r="F1103" s="34"/>
      <c r="G1103" s="35"/>
      <c r="H1103" s="36"/>
      <c r="I1103" s="37"/>
    </row>
    <row r="1104" ht="22.5" customHeight="1">
      <c r="A1104" s="30"/>
      <c r="B1104" s="31"/>
      <c r="C1104" s="32"/>
      <c r="D1104" s="33"/>
      <c r="E1104" s="34"/>
      <c r="F1104" s="34"/>
      <c r="G1104" s="35"/>
      <c r="H1104" s="36"/>
      <c r="I1104" s="37"/>
    </row>
    <row r="1105" ht="22.5" customHeight="1">
      <c r="A1105" s="30"/>
      <c r="B1105" s="31"/>
      <c r="C1105" s="32"/>
      <c r="D1105" s="33"/>
      <c r="E1105" s="34"/>
      <c r="F1105" s="34"/>
      <c r="G1105" s="35"/>
      <c r="H1105" s="36"/>
      <c r="I1105" s="37"/>
    </row>
    <row r="1106" ht="22.5" customHeight="1">
      <c r="A1106" s="30"/>
      <c r="B1106" s="31"/>
      <c r="C1106" s="32"/>
      <c r="D1106" s="33"/>
      <c r="E1106" s="34"/>
      <c r="F1106" s="34"/>
      <c r="G1106" s="35"/>
      <c r="H1106" s="36"/>
      <c r="I1106" s="37"/>
    </row>
    <row r="1107" ht="22.5" customHeight="1">
      <c r="A1107" s="30"/>
      <c r="B1107" s="40"/>
      <c r="C1107" s="32"/>
      <c r="D1107" s="33"/>
      <c r="E1107" s="34"/>
      <c r="F1107" s="34"/>
      <c r="G1107" s="35"/>
      <c r="H1107" s="36"/>
      <c r="I1107" s="37"/>
    </row>
    <row r="1108" ht="22.5" customHeight="1">
      <c r="A1108" s="30"/>
      <c r="B1108" s="31"/>
      <c r="C1108" s="32"/>
      <c r="D1108" s="33"/>
      <c r="E1108" s="34"/>
      <c r="F1108" s="34"/>
      <c r="G1108" s="35"/>
      <c r="H1108" s="36"/>
      <c r="I1108" s="37"/>
    </row>
    <row r="1109" ht="22.5" customHeight="1">
      <c r="A1109" s="30"/>
      <c r="B1109" s="31"/>
      <c r="C1109" s="32"/>
      <c r="D1109" s="33"/>
      <c r="E1109" s="34"/>
      <c r="F1109" s="34"/>
      <c r="G1109" s="35"/>
      <c r="H1109" s="36"/>
      <c r="I1109" s="37"/>
    </row>
    <row r="1110" ht="22.5" customHeight="1">
      <c r="A1110" s="30"/>
      <c r="B1110" s="31"/>
      <c r="C1110" s="32"/>
      <c r="D1110" s="33"/>
      <c r="E1110" s="34"/>
      <c r="F1110" s="34"/>
      <c r="G1110" s="35"/>
      <c r="H1110" s="36"/>
      <c r="I1110" s="37"/>
    </row>
    <row r="1111" ht="22.5" customHeight="1">
      <c r="A1111" s="30"/>
      <c r="B1111" s="31"/>
      <c r="C1111" s="32"/>
      <c r="D1111" s="33"/>
      <c r="E1111" s="34"/>
      <c r="F1111" s="34"/>
      <c r="G1111" s="35"/>
      <c r="H1111" s="36"/>
      <c r="I1111" s="37"/>
    </row>
    <row r="1112" ht="22.5" customHeight="1">
      <c r="A1112" s="30"/>
      <c r="B1112" s="31"/>
      <c r="C1112" s="32"/>
      <c r="D1112" s="33"/>
      <c r="E1112" s="34"/>
      <c r="F1112" s="34"/>
      <c r="G1112" s="35"/>
      <c r="H1112" s="36"/>
      <c r="I1112" s="37"/>
    </row>
    <row r="1113" ht="22.5" customHeight="1">
      <c r="A1113" s="30"/>
      <c r="B1113" s="31"/>
      <c r="C1113" s="32"/>
      <c r="D1113" s="33"/>
      <c r="E1113" s="34"/>
      <c r="F1113" s="34"/>
      <c r="G1113" s="35"/>
      <c r="H1113" s="36"/>
      <c r="I1113" s="37"/>
    </row>
    <row r="1114" ht="22.5" customHeight="1">
      <c r="A1114" s="30"/>
      <c r="B1114" s="39"/>
      <c r="C1114" s="32"/>
      <c r="D1114" s="33"/>
      <c r="E1114" s="34"/>
      <c r="F1114" s="34"/>
      <c r="G1114" s="35"/>
      <c r="H1114" s="36"/>
      <c r="I1114" s="37"/>
    </row>
    <row r="1115" ht="22.5" customHeight="1">
      <c r="A1115" s="30"/>
      <c r="B1115" s="39"/>
      <c r="C1115" s="32"/>
      <c r="D1115" s="33"/>
      <c r="E1115" s="34"/>
      <c r="F1115" s="34"/>
      <c r="G1115" s="35"/>
      <c r="H1115" s="36"/>
      <c r="I1115" s="37"/>
    </row>
    <row r="1116" ht="22.5" customHeight="1">
      <c r="A1116" s="30"/>
      <c r="B1116" s="39"/>
      <c r="C1116" s="32"/>
      <c r="D1116" s="33"/>
      <c r="E1116" s="34"/>
      <c r="F1116" s="34"/>
      <c r="G1116" s="35"/>
      <c r="H1116" s="36"/>
      <c r="I1116" s="37"/>
    </row>
    <row r="1117" ht="22.5" customHeight="1">
      <c r="A1117" s="30"/>
      <c r="B1117" s="40"/>
      <c r="C1117" s="32"/>
      <c r="D1117" s="33"/>
      <c r="E1117" s="34"/>
      <c r="F1117" s="34"/>
      <c r="G1117" s="35"/>
      <c r="H1117" s="36"/>
      <c r="I1117" s="37"/>
    </row>
    <row r="1118" ht="22.5" customHeight="1">
      <c r="A1118" s="30"/>
      <c r="B1118" s="31"/>
      <c r="C1118" s="32"/>
      <c r="D1118" s="33"/>
      <c r="E1118" s="34"/>
      <c r="F1118" s="34"/>
      <c r="G1118" s="35"/>
      <c r="H1118" s="36"/>
      <c r="I1118" s="37"/>
    </row>
    <row r="1119" ht="22.5" customHeight="1">
      <c r="A1119" s="30"/>
      <c r="B1119" s="31"/>
      <c r="C1119" s="32"/>
      <c r="D1119" s="33"/>
      <c r="E1119" s="34"/>
      <c r="F1119" s="34"/>
      <c r="G1119" s="35"/>
      <c r="H1119" s="36"/>
      <c r="I1119" s="37"/>
    </row>
    <row r="1120" ht="22.5" customHeight="1">
      <c r="A1120" s="30"/>
      <c r="B1120" s="31"/>
      <c r="C1120" s="32"/>
      <c r="D1120" s="33"/>
      <c r="E1120" s="34"/>
      <c r="F1120" s="34"/>
      <c r="G1120" s="35"/>
      <c r="H1120" s="36"/>
      <c r="I1120" s="37"/>
    </row>
    <row r="1121" ht="22.5" customHeight="1">
      <c r="A1121" s="30"/>
      <c r="B1121" s="31"/>
      <c r="C1121" s="32"/>
      <c r="D1121" s="33"/>
      <c r="E1121" s="34"/>
      <c r="F1121" s="34"/>
      <c r="G1121" s="35"/>
      <c r="H1121" s="36"/>
      <c r="I1121" s="37"/>
    </row>
    <row r="1122" ht="22.5" customHeight="1">
      <c r="A1122" s="30"/>
      <c r="B1122" s="31"/>
      <c r="C1122" s="32"/>
      <c r="D1122" s="33"/>
      <c r="E1122" s="34"/>
      <c r="F1122" s="34"/>
      <c r="G1122" s="35"/>
      <c r="H1122" s="36"/>
      <c r="I1122" s="37"/>
    </row>
    <row r="1123" ht="22.5" customHeight="1">
      <c r="A1123" s="30"/>
      <c r="B1123" s="31"/>
      <c r="C1123" s="32"/>
      <c r="D1123" s="33"/>
      <c r="E1123" s="34"/>
      <c r="F1123" s="34"/>
      <c r="G1123" s="35"/>
      <c r="H1123" s="36"/>
      <c r="I1123" s="37"/>
    </row>
    <row r="1124" ht="22.5" customHeight="1">
      <c r="A1124" s="30"/>
      <c r="B1124" s="31"/>
      <c r="C1124" s="32"/>
      <c r="D1124" s="33"/>
      <c r="E1124" s="34"/>
      <c r="F1124" s="34"/>
      <c r="G1124" s="35"/>
      <c r="H1124" s="36"/>
      <c r="I1124" s="37"/>
    </row>
    <row r="1125" ht="22.5" customHeight="1">
      <c r="A1125" s="30"/>
      <c r="B1125" s="31"/>
      <c r="C1125" s="32"/>
      <c r="D1125" s="33"/>
      <c r="E1125" s="34"/>
      <c r="F1125" s="34"/>
      <c r="G1125" s="35"/>
      <c r="H1125" s="36"/>
      <c r="I1125" s="37"/>
    </row>
    <row r="1126" ht="22.5" customHeight="1">
      <c r="A1126" s="30"/>
      <c r="B1126" s="31"/>
      <c r="C1126" s="32"/>
      <c r="D1126" s="33"/>
      <c r="E1126" s="34"/>
      <c r="F1126" s="34"/>
      <c r="G1126" s="35"/>
      <c r="H1126" s="36"/>
      <c r="I1126" s="37"/>
    </row>
    <row r="1127" ht="22.5" customHeight="1">
      <c r="A1127" s="30"/>
      <c r="B1127" s="40"/>
      <c r="C1127" s="32"/>
      <c r="D1127" s="33"/>
      <c r="E1127" s="34"/>
      <c r="F1127" s="34"/>
      <c r="G1127" s="35"/>
      <c r="H1127" s="36"/>
      <c r="I1127" s="37"/>
    </row>
    <row r="1128" ht="22.5" customHeight="1">
      <c r="A1128" s="30"/>
      <c r="B1128" s="31"/>
      <c r="C1128" s="32"/>
      <c r="D1128" s="33"/>
      <c r="E1128" s="34"/>
      <c r="F1128" s="34"/>
      <c r="G1128" s="35"/>
      <c r="H1128" s="36"/>
      <c r="I1128" s="37"/>
    </row>
    <row r="1129" ht="22.5" customHeight="1">
      <c r="A1129" s="30"/>
      <c r="B1129" s="31"/>
      <c r="C1129" s="32"/>
      <c r="D1129" s="33"/>
      <c r="E1129" s="34"/>
      <c r="F1129" s="34"/>
      <c r="G1129" s="35"/>
      <c r="H1129" s="36"/>
      <c r="I1129" s="37"/>
    </row>
    <row r="1130" ht="22.5" customHeight="1">
      <c r="A1130" s="30"/>
      <c r="B1130" s="31"/>
      <c r="C1130" s="32"/>
      <c r="D1130" s="33"/>
      <c r="E1130" s="34"/>
      <c r="F1130" s="34"/>
      <c r="G1130" s="35"/>
      <c r="H1130" s="36"/>
      <c r="I1130" s="37"/>
    </row>
    <row r="1131" ht="22.5" customHeight="1">
      <c r="A1131" s="30"/>
      <c r="B1131" s="40"/>
      <c r="C1131" s="32"/>
      <c r="D1131" s="33"/>
      <c r="E1131" s="34"/>
      <c r="F1131" s="34"/>
      <c r="G1131" s="35"/>
      <c r="H1131" s="36"/>
      <c r="I1131" s="37"/>
    </row>
    <row r="1132" ht="22.5" customHeight="1">
      <c r="A1132" s="30"/>
      <c r="B1132" s="31"/>
      <c r="C1132" s="32"/>
      <c r="D1132" s="33"/>
      <c r="E1132" s="34"/>
      <c r="F1132" s="34"/>
      <c r="G1132" s="35"/>
      <c r="H1132" s="36"/>
      <c r="I1132" s="37"/>
    </row>
    <row r="1133" ht="22.5" customHeight="1">
      <c r="A1133" s="30"/>
      <c r="B1133" s="31"/>
      <c r="C1133" s="32"/>
      <c r="D1133" s="33"/>
      <c r="E1133" s="34"/>
      <c r="F1133" s="34"/>
      <c r="G1133" s="35"/>
      <c r="H1133" s="36"/>
      <c r="I1133" s="37"/>
    </row>
    <row r="1134" ht="22.5" customHeight="1">
      <c r="A1134" s="30"/>
      <c r="B1134" s="31"/>
      <c r="C1134" s="32"/>
      <c r="D1134" s="33"/>
      <c r="E1134" s="34"/>
      <c r="F1134" s="34"/>
      <c r="G1134" s="35"/>
      <c r="H1134" s="36"/>
      <c r="I1134" s="37"/>
    </row>
    <row r="1135" ht="22.5" customHeight="1">
      <c r="A1135" s="30"/>
      <c r="B1135" s="31"/>
      <c r="C1135" s="32"/>
      <c r="D1135" s="33"/>
      <c r="E1135" s="34"/>
      <c r="F1135" s="34"/>
      <c r="G1135" s="35"/>
      <c r="H1135" s="36"/>
      <c r="I1135" s="37"/>
    </row>
    <row r="1136" ht="22.5" customHeight="1">
      <c r="A1136" s="30"/>
      <c r="B1136" s="31"/>
      <c r="C1136" s="32"/>
      <c r="D1136" s="33"/>
      <c r="E1136" s="34"/>
      <c r="F1136" s="34"/>
      <c r="G1136" s="35"/>
      <c r="H1136" s="36"/>
      <c r="I1136" s="37"/>
    </row>
    <row r="1137" ht="22.5" customHeight="1">
      <c r="A1137" s="30"/>
      <c r="B1137" s="31"/>
      <c r="C1137" s="32"/>
      <c r="D1137" s="33"/>
      <c r="E1137" s="34"/>
      <c r="F1137" s="34"/>
      <c r="G1137" s="35"/>
      <c r="H1137" s="36"/>
      <c r="I1137" s="37"/>
    </row>
    <row r="1138" ht="22.5" customHeight="1">
      <c r="A1138" s="30"/>
      <c r="B1138" s="31"/>
      <c r="C1138" s="32"/>
      <c r="D1138" s="33"/>
      <c r="E1138" s="34"/>
      <c r="F1138" s="34"/>
      <c r="G1138" s="35"/>
      <c r="H1138" s="36"/>
      <c r="I1138" s="37"/>
    </row>
    <row r="1139" ht="22.5" customHeight="1">
      <c r="A1139" s="30"/>
      <c r="B1139" s="31"/>
      <c r="C1139" s="32"/>
      <c r="D1139" s="33"/>
      <c r="E1139" s="34"/>
      <c r="F1139" s="34"/>
      <c r="G1139" s="35"/>
      <c r="H1139" s="36"/>
      <c r="I1139" s="37"/>
    </row>
    <row r="1140" ht="22.5" customHeight="1">
      <c r="A1140" s="30"/>
      <c r="B1140" s="31"/>
      <c r="C1140" s="32"/>
      <c r="D1140" s="33"/>
      <c r="E1140" s="34"/>
      <c r="F1140" s="34"/>
      <c r="G1140" s="35"/>
      <c r="H1140" s="36"/>
      <c r="I1140" s="37"/>
    </row>
    <row r="1141" ht="22.5" customHeight="1">
      <c r="A1141" s="30"/>
      <c r="B1141" s="31"/>
      <c r="C1141" s="32"/>
      <c r="D1141" s="33"/>
      <c r="E1141" s="34"/>
      <c r="F1141" s="34"/>
      <c r="G1141" s="35"/>
      <c r="H1141" s="36"/>
      <c r="I1141" s="37"/>
    </row>
    <row r="1142" ht="22.5" customHeight="1">
      <c r="A1142" s="30"/>
      <c r="B1142" s="31"/>
      <c r="C1142" s="32"/>
      <c r="D1142" s="33"/>
      <c r="E1142" s="34"/>
      <c r="F1142" s="34"/>
      <c r="G1142" s="35"/>
      <c r="H1142" s="36"/>
      <c r="I1142" s="37"/>
    </row>
    <row r="1143" ht="22.5" customHeight="1">
      <c r="A1143" s="30"/>
      <c r="B1143" s="31"/>
      <c r="C1143" s="32"/>
      <c r="D1143" s="33"/>
      <c r="E1143" s="34"/>
      <c r="F1143" s="34"/>
      <c r="G1143" s="35"/>
      <c r="H1143" s="36"/>
      <c r="I1143" s="37"/>
    </row>
    <row r="1144" ht="22.5" customHeight="1">
      <c r="A1144" s="30"/>
      <c r="B1144" s="31"/>
      <c r="C1144" s="32"/>
      <c r="D1144" s="33"/>
      <c r="E1144" s="34"/>
      <c r="F1144" s="34"/>
      <c r="G1144" s="35"/>
      <c r="H1144" s="36"/>
      <c r="I1144" s="37"/>
    </row>
    <row r="1145" ht="22.5" customHeight="1">
      <c r="A1145" s="30"/>
      <c r="B1145" s="31"/>
      <c r="C1145" s="32"/>
      <c r="D1145" s="33"/>
      <c r="E1145" s="34"/>
      <c r="F1145" s="34"/>
      <c r="G1145" s="35"/>
      <c r="H1145" s="36"/>
      <c r="I1145" s="37"/>
    </row>
    <row r="1146" ht="22.5" customHeight="1">
      <c r="A1146" s="30"/>
      <c r="B1146" s="40"/>
      <c r="C1146" s="32"/>
      <c r="D1146" s="33"/>
      <c r="E1146" s="34"/>
      <c r="F1146" s="34"/>
      <c r="G1146" s="35"/>
      <c r="H1146" s="36"/>
      <c r="I1146" s="37"/>
    </row>
    <row r="1147" ht="22.5" customHeight="1">
      <c r="A1147" s="30"/>
      <c r="B1147" s="31"/>
      <c r="C1147" s="32"/>
      <c r="D1147" s="33"/>
      <c r="E1147" s="34"/>
      <c r="F1147" s="34"/>
      <c r="G1147" s="35"/>
      <c r="H1147" s="36"/>
      <c r="I1147" s="37"/>
    </row>
    <row r="1148" ht="22.5" customHeight="1">
      <c r="A1148" s="30"/>
      <c r="B1148" s="40"/>
      <c r="C1148" s="32"/>
      <c r="D1148" s="33"/>
      <c r="E1148" s="34"/>
      <c r="F1148" s="34"/>
      <c r="G1148" s="35"/>
      <c r="H1148" s="36"/>
      <c r="I1148" s="37"/>
    </row>
    <row r="1149" ht="22.5" customHeight="1">
      <c r="A1149" s="30"/>
      <c r="B1149" s="31"/>
      <c r="C1149" s="32"/>
      <c r="D1149" s="33"/>
      <c r="E1149" s="34"/>
      <c r="F1149" s="34"/>
      <c r="G1149" s="35"/>
      <c r="H1149" s="36"/>
      <c r="I1149" s="37"/>
    </row>
    <row r="1150" ht="22.5" customHeight="1">
      <c r="A1150" s="30"/>
      <c r="B1150" s="31"/>
      <c r="C1150" s="32"/>
      <c r="D1150" s="33"/>
      <c r="E1150" s="34"/>
      <c r="F1150" s="34"/>
      <c r="G1150" s="35"/>
      <c r="H1150" s="36"/>
      <c r="I1150" s="37"/>
    </row>
    <row r="1151" ht="22.5" customHeight="1">
      <c r="A1151" s="30"/>
      <c r="B1151" s="31"/>
      <c r="C1151" s="32"/>
      <c r="D1151" s="33"/>
      <c r="E1151" s="34"/>
      <c r="F1151" s="34"/>
      <c r="G1151" s="35"/>
      <c r="H1151" s="36"/>
      <c r="I1151" s="37"/>
    </row>
    <row r="1152" ht="22.5" customHeight="1">
      <c r="A1152" s="30"/>
      <c r="B1152" s="31"/>
      <c r="C1152" s="32"/>
      <c r="D1152" s="33"/>
      <c r="E1152" s="34"/>
      <c r="F1152" s="34"/>
      <c r="G1152" s="35"/>
      <c r="H1152" s="36"/>
      <c r="I1152" s="37"/>
    </row>
    <row r="1153" ht="22.5" customHeight="1">
      <c r="A1153" s="30"/>
      <c r="B1153" s="40"/>
      <c r="C1153" s="32"/>
      <c r="D1153" s="33"/>
      <c r="E1153" s="34"/>
      <c r="F1153" s="34"/>
      <c r="G1153" s="35"/>
      <c r="H1153" s="36"/>
      <c r="I1153" s="37"/>
    </row>
    <row r="1154" ht="22.5" customHeight="1">
      <c r="A1154" s="30"/>
      <c r="B1154" s="31"/>
      <c r="C1154" s="32"/>
      <c r="D1154" s="33"/>
      <c r="E1154" s="34"/>
      <c r="F1154" s="34"/>
      <c r="G1154" s="35"/>
      <c r="H1154" s="36"/>
      <c r="I1154" s="37"/>
    </row>
    <row r="1155" ht="22.5" customHeight="1">
      <c r="A1155" s="30"/>
      <c r="B1155" s="31"/>
      <c r="C1155" s="32"/>
      <c r="D1155" s="33"/>
      <c r="E1155" s="34"/>
      <c r="F1155" s="34"/>
      <c r="G1155" s="35"/>
      <c r="H1155" s="36"/>
      <c r="I1155" s="37"/>
    </row>
    <row r="1156" ht="22.5" customHeight="1">
      <c r="A1156" s="30"/>
      <c r="B1156" s="31"/>
      <c r="C1156" s="32"/>
      <c r="D1156" s="33"/>
      <c r="E1156" s="34"/>
      <c r="F1156" s="34"/>
      <c r="G1156" s="35"/>
      <c r="H1156" s="36"/>
      <c r="I1156" s="37"/>
    </row>
    <row r="1157" ht="22.5" customHeight="1">
      <c r="A1157" s="30"/>
      <c r="B1157" s="31"/>
      <c r="C1157" s="32"/>
      <c r="D1157" s="33"/>
      <c r="E1157" s="34"/>
      <c r="F1157" s="34"/>
      <c r="G1157" s="35"/>
      <c r="H1157" s="36"/>
      <c r="I1157" s="37"/>
    </row>
    <row r="1158" ht="22.5" customHeight="1">
      <c r="A1158" s="30"/>
      <c r="B1158" s="31"/>
      <c r="C1158" s="32"/>
      <c r="D1158" s="33"/>
      <c r="E1158" s="34"/>
      <c r="F1158" s="34"/>
      <c r="G1158" s="35"/>
      <c r="H1158" s="36"/>
      <c r="I1158" s="37"/>
    </row>
    <row r="1159" ht="22.5" customHeight="1">
      <c r="A1159" s="30"/>
      <c r="B1159" s="31"/>
      <c r="C1159" s="32"/>
      <c r="D1159" s="33"/>
      <c r="E1159" s="34"/>
      <c r="F1159" s="34"/>
      <c r="G1159" s="35"/>
      <c r="H1159" s="36"/>
      <c r="I1159" s="37"/>
    </row>
    <row r="1160" ht="22.5" customHeight="1">
      <c r="A1160" s="30"/>
      <c r="B1160" s="31"/>
      <c r="C1160" s="32"/>
      <c r="D1160" s="33"/>
      <c r="E1160" s="34"/>
      <c r="F1160" s="34"/>
      <c r="G1160" s="35"/>
      <c r="H1160" s="36"/>
      <c r="I1160" s="37"/>
    </row>
    <row r="1161" ht="22.5" customHeight="1">
      <c r="A1161" s="30"/>
      <c r="B1161" s="31"/>
      <c r="C1161" s="32"/>
      <c r="D1161" s="33"/>
      <c r="E1161" s="34"/>
      <c r="F1161" s="34"/>
      <c r="G1161" s="35"/>
      <c r="H1161" s="36"/>
      <c r="I1161" s="37"/>
    </row>
    <row r="1162" ht="22.5" customHeight="1">
      <c r="A1162" s="30"/>
      <c r="B1162" s="31"/>
      <c r="C1162" s="32"/>
      <c r="D1162" s="33"/>
      <c r="E1162" s="34"/>
      <c r="F1162" s="34"/>
      <c r="G1162" s="35"/>
      <c r="H1162" s="36"/>
      <c r="I1162" s="37"/>
    </row>
    <row r="1163" ht="22.5" customHeight="1">
      <c r="A1163" s="30"/>
      <c r="B1163" s="31"/>
      <c r="C1163" s="32"/>
      <c r="D1163" s="33"/>
      <c r="E1163" s="34"/>
      <c r="F1163" s="34"/>
      <c r="G1163" s="35"/>
      <c r="H1163" s="36"/>
      <c r="I1163" s="37"/>
    </row>
    <row r="1164" ht="22.5" customHeight="1">
      <c r="A1164" s="30"/>
      <c r="B1164" s="31"/>
      <c r="C1164" s="32"/>
      <c r="D1164" s="33"/>
      <c r="E1164" s="34"/>
      <c r="F1164" s="34"/>
      <c r="G1164" s="35"/>
      <c r="H1164" s="36"/>
      <c r="I1164" s="37"/>
    </row>
    <row r="1165" ht="22.5" customHeight="1">
      <c r="A1165" s="30"/>
      <c r="B1165" s="31"/>
      <c r="C1165" s="32"/>
      <c r="D1165" s="33"/>
      <c r="E1165" s="34"/>
      <c r="F1165" s="34"/>
      <c r="G1165" s="35"/>
      <c r="H1165" s="36"/>
      <c r="I1165" s="37"/>
    </row>
    <row r="1166" ht="22.5" customHeight="1">
      <c r="A1166" s="30"/>
      <c r="B1166" s="31"/>
      <c r="C1166" s="32"/>
      <c r="D1166" s="33"/>
      <c r="E1166" s="34"/>
      <c r="F1166" s="34"/>
      <c r="G1166" s="35"/>
      <c r="H1166" s="36"/>
      <c r="I1166" s="37"/>
    </row>
    <row r="1167" ht="22.5" customHeight="1">
      <c r="A1167" s="30"/>
      <c r="B1167" s="31"/>
      <c r="C1167" s="32"/>
      <c r="D1167" s="33"/>
      <c r="E1167" s="34"/>
      <c r="F1167" s="34"/>
      <c r="G1167" s="35"/>
      <c r="H1167" s="36"/>
      <c r="I1167" s="37"/>
    </row>
    <row r="1168" ht="22.5" customHeight="1">
      <c r="A1168" s="30"/>
      <c r="B1168" s="31"/>
      <c r="C1168" s="32"/>
      <c r="D1168" s="33"/>
      <c r="E1168" s="34"/>
      <c r="F1168" s="34"/>
      <c r="G1168" s="35"/>
      <c r="H1168" s="36"/>
      <c r="I1168" s="37"/>
    </row>
    <row r="1169" ht="22.5" customHeight="1">
      <c r="A1169" s="30"/>
      <c r="B1169" s="31"/>
      <c r="C1169" s="32"/>
      <c r="D1169" s="33"/>
      <c r="E1169" s="34"/>
      <c r="F1169" s="34"/>
      <c r="G1169" s="35"/>
      <c r="H1169" s="36"/>
      <c r="I1169" s="37"/>
    </row>
    <row r="1170" ht="22.5" customHeight="1">
      <c r="A1170" s="30"/>
      <c r="B1170" s="31"/>
      <c r="C1170" s="32"/>
      <c r="D1170" s="33"/>
      <c r="E1170" s="34"/>
      <c r="F1170" s="34"/>
      <c r="G1170" s="35"/>
      <c r="H1170" s="36"/>
      <c r="I1170" s="37"/>
    </row>
    <row r="1171" ht="22.5" customHeight="1">
      <c r="A1171" s="30"/>
      <c r="B1171" s="31"/>
      <c r="C1171" s="32"/>
      <c r="D1171" s="33"/>
      <c r="E1171" s="34"/>
      <c r="F1171" s="34"/>
      <c r="G1171" s="35"/>
      <c r="H1171" s="36"/>
      <c r="I1171" s="37"/>
    </row>
    <row r="1172" ht="22.5" customHeight="1">
      <c r="A1172" s="30"/>
      <c r="B1172" s="31"/>
      <c r="C1172" s="32"/>
      <c r="D1172" s="33"/>
      <c r="E1172" s="34"/>
      <c r="F1172" s="34"/>
      <c r="G1172" s="35"/>
      <c r="H1172" s="36"/>
      <c r="I1172" s="37"/>
    </row>
    <row r="1173" ht="22.5" customHeight="1">
      <c r="A1173" s="30"/>
      <c r="B1173" s="31"/>
      <c r="C1173" s="32"/>
      <c r="D1173" s="33"/>
      <c r="E1173" s="34"/>
      <c r="F1173" s="34"/>
      <c r="G1173" s="35"/>
      <c r="H1173" s="36"/>
      <c r="I1173" s="37"/>
    </row>
    <row r="1174" ht="22.5" customHeight="1">
      <c r="A1174" s="30"/>
      <c r="B1174" s="31"/>
      <c r="C1174" s="32"/>
      <c r="D1174" s="33"/>
      <c r="E1174" s="34"/>
      <c r="F1174" s="34"/>
      <c r="G1174" s="35"/>
      <c r="H1174" s="36"/>
      <c r="I1174" s="37"/>
    </row>
    <row r="1175" ht="22.5" customHeight="1">
      <c r="A1175" s="30"/>
      <c r="B1175" s="40"/>
      <c r="C1175" s="32"/>
      <c r="D1175" s="33"/>
      <c r="E1175" s="34"/>
      <c r="F1175" s="34"/>
      <c r="G1175" s="35"/>
      <c r="H1175" s="36"/>
      <c r="I1175" s="37"/>
    </row>
    <row r="1176" ht="22.5" customHeight="1">
      <c r="A1176" s="30"/>
      <c r="B1176" s="31"/>
      <c r="C1176" s="32"/>
      <c r="D1176" s="33"/>
      <c r="E1176" s="34"/>
      <c r="F1176" s="34"/>
      <c r="G1176" s="35"/>
      <c r="H1176" s="36"/>
      <c r="I1176" s="37"/>
    </row>
    <row r="1177" ht="22.5" customHeight="1">
      <c r="A1177" s="30"/>
      <c r="B1177" s="31"/>
      <c r="C1177" s="32"/>
      <c r="D1177" s="33"/>
      <c r="E1177" s="34"/>
      <c r="F1177" s="34"/>
      <c r="G1177" s="35"/>
      <c r="H1177" s="36"/>
      <c r="I1177" s="37"/>
    </row>
    <row r="1178" ht="22.5" customHeight="1">
      <c r="A1178" s="30"/>
      <c r="B1178" s="31"/>
      <c r="C1178" s="32"/>
      <c r="D1178" s="33"/>
      <c r="E1178" s="34"/>
      <c r="F1178" s="34"/>
      <c r="G1178" s="35"/>
      <c r="H1178" s="36"/>
      <c r="I1178" s="37"/>
    </row>
    <row r="1179" ht="22.5" customHeight="1">
      <c r="A1179" s="30"/>
      <c r="B1179" s="31"/>
      <c r="C1179" s="32"/>
      <c r="D1179" s="33"/>
      <c r="E1179" s="34"/>
      <c r="F1179" s="34"/>
      <c r="G1179" s="35"/>
      <c r="H1179" s="36"/>
      <c r="I1179" s="38"/>
    </row>
    <row r="1180" ht="22.5" customHeight="1">
      <c r="A1180" s="30"/>
      <c r="B1180" s="39"/>
      <c r="C1180" s="32"/>
      <c r="D1180" s="33"/>
      <c r="E1180" s="34"/>
      <c r="F1180" s="34"/>
      <c r="G1180" s="35"/>
      <c r="H1180" s="36"/>
      <c r="I1180" s="37"/>
    </row>
    <row r="1181" ht="22.5" customHeight="1">
      <c r="A1181" s="30"/>
      <c r="B1181" s="31"/>
      <c r="C1181" s="32"/>
      <c r="D1181" s="33"/>
      <c r="E1181" s="34"/>
      <c r="F1181" s="34"/>
      <c r="G1181" s="35"/>
      <c r="H1181" s="36"/>
      <c r="I1181" s="37"/>
    </row>
    <row r="1182" ht="22.5" customHeight="1">
      <c r="A1182" s="30"/>
      <c r="B1182" s="31"/>
      <c r="C1182" s="32"/>
      <c r="D1182" s="33"/>
      <c r="E1182" s="34"/>
      <c r="F1182" s="34"/>
      <c r="G1182" s="35"/>
      <c r="H1182" s="36"/>
      <c r="I1182" s="37"/>
    </row>
    <row r="1183" ht="22.5" customHeight="1">
      <c r="A1183" s="30"/>
      <c r="B1183" s="31"/>
      <c r="C1183" s="32"/>
      <c r="D1183" s="33"/>
      <c r="E1183" s="34"/>
      <c r="F1183" s="34"/>
      <c r="G1183" s="35"/>
      <c r="H1183" s="36"/>
      <c r="I1183" s="37"/>
    </row>
    <row r="1184" ht="22.5" customHeight="1">
      <c r="A1184" s="30"/>
      <c r="B1184" s="39"/>
      <c r="C1184" s="32"/>
      <c r="D1184" s="33"/>
      <c r="E1184" s="34"/>
      <c r="F1184" s="34"/>
      <c r="G1184" s="35"/>
      <c r="H1184" s="36"/>
      <c r="I1184" s="37"/>
    </row>
    <row r="1185" ht="22.5" customHeight="1">
      <c r="A1185" s="30"/>
      <c r="B1185" s="31"/>
      <c r="C1185" s="32"/>
      <c r="D1185" s="33"/>
      <c r="E1185" s="34"/>
      <c r="F1185" s="34"/>
      <c r="G1185" s="35"/>
      <c r="H1185" s="36"/>
      <c r="I1185" s="37"/>
    </row>
    <row r="1186" ht="22.5" customHeight="1">
      <c r="A1186" s="30"/>
      <c r="B1186" s="39"/>
      <c r="C1186" s="32"/>
      <c r="D1186" s="33"/>
      <c r="E1186" s="34"/>
      <c r="F1186" s="34"/>
      <c r="G1186" s="35"/>
      <c r="H1186" s="36"/>
      <c r="I1186" s="37"/>
    </row>
    <row r="1187" ht="22.5" customHeight="1">
      <c r="A1187" s="30"/>
      <c r="B1187" s="31"/>
      <c r="C1187" s="32"/>
      <c r="D1187" s="33"/>
      <c r="E1187" s="34"/>
      <c r="F1187" s="34"/>
      <c r="G1187" s="35"/>
      <c r="H1187" s="36"/>
      <c r="I1187" s="37"/>
    </row>
    <row r="1188" ht="22.5" customHeight="1">
      <c r="A1188" s="30"/>
      <c r="B1188" s="31"/>
      <c r="C1188" s="32"/>
      <c r="D1188" s="33"/>
      <c r="E1188" s="34"/>
      <c r="F1188" s="34"/>
      <c r="G1188" s="35"/>
      <c r="H1188" s="36"/>
      <c r="I1188" s="37"/>
    </row>
    <row r="1189" ht="22.5" customHeight="1">
      <c r="A1189" s="30"/>
      <c r="B1189" s="31"/>
      <c r="C1189" s="32"/>
      <c r="D1189" s="33"/>
      <c r="E1189" s="34"/>
      <c r="F1189" s="34"/>
      <c r="G1189" s="35"/>
      <c r="H1189" s="36"/>
      <c r="I1189" s="37"/>
    </row>
    <row r="1190" ht="22.5" customHeight="1">
      <c r="A1190" s="30"/>
      <c r="B1190" s="31"/>
      <c r="C1190" s="32"/>
      <c r="D1190" s="33"/>
      <c r="E1190" s="34"/>
      <c r="F1190" s="34"/>
      <c r="G1190" s="35"/>
      <c r="H1190" s="36"/>
      <c r="I1190" s="37"/>
    </row>
    <row r="1191" ht="22.5" customHeight="1">
      <c r="A1191" s="30"/>
      <c r="B1191" s="31"/>
      <c r="C1191" s="32"/>
      <c r="D1191" s="33"/>
      <c r="E1191" s="34"/>
      <c r="F1191" s="34"/>
      <c r="G1191" s="35"/>
      <c r="H1191" s="36"/>
      <c r="I1191" s="37"/>
    </row>
    <row r="1192" ht="22.5" customHeight="1">
      <c r="A1192" s="30"/>
      <c r="B1192" s="31"/>
      <c r="C1192" s="32"/>
      <c r="D1192" s="33"/>
      <c r="E1192" s="34"/>
      <c r="F1192" s="34"/>
      <c r="G1192" s="35"/>
      <c r="H1192" s="36"/>
      <c r="I1192" s="37"/>
    </row>
    <row r="1193" ht="22.5" customHeight="1">
      <c r="A1193" s="30"/>
      <c r="B1193" s="31"/>
      <c r="C1193" s="32"/>
      <c r="D1193" s="33"/>
      <c r="E1193" s="34"/>
      <c r="F1193" s="34"/>
      <c r="G1193" s="35"/>
      <c r="H1193" s="36"/>
      <c r="I1193" s="37"/>
    </row>
    <row r="1194" ht="22.5" customHeight="1">
      <c r="A1194" s="30"/>
      <c r="B1194" s="31"/>
      <c r="C1194" s="32"/>
      <c r="D1194" s="33"/>
      <c r="E1194" s="34"/>
      <c r="F1194" s="34"/>
      <c r="G1194" s="35"/>
      <c r="H1194" s="36"/>
      <c r="I1194" s="37"/>
    </row>
    <row r="1195" ht="22.5" customHeight="1">
      <c r="A1195" s="30"/>
      <c r="B1195" s="31"/>
      <c r="C1195" s="32"/>
      <c r="D1195" s="33"/>
      <c r="E1195" s="34"/>
      <c r="F1195" s="34"/>
      <c r="G1195" s="35"/>
      <c r="H1195" s="36"/>
      <c r="I1195" s="37"/>
    </row>
    <row r="1196" ht="22.5" customHeight="1">
      <c r="A1196" s="30"/>
      <c r="B1196" s="31"/>
      <c r="C1196" s="32"/>
      <c r="D1196" s="33"/>
      <c r="E1196" s="34"/>
      <c r="F1196" s="34"/>
      <c r="G1196" s="35"/>
      <c r="H1196" s="36"/>
      <c r="I1196" s="37"/>
    </row>
    <row r="1197" ht="22.5" customHeight="1">
      <c r="A1197" s="30"/>
      <c r="B1197" s="40"/>
      <c r="C1197" s="32"/>
      <c r="D1197" s="33"/>
      <c r="E1197" s="34"/>
      <c r="F1197" s="34"/>
      <c r="G1197" s="35"/>
      <c r="H1197" s="36"/>
      <c r="I1197" s="37"/>
    </row>
    <row r="1198" ht="22.5" customHeight="1">
      <c r="A1198" s="30"/>
      <c r="B1198" s="31"/>
      <c r="C1198" s="32"/>
      <c r="D1198" s="33"/>
      <c r="E1198" s="34"/>
      <c r="F1198" s="34"/>
      <c r="G1198" s="35"/>
      <c r="H1198" s="36"/>
      <c r="I1198" s="37"/>
    </row>
    <row r="1199" ht="22.5" customHeight="1">
      <c r="A1199" s="30"/>
      <c r="B1199" s="31"/>
      <c r="C1199" s="32"/>
      <c r="D1199" s="33"/>
      <c r="E1199" s="34"/>
      <c r="F1199" s="34"/>
      <c r="G1199" s="35"/>
      <c r="H1199" s="36"/>
      <c r="I1199" s="37"/>
    </row>
    <row r="1200" ht="22.5" customHeight="1">
      <c r="A1200" s="30"/>
      <c r="B1200" s="31"/>
      <c r="C1200" s="32"/>
      <c r="D1200" s="33"/>
      <c r="E1200" s="34"/>
      <c r="F1200" s="34"/>
      <c r="G1200" s="35"/>
      <c r="H1200" s="36"/>
      <c r="I1200" s="37"/>
    </row>
    <row r="1201" ht="22.5" customHeight="1">
      <c r="A1201" s="30"/>
      <c r="B1201" s="31"/>
      <c r="C1201" s="32"/>
      <c r="D1201" s="33"/>
      <c r="E1201" s="34"/>
      <c r="F1201" s="34"/>
      <c r="G1201" s="35"/>
      <c r="H1201" s="36"/>
      <c r="I1201" s="37"/>
    </row>
    <row r="1202" ht="22.5" customHeight="1">
      <c r="A1202" s="30"/>
      <c r="B1202" s="31"/>
      <c r="C1202" s="32"/>
      <c r="D1202" s="33"/>
      <c r="E1202" s="34"/>
      <c r="F1202" s="34"/>
      <c r="G1202" s="35"/>
      <c r="H1202" s="36"/>
      <c r="I1202" s="37"/>
    </row>
    <row r="1203" ht="22.5" customHeight="1">
      <c r="A1203" s="30"/>
      <c r="B1203" s="31"/>
      <c r="C1203" s="32"/>
      <c r="D1203" s="33"/>
      <c r="E1203" s="34"/>
      <c r="F1203" s="34"/>
      <c r="G1203" s="35"/>
      <c r="H1203" s="36"/>
      <c r="I1203" s="37"/>
    </row>
    <row r="1204" ht="22.5" customHeight="1">
      <c r="A1204" s="30"/>
      <c r="B1204" s="39"/>
      <c r="C1204" s="32"/>
      <c r="D1204" s="33"/>
      <c r="E1204" s="34"/>
      <c r="F1204" s="34"/>
      <c r="G1204" s="35"/>
      <c r="H1204" s="36"/>
      <c r="I1204" s="37"/>
    </row>
    <row r="1205" ht="22.5" customHeight="1">
      <c r="A1205" s="30"/>
      <c r="B1205" s="39"/>
      <c r="C1205" s="32"/>
      <c r="D1205" s="33"/>
      <c r="E1205" s="34"/>
      <c r="F1205" s="34"/>
      <c r="G1205" s="35"/>
      <c r="H1205" s="36"/>
      <c r="I1205" s="37"/>
    </row>
    <row r="1206" ht="22.5" customHeight="1">
      <c r="A1206" s="30"/>
      <c r="B1206" s="39"/>
      <c r="C1206" s="32"/>
      <c r="D1206" s="33"/>
      <c r="E1206" s="34"/>
      <c r="F1206" s="34"/>
      <c r="G1206" s="35"/>
      <c r="H1206" s="36"/>
      <c r="I1206" s="37"/>
    </row>
    <row r="1207" ht="22.5" customHeight="1">
      <c r="A1207" s="30"/>
      <c r="B1207" s="40"/>
      <c r="C1207" s="32"/>
      <c r="D1207" s="33"/>
      <c r="E1207" s="34"/>
      <c r="F1207" s="34"/>
      <c r="G1207" s="35"/>
      <c r="H1207" s="36"/>
      <c r="I1207" s="37"/>
    </row>
    <row r="1208" ht="22.5" customHeight="1">
      <c r="A1208" s="30"/>
      <c r="B1208" s="31"/>
      <c r="C1208" s="32"/>
      <c r="D1208" s="33"/>
      <c r="E1208" s="34"/>
      <c r="F1208" s="34"/>
      <c r="G1208" s="35"/>
      <c r="H1208" s="36"/>
      <c r="I1208" s="37"/>
    </row>
    <row r="1209" ht="22.5" customHeight="1">
      <c r="A1209" s="30"/>
      <c r="B1209" s="31"/>
      <c r="C1209" s="32"/>
      <c r="D1209" s="33"/>
      <c r="E1209" s="34"/>
      <c r="F1209" s="34"/>
      <c r="G1209" s="35"/>
      <c r="H1209" s="36"/>
      <c r="I1209" s="37"/>
    </row>
    <row r="1210" ht="22.5" customHeight="1">
      <c r="A1210" s="30"/>
      <c r="B1210" s="31"/>
      <c r="C1210" s="32"/>
      <c r="D1210" s="33"/>
      <c r="E1210" s="34"/>
      <c r="F1210" s="34"/>
      <c r="G1210" s="35"/>
      <c r="H1210" s="36"/>
      <c r="I1210" s="37"/>
    </row>
    <row r="1211" ht="22.5" customHeight="1">
      <c r="A1211" s="30"/>
      <c r="B1211" s="31"/>
      <c r="C1211" s="32"/>
      <c r="D1211" s="33"/>
      <c r="E1211" s="34"/>
      <c r="F1211" s="34"/>
      <c r="G1211" s="35"/>
      <c r="H1211" s="36"/>
      <c r="I1211" s="37"/>
    </row>
    <row r="1212" ht="22.5" customHeight="1">
      <c r="A1212" s="30"/>
      <c r="B1212" s="31"/>
      <c r="C1212" s="32"/>
      <c r="D1212" s="33"/>
      <c r="E1212" s="34"/>
      <c r="F1212" s="34"/>
      <c r="G1212" s="35"/>
      <c r="H1212" s="36"/>
      <c r="I1212" s="37"/>
    </row>
    <row r="1213" ht="22.5" customHeight="1">
      <c r="A1213" s="30"/>
      <c r="B1213" s="31"/>
      <c r="C1213" s="32"/>
      <c r="D1213" s="33"/>
      <c r="E1213" s="34"/>
      <c r="F1213" s="34"/>
      <c r="G1213" s="35"/>
      <c r="H1213" s="36"/>
      <c r="I1213" s="37"/>
    </row>
    <row r="1214" ht="22.5" customHeight="1">
      <c r="A1214" s="30"/>
      <c r="B1214" s="31"/>
      <c r="C1214" s="32"/>
      <c r="D1214" s="33"/>
      <c r="E1214" s="34"/>
      <c r="F1214" s="34"/>
      <c r="G1214" s="35"/>
      <c r="H1214" s="36"/>
      <c r="I1214" s="37"/>
    </row>
    <row r="1215" ht="22.5" customHeight="1">
      <c r="A1215" s="30"/>
      <c r="B1215" s="31"/>
      <c r="C1215" s="32"/>
      <c r="D1215" s="33"/>
      <c r="E1215" s="34"/>
      <c r="F1215" s="34"/>
      <c r="G1215" s="35"/>
      <c r="H1215" s="36"/>
      <c r="I1215" s="37"/>
    </row>
    <row r="1216" ht="22.5" customHeight="1">
      <c r="A1216" s="30"/>
      <c r="B1216" s="31"/>
      <c r="C1216" s="32"/>
      <c r="D1216" s="33"/>
      <c r="E1216" s="34"/>
      <c r="F1216" s="34"/>
      <c r="G1216" s="35"/>
      <c r="H1216" s="36"/>
      <c r="I1216" s="37"/>
    </row>
    <row r="1217" ht="22.5" customHeight="1">
      <c r="A1217" s="30"/>
      <c r="B1217" s="40"/>
      <c r="C1217" s="32"/>
      <c r="D1217" s="33"/>
      <c r="E1217" s="34"/>
      <c r="F1217" s="34"/>
      <c r="G1217" s="35"/>
      <c r="H1217" s="36"/>
      <c r="I1217" s="37"/>
    </row>
    <row r="1218" ht="22.5" customHeight="1">
      <c r="A1218" s="30"/>
      <c r="B1218" s="31"/>
      <c r="C1218" s="32"/>
      <c r="D1218" s="33"/>
      <c r="E1218" s="34"/>
      <c r="F1218" s="34"/>
      <c r="G1218" s="35"/>
      <c r="H1218" s="36"/>
      <c r="I1218" s="37"/>
    </row>
    <row r="1219" ht="22.5" customHeight="1">
      <c r="A1219" s="30"/>
      <c r="B1219" s="31"/>
      <c r="C1219" s="32"/>
      <c r="D1219" s="33"/>
      <c r="E1219" s="34"/>
      <c r="F1219" s="34"/>
      <c r="G1219" s="35"/>
      <c r="H1219" s="36"/>
      <c r="I1219" s="37"/>
    </row>
    <row r="1220" ht="22.5" customHeight="1">
      <c r="A1220" s="30"/>
      <c r="B1220" s="31"/>
      <c r="C1220" s="32"/>
      <c r="D1220" s="33"/>
      <c r="E1220" s="34"/>
      <c r="F1220" s="34"/>
      <c r="G1220" s="35"/>
      <c r="H1220" s="36"/>
      <c r="I1220" s="37"/>
    </row>
    <row r="1221" ht="22.5" customHeight="1">
      <c r="A1221" s="30"/>
      <c r="B1221" s="40"/>
      <c r="C1221" s="32"/>
      <c r="D1221" s="33"/>
      <c r="E1221" s="34"/>
      <c r="F1221" s="34"/>
      <c r="G1221" s="35"/>
      <c r="H1221" s="36"/>
      <c r="I1221" s="37"/>
    </row>
    <row r="1222" ht="22.5" customHeight="1">
      <c r="A1222" s="30"/>
      <c r="B1222" s="31"/>
      <c r="C1222" s="32"/>
      <c r="D1222" s="33"/>
      <c r="E1222" s="34"/>
      <c r="F1222" s="34"/>
      <c r="G1222" s="35"/>
      <c r="H1222" s="36"/>
      <c r="I1222" s="37"/>
    </row>
    <row r="1223" ht="22.5" customHeight="1">
      <c r="A1223" s="30"/>
      <c r="B1223" s="31"/>
      <c r="C1223" s="32"/>
      <c r="D1223" s="33"/>
      <c r="E1223" s="34"/>
      <c r="F1223" s="34"/>
      <c r="G1223" s="35"/>
      <c r="H1223" s="36"/>
      <c r="I1223" s="37"/>
    </row>
    <row r="1224" ht="22.5" customHeight="1">
      <c r="A1224" s="30"/>
      <c r="B1224" s="31"/>
      <c r="C1224" s="32"/>
      <c r="D1224" s="33"/>
      <c r="E1224" s="34"/>
      <c r="F1224" s="34"/>
      <c r="G1224" s="35"/>
      <c r="H1224" s="36"/>
      <c r="I1224" s="37"/>
    </row>
    <row r="1225" ht="22.5" customHeight="1">
      <c r="A1225" s="30"/>
      <c r="B1225" s="31"/>
      <c r="C1225" s="32"/>
      <c r="D1225" s="33"/>
      <c r="E1225" s="34"/>
      <c r="F1225" s="34"/>
      <c r="G1225" s="35"/>
      <c r="H1225" s="36"/>
      <c r="I1225" s="37"/>
    </row>
    <row r="1226" ht="22.5" customHeight="1">
      <c r="A1226" s="30"/>
      <c r="B1226" s="31"/>
      <c r="C1226" s="32"/>
      <c r="D1226" s="33"/>
      <c r="E1226" s="34"/>
      <c r="F1226" s="34"/>
      <c r="G1226" s="35"/>
      <c r="H1226" s="36"/>
      <c r="I1226" s="37"/>
    </row>
    <row r="1227" ht="22.5" customHeight="1">
      <c r="A1227" s="30"/>
      <c r="B1227" s="31"/>
      <c r="C1227" s="32"/>
      <c r="D1227" s="33"/>
      <c r="E1227" s="34"/>
      <c r="F1227" s="34"/>
      <c r="G1227" s="35"/>
      <c r="H1227" s="36"/>
      <c r="I1227" s="37"/>
    </row>
    <row r="1228" ht="22.5" customHeight="1">
      <c r="A1228" s="30"/>
      <c r="B1228" s="31"/>
      <c r="C1228" s="32"/>
      <c r="D1228" s="33"/>
      <c r="E1228" s="34"/>
      <c r="F1228" s="34"/>
      <c r="G1228" s="35"/>
      <c r="H1228" s="36"/>
      <c r="I1228" s="37"/>
    </row>
    <row r="1229" ht="22.5" customHeight="1">
      <c r="A1229" s="30"/>
      <c r="B1229" s="31"/>
      <c r="C1229" s="32"/>
      <c r="D1229" s="33"/>
      <c r="E1229" s="34"/>
      <c r="F1229" s="34"/>
      <c r="G1229" s="35"/>
      <c r="H1229" s="36"/>
      <c r="I1229" s="37"/>
    </row>
    <row r="1230" ht="22.5" customHeight="1">
      <c r="A1230" s="30"/>
      <c r="B1230" s="31"/>
      <c r="C1230" s="32"/>
      <c r="D1230" s="33"/>
      <c r="E1230" s="34"/>
      <c r="F1230" s="34"/>
      <c r="G1230" s="35"/>
      <c r="H1230" s="36"/>
      <c r="I1230" s="37"/>
    </row>
    <row r="1231" ht="22.5" customHeight="1">
      <c r="A1231" s="30"/>
      <c r="B1231" s="31"/>
      <c r="C1231" s="32"/>
      <c r="D1231" s="33"/>
      <c r="E1231" s="34"/>
      <c r="F1231" s="34"/>
      <c r="G1231" s="35"/>
      <c r="H1231" s="36"/>
      <c r="I1231" s="37"/>
    </row>
    <row r="1232" ht="22.5" customHeight="1">
      <c r="A1232" s="30"/>
      <c r="B1232" s="31"/>
      <c r="C1232" s="32"/>
      <c r="D1232" s="33"/>
      <c r="E1232" s="34"/>
      <c r="F1232" s="34"/>
      <c r="G1232" s="35"/>
      <c r="H1232" s="36"/>
      <c r="I1232" s="37"/>
    </row>
    <row r="1233" ht="22.5" customHeight="1">
      <c r="A1233" s="30"/>
      <c r="B1233" s="31"/>
      <c r="C1233" s="32"/>
      <c r="D1233" s="33"/>
      <c r="E1233" s="34"/>
      <c r="F1233" s="34"/>
      <c r="G1233" s="35"/>
      <c r="H1233" s="36"/>
      <c r="I1233" s="37"/>
    </row>
    <row r="1234" ht="22.5" customHeight="1">
      <c r="A1234" s="30"/>
      <c r="B1234" s="31"/>
      <c r="C1234" s="32"/>
      <c r="D1234" s="33"/>
      <c r="E1234" s="34"/>
      <c r="F1234" s="34"/>
      <c r="G1234" s="35"/>
      <c r="H1234" s="36"/>
      <c r="I1234" s="37"/>
    </row>
    <row r="1235" ht="22.5" customHeight="1">
      <c r="A1235" s="30"/>
      <c r="B1235" s="31"/>
      <c r="C1235" s="32"/>
      <c r="D1235" s="33"/>
      <c r="E1235" s="34"/>
      <c r="F1235" s="34"/>
      <c r="G1235" s="35"/>
      <c r="H1235" s="36"/>
      <c r="I1235" s="37"/>
    </row>
    <row r="1236" ht="22.5" customHeight="1">
      <c r="A1236" s="30"/>
      <c r="B1236" s="40"/>
      <c r="C1236" s="32"/>
      <c r="D1236" s="33"/>
      <c r="E1236" s="34"/>
      <c r="F1236" s="34"/>
      <c r="G1236" s="35"/>
      <c r="H1236" s="36"/>
      <c r="I1236" s="37"/>
    </row>
    <row r="1237" ht="22.5" customHeight="1">
      <c r="A1237" s="30"/>
      <c r="B1237" s="31"/>
      <c r="C1237" s="32"/>
      <c r="D1237" s="33"/>
      <c r="E1237" s="34"/>
      <c r="F1237" s="34"/>
      <c r="G1237" s="35"/>
      <c r="H1237" s="36"/>
      <c r="I1237" s="37"/>
    </row>
    <row r="1238" ht="22.5" customHeight="1">
      <c r="A1238" s="30"/>
      <c r="B1238" s="40"/>
      <c r="C1238" s="32"/>
      <c r="D1238" s="33"/>
      <c r="E1238" s="34"/>
      <c r="F1238" s="34"/>
      <c r="G1238" s="35"/>
      <c r="H1238" s="36"/>
      <c r="I1238" s="37"/>
    </row>
    <row r="1239" ht="22.5" customHeight="1">
      <c r="A1239" s="30"/>
      <c r="B1239" s="31"/>
      <c r="C1239" s="32"/>
      <c r="D1239" s="33"/>
      <c r="E1239" s="34"/>
      <c r="F1239" s="34"/>
      <c r="G1239" s="35"/>
      <c r="H1239" s="36"/>
      <c r="I1239" s="37"/>
    </row>
    <row r="1240" ht="22.5" customHeight="1">
      <c r="A1240" s="30"/>
      <c r="B1240" s="31"/>
      <c r="C1240" s="32"/>
      <c r="D1240" s="33"/>
      <c r="E1240" s="34"/>
      <c r="F1240" s="34"/>
      <c r="G1240" s="35"/>
      <c r="H1240" s="36"/>
      <c r="I1240" s="37"/>
    </row>
    <row r="1241" ht="22.5" customHeight="1">
      <c r="A1241" s="30"/>
      <c r="B1241" s="31"/>
      <c r="C1241" s="32"/>
      <c r="D1241" s="33"/>
      <c r="E1241" s="34"/>
      <c r="F1241" s="34"/>
      <c r="G1241" s="35"/>
      <c r="H1241" s="36"/>
      <c r="I1241" s="37"/>
    </row>
    <row r="1242" ht="22.5" customHeight="1">
      <c r="A1242" s="30"/>
      <c r="B1242" s="31"/>
      <c r="C1242" s="32"/>
      <c r="D1242" s="33"/>
      <c r="E1242" s="34"/>
      <c r="F1242" s="34"/>
      <c r="G1242" s="35"/>
      <c r="H1242" s="36"/>
      <c r="I1242" s="37"/>
    </row>
    <row r="1243" ht="22.5" customHeight="1">
      <c r="A1243" s="30"/>
      <c r="B1243" s="40"/>
      <c r="C1243" s="32"/>
      <c r="D1243" s="33"/>
      <c r="E1243" s="34"/>
      <c r="F1243" s="34"/>
      <c r="G1243" s="35"/>
      <c r="H1243" s="36"/>
      <c r="I1243" s="37"/>
    </row>
    <row r="1244" ht="22.5" customHeight="1">
      <c r="A1244" s="30"/>
      <c r="B1244" s="31"/>
      <c r="C1244" s="32"/>
      <c r="D1244" s="33"/>
      <c r="E1244" s="34"/>
      <c r="F1244" s="34"/>
      <c r="G1244" s="35"/>
      <c r="H1244" s="36"/>
      <c r="I1244" s="37"/>
    </row>
    <row r="1245" ht="22.5" customHeight="1">
      <c r="A1245" s="30"/>
      <c r="B1245" s="31"/>
      <c r="C1245" s="32"/>
      <c r="D1245" s="33"/>
      <c r="E1245" s="34"/>
      <c r="F1245" s="34"/>
      <c r="G1245" s="35"/>
      <c r="H1245" s="36"/>
      <c r="I1245" s="37"/>
    </row>
    <row r="1246" ht="22.5" customHeight="1">
      <c r="A1246" s="30"/>
      <c r="B1246" s="31"/>
      <c r="C1246" s="32"/>
      <c r="D1246" s="33"/>
      <c r="E1246" s="34"/>
      <c r="F1246" s="34"/>
      <c r="G1246" s="35"/>
      <c r="H1246" s="36"/>
      <c r="I1246" s="37"/>
    </row>
    <row r="1247" ht="22.5" customHeight="1">
      <c r="A1247" s="30"/>
      <c r="B1247" s="31"/>
      <c r="C1247" s="32"/>
      <c r="D1247" s="33"/>
      <c r="E1247" s="34"/>
      <c r="F1247" s="34"/>
      <c r="G1247" s="35"/>
      <c r="H1247" s="36"/>
      <c r="I1247" s="37"/>
    </row>
    <row r="1248" ht="22.5" customHeight="1">
      <c r="A1248" s="30"/>
      <c r="B1248" s="31"/>
      <c r="C1248" s="32"/>
      <c r="D1248" s="33"/>
      <c r="E1248" s="34"/>
      <c r="F1248" s="34"/>
      <c r="G1248" s="35"/>
      <c r="H1248" s="36"/>
      <c r="I1248" s="37"/>
    </row>
    <row r="1249" ht="22.5" customHeight="1">
      <c r="A1249" s="30"/>
      <c r="B1249" s="31"/>
      <c r="C1249" s="32"/>
      <c r="D1249" s="33"/>
      <c r="E1249" s="34"/>
      <c r="F1249" s="34"/>
      <c r="G1249" s="35"/>
      <c r="H1249" s="36"/>
      <c r="I1249" s="37"/>
    </row>
    <row r="1250" ht="22.5" customHeight="1">
      <c r="A1250" s="30"/>
      <c r="B1250" s="31"/>
      <c r="C1250" s="32"/>
      <c r="D1250" s="33"/>
      <c r="E1250" s="34"/>
      <c r="F1250" s="34"/>
      <c r="G1250" s="35"/>
      <c r="H1250" s="36"/>
      <c r="I1250" s="37"/>
    </row>
    <row r="1251" ht="22.5" customHeight="1">
      <c r="A1251" s="30"/>
      <c r="B1251" s="31"/>
      <c r="C1251" s="32"/>
      <c r="D1251" s="33"/>
      <c r="E1251" s="34"/>
      <c r="F1251" s="34"/>
      <c r="G1251" s="35"/>
      <c r="H1251" s="36"/>
      <c r="I1251" s="37"/>
    </row>
    <row r="1252" ht="22.5" customHeight="1">
      <c r="A1252" s="30"/>
      <c r="B1252" s="31"/>
      <c r="C1252" s="32"/>
      <c r="D1252" s="33"/>
      <c r="E1252" s="34"/>
      <c r="F1252" s="34"/>
      <c r="G1252" s="35"/>
      <c r="H1252" s="36"/>
      <c r="I1252" s="37"/>
    </row>
    <row r="1253" ht="22.5" customHeight="1">
      <c r="A1253" s="30"/>
      <c r="B1253" s="31"/>
      <c r="C1253" s="32"/>
      <c r="D1253" s="33"/>
      <c r="E1253" s="34"/>
      <c r="F1253" s="34"/>
      <c r="G1253" s="35"/>
      <c r="H1253" s="36"/>
      <c r="I1253" s="37"/>
    </row>
    <row r="1254" ht="22.5" customHeight="1">
      <c r="A1254" s="30"/>
      <c r="B1254" s="31"/>
      <c r="C1254" s="32"/>
      <c r="D1254" s="33"/>
      <c r="E1254" s="34"/>
      <c r="F1254" s="34"/>
      <c r="G1254" s="35"/>
      <c r="H1254" s="36"/>
      <c r="I1254" s="37"/>
    </row>
    <row r="1255" ht="22.5" customHeight="1">
      <c r="A1255" s="30"/>
      <c r="B1255" s="31"/>
      <c r="C1255" s="32"/>
      <c r="D1255" s="33"/>
      <c r="E1255" s="34"/>
      <c r="F1255" s="34"/>
      <c r="G1255" s="35"/>
      <c r="H1255" s="36"/>
      <c r="I1255" s="37"/>
    </row>
    <row r="1256" ht="22.5" customHeight="1">
      <c r="A1256" s="30"/>
      <c r="B1256" s="31"/>
      <c r="C1256" s="32"/>
      <c r="D1256" s="33"/>
      <c r="E1256" s="34"/>
      <c r="F1256" s="34"/>
      <c r="G1256" s="35"/>
      <c r="H1256" s="36"/>
      <c r="I1256" s="37"/>
    </row>
    <row r="1257" ht="22.5" customHeight="1">
      <c r="A1257" s="30"/>
      <c r="B1257" s="31"/>
      <c r="C1257" s="32"/>
      <c r="D1257" s="33"/>
      <c r="E1257" s="34"/>
      <c r="F1257" s="34"/>
      <c r="G1257" s="35"/>
      <c r="H1257" s="36"/>
      <c r="I1257" s="37"/>
    </row>
    <row r="1258" ht="22.5" customHeight="1">
      <c r="A1258" s="30"/>
      <c r="B1258" s="31"/>
      <c r="C1258" s="32"/>
      <c r="D1258" s="33"/>
      <c r="E1258" s="34"/>
      <c r="F1258" s="34"/>
      <c r="G1258" s="35"/>
      <c r="H1258" s="36"/>
      <c r="I1258" s="37"/>
    </row>
    <row r="1259" ht="22.5" customHeight="1">
      <c r="A1259" s="30"/>
      <c r="B1259" s="31"/>
      <c r="C1259" s="32"/>
      <c r="D1259" s="33"/>
      <c r="E1259" s="34"/>
      <c r="F1259" s="34"/>
      <c r="G1259" s="35"/>
      <c r="H1259" s="36"/>
      <c r="I1259" s="37"/>
    </row>
    <row r="1260" ht="22.5" customHeight="1">
      <c r="A1260" s="30"/>
      <c r="B1260" s="31"/>
      <c r="C1260" s="32"/>
      <c r="D1260" s="33"/>
      <c r="E1260" s="34"/>
      <c r="F1260" s="34"/>
      <c r="G1260" s="35"/>
      <c r="H1260" s="36"/>
      <c r="I1260" s="37"/>
    </row>
    <row r="1261" ht="22.5" customHeight="1">
      <c r="A1261" s="30"/>
      <c r="B1261" s="31"/>
      <c r="C1261" s="32"/>
      <c r="D1261" s="33"/>
      <c r="E1261" s="34"/>
      <c r="F1261" s="34"/>
      <c r="G1261" s="35"/>
      <c r="H1261" s="36"/>
      <c r="I1261" s="37"/>
    </row>
    <row r="1262" ht="22.5" customHeight="1">
      <c r="A1262" s="30"/>
      <c r="B1262" s="31"/>
      <c r="C1262" s="32"/>
      <c r="D1262" s="33"/>
      <c r="E1262" s="34"/>
      <c r="F1262" s="34"/>
      <c r="G1262" s="35"/>
      <c r="H1262" s="36"/>
      <c r="I1262" s="37"/>
    </row>
    <row r="1263" ht="22.5" customHeight="1">
      <c r="A1263" s="30"/>
      <c r="B1263" s="31"/>
      <c r="C1263" s="32"/>
      <c r="D1263" s="33"/>
      <c r="E1263" s="34"/>
      <c r="F1263" s="34"/>
      <c r="G1263" s="35"/>
      <c r="H1263" s="36"/>
      <c r="I1263" s="37"/>
    </row>
    <row r="1264" ht="22.5" customHeight="1">
      <c r="A1264" s="30"/>
      <c r="B1264" s="31"/>
      <c r="C1264" s="32"/>
      <c r="D1264" s="33"/>
      <c r="E1264" s="34"/>
      <c r="F1264" s="34"/>
      <c r="G1264" s="35"/>
      <c r="H1264" s="36"/>
      <c r="I1264" s="37"/>
    </row>
    <row r="1265" ht="22.5" customHeight="1">
      <c r="A1265" s="30"/>
      <c r="B1265" s="40"/>
      <c r="C1265" s="32"/>
      <c r="D1265" s="33"/>
      <c r="E1265" s="34"/>
      <c r="F1265" s="34"/>
      <c r="G1265" s="35"/>
      <c r="H1265" s="36"/>
      <c r="I1265" s="37"/>
    </row>
    <row r="1266" ht="22.5" customHeight="1">
      <c r="A1266" s="30"/>
      <c r="B1266" s="31"/>
      <c r="C1266" s="32"/>
      <c r="D1266" s="33"/>
      <c r="E1266" s="34"/>
      <c r="F1266" s="34"/>
      <c r="G1266" s="35"/>
      <c r="H1266" s="36"/>
      <c r="I1266" s="37"/>
    </row>
    <row r="1267" ht="22.5" customHeight="1">
      <c r="A1267" s="30"/>
      <c r="B1267" s="31"/>
      <c r="C1267" s="32"/>
      <c r="D1267" s="33"/>
      <c r="E1267" s="34"/>
      <c r="F1267" s="34"/>
      <c r="G1267" s="35"/>
      <c r="H1267" s="36"/>
      <c r="I1267" s="37"/>
    </row>
    <row r="1268" ht="22.5" customHeight="1">
      <c r="A1268" s="30"/>
      <c r="B1268" s="31"/>
      <c r="C1268" s="32"/>
      <c r="D1268" s="33"/>
      <c r="E1268" s="34"/>
      <c r="F1268" s="34"/>
      <c r="G1268" s="35"/>
      <c r="H1268" s="36"/>
      <c r="I1268" s="37"/>
    </row>
    <row r="1269" ht="22.5" customHeight="1">
      <c r="A1269" s="30"/>
      <c r="B1269" s="31"/>
      <c r="C1269" s="32"/>
      <c r="D1269" s="33"/>
      <c r="E1269" s="34"/>
      <c r="F1269" s="34"/>
      <c r="G1269" s="35"/>
      <c r="H1269" s="36"/>
      <c r="I1269" s="38"/>
    </row>
    <row r="1270" ht="22.5" customHeight="1">
      <c r="A1270" s="30"/>
      <c r="B1270" s="39"/>
      <c r="C1270" s="32"/>
      <c r="D1270" s="33"/>
      <c r="E1270" s="34"/>
      <c r="F1270" s="34"/>
      <c r="G1270" s="35"/>
      <c r="H1270" s="36"/>
      <c r="I1270" s="37"/>
    </row>
    <row r="1271" ht="22.5" customHeight="1">
      <c r="A1271" s="30"/>
      <c r="B1271" s="31"/>
      <c r="C1271" s="32"/>
      <c r="D1271" s="33"/>
      <c r="E1271" s="34"/>
      <c r="F1271" s="34"/>
      <c r="G1271" s="35"/>
      <c r="H1271" s="36"/>
      <c r="I1271" s="37"/>
    </row>
    <row r="1272" ht="22.5" customHeight="1">
      <c r="A1272" s="30"/>
      <c r="B1272" s="31"/>
      <c r="C1272" s="32"/>
      <c r="D1272" s="33"/>
      <c r="E1272" s="34"/>
      <c r="F1272" s="34"/>
      <c r="G1272" s="35"/>
      <c r="H1272" s="36"/>
      <c r="I1272" s="37"/>
    </row>
    <row r="1273" ht="22.5" customHeight="1">
      <c r="A1273" s="30"/>
      <c r="B1273" s="31"/>
      <c r="C1273" s="32"/>
      <c r="D1273" s="33"/>
      <c r="E1273" s="34"/>
      <c r="F1273" s="34"/>
      <c r="G1273" s="35"/>
      <c r="H1273" s="36"/>
      <c r="I1273" s="37"/>
    </row>
    <row r="1274" ht="22.5" customHeight="1">
      <c r="A1274" s="30"/>
      <c r="B1274" s="39"/>
      <c r="C1274" s="32"/>
      <c r="D1274" s="33"/>
      <c r="E1274" s="34"/>
      <c r="F1274" s="34"/>
      <c r="G1274" s="35"/>
      <c r="H1274" s="36"/>
      <c r="I1274" s="37"/>
    </row>
    <row r="1275" ht="22.5" customHeight="1">
      <c r="A1275" s="30"/>
      <c r="B1275" s="31"/>
      <c r="C1275" s="32"/>
      <c r="D1275" s="33"/>
      <c r="E1275" s="34"/>
      <c r="F1275" s="34"/>
      <c r="G1275" s="35"/>
      <c r="H1275" s="36"/>
      <c r="I1275" s="37"/>
    </row>
    <row r="1276" ht="22.5" customHeight="1">
      <c r="A1276" s="30"/>
      <c r="B1276" s="39"/>
      <c r="C1276" s="32"/>
      <c r="D1276" s="33"/>
      <c r="E1276" s="34"/>
      <c r="F1276" s="34"/>
      <c r="G1276" s="35"/>
      <c r="H1276" s="36"/>
      <c r="I1276" s="37"/>
    </row>
    <row r="1277" ht="22.5" customHeight="1">
      <c r="A1277" s="30"/>
      <c r="B1277" s="31"/>
      <c r="C1277" s="32"/>
      <c r="D1277" s="33"/>
      <c r="E1277" s="34"/>
      <c r="F1277" s="34"/>
      <c r="G1277" s="35"/>
      <c r="H1277" s="36"/>
      <c r="I1277" s="37"/>
    </row>
    <row r="1278" ht="22.5" customHeight="1">
      <c r="A1278" s="30"/>
      <c r="B1278" s="31"/>
      <c r="C1278" s="32"/>
      <c r="D1278" s="33"/>
      <c r="E1278" s="34"/>
      <c r="F1278" s="34"/>
      <c r="G1278" s="35"/>
      <c r="H1278" s="36"/>
      <c r="I1278" s="37"/>
    </row>
    <row r="1279" ht="22.5" customHeight="1">
      <c r="A1279" s="30"/>
      <c r="B1279" s="31"/>
      <c r="C1279" s="32"/>
      <c r="D1279" s="33"/>
      <c r="E1279" s="34"/>
      <c r="F1279" s="34"/>
      <c r="G1279" s="35"/>
      <c r="H1279" s="36"/>
      <c r="I1279" s="37"/>
    </row>
    <row r="1280" ht="22.5" customHeight="1">
      <c r="A1280" s="30"/>
      <c r="B1280" s="31"/>
      <c r="C1280" s="32"/>
      <c r="D1280" s="33"/>
      <c r="E1280" s="34"/>
      <c r="F1280" s="34"/>
      <c r="G1280" s="35"/>
      <c r="H1280" s="36"/>
      <c r="I1280" s="37"/>
    </row>
    <row r="1281" ht="22.5" customHeight="1">
      <c r="A1281" s="30"/>
      <c r="B1281" s="31"/>
      <c r="C1281" s="32"/>
      <c r="D1281" s="33"/>
      <c r="E1281" s="34"/>
      <c r="F1281" s="34"/>
      <c r="G1281" s="35"/>
      <c r="H1281" s="36"/>
      <c r="I1281" s="37"/>
    </row>
    <row r="1282" ht="22.5" customHeight="1">
      <c r="A1282" s="30"/>
      <c r="B1282" s="31"/>
      <c r="C1282" s="32"/>
      <c r="D1282" s="33"/>
      <c r="E1282" s="34"/>
      <c r="F1282" s="34"/>
      <c r="G1282" s="35"/>
      <c r="H1282" s="36"/>
      <c r="I1282" s="37"/>
    </row>
    <row r="1283" ht="22.5" customHeight="1">
      <c r="A1283" s="30"/>
      <c r="B1283" s="31"/>
      <c r="C1283" s="32"/>
      <c r="D1283" s="33"/>
      <c r="E1283" s="34"/>
      <c r="F1283" s="34"/>
      <c r="G1283" s="35"/>
      <c r="H1283" s="36"/>
      <c r="I1283" s="37"/>
    </row>
    <row r="1284" ht="22.5" customHeight="1">
      <c r="A1284" s="30"/>
      <c r="B1284" s="31"/>
      <c r="C1284" s="32"/>
      <c r="D1284" s="33"/>
      <c r="E1284" s="34"/>
      <c r="F1284" s="34"/>
      <c r="G1284" s="35"/>
      <c r="H1284" s="36"/>
      <c r="I1284" s="37"/>
    </row>
    <row r="1285" ht="22.5" customHeight="1">
      <c r="A1285" s="30"/>
      <c r="B1285" s="31"/>
      <c r="C1285" s="32"/>
      <c r="D1285" s="33"/>
      <c r="E1285" s="34"/>
      <c r="F1285" s="34"/>
      <c r="G1285" s="35"/>
      <c r="H1285" s="36"/>
      <c r="I1285" s="37"/>
    </row>
    <row r="1286" ht="22.5" customHeight="1">
      <c r="A1286" s="30"/>
      <c r="B1286" s="31"/>
      <c r="C1286" s="32"/>
      <c r="D1286" s="33"/>
      <c r="E1286" s="34"/>
      <c r="F1286" s="34"/>
      <c r="G1286" s="35"/>
      <c r="H1286" s="36"/>
      <c r="I1286" s="37"/>
    </row>
    <row r="1287" ht="22.5" customHeight="1">
      <c r="A1287" s="30"/>
      <c r="B1287" s="40"/>
      <c r="C1287" s="32"/>
      <c r="D1287" s="33"/>
      <c r="E1287" s="34"/>
      <c r="F1287" s="34"/>
      <c r="G1287" s="35"/>
      <c r="H1287" s="36"/>
      <c r="I1287" s="37"/>
    </row>
    <row r="1288" ht="22.5" customHeight="1">
      <c r="A1288" s="30"/>
      <c r="B1288" s="31"/>
      <c r="C1288" s="32"/>
      <c r="D1288" s="33"/>
      <c r="E1288" s="34"/>
      <c r="F1288" s="34"/>
      <c r="G1288" s="35"/>
      <c r="H1288" s="36"/>
      <c r="I1288" s="37"/>
    </row>
    <row r="1289" ht="22.5" customHeight="1">
      <c r="A1289" s="30"/>
      <c r="B1289" s="31"/>
      <c r="C1289" s="32"/>
      <c r="D1289" s="33"/>
      <c r="E1289" s="34"/>
      <c r="F1289" s="34"/>
      <c r="G1289" s="35"/>
      <c r="H1289" s="36"/>
      <c r="I1289" s="37"/>
    </row>
    <row r="1290" ht="22.5" customHeight="1">
      <c r="A1290" s="30"/>
      <c r="B1290" s="31"/>
      <c r="C1290" s="32"/>
      <c r="D1290" s="33"/>
      <c r="E1290" s="34"/>
      <c r="F1290" s="34"/>
      <c r="G1290" s="35"/>
      <c r="H1290" s="36"/>
      <c r="I1290" s="37"/>
    </row>
    <row r="1291" ht="22.5" customHeight="1">
      <c r="A1291" s="30"/>
      <c r="B1291" s="31"/>
      <c r="C1291" s="32"/>
      <c r="D1291" s="33"/>
      <c r="E1291" s="34"/>
      <c r="F1291" s="34"/>
      <c r="G1291" s="35"/>
      <c r="H1291" s="36"/>
      <c r="I1291" s="37"/>
    </row>
    <row r="1292" ht="22.5" customHeight="1">
      <c r="A1292" s="30"/>
      <c r="B1292" s="31"/>
      <c r="C1292" s="32"/>
      <c r="D1292" s="33"/>
      <c r="E1292" s="34"/>
      <c r="F1292" s="34"/>
      <c r="G1292" s="35"/>
      <c r="H1292" s="36"/>
      <c r="I1292" s="37"/>
    </row>
    <row r="1293" ht="22.5" customHeight="1">
      <c r="A1293" s="30"/>
      <c r="B1293" s="31"/>
      <c r="C1293" s="32"/>
      <c r="D1293" s="33"/>
      <c r="E1293" s="34"/>
      <c r="F1293" s="34"/>
      <c r="G1293" s="35"/>
      <c r="H1293" s="36"/>
      <c r="I1293" s="37"/>
    </row>
    <row r="1294" ht="22.5" customHeight="1">
      <c r="A1294" s="30"/>
      <c r="B1294" s="39"/>
      <c r="C1294" s="32"/>
      <c r="D1294" s="33"/>
      <c r="E1294" s="34"/>
      <c r="F1294" s="34"/>
      <c r="G1294" s="35"/>
      <c r="H1294" s="36"/>
      <c r="I1294" s="37"/>
    </row>
    <row r="1295" ht="22.5" customHeight="1">
      <c r="A1295" s="30"/>
      <c r="B1295" s="39"/>
      <c r="C1295" s="32"/>
      <c r="D1295" s="33"/>
      <c r="E1295" s="34"/>
      <c r="F1295" s="34"/>
      <c r="G1295" s="35"/>
      <c r="H1295" s="36"/>
      <c r="I1295" s="37"/>
    </row>
    <row r="1296" ht="22.5" customHeight="1">
      <c r="A1296" s="30"/>
      <c r="B1296" s="39"/>
      <c r="C1296" s="32"/>
      <c r="D1296" s="33"/>
      <c r="E1296" s="34"/>
      <c r="F1296" s="34"/>
      <c r="G1296" s="35"/>
      <c r="H1296" s="36"/>
      <c r="I1296" s="37"/>
    </row>
    <row r="1297" ht="22.5" customHeight="1">
      <c r="A1297" s="30"/>
      <c r="B1297" s="40"/>
      <c r="C1297" s="32"/>
      <c r="D1297" s="33"/>
      <c r="E1297" s="34"/>
      <c r="F1297" s="34"/>
      <c r="G1297" s="35"/>
      <c r="H1297" s="36"/>
      <c r="I1297" s="37"/>
    </row>
    <row r="1298" ht="22.5" customHeight="1">
      <c r="A1298" s="30"/>
      <c r="B1298" s="31"/>
      <c r="C1298" s="32"/>
      <c r="D1298" s="33"/>
      <c r="E1298" s="34"/>
      <c r="F1298" s="34"/>
      <c r="G1298" s="35"/>
      <c r="H1298" s="36"/>
      <c r="I1298" s="37"/>
    </row>
    <row r="1299" ht="22.5" customHeight="1">
      <c r="A1299" s="30"/>
      <c r="B1299" s="31"/>
      <c r="C1299" s="32"/>
      <c r="D1299" s="33"/>
      <c r="E1299" s="34"/>
      <c r="F1299" s="34"/>
      <c r="G1299" s="35"/>
      <c r="H1299" s="36"/>
      <c r="I1299" s="37"/>
    </row>
    <row r="1300" ht="22.5" customHeight="1">
      <c r="A1300" s="30"/>
      <c r="B1300" s="31"/>
      <c r="C1300" s="32"/>
      <c r="D1300" s="33"/>
      <c r="E1300" s="34"/>
      <c r="F1300" s="34"/>
      <c r="G1300" s="35"/>
      <c r="H1300" s="36"/>
      <c r="I1300" s="37"/>
    </row>
    <row r="1301" ht="22.5" customHeight="1">
      <c r="A1301" s="30"/>
      <c r="B1301" s="31"/>
      <c r="C1301" s="32"/>
      <c r="D1301" s="33"/>
      <c r="E1301" s="34"/>
      <c r="F1301" s="34"/>
      <c r="G1301" s="35"/>
      <c r="H1301" s="36"/>
      <c r="I1301" s="37"/>
    </row>
    <row r="1302" ht="22.5" customHeight="1">
      <c r="A1302" s="30"/>
      <c r="B1302" s="31"/>
      <c r="C1302" s="32"/>
      <c r="D1302" s="33"/>
      <c r="E1302" s="34"/>
      <c r="F1302" s="34"/>
      <c r="G1302" s="35"/>
      <c r="H1302" s="36"/>
      <c r="I1302" s="37"/>
    </row>
    <row r="1303" ht="22.5" customHeight="1">
      <c r="A1303" s="30"/>
      <c r="B1303" s="31"/>
      <c r="C1303" s="32"/>
      <c r="D1303" s="33"/>
      <c r="E1303" s="34"/>
      <c r="F1303" s="34"/>
      <c r="G1303" s="35"/>
      <c r="H1303" s="36"/>
      <c r="I1303" s="37"/>
    </row>
    <row r="1304" ht="22.5" customHeight="1">
      <c r="A1304" s="30"/>
      <c r="B1304" s="31"/>
      <c r="C1304" s="32"/>
      <c r="D1304" s="33"/>
      <c r="E1304" s="34"/>
      <c r="F1304" s="34"/>
      <c r="G1304" s="35"/>
      <c r="H1304" s="36"/>
      <c r="I1304" s="37"/>
    </row>
    <row r="1305" ht="22.5" customHeight="1">
      <c r="A1305" s="30"/>
      <c r="B1305" s="31"/>
      <c r="C1305" s="32"/>
      <c r="D1305" s="33"/>
      <c r="E1305" s="34"/>
      <c r="F1305" s="34"/>
      <c r="G1305" s="35"/>
      <c r="H1305" s="36"/>
      <c r="I1305" s="37"/>
    </row>
    <row r="1306" ht="22.5" customHeight="1">
      <c r="A1306" s="30"/>
      <c r="B1306" s="31"/>
      <c r="C1306" s="32"/>
      <c r="D1306" s="33"/>
      <c r="E1306" s="34"/>
      <c r="F1306" s="34"/>
      <c r="G1306" s="35"/>
      <c r="H1306" s="36"/>
      <c r="I1306" s="37"/>
    </row>
    <row r="1307" ht="22.5" customHeight="1">
      <c r="A1307" s="30"/>
      <c r="B1307" s="40"/>
      <c r="C1307" s="32"/>
      <c r="D1307" s="33"/>
      <c r="E1307" s="34"/>
      <c r="F1307" s="34"/>
      <c r="G1307" s="35"/>
      <c r="H1307" s="36"/>
      <c r="I1307" s="37"/>
    </row>
    <row r="1308" ht="22.5" customHeight="1">
      <c r="A1308" s="30"/>
      <c r="B1308" s="31"/>
      <c r="C1308" s="32"/>
      <c r="D1308" s="33"/>
      <c r="E1308" s="34"/>
      <c r="F1308" s="34"/>
      <c r="G1308" s="35"/>
      <c r="H1308" s="36"/>
      <c r="I1308" s="37"/>
    </row>
    <row r="1309" ht="22.5" customHeight="1">
      <c r="A1309" s="30"/>
      <c r="B1309" s="31"/>
      <c r="C1309" s="32"/>
      <c r="D1309" s="33"/>
      <c r="E1309" s="34"/>
      <c r="F1309" s="34"/>
      <c r="G1309" s="35"/>
      <c r="H1309" s="36"/>
      <c r="I1309" s="37"/>
    </row>
    <row r="1310" ht="22.5" customHeight="1">
      <c r="A1310" s="30"/>
      <c r="B1310" s="31"/>
      <c r="C1310" s="32"/>
      <c r="D1310" s="33"/>
      <c r="E1310" s="34"/>
      <c r="F1310" s="34"/>
      <c r="G1310" s="35"/>
      <c r="H1310" s="36"/>
      <c r="I1310" s="37"/>
    </row>
    <row r="1311" ht="22.5" customHeight="1">
      <c r="A1311" s="30"/>
      <c r="B1311" s="40"/>
      <c r="C1311" s="32"/>
      <c r="D1311" s="33"/>
      <c r="E1311" s="34"/>
      <c r="F1311" s="34"/>
      <c r="G1311" s="35"/>
      <c r="H1311" s="36"/>
      <c r="I1311" s="37"/>
    </row>
    <row r="1312" ht="22.5" customHeight="1">
      <c r="A1312" s="30"/>
      <c r="B1312" s="31"/>
      <c r="C1312" s="32"/>
      <c r="D1312" s="33"/>
      <c r="E1312" s="34"/>
      <c r="F1312" s="34"/>
      <c r="G1312" s="35"/>
      <c r="H1312" s="36"/>
      <c r="I1312" s="37"/>
    </row>
    <row r="1313" ht="22.5" customHeight="1">
      <c r="A1313" s="30"/>
      <c r="B1313" s="31"/>
      <c r="C1313" s="32"/>
      <c r="D1313" s="33"/>
      <c r="E1313" s="34"/>
      <c r="F1313" s="34"/>
      <c r="G1313" s="35"/>
      <c r="H1313" s="36"/>
      <c r="I1313" s="37"/>
    </row>
    <row r="1314" ht="22.5" customHeight="1">
      <c r="A1314" s="30"/>
      <c r="B1314" s="31"/>
      <c r="C1314" s="32"/>
      <c r="D1314" s="33"/>
      <c r="E1314" s="34"/>
      <c r="F1314" s="34"/>
      <c r="G1314" s="35"/>
      <c r="H1314" s="36"/>
      <c r="I1314" s="37"/>
    </row>
    <row r="1315" ht="22.5" customHeight="1">
      <c r="A1315" s="30"/>
      <c r="B1315" s="31"/>
      <c r="C1315" s="32"/>
      <c r="D1315" s="33"/>
      <c r="E1315" s="34"/>
      <c r="F1315" s="34"/>
      <c r="G1315" s="35"/>
      <c r="H1315" s="36"/>
      <c r="I1315" s="37"/>
    </row>
    <row r="1316" ht="22.5" customHeight="1">
      <c r="A1316" s="30"/>
      <c r="B1316" s="31"/>
      <c r="C1316" s="32"/>
      <c r="D1316" s="33"/>
      <c r="E1316" s="34"/>
      <c r="F1316" s="34"/>
      <c r="G1316" s="35"/>
      <c r="H1316" s="36"/>
      <c r="I1316" s="37"/>
    </row>
    <row r="1317" ht="22.5" customHeight="1">
      <c r="A1317" s="30"/>
      <c r="B1317" s="31"/>
      <c r="C1317" s="32"/>
      <c r="D1317" s="33"/>
      <c r="E1317" s="34"/>
      <c r="F1317" s="34"/>
      <c r="G1317" s="35"/>
      <c r="H1317" s="36"/>
      <c r="I1317" s="37"/>
    </row>
    <row r="1318" ht="22.5" customHeight="1">
      <c r="A1318" s="30"/>
      <c r="B1318" s="31"/>
      <c r="C1318" s="32"/>
      <c r="D1318" s="33"/>
      <c r="E1318" s="34"/>
      <c r="F1318" s="34"/>
      <c r="G1318" s="35"/>
      <c r="H1318" s="36"/>
      <c r="I1318" s="37"/>
    </row>
    <row r="1319" ht="22.5" customHeight="1">
      <c r="A1319" s="30"/>
      <c r="B1319" s="31"/>
      <c r="C1319" s="32"/>
      <c r="D1319" s="33"/>
      <c r="E1319" s="34"/>
      <c r="F1319" s="34"/>
      <c r="G1319" s="35"/>
      <c r="H1319" s="36"/>
      <c r="I1319" s="37"/>
    </row>
    <row r="1320" ht="22.5" customHeight="1">
      <c r="A1320" s="30"/>
      <c r="B1320" s="31"/>
      <c r="C1320" s="32"/>
      <c r="D1320" s="33"/>
      <c r="E1320" s="34"/>
      <c r="F1320" s="34"/>
      <c r="G1320" s="35"/>
      <c r="H1320" s="36"/>
      <c r="I1320" s="37"/>
    </row>
    <row r="1321" ht="22.5" customHeight="1">
      <c r="A1321" s="30"/>
      <c r="B1321" s="31"/>
      <c r="C1321" s="32"/>
      <c r="D1321" s="33"/>
      <c r="E1321" s="34"/>
      <c r="F1321" s="34"/>
      <c r="G1321" s="35"/>
      <c r="H1321" s="36"/>
      <c r="I1321" s="37"/>
    </row>
    <row r="1322" ht="22.5" customHeight="1">
      <c r="A1322" s="30"/>
      <c r="B1322" s="31"/>
      <c r="C1322" s="32"/>
      <c r="D1322" s="33"/>
      <c r="E1322" s="34"/>
      <c r="F1322" s="34"/>
      <c r="G1322" s="35"/>
      <c r="H1322" s="36"/>
      <c r="I1322" s="37"/>
    </row>
    <row r="1323" ht="22.5" customHeight="1">
      <c r="A1323" s="30"/>
      <c r="B1323" s="31"/>
      <c r="C1323" s="32"/>
      <c r="D1323" s="33"/>
      <c r="E1323" s="34"/>
      <c r="F1323" s="34"/>
      <c r="G1323" s="35"/>
      <c r="H1323" s="36"/>
      <c r="I1323" s="37"/>
    </row>
    <row r="1324" ht="22.5" customHeight="1">
      <c r="A1324" s="30"/>
      <c r="B1324" s="31"/>
      <c r="C1324" s="32"/>
      <c r="D1324" s="33"/>
      <c r="E1324" s="34"/>
      <c r="F1324" s="34"/>
      <c r="G1324" s="35"/>
      <c r="H1324" s="36"/>
      <c r="I1324" s="37"/>
    </row>
    <row r="1325" ht="22.5" customHeight="1">
      <c r="A1325" s="30"/>
      <c r="B1325" s="31"/>
      <c r="C1325" s="32"/>
      <c r="D1325" s="33"/>
      <c r="E1325" s="34"/>
      <c r="F1325" s="34"/>
      <c r="G1325" s="35"/>
      <c r="H1325" s="36"/>
      <c r="I1325" s="37"/>
    </row>
    <row r="1326" ht="22.5" customHeight="1">
      <c r="A1326" s="30"/>
      <c r="B1326" s="40"/>
      <c r="C1326" s="32"/>
      <c r="D1326" s="33"/>
      <c r="E1326" s="34"/>
      <c r="F1326" s="34"/>
      <c r="G1326" s="35"/>
      <c r="H1326" s="36"/>
      <c r="I1326" s="37"/>
    </row>
    <row r="1327" ht="22.5" customHeight="1">
      <c r="A1327" s="30"/>
      <c r="B1327" s="31"/>
      <c r="C1327" s="32"/>
      <c r="D1327" s="33"/>
      <c r="E1327" s="34"/>
      <c r="F1327" s="34"/>
      <c r="G1327" s="35"/>
      <c r="H1327" s="36"/>
      <c r="I1327" s="37"/>
    </row>
    <row r="1328" ht="22.5" customHeight="1">
      <c r="A1328" s="30"/>
      <c r="B1328" s="40"/>
      <c r="C1328" s="32"/>
      <c r="D1328" s="33"/>
      <c r="E1328" s="34"/>
      <c r="F1328" s="34"/>
      <c r="G1328" s="35"/>
      <c r="H1328" s="36"/>
      <c r="I1328" s="37"/>
    </row>
    <row r="1329" ht="22.5" customHeight="1">
      <c r="A1329" s="30"/>
      <c r="B1329" s="31"/>
      <c r="C1329" s="32"/>
      <c r="D1329" s="33"/>
      <c r="E1329" s="34"/>
      <c r="F1329" s="34"/>
      <c r="G1329" s="35"/>
      <c r="H1329" s="36"/>
      <c r="I1329" s="37"/>
    </row>
    <row r="1330" ht="22.5" customHeight="1">
      <c r="A1330" s="30"/>
      <c r="B1330" s="31"/>
      <c r="C1330" s="32"/>
      <c r="D1330" s="33"/>
      <c r="E1330" s="34"/>
      <c r="F1330" s="34"/>
      <c r="G1330" s="35"/>
      <c r="H1330" s="36"/>
      <c r="I1330" s="37"/>
    </row>
    <row r="1331" ht="22.5" customHeight="1">
      <c r="A1331" s="30"/>
      <c r="B1331" s="31"/>
      <c r="C1331" s="32"/>
      <c r="D1331" s="33"/>
      <c r="E1331" s="34"/>
      <c r="F1331" s="34"/>
      <c r="G1331" s="35"/>
      <c r="H1331" s="36"/>
      <c r="I1331" s="37"/>
    </row>
    <row r="1332" ht="22.5" customHeight="1">
      <c r="A1332" s="30"/>
      <c r="B1332" s="31"/>
      <c r="C1332" s="32"/>
      <c r="D1332" s="33"/>
      <c r="E1332" s="34"/>
      <c r="F1332" s="34"/>
      <c r="G1332" s="35"/>
      <c r="H1332" s="36"/>
      <c r="I1332" s="37"/>
    </row>
    <row r="1333" ht="22.5" customHeight="1">
      <c r="A1333" s="30"/>
      <c r="B1333" s="40"/>
      <c r="C1333" s="32"/>
      <c r="D1333" s="33"/>
      <c r="E1333" s="34"/>
      <c r="F1333" s="34"/>
      <c r="G1333" s="35"/>
      <c r="H1333" s="36"/>
      <c r="I1333" s="37"/>
    </row>
    <row r="1334" ht="22.5" customHeight="1">
      <c r="A1334" s="30"/>
      <c r="B1334" s="31"/>
      <c r="C1334" s="32"/>
      <c r="D1334" s="33"/>
      <c r="E1334" s="34"/>
      <c r="F1334" s="34"/>
      <c r="G1334" s="35"/>
      <c r="H1334" s="36"/>
      <c r="I1334" s="37"/>
    </row>
    <row r="1335" ht="22.5" customHeight="1">
      <c r="A1335" s="30"/>
      <c r="B1335" s="31"/>
      <c r="C1335" s="32"/>
      <c r="D1335" s="33"/>
      <c r="E1335" s="34"/>
      <c r="F1335" s="34"/>
      <c r="G1335" s="35"/>
      <c r="H1335" s="36"/>
      <c r="I1335" s="37"/>
    </row>
    <row r="1336" ht="22.5" customHeight="1">
      <c r="A1336" s="30"/>
      <c r="B1336" s="31"/>
      <c r="C1336" s="32"/>
      <c r="D1336" s="33"/>
      <c r="E1336" s="34"/>
      <c r="F1336" s="34"/>
      <c r="G1336" s="35"/>
      <c r="H1336" s="36"/>
      <c r="I1336" s="37"/>
    </row>
    <row r="1337" ht="22.5" customHeight="1">
      <c r="A1337" s="30"/>
      <c r="B1337" s="31"/>
      <c r="C1337" s="32"/>
      <c r="D1337" s="33"/>
      <c r="E1337" s="34"/>
      <c r="F1337" s="34"/>
      <c r="G1337" s="35"/>
      <c r="H1337" s="36"/>
      <c r="I1337" s="37"/>
    </row>
    <row r="1338" ht="22.5" customHeight="1">
      <c r="A1338" s="30"/>
      <c r="B1338" s="31"/>
      <c r="C1338" s="32"/>
      <c r="D1338" s="33"/>
      <c r="E1338" s="34"/>
      <c r="F1338" s="34"/>
      <c r="G1338" s="35"/>
      <c r="H1338" s="36"/>
      <c r="I1338" s="37"/>
    </row>
    <row r="1339" ht="22.5" customHeight="1">
      <c r="A1339" s="30"/>
      <c r="B1339" s="31"/>
      <c r="C1339" s="32"/>
      <c r="D1339" s="33"/>
      <c r="E1339" s="34"/>
      <c r="F1339" s="34"/>
      <c r="G1339" s="35"/>
      <c r="H1339" s="36"/>
      <c r="I1339" s="37"/>
    </row>
    <row r="1340" ht="22.5" customHeight="1">
      <c r="A1340" s="30"/>
      <c r="B1340" s="31"/>
      <c r="C1340" s="32"/>
      <c r="D1340" s="33"/>
      <c r="E1340" s="34"/>
      <c r="F1340" s="34"/>
      <c r="G1340" s="35"/>
      <c r="H1340" s="36"/>
      <c r="I1340" s="37"/>
    </row>
    <row r="1341" ht="22.5" customHeight="1">
      <c r="A1341" s="30"/>
      <c r="B1341" s="31"/>
      <c r="C1341" s="32"/>
      <c r="D1341" s="33"/>
      <c r="E1341" s="34"/>
      <c r="F1341" s="34"/>
      <c r="G1341" s="35"/>
      <c r="H1341" s="36"/>
      <c r="I1341" s="37"/>
    </row>
    <row r="1342" ht="22.5" customHeight="1">
      <c r="A1342" s="30"/>
      <c r="B1342" s="31"/>
      <c r="C1342" s="32"/>
      <c r="D1342" s="33"/>
      <c r="E1342" s="34"/>
      <c r="F1342" s="34"/>
      <c r="G1342" s="35"/>
      <c r="H1342" s="36"/>
      <c r="I1342" s="37"/>
    </row>
    <row r="1343" ht="22.5" customHeight="1">
      <c r="A1343" s="30"/>
      <c r="B1343" s="31"/>
      <c r="C1343" s="32"/>
      <c r="D1343" s="33"/>
      <c r="E1343" s="34"/>
      <c r="F1343" s="34"/>
      <c r="G1343" s="35"/>
      <c r="H1343" s="36"/>
      <c r="I1343" s="37"/>
    </row>
    <row r="1344" ht="22.5" customHeight="1">
      <c r="A1344" s="30"/>
      <c r="B1344" s="31"/>
      <c r="C1344" s="32"/>
      <c r="D1344" s="33"/>
      <c r="E1344" s="34"/>
      <c r="F1344" s="34"/>
      <c r="G1344" s="35"/>
      <c r="H1344" s="36"/>
      <c r="I1344" s="37"/>
    </row>
    <row r="1345" ht="22.5" customHeight="1">
      <c r="A1345" s="30"/>
      <c r="B1345" s="31"/>
      <c r="C1345" s="32"/>
      <c r="D1345" s="33"/>
      <c r="E1345" s="34"/>
      <c r="F1345" s="34"/>
      <c r="G1345" s="35"/>
      <c r="H1345" s="36"/>
      <c r="I1345" s="37"/>
    </row>
    <row r="1346" ht="22.5" customHeight="1">
      <c r="A1346" s="30"/>
      <c r="B1346" s="31"/>
      <c r="C1346" s="32"/>
      <c r="D1346" s="33"/>
      <c r="E1346" s="34"/>
      <c r="F1346" s="34"/>
      <c r="G1346" s="35"/>
      <c r="H1346" s="36"/>
      <c r="I1346" s="37"/>
    </row>
    <row r="1347" ht="22.5" customHeight="1">
      <c r="A1347" s="30"/>
      <c r="B1347" s="31"/>
      <c r="C1347" s="32"/>
      <c r="D1347" s="33"/>
      <c r="E1347" s="34"/>
      <c r="F1347" s="34"/>
      <c r="G1347" s="35"/>
      <c r="H1347" s="36"/>
      <c r="I1347" s="37"/>
    </row>
    <row r="1348" ht="22.5" customHeight="1">
      <c r="A1348" s="30"/>
      <c r="B1348" s="31"/>
      <c r="C1348" s="32"/>
      <c r="D1348" s="33"/>
      <c r="E1348" s="34"/>
      <c r="F1348" s="34"/>
      <c r="G1348" s="35"/>
      <c r="H1348" s="36"/>
      <c r="I1348" s="37"/>
    </row>
    <row r="1349" ht="22.5" customHeight="1">
      <c r="A1349" s="30"/>
      <c r="B1349" s="31"/>
      <c r="C1349" s="32"/>
      <c r="D1349" s="33"/>
      <c r="E1349" s="34"/>
      <c r="F1349" s="34"/>
      <c r="G1349" s="35"/>
      <c r="H1349" s="36"/>
      <c r="I1349" s="37"/>
    </row>
    <row r="1350" ht="22.5" customHeight="1">
      <c r="A1350" s="30"/>
      <c r="B1350" s="31"/>
      <c r="C1350" s="32"/>
      <c r="D1350" s="33"/>
      <c r="E1350" s="34"/>
      <c r="F1350" s="34"/>
      <c r="G1350" s="35"/>
      <c r="H1350" s="36"/>
      <c r="I1350" s="37"/>
    </row>
    <row r="1351" ht="22.5" customHeight="1">
      <c r="A1351" s="30"/>
      <c r="B1351" s="31"/>
      <c r="C1351" s="32"/>
      <c r="D1351" s="33"/>
      <c r="E1351" s="34"/>
      <c r="F1351" s="34"/>
      <c r="G1351" s="35"/>
      <c r="H1351" s="36"/>
      <c r="I1351" s="37"/>
    </row>
    <row r="1352" ht="22.5" customHeight="1">
      <c r="A1352" s="30"/>
      <c r="B1352" s="31"/>
      <c r="C1352" s="32"/>
      <c r="D1352" s="33"/>
      <c r="E1352" s="34"/>
      <c r="F1352" s="34"/>
      <c r="G1352" s="35"/>
      <c r="H1352" s="36"/>
      <c r="I1352" s="37"/>
    </row>
    <row r="1353" ht="22.5" customHeight="1">
      <c r="A1353" s="30"/>
      <c r="B1353" s="31"/>
      <c r="C1353" s="32"/>
      <c r="D1353" s="33"/>
      <c r="E1353" s="34"/>
      <c r="F1353" s="34"/>
      <c r="G1353" s="35"/>
      <c r="H1353" s="36"/>
      <c r="I1353" s="37"/>
    </row>
    <row r="1354" ht="22.5" customHeight="1">
      <c r="A1354" s="30"/>
      <c r="B1354" s="31"/>
      <c r="C1354" s="32"/>
      <c r="D1354" s="33"/>
      <c r="E1354" s="34"/>
      <c r="F1354" s="34"/>
      <c r="G1354" s="35"/>
      <c r="H1354" s="36"/>
      <c r="I1354" s="37"/>
    </row>
    <row r="1355" ht="22.5" customHeight="1">
      <c r="A1355" s="30"/>
      <c r="B1355" s="40"/>
      <c r="C1355" s="32"/>
      <c r="D1355" s="33"/>
      <c r="E1355" s="34"/>
      <c r="F1355" s="34"/>
      <c r="G1355" s="35"/>
      <c r="H1355" s="36"/>
      <c r="I1355" s="37"/>
    </row>
    <row r="1356" ht="22.5" customHeight="1">
      <c r="A1356" s="30"/>
      <c r="B1356" s="31"/>
      <c r="C1356" s="32"/>
      <c r="D1356" s="33"/>
      <c r="E1356" s="34"/>
      <c r="F1356" s="34"/>
      <c r="G1356" s="35"/>
      <c r="H1356" s="36"/>
      <c r="I1356" s="37"/>
    </row>
    <row r="1357" ht="22.5" customHeight="1">
      <c r="A1357" s="30"/>
      <c r="B1357" s="31"/>
      <c r="C1357" s="32"/>
      <c r="D1357" s="33"/>
      <c r="E1357" s="34"/>
      <c r="F1357" s="34"/>
      <c r="G1357" s="35"/>
      <c r="H1357" s="36"/>
      <c r="I1357" s="37"/>
    </row>
    <row r="1358" ht="22.5" customHeight="1">
      <c r="A1358" s="30"/>
      <c r="B1358" s="31"/>
      <c r="C1358" s="32"/>
      <c r="D1358" s="33"/>
      <c r="E1358" s="34"/>
      <c r="F1358" s="34"/>
      <c r="G1358" s="35"/>
      <c r="H1358" s="36"/>
      <c r="I1358" s="37"/>
    </row>
    <row r="1359" ht="22.5" customHeight="1">
      <c r="A1359" s="30"/>
      <c r="B1359" s="31"/>
      <c r="C1359" s="32"/>
      <c r="D1359" s="33"/>
      <c r="E1359" s="34"/>
      <c r="F1359" s="34"/>
      <c r="G1359" s="35"/>
      <c r="H1359" s="36"/>
      <c r="I1359" s="38"/>
    </row>
    <row r="1360" ht="22.5" customHeight="1">
      <c r="A1360" s="30"/>
      <c r="B1360" s="39"/>
      <c r="C1360" s="32"/>
      <c r="D1360" s="33"/>
      <c r="E1360" s="34"/>
      <c r="F1360" s="34"/>
      <c r="G1360" s="35"/>
      <c r="H1360" s="36"/>
      <c r="I1360" s="37"/>
    </row>
    <row r="1361" ht="22.5" customHeight="1">
      <c r="A1361" s="30"/>
      <c r="B1361" s="31"/>
      <c r="C1361" s="32"/>
      <c r="D1361" s="33"/>
      <c r="E1361" s="34"/>
      <c r="F1361" s="34"/>
      <c r="G1361" s="35"/>
      <c r="H1361" s="36"/>
      <c r="I1361" s="37"/>
    </row>
    <row r="1362" ht="22.5" customHeight="1">
      <c r="A1362" s="30"/>
      <c r="B1362" s="31"/>
      <c r="C1362" s="32"/>
      <c r="D1362" s="33"/>
      <c r="E1362" s="34"/>
      <c r="F1362" s="34"/>
      <c r="G1362" s="35"/>
      <c r="H1362" s="36"/>
      <c r="I1362" s="37"/>
    </row>
    <row r="1363" ht="22.5" customHeight="1">
      <c r="A1363" s="30"/>
      <c r="B1363" s="31"/>
      <c r="C1363" s="32"/>
      <c r="D1363" s="33"/>
      <c r="E1363" s="34"/>
      <c r="F1363" s="34"/>
      <c r="G1363" s="35"/>
      <c r="H1363" s="36"/>
      <c r="I1363" s="37"/>
    </row>
    <row r="1364" ht="22.5" customHeight="1">
      <c r="A1364" s="30"/>
      <c r="B1364" s="39"/>
      <c r="C1364" s="32"/>
      <c r="D1364" s="33"/>
      <c r="E1364" s="34"/>
      <c r="F1364" s="34"/>
      <c r="G1364" s="35"/>
      <c r="H1364" s="36"/>
      <c r="I1364" s="37"/>
    </row>
    <row r="1365" ht="22.5" customHeight="1">
      <c r="A1365" s="30"/>
      <c r="B1365" s="31"/>
      <c r="C1365" s="32"/>
      <c r="D1365" s="33"/>
      <c r="E1365" s="34"/>
      <c r="F1365" s="34"/>
      <c r="G1365" s="35"/>
      <c r="H1365" s="36"/>
      <c r="I1365" s="37"/>
    </row>
    <row r="1366" ht="22.5" customHeight="1">
      <c r="A1366" s="30"/>
      <c r="B1366" s="39"/>
      <c r="C1366" s="32"/>
      <c r="D1366" s="33"/>
      <c r="E1366" s="34"/>
      <c r="F1366" s="34"/>
      <c r="G1366" s="35"/>
      <c r="H1366" s="36"/>
      <c r="I1366" s="37"/>
    </row>
    <row r="1367" ht="22.5" customHeight="1">
      <c r="A1367" s="30"/>
      <c r="B1367" s="31"/>
      <c r="C1367" s="32"/>
      <c r="D1367" s="33"/>
      <c r="E1367" s="34"/>
      <c r="F1367" s="34"/>
      <c r="G1367" s="35"/>
      <c r="H1367" s="36"/>
      <c r="I1367" s="37"/>
    </row>
    <row r="1368" ht="22.5" customHeight="1">
      <c r="A1368" s="30"/>
      <c r="B1368" s="31"/>
      <c r="C1368" s="32"/>
      <c r="D1368" s="33"/>
      <c r="E1368" s="34"/>
      <c r="F1368" s="34"/>
      <c r="G1368" s="35"/>
      <c r="H1368" s="36"/>
      <c r="I1368" s="37"/>
    </row>
    <row r="1369" ht="22.5" customHeight="1">
      <c r="A1369" s="30"/>
      <c r="B1369" s="31"/>
      <c r="C1369" s="32"/>
      <c r="D1369" s="33"/>
      <c r="E1369" s="34"/>
      <c r="F1369" s="34"/>
      <c r="G1369" s="35"/>
      <c r="H1369" s="36"/>
      <c r="I1369" s="37"/>
    </row>
    <row r="1370" ht="22.5" customHeight="1">
      <c r="A1370" s="30"/>
      <c r="B1370" s="31"/>
      <c r="C1370" s="32"/>
      <c r="D1370" s="33"/>
      <c r="E1370" s="34"/>
      <c r="F1370" s="34"/>
      <c r="G1370" s="35"/>
      <c r="H1370" s="36"/>
      <c r="I1370" s="37"/>
    </row>
    <row r="1371" ht="22.5" customHeight="1">
      <c r="A1371" s="30"/>
      <c r="B1371" s="31"/>
      <c r="C1371" s="32"/>
      <c r="D1371" s="33"/>
      <c r="E1371" s="34"/>
      <c r="F1371" s="34"/>
      <c r="G1371" s="35"/>
      <c r="H1371" s="36"/>
      <c r="I1371" s="37"/>
    </row>
    <row r="1372" ht="22.5" customHeight="1">
      <c r="A1372" s="30"/>
      <c r="B1372" s="31"/>
      <c r="C1372" s="32"/>
      <c r="D1372" s="33"/>
      <c r="E1372" s="34"/>
      <c r="F1372" s="34"/>
      <c r="G1372" s="35"/>
      <c r="H1372" s="36"/>
      <c r="I1372" s="37"/>
    </row>
    <row r="1373" ht="22.5" customHeight="1">
      <c r="A1373" s="30"/>
      <c r="B1373" s="31"/>
      <c r="C1373" s="32"/>
      <c r="D1373" s="33"/>
      <c r="E1373" s="34"/>
      <c r="F1373" s="34"/>
      <c r="G1373" s="35"/>
      <c r="H1373" s="36"/>
      <c r="I1373" s="37"/>
    </row>
    <row r="1374" ht="22.5" customHeight="1">
      <c r="A1374" s="30"/>
      <c r="B1374" s="31"/>
      <c r="C1374" s="32"/>
      <c r="D1374" s="33"/>
      <c r="E1374" s="34"/>
      <c r="F1374" s="34"/>
      <c r="G1374" s="35"/>
      <c r="H1374" s="36"/>
      <c r="I1374" s="37"/>
    </row>
    <row r="1375" ht="22.5" customHeight="1">
      <c r="A1375" s="30"/>
      <c r="B1375" s="31"/>
      <c r="C1375" s="32"/>
      <c r="D1375" s="33"/>
      <c r="E1375" s="34"/>
      <c r="F1375" s="34"/>
      <c r="G1375" s="35"/>
      <c r="H1375" s="36"/>
      <c r="I1375" s="37"/>
    </row>
    <row r="1376" ht="22.5" customHeight="1">
      <c r="A1376" s="30"/>
      <c r="B1376" s="31"/>
      <c r="C1376" s="32"/>
      <c r="D1376" s="33"/>
      <c r="E1376" s="34"/>
      <c r="F1376" s="34"/>
      <c r="G1376" s="35"/>
      <c r="H1376" s="36"/>
      <c r="I1376" s="37"/>
    </row>
    <row r="1377" ht="22.5" customHeight="1">
      <c r="A1377" s="30"/>
      <c r="B1377" s="40"/>
      <c r="C1377" s="32"/>
      <c r="D1377" s="33"/>
      <c r="E1377" s="34"/>
      <c r="F1377" s="34"/>
      <c r="G1377" s="35"/>
      <c r="H1377" s="36"/>
      <c r="I1377" s="37"/>
    </row>
    <row r="1378" ht="22.5" customHeight="1">
      <c r="A1378" s="30"/>
      <c r="B1378" s="31"/>
      <c r="C1378" s="32"/>
      <c r="D1378" s="33"/>
      <c r="E1378" s="34"/>
      <c r="F1378" s="34"/>
      <c r="G1378" s="35"/>
      <c r="H1378" s="36"/>
      <c r="I1378" s="37"/>
    </row>
    <row r="1379" ht="22.5" customHeight="1">
      <c r="A1379" s="30"/>
      <c r="B1379" s="31"/>
      <c r="C1379" s="32"/>
      <c r="D1379" s="33"/>
      <c r="E1379" s="34"/>
      <c r="F1379" s="34"/>
      <c r="G1379" s="35"/>
      <c r="H1379" s="36"/>
      <c r="I1379" s="37"/>
    </row>
    <row r="1380" ht="22.5" customHeight="1">
      <c r="A1380" s="30"/>
      <c r="B1380" s="31"/>
      <c r="C1380" s="32"/>
      <c r="D1380" s="33"/>
      <c r="E1380" s="34"/>
      <c r="F1380" s="34"/>
      <c r="G1380" s="35"/>
      <c r="H1380" s="36"/>
      <c r="I1380" s="37"/>
    </row>
    <row r="1381" ht="22.5" customHeight="1">
      <c r="A1381" s="30"/>
      <c r="B1381" s="31"/>
      <c r="C1381" s="32"/>
      <c r="D1381" s="33"/>
      <c r="E1381" s="34"/>
      <c r="F1381" s="34"/>
      <c r="G1381" s="35"/>
      <c r="H1381" s="36"/>
      <c r="I1381" s="37"/>
    </row>
    <row r="1382" ht="22.5" customHeight="1">
      <c r="A1382" s="30"/>
      <c r="B1382" s="31"/>
      <c r="C1382" s="32"/>
      <c r="D1382" s="33"/>
      <c r="E1382" s="34"/>
      <c r="F1382" s="34"/>
      <c r="G1382" s="35"/>
      <c r="H1382" s="36"/>
      <c r="I1382" s="37"/>
    </row>
    <row r="1383" ht="22.5" customHeight="1">
      <c r="A1383" s="30"/>
      <c r="B1383" s="31"/>
      <c r="C1383" s="32"/>
      <c r="D1383" s="33"/>
      <c r="E1383" s="34"/>
      <c r="F1383" s="34"/>
      <c r="G1383" s="35"/>
      <c r="H1383" s="36"/>
      <c r="I1383" s="37"/>
    </row>
    <row r="1384" ht="22.5" customHeight="1">
      <c r="A1384" s="30"/>
      <c r="B1384" s="39"/>
      <c r="C1384" s="32"/>
      <c r="D1384" s="33"/>
      <c r="E1384" s="34"/>
      <c r="F1384" s="34"/>
      <c r="G1384" s="35"/>
      <c r="H1384" s="36"/>
      <c r="I1384" s="37"/>
    </row>
    <row r="1385" ht="22.5" customHeight="1">
      <c r="A1385" s="30"/>
      <c r="B1385" s="39"/>
      <c r="C1385" s="32"/>
      <c r="D1385" s="33"/>
      <c r="E1385" s="34"/>
      <c r="F1385" s="34"/>
      <c r="G1385" s="35"/>
      <c r="H1385" s="36"/>
      <c r="I1385" s="37"/>
    </row>
    <row r="1386" ht="22.5" customHeight="1">
      <c r="A1386" s="30"/>
      <c r="B1386" s="39"/>
      <c r="C1386" s="32"/>
      <c r="D1386" s="33"/>
      <c r="E1386" s="34"/>
      <c r="F1386" s="34"/>
      <c r="G1386" s="35"/>
      <c r="H1386" s="36"/>
      <c r="I1386" s="37"/>
    </row>
    <row r="1387" ht="22.5" customHeight="1">
      <c r="A1387" s="30"/>
      <c r="B1387" s="40"/>
      <c r="C1387" s="32"/>
      <c r="D1387" s="33"/>
      <c r="E1387" s="34"/>
      <c r="F1387" s="34"/>
      <c r="G1387" s="35"/>
      <c r="H1387" s="36"/>
      <c r="I1387" s="37"/>
    </row>
    <row r="1388" ht="22.5" customHeight="1">
      <c r="A1388" s="30"/>
      <c r="B1388" s="31"/>
      <c r="C1388" s="32"/>
      <c r="D1388" s="33"/>
      <c r="E1388" s="34"/>
      <c r="F1388" s="34"/>
      <c r="G1388" s="35"/>
      <c r="H1388" s="36"/>
      <c r="I1388" s="37"/>
    </row>
    <row r="1389" ht="22.5" customHeight="1">
      <c r="A1389" s="30"/>
      <c r="B1389" s="31"/>
      <c r="C1389" s="32"/>
      <c r="D1389" s="33"/>
      <c r="E1389" s="34"/>
      <c r="F1389" s="34"/>
      <c r="G1389" s="35"/>
      <c r="H1389" s="36"/>
      <c r="I1389" s="37"/>
    </row>
    <row r="1390" ht="22.5" customHeight="1">
      <c r="A1390" s="30"/>
      <c r="B1390" s="31"/>
      <c r="C1390" s="32"/>
      <c r="D1390" s="33"/>
      <c r="E1390" s="34"/>
      <c r="F1390" s="34"/>
      <c r="G1390" s="35"/>
      <c r="H1390" s="36"/>
      <c r="I1390" s="37"/>
    </row>
    <row r="1391" ht="22.5" customHeight="1">
      <c r="A1391" s="30"/>
      <c r="B1391" s="31"/>
      <c r="C1391" s="32"/>
      <c r="D1391" s="33"/>
      <c r="E1391" s="34"/>
      <c r="F1391" s="34"/>
      <c r="G1391" s="35"/>
      <c r="H1391" s="36"/>
      <c r="I1391" s="37"/>
    </row>
    <row r="1392" ht="22.5" customHeight="1">
      <c r="A1392" s="30"/>
      <c r="B1392" s="31"/>
      <c r="C1392" s="32"/>
      <c r="D1392" s="33"/>
      <c r="E1392" s="34"/>
      <c r="F1392" s="34"/>
      <c r="G1392" s="35"/>
      <c r="H1392" s="36"/>
      <c r="I1392" s="37"/>
    </row>
    <row r="1393" ht="22.5" customHeight="1">
      <c r="A1393" s="30"/>
      <c r="B1393" s="31"/>
      <c r="C1393" s="32"/>
      <c r="D1393" s="33"/>
      <c r="E1393" s="34"/>
      <c r="F1393" s="34"/>
      <c r="G1393" s="35"/>
      <c r="H1393" s="36"/>
      <c r="I1393" s="37"/>
    </row>
    <row r="1394" ht="22.5" customHeight="1">
      <c r="A1394" s="30"/>
      <c r="B1394" s="31"/>
      <c r="C1394" s="32"/>
      <c r="D1394" s="33"/>
      <c r="E1394" s="34"/>
      <c r="F1394" s="34"/>
      <c r="G1394" s="35"/>
      <c r="H1394" s="36"/>
      <c r="I1394" s="37"/>
    </row>
    <row r="1395" ht="22.5" customHeight="1">
      <c r="A1395" s="30"/>
      <c r="B1395" s="31"/>
      <c r="C1395" s="32"/>
      <c r="D1395" s="33"/>
      <c r="E1395" s="34"/>
      <c r="F1395" s="34"/>
      <c r="G1395" s="35"/>
      <c r="H1395" s="36"/>
      <c r="I1395" s="37"/>
    </row>
    <row r="1396" ht="22.5" customHeight="1">
      <c r="A1396" s="30"/>
      <c r="B1396" s="31"/>
      <c r="C1396" s="32"/>
      <c r="D1396" s="33"/>
      <c r="E1396" s="34"/>
      <c r="F1396" s="34"/>
      <c r="G1396" s="35"/>
      <c r="H1396" s="36"/>
      <c r="I1396" s="37"/>
    </row>
    <row r="1397" ht="22.5" customHeight="1">
      <c r="A1397" s="30"/>
      <c r="B1397" s="40"/>
      <c r="C1397" s="32"/>
      <c r="D1397" s="33"/>
      <c r="E1397" s="34"/>
      <c r="F1397" s="34"/>
      <c r="G1397" s="35"/>
      <c r="H1397" s="36"/>
      <c r="I1397" s="37"/>
    </row>
    <row r="1398" ht="22.5" customHeight="1">
      <c r="A1398" s="30"/>
      <c r="B1398" s="31"/>
      <c r="C1398" s="32"/>
      <c r="D1398" s="33"/>
      <c r="E1398" s="34"/>
      <c r="F1398" s="34"/>
      <c r="G1398" s="35"/>
      <c r="H1398" s="36"/>
      <c r="I1398" s="37"/>
    </row>
    <row r="1399" ht="22.5" customHeight="1">
      <c r="A1399" s="30"/>
      <c r="B1399" s="31"/>
      <c r="C1399" s="32"/>
      <c r="D1399" s="33"/>
      <c r="E1399" s="34"/>
      <c r="F1399" s="34"/>
      <c r="G1399" s="35"/>
      <c r="H1399" s="36"/>
      <c r="I1399" s="37"/>
    </row>
    <row r="1400" ht="22.5" customHeight="1">
      <c r="A1400" s="30"/>
      <c r="B1400" s="31"/>
      <c r="C1400" s="32"/>
      <c r="D1400" s="33"/>
      <c r="E1400" s="34"/>
      <c r="F1400" s="34"/>
      <c r="G1400" s="35"/>
      <c r="H1400" s="36"/>
      <c r="I1400" s="37"/>
    </row>
    <row r="1401" ht="22.5" customHeight="1">
      <c r="A1401" s="30"/>
      <c r="B1401" s="40"/>
      <c r="C1401" s="32"/>
      <c r="D1401" s="33"/>
      <c r="E1401" s="34"/>
      <c r="F1401" s="34"/>
      <c r="G1401" s="35"/>
      <c r="H1401" s="36"/>
      <c r="I1401" s="37"/>
    </row>
    <row r="1402" ht="22.5" customHeight="1">
      <c r="A1402" s="30"/>
      <c r="B1402" s="31"/>
      <c r="C1402" s="32"/>
      <c r="D1402" s="33"/>
      <c r="E1402" s="34"/>
      <c r="F1402" s="34"/>
      <c r="G1402" s="35"/>
      <c r="H1402" s="36"/>
      <c r="I1402" s="37"/>
    </row>
    <row r="1403" ht="22.5" customHeight="1">
      <c r="A1403" s="30"/>
      <c r="B1403" s="31"/>
      <c r="C1403" s="32"/>
      <c r="D1403" s="33"/>
      <c r="E1403" s="34"/>
      <c r="F1403" s="34"/>
      <c r="G1403" s="35"/>
      <c r="H1403" s="36"/>
      <c r="I1403" s="37"/>
    </row>
    <row r="1404" ht="22.5" customHeight="1">
      <c r="A1404" s="30"/>
      <c r="B1404" s="31"/>
      <c r="C1404" s="32"/>
      <c r="D1404" s="33"/>
      <c r="E1404" s="34"/>
      <c r="F1404" s="34"/>
      <c r="G1404" s="35"/>
      <c r="H1404" s="36"/>
      <c r="I1404" s="37"/>
    </row>
    <row r="1405" ht="22.5" customHeight="1">
      <c r="A1405" s="30"/>
      <c r="B1405" s="31"/>
      <c r="C1405" s="32"/>
      <c r="D1405" s="33"/>
      <c r="E1405" s="34"/>
      <c r="F1405" s="34"/>
      <c r="G1405" s="35"/>
      <c r="H1405" s="36"/>
      <c r="I1405" s="37"/>
    </row>
    <row r="1406" ht="22.5" customHeight="1">
      <c r="A1406" s="30"/>
      <c r="B1406" s="31"/>
      <c r="C1406" s="32"/>
      <c r="D1406" s="33"/>
      <c r="E1406" s="34"/>
      <c r="F1406" s="34"/>
      <c r="G1406" s="35"/>
      <c r="H1406" s="36"/>
      <c r="I1406" s="37"/>
    </row>
    <row r="1407" ht="22.5" customHeight="1">
      <c r="A1407" s="30"/>
      <c r="B1407" s="31"/>
      <c r="C1407" s="32"/>
      <c r="D1407" s="33"/>
      <c r="E1407" s="34"/>
      <c r="F1407" s="34"/>
      <c r="G1407" s="35"/>
      <c r="H1407" s="36"/>
      <c r="I1407" s="37"/>
    </row>
    <row r="1408" ht="22.5" customHeight="1">
      <c r="A1408" s="30"/>
      <c r="B1408" s="31"/>
      <c r="C1408" s="32"/>
      <c r="D1408" s="33"/>
      <c r="E1408" s="34"/>
      <c r="F1408" s="34"/>
      <c r="G1408" s="35"/>
      <c r="H1408" s="36"/>
      <c r="I1408" s="37"/>
    </row>
    <row r="1409" ht="22.5" customHeight="1">
      <c r="A1409" s="30"/>
      <c r="B1409" s="31"/>
      <c r="C1409" s="32"/>
      <c r="D1409" s="33"/>
      <c r="E1409" s="34"/>
      <c r="F1409" s="34"/>
      <c r="G1409" s="35"/>
      <c r="H1409" s="36"/>
      <c r="I1409" s="37"/>
    </row>
    <row r="1410" ht="22.5" customHeight="1">
      <c r="A1410" s="30"/>
      <c r="B1410" s="31"/>
      <c r="C1410" s="32"/>
      <c r="D1410" s="33"/>
      <c r="E1410" s="34"/>
      <c r="F1410" s="34"/>
      <c r="G1410" s="35"/>
      <c r="H1410" s="36"/>
      <c r="I1410" s="37"/>
    </row>
    <row r="1411" ht="22.5" customHeight="1">
      <c r="A1411" s="30"/>
      <c r="B1411" s="31"/>
      <c r="C1411" s="32"/>
      <c r="D1411" s="33"/>
      <c r="E1411" s="34"/>
      <c r="F1411" s="34"/>
      <c r="G1411" s="35"/>
      <c r="H1411" s="36"/>
      <c r="I1411" s="37"/>
    </row>
    <row r="1412" ht="22.5" customHeight="1">
      <c r="A1412" s="30"/>
      <c r="B1412" s="31"/>
      <c r="C1412" s="32"/>
      <c r="D1412" s="33"/>
      <c r="E1412" s="34"/>
      <c r="F1412" s="34"/>
      <c r="G1412" s="35"/>
      <c r="H1412" s="36"/>
      <c r="I1412" s="37"/>
    </row>
    <row r="1413" ht="22.5" customHeight="1">
      <c r="A1413" s="30"/>
      <c r="B1413" s="31"/>
      <c r="C1413" s="32"/>
      <c r="D1413" s="33"/>
      <c r="E1413" s="34"/>
      <c r="F1413" s="34"/>
      <c r="G1413" s="35"/>
      <c r="H1413" s="36"/>
      <c r="I1413" s="37"/>
    </row>
    <row r="1414" ht="22.5" customHeight="1">
      <c r="A1414" s="30"/>
      <c r="B1414" s="31"/>
      <c r="C1414" s="32"/>
      <c r="D1414" s="33"/>
      <c r="E1414" s="34"/>
      <c r="F1414" s="34"/>
      <c r="G1414" s="35"/>
      <c r="H1414" s="36"/>
      <c r="I1414" s="37"/>
    </row>
    <row r="1415" ht="22.5" customHeight="1">
      <c r="A1415" s="30"/>
      <c r="B1415" s="31"/>
      <c r="C1415" s="32"/>
      <c r="D1415" s="33"/>
      <c r="E1415" s="34"/>
      <c r="F1415" s="34"/>
      <c r="G1415" s="35"/>
      <c r="H1415" s="36"/>
      <c r="I1415" s="37"/>
    </row>
    <row r="1416" ht="22.5" customHeight="1">
      <c r="A1416" s="30"/>
      <c r="B1416" s="40"/>
      <c r="C1416" s="32"/>
      <c r="D1416" s="33"/>
      <c r="E1416" s="34"/>
      <c r="F1416" s="34"/>
      <c r="G1416" s="35"/>
      <c r="H1416" s="36"/>
      <c r="I1416" s="37"/>
    </row>
    <row r="1417" ht="22.5" customHeight="1">
      <c r="A1417" s="30"/>
      <c r="B1417" s="31"/>
      <c r="C1417" s="32"/>
      <c r="D1417" s="33"/>
      <c r="E1417" s="34"/>
      <c r="F1417" s="34"/>
      <c r="G1417" s="35"/>
      <c r="H1417" s="36"/>
      <c r="I1417" s="37"/>
    </row>
    <row r="1418" ht="22.5" customHeight="1">
      <c r="A1418" s="30"/>
      <c r="B1418" s="40"/>
      <c r="C1418" s="32"/>
      <c r="D1418" s="33"/>
      <c r="E1418" s="34"/>
      <c r="F1418" s="34"/>
      <c r="G1418" s="35"/>
      <c r="H1418" s="36"/>
      <c r="I1418" s="37"/>
    </row>
    <row r="1419" ht="22.5" customHeight="1">
      <c r="A1419" s="30"/>
      <c r="B1419" s="31"/>
      <c r="C1419" s="32"/>
      <c r="D1419" s="33"/>
      <c r="E1419" s="34"/>
      <c r="F1419" s="34"/>
      <c r="G1419" s="35"/>
      <c r="H1419" s="36"/>
      <c r="I1419" s="37"/>
    </row>
    <row r="1420" ht="22.5" customHeight="1">
      <c r="A1420" s="30"/>
      <c r="B1420" s="31"/>
      <c r="C1420" s="32"/>
      <c r="D1420" s="33"/>
      <c r="E1420" s="34"/>
      <c r="F1420" s="34"/>
      <c r="G1420" s="35"/>
      <c r="H1420" s="36"/>
      <c r="I1420" s="37"/>
    </row>
    <row r="1421" ht="22.5" customHeight="1">
      <c r="A1421" s="30"/>
      <c r="B1421" s="31"/>
      <c r="C1421" s="32"/>
      <c r="D1421" s="33"/>
      <c r="E1421" s="34"/>
      <c r="F1421" s="34"/>
      <c r="G1421" s="35"/>
      <c r="H1421" s="36"/>
      <c r="I1421" s="37"/>
    </row>
    <row r="1422" ht="22.5" customHeight="1">
      <c r="A1422" s="30"/>
      <c r="B1422" s="31"/>
      <c r="C1422" s="32"/>
      <c r="D1422" s="33"/>
      <c r="E1422" s="34"/>
      <c r="F1422" s="34"/>
      <c r="G1422" s="35"/>
      <c r="H1422" s="36"/>
      <c r="I1422" s="37"/>
    </row>
    <row r="1423" ht="22.5" customHeight="1">
      <c r="A1423" s="30"/>
      <c r="B1423" s="40"/>
      <c r="C1423" s="32"/>
      <c r="D1423" s="33"/>
      <c r="E1423" s="34"/>
      <c r="F1423" s="34"/>
      <c r="G1423" s="35"/>
      <c r="H1423" s="36"/>
      <c r="I1423" s="37"/>
    </row>
    <row r="1424" ht="22.5" customHeight="1">
      <c r="A1424" s="30"/>
      <c r="B1424" s="31"/>
      <c r="C1424" s="32"/>
      <c r="D1424" s="33"/>
      <c r="E1424" s="34"/>
      <c r="F1424" s="34"/>
      <c r="G1424" s="35"/>
      <c r="H1424" s="36"/>
      <c r="I1424" s="37"/>
    </row>
    <row r="1425" ht="22.5" customHeight="1">
      <c r="A1425" s="30"/>
      <c r="B1425" s="31"/>
      <c r="C1425" s="32"/>
      <c r="D1425" s="33"/>
      <c r="E1425" s="34"/>
      <c r="F1425" s="34"/>
      <c r="G1425" s="35"/>
      <c r="H1425" s="36"/>
      <c r="I1425" s="37"/>
    </row>
    <row r="1426" ht="22.5" customHeight="1">
      <c r="A1426" s="30"/>
      <c r="B1426" s="31"/>
      <c r="C1426" s="32"/>
      <c r="D1426" s="33"/>
      <c r="E1426" s="34"/>
      <c r="F1426" s="34"/>
      <c r="G1426" s="35"/>
      <c r="H1426" s="36"/>
      <c r="I1426" s="37"/>
    </row>
    <row r="1427" ht="22.5" customHeight="1">
      <c r="A1427" s="30"/>
      <c r="B1427" s="31"/>
      <c r="C1427" s="32"/>
      <c r="D1427" s="33"/>
      <c r="E1427" s="34"/>
      <c r="F1427" s="34"/>
      <c r="G1427" s="35"/>
      <c r="H1427" s="36"/>
      <c r="I1427" s="37"/>
    </row>
    <row r="1428" ht="22.5" customHeight="1">
      <c r="A1428" s="30"/>
      <c r="B1428" s="31"/>
      <c r="C1428" s="32"/>
      <c r="D1428" s="33"/>
      <c r="E1428" s="34"/>
      <c r="F1428" s="34"/>
      <c r="G1428" s="35"/>
      <c r="H1428" s="36"/>
      <c r="I1428" s="37"/>
    </row>
    <row r="1429" ht="22.5" customHeight="1">
      <c r="A1429" s="30"/>
      <c r="B1429" s="31"/>
      <c r="C1429" s="32"/>
      <c r="D1429" s="33"/>
      <c r="E1429" s="34"/>
      <c r="F1429" s="34"/>
      <c r="G1429" s="35"/>
      <c r="H1429" s="36"/>
      <c r="I1429" s="37"/>
    </row>
    <row r="1430" ht="22.5" customHeight="1">
      <c r="A1430" s="30"/>
      <c r="B1430" s="31"/>
      <c r="C1430" s="32"/>
      <c r="D1430" s="33"/>
      <c r="E1430" s="34"/>
      <c r="F1430" s="34"/>
      <c r="G1430" s="35"/>
      <c r="H1430" s="36"/>
      <c r="I1430" s="37"/>
    </row>
    <row r="1431" ht="22.5" customHeight="1">
      <c r="A1431" s="30"/>
      <c r="B1431" s="31"/>
      <c r="C1431" s="32"/>
      <c r="D1431" s="33"/>
      <c r="E1431" s="34"/>
      <c r="F1431" s="34"/>
      <c r="G1431" s="35"/>
      <c r="H1431" s="36"/>
      <c r="I1431" s="37"/>
    </row>
    <row r="1432" ht="22.5" customHeight="1">
      <c r="A1432" s="30"/>
      <c r="B1432" s="31"/>
      <c r="C1432" s="32"/>
      <c r="D1432" s="33"/>
      <c r="E1432" s="34"/>
      <c r="F1432" s="34"/>
      <c r="G1432" s="35"/>
      <c r="H1432" s="36"/>
      <c r="I1432" s="37"/>
    </row>
    <row r="1433" ht="22.5" customHeight="1">
      <c r="A1433" s="30"/>
      <c r="B1433" s="31"/>
      <c r="C1433" s="32"/>
      <c r="D1433" s="33"/>
      <c r="E1433" s="34"/>
      <c r="F1433" s="34"/>
      <c r="G1433" s="35"/>
      <c r="H1433" s="36"/>
      <c r="I1433" s="37"/>
    </row>
    <row r="1434" ht="22.5" customHeight="1">
      <c r="A1434" s="30"/>
      <c r="B1434" s="31"/>
      <c r="C1434" s="32"/>
      <c r="D1434" s="33"/>
      <c r="E1434" s="34"/>
      <c r="F1434" s="34"/>
      <c r="G1434" s="35"/>
      <c r="H1434" s="36"/>
      <c r="I1434" s="37"/>
    </row>
    <row r="1435" ht="22.5" customHeight="1">
      <c r="A1435" s="30"/>
      <c r="B1435" s="31"/>
      <c r="C1435" s="32"/>
      <c r="D1435" s="33"/>
      <c r="E1435" s="34"/>
      <c r="F1435" s="34"/>
      <c r="G1435" s="35"/>
      <c r="H1435" s="36"/>
      <c r="I1435" s="37"/>
    </row>
    <row r="1436" ht="22.5" customHeight="1">
      <c r="A1436" s="30"/>
      <c r="B1436" s="31"/>
      <c r="C1436" s="32"/>
      <c r="D1436" s="33"/>
      <c r="E1436" s="34"/>
      <c r="F1436" s="34"/>
      <c r="G1436" s="35"/>
      <c r="H1436" s="36"/>
      <c r="I1436" s="37"/>
    </row>
    <row r="1437" ht="22.5" customHeight="1">
      <c r="A1437" s="30"/>
      <c r="B1437" s="31"/>
      <c r="C1437" s="32"/>
      <c r="D1437" s="33"/>
      <c r="E1437" s="34"/>
      <c r="F1437" s="34"/>
      <c r="G1437" s="35"/>
      <c r="H1437" s="36"/>
      <c r="I1437" s="37"/>
    </row>
    <row r="1438" ht="22.5" customHeight="1">
      <c r="A1438" s="30"/>
      <c r="B1438" s="31"/>
      <c r="C1438" s="32"/>
      <c r="D1438" s="33"/>
      <c r="E1438" s="34"/>
      <c r="F1438" s="34"/>
      <c r="G1438" s="35"/>
      <c r="H1438" s="36"/>
      <c r="I1438" s="37"/>
    </row>
    <row r="1439" ht="22.5" customHeight="1">
      <c r="A1439" s="30"/>
      <c r="B1439" s="31"/>
      <c r="C1439" s="32"/>
      <c r="D1439" s="33"/>
      <c r="E1439" s="34"/>
      <c r="F1439" s="34"/>
      <c r="G1439" s="35"/>
      <c r="H1439" s="36"/>
      <c r="I1439" s="37"/>
    </row>
    <row r="1440" ht="22.5" customHeight="1">
      <c r="A1440" s="30"/>
      <c r="B1440" s="31"/>
      <c r="C1440" s="32"/>
      <c r="D1440" s="33"/>
      <c r="E1440" s="34"/>
      <c r="F1440" s="34"/>
      <c r="G1440" s="35"/>
      <c r="H1440" s="36"/>
      <c r="I1440" s="37"/>
    </row>
    <row r="1441" ht="22.5" customHeight="1">
      <c r="A1441" s="30"/>
      <c r="B1441" s="31"/>
      <c r="C1441" s="32"/>
      <c r="D1441" s="33"/>
      <c r="E1441" s="34"/>
      <c r="F1441" s="34"/>
      <c r="G1441" s="35"/>
      <c r="H1441" s="36"/>
      <c r="I1441" s="37"/>
    </row>
    <row r="1442" ht="22.5" customHeight="1">
      <c r="A1442" s="30"/>
      <c r="B1442" s="31"/>
      <c r="C1442" s="32"/>
      <c r="D1442" s="33"/>
      <c r="E1442" s="34"/>
      <c r="F1442" s="34"/>
      <c r="G1442" s="35"/>
      <c r="H1442" s="36"/>
      <c r="I1442" s="37"/>
    </row>
    <row r="1443" ht="22.5" customHeight="1">
      <c r="A1443" s="30"/>
      <c r="B1443" s="31"/>
      <c r="C1443" s="32"/>
      <c r="D1443" s="33"/>
      <c r="E1443" s="34"/>
      <c r="F1443" s="34"/>
      <c r="G1443" s="35"/>
      <c r="H1443" s="36"/>
      <c r="I1443" s="37"/>
    </row>
    <row r="1444" ht="22.5" customHeight="1">
      <c r="A1444" s="30"/>
      <c r="B1444" s="31"/>
      <c r="C1444" s="32"/>
      <c r="D1444" s="33"/>
      <c r="E1444" s="34"/>
      <c r="F1444" s="34"/>
      <c r="G1444" s="35"/>
      <c r="H1444" s="36"/>
      <c r="I1444" s="37"/>
    </row>
    <row r="1445" ht="22.5" customHeight="1">
      <c r="A1445" s="30"/>
      <c r="B1445" s="40"/>
      <c r="C1445" s="32"/>
      <c r="D1445" s="33"/>
      <c r="E1445" s="34"/>
      <c r="F1445" s="34"/>
      <c r="G1445" s="35"/>
      <c r="H1445" s="36"/>
      <c r="I1445" s="37"/>
    </row>
    <row r="1446" ht="22.5" customHeight="1">
      <c r="A1446" s="30"/>
      <c r="B1446" s="31"/>
      <c r="C1446" s="32"/>
      <c r="D1446" s="33"/>
      <c r="E1446" s="34"/>
      <c r="F1446" s="34"/>
      <c r="G1446" s="35"/>
      <c r="H1446" s="36"/>
      <c r="I1446" s="37"/>
    </row>
    <row r="1447" ht="22.5" customHeight="1">
      <c r="A1447" s="30"/>
      <c r="B1447" s="31"/>
      <c r="C1447" s="32"/>
      <c r="D1447" s="33"/>
      <c r="E1447" s="34"/>
      <c r="F1447" s="34"/>
      <c r="G1447" s="35"/>
      <c r="H1447" s="36"/>
      <c r="I1447" s="37"/>
    </row>
    <row r="1448" ht="22.5" customHeight="1">
      <c r="A1448" s="30"/>
      <c r="B1448" s="31"/>
      <c r="C1448" s="32"/>
      <c r="D1448" s="33"/>
      <c r="E1448" s="34"/>
      <c r="F1448" s="34"/>
      <c r="G1448" s="35"/>
      <c r="H1448" s="36"/>
      <c r="I1448" s="37"/>
    </row>
    <row r="1449" ht="22.5" customHeight="1">
      <c r="A1449" s="30"/>
      <c r="B1449" s="31"/>
      <c r="C1449" s="32"/>
      <c r="D1449" s="33"/>
      <c r="E1449" s="34"/>
      <c r="F1449" s="34"/>
      <c r="G1449" s="35"/>
      <c r="H1449" s="36"/>
      <c r="I1449" s="38"/>
    </row>
    <row r="1450" ht="22.5" customHeight="1">
      <c r="A1450" s="30"/>
      <c r="B1450" s="39"/>
      <c r="C1450" s="32"/>
      <c r="D1450" s="33"/>
      <c r="E1450" s="34"/>
      <c r="F1450" s="34"/>
      <c r="G1450" s="35"/>
      <c r="H1450" s="36"/>
      <c r="I1450" s="37"/>
    </row>
    <row r="1451" ht="22.5" customHeight="1">
      <c r="A1451" s="30"/>
      <c r="B1451" s="31"/>
      <c r="C1451" s="32"/>
      <c r="D1451" s="33"/>
      <c r="E1451" s="34"/>
      <c r="F1451" s="34"/>
      <c r="G1451" s="35"/>
      <c r="H1451" s="36"/>
      <c r="I1451" s="37"/>
    </row>
    <row r="1452" ht="22.5" customHeight="1">
      <c r="A1452" s="30"/>
      <c r="B1452" s="31"/>
      <c r="C1452" s="32"/>
      <c r="D1452" s="33"/>
      <c r="E1452" s="34"/>
      <c r="F1452" s="34"/>
      <c r="G1452" s="35"/>
      <c r="H1452" s="36"/>
      <c r="I1452" s="37"/>
    </row>
    <row r="1453" ht="22.5" customHeight="1">
      <c r="A1453" s="30"/>
      <c r="B1453" s="31"/>
      <c r="C1453" s="32"/>
      <c r="D1453" s="33"/>
      <c r="E1453" s="34"/>
      <c r="F1453" s="34"/>
      <c r="G1453" s="35"/>
      <c r="H1453" s="36"/>
      <c r="I1453" s="37"/>
    </row>
    <row r="1454" ht="22.5" customHeight="1">
      <c r="A1454" s="30"/>
      <c r="B1454" s="39"/>
      <c r="C1454" s="32"/>
      <c r="D1454" s="33"/>
      <c r="E1454" s="34"/>
      <c r="F1454" s="34"/>
      <c r="G1454" s="35"/>
      <c r="H1454" s="36"/>
      <c r="I1454" s="37"/>
    </row>
    <row r="1455" ht="22.5" customHeight="1">
      <c r="A1455" s="30"/>
      <c r="B1455" s="31"/>
      <c r="C1455" s="32"/>
      <c r="D1455" s="33"/>
      <c r="E1455" s="34"/>
      <c r="F1455" s="34"/>
      <c r="G1455" s="35"/>
      <c r="H1455" s="36"/>
      <c r="I1455" s="37"/>
    </row>
    <row r="1456" ht="22.5" customHeight="1">
      <c r="A1456" s="30"/>
      <c r="B1456" s="39"/>
      <c r="C1456" s="32"/>
      <c r="D1456" s="33"/>
      <c r="E1456" s="34"/>
      <c r="F1456" s="34"/>
      <c r="G1456" s="35"/>
      <c r="H1456" s="36"/>
      <c r="I1456" s="37"/>
    </row>
    <row r="1457" ht="22.5" customHeight="1">
      <c r="A1457" s="30"/>
      <c r="B1457" s="31"/>
      <c r="C1457" s="32"/>
      <c r="D1457" s="33"/>
      <c r="E1457" s="34"/>
      <c r="F1457" s="34"/>
      <c r="G1457" s="35"/>
      <c r="H1457" s="36"/>
      <c r="I1457" s="37"/>
    </row>
    <row r="1458" ht="22.5" customHeight="1">
      <c r="A1458" s="30"/>
      <c r="B1458" s="31"/>
      <c r="C1458" s="32"/>
      <c r="D1458" s="33"/>
      <c r="E1458" s="34"/>
      <c r="F1458" s="34"/>
      <c r="G1458" s="35"/>
      <c r="H1458" s="36"/>
      <c r="I1458" s="37"/>
    </row>
    <row r="1459" ht="22.5" customHeight="1">
      <c r="A1459" s="30"/>
      <c r="B1459" s="31"/>
      <c r="C1459" s="32"/>
      <c r="D1459" s="33"/>
      <c r="E1459" s="34"/>
      <c r="F1459" s="34"/>
      <c r="G1459" s="35"/>
      <c r="H1459" s="36"/>
      <c r="I1459" s="37"/>
    </row>
    <row r="1460" ht="22.5" customHeight="1">
      <c r="A1460" s="30"/>
      <c r="B1460" s="31"/>
      <c r="C1460" s="32"/>
      <c r="D1460" s="33"/>
      <c r="E1460" s="34"/>
      <c r="F1460" s="34"/>
      <c r="G1460" s="35"/>
      <c r="H1460" s="36"/>
      <c r="I1460" s="37"/>
    </row>
    <row r="1461" ht="22.5" customHeight="1">
      <c r="A1461" s="30"/>
      <c r="B1461" s="31"/>
      <c r="C1461" s="32"/>
      <c r="D1461" s="33"/>
      <c r="E1461" s="34"/>
      <c r="F1461" s="34"/>
      <c r="G1461" s="35"/>
      <c r="H1461" s="36"/>
      <c r="I1461" s="37"/>
    </row>
    <row r="1462" ht="22.5" customHeight="1">
      <c r="A1462" s="30"/>
      <c r="B1462" s="31"/>
      <c r="C1462" s="32"/>
      <c r="D1462" s="33"/>
      <c r="E1462" s="34"/>
      <c r="F1462" s="34"/>
      <c r="G1462" s="35"/>
      <c r="H1462" s="36"/>
      <c r="I1462" s="37"/>
    </row>
    <row r="1463" ht="22.5" customHeight="1">
      <c r="A1463" s="30"/>
      <c r="B1463" s="31"/>
      <c r="C1463" s="32"/>
      <c r="D1463" s="33"/>
      <c r="E1463" s="34"/>
      <c r="F1463" s="34"/>
      <c r="G1463" s="35"/>
      <c r="H1463" s="36"/>
      <c r="I1463" s="37"/>
    </row>
    <row r="1464" ht="22.5" customHeight="1">
      <c r="A1464" s="30"/>
      <c r="B1464" s="31"/>
      <c r="C1464" s="32"/>
      <c r="D1464" s="33"/>
      <c r="E1464" s="34"/>
      <c r="F1464" s="34"/>
      <c r="G1464" s="35"/>
      <c r="H1464" s="36"/>
      <c r="I1464" s="37"/>
    </row>
    <row r="1465" ht="22.5" customHeight="1">
      <c r="A1465" s="30"/>
      <c r="B1465" s="31"/>
      <c r="C1465" s="32"/>
      <c r="D1465" s="33"/>
      <c r="E1465" s="34"/>
      <c r="F1465" s="34"/>
      <c r="G1465" s="35"/>
      <c r="H1465" s="36"/>
      <c r="I1465" s="37"/>
    </row>
    <row r="1466" ht="22.5" customHeight="1">
      <c r="A1466" s="30"/>
      <c r="B1466" s="31"/>
      <c r="C1466" s="32"/>
      <c r="D1466" s="33"/>
      <c r="E1466" s="34"/>
      <c r="F1466" s="34"/>
      <c r="G1466" s="35"/>
      <c r="H1466" s="36"/>
      <c r="I1466" s="37"/>
    </row>
    <row r="1467" ht="22.5" customHeight="1">
      <c r="A1467" s="30"/>
      <c r="B1467" s="40"/>
      <c r="C1467" s="32"/>
      <c r="D1467" s="33"/>
      <c r="E1467" s="34"/>
      <c r="F1467" s="34"/>
      <c r="G1467" s="35"/>
      <c r="H1467" s="36"/>
      <c r="I1467" s="37"/>
    </row>
    <row r="1468" ht="22.5" customHeight="1">
      <c r="A1468" s="30"/>
      <c r="B1468" s="31"/>
      <c r="C1468" s="32"/>
      <c r="D1468" s="33"/>
      <c r="E1468" s="34"/>
      <c r="F1468" s="34"/>
      <c r="G1468" s="35"/>
      <c r="H1468" s="36"/>
      <c r="I1468" s="37"/>
    </row>
    <row r="1469" ht="22.5" customHeight="1">
      <c r="A1469" s="30"/>
      <c r="B1469" s="31"/>
      <c r="C1469" s="32"/>
      <c r="D1469" s="33"/>
      <c r="E1469" s="34"/>
      <c r="F1469" s="34"/>
      <c r="G1469" s="35"/>
      <c r="H1469" s="36"/>
      <c r="I1469" s="37"/>
    </row>
    <row r="1470" ht="22.5" customHeight="1">
      <c r="A1470" s="30"/>
      <c r="B1470" s="31"/>
      <c r="C1470" s="32"/>
      <c r="D1470" s="33"/>
      <c r="E1470" s="34"/>
      <c r="F1470" s="34"/>
      <c r="G1470" s="35"/>
      <c r="H1470" s="36"/>
      <c r="I1470" s="37"/>
    </row>
    <row r="1471" ht="22.5" customHeight="1">
      <c r="A1471" s="30"/>
      <c r="B1471" s="31"/>
      <c r="C1471" s="32"/>
      <c r="D1471" s="33"/>
      <c r="E1471" s="34"/>
      <c r="F1471" s="34"/>
      <c r="G1471" s="35"/>
      <c r="H1471" s="36"/>
      <c r="I1471" s="37"/>
    </row>
    <row r="1472" ht="22.5" customHeight="1">
      <c r="A1472" s="30"/>
      <c r="B1472" s="31"/>
      <c r="C1472" s="32"/>
      <c r="D1472" s="33"/>
      <c r="E1472" s="34"/>
      <c r="F1472" s="34"/>
      <c r="G1472" s="35"/>
      <c r="H1472" s="36"/>
      <c r="I1472" s="37"/>
    </row>
    <row r="1473" ht="22.5" customHeight="1">
      <c r="A1473" s="30"/>
      <c r="B1473" s="31"/>
      <c r="C1473" s="32"/>
      <c r="D1473" s="33"/>
      <c r="E1473" s="34"/>
      <c r="F1473" s="34"/>
      <c r="G1473" s="35"/>
      <c r="H1473" s="36"/>
      <c r="I1473" s="37"/>
    </row>
    <row r="1474" ht="22.5" customHeight="1">
      <c r="A1474" s="30"/>
      <c r="B1474" s="39"/>
      <c r="C1474" s="32"/>
      <c r="D1474" s="33"/>
      <c r="E1474" s="34"/>
      <c r="F1474" s="34"/>
      <c r="G1474" s="35"/>
      <c r="H1474" s="36"/>
      <c r="I1474" s="37"/>
    </row>
    <row r="1475" ht="22.5" customHeight="1">
      <c r="A1475" s="30"/>
      <c r="B1475" s="39"/>
      <c r="C1475" s="32"/>
      <c r="D1475" s="33"/>
      <c r="E1475" s="34"/>
      <c r="F1475" s="34"/>
      <c r="G1475" s="35"/>
      <c r="H1475" s="36"/>
      <c r="I1475" s="37"/>
    </row>
    <row r="1476" ht="22.5" customHeight="1">
      <c r="A1476" s="30"/>
      <c r="B1476" s="39"/>
      <c r="C1476" s="32"/>
      <c r="D1476" s="33"/>
      <c r="E1476" s="34"/>
      <c r="F1476" s="34"/>
      <c r="G1476" s="35"/>
      <c r="H1476" s="36"/>
      <c r="I1476" s="37"/>
    </row>
    <row r="1477" ht="22.5" customHeight="1">
      <c r="A1477" s="30"/>
      <c r="B1477" s="40"/>
      <c r="C1477" s="32"/>
      <c r="D1477" s="33"/>
      <c r="E1477" s="34"/>
      <c r="F1477" s="34"/>
      <c r="G1477" s="35"/>
      <c r="H1477" s="36"/>
      <c r="I1477" s="37"/>
    </row>
    <row r="1478" ht="22.5" customHeight="1">
      <c r="A1478" s="30"/>
      <c r="B1478" s="31"/>
      <c r="C1478" s="32"/>
      <c r="D1478" s="33"/>
      <c r="E1478" s="34"/>
      <c r="F1478" s="34"/>
      <c r="G1478" s="35"/>
      <c r="H1478" s="36"/>
      <c r="I1478" s="37"/>
    </row>
    <row r="1479" ht="22.5" customHeight="1">
      <c r="A1479" s="30"/>
      <c r="B1479" s="31"/>
      <c r="C1479" s="32"/>
      <c r="D1479" s="33"/>
      <c r="E1479" s="34"/>
      <c r="F1479" s="34"/>
      <c r="G1479" s="35"/>
      <c r="H1479" s="36"/>
      <c r="I1479" s="37"/>
    </row>
    <row r="1480" ht="22.5" customHeight="1">
      <c r="A1480" s="30"/>
      <c r="B1480" s="31"/>
      <c r="C1480" s="32"/>
      <c r="D1480" s="33"/>
      <c r="E1480" s="34"/>
      <c r="F1480" s="34"/>
      <c r="G1480" s="35"/>
      <c r="H1480" s="36"/>
      <c r="I1480" s="37"/>
    </row>
    <row r="1481" ht="22.5" customHeight="1">
      <c r="A1481" s="30"/>
      <c r="B1481" s="31"/>
      <c r="C1481" s="32"/>
      <c r="D1481" s="33"/>
      <c r="E1481" s="34"/>
      <c r="F1481" s="34"/>
      <c r="G1481" s="35"/>
      <c r="H1481" s="36"/>
      <c r="I1481" s="37"/>
    </row>
    <row r="1482" ht="22.5" customHeight="1">
      <c r="A1482" s="30"/>
      <c r="B1482" s="31"/>
      <c r="C1482" s="32"/>
      <c r="D1482" s="33"/>
      <c r="E1482" s="34"/>
      <c r="F1482" s="34"/>
      <c r="G1482" s="35"/>
      <c r="H1482" s="36"/>
      <c r="I1482" s="37"/>
    </row>
    <row r="1483" ht="22.5" customHeight="1">
      <c r="A1483" s="30"/>
      <c r="B1483" s="31"/>
      <c r="C1483" s="32"/>
      <c r="D1483" s="33"/>
      <c r="E1483" s="34"/>
      <c r="F1483" s="34"/>
      <c r="G1483" s="35"/>
      <c r="H1483" s="36"/>
      <c r="I1483" s="37"/>
    </row>
    <row r="1484" ht="22.5" customHeight="1">
      <c r="A1484" s="30"/>
      <c r="B1484" s="31"/>
      <c r="C1484" s="32"/>
      <c r="D1484" s="33"/>
      <c r="E1484" s="34"/>
      <c r="F1484" s="34"/>
      <c r="G1484" s="35"/>
      <c r="H1484" s="36"/>
      <c r="I1484" s="37"/>
    </row>
    <row r="1485" ht="22.5" customHeight="1">
      <c r="A1485" s="30"/>
      <c r="B1485" s="31"/>
      <c r="C1485" s="32"/>
      <c r="D1485" s="33"/>
      <c r="E1485" s="34"/>
      <c r="F1485" s="34"/>
      <c r="G1485" s="35"/>
      <c r="H1485" s="36"/>
      <c r="I1485" s="37"/>
    </row>
    <row r="1486" ht="22.5" customHeight="1">
      <c r="A1486" s="30"/>
      <c r="B1486" s="31"/>
      <c r="C1486" s="32"/>
      <c r="D1486" s="33"/>
      <c r="E1486" s="34"/>
      <c r="F1486" s="34"/>
      <c r="G1486" s="35"/>
      <c r="H1486" s="36"/>
      <c r="I1486" s="37"/>
    </row>
    <row r="1487" ht="22.5" customHeight="1">
      <c r="A1487" s="30"/>
      <c r="B1487" s="40"/>
      <c r="C1487" s="32"/>
      <c r="D1487" s="33"/>
      <c r="E1487" s="34"/>
      <c r="F1487" s="34"/>
      <c r="G1487" s="35"/>
      <c r="H1487" s="36"/>
      <c r="I1487" s="37"/>
    </row>
    <row r="1488" ht="22.5" customHeight="1">
      <c r="A1488" s="30"/>
      <c r="B1488" s="31"/>
      <c r="C1488" s="32"/>
      <c r="D1488" s="33"/>
      <c r="E1488" s="34"/>
      <c r="F1488" s="34"/>
      <c r="G1488" s="35"/>
      <c r="H1488" s="36"/>
      <c r="I1488" s="37"/>
    </row>
    <row r="1489" ht="22.5" customHeight="1">
      <c r="A1489" s="30"/>
      <c r="B1489" s="31"/>
      <c r="C1489" s="32"/>
      <c r="D1489" s="33"/>
      <c r="E1489" s="34"/>
      <c r="F1489" s="34"/>
      <c r="G1489" s="35"/>
      <c r="H1489" s="36"/>
      <c r="I1489" s="37"/>
    </row>
    <row r="1490" ht="22.5" customHeight="1">
      <c r="A1490" s="30"/>
      <c r="B1490" s="31"/>
      <c r="C1490" s="32"/>
      <c r="D1490" s="33"/>
      <c r="E1490" s="34"/>
      <c r="F1490" s="34"/>
      <c r="G1490" s="35"/>
      <c r="H1490" s="36"/>
      <c r="I1490" s="37"/>
    </row>
    <row r="1491" ht="22.5" customHeight="1">
      <c r="A1491" s="30"/>
      <c r="B1491" s="40"/>
      <c r="C1491" s="32"/>
      <c r="D1491" s="33"/>
      <c r="E1491" s="34"/>
      <c r="F1491" s="34"/>
      <c r="G1491" s="35"/>
      <c r="H1491" s="36"/>
      <c r="I1491" s="37"/>
    </row>
    <row r="1492" ht="22.5" customHeight="1">
      <c r="A1492" s="30"/>
      <c r="B1492" s="31"/>
      <c r="C1492" s="32"/>
      <c r="D1492" s="33"/>
      <c r="E1492" s="34"/>
      <c r="F1492" s="34"/>
      <c r="G1492" s="35"/>
      <c r="H1492" s="36"/>
      <c r="I1492" s="37"/>
    </row>
    <row r="1493" ht="22.5" customHeight="1">
      <c r="A1493" s="30"/>
      <c r="B1493" s="31"/>
      <c r="C1493" s="32"/>
      <c r="D1493" s="33"/>
      <c r="E1493" s="34"/>
      <c r="F1493" s="34"/>
      <c r="G1493" s="35"/>
      <c r="H1493" s="36"/>
      <c r="I1493" s="37"/>
    </row>
    <row r="1494" ht="22.5" customHeight="1">
      <c r="A1494" s="30"/>
      <c r="B1494" s="31"/>
      <c r="C1494" s="32"/>
      <c r="D1494" s="33"/>
      <c r="E1494" s="34"/>
      <c r="F1494" s="34"/>
      <c r="G1494" s="35"/>
      <c r="H1494" s="36"/>
      <c r="I1494" s="37"/>
    </row>
    <row r="1495" ht="22.5" customHeight="1">
      <c r="A1495" s="30"/>
      <c r="B1495" s="31"/>
      <c r="C1495" s="32"/>
      <c r="D1495" s="33"/>
      <c r="E1495" s="34"/>
      <c r="F1495" s="34"/>
      <c r="G1495" s="35"/>
      <c r="H1495" s="36"/>
      <c r="I1495" s="37"/>
    </row>
    <row r="1496" ht="22.5" customHeight="1">
      <c r="A1496" s="30"/>
      <c r="B1496" s="31"/>
      <c r="C1496" s="32"/>
      <c r="D1496" s="33"/>
      <c r="E1496" s="34"/>
      <c r="F1496" s="34"/>
      <c r="G1496" s="35"/>
      <c r="H1496" s="36"/>
      <c r="I1496" s="37"/>
    </row>
    <row r="1497" ht="22.5" customHeight="1">
      <c r="A1497" s="30"/>
      <c r="B1497" s="31"/>
      <c r="C1497" s="32"/>
      <c r="D1497" s="33"/>
      <c r="E1497" s="34"/>
      <c r="F1497" s="34"/>
      <c r="G1497" s="35"/>
      <c r="H1497" s="36"/>
      <c r="I1497" s="37"/>
    </row>
    <row r="1498" ht="22.5" customHeight="1">
      <c r="A1498" s="30"/>
      <c r="B1498" s="31"/>
      <c r="C1498" s="32"/>
      <c r="D1498" s="33"/>
      <c r="E1498" s="34"/>
      <c r="F1498" s="34"/>
      <c r="G1498" s="35"/>
      <c r="H1498" s="36"/>
      <c r="I1498" s="37"/>
    </row>
    <row r="1499" ht="22.5" customHeight="1">
      <c r="A1499" s="30"/>
      <c r="B1499" s="31"/>
      <c r="C1499" s="32"/>
      <c r="D1499" s="33"/>
      <c r="E1499" s="34"/>
      <c r="F1499" s="34"/>
      <c r="G1499" s="35"/>
      <c r="H1499" s="36"/>
      <c r="I1499" s="37"/>
    </row>
    <row r="1500" ht="22.5" customHeight="1">
      <c r="A1500" s="30"/>
      <c r="B1500" s="31"/>
      <c r="C1500" s="32"/>
      <c r="D1500" s="33"/>
      <c r="E1500" s="34"/>
      <c r="F1500" s="34"/>
      <c r="G1500" s="35"/>
      <c r="H1500" s="36"/>
      <c r="I1500" s="37"/>
    </row>
    <row r="1501" ht="22.5" customHeight="1">
      <c r="A1501" s="30"/>
      <c r="B1501" s="31"/>
      <c r="C1501" s="32"/>
      <c r="D1501" s="33"/>
      <c r="E1501" s="34"/>
      <c r="F1501" s="34"/>
      <c r="G1501" s="35"/>
      <c r="H1501" s="36"/>
      <c r="I1501" s="37"/>
    </row>
    <row r="1502" ht="22.5" customHeight="1">
      <c r="A1502" s="30"/>
      <c r="B1502" s="31"/>
      <c r="C1502" s="32"/>
      <c r="D1502" s="33"/>
      <c r="E1502" s="34"/>
      <c r="F1502" s="34"/>
      <c r="G1502" s="35"/>
      <c r="H1502" s="36"/>
      <c r="I1502" s="37"/>
    </row>
    <row r="1503" ht="22.5" customHeight="1">
      <c r="A1503" s="30"/>
      <c r="B1503" s="31"/>
      <c r="C1503" s="32"/>
      <c r="D1503" s="33"/>
      <c r="E1503" s="34"/>
      <c r="F1503" s="34"/>
      <c r="G1503" s="35"/>
      <c r="H1503" s="36"/>
      <c r="I1503" s="37"/>
    </row>
    <row r="1504" ht="22.5" customHeight="1">
      <c r="A1504" s="30"/>
      <c r="B1504" s="31"/>
      <c r="C1504" s="32"/>
      <c r="D1504" s="33"/>
      <c r="E1504" s="34"/>
      <c r="F1504" s="34"/>
      <c r="G1504" s="35"/>
      <c r="H1504" s="36"/>
      <c r="I1504" s="37"/>
    </row>
    <row r="1505" ht="22.5" customHeight="1">
      <c r="A1505" s="30"/>
      <c r="B1505" s="31"/>
      <c r="C1505" s="32"/>
      <c r="D1505" s="33"/>
      <c r="E1505" s="34"/>
      <c r="F1505" s="34"/>
      <c r="G1505" s="35"/>
      <c r="H1505" s="36"/>
      <c r="I1505" s="37"/>
    </row>
    <row r="1506" ht="22.5" customHeight="1">
      <c r="A1506" s="30"/>
      <c r="B1506" s="40"/>
      <c r="C1506" s="32"/>
      <c r="D1506" s="33"/>
      <c r="E1506" s="34"/>
      <c r="F1506" s="34"/>
      <c r="G1506" s="35"/>
      <c r="H1506" s="36"/>
      <c r="I1506" s="37"/>
    </row>
    <row r="1507" ht="22.5" customHeight="1">
      <c r="A1507" s="30"/>
      <c r="B1507" s="31"/>
      <c r="C1507" s="32"/>
      <c r="D1507" s="33"/>
      <c r="E1507" s="34"/>
      <c r="F1507" s="34"/>
      <c r="G1507" s="35"/>
      <c r="H1507" s="36"/>
      <c r="I1507" s="37"/>
    </row>
    <row r="1508" ht="22.5" customHeight="1">
      <c r="A1508" s="30"/>
      <c r="B1508" s="40"/>
      <c r="C1508" s="32"/>
      <c r="D1508" s="33"/>
      <c r="E1508" s="34"/>
      <c r="F1508" s="34"/>
      <c r="G1508" s="35"/>
      <c r="H1508" s="36"/>
      <c r="I1508" s="37"/>
    </row>
    <row r="1509" ht="22.5" customHeight="1">
      <c r="A1509" s="30"/>
      <c r="B1509" s="31"/>
      <c r="C1509" s="32"/>
      <c r="D1509" s="33"/>
      <c r="E1509" s="34"/>
      <c r="F1509" s="34"/>
      <c r="G1509" s="35"/>
      <c r="H1509" s="36"/>
      <c r="I1509" s="37"/>
    </row>
    <row r="1510" ht="22.5" customHeight="1">
      <c r="A1510" s="30"/>
      <c r="B1510" s="31"/>
      <c r="C1510" s="32"/>
      <c r="D1510" s="33"/>
      <c r="E1510" s="34"/>
      <c r="F1510" s="34"/>
      <c r="G1510" s="35"/>
      <c r="H1510" s="36"/>
      <c r="I1510" s="37"/>
    </row>
    <row r="1511" ht="22.5" customHeight="1">
      <c r="A1511" s="30"/>
      <c r="B1511" s="31"/>
      <c r="C1511" s="32"/>
      <c r="D1511" s="33"/>
      <c r="E1511" s="34"/>
      <c r="F1511" s="34"/>
      <c r="G1511" s="35"/>
      <c r="H1511" s="36"/>
      <c r="I1511" s="37"/>
    </row>
    <row r="1512" ht="22.5" customHeight="1">
      <c r="A1512" s="30"/>
      <c r="B1512" s="31"/>
      <c r="C1512" s="32"/>
      <c r="D1512" s="33"/>
      <c r="E1512" s="34"/>
      <c r="F1512" s="34"/>
      <c r="G1512" s="35"/>
      <c r="H1512" s="36"/>
      <c r="I1512" s="37"/>
    </row>
    <row r="1513" ht="22.5" customHeight="1">
      <c r="A1513" s="30"/>
      <c r="B1513" s="40"/>
      <c r="C1513" s="32"/>
      <c r="D1513" s="33"/>
      <c r="E1513" s="34"/>
      <c r="F1513" s="34"/>
      <c r="G1513" s="35"/>
      <c r="H1513" s="36"/>
      <c r="I1513" s="37"/>
    </row>
    <row r="1514" ht="22.5" customHeight="1">
      <c r="A1514" s="30"/>
      <c r="B1514" s="31"/>
      <c r="C1514" s="32"/>
      <c r="D1514" s="33"/>
      <c r="E1514" s="34"/>
      <c r="F1514" s="34"/>
      <c r="G1514" s="35"/>
      <c r="H1514" s="36"/>
      <c r="I1514" s="37"/>
    </row>
    <row r="1515" ht="22.5" customHeight="1">
      <c r="A1515" s="30"/>
      <c r="B1515" s="31"/>
      <c r="C1515" s="32"/>
      <c r="D1515" s="33"/>
      <c r="E1515" s="34"/>
      <c r="F1515" s="34"/>
      <c r="G1515" s="35"/>
      <c r="H1515" s="36"/>
      <c r="I1515" s="37"/>
    </row>
    <row r="1516" ht="22.5" customHeight="1">
      <c r="A1516" s="30"/>
      <c r="B1516" s="31"/>
      <c r="C1516" s="32"/>
      <c r="D1516" s="33"/>
      <c r="E1516" s="34"/>
      <c r="F1516" s="34"/>
      <c r="G1516" s="35"/>
      <c r="H1516" s="36"/>
      <c r="I1516" s="37"/>
    </row>
    <row r="1517" ht="22.5" customHeight="1">
      <c r="A1517" s="30"/>
      <c r="B1517" s="31"/>
      <c r="C1517" s="32"/>
      <c r="D1517" s="33"/>
      <c r="E1517" s="34"/>
      <c r="F1517" s="34"/>
      <c r="G1517" s="35"/>
      <c r="H1517" s="36"/>
      <c r="I1517" s="37"/>
    </row>
    <row r="1518" ht="22.5" customHeight="1">
      <c r="A1518" s="30"/>
      <c r="B1518" s="31"/>
      <c r="C1518" s="32"/>
      <c r="D1518" s="33"/>
      <c r="E1518" s="34"/>
      <c r="F1518" s="34"/>
      <c r="G1518" s="35"/>
      <c r="H1518" s="36"/>
      <c r="I1518" s="37"/>
    </row>
    <row r="1519" ht="22.5" customHeight="1">
      <c r="A1519" s="30"/>
      <c r="B1519" s="31"/>
      <c r="C1519" s="32"/>
      <c r="D1519" s="33"/>
      <c r="E1519" s="34"/>
      <c r="F1519" s="34"/>
      <c r="G1519" s="35"/>
      <c r="H1519" s="36"/>
      <c r="I1519" s="37"/>
    </row>
    <row r="1520" ht="22.5" customHeight="1">
      <c r="A1520" s="30"/>
      <c r="B1520" s="31"/>
      <c r="C1520" s="32"/>
      <c r="D1520" s="33"/>
      <c r="E1520" s="34"/>
      <c r="F1520" s="34"/>
      <c r="G1520" s="35"/>
      <c r="H1520" s="36"/>
      <c r="I1520" s="37"/>
    </row>
    <row r="1521" ht="22.5" customHeight="1">
      <c r="A1521" s="30"/>
      <c r="B1521" s="31"/>
      <c r="C1521" s="32"/>
      <c r="D1521" s="33"/>
      <c r="E1521" s="34"/>
      <c r="F1521" s="34"/>
      <c r="G1521" s="35"/>
      <c r="H1521" s="36"/>
      <c r="I1521" s="37"/>
    </row>
    <row r="1522" ht="22.5" customHeight="1">
      <c r="A1522" s="30"/>
      <c r="B1522" s="31"/>
      <c r="C1522" s="32"/>
      <c r="D1522" s="33"/>
      <c r="E1522" s="34"/>
      <c r="F1522" s="34"/>
      <c r="G1522" s="35"/>
      <c r="H1522" s="36"/>
      <c r="I1522" s="37"/>
    </row>
    <row r="1523" ht="22.5" customHeight="1">
      <c r="A1523" s="30"/>
      <c r="B1523" s="31"/>
      <c r="C1523" s="32"/>
      <c r="D1523" s="33"/>
      <c r="E1523" s="34"/>
      <c r="F1523" s="34"/>
      <c r="G1523" s="35"/>
      <c r="H1523" s="36"/>
      <c r="I1523" s="37"/>
    </row>
    <row r="1524" ht="22.5" customHeight="1">
      <c r="A1524" s="30"/>
      <c r="B1524" s="31"/>
      <c r="C1524" s="32"/>
      <c r="D1524" s="33"/>
      <c r="E1524" s="34"/>
      <c r="F1524" s="34"/>
      <c r="G1524" s="35"/>
      <c r="H1524" s="36"/>
      <c r="I1524" s="37"/>
    </row>
    <row r="1525" ht="22.5" customHeight="1">
      <c r="A1525" s="30"/>
      <c r="B1525" s="31"/>
      <c r="C1525" s="32"/>
      <c r="D1525" s="33"/>
      <c r="E1525" s="34"/>
      <c r="F1525" s="34"/>
      <c r="G1525" s="35"/>
      <c r="H1525" s="36"/>
      <c r="I1525" s="37"/>
    </row>
    <row r="1526" ht="22.5" customHeight="1">
      <c r="A1526" s="30"/>
      <c r="B1526" s="31"/>
      <c r="C1526" s="32"/>
      <c r="D1526" s="33"/>
      <c r="E1526" s="34"/>
      <c r="F1526" s="34"/>
      <c r="G1526" s="35"/>
      <c r="H1526" s="36"/>
      <c r="I1526" s="37"/>
    </row>
    <row r="1527" ht="22.5" customHeight="1">
      <c r="A1527" s="30"/>
      <c r="B1527" s="31"/>
      <c r="C1527" s="32"/>
      <c r="D1527" s="33"/>
      <c r="E1527" s="34"/>
      <c r="F1527" s="34"/>
      <c r="G1527" s="35"/>
      <c r="H1527" s="36"/>
      <c r="I1527" s="37"/>
    </row>
    <row r="1528" ht="22.5" customHeight="1">
      <c r="A1528" s="30"/>
      <c r="B1528" s="31"/>
      <c r="C1528" s="32"/>
      <c r="D1528" s="33"/>
      <c r="E1528" s="34"/>
      <c r="F1528" s="34"/>
      <c r="G1528" s="35"/>
      <c r="H1528" s="36"/>
      <c r="I1528" s="37"/>
    </row>
    <row r="1529" ht="22.5" customHeight="1">
      <c r="A1529" s="30"/>
      <c r="B1529" s="31"/>
      <c r="C1529" s="32"/>
      <c r="D1529" s="33"/>
      <c r="E1529" s="34"/>
      <c r="F1529" s="34"/>
      <c r="G1529" s="35"/>
      <c r="H1529" s="36"/>
      <c r="I1529" s="37"/>
    </row>
    <row r="1530" ht="22.5" customHeight="1">
      <c r="A1530" s="30"/>
      <c r="B1530" s="31"/>
      <c r="C1530" s="32"/>
      <c r="D1530" s="33"/>
      <c r="E1530" s="34"/>
      <c r="F1530" s="34"/>
      <c r="G1530" s="35"/>
      <c r="H1530" s="36"/>
      <c r="I1530" s="37"/>
    </row>
    <row r="1531" ht="22.5" customHeight="1">
      <c r="A1531" s="30"/>
      <c r="B1531" s="31"/>
      <c r="C1531" s="32"/>
      <c r="D1531" s="33"/>
      <c r="E1531" s="34"/>
      <c r="F1531" s="34"/>
      <c r="G1531" s="35"/>
      <c r="H1531" s="36"/>
      <c r="I1531" s="37"/>
    </row>
    <row r="1532" ht="22.5" customHeight="1">
      <c r="A1532" s="30"/>
      <c r="B1532" s="31"/>
      <c r="C1532" s="32"/>
      <c r="D1532" s="33"/>
      <c r="E1532" s="34"/>
      <c r="F1532" s="34"/>
      <c r="G1532" s="35"/>
      <c r="H1532" s="36"/>
      <c r="I1532" s="37"/>
    </row>
    <row r="1533" ht="22.5" customHeight="1">
      <c r="A1533" s="30"/>
      <c r="B1533" s="31"/>
      <c r="C1533" s="32"/>
      <c r="D1533" s="33"/>
      <c r="E1533" s="34"/>
      <c r="F1533" s="34"/>
      <c r="G1533" s="35"/>
      <c r="H1533" s="36"/>
      <c r="I1533" s="37"/>
    </row>
    <row r="1534" ht="22.5" customHeight="1">
      <c r="A1534" s="30"/>
      <c r="B1534" s="31"/>
      <c r="C1534" s="32"/>
      <c r="D1534" s="33"/>
      <c r="E1534" s="34"/>
      <c r="F1534" s="34"/>
      <c r="G1534" s="35"/>
      <c r="H1534" s="36"/>
      <c r="I1534" s="37"/>
    </row>
    <row r="1535" ht="22.5" customHeight="1">
      <c r="A1535" s="30"/>
      <c r="B1535" s="40"/>
      <c r="C1535" s="32"/>
      <c r="D1535" s="33"/>
      <c r="E1535" s="34"/>
      <c r="F1535" s="34"/>
      <c r="G1535" s="35"/>
      <c r="H1535" s="36"/>
      <c r="I1535" s="37"/>
    </row>
    <row r="1536" ht="22.5" customHeight="1">
      <c r="A1536" s="30"/>
      <c r="B1536" s="31"/>
      <c r="C1536" s="32"/>
      <c r="D1536" s="33"/>
      <c r="E1536" s="34"/>
      <c r="F1536" s="34"/>
      <c r="G1536" s="35"/>
      <c r="H1536" s="36"/>
      <c r="I1536" s="37"/>
    </row>
    <row r="1537" ht="22.5" customHeight="1">
      <c r="A1537" s="30"/>
      <c r="B1537" s="31"/>
      <c r="C1537" s="32"/>
      <c r="D1537" s="33"/>
      <c r="E1537" s="34"/>
      <c r="F1537" s="34"/>
      <c r="G1537" s="35"/>
      <c r="H1537" s="36"/>
      <c r="I1537" s="37"/>
    </row>
    <row r="1538" ht="22.5" customHeight="1">
      <c r="A1538" s="30"/>
      <c r="B1538" s="31"/>
      <c r="C1538" s="32"/>
      <c r="D1538" s="33"/>
      <c r="E1538" s="34"/>
      <c r="F1538" s="34"/>
      <c r="G1538" s="35"/>
      <c r="H1538" s="36"/>
      <c r="I1538" s="37"/>
    </row>
    <row r="1539" ht="22.5" customHeight="1">
      <c r="A1539" s="30"/>
      <c r="B1539" s="31"/>
      <c r="C1539" s="32"/>
      <c r="D1539" s="33"/>
      <c r="E1539" s="34"/>
      <c r="F1539" s="34"/>
      <c r="G1539" s="35"/>
      <c r="H1539" s="36"/>
      <c r="I1539" s="38"/>
    </row>
    <row r="1540" ht="22.5" customHeight="1">
      <c r="A1540" s="30"/>
      <c r="B1540" s="39"/>
      <c r="C1540" s="32"/>
      <c r="D1540" s="33"/>
      <c r="E1540" s="34"/>
      <c r="F1540" s="34"/>
      <c r="G1540" s="35"/>
      <c r="H1540" s="36"/>
      <c r="I1540" s="37"/>
    </row>
    <row r="1541" ht="22.5" customHeight="1">
      <c r="A1541" s="30"/>
      <c r="B1541" s="31"/>
      <c r="C1541" s="32"/>
      <c r="D1541" s="33"/>
      <c r="E1541" s="34"/>
      <c r="F1541" s="34"/>
      <c r="G1541" s="35"/>
      <c r="H1541" s="36"/>
      <c r="I1541" s="37"/>
    </row>
    <row r="1542" ht="22.5" customHeight="1">
      <c r="A1542" s="30"/>
      <c r="B1542" s="31"/>
      <c r="C1542" s="32"/>
      <c r="D1542" s="33"/>
      <c r="E1542" s="34"/>
      <c r="F1542" s="34"/>
      <c r="G1542" s="35"/>
      <c r="H1542" s="36"/>
      <c r="I1542" s="37"/>
    </row>
    <row r="1543" ht="22.5" customHeight="1">
      <c r="A1543" s="30"/>
      <c r="B1543" s="31"/>
      <c r="C1543" s="32"/>
      <c r="D1543" s="33"/>
      <c r="E1543" s="34"/>
      <c r="F1543" s="34"/>
      <c r="G1543" s="35"/>
      <c r="H1543" s="36"/>
      <c r="I1543" s="37"/>
    </row>
    <row r="1544" ht="22.5" customHeight="1">
      <c r="A1544" s="30"/>
      <c r="B1544" s="39"/>
      <c r="C1544" s="32"/>
      <c r="D1544" s="33"/>
      <c r="E1544" s="34"/>
      <c r="F1544" s="34"/>
      <c r="G1544" s="35"/>
      <c r="H1544" s="36"/>
      <c r="I1544" s="37"/>
    </row>
    <row r="1545" ht="22.5" customHeight="1">
      <c r="A1545" s="30"/>
      <c r="B1545" s="31"/>
      <c r="C1545" s="32"/>
      <c r="D1545" s="33"/>
      <c r="E1545" s="34"/>
      <c r="F1545" s="34"/>
      <c r="G1545" s="35"/>
      <c r="H1545" s="36"/>
      <c r="I1545" s="37"/>
    </row>
    <row r="1546" ht="22.5" customHeight="1">
      <c r="A1546" s="30"/>
      <c r="B1546" s="39"/>
      <c r="C1546" s="32"/>
      <c r="D1546" s="33"/>
      <c r="E1546" s="34"/>
      <c r="F1546" s="34"/>
      <c r="G1546" s="35"/>
      <c r="H1546" s="36"/>
      <c r="I1546" s="37"/>
    </row>
    <row r="1547" ht="22.5" customHeight="1">
      <c r="A1547" s="30"/>
      <c r="B1547" s="31"/>
      <c r="C1547" s="32"/>
      <c r="D1547" s="33"/>
      <c r="E1547" s="34"/>
      <c r="F1547" s="34"/>
      <c r="G1547" s="35"/>
      <c r="H1547" s="36"/>
      <c r="I1547" s="37"/>
    </row>
    <row r="1548" ht="22.5" customHeight="1">
      <c r="A1548" s="30"/>
      <c r="B1548" s="31"/>
      <c r="C1548" s="32"/>
      <c r="D1548" s="33"/>
      <c r="E1548" s="34"/>
      <c r="F1548" s="34"/>
      <c r="G1548" s="35"/>
      <c r="H1548" s="36"/>
      <c r="I1548" s="37"/>
    </row>
    <row r="1549" ht="22.5" customHeight="1">
      <c r="A1549" s="30"/>
      <c r="B1549" s="31"/>
      <c r="C1549" s="32"/>
      <c r="D1549" s="33"/>
      <c r="E1549" s="34"/>
      <c r="F1549" s="34"/>
      <c r="G1549" s="35"/>
      <c r="H1549" s="36"/>
      <c r="I1549" s="37"/>
    </row>
    <row r="1550" ht="22.5" customHeight="1">
      <c r="A1550" s="30"/>
      <c r="B1550" s="31"/>
      <c r="C1550" s="32"/>
      <c r="D1550" s="33"/>
      <c r="E1550" s="34"/>
      <c r="F1550" s="34"/>
      <c r="G1550" s="35"/>
      <c r="H1550" s="36"/>
      <c r="I1550" s="37"/>
    </row>
    <row r="1551" ht="22.5" customHeight="1">
      <c r="A1551" s="30"/>
      <c r="B1551" s="31"/>
      <c r="C1551" s="32"/>
      <c r="D1551" s="33"/>
      <c r="E1551" s="34"/>
      <c r="F1551" s="34"/>
      <c r="G1551" s="35"/>
      <c r="H1551" s="36"/>
      <c r="I1551" s="37"/>
    </row>
    <row r="1552" ht="22.5" customHeight="1">
      <c r="A1552" s="30"/>
      <c r="B1552" s="31"/>
      <c r="C1552" s="32"/>
      <c r="D1552" s="33"/>
      <c r="E1552" s="34"/>
      <c r="F1552" s="34"/>
      <c r="G1552" s="35"/>
      <c r="H1552" s="36"/>
      <c r="I1552" s="37"/>
    </row>
    <row r="1553" ht="22.5" customHeight="1">
      <c r="A1553" s="30"/>
      <c r="B1553" s="31"/>
      <c r="C1553" s="32"/>
      <c r="D1553" s="33"/>
      <c r="E1553" s="34"/>
      <c r="F1553" s="34"/>
      <c r="G1553" s="35"/>
      <c r="H1553" s="36"/>
      <c r="I1553" s="37"/>
    </row>
    <row r="1554" ht="22.5" customHeight="1">
      <c r="A1554" s="30"/>
      <c r="B1554" s="31"/>
      <c r="C1554" s="32"/>
      <c r="D1554" s="33"/>
      <c r="E1554" s="34"/>
      <c r="F1554" s="34"/>
      <c r="G1554" s="35"/>
      <c r="H1554" s="36"/>
      <c r="I1554" s="37"/>
    </row>
    <row r="1555" ht="22.5" customHeight="1">
      <c r="A1555" s="30"/>
      <c r="B1555" s="31"/>
      <c r="C1555" s="32"/>
      <c r="D1555" s="33"/>
      <c r="E1555" s="34"/>
      <c r="F1555" s="34"/>
      <c r="G1555" s="35"/>
      <c r="H1555" s="36"/>
      <c r="I1555" s="37"/>
    </row>
    <row r="1556" ht="22.5" customHeight="1">
      <c r="A1556" s="30"/>
      <c r="B1556" s="31"/>
      <c r="C1556" s="32"/>
      <c r="D1556" s="33"/>
      <c r="E1556" s="34"/>
      <c r="F1556" s="34"/>
      <c r="G1556" s="35"/>
      <c r="H1556" s="36"/>
      <c r="I1556" s="37"/>
    </row>
    <row r="1557" ht="22.5" customHeight="1">
      <c r="A1557" s="30"/>
      <c r="B1557" s="40"/>
      <c r="C1557" s="32"/>
      <c r="D1557" s="33"/>
      <c r="E1557" s="34"/>
      <c r="F1557" s="34"/>
      <c r="G1557" s="35"/>
      <c r="H1557" s="36"/>
      <c r="I1557" s="37"/>
    </row>
    <row r="1558" ht="22.5" customHeight="1">
      <c r="A1558" s="30"/>
      <c r="B1558" s="31"/>
      <c r="C1558" s="32"/>
      <c r="D1558" s="33"/>
      <c r="E1558" s="34"/>
      <c r="F1558" s="34"/>
      <c r="G1558" s="35"/>
      <c r="H1558" s="36"/>
      <c r="I1558" s="37"/>
    </row>
    <row r="1559" ht="22.5" customHeight="1">
      <c r="A1559" s="30"/>
      <c r="B1559" s="31"/>
      <c r="C1559" s="32"/>
      <c r="D1559" s="33"/>
      <c r="E1559" s="34"/>
      <c r="F1559" s="34"/>
      <c r="G1559" s="35"/>
      <c r="H1559" s="36"/>
      <c r="I1559" s="37"/>
    </row>
    <row r="1560" ht="22.5" customHeight="1">
      <c r="A1560" s="30"/>
      <c r="B1560" s="31"/>
      <c r="C1560" s="32"/>
      <c r="D1560" s="33"/>
      <c r="E1560" s="34"/>
      <c r="F1560" s="34"/>
      <c r="G1560" s="35"/>
      <c r="H1560" s="36"/>
      <c r="I1560" s="37"/>
    </row>
    <row r="1561" ht="22.5" customHeight="1">
      <c r="A1561" s="30"/>
      <c r="B1561" s="31"/>
      <c r="C1561" s="32"/>
      <c r="D1561" s="33"/>
      <c r="E1561" s="34"/>
      <c r="F1561" s="34"/>
      <c r="G1561" s="35"/>
      <c r="H1561" s="36"/>
      <c r="I1561" s="37"/>
    </row>
    <row r="1562" ht="22.5" customHeight="1">
      <c r="A1562" s="30"/>
      <c r="B1562" s="31"/>
      <c r="C1562" s="32"/>
      <c r="D1562" s="33"/>
      <c r="E1562" s="34"/>
      <c r="F1562" s="34"/>
      <c r="G1562" s="35"/>
      <c r="H1562" s="36"/>
      <c r="I1562" s="37"/>
    </row>
    <row r="1563" ht="22.5" customHeight="1">
      <c r="A1563" s="30"/>
      <c r="B1563" s="31"/>
      <c r="C1563" s="32"/>
      <c r="D1563" s="33"/>
      <c r="E1563" s="34"/>
      <c r="F1563" s="34"/>
      <c r="G1563" s="35"/>
      <c r="H1563" s="36"/>
      <c r="I1563" s="37"/>
    </row>
    <row r="1564" ht="22.5" customHeight="1">
      <c r="A1564" s="30"/>
      <c r="B1564" s="39"/>
      <c r="C1564" s="32"/>
      <c r="D1564" s="33"/>
      <c r="E1564" s="34"/>
      <c r="F1564" s="34"/>
      <c r="G1564" s="35"/>
      <c r="H1564" s="36"/>
      <c r="I1564" s="37"/>
    </row>
    <row r="1565" ht="22.5" customHeight="1">
      <c r="A1565" s="30"/>
      <c r="B1565" s="39"/>
      <c r="C1565" s="32"/>
      <c r="D1565" s="33"/>
      <c r="E1565" s="34"/>
      <c r="F1565" s="34"/>
      <c r="G1565" s="35"/>
      <c r="H1565" s="36"/>
      <c r="I1565" s="37"/>
    </row>
    <row r="1566" ht="22.5" customHeight="1">
      <c r="A1566" s="30"/>
      <c r="B1566" s="39"/>
      <c r="C1566" s="32"/>
      <c r="D1566" s="33"/>
      <c r="E1566" s="34"/>
      <c r="F1566" s="34"/>
      <c r="G1566" s="35"/>
      <c r="H1566" s="36"/>
      <c r="I1566" s="37"/>
    </row>
    <row r="1567" ht="22.5" customHeight="1">
      <c r="A1567" s="30"/>
      <c r="B1567" s="40"/>
      <c r="C1567" s="32"/>
      <c r="D1567" s="33"/>
      <c r="E1567" s="34"/>
      <c r="F1567" s="34"/>
      <c r="G1567" s="35"/>
      <c r="H1567" s="36"/>
      <c r="I1567" s="37"/>
    </row>
    <row r="1568" ht="22.5" customHeight="1">
      <c r="A1568" s="30"/>
      <c r="B1568" s="31"/>
      <c r="C1568" s="32"/>
      <c r="D1568" s="33"/>
      <c r="E1568" s="34"/>
      <c r="F1568" s="34"/>
      <c r="G1568" s="35"/>
      <c r="H1568" s="36"/>
      <c r="I1568" s="37"/>
    </row>
    <row r="1569" ht="22.5" customHeight="1">
      <c r="A1569" s="30"/>
      <c r="B1569" s="31"/>
      <c r="C1569" s="32"/>
      <c r="D1569" s="33"/>
      <c r="E1569" s="34"/>
      <c r="F1569" s="34"/>
      <c r="G1569" s="35"/>
      <c r="H1569" s="36"/>
      <c r="I1569" s="37"/>
    </row>
    <row r="1570" ht="22.5" customHeight="1">
      <c r="A1570" s="30"/>
      <c r="B1570" s="31"/>
      <c r="C1570" s="32"/>
      <c r="D1570" s="33"/>
      <c r="E1570" s="34"/>
      <c r="F1570" s="34"/>
      <c r="G1570" s="35"/>
      <c r="H1570" s="36"/>
      <c r="I1570" s="37"/>
    </row>
    <row r="1571" ht="22.5" customHeight="1">
      <c r="A1571" s="30"/>
      <c r="B1571" s="31"/>
      <c r="C1571" s="32"/>
      <c r="D1571" s="33"/>
      <c r="E1571" s="34"/>
      <c r="F1571" s="34"/>
      <c r="G1571" s="35"/>
      <c r="H1571" s="36"/>
      <c r="I1571" s="37"/>
    </row>
    <row r="1572" ht="22.5" customHeight="1">
      <c r="A1572" s="30"/>
      <c r="B1572" s="31"/>
      <c r="C1572" s="32"/>
      <c r="D1572" s="33"/>
      <c r="E1572" s="34"/>
      <c r="F1572" s="34"/>
      <c r="G1572" s="35"/>
      <c r="H1572" s="36"/>
      <c r="I1572" s="37"/>
    </row>
    <row r="1573" ht="22.5" customHeight="1">
      <c r="A1573" s="30"/>
      <c r="B1573" s="31"/>
      <c r="C1573" s="32"/>
      <c r="D1573" s="33"/>
      <c r="E1573" s="34"/>
      <c r="F1573" s="34"/>
      <c r="G1573" s="35"/>
      <c r="H1573" s="36"/>
      <c r="I1573" s="37"/>
    </row>
    <row r="1574" ht="22.5" customHeight="1">
      <c r="A1574" s="30"/>
      <c r="B1574" s="31"/>
      <c r="C1574" s="32"/>
      <c r="D1574" s="33"/>
      <c r="E1574" s="34"/>
      <c r="F1574" s="34"/>
      <c r="G1574" s="35"/>
      <c r="H1574" s="36"/>
      <c r="I1574" s="37"/>
    </row>
    <row r="1575" ht="22.5" customHeight="1">
      <c r="A1575" s="30"/>
      <c r="B1575" s="31"/>
      <c r="C1575" s="32"/>
      <c r="D1575" s="33"/>
      <c r="E1575" s="34"/>
      <c r="F1575" s="34"/>
      <c r="G1575" s="35"/>
      <c r="H1575" s="36"/>
      <c r="I1575" s="37"/>
    </row>
    <row r="1576" ht="22.5" customHeight="1">
      <c r="A1576" s="30"/>
      <c r="B1576" s="31"/>
      <c r="C1576" s="32"/>
      <c r="D1576" s="33"/>
      <c r="E1576" s="34"/>
      <c r="F1576" s="34"/>
      <c r="G1576" s="35"/>
      <c r="H1576" s="36"/>
      <c r="I1576" s="37"/>
    </row>
    <row r="1577" ht="22.5" customHeight="1">
      <c r="A1577" s="30"/>
      <c r="B1577" s="40"/>
      <c r="C1577" s="32"/>
      <c r="D1577" s="33"/>
      <c r="E1577" s="34"/>
      <c r="F1577" s="34"/>
      <c r="G1577" s="35"/>
      <c r="H1577" s="36"/>
      <c r="I1577" s="37"/>
    </row>
    <row r="1578" ht="22.5" customHeight="1">
      <c r="A1578" s="30"/>
      <c r="B1578" s="31"/>
      <c r="C1578" s="32"/>
      <c r="D1578" s="33"/>
      <c r="E1578" s="34"/>
      <c r="F1578" s="34"/>
      <c r="G1578" s="35"/>
      <c r="H1578" s="36"/>
      <c r="I1578" s="37"/>
    </row>
    <row r="1579" ht="22.5" customHeight="1">
      <c r="A1579" s="30"/>
      <c r="B1579" s="31"/>
      <c r="C1579" s="32"/>
      <c r="D1579" s="33"/>
      <c r="E1579" s="34"/>
      <c r="F1579" s="34"/>
      <c r="G1579" s="35"/>
      <c r="H1579" s="36"/>
      <c r="I1579" s="37"/>
    </row>
    <row r="1580" ht="22.5" customHeight="1">
      <c r="A1580" s="30"/>
      <c r="B1580" s="31"/>
      <c r="C1580" s="32"/>
      <c r="D1580" s="33"/>
      <c r="E1580" s="34"/>
      <c r="F1580" s="34"/>
      <c r="G1580" s="35"/>
      <c r="H1580" s="36"/>
      <c r="I1580" s="37"/>
    </row>
    <row r="1581" ht="22.5" customHeight="1">
      <c r="A1581" s="30"/>
      <c r="B1581" s="40"/>
      <c r="C1581" s="32"/>
      <c r="D1581" s="33"/>
      <c r="E1581" s="34"/>
      <c r="F1581" s="34"/>
      <c r="G1581" s="35"/>
      <c r="H1581" s="36"/>
      <c r="I1581" s="37"/>
    </row>
    <row r="1582" ht="22.5" customHeight="1">
      <c r="A1582" s="30"/>
      <c r="B1582" s="31"/>
      <c r="C1582" s="32"/>
      <c r="D1582" s="33"/>
      <c r="E1582" s="34"/>
      <c r="F1582" s="34"/>
      <c r="G1582" s="35"/>
      <c r="H1582" s="36"/>
      <c r="I1582" s="37"/>
    </row>
    <row r="1583" ht="22.5" customHeight="1">
      <c r="A1583" s="30"/>
      <c r="B1583" s="31"/>
      <c r="C1583" s="32"/>
      <c r="D1583" s="33"/>
      <c r="E1583" s="34"/>
      <c r="F1583" s="34"/>
      <c r="G1583" s="35"/>
      <c r="H1583" s="36"/>
      <c r="I1583" s="37"/>
    </row>
    <row r="1584" ht="22.5" customHeight="1">
      <c r="A1584" s="30"/>
      <c r="B1584" s="31"/>
      <c r="C1584" s="32"/>
      <c r="D1584" s="33"/>
      <c r="E1584" s="34"/>
      <c r="F1584" s="34"/>
      <c r="G1584" s="35"/>
      <c r="H1584" s="36"/>
      <c r="I1584" s="37"/>
    </row>
    <row r="1585" ht="22.5" customHeight="1">
      <c r="A1585" s="30"/>
      <c r="B1585" s="31"/>
      <c r="C1585" s="32"/>
      <c r="D1585" s="33"/>
      <c r="E1585" s="34"/>
      <c r="F1585" s="34"/>
      <c r="G1585" s="35"/>
      <c r="H1585" s="36"/>
      <c r="I1585" s="37"/>
    </row>
    <row r="1586" ht="22.5" customHeight="1">
      <c r="A1586" s="30"/>
      <c r="B1586" s="31"/>
      <c r="C1586" s="32"/>
      <c r="D1586" s="33"/>
      <c r="E1586" s="34"/>
      <c r="F1586" s="34"/>
      <c r="G1586" s="35"/>
      <c r="H1586" s="36"/>
      <c r="I1586" s="37"/>
    </row>
    <row r="1587" ht="22.5" customHeight="1">
      <c r="A1587" s="30"/>
      <c r="B1587" s="31"/>
      <c r="C1587" s="32"/>
      <c r="D1587" s="33"/>
      <c r="E1587" s="34"/>
      <c r="F1587" s="34"/>
      <c r="G1587" s="35"/>
      <c r="H1587" s="36"/>
      <c r="I1587" s="37"/>
    </row>
    <row r="1588" ht="22.5" customHeight="1">
      <c r="A1588" s="30"/>
      <c r="B1588" s="31"/>
      <c r="C1588" s="32"/>
      <c r="D1588" s="33"/>
      <c r="E1588" s="34"/>
      <c r="F1588" s="34"/>
      <c r="G1588" s="35"/>
      <c r="H1588" s="36"/>
      <c r="I1588" s="37"/>
    </row>
    <row r="1589" ht="22.5" customHeight="1">
      <c r="A1589" s="30"/>
      <c r="B1589" s="31"/>
      <c r="C1589" s="32"/>
      <c r="D1589" s="33"/>
      <c r="E1589" s="34"/>
      <c r="F1589" s="34"/>
      <c r="G1589" s="35"/>
      <c r="H1589" s="36"/>
      <c r="I1589" s="37"/>
    </row>
    <row r="1590" ht="22.5" customHeight="1">
      <c r="A1590" s="30"/>
      <c r="B1590" s="31"/>
      <c r="C1590" s="32"/>
      <c r="D1590" s="33"/>
      <c r="E1590" s="34"/>
      <c r="F1590" s="34"/>
      <c r="G1590" s="35"/>
      <c r="H1590" s="36"/>
      <c r="I1590" s="37"/>
    </row>
    <row r="1591" ht="22.5" customHeight="1">
      <c r="A1591" s="30"/>
      <c r="B1591" s="31"/>
      <c r="C1591" s="32"/>
      <c r="D1591" s="33"/>
      <c r="E1591" s="34"/>
      <c r="F1591" s="34"/>
      <c r="G1591" s="35"/>
      <c r="H1591" s="36"/>
      <c r="I1591" s="37"/>
    </row>
    <row r="1592" ht="22.5" customHeight="1">
      <c r="A1592" s="30"/>
      <c r="B1592" s="31"/>
      <c r="C1592" s="32"/>
      <c r="D1592" s="33"/>
      <c r="E1592" s="34"/>
      <c r="F1592" s="34"/>
      <c r="G1592" s="35"/>
      <c r="H1592" s="36"/>
      <c r="I1592" s="37"/>
    </row>
    <row r="1593" ht="22.5" customHeight="1">
      <c r="A1593" s="30"/>
      <c r="B1593" s="31"/>
      <c r="C1593" s="32"/>
      <c r="D1593" s="33"/>
      <c r="E1593" s="34"/>
      <c r="F1593" s="34"/>
      <c r="G1593" s="35"/>
      <c r="H1593" s="36"/>
      <c r="I1593" s="37"/>
    </row>
    <row r="1594" ht="22.5" customHeight="1">
      <c r="A1594" s="30"/>
      <c r="B1594" s="31"/>
      <c r="C1594" s="32"/>
      <c r="D1594" s="33"/>
      <c r="E1594" s="34"/>
      <c r="F1594" s="34"/>
      <c r="G1594" s="35"/>
      <c r="H1594" s="36"/>
      <c r="I1594" s="37"/>
    </row>
    <row r="1595" ht="22.5" customHeight="1">
      <c r="A1595" s="30"/>
      <c r="B1595" s="31"/>
      <c r="C1595" s="32"/>
      <c r="D1595" s="33"/>
      <c r="E1595" s="34"/>
      <c r="F1595" s="34"/>
      <c r="G1595" s="35"/>
      <c r="H1595" s="36"/>
      <c r="I1595" s="37"/>
    </row>
    <row r="1596" ht="22.5" customHeight="1">
      <c r="A1596" s="30"/>
      <c r="B1596" s="40"/>
      <c r="C1596" s="32"/>
      <c r="D1596" s="33"/>
      <c r="E1596" s="34"/>
      <c r="F1596" s="34"/>
      <c r="G1596" s="35"/>
      <c r="H1596" s="36"/>
      <c r="I1596" s="37"/>
    </row>
    <row r="1597" ht="22.5" customHeight="1">
      <c r="A1597" s="30"/>
      <c r="B1597" s="31"/>
      <c r="C1597" s="32"/>
      <c r="D1597" s="33"/>
      <c r="E1597" s="34"/>
      <c r="F1597" s="34"/>
      <c r="G1597" s="35"/>
      <c r="H1597" s="36"/>
      <c r="I1597" s="37"/>
    </row>
    <row r="1598" ht="22.5" customHeight="1">
      <c r="A1598" s="30"/>
      <c r="B1598" s="40"/>
      <c r="C1598" s="32"/>
      <c r="D1598" s="33"/>
      <c r="E1598" s="34"/>
      <c r="F1598" s="34"/>
      <c r="G1598" s="35"/>
      <c r="H1598" s="36"/>
      <c r="I1598" s="37"/>
    </row>
    <row r="1599" ht="22.5" customHeight="1">
      <c r="A1599" s="30"/>
      <c r="B1599" s="31"/>
      <c r="C1599" s="32"/>
      <c r="D1599" s="33"/>
      <c r="E1599" s="34"/>
      <c r="F1599" s="34"/>
      <c r="G1599" s="35"/>
      <c r="H1599" s="36"/>
      <c r="I1599" s="37"/>
    </row>
    <row r="1600" ht="22.5" customHeight="1">
      <c r="A1600" s="30"/>
      <c r="B1600" s="31"/>
      <c r="C1600" s="32"/>
      <c r="D1600" s="33"/>
      <c r="E1600" s="34"/>
      <c r="F1600" s="34"/>
      <c r="G1600" s="35"/>
      <c r="H1600" s="36"/>
      <c r="I1600" s="37"/>
    </row>
    <row r="1601" ht="22.5" customHeight="1">
      <c r="A1601" s="30"/>
      <c r="B1601" s="31"/>
      <c r="C1601" s="32"/>
      <c r="D1601" s="33"/>
      <c r="E1601" s="34"/>
      <c r="F1601" s="34"/>
      <c r="G1601" s="35"/>
      <c r="H1601" s="36"/>
      <c r="I1601" s="37"/>
    </row>
    <row r="1602" ht="22.5" customHeight="1">
      <c r="A1602" s="30"/>
      <c r="B1602" s="31"/>
      <c r="C1602" s="32"/>
      <c r="D1602" s="33"/>
      <c r="E1602" s="34"/>
      <c r="F1602" s="34"/>
      <c r="G1602" s="35"/>
      <c r="H1602" s="36"/>
      <c r="I1602" s="37"/>
    </row>
    <row r="1603" ht="22.5" customHeight="1">
      <c r="A1603" s="30"/>
      <c r="B1603" s="40"/>
      <c r="C1603" s="32"/>
      <c r="D1603" s="33"/>
      <c r="E1603" s="34"/>
      <c r="F1603" s="34"/>
      <c r="G1603" s="35"/>
      <c r="H1603" s="36"/>
      <c r="I1603" s="37"/>
    </row>
    <row r="1604" ht="22.5" customHeight="1">
      <c r="A1604" s="30"/>
      <c r="B1604" s="31"/>
      <c r="C1604" s="32"/>
      <c r="D1604" s="33"/>
      <c r="E1604" s="34"/>
      <c r="F1604" s="34"/>
      <c r="G1604" s="35"/>
      <c r="H1604" s="36"/>
      <c r="I1604" s="37"/>
    </row>
    <row r="1605" ht="22.5" customHeight="1">
      <c r="A1605" s="30"/>
      <c r="B1605" s="31"/>
      <c r="C1605" s="32"/>
      <c r="D1605" s="33"/>
      <c r="E1605" s="34"/>
      <c r="F1605" s="34"/>
      <c r="G1605" s="35"/>
      <c r="H1605" s="36"/>
      <c r="I1605" s="37"/>
    </row>
    <row r="1606" ht="22.5" customHeight="1">
      <c r="A1606" s="30"/>
      <c r="B1606" s="31"/>
      <c r="C1606" s="32"/>
      <c r="D1606" s="33"/>
      <c r="E1606" s="34"/>
      <c r="F1606" s="34"/>
      <c r="G1606" s="35"/>
      <c r="H1606" s="36"/>
      <c r="I1606" s="37"/>
    </row>
    <row r="1607" ht="22.5" customHeight="1">
      <c r="A1607" s="30"/>
      <c r="B1607" s="31"/>
      <c r="C1607" s="32"/>
      <c r="D1607" s="33"/>
      <c r="E1607" s="34"/>
      <c r="F1607" s="34"/>
      <c r="G1607" s="35"/>
      <c r="H1607" s="36"/>
      <c r="I1607" s="37"/>
    </row>
    <row r="1608" ht="22.5" customHeight="1">
      <c r="A1608" s="30"/>
      <c r="B1608" s="31"/>
      <c r="C1608" s="32"/>
      <c r="D1608" s="33"/>
      <c r="E1608" s="34"/>
      <c r="F1608" s="34"/>
      <c r="G1608" s="35"/>
      <c r="H1608" s="36"/>
      <c r="I1608" s="37"/>
    </row>
    <row r="1609" ht="22.5" customHeight="1">
      <c r="A1609" s="30"/>
      <c r="B1609" s="31"/>
      <c r="C1609" s="32"/>
      <c r="D1609" s="33"/>
      <c r="E1609" s="34"/>
      <c r="F1609" s="34"/>
      <c r="G1609" s="35"/>
      <c r="H1609" s="36"/>
      <c r="I1609" s="37"/>
    </row>
    <row r="1610" ht="22.5" customHeight="1">
      <c r="A1610" s="30"/>
      <c r="B1610" s="31"/>
      <c r="C1610" s="32"/>
      <c r="D1610" s="33"/>
      <c r="E1610" s="34"/>
      <c r="F1610" s="34"/>
      <c r="G1610" s="35"/>
      <c r="H1610" s="36"/>
      <c r="I1610" s="37"/>
    </row>
    <row r="1611" ht="22.5" customHeight="1">
      <c r="A1611" s="30"/>
      <c r="B1611" s="31"/>
      <c r="C1611" s="32"/>
      <c r="D1611" s="33"/>
      <c r="E1611" s="34"/>
      <c r="F1611" s="34"/>
      <c r="G1611" s="35"/>
      <c r="H1611" s="36"/>
      <c r="I1611" s="37"/>
    </row>
    <row r="1612" ht="22.5" customHeight="1">
      <c r="A1612" s="30"/>
      <c r="B1612" s="31"/>
      <c r="C1612" s="32"/>
      <c r="D1612" s="33"/>
      <c r="E1612" s="34"/>
      <c r="F1612" s="34"/>
      <c r="G1612" s="35"/>
      <c r="H1612" s="36"/>
      <c r="I1612" s="37"/>
    </row>
    <row r="1613" ht="22.5" customHeight="1">
      <c r="A1613" s="30"/>
      <c r="B1613" s="31"/>
      <c r="C1613" s="32"/>
      <c r="D1613" s="33"/>
      <c r="E1613" s="34"/>
      <c r="F1613" s="34"/>
      <c r="G1613" s="35"/>
      <c r="H1613" s="36"/>
      <c r="I1613" s="37"/>
    </row>
    <row r="1614" ht="22.5" customHeight="1">
      <c r="A1614" s="30"/>
      <c r="B1614" s="31"/>
      <c r="C1614" s="32"/>
      <c r="D1614" s="33"/>
      <c r="E1614" s="34"/>
      <c r="F1614" s="34"/>
      <c r="G1614" s="35"/>
      <c r="H1614" s="36"/>
      <c r="I1614" s="37"/>
    </row>
    <row r="1615" ht="22.5" customHeight="1">
      <c r="A1615" s="30"/>
      <c r="B1615" s="31"/>
      <c r="C1615" s="32"/>
      <c r="D1615" s="33"/>
      <c r="E1615" s="34"/>
      <c r="F1615" s="34"/>
      <c r="G1615" s="35"/>
      <c r="H1615" s="36"/>
      <c r="I1615" s="37"/>
    </row>
    <row r="1616" ht="22.5" customHeight="1">
      <c r="A1616" s="30"/>
      <c r="B1616" s="31"/>
      <c r="C1616" s="32"/>
      <c r="D1616" s="33"/>
      <c r="E1616" s="34"/>
      <c r="F1616" s="34"/>
      <c r="G1616" s="35"/>
      <c r="H1616" s="36"/>
      <c r="I1616" s="37"/>
    </row>
    <row r="1617" ht="22.5" customHeight="1">
      <c r="A1617" s="30"/>
      <c r="B1617" s="31"/>
      <c r="C1617" s="32"/>
      <c r="D1617" s="33"/>
      <c r="E1617" s="34"/>
      <c r="F1617" s="34"/>
      <c r="G1617" s="35"/>
      <c r="H1617" s="36"/>
      <c r="I1617" s="37"/>
    </row>
    <row r="1618" ht="22.5" customHeight="1">
      <c r="A1618" s="30"/>
      <c r="B1618" s="31"/>
      <c r="C1618" s="32"/>
      <c r="D1618" s="33"/>
      <c r="E1618" s="34"/>
      <c r="F1618" s="34"/>
      <c r="G1618" s="35"/>
      <c r="H1618" s="36"/>
      <c r="I1618" s="37"/>
    </row>
    <row r="1619" ht="22.5" customHeight="1">
      <c r="A1619" s="30"/>
      <c r="B1619" s="31"/>
      <c r="C1619" s="32"/>
      <c r="D1619" s="33"/>
      <c r="E1619" s="34"/>
      <c r="F1619" s="34"/>
      <c r="G1619" s="35"/>
      <c r="H1619" s="36"/>
      <c r="I1619" s="37"/>
    </row>
    <row r="1620" ht="22.5" customHeight="1">
      <c r="A1620" s="30"/>
      <c r="B1620" s="31"/>
      <c r="C1620" s="32"/>
      <c r="D1620" s="33"/>
      <c r="E1620" s="34"/>
      <c r="F1620" s="34"/>
      <c r="G1620" s="35"/>
      <c r="H1620" s="36"/>
      <c r="I1620" s="37"/>
    </row>
    <row r="1621" ht="22.5" customHeight="1">
      <c r="A1621" s="30"/>
      <c r="B1621" s="31"/>
      <c r="C1621" s="32"/>
      <c r="D1621" s="33"/>
      <c r="E1621" s="34"/>
      <c r="F1621" s="34"/>
      <c r="G1621" s="35"/>
      <c r="H1621" s="36"/>
      <c r="I1621" s="37"/>
    </row>
    <row r="1622" ht="22.5" customHeight="1">
      <c r="A1622" s="30"/>
      <c r="B1622" s="31"/>
      <c r="C1622" s="32"/>
      <c r="D1622" s="33"/>
      <c r="E1622" s="34"/>
      <c r="F1622" s="34"/>
      <c r="G1622" s="35"/>
      <c r="H1622" s="36"/>
      <c r="I1622" s="37"/>
    </row>
    <row r="1623" ht="22.5" customHeight="1">
      <c r="A1623" s="30"/>
      <c r="B1623" s="31"/>
      <c r="C1623" s="32"/>
      <c r="D1623" s="33"/>
      <c r="E1623" s="34"/>
      <c r="F1623" s="34"/>
      <c r="G1623" s="35"/>
      <c r="H1623" s="36"/>
      <c r="I1623" s="37"/>
    </row>
    <row r="1624" ht="22.5" customHeight="1">
      <c r="A1624" s="30"/>
      <c r="B1624" s="31"/>
      <c r="C1624" s="32"/>
      <c r="D1624" s="33"/>
      <c r="E1624" s="34"/>
      <c r="F1624" s="34"/>
      <c r="G1624" s="35"/>
      <c r="H1624" s="36"/>
      <c r="I1624" s="37"/>
    </row>
    <row r="1625" ht="22.5" customHeight="1">
      <c r="A1625" s="30"/>
      <c r="B1625" s="31"/>
      <c r="C1625" s="30"/>
      <c r="D1625" s="33"/>
      <c r="E1625" s="34"/>
      <c r="F1625" s="34"/>
      <c r="G1625" s="36"/>
      <c r="H1625" s="36"/>
      <c r="I1625" s="37"/>
    </row>
    <row r="1626" ht="22.5" customHeight="1">
      <c r="A1626" s="30"/>
      <c r="B1626" s="31"/>
      <c r="C1626" s="30"/>
      <c r="D1626" s="33"/>
      <c r="E1626" s="34"/>
      <c r="F1626" s="34"/>
      <c r="G1626" s="36"/>
      <c r="H1626" s="36"/>
      <c r="I1626" s="37"/>
    </row>
    <row r="1627" ht="22.5" customHeight="1">
      <c r="A1627" s="30"/>
      <c r="B1627" s="31"/>
      <c r="C1627" s="30"/>
      <c r="D1627" s="33"/>
      <c r="E1627" s="34"/>
      <c r="F1627" s="34"/>
      <c r="G1627" s="36"/>
      <c r="H1627" s="36"/>
      <c r="I1627" s="37"/>
    </row>
    <row r="1628" ht="22.5" customHeight="1">
      <c r="A1628" s="30"/>
      <c r="B1628" s="31"/>
      <c r="C1628" s="30"/>
      <c r="D1628" s="33"/>
      <c r="E1628" s="34"/>
      <c r="F1628" s="34"/>
      <c r="G1628" s="36"/>
      <c r="H1628" s="36"/>
      <c r="I1628" s="37"/>
    </row>
    <row r="1629" ht="22.5" customHeight="1">
      <c r="A1629" s="30"/>
      <c r="B1629" s="31"/>
      <c r="C1629" s="30"/>
      <c r="D1629" s="33"/>
      <c r="E1629" s="34"/>
      <c r="F1629" s="34"/>
      <c r="G1629" s="36"/>
      <c r="H1629" s="36"/>
      <c r="I1629" s="37"/>
    </row>
    <row r="1630" ht="22.5" customHeight="1">
      <c r="A1630" s="30"/>
      <c r="B1630" s="31"/>
      <c r="C1630" s="30"/>
      <c r="D1630" s="33"/>
      <c r="E1630" s="34"/>
      <c r="F1630" s="34"/>
      <c r="G1630" s="36"/>
      <c r="H1630" s="36"/>
      <c r="I1630" s="37"/>
    </row>
    <row r="1631" ht="22.5" customHeight="1">
      <c r="A1631" s="30"/>
      <c r="B1631" s="31"/>
      <c r="C1631" s="30"/>
      <c r="D1631" s="33"/>
      <c r="E1631" s="34"/>
      <c r="F1631" s="34"/>
      <c r="G1631" s="36"/>
      <c r="H1631" s="36"/>
      <c r="I1631" s="37"/>
    </row>
    <row r="1632" ht="22.5" customHeight="1">
      <c r="A1632" s="30"/>
      <c r="B1632" s="31"/>
      <c r="C1632" s="30"/>
      <c r="D1632" s="33"/>
      <c r="E1632" s="34"/>
      <c r="F1632" s="34"/>
      <c r="G1632" s="36"/>
      <c r="H1632" s="36"/>
      <c r="I1632" s="37"/>
    </row>
    <row r="1633" ht="22.5" customHeight="1">
      <c r="A1633" s="30"/>
      <c r="B1633" s="31"/>
      <c r="C1633" s="30"/>
      <c r="D1633" s="33"/>
      <c r="E1633" s="34"/>
      <c r="F1633" s="34"/>
      <c r="G1633" s="36"/>
      <c r="H1633" s="36"/>
      <c r="I1633" s="37"/>
    </row>
    <row r="1634" ht="22.5" customHeight="1">
      <c r="A1634" s="30"/>
      <c r="B1634" s="31"/>
      <c r="C1634" s="30"/>
      <c r="D1634" s="33"/>
      <c r="E1634" s="34"/>
      <c r="F1634" s="34"/>
      <c r="G1634" s="36"/>
      <c r="H1634" s="36"/>
      <c r="I1634" s="37"/>
    </row>
    <row r="1635" ht="22.5" customHeight="1">
      <c r="A1635" s="30"/>
      <c r="B1635" s="31"/>
      <c r="C1635" s="30"/>
      <c r="D1635" s="33"/>
      <c r="E1635" s="34"/>
      <c r="F1635" s="34"/>
      <c r="G1635" s="36"/>
      <c r="H1635" s="36"/>
      <c r="I1635" s="37"/>
    </row>
    <row r="1636" ht="22.5" customHeight="1">
      <c r="A1636" s="30"/>
      <c r="B1636" s="31"/>
      <c r="C1636" s="30"/>
      <c r="D1636" s="33"/>
      <c r="E1636" s="34"/>
      <c r="F1636" s="34"/>
      <c r="G1636" s="36"/>
      <c r="H1636" s="36"/>
      <c r="I1636" s="37"/>
    </row>
    <row r="1637" ht="22.5" customHeight="1">
      <c r="A1637" s="30"/>
      <c r="B1637" s="31"/>
      <c r="C1637" s="30"/>
      <c r="D1637" s="33"/>
      <c r="E1637" s="34"/>
      <c r="F1637" s="34"/>
      <c r="G1637" s="36"/>
      <c r="H1637" s="36"/>
      <c r="I1637" s="37"/>
    </row>
    <row r="1638" ht="22.5" customHeight="1">
      <c r="A1638" s="30"/>
      <c r="B1638" s="31"/>
      <c r="C1638" s="30"/>
      <c r="D1638" s="33"/>
      <c r="E1638" s="34"/>
      <c r="F1638" s="34"/>
      <c r="G1638" s="36"/>
      <c r="H1638" s="36"/>
      <c r="I1638" s="37"/>
    </row>
    <row r="1639" ht="22.5" customHeight="1">
      <c r="A1639" s="30"/>
      <c r="B1639" s="31"/>
      <c r="C1639" s="30"/>
      <c r="D1639" s="33"/>
      <c r="E1639" s="34"/>
      <c r="F1639" s="34"/>
      <c r="G1639" s="36"/>
      <c r="H1639" s="36"/>
      <c r="I1639" s="37"/>
    </row>
    <row r="1640" ht="22.5" customHeight="1">
      <c r="A1640" s="30"/>
      <c r="B1640" s="31"/>
      <c r="C1640" s="30"/>
      <c r="D1640" s="33"/>
      <c r="E1640" s="34"/>
      <c r="F1640" s="34"/>
      <c r="G1640" s="36"/>
      <c r="H1640" s="36"/>
      <c r="I1640" s="37"/>
    </row>
    <row r="1641" ht="22.5" customHeight="1">
      <c r="A1641" s="30"/>
      <c r="B1641" s="31"/>
      <c r="C1641" s="30"/>
      <c r="D1641" s="33"/>
      <c r="E1641" s="34"/>
      <c r="F1641" s="34"/>
      <c r="G1641" s="36"/>
      <c r="H1641" s="36"/>
      <c r="I1641" s="37"/>
    </row>
    <row r="1642" ht="22.5" customHeight="1">
      <c r="A1642" s="30"/>
      <c r="B1642" s="31"/>
      <c r="C1642" s="30"/>
      <c r="D1642" s="33"/>
      <c r="E1642" s="34"/>
      <c r="F1642" s="34"/>
      <c r="G1642" s="36"/>
      <c r="H1642" s="36"/>
      <c r="I1642" s="37"/>
    </row>
    <row r="1643" ht="22.5" customHeight="1">
      <c r="A1643" s="30"/>
      <c r="B1643" s="31"/>
      <c r="C1643" s="30"/>
      <c r="D1643" s="33"/>
      <c r="E1643" s="34"/>
      <c r="F1643" s="34"/>
      <c r="G1643" s="36"/>
      <c r="H1643" s="36"/>
      <c r="I1643" s="37"/>
    </row>
    <row r="1644" ht="22.5" customHeight="1">
      <c r="A1644" s="30"/>
      <c r="B1644" s="31"/>
      <c r="C1644" s="30"/>
      <c r="D1644" s="33"/>
      <c r="E1644" s="34"/>
      <c r="F1644" s="34"/>
      <c r="G1644" s="36"/>
      <c r="H1644" s="36"/>
      <c r="I1644" s="37"/>
    </row>
    <row r="1645" ht="22.5" customHeight="1">
      <c r="A1645" s="30"/>
      <c r="B1645" s="31"/>
      <c r="C1645" s="30"/>
      <c r="D1645" s="33"/>
      <c r="E1645" s="34"/>
      <c r="F1645" s="34"/>
      <c r="G1645" s="36"/>
      <c r="H1645" s="36"/>
      <c r="I1645" s="37"/>
    </row>
    <row r="1646" ht="22.5" customHeight="1">
      <c r="A1646" s="30"/>
      <c r="B1646" s="31"/>
      <c r="C1646" s="30"/>
      <c r="D1646" s="33"/>
      <c r="E1646" s="34"/>
      <c r="F1646" s="34"/>
      <c r="G1646" s="36"/>
      <c r="H1646" s="36"/>
      <c r="I1646" s="37"/>
    </row>
    <row r="1647" ht="22.5" customHeight="1">
      <c r="A1647" s="30"/>
      <c r="B1647" s="31"/>
      <c r="C1647" s="30"/>
      <c r="D1647" s="33"/>
      <c r="E1647" s="34"/>
      <c r="F1647" s="34"/>
      <c r="G1647" s="36"/>
      <c r="H1647" s="36"/>
      <c r="I1647" s="37"/>
    </row>
    <row r="1648" ht="22.5" customHeight="1">
      <c r="A1648" s="30"/>
      <c r="B1648" s="31"/>
      <c r="C1648" s="30"/>
      <c r="D1648" s="33"/>
      <c r="E1648" s="34"/>
      <c r="F1648" s="34"/>
      <c r="G1648" s="36"/>
      <c r="H1648" s="36"/>
      <c r="I1648" s="37"/>
    </row>
    <row r="1649" ht="22.5" customHeight="1">
      <c r="A1649" s="30"/>
      <c r="B1649" s="31"/>
      <c r="C1649" s="30"/>
      <c r="D1649" s="33"/>
      <c r="E1649" s="34"/>
      <c r="F1649" s="34"/>
      <c r="G1649" s="36"/>
      <c r="H1649" s="36"/>
      <c r="I1649" s="37"/>
    </row>
    <row r="1650" ht="22.5" customHeight="1">
      <c r="A1650" s="30"/>
      <c r="B1650" s="31"/>
      <c r="C1650" s="30"/>
      <c r="D1650" s="33"/>
      <c r="E1650" s="34"/>
      <c r="F1650" s="34"/>
      <c r="G1650" s="36"/>
      <c r="H1650" s="36"/>
      <c r="I1650" s="37"/>
    </row>
    <row r="1651" ht="22.5" customHeight="1">
      <c r="A1651" s="30"/>
      <c r="B1651" s="31"/>
      <c r="C1651" s="30"/>
      <c r="D1651" s="33"/>
      <c r="E1651" s="34"/>
      <c r="F1651" s="34"/>
      <c r="G1651" s="36"/>
      <c r="H1651" s="36"/>
      <c r="I1651" s="37"/>
    </row>
    <row r="1652" ht="22.5" customHeight="1">
      <c r="A1652" s="30"/>
      <c r="B1652" s="31"/>
      <c r="C1652" s="30"/>
      <c r="D1652" s="33"/>
      <c r="E1652" s="34"/>
      <c r="F1652" s="34"/>
      <c r="G1652" s="36"/>
      <c r="H1652" s="36"/>
      <c r="I1652" s="37"/>
    </row>
    <row r="1653" ht="22.5" customHeight="1">
      <c r="A1653" s="30"/>
      <c r="B1653" s="31"/>
      <c r="C1653" s="30"/>
      <c r="D1653" s="33"/>
      <c r="E1653" s="34"/>
      <c r="F1653" s="34"/>
      <c r="G1653" s="36"/>
      <c r="H1653" s="36"/>
      <c r="I1653" s="37"/>
    </row>
    <row r="1654" ht="22.5" customHeight="1">
      <c r="A1654" s="30"/>
      <c r="B1654" s="31"/>
      <c r="C1654" s="30"/>
      <c r="D1654" s="33"/>
      <c r="E1654" s="34"/>
      <c r="F1654" s="34"/>
      <c r="G1654" s="36"/>
      <c r="H1654" s="36"/>
      <c r="I1654" s="37"/>
    </row>
    <row r="1655" ht="22.5" customHeight="1">
      <c r="A1655" s="30"/>
      <c r="B1655" s="31"/>
      <c r="C1655" s="30"/>
      <c r="D1655" s="33"/>
      <c r="E1655" s="34"/>
      <c r="F1655" s="34"/>
      <c r="G1655" s="36"/>
      <c r="H1655" s="36"/>
      <c r="I1655" s="37"/>
    </row>
    <row r="1656" ht="22.5" customHeight="1">
      <c r="A1656" s="30"/>
      <c r="B1656" s="31"/>
      <c r="C1656" s="30"/>
      <c r="D1656" s="33"/>
      <c r="E1656" s="34"/>
      <c r="F1656" s="34"/>
      <c r="G1656" s="36"/>
      <c r="H1656" s="36"/>
      <c r="I1656" s="37"/>
    </row>
    <row r="1657" ht="22.5" customHeight="1">
      <c r="A1657" s="30"/>
      <c r="B1657" s="31"/>
      <c r="C1657" s="30"/>
      <c r="D1657" s="33"/>
      <c r="E1657" s="34"/>
      <c r="F1657" s="34"/>
      <c r="G1657" s="36"/>
      <c r="H1657" s="36"/>
      <c r="I1657" s="37"/>
    </row>
    <row r="1658" ht="22.5" customHeight="1">
      <c r="A1658" s="30"/>
      <c r="B1658" s="31"/>
      <c r="C1658" s="30"/>
      <c r="D1658" s="33"/>
      <c r="E1658" s="34"/>
      <c r="F1658" s="34"/>
      <c r="G1658" s="36"/>
      <c r="H1658" s="36"/>
      <c r="I1658" s="37"/>
    </row>
    <row r="1659" ht="22.5" customHeight="1">
      <c r="A1659" s="30"/>
      <c r="B1659" s="31"/>
      <c r="C1659" s="30"/>
      <c r="D1659" s="33"/>
      <c r="E1659" s="34"/>
      <c r="F1659" s="34"/>
      <c r="G1659" s="36"/>
      <c r="H1659" s="36"/>
      <c r="I1659" s="37"/>
    </row>
    <row r="1660" ht="22.5" customHeight="1">
      <c r="A1660" s="30"/>
      <c r="B1660" s="31"/>
      <c r="C1660" s="30"/>
      <c r="D1660" s="33"/>
      <c r="E1660" s="34"/>
      <c r="F1660" s="34"/>
      <c r="G1660" s="36"/>
      <c r="H1660" s="36"/>
      <c r="I1660" s="37"/>
    </row>
    <row r="1661" ht="22.5" customHeight="1">
      <c r="A1661" s="30"/>
      <c r="B1661" s="31"/>
      <c r="C1661" s="30"/>
      <c r="D1661" s="33"/>
      <c r="E1661" s="34"/>
      <c r="F1661" s="34"/>
      <c r="G1661" s="36"/>
      <c r="H1661" s="36"/>
      <c r="I1661" s="37"/>
    </row>
    <row r="1662" ht="22.5" customHeight="1">
      <c r="A1662" s="30"/>
      <c r="B1662" s="31"/>
      <c r="C1662" s="30"/>
      <c r="D1662" s="33"/>
      <c r="E1662" s="34"/>
      <c r="F1662" s="34"/>
      <c r="G1662" s="36"/>
      <c r="H1662" s="36"/>
      <c r="I1662" s="37"/>
    </row>
    <row r="1663" ht="22.5" customHeight="1">
      <c r="A1663" s="30"/>
      <c r="B1663" s="31"/>
      <c r="C1663" s="30"/>
      <c r="D1663" s="33"/>
      <c r="E1663" s="34"/>
      <c r="F1663" s="34"/>
      <c r="G1663" s="36"/>
      <c r="H1663" s="36"/>
      <c r="I1663" s="37"/>
    </row>
    <row r="1664" ht="22.5" customHeight="1">
      <c r="A1664" s="30"/>
      <c r="B1664" s="31"/>
      <c r="C1664" s="30"/>
      <c r="D1664" s="33"/>
      <c r="E1664" s="34"/>
      <c r="F1664" s="34"/>
      <c r="G1664" s="36"/>
      <c r="H1664" s="36"/>
      <c r="I1664" s="37"/>
    </row>
    <row r="1665" ht="22.5" customHeight="1">
      <c r="A1665" s="30"/>
      <c r="B1665" s="31"/>
      <c r="C1665" s="30"/>
      <c r="D1665" s="33"/>
      <c r="E1665" s="34"/>
      <c r="F1665" s="34"/>
      <c r="G1665" s="36"/>
      <c r="H1665" s="36"/>
      <c r="I1665" s="37"/>
    </row>
    <row r="1666" ht="22.5" customHeight="1">
      <c r="A1666" s="30"/>
      <c r="B1666" s="31"/>
      <c r="C1666" s="30"/>
      <c r="D1666" s="33"/>
      <c r="E1666" s="34"/>
      <c r="F1666" s="34"/>
      <c r="G1666" s="36"/>
      <c r="H1666" s="36"/>
      <c r="I1666" s="37"/>
    </row>
    <row r="1667" ht="22.5" customHeight="1">
      <c r="A1667" s="30"/>
      <c r="B1667" s="31"/>
      <c r="C1667" s="30"/>
      <c r="D1667" s="33"/>
      <c r="E1667" s="34"/>
      <c r="F1667" s="34"/>
      <c r="G1667" s="36"/>
      <c r="H1667" s="36"/>
      <c r="I1667" s="37"/>
    </row>
    <row r="1668" ht="22.5" customHeight="1">
      <c r="A1668" s="30"/>
      <c r="B1668" s="31"/>
      <c r="C1668" s="30"/>
      <c r="D1668" s="33"/>
      <c r="E1668" s="34"/>
      <c r="F1668" s="34"/>
      <c r="G1668" s="36"/>
      <c r="H1668" s="36"/>
      <c r="I1668" s="37"/>
    </row>
    <row r="1669" ht="22.5" customHeight="1">
      <c r="A1669" s="30"/>
      <c r="B1669" s="31"/>
      <c r="C1669" s="30"/>
      <c r="D1669" s="33"/>
      <c r="E1669" s="34"/>
      <c r="F1669" s="34"/>
      <c r="G1669" s="36"/>
      <c r="H1669" s="36"/>
      <c r="I1669" s="37"/>
    </row>
    <row r="1670" ht="22.5" customHeight="1">
      <c r="A1670" s="30"/>
      <c r="B1670" s="31"/>
      <c r="C1670" s="30"/>
      <c r="D1670" s="33"/>
      <c r="E1670" s="34"/>
      <c r="F1670" s="34"/>
      <c r="G1670" s="36"/>
      <c r="H1670" s="36"/>
      <c r="I1670" s="37"/>
    </row>
    <row r="1671" ht="22.5" customHeight="1">
      <c r="A1671" s="30"/>
      <c r="B1671" s="31"/>
      <c r="C1671" s="30"/>
      <c r="D1671" s="33"/>
      <c r="E1671" s="34"/>
      <c r="F1671" s="34"/>
      <c r="G1671" s="36"/>
      <c r="H1671" s="36"/>
      <c r="I1671" s="37"/>
    </row>
    <row r="1672" ht="22.5" customHeight="1">
      <c r="A1672" s="30"/>
      <c r="B1672" s="31"/>
      <c r="C1672" s="30"/>
      <c r="D1672" s="33"/>
      <c r="E1672" s="34"/>
      <c r="F1672" s="34"/>
      <c r="G1672" s="36"/>
      <c r="H1672" s="36"/>
      <c r="I1672" s="37"/>
    </row>
    <row r="1673" ht="22.5" customHeight="1">
      <c r="A1673" s="30"/>
      <c r="B1673" s="31"/>
      <c r="C1673" s="30"/>
      <c r="D1673" s="33"/>
      <c r="E1673" s="34"/>
      <c r="F1673" s="34"/>
      <c r="G1673" s="36"/>
      <c r="H1673" s="36"/>
      <c r="I1673" s="37"/>
    </row>
    <row r="1674" ht="22.5" customHeight="1">
      <c r="A1674" s="30"/>
      <c r="B1674" s="31"/>
      <c r="C1674" s="30"/>
      <c r="D1674" s="33"/>
      <c r="E1674" s="34"/>
      <c r="F1674" s="34"/>
      <c r="G1674" s="36"/>
      <c r="H1674" s="36"/>
      <c r="I1674" s="37"/>
    </row>
    <row r="1675" ht="22.5" customHeight="1">
      <c r="A1675" s="30"/>
      <c r="B1675" s="31"/>
      <c r="C1675" s="30"/>
      <c r="D1675" s="33"/>
      <c r="E1675" s="34"/>
      <c r="F1675" s="34"/>
      <c r="G1675" s="36"/>
      <c r="H1675" s="36"/>
      <c r="I1675" s="37"/>
    </row>
    <row r="1676" ht="22.5" customHeight="1">
      <c r="A1676" s="30"/>
      <c r="B1676" s="31"/>
      <c r="C1676" s="30"/>
      <c r="D1676" s="33"/>
      <c r="E1676" s="34"/>
      <c r="F1676" s="34"/>
      <c r="G1676" s="36"/>
      <c r="H1676" s="36"/>
      <c r="I1676" s="37"/>
    </row>
    <row r="1677" ht="22.5" customHeight="1">
      <c r="A1677" s="30"/>
      <c r="B1677" s="31"/>
      <c r="C1677" s="30"/>
      <c r="D1677" s="33"/>
      <c r="E1677" s="34"/>
      <c r="F1677" s="34"/>
      <c r="G1677" s="36"/>
      <c r="H1677" s="36"/>
      <c r="I1677" s="37"/>
    </row>
    <row r="1678" ht="22.5" customHeight="1">
      <c r="A1678" s="30"/>
      <c r="B1678" s="31"/>
      <c r="C1678" s="30"/>
      <c r="D1678" s="33"/>
      <c r="E1678" s="34"/>
      <c r="F1678" s="34"/>
      <c r="G1678" s="36"/>
      <c r="H1678" s="36"/>
      <c r="I1678" s="37"/>
    </row>
    <row r="1679" ht="22.5" customHeight="1">
      <c r="A1679" s="30"/>
      <c r="B1679" s="31"/>
      <c r="C1679" s="30"/>
      <c r="D1679" s="33"/>
      <c r="E1679" s="34"/>
      <c r="F1679" s="34"/>
      <c r="G1679" s="36"/>
      <c r="H1679" s="36"/>
      <c r="I1679" s="37"/>
    </row>
    <row r="1680" ht="22.5" customHeight="1">
      <c r="A1680" s="30"/>
      <c r="B1680" s="31"/>
      <c r="C1680" s="30"/>
      <c r="D1680" s="33"/>
      <c r="E1680" s="34"/>
      <c r="F1680" s="34"/>
      <c r="G1680" s="36"/>
      <c r="H1680" s="36"/>
      <c r="I1680" s="37"/>
    </row>
    <row r="1681" ht="22.5" customHeight="1">
      <c r="A1681" s="30"/>
      <c r="B1681" s="31"/>
      <c r="C1681" s="30"/>
      <c r="D1681" s="33"/>
      <c r="E1681" s="34"/>
      <c r="F1681" s="34"/>
      <c r="G1681" s="36"/>
      <c r="H1681" s="36"/>
      <c r="I1681" s="37"/>
    </row>
    <row r="1682" ht="22.5" customHeight="1">
      <c r="A1682" s="30"/>
      <c r="B1682" s="31"/>
      <c r="C1682" s="30"/>
      <c r="D1682" s="33"/>
      <c r="E1682" s="34"/>
      <c r="F1682" s="34"/>
      <c r="G1682" s="36"/>
      <c r="H1682" s="36"/>
      <c r="I1682" s="37"/>
    </row>
    <row r="1683" ht="22.5" customHeight="1">
      <c r="A1683" s="30"/>
      <c r="B1683" s="31"/>
      <c r="C1683" s="30"/>
      <c r="D1683" s="33"/>
      <c r="E1683" s="34"/>
      <c r="F1683" s="34"/>
      <c r="G1683" s="36"/>
      <c r="H1683" s="36"/>
      <c r="I1683" s="37"/>
    </row>
    <row r="1684" ht="22.5" customHeight="1">
      <c r="A1684" s="30"/>
      <c r="B1684" s="31"/>
      <c r="C1684" s="30"/>
      <c r="D1684" s="33"/>
      <c r="E1684" s="34"/>
      <c r="F1684" s="34"/>
      <c r="G1684" s="36"/>
      <c r="H1684" s="36"/>
      <c r="I1684" s="37"/>
    </row>
    <row r="1685" ht="22.5" customHeight="1">
      <c r="A1685" s="30"/>
      <c r="B1685" s="31"/>
      <c r="C1685" s="30"/>
      <c r="D1685" s="33"/>
      <c r="E1685" s="34"/>
      <c r="F1685" s="34"/>
      <c r="G1685" s="36"/>
      <c r="H1685" s="36"/>
      <c r="I1685" s="37"/>
    </row>
    <row r="1686" ht="22.5" customHeight="1">
      <c r="A1686" s="30"/>
      <c r="B1686" s="31"/>
      <c r="C1686" s="30"/>
      <c r="D1686" s="33"/>
      <c r="E1686" s="34"/>
      <c r="F1686" s="34"/>
      <c r="G1686" s="36"/>
      <c r="H1686" s="36"/>
      <c r="I1686" s="37"/>
    </row>
    <row r="1687" ht="22.5" customHeight="1">
      <c r="A1687" s="30"/>
      <c r="B1687" s="31"/>
      <c r="C1687" s="30"/>
      <c r="D1687" s="33"/>
      <c r="E1687" s="34"/>
      <c r="F1687" s="34"/>
      <c r="G1687" s="36"/>
      <c r="H1687" s="36"/>
      <c r="I1687" s="37"/>
    </row>
    <row r="1688" ht="22.5" customHeight="1">
      <c r="A1688" s="30"/>
      <c r="B1688" s="31"/>
      <c r="C1688" s="30"/>
      <c r="D1688" s="33"/>
      <c r="E1688" s="34"/>
      <c r="F1688" s="34"/>
      <c r="G1688" s="36"/>
      <c r="H1688" s="36"/>
      <c r="I1688" s="37"/>
    </row>
    <row r="1689" ht="22.5" customHeight="1">
      <c r="A1689" s="30"/>
      <c r="B1689" s="31"/>
      <c r="C1689" s="30"/>
      <c r="D1689" s="33"/>
      <c r="E1689" s="34"/>
      <c r="F1689" s="34"/>
      <c r="G1689" s="36"/>
      <c r="H1689" s="36"/>
      <c r="I1689" s="37"/>
    </row>
    <row r="1690" ht="22.5" customHeight="1">
      <c r="A1690" s="30"/>
      <c r="B1690" s="31"/>
      <c r="C1690" s="30"/>
      <c r="D1690" s="33"/>
      <c r="E1690" s="34"/>
      <c r="F1690" s="34"/>
      <c r="G1690" s="36"/>
      <c r="H1690" s="36"/>
      <c r="I1690" s="37"/>
    </row>
    <row r="1691" ht="22.5" customHeight="1">
      <c r="A1691" s="30"/>
      <c r="B1691" s="31"/>
      <c r="C1691" s="30"/>
      <c r="D1691" s="33"/>
      <c r="E1691" s="34"/>
      <c r="F1691" s="34"/>
      <c r="G1691" s="36"/>
      <c r="H1691" s="36"/>
      <c r="I1691" s="37"/>
    </row>
    <row r="1692" ht="22.5" customHeight="1">
      <c r="A1692" s="30"/>
      <c r="B1692" s="31"/>
      <c r="C1692" s="30"/>
      <c r="D1692" s="33"/>
      <c r="E1692" s="34"/>
      <c r="F1692" s="34"/>
      <c r="G1692" s="36"/>
      <c r="H1692" s="36"/>
      <c r="I1692" s="37"/>
    </row>
    <row r="1693" ht="22.5" customHeight="1">
      <c r="A1693" s="30"/>
      <c r="B1693" s="31"/>
      <c r="C1693" s="30"/>
      <c r="D1693" s="33"/>
      <c r="E1693" s="34"/>
      <c r="F1693" s="34"/>
      <c r="G1693" s="36"/>
      <c r="H1693" s="36"/>
      <c r="I1693" s="37"/>
    </row>
    <row r="1694" ht="22.5" customHeight="1">
      <c r="A1694" s="30"/>
      <c r="B1694" s="31"/>
      <c r="C1694" s="30"/>
      <c r="D1694" s="33"/>
      <c r="E1694" s="34"/>
      <c r="F1694" s="34"/>
      <c r="G1694" s="36"/>
      <c r="H1694" s="36"/>
      <c r="I1694" s="37"/>
    </row>
    <row r="1695" ht="22.5" customHeight="1">
      <c r="A1695" s="30"/>
      <c r="B1695" s="31"/>
      <c r="C1695" s="30"/>
      <c r="D1695" s="33"/>
      <c r="E1695" s="34"/>
      <c r="F1695" s="34"/>
      <c r="G1695" s="36"/>
      <c r="H1695" s="36"/>
      <c r="I1695" s="37"/>
    </row>
    <row r="1696" ht="22.5" customHeight="1">
      <c r="A1696" s="30"/>
      <c r="B1696" s="31"/>
      <c r="C1696" s="30"/>
      <c r="D1696" s="33"/>
      <c r="E1696" s="34"/>
      <c r="F1696" s="34"/>
      <c r="G1696" s="36"/>
      <c r="H1696" s="36"/>
      <c r="I1696" s="37"/>
    </row>
    <row r="1697" ht="22.5" customHeight="1">
      <c r="A1697" s="30"/>
      <c r="B1697" s="31"/>
      <c r="C1697" s="30"/>
      <c r="D1697" s="33"/>
      <c r="E1697" s="34"/>
      <c r="F1697" s="34"/>
      <c r="G1697" s="36"/>
      <c r="H1697" s="36"/>
      <c r="I1697" s="37"/>
    </row>
    <row r="1698" ht="22.5" customHeight="1">
      <c r="A1698" s="30"/>
      <c r="B1698" s="31"/>
      <c r="C1698" s="30"/>
      <c r="D1698" s="33"/>
      <c r="E1698" s="34"/>
      <c r="F1698" s="34"/>
      <c r="G1698" s="36"/>
      <c r="H1698" s="36"/>
      <c r="I1698" s="37"/>
    </row>
    <row r="1699" ht="22.5" customHeight="1">
      <c r="A1699" s="30"/>
      <c r="B1699" s="31"/>
      <c r="C1699" s="30"/>
      <c r="D1699" s="33"/>
      <c r="E1699" s="34"/>
      <c r="F1699" s="34"/>
      <c r="G1699" s="36"/>
      <c r="H1699" s="36"/>
      <c r="I1699" s="37"/>
    </row>
    <row r="1700" ht="22.5" customHeight="1">
      <c r="A1700" s="30"/>
      <c r="B1700" s="31"/>
      <c r="C1700" s="30"/>
      <c r="D1700" s="33"/>
      <c r="E1700" s="34"/>
      <c r="F1700" s="34"/>
      <c r="G1700" s="36"/>
      <c r="H1700" s="36"/>
      <c r="I1700" s="37"/>
    </row>
    <row r="1701" ht="22.5" customHeight="1">
      <c r="A1701" s="30"/>
      <c r="B1701" s="31"/>
      <c r="C1701" s="30"/>
      <c r="D1701" s="33"/>
      <c r="E1701" s="34"/>
      <c r="F1701" s="34"/>
      <c r="G1701" s="36"/>
      <c r="H1701" s="36"/>
      <c r="I1701" s="37"/>
    </row>
    <row r="1702" ht="22.5" customHeight="1">
      <c r="A1702" s="30"/>
      <c r="B1702" s="31"/>
      <c r="C1702" s="30"/>
      <c r="D1702" s="33"/>
      <c r="E1702" s="34"/>
      <c r="F1702" s="34"/>
      <c r="G1702" s="36"/>
      <c r="H1702" s="36"/>
      <c r="I1702" s="37"/>
    </row>
    <row r="1703" ht="22.5" customHeight="1">
      <c r="A1703" s="41"/>
      <c r="B1703" s="42"/>
      <c r="C1703" s="41"/>
      <c r="D1703" s="43"/>
      <c r="E1703" s="44"/>
      <c r="F1703" s="44"/>
      <c r="G1703" s="45"/>
      <c r="H1703" s="45"/>
      <c r="I1703" s="46"/>
    </row>
  </sheetData>
  <conditionalFormatting sqref="A5:I1703">
    <cfRule type="expression" dxfId="6" priority="1">
      <formula>$F5="BOLSA SALV. ALTURA (MERET)"</formula>
    </cfRule>
  </conditionalFormatting>
  <conditionalFormatting sqref="A5:I1703">
    <cfRule type="expression" dxfId="7" priority="2">
      <formula>$F5="BOX 01"</formula>
    </cfRule>
  </conditionalFormatting>
  <conditionalFormatting sqref="A5:I1703">
    <cfRule type="expression" dxfId="8" priority="3">
      <formula>$F5="BOX 02"</formula>
    </cfRule>
  </conditionalFormatting>
  <conditionalFormatting sqref="A5:I1703">
    <cfRule type="expression" dxfId="9" priority="4">
      <formula>$F5="BOX 03"</formula>
    </cfRule>
  </conditionalFormatting>
  <conditionalFormatting sqref="A5:I1703">
    <cfRule type="expression" dxfId="10" priority="5">
      <formula>$F5="BOX 04"</formula>
    </cfRule>
  </conditionalFormatting>
  <conditionalFormatting sqref="A5:I1703">
    <cfRule type="expression" dxfId="11" priority="6">
      <formula>$F5="BOX 05"</formula>
    </cfRule>
  </conditionalFormatting>
  <conditionalFormatting sqref="A5:I1703">
    <cfRule type="expression" dxfId="12" priority="7">
      <formula>$F5="BOX CENTRAL"</formula>
    </cfRule>
  </conditionalFormatting>
  <conditionalFormatting sqref="A5:I1703">
    <cfRule type="expression" dxfId="13" priority="8">
      <formula>$F5="BOX SUPERIOR 01"</formula>
    </cfRule>
  </conditionalFormatting>
  <conditionalFormatting sqref="A5:I1703">
    <cfRule type="expression" dxfId="14" priority="9">
      <formula>$F5="CABINE"</formula>
    </cfRule>
  </conditionalFormatting>
  <conditionalFormatting sqref="A5:I1703">
    <cfRule type="expression" dxfId="15" priority="10">
      <formula>$F5="CARROCERIA"</formula>
    </cfRule>
  </conditionalFormatting>
  <conditionalFormatting sqref="A5:I1703">
    <cfRule type="expression" dxfId="16" priority="11">
      <formula>$F5="CAIXA DE FERRAMENTA"</formula>
    </cfRule>
  </conditionalFormatting>
  <conditionalFormatting sqref="A5:I1703">
    <cfRule type="expression" dxfId="17" priority="12">
      <formula>$F5="BOLSA DE SALV. ALTURA"</formula>
    </cfRule>
  </conditionalFormatting>
  <conditionalFormatting sqref="A5:I1703">
    <cfRule type="expression" dxfId="18" priority="13">
      <formula>$F5="BOLSA DE SALV ALTURA VERMELHA LACRADA"</formula>
    </cfRule>
  </conditionalFormatting>
  <conditionalFormatting sqref="A5:I1703">
    <cfRule type="expression" dxfId="19" priority="14">
      <formula>$F5="BOLSA DE SALV ALTURA CINZA LACRADA"</formula>
    </cfRule>
  </conditionalFormatting>
  <conditionalFormatting sqref="A5:I1703">
    <cfRule type="expression" dxfId="20" priority="15">
      <formula>$F5="BOX 06"</formula>
    </cfRule>
  </conditionalFormatting>
  <conditionalFormatting sqref="A5:I1703">
    <cfRule type="expression" dxfId="21" priority="16">
      <formula>$F5="BOX 07"</formula>
    </cfRule>
  </conditionalFormatting>
  <conditionalFormatting sqref="A5:I1703">
    <cfRule type="expression" dxfId="22" priority="17">
      <formula>$F5="BOX 08"</formula>
    </cfRule>
  </conditionalFormatting>
  <conditionalFormatting sqref="A5:I1703">
    <cfRule type="expression" dxfId="23" priority="18">
      <formula>$F5="BOLSA DE OXIGÊNIO"</formula>
    </cfRule>
  </conditionalFormatting>
  <dataValidations>
    <dataValidation type="list" allowBlank="1" sqref="B1">
      <formula1>'Cadastro Automático VTRSEÇÃOMIL'!$B$1:$B1703</formula1>
    </dataValidation>
    <dataValidation type="list" allowBlank="1" sqref="B2">
      <formula1>'Cadastro Automático VTRSEÇÃOMIL'!$C$1:$C1703</formula1>
    </dataValidation>
    <dataValidation allowBlank="1" showDropDown="1" sqref="B5:B1703"/>
  </dataValidations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1"/>
  <tableParts count="2"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20.38"/>
    <col customWidth="1" min="2" max="2" width="50.13"/>
    <col customWidth="1" min="3" max="3" width="9.5"/>
    <col customWidth="1" min="4" max="4" width="14.0"/>
    <col customWidth="1" min="5" max="5" width="17.75"/>
    <col customWidth="1" min="6" max="6" width="30.5"/>
    <col customWidth="1" min="7" max="7" width="14.25"/>
    <col customWidth="1" min="8" max="8" width="31.25"/>
    <col customWidth="1" min="9" max="9" width="81.38"/>
  </cols>
  <sheetData>
    <row r="1" ht="21.0" customHeight="1">
      <c r="A1" s="47" t="s">
        <v>11</v>
      </c>
      <c r="B1" s="48" t="s">
        <v>12</v>
      </c>
      <c r="C1" s="3"/>
      <c r="D1" s="3"/>
      <c r="E1" s="3"/>
      <c r="F1" s="3"/>
      <c r="G1" s="4"/>
      <c r="H1" s="49"/>
      <c r="I1" s="5"/>
    </row>
    <row r="2" ht="17.25" customHeight="1">
      <c r="A2" s="1" t="s">
        <v>2</v>
      </c>
      <c r="B2" s="2"/>
      <c r="C2" s="3"/>
      <c r="D2" s="3"/>
      <c r="E2" s="3"/>
      <c r="F2" s="3"/>
      <c r="G2" s="4"/>
      <c r="H2" s="49"/>
      <c r="I2" s="5"/>
    </row>
    <row r="3" ht="30.0" customHeight="1">
      <c r="A3" s="3"/>
      <c r="B3" s="3"/>
      <c r="C3" s="3"/>
      <c r="D3" s="3"/>
      <c r="E3" s="3"/>
      <c r="F3" s="3"/>
      <c r="G3" s="4"/>
      <c r="H3" s="49"/>
      <c r="I3" s="8"/>
    </row>
    <row r="4" ht="37.5" customHeight="1">
      <c r="A4" s="9" t="s">
        <v>3</v>
      </c>
      <c r="B4" s="10" t="s">
        <v>4</v>
      </c>
      <c r="C4" s="11" t="s">
        <v>5</v>
      </c>
      <c r="D4" s="12" t="s">
        <v>6</v>
      </c>
      <c r="E4" s="12" t="s">
        <v>0</v>
      </c>
      <c r="F4" s="12" t="s">
        <v>7</v>
      </c>
      <c r="G4" s="11" t="s">
        <v>8</v>
      </c>
      <c r="H4" s="50" t="s">
        <v>9</v>
      </c>
      <c r="I4" s="13" t="s">
        <v>10</v>
      </c>
    </row>
    <row r="5" ht="22.5" customHeight="1">
      <c r="A5" s="51"/>
      <c r="B5" s="52"/>
      <c r="C5" s="53"/>
      <c r="D5" s="54"/>
      <c r="E5" s="55"/>
      <c r="F5" s="55"/>
      <c r="G5" s="56"/>
      <c r="H5" s="57"/>
      <c r="I5" s="58"/>
    </row>
    <row r="6" ht="22.5" customHeight="1">
      <c r="A6" s="22">
        <f>IFERROR(__xludf.DUMMYFUNCTION("IF(B2&lt;&gt;"""",FILTER('Planilhas compilada ordem alfab'!A2:I1703,'Planilhas compilada ordem alfab'!E2:E1703=B1,'Planilhas compilada ordem alfab'!F2:F1703=B2),FILTER('Planilhas compilada ordem alfab'!A2:I1703,'Planilhas compilada ordem alfab'!E2:E1703=B1))"),18.0)</f>
        <v>18</v>
      </c>
      <c r="B6" s="23" t="str">
        <f>IFERROR(__xludf.DUMMYFUNCTION("""COMPUTED_VALUE"""),"AMBÚ  ADULTO")</f>
        <v>AMBÚ  ADULTO</v>
      </c>
      <c r="C6" s="24">
        <f>IFERROR(__xludf.DUMMYFUNCTION("""COMPUTED_VALUE"""),1.0)</f>
        <v>1</v>
      </c>
      <c r="D6" s="25" t="str">
        <f>IFERROR(__xludf.DUMMYFUNCTION("""COMPUTED_VALUE"""),"VIATURA")</f>
        <v>VIATURA</v>
      </c>
      <c r="E6" s="26" t="str">
        <f>IFERROR(__xludf.DUMMYFUNCTION("""COMPUTED_VALUE"""),"1 - ABTS1418")</f>
        <v>1 - ABTS1418</v>
      </c>
      <c r="F6" s="26" t="str">
        <f>IFERROR(__xludf.DUMMYFUNCTION("""COMPUTED_VALUE"""),"BOLSA DE RESGATE")</f>
        <v>BOLSA DE RESGATE</v>
      </c>
      <c r="G6" s="27">
        <f>IFERROR(__xludf.DUMMYFUNCTION("""COMPUTED_VALUE"""),45527.0)</f>
        <v>45527</v>
      </c>
      <c r="H6" s="26"/>
      <c r="I6" s="29"/>
    </row>
    <row r="7" ht="25.5" customHeight="1">
      <c r="A7" s="30">
        <f>IFERROR(__xludf.DUMMYFUNCTION("""COMPUTED_VALUE"""),1027.0)</f>
        <v>1027</v>
      </c>
      <c r="B7" s="31" t="str">
        <f>IFERROR(__xludf.DUMMYFUNCTION("""COMPUTED_VALUE"""),"ESFIGMOMANOMETRO -")</f>
        <v>ESFIGMOMANOMETRO -</v>
      </c>
      <c r="C7" s="32">
        <f>IFERROR(__xludf.DUMMYFUNCTION("""COMPUTED_VALUE"""),1.0)</f>
        <v>1</v>
      </c>
      <c r="D7" s="33" t="str">
        <f>IFERROR(__xludf.DUMMYFUNCTION("""COMPUTED_VALUE"""),"VIATURA")</f>
        <v>VIATURA</v>
      </c>
      <c r="E7" s="34" t="str">
        <f>IFERROR(__xludf.DUMMYFUNCTION("""COMPUTED_VALUE"""),"1 - ABTS1418")</f>
        <v>1 - ABTS1418</v>
      </c>
      <c r="F7" s="34" t="str">
        <f>IFERROR(__xludf.DUMMYFUNCTION("""COMPUTED_VALUE"""),"BOLSA DE RESGATE")</f>
        <v>BOLSA DE RESGATE</v>
      </c>
      <c r="G7" s="35">
        <f>IFERROR(__xludf.DUMMYFUNCTION("""COMPUTED_VALUE"""),7.6736032E7)</f>
        <v>76736032</v>
      </c>
      <c r="H7" s="34"/>
      <c r="I7" s="37"/>
    </row>
    <row r="8" ht="22.5" customHeight="1">
      <c r="A8" s="30">
        <f>IFERROR(__xludf.DUMMYFUNCTION("""COMPUTED_VALUE"""),1021.0)</f>
        <v>1021</v>
      </c>
      <c r="B8" s="31" t="str">
        <f>IFERROR(__xludf.DUMMYFUNCTION("""COMPUTED_VALUE"""),"ESTETOSCOPIO -")</f>
        <v>ESTETOSCOPIO -</v>
      </c>
      <c r="C8" s="32">
        <f>IFERROR(__xludf.DUMMYFUNCTION("""COMPUTED_VALUE"""),1.0)</f>
        <v>1</v>
      </c>
      <c r="D8" s="33" t="str">
        <f>IFERROR(__xludf.DUMMYFUNCTION("""COMPUTED_VALUE"""),"VIATURA")</f>
        <v>VIATURA</v>
      </c>
      <c r="E8" s="34" t="str">
        <f>IFERROR(__xludf.DUMMYFUNCTION("""COMPUTED_VALUE"""),"1 - ABTS1418")</f>
        <v>1 - ABTS1418</v>
      </c>
      <c r="F8" s="34" t="str">
        <f>IFERROR(__xludf.DUMMYFUNCTION("""COMPUTED_VALUE"""),"BOLSA DE RESGATE")</f>
        <v>BOLSA DE RESGATE</v>
      </c>
      <c r="G8" s="35">
        <f>IFERROR(__xludf.DUMMYFUNCTION("""COMPUTED_VALUE"""),7.6731707E7)</f>
        <v>76731707</v>
      </c>
      <c r="H8" s="34"/>
      <c r="I8" s="37"/>
    </row>
    <row r="9" ht="22.5" customHeight="1">
      <c r="A9" s="30">
        <f>IFERROR(__xludf.DUMMYFUNCTION("""COMPUTED_VALUE"""),17.0)</f>
        <v>17</v>
      </c>
      <c r="B9" s="31" t="str">
        <f>IFERROR(__xludf.DUMMYFUNCTION("""COMPUTED_VALUE"""),"MASCARA PARA PCR - POCKET MASK")</f>
        <v>MASCARA PARA PCR - POCKET MASK</v>
      </c>
      <c r="C9" s="32">
        <f>IFERROR(__xludf.DUMMYFUNCTION("""COMPUTED_VALUE"""),1.0)</f>
        <v>1</v>
      </c>
      <c r="D9" s="33" t="str">
        <f>IFERROR(__xludf.DUMMYFUNCTION("""COMPUTED_VALUE"""),"VIATURA")</f>
        <v>VIATURA</v>
      </c>
      <c r="E9" s="34" t="str">
        <f>IFERROR(__xludf.DUMMYFUNCTION("""COMPUTED_VALUE"""),"1 - ABTS1418")</f>
        <v>1 - ABTS1418</v>
      </c>
      <c r="F9" s="34" t="str">
        <f>IFERROR(__xludf.DUMMYFUNCTION("""COMPUTED_VALUE"""),"BOLSA DE RESGATE")</f>
        <v>BOLSA DE RESGATE</v>
      </c>
      <c r="G9" s="35">
        <f>IFERROR(__xludf.DUMMYFUNCTION("""COMPUTED_VALUE"""),45527.0)</f>
        <v>45527</v>
      </c>
      <c r="H9" s="34"/>
      <c r="I9" s="38"/>
    </row>
    <row r="10" ht="22.5" customHeight="1">
      <c r="A10" s="30">
        <f>IFERROR(__xludf.DUMMYFUNCTION("""COMPUTED_VALUE"""),20.0)</f>
        <v>20</v>
      </c>
      <c r="B10" s="39" t="str">
        <f>IFERROR(__xludf.DUMMYFUNCTION("""COMPUTED_VALUE"""),"BATERIAS PARA DESENCARCERADORES")</f>
        <v>BATERIAS PARA DESENCARCERADORES</v>
      </c>
      <c r="C10" s="32">
        <f>IFERROR(__xludf.DUMMYFUNCTION("""COMPUTED_VALUE"""),1.0)</f>
        <v>1</v>
      </c>
      <c r="D10" s="33" t="str">
        <f>IFERROR(__xludf.DUMMYFUNCTION("""COMPUTED_VALUE"""),"VIATURA")</f>
        <v>VIATURA</v>
      </c>
      <c r="E10" s="34" t="str">
        <f>IFERROR(__xludf.DUMMYFUNCTION("""COMPUTED_VALUE"""),"1 - ABTS1418")</f>
        <v>1 - ABTS1418</v>
      </c>
      <c r="F10" s="34" t="str">
        <f>IFERROR(__xludf.DUMMYFUNCTION("""COMPUTED_VALUE"""),"BOX 02")</f>
        <v>BOX 02</v>
      </c>
      <c r="G10" s="35">
        <f>IFERROR(__xludf.DUMMYFUNCTION("""COMPUTED_VALUE"""),45901.0)</f>
        <v>45901</v>
      </c>
      <c r="H10" s="34"/>
      <c r="I10" s="37" t="str">
        <f>IFERROR(__xludf.DUMMYFUNCTION("""COMPUTED_VALUE"""),"BATERIA SOBRESALENTE DO HOLMATRO PENTHEON")</f>
        <v>BATERIA SOBRESALENTE DO HOLMATRO PENTHEON</v>
      </c>
    </row>
    <row r="11" ht="22.5" customHeight="1">
      <c r="A11" s="30">
        <f>IFERROR(__xludf.DUMMYFUNCTION("""COMPUTED_VALUE"""),16.0)</f>
        <v>16</v>
      </c>
      <c r="B11" s="31" t="str">
        <f>IFERROR(__xludf.DUMMYFUNCTION("""COMPUTED_VALUE"""),"BOLSA DE RESGATE")</f>
        <v>BOLSA DE RESGATE</v>
      </c>
      <c r="C11" s="32">
        <f>IFERROR(__xludf.DUMMYFUNCTION("""COMPUTED_VALUE"""),1.0)</f>
        <v>1</v>
      </c>
      <c r="D11" s="33" t="str">
        <f>IFERROR(__xludf.DUMMYFUNCTION("""COMPUTED_VALUE"""),"VIATURA")</f>
        <v>VIATURA</v>
      </c>
      <c r="E11" s="34" t="str">
        <f>IFERROR(__xludf.DUMMYFUNCTION("""COMPUTED_VALUE"""),"1 - ABTS1418")</f>
        <v>1 - ABTS1418</v>
      </c>
      <c r="F11" s="34" t="str">
        <f>IFERROR(__xludf.DUMMYFUNCTION("""COMPUTED_VALUE"""),"BOX 02")</f>
        <v>BOX 02</v>
      </c>
      <c r="G11" s="35">
        <f>IFERROR(__xludf.DUMMYFUNCTION("""COMPUTED_VALUE"""),45527.0)</f>
        <v>45527</v>
      </c>
      <c r="H11" s="34"/>
      <c r="I11" s="37"/>
    </row>
    <row r="12" ht="22.5" customHeight="1">
      <c r="A12" s="30">
        <f>IFERROR(__xludf.DUMMYFUNCTION("""COMPUTED_VALUE"""),51.0)</f>
        <v>51</v>
      </c>
      <c r="B12" s="31" t="str">
        <f>IFERROR(__xludf.DUMMYFUNCTION("""COMPUTED_VALUE"""),"CALÇO PARA VIATURA")</f>
        <v>CALÇO PARA VIATURA</v>
      </c>
      <c r="C12" s="32">
        <f>IFERROR(__xludf.DUMMYFUNCTION("""COMPUTED_VALUE"""),2.0)</f>
        <v>2</v>
      </c>
      <c r="D12" s="33" t="str">
        <f>IFERROR(__xludf.DUMMYFUNCTION("""COMPUTED_VALUE"""),"VIATURA")</f>
        <v>VIATURA</v>
      </c>
      <c r="E12" s="34" t="str">
        <f>IFERROR(__xludf.DUMMYFUNCTION("""COMPUTED_VALUE"""),"1 - ABTS1418")</f>
        <v>1 - ABTS1418</v>
      </c>
      <c r="F12" s="34" t="str">
        <f>IFERROR(__xludf.DUMMYFUNCTION("""COMPUTED_VALUE"""),"BOX 02")</f>
        <v>BOX 02</v>
      </c>
      <c r="G12" s="35">
        <f>IFERROR(__xludf.DUMMYFUNCTION("""COMPUTED_VALUE"""),45527.0)</f>
        <v>45527</v>
      </c>
      <c r="H12" s="34"/>
      <c r="I12" s="37" t="str">
        <f>IFERROR(__xludf.DUMMYFUNCTION("""COMPUTED_VALUE"""),"CALÇO POLIETILENO PRETO")</f>
        <v>CALÇO POLIETILENO PRETO</v>
      </c>
    </row>
    <row r="13" ht="22.5" customHeight="1">
      <c r="A13" s="30">
        <f>IFERROR(__xludf.DUMMYFUNCTION("""COMPUTED_VALUE"""),1144.0)</f>
        <v>1144</v>
      </c>
      <c r="B13" s="31" t="str">
        <f>IFERROR(__xludf.DUMMYFUNCTION("""COMPUTED_VALUE"""),"FERRAMENTA PARA DESENCARCERAMENTO -")</f>
        <v>FERRAMENTA PARA DESENCARCERAMENTO -</v>
      </c>
      <c r="C13" s="32">
        <f>IFERROR(__xludf.DUMMYFUNCTION("""COMPUTED_VALUE"""),1.0)</f>
        <v>1</v>
      </c>
      <c r="D13" s="33" t="str">
        <f>IFERROR(__xludf.DUMMYFUNCTION("""COMPUTED_VALUE"""),"VIATURA")</f>
        <v>VIATURA</v>
      </c>
      <c r="E13" s="34" t="str">
        <f>IFERROR(__xludf.DUMMYFUNCTION("""COMPUTED_VALUE"""),"1 - ABTS1418")</f>
        <v>1 - ABTS1418</v>
      </c>
      <c r="F13" s="34" t="str">
        <f>IFERROR(__xludf.DUMMYFUNCTION("""COMPUTED_VALUE"""),"BOX 02")</f>
        <v>BOX 02</v>
      </c>
      <c r="G13" s="35">
        <f>IFERROR(__xludf.DUMMYFUNCTION("""COMPUTED_VALUE"""),7.6838617E7)</f>
        <v>76838617</v>
      </c>
      <c r="H13" s="34" t="str">
        <f>IFERROR(__xludf.DUMMYFUNCTION("""COMPUTED_VALUE"""),"1418622HH")</f>
        <v>1418622HH</v>
      </c>
      <c r="I13" s="37" t="str">
        <f>IFERROR(__xludf.DUMMYFUNCTION("""COMPUTED_VALUE"""),"(CORTADOR) - HOLMATRO MODELO:PCU50 - PENTHEON C/ BATERIA")</f>
        <v>(CORTADOR) - HOLMATRO MODELO:PCU50 - PENTHEON C/ BATERIA</v>
      </c>
    </row>
    <row r="14" ht="22.5" customHeight="1">
      <c r="A14" s="30">
        <f>IFERROR(__xludf.DUMMYFUNCTION("""COMPUTED_VALUE"""),19.0)</f>
        <v>19</v>
      </c>
      <c r="B14" s="39" t="str">
        <f>IFERROR(__xludf.DUMMYFUNCTION("""COMPUTED_VALUE"""),"FLUTUADOR PARA SALVAMENTO AQUATICO -")</f>
        <v>FLUTUADOR PARA SALVAMENTO AQUATICO -</v>
      </c>
      <c r="C14" s="32">
        <f>IFERROR(__xludf.DUMMYFUNCTION("""COMPUTED_VALUE"""),1.0)</f>
        <v>1</v>
      </c>
      <c r="D14" s="33" t="str">
        <f>IFERROR(__xludf.DUMMYFUNCTION("""COMPUTED_VALUE"""),"VIATURA")</f>
        <v>VIATURA</v>
      </c>
      <c r="E14" s="34" t="str">
        <f>IFERROR(__xludf.DUMMYFUNCTION("""COMPUTED_VALUE"""),"1 - ABTS1418")</f>
        <v>1 - ABTS1418</v>
      </c>
      <c r="F14" s="34" t="str">
        <f>IFERROR(__xludf.DUMMYFUNCTION("""COMPUTED_VALUE"""),"BOX 02")</f>
        <v>BOX 02</v>
      </c>
      <c r="G14" s="35">
        <f>IFERROR(__xludf.DUMMYFUNCTION("""COMPUTED_VALUE"""),45527.0)</f>
        <v>45527</v>
      </c>
      <c r="H14" s="34"/>
      <c r="I14" s="37"/>
    </row>
    <row r="15" ht="22.5" customHeight="1">
      <c r="A15" s="30">
        <f>IFERROR(__xludf.DUMMYFUNCTION("""COMPUTED_VALUE"""),272.0)</f>
        <v>272</v>
      </c>
      <c r="B15" s="31" t="str">
        <f>IFERROR(__xludf.DUMMYFUNCTION("""COMPUTED_VALUE"""),"MARTELO DE BORRACHA")</f>
        <v>MARTELO DE BORRACHA</v>
      </c>
      <c r="C15" s="32">
        <f>IFERROR(__xludf.DUMMYFUNCTION("""COMPUTED_VALUE"""),1.0)</f>
        <v>1</v>
      </c>
      <c r="D15" s="33" t="str">
        <f>IFERROR(__xludf.DUMMYFUNCTION("""COMPUTED_VALUE"""),"VIATURA")</f>
        <v>VIATURA</v>
      </c>
      <c r="E15" s="34" t="str">
        <f>IFERROR(__xludf.DUMMYFUNCTION("""COMPUTED_VALUE"""),"1 - ABTS1418")</f>
        <v>1 - ABTS1418</v>
      </c>
      <c r="F15" s="34" t="str">
        <f>IFERROR(__xludf.DUMMYFUNCTION("""COMPUTED_VALUE"""),"BOX 02")</f>
        <v>BOX 02</v>
      </c>
      <c r="G15" s="35">
        <f>IFERROR(__xludf.DUMMYFUNCTION("""COMPUTED_VALUE"""),45580.0)</f>
        <v>45580</v>
      </c>
      <c r="H15" s="34"/>
      <c r="I15" s="37"/>
    </row>
    <row r="16" ht="22.5" customHeight="1">
      <c r="A16" s="30">
        <f>IFERROR(__xludf.DUMMYFUNCTION("""COMPUTED_VALUE"""),15.0)</f>
        <v>15</v>
      </c>
      <c r="B16" s="39" t="str">
        <f>IFERROR(__xludf.DUMMYFUNCTION("""COMPUTED_VALUE"""),"ROUPÃO SANITÁRIO")</f>
        <v>ROUPÃO SANITÁRIO</v>
      </c>
      <c r="C16" s="32">
        <f>IFERROR(__xludf.DUMMYFUNCTION("""COMPUTED_VALUE"""),2.0)</f>
        <v>2</v>
      </c>
      <c r="D16" s="33" t="str">
        <f>IFERROR(__xludf.DUMMYFUNCTION("""COMPUTED_VALUE"""),"VIATURA")</f>
        <v>VIATURA</v>
      </c>
      <c r="E16" s="34" t="str">
        <f>IFERROR(__xludf.DUMMYFUNCTION("""COMPUTED_VALUE"""),"1 - ABTS1418")</f>
        <v>1 - ABTS1418</v>
      </c>
      <c r="F16" s="34" t="str">
        <f>IFERROR(__xludf.DUMMYFUNCTION("""COMPUTED_VALUE"""),"BOX 02")</f>
        <v>BOX 02</v>
      </c>
      <c r="G16" s="35">
        <f>IFERROR(__xludf.DUMMYFUNCTION("""COMPUTED_VALUE"""),45527.0)</f>
        <v>45527</v>
      </c>
      <c r="H16" s="34"/>
      <c r="I16" s="37"/>
    </row>
    <row r="17" ht="22.5" customHeight="1">
      <c r="A17" s="30">
        <f>IFERROR(__xludf.DUMMYFUNCTION("""COMPUTED_VALUE"""),21.0)</f>
        <v>21</v>
      </c>
      <c r="B17" s="31" t="str">
        <f>IFERROR(__xludf.DUMMYFUNCTION("""COMPUTED_VALUE"""),"SACO DE CORDAS PARA RESGATE AQUATICO -")</f>
        <v>SACO DE CORDAS PARA RESGATE AQUATICO -</v>
      </c>
      <c r="C17" s="32">
        <f>IFERROR(__xludf.DUMMYFUNCTION("""COMPUTED_VALUE"""),2.0)</f>
        <v>2</v>
      </c>
      <c r="D17" s="33" t="str">
        <f>IFERROR(__xludf.DUMMYFUNCTION("""COMPUTED_VALUE"""),"VIATURA")</f>
        <v>VIATURA</v>
      </c>
      <c r="E17" s="34" t="str">
        <f>IFERROR(__xludf.DUMMYFUNCTION("""COMPUTED_VALUE"""),"1 - ABTS1418")</f>
        <v>1 - ABTS1418</v>
      </c>
      <c r="F17" s="34" t="str">
        <f>IFERROR(__xludf.DUMMYFUNCTION("""COMPUTED_VALUE"""),"BOX 02")</f>
        <v>BOX 02</v>
      </c>
      <c r="G17" s="35">
        <f>IFERROR(__xludf.DUMMYFUNCTION("""COMPUTED_VALUE"""),45527.0)</f>
        <v>45527</v>
      </c>
      <c r="H17" s="34"/>
      <c r="I17" s="37"/>
    </row>
    <row r="18" ht="22.5" customHeight="1">
      <c r="A18" s="30">
        <f>IFERROR(__xludf.DUMMYFUNCTION("""COMPUTED_VALUE"""),14.0)</f>
        <v>14</v>
      </c>
      <c r="B18" s="31" t="str">
        <f>IFERROR(__xludf.DUMMYFUNCTION("""COMPUTED_VALUE"""),"ALAVANCA PÉ DE CABRA")</f>
        <v>ALAVANCA PÉ DE CABRA</v>
      </c>
      <c r="C18" s="32">
        <f>IFERROR(__xludf.DUMMYFUNCTION("""COMPUTED_VALUE"""),1.0)</f>
        <v>1</v>
      </c>
      <c r="D18" s="33" t="str">
        <f>IFERROR(__xludf.DUMMYFUNCTION("""COMPUTED_VALUE"""),"VIATURA")</f>
        <v>VIATURA</v>
      </c>
      <c r="E18" s="34" t="str">
        <f>IFERROR(__xludf.DUMMYFUNCTION("""COMPUTED_VALUE"""),"1 - ABTS1418")</f>
        <v>1 - ABTS1418</v>
      </c>
      <c r="F18" s="34" t="str">
        <f>IFERROR(__xludf.DUMMYFUNCTION("""COMPUTED_VALUE"""),"BOX 03")</f>
        <v>BOX 03</v>
      </c>
      <c r="G18" s="35">
        <f>IFERROR(__xludf.DUMMYFUNCTION("""COMPUTED_VALUE"""),45527.0)</f>
        <v>45527</v>
      </c>
      <c r="H18" s="34"/>
      <c r="I18" s="37"/>
    </row>
    <row r="19" ht="22.5" customHeight="1">
      <c r="A19" s="30">
        <f>IFERROR(__xludf.DUMMYFUNCTION("""COMPUTED_VALUE"""),4.0)</f>
        <v>4</v>
      </c>
      <c r="B19" s="31" t="str">
        <f>IFERROR(__xludf.DUMMYFUNCTION("""COMPUTED_VALUE"""),"CABO DE AÇO")</f>
        <v>CABO DE AÇO</v>
      </c>
      <c r="C19" s="32">
        <f>IFERROR(__xludf.DUMMYFUNCTION("""COMPUTED_VALUE"""),1.0)</f>
        <v>1</v>
      </c>
      <c r="D19" s="33" t="str">
        <f>IFERROR(__xludf.DUMMYFUNCTION("""COMPUTED_VALUE"""),"VIATURA")</f>
        <v>VIATURA</v>
      </c>
      <c r="E19" s="34" t="str">
        <f>IFERROR(__xludf.DUMMYFUNCTION("""COMPUTED_VALUE"""),"1 - ABTS1418")</f>
        <v>1 - ABTS1418</v>
      </c>
      <c r="F19" s="34" t="str">
        <f>IFERROR(__xludf.DUMMYFUNCTION("""COMPUTED_VALUE"""),"BOX 03")</f>
        <v>BOX 03</v>
      </c>
      <c r="G19" s="35">
        <f>IFERROR(__xludf.DUMMYFUNCTION("""COMPUTED_VALUE"""),45527.0)</f>
        <v>45527</v>
      </c>
      <c r="H19" s="34"/>
      <c r="I19" s="37"/>
    </row>
    <row r="20" ht="22.5" customHeight="1">
      <c r="A20" s="30">
        <f>IFERROR(__xludf.DUMMYFUNCTION("""COMPUTED_VALUE"""),10.0)</f>
        <v>10</v>
      </c>
      <c r="B20" s="31" t="str">
        <f>IFERROR(__xludf.DUMMYFUNCTION("""COMPUTED_VALUE"""),"CORTA FRIO 36''")</f>
        <v>CORTA FRIO 36''</v>
      </c>
      <c r="C20" s="32">
        <f>IFERROR(__xludf.DUMMYFUNCTION("""COMPUTED_VALUE"""),1.0)</f>
        <v>1</v>
      </c>
      <c r="D20" s="33" t="str">
        <f>IFERROR(__xludf.DUMMYFUNCTION("""COMPUTED_VALUE"""),"VIATURA")</f>
        <v>VIATURA</v>
      </c>
      <c r="E20" s="34" t="str">
        <f>IFERROR(__xludf.DUMMYFUNCTION("""COMPUTED_VALUE"""),"1 - ABTS1418")</f>
        <v>1 - ABTS1418</v>
      </c>
      <c r="F20" s="34" t="str">
        <f>IFERROR(__xludf.DUMMYFUNCTION("""COMPUTED_VALUE"""),"BOX 03")</f>
        <v>BOX 03</v>
      </c>
      <c r="G20" s="35">
        <f>IFERROR(__xludf.DUMMYFUNCTION("""COMPUTED_VALUE"""),45527.0)</f>
        <v>45527</v>
      </c>
      <c r="H20" s="34"/>
      <c r="I20" s="37"/>
    </row>
    <row r="21" ht="22.5" customHeight="1">
      <c r="A21" s="30">
        <f>IFERROR(__xludf.DUMMYFUNCTION("""COMPUTED_VALUE"""),9.0)</f>
        <v>9</v>
      </c>
      <c r="B21" s="31" t="str">
        <f>IFERROR(__xludf.DUMMYFUNCTION("""COMPUTED_VALUE"""),"FACÕES")</f>
        <v>FACÕES</v>
      </c>
      <c r="C21" s="32">
        <f>IFERROR(__xludf.DUMMYFUNCTION("""COMPUTED_VALUE"""),4.0)</f>
        <v>4</v>
      </c>
      <c r="D21" s="33" t="str">
        <f>IFERROR(__xludf.DUMMYFUNCTION("""COMPUTED_VALUE"""),"VIATURA")</f>
        <v>VIATURA</v>
      </c>
      <c r="E21" s="34" t="str">
        <f>IFERROR(__xludf.DUMMYFUNCTION("""COMPUTED_VALUE"""),"1 - ABTS1418")</f>
        <v>1 - ABTS1418</v>
      </c>
      <c r="F21" s="34" t="str">
        <f>IFERROR(__xludf.DUMMYFUNCTION("""COMPUTED_VALUE"""),"BOX 03")</f>
        <v>BOX 03</v>
      </c>
      <c r="G21" s="35">
        <f>IFERROR(__xludf.DUMMYFUNCTION("""COMPUTED_VALUE"""),45527.0)</f>
        <v>45527</v>
      </c>
      <c r="H21" s="34"/>
      <c r="I21" s="37"/>
    </row>
    <row r="22" ht="22.5" customHeight="1">
      <c r="A22" s="30">
        <f>IFERROR(__xludf.DUMMYFUNCTION("""COMPUTED_VALUE"""),6.0)</f>
        <v>6</v>
      </c>
      <c r="B22" s="31" t="str">
        <f>IFERROR(__xludf.DUMMYFUNCTION("""COMPUTED_VALUE"""),"LINGA")</f>
        <v>LINGA</v>
      </c>
      <c r="C22" s="32">
        <f>IFERROR(__xludf.DUMMYFUNCTION("""COMPUTED_VALUE"""),1.0)</f>
        <v>1</v>
      </c>
      <c r="D22" s="33" t="str">
        <f>IFERROR(__xludf.DUMMYFUNCTION("""COMPUTED_VALUE"""),"VIATURA")</f>
        <v>VIATURA</v>
      </c>
      <c r="E22" s="34" t="str">
        <f>IFERROR(__xludf.DUMMYFUNCTION("""COMPUTED_VALUE"""),"1 - ABTS1418")</f>
        <v>1 - ABTS1418</v>
      </c>
      <c r="F22" s="34" t="str">
        <f>IFERROR(__xludf.DUMMYFUNCTION("""COMPUTED_VALUE"""),"BOX 03")</f>
        <v>BOX 03</v>
      </c>
      <c r="G22" s="35">
        <f>IFERROR(__xludf.DUMMYFUNCTION("""COMPUTED_VALUE"""),45527.0)</f>
        <v>45527</v>
      </c>
      <c r="H22" s="34"/>
      <c r="I22" s="37" t="str">
        <f>IFERROR(__xludf.DUMMYFUNCTION("""COMPUTED_VALUE"""),"LINGA DE AÇO TIFOR")</f>
        <v>LINGA DE AÇO TIFOR</v>
      </c>
    </row>
    <row r="23" ht="22.5" customHeight="1">
      <c r="A23" s="30">
        <f>IFERROR(__xludf.DUMMYFUNCTION("""COMPUTED_VALUE"""),1049.0)</f>
        <v>1049</v>
      </c>
      <c r="B23" s="31" t="str">
        <f>IFERROR(__xludf.DUMMYFUNCTION("""COMPUTED_VALUE"""),"TALHA -")</f>
        <v>TALHA -</v>
      </c>
      <c r="C23" s="32">
        <f>IFERROR(__xludf.DUMMYFUNCTION("""COMPUTED_VALUE"""),1.0)</f>
        <v>1</v>
      </c>
      <c r="D23" s="33" t="str">
        <f>IFERROR(__xludf.DUMMYFUNCTION("""COMPUTED_VALUE"""),"VIATURA")</f>
        <v>VIATURA</v>
      </c>
      <c r="E23" s="34" t="str">
        <f>IFERROR(__xludf.DUMMYFUNCTION("""COMPUTED_VALUE"""),"1 - ABTS1418")</f>
        <v>1 - ABTS1418</v>
      </c>
      <c r="F23" s="34" t="str">
        <f>IFERROR(__xludf.DUMMYFUNCTION("""COMPUTED_VALUE"""),"BOX 03")</f>
        <v>BOX 03</v>
      </c>
      <c r="G23" s="35">
        <f>IFERROR(__xludf.DUMMYFUNCTION("""COMPUTED_VALUE"""),7.679239E7)</f>
        <v>76792390</v>
      </c>
      <c r="H23" s="34" t="str">
        <f>IFERROR(__xludf.DUMMYFUNCTION("""COMPUTED_VALUE"""),"n.s. 200894")</f>
        <v>n.s. 200894</v>
      </c>
      <c r="I23" s="37" t="str">
        <f>IFERROR(__xludf.DUMMYFUNCTION("""COMPUTED_VALUE"""),"3.200 kg")</f>
        <v>3.200 kg</v>
      </c>
    </row>
    <row r="24" ht="22.5" customHeight="1">
      <c r="A24" s="30">
        <f>IFERROR(__xludf.DUMMYFUNCTION("""COMPUTED_VALUE"""),5.0)</f>
        <v>5</v>
      </c>
      <c r="B24" s="31" t="str">
        <f>IFERROR(__xludf.DUMMYFUNCTION("""COMPUTED_VALUE"""),"TUBO TELESCÓPICO")</f>
        <v>TUBO TELESCÓPICO</v>
      </c>
      <c r="C24" s="32">
        <f>IFERROR(__xludf.DUMMYFUNCTION("""COMPUTED_VALUE"""),1.0)</f>
        <v>1</v>
      </c>
      <c r="D24" s="33" t="str">
        <f>IFERROR(__xludf.DUMMYFUNCTION("""COMPUTED_VALUE"""),"VIATURA")</f>
        <v>VIATURA</v>
      </c>
      <c r="E24" s="34" t="str">
        <f>IFERROR(__xludf.DUMMYFUNCTION("""COMPUTED_VALUE"""),"1 - ABTS1418")</f>
        <v>1 - ABTS1418</v>
      </c>
      <c r="F24" s="34" t="str">
        <f>IFERROR(__xludf.DUMMYFUNCTION("""COMPUTED_VALUE"""),"BOX 03")</f>
        <v>BOX 03</v>
      </c>
      <c r="G24" s="35">
        <f>IFERROR(__xludf.DUMMYFUNCTION("""COMPUTED_VALUE"""),45527.0)</f>
        <v>45527</v>
      </c>
      <c r="H24" s="34"/>
      <c r="I24" s="37"/>
    </row>
    <row r="25" ht="22.5" customHeight="1">
      <c r="A25" s="30">
        <f>IFERROR(__xludf.DUMMYFUNCTION("""COMPUTED_VALUE"""),770.0)</f>
        <v>770</v>
      </c>
      <c r="B25" s="31" t="str">
        <f>IFERROR(__xludf.DUMMYFUNCTION("""COMPUTED_VALUE"""),"BALDE PARA SERRAGEM")</f>
        <v>BALDE PARA SERRAGEM</v>
      </c>
      <c r="C25" s="32">
        <f>IFERROR(__xludf.DUMMYFUNCTION("""COMPUTED_VALUE"""),1.0)</f>
        <v>1</v>
      </c>
      <c r="D25" s="33" t="str">
        <f>IFERROR(__xludf.DUMMYFUNCTION("""COMPUTED_VALUE"""),"VIATURA")</f>
        <v>VIATURA</v>
      </c>
      <c r="E25" s="34" t="str">
        <f>IFERROR(__xludf.DUMMYFUNCTION("""COMPUTED_VALUE"""),"1 - ABTS1418")</f>
        <v>1 - ABTS1418</v>
      </c>
      <c r="F25" s="34" t="str">
        <f>IFERROR(__xludf.DUMMYFUNCTION("""COMPUTED_VALUE"""),"BOX 04")</f>
        <v>BOX 04</v>
      </c>
      <c r="G25" s="35"/>
      <c r="H25" s="34"/>
      <c r="I25" s="37"/>
    </row>
    <row r="26" ht="22.5" customHeight="1">
      <c r="A26" s="30">
        <f>IFERROR(__xludf.DUMMYFUNCTION("""COMPUTED_VALUE"""),25.0)</f>
        <v>25</v>
      </c>
      <c r="B26" s="31" t="str">
        <f>IFERROR(__xludf.DUMMYFUNCTION("""COMPUTED_VALUE"""),"ANEL DE FITA 120 CM")</f>
        <v>ANEL DE FITA 120 CM</v>
      </c>
      <c r="C26" s="32">
        <f>IFERROR(__xludf.DUMMYFUNCTION("""COMPUTED_VALUE"""),4.0)</f>
        <v>4</v>
      </c>
      <c r="D26" s="33" t="str">
        <f>IFERROR(__xludf.DUMMYFUNCTION("""COMPUTED_VALUE"""),"VIATURA")</f>
        <v>VIATURA</v>
      </c>
      <c r="E26" s="34" t="str">
        <f>IFERROR(__xludf.DUMMYFUNCTION("""COMPUTED_VALUE"""),"1 - ABTS1418")</f>
        <v>1 - ABTS1418</v>
      </c>
      <c r="F26" s="34" t="str">
        <f>IFERROR(__xludf.DUMMYFUNCTION("""COMPUTED_VALUE"""),"BOX 05")</f>
        <v>BOX 05</v>
      </c>
      <c r="G26" s="35">
        <f>IFERROR(__xludf.DUMMYFUNCTION("""COMPUTED_VALUE"""),45527.0)</f>
        <v>45527</v>
      </c>
      <c r="H26" s="34"/>
      <c r="I26" s="37"/>
    </row>
    <row r="27" ht="22.5" customHeight="1">
      <c r="A27" s="30">
        <f>IFERROR(__xludf.DUMMYFUNCTION("""COMPUTED_VALUE"""),26.0)</f>
        <v>26</v>
      </c>
      <c r="B27" s="40" t="str">
        <f>IFERROR(__xludf.DUMMYFUNCTION("""COMPUTED_VALUE"""),"ANEL DE FITA 80CM")</f>
        <v>ANEL DE FITA 80CM</v>
      </c>
      <c r="C27" s="32">
        <f>IFERROR(__xludf.DUMMYFUNCTION("""COMPUTED_VALUE"""),2.0)</f>
        <v>2</v>
      </c>
      <c r="D27" s="33" t="str">
        <f>IFERROR(__xludf.DUMMYFUNCTION("""COMPUTED_VALUE"""),"VIATURA")</f>
        <v>VIATURA</v>
      </c>
      <c r="E27" s="34" t="str">
        <f>IFERROR(__xludf.DUMMYFUNCTION("""COMPUTED_VALUE"""),"1 - ABTS1418")</f>
        <v>1 - ABTS1418</v>
      </c>
      <c r="F27" s="34" t="str">
        <f>IFERROR(__xludf.DUMMYFUNCTION("""COMPUTED_VALUE"""),"BOX 05")</f>
        <v>BOX 05</v>
      </c>
      <c r="G27" s="35">
        <f>IFERROR(__xludf.DUMMYFUNCTION("""COMPUTED_VALUE"""),45527.0)</f>
        <v>45527</v>
      </c>
      <c r="H27" s="34"/>
      <c r="I27" s="37"/>
    </row>
    <row r="28" ht="22.5" customHeight="1">
      <c r="A28" s="30">
        <f>IFERROR(__xludf.DUMMYFUNCTION("""COMPUTED_VALUE"""),34.0)</f>
        <v>34</v>
      </c>
      <c r="B28" s="31" t="str">
        <f>IFERROR(__xludf.DUMMYFUNCTION("""COMPUTED_VALUE"""),"BIG OITO")</f>
        <v>BIG OITO</v>
      </c>
      <c r="C28" s="32">
        <f>IFERROR(__xludf.DUMMYFUNCTION("""COMPUTED_VALUE"""),4.0)</f>
        <v>4</v>
      </c>
      <c r="D28" s="33" t="str">
        <f>IFERROR(__xludf.DUMMYFUNCTION("""COMPUTED_VALUE"""),"VIATURA")</f>
        <v>VIATURA</v>
      </c>
      <c r="E28" s="34" t="str">
        <f>IFERROR(__xludf.DUMMYFUNCTION("""COMPUTED_VALUE"""),"1 - ABTS1418")</f>
        <v>1 - ABTS1418</v>
      </c>
      <c r="F28" s="34" t="str">
        <f>IFERROR(__xludf.DUMMYFUNCTION("""COMPUTED_VALUE"""),"BOX 05")</f>
        <v>BOX 05</v>
      </c>
      <c r="G28" s="35">
        <f>IFERROR(__xludf.DUMMYFUNCTION("""COMPUTED_VALUE"""),45527.0)</f>
        <v>45527</v>
      </c>
      <c r="H28" s="34"/>
      <c r="I28" s="37"/>
    </row>
    <row r="29" ht="22.5" customHeight="1">
      <c r="A29" s="30">
        <f>IFERROR(__xludf.DUMMYFUNCTION("""COMPUTED_VALUE"""),24.0)</f>
        <v>24</v>
      </c>
      <c r="B29" s="31" t="str">
        <f>IFERROR(__xludf.DUMMYFUNCTION("""COMPUTED_VALUE"""),"BOLSA SALV. ALTURA MERET")</f>
        <v>BOLSA SALV. ALTURA MERET</v>
      </c>
      <c r="C29" s="32">
        <f>IFERROR(__xludf.DUMMYFUNCTION("""COMPUTED_VALUE"""),1.0)</f>
        <v>1</v>
      </c>
      <c r="D29" s="33" t="str">
        <f>IFERROR(__xludf.DUMMYFUNCTION("""COMPUTED_VALUE"""),"VIATURA")</f>
        <v>VIATURA</v>
      </c>
      <c r="E29" s="34" t="str">
        <f>IFERROR(__xludf.DUMMYFUNCTION("""COMPUTED_VALUE"""),"1 - ABTS1418")</f>
        <v>1 - ABTS1418</v>
      </c>
      <c r="F29" s="34" t="str">
        <f>IFERROR(__xludf.DUMMYFUNCTION("""COMPUTED_VALUE"""),"BOX 05")</f>
        <v>BOX 05</v>
      </c>
      <c r="G29" s="35">
        <f>IFERROR(__xludf.DUMMYFUNCTION("""COMPUTED_VALUE"""),45527.0)</f>
        <v>45527</v>
      </c>
      <c r="H29" s="34"/>
      <c r="I29" s="37"/>
    </row>
    <row r="30" ht="22.5" customHeight="1">
      <c r="A30" s="30">
        <f>IFERROR(__xludf.DUMMYFUNCTION("""COMPUTED_VALUE"""),38.0)</f>
        <v>38</v>
      </c>
      <c r="B30" s="31" t="str">
        <f>IFERROR(__xludf.DUMMYFUNCTION("""COMPUTED_VALUE"""),"CABO SOLTEIRO")</f>
        <v>CABO SOLTEIRO</v>
      </c>
      <c r="C30" s="32">
        <f>IFERROR(__xludf.DUMMYFUNCTION("""COMPUTED_VALUE"""),1.0)</f>
        <v>1</v>
      </c>
      <c r="D30" s="33" t="str">
        <f>IFERROR(__xludf.DUMMYFUNCTION("""COMPUTED_VALUE"""),"VIATURA")</f>
        <v>VIATURA</v>
      </c>
      <c r="E30" s="34" t="str">
        <f>IFERROR(__xludf.DUMMYFUNCTION("""COMPUTED_VALUE"""),"1 - ABTS1418")</f>
        <v>1 - ABTS1418</v>
      </c>
      <c r="F30" s="34" t="str">
        <f>IFERROR(__xludf.DUMMYFUNCTION("""COMPUTED_VALUE"""),"BOX 05")</f>
        <v>BOX 05</v>
      </c>
      <c r="G30" s="35"/>
      <c r="H30" s="34"/>
      <c r="I30" s="37"/>
    </row>
    <row r="31" ht="22.5" customHeight="1">
      <c r="A31" s="30">
        <f>IFERROR(__xludf.DUMMYFUNCTION("""COMPUTED_VALUE"""),23.0)</f>
        <v>23</v>
      </c>
      <c r="B31" s="31" t="str">
        <f>IFERROR(__xludf.DUMMYFUNCTION("""COMPUTED_VALUE"""),"CINTO SEGURANÇA - TIPO: PARAQUEDISTA C/ MOSQUETÃO")</f>
        <v>CINTO SEGURANÇA - TIPO: PARAQUEDISTA C/ MOSQUETÃO</v>
      </c>
      <c r="C31" s="32">
        <f>IFERROR(__xludf.DUMMYFUNCTION("""COMPUTED_VALUE"""),3.0)</f>
        <v>3</v>
      </c>
      <c r="D31" s="33" t="str">
        <f>IFERROR(__xludf.DUMMYFUNCTION("""COMPUTED_VALUE"""),"VIATURA")</f>
        <v>VIATURA</v>
      </c>
      <c r="E31" s="34" t="str">
        <f>IFERROR(__xludf.DUMMYFUNCTION("""COMPUTED_VALUE"""),"1 - ABTS1418")</f>
        <v>1 - ABTS1418</v>
      </c>
      <c r="F31" s="34" t="str">
        <f>IFERROR(__xludf.DUMMYFUNCTION("""COMPUTED_VALUE"""),"BOX 05")</f>
        <v>BOX 05</v>
      </c>
      <c r="G31" s="35">
        <f>IFERROR(__xludf.DUMMYFUNCTION("""COMPUTED_VALUE"""),45527.0)</f>
        <v>45527</v>
      </c>
      <c r="H31" s="34"/>
      <c r="I31" s="37"/>
    </row>
    <row r="32" ht="22.5" customHeight="1">
      <c r="A32" s="30">
        <f>IFERROR(__xludf.DUMMYFUNCTION("""COMPUTED_VALUE"""),22.0)</f>
        <v>22</v>
      </c>
      <c r="B32" s="31" t="str">
        <f>IFERROR(__xludf.DUMMYFUNCTION("""COMPUTED_VALUE"""),"CORDA -")</f>
        <v>CORDA -</v>
      </c>
      <c r="C32" s="32">
        <f>IFERROR(__xludf.DUMMYFUNCTION("""COMPUTED_VALUE"""),2.0)</f>
        <v>2</v>
      </c>
      <c r="D32" s="33" t="str">
        <f>IFERROR(__xludf.DUMMYFUNCTION("""COMPUTED_VALUE"""),"VIATURA")</f>
        <v>VIATURA</v>
      </c>
      <c r="E32" s="34" t="str">
        <f>IFERROR(__xludf.DUMMYFUNCTION("""COMPUTED_VALUE"""),"1 - ABTS1418")</f>
        <v>1 - ABTS1418</v>
      </c>
      <c r="F32" s="34" t="str">
        <f>IFERROR(__xludf.DUMMYFUNCTION("""COMPUTED_VALUE"""),"BOX 05")</f>
        <v>BOX 05</v>
      </c>
      <c r="G32" s="35">
        <f>IFERROR(__xludf.DUMMYFUNCTION("""COMPUTED_VALUE"""),45527.0)</f>
        <v>45527</v>
      </c>
      <c r="H32" s="34"/>
      <c r="I32" s="37"/>
    </row>
    <row r="33" ht="22.5" customHeight="1">
      <c r="A33" s="30">
        <f>IFERROR(__xludf.DUMMYFUNCTION("""COMPUTED_VALUE"""),1.0)</f>
        <v>1</v>
      </c>
      <c r="B33" s="31" t="str">
        <f>IFERROR(__xludf.DUMMYFUNCTION("""COMPUTED_VALUE"""),"CORDELETE")</f>
        <v>CORDELETE</v>
      </c>
      <c r="C33" s="32">
        <f>IFERROR(__xludf.DUMMYFUNCTION("""COMPUTED_VALUE"""),9.0)</f>
        <v>9</v>
      </c>
      <c r="D33" s="33" t="str">
        <f>IFERROR(__xludf.DUMMYFUNCTION("""COMPUTED_VALUE"""),"VIATURA")</f>
        <v>VIATURA</v>
      </c>
      <c r="E33" s="34" t="str">
        <f>IFERROR(__xludf.DUMMYFUNCTION("""COMPUTED_VALUE"""),"1 - ABTS1418")</f>
        <v>1 - ABTS1418</v>
      </c>
      <c r="F33" s="34" t="str">
        <f>IFERROR(__xludf.DUMMYFUNCTION("""COMPUTED_VALUE"""),"BOX 05")</f>
        <v>BOX 05</v>
      </c>
      <c r="G33" s="35">
        <f>IFERROR(__xludf.DUMMYFUNCTION("""COMPUTED_VALUE"""),45527.0)</f>
        <v>45527</v>
      </c>
      <c r="H33" s="34"/>
      <c r="I33" s="37"/>
    </row>
    <row r="34" ht="22.5" customHeight="1">
      <c r="A34" s="30">
        <f>IFERROR(__xludf.DUMMYFUNCTION("""COMPUTED_VALUE"""),28.0)</f>
        <v>28</v>
      </c>
      <c r="B34" s="39" t="str">
        <f>IFERROR(__xludf.DUMMYFUNCTION("""COMPUTED_VALUE"""),"FREIO OITO -")</f>
        <v>FREIO OITO -</v>
      </c>
      <c r="C34" s="32">
        <f>IFERROR(__xludf.DUMMYFUNCTION("""COMPUTED_VALUE"""),4.0)</f>
        <v>4</v>
      </c>
      <c r="D34" s="33" t="str">
        <f>IFERROR(__xludf.DUMMYFUNCTION("""COMPUTED_VALUE"""),"VIATURA")</f>
        <v>VIATURA</v>
      </c>
      <c r="E34" s="34" t="str">
        <f>IFERROR(__xludf.DUMMYFUNCTION("""COMPUTED_VALUE"""),"1 - ABTS1418")</f>
        <v>1 - ABTS1418</v>
      </c>
      <c r="F34" s="34" t="str">
        <f>IFERROR(__xludf.DUMMYFUNCTION("""COMPUTED_VALUE"""),"BOX 05")</f>
        <v>BOX 05</v>
      </c>
      <c r="G34" s="35">
        <f>IFERROR(__xludf.DUMMYFUNCTION("""COMPUTED_VALUE"""),45527.0)</f>
        <v>45527</v>
      </c>
      <c r="H34" s="34"/>
      <c r="I34" s="37"/>
    </row>
    <row r="35" ht="22.5" customHeight="1">
      <c r="A35" s="30">
        <f>IFERROR(__xludf.DUMMYFUNCTION("""COMPUTED_VALUE"""),30.0)</f>
        <v>30</v>
      </c>
      <c r="B35" s="39" t="str">
        <f>IFERROR(__xludf.DUMMYFUNCTION("""COMPUTED_VALUE"""),"MOSQUETÃO DE AÇO")</f>
        <v>MOSQUETÃO DE AÇO</v>
      </c>
      <c r="C35" s="32">
        <f>IFERROR(__xludf.DUMMYFUNCTION("""COMPUTED_VALUE"""),4.0)</f>
        <v>4</v>
      </c>
      <c r="D35" s="33" t="str">
        <f>IFERROR(__xludf.DUMMYFUNCTION("""COMPUTED_VALUE"""),"VIATURA")</f>
        <v>VIATURA</v>
      </c>
      <c r="E35" s="34" t="str">
        <f>IFERROR(__xludf.DUMMYFUNCTION("""COMPUTED_VALUE"""),"1 - ABTS1418")</f>
        <v>1 - ABTS1418</v>
      </c>
      <c r="F35" s="34" t="str">
        <f>IFERROR(__xludf.DUMMYFUNCTION("""COMPUTED_VALUE"""),"BOX 05")</f>
        <v>BOX 05</v>
      </c>
      <c r="G35" s="35">
        <f>IFERROR(__xludf.DUMMYFUNCTION("""COMPUTED_VALUE"""),45527.0)</f>
        <v>45527</v>
      </c>
      <c r="H35" s="34"/>
      <c r="I35" s="37"/>
    </row>
    <row r="36" ht="22.5" customHeight="1">
      <c r="A36" s="30">
        <f>IFERROR(__xludf.DUMMYFUNCTION("""COMPUTED_VALUE"""),29.0)</f>
        <v>29</v>
      </c>
      <c r="B36" s="39" t="str">
        <f>IFERROR(__xludf.DUMMYFUNCTION("""COMPUTED_VALUE"""),"MOSQUETÃO DE ALUMÍNIO")</f>
        <v>MOSQUETÃO DE ALUMÍNIO</v>
      </c>
      <c r="C36" s="32">
        <f>IFERROR(__xludf.DUMMYFUNCTION("""COMPUTED_VALUE"""),12.0)</f>
        <v>12</v>
      </c>
      <c r="D36" s="33" t="str">
        <f>IFERROR(__xludf.DUMMYFUNCTION("""COMPUTED_VALUE"""),"VIATURA")</f>
        <v>VIATURA</v>
      </c>
      <c r="E36" s="34" t="str">
        <f>IFERROR(__xludf.DUMMYFUNCTION("""COMPUTED_VALUE"""),"1 - ABTS1418")</f>
        <v>1 - ABTS1418</v>
      </c>
      <c r="F36" s="34" t="str">
        <f>IFERROR(__xludf.DUMMYFUNCTION("""COMPUTED_VALUE"""),"BOX 05")</f>
        <v>BOX 05</v>
      </c>
      <c r="G36" s="35">
        <f>IFERROR(__xludf.DUMMYFUNCTION("""COMPUTED_VALUE"""),45527.0)</f>
        <v>45527</v>
      </c>
      <c r="H36" s="34"/>
      <c r="I36" s="37"/>
    </row>
    <row r="37" ht="22.5" customHeight="1">
      <c r="A37" s="30">
        <f>IFERROR(__xludf.DUMMYFUNCTION("""COMPUTED_VALUE"""),36.0)</f>
        <v>36</v>
      </c>
      <c r="B37" s="40" t="str">
        <f>IFERROR(__xludf.DUMMYFUNCTION("""COMPUTED_VALUE"""),"PASSADOR DE CORDAS SEGMENTADO")</f>
        <v>PASSADOR DE CORDAS SEGMENTADO</v>
      </c>
      <c r="C37" s="32">
        <f>IFERROR(__xludf.DUMMYFUNCTION("""COMPUTED_VALUE"""),1.0)</f>
        <v>1</v>
      </c>
      <c r="D37" s="33" t="str">
        <f>IFERROR(__xludf.DUMMYFUNCTION("""COMPUTED_VALUE"""),"VIATURA")</f>
        <v>VIATURA</v>
      </c>
      <c r="E37" s="34" t="str">
        <f>IFERROR(__xludf.DUMMYFUNCTION("""COMPUTED_VALUE"""),"1 - ABTS1418")</f>
        <v>1 - ABTS1418</v>
      </c>
      <c r="F37" s="34" t="str">
        <f>IFERROR(__xludf.DUMMYFUNCTION("""COMPUTED_VALUE"""),"BOX 05")</f>
        <v>BOX 05</v>
      </c>
      <c r="G37" s="35">
        <f>IFERROR(__xludf.DUMMYFUNCTION("""COMPUTED_VALUE"""),45527.0)</f>
        <v>45527</v>
      </c>
      <c r="H37" s="34"/>
      <c r="I37" s="37"/>
    </row>
    <row r="38" ht="22.5" customHeight="1">
      <c r="A38" s="30">
        <f>IFERROR(__xludf.DUMMYFUNCTION("""COMPUTED_VALUE"""),35.0)</f>
        <v>35</v>
      </c>
      <c r="B38" s="31" t="str">
        <f>IFERROR(__xludf.DUMMYFUNCTION("""COMPUTED_VALUE"""),"PLACA MULTI ANCORAGEM ")</f>
        <v>PLACA MULTI ANCORAGEM </v>
      </c>
      <c r="C38" s="32">
        <f>IFERROR(__xludf.DUMMYFUNCTION("""COMPUTED_VALUE"""),1.0)</f>
        <v>1</v>
      </c>
      <c r="D38" s="33" t="str">
        <f>IFERROR(__xludf.DUMMYFUNCTION("""COMPUTED_VALUE"""),"VIATURA")</f>
        <v>VIATURA</v>
      </c>
      <c r="E38" s="34" t="str">
        <f>IFERROR(__xludf.DUMMYFUNCTION("""COMPUTED_VALUE"""),"1 - ABTS1418")</f>
        <v>1 - ABTS1418</v>
      </c>
      <c r="F38" s="34" t="str">
        <f>IFERROR(__xludf.DUMMYFUNCTION("""COMPUTED_VALUE"""),"BOX 05")</f>
        <v>BOX 05</v>
      </c>
      <c r="G38" s="35">
        <f>IFERROR(__xludf.DUMMYFUNCTION("""COMPUTED_VALUE"""),45527.0)</f>
        <v>45527</v>
      </c>
      <c r="H38" s="34"/>
      <c r="I38" s="37"/>
    </row>
    <row r="39" ht="22.5" customHeight="1">
      <c r="A39" s="30">
        <f>IFERROR(__xludf.DUMMYFUNCTION("""COMPUTED_VALUE"""),31.0)</f>
        <v>31</v>
      </c>
      <c r="B39" s="31" t="str">
        <f>IFERROR(__xludf.DUMMYFUNCTION("""COMPUTED_VALUE"""),"POLIA DUPLA PLACA MÓVEL")</f>
        <v>POLIA DUPLA PLACA MÓVEL</v>
      </c>
      <c r="C39" s="32">
        <f>IFERROR(__xludf.DUMMYFUNCTION("""COMPUTED_VALUE"""),1.0)</f>
        <v>1</v>
      </c>
      <c r="D39" s="33" t="str">
        <f>IFERROR(__xludf.DUMMYFUNCTION("""COMPUTED_VALUE"""),"VIATURA")</f>
        <v>VIATURA</v>
      </c>
      <c r="E39" s="34" t="str">
        <f>IFERROR(__xludf.DUMMYFUNCTION("""COMPUTED_VALUE"""),"1 - ABTS1418")</f>
        <v>1 - ABTS1418</v>
      </c>
      <c r="F39" s="34" t="str">
        <f>IFERROR(__xludf.DUMMYFUNCTION("""COMPUTED_VALUE"""),"BOX 05")</f>
        <v>BOX 05</v>
      </c>
      <c r="G39" s="35">
        <f>IFERROR(__xludf.DUMMYFUNCTION("""COMPUTED_VALUE"""),45527.0)</f>
        <v>45527</v>
      </c>
      <c r="H39" s="34"/>
      <c r="I39" s="37"/>
    </row>
    <row r="40" ht="22.5" customHeight="1">
      <c r="A40" s="30">
        <f>IFERROR(__xludf.DUMMYFUNCTION("""COMPUTED_VALUE"""),33.0)</f>
        <v>33</v>
      </c>
      <c r="B40" s="31" t="str">
        <f>IFERROR(__xludf.DUMMYFUNCTION("""COMPUTED_VALUE"""),"POLIA SIMPLES PLACA FIXA")</f>
        <v>POLIA SIMPLES PLACA FIXA</v>
      </c>
      <c r="C40" s="32">
        <f>IFERROR(__xludf.DUMMYFUNCTION("""COMPUTED_VALUE"""),1.0)</f>
        <v>1</v>
      </c>
      <c r="D40" s="33" t="str">
        <f>IFERROR(__xludf.DUMMYFUNCTION("""COMPUTED_VALUE"""),"VIATURA")</f>
        <v>VIATURA</v>
      </c>
      <c r="E40" s="34" t="str">
        <f>IFERROR(__xludf.DUMMYFUNCTION("""COMPUTED_VALUE"""),"1 - ABTS1418")</f>
        <v>1 - ABTS1418</v>
      </c>
      <c r="F40" s="34" t="str">
        <f>IFERROR(__xludf.DUMMYFUNCTION("""COMPUTED_VALUE"""),"BOX 05")</f>
        <v>BOX 05</v>
      </c>
      <c r="G40" s="35">
        <f>IFERROR(__xludf.DUMMYFUNCTION("""COMPUTED_VALUE"""),45527.0)</f>
        <v>45527</v>
      </c>
      <c r="H40" s="34"/>
      <c r="I40" s="37"/>
    </row>
    <row r="41" ht="22.5" customHeight="1">
      <c r="A41" s="30">
        <f>IFERROR(__xludf.DUMMYFUNCTION("""COMPUTED_VALUE"""),32.0)</f>
        <v>32</v>
      </c>
      <c r="B41" s="31" t="str">
        <f>IFERROR(__xludf.DUMMYFUNCTION("""COMPUTED_VALUE"""),"POLIA SIMPLES PLACA MÓVEL")</f>
        <v>POLIA SIMPLES PLACA MÓVEL</v>
      </c>
      <c r="C41" s="32">
        <f>IFERROR(__xludf.DUMMYFUNCTION("""COMPUTED_VALUE"""),1.0)</f>
        <v>1</v>
      </c>
      <c r="D41" s="33" t="str">
        <f>IFERROR(__xludf.DUMMYFUNCTION("""COMPUTED_VALUE"""),"VIATURA")</f>
        <v>VIATURA</v>
      </c>
      <c r="E41" s="34" t="str">
        <f>IFERROR(__xludf.DUMMYFUNCTION("""COMPUTED_VALUE"""),"1 - ABTS1418")</f>
        <v>1 - ABTS1418</v>
      </c>
      <c r="F41" s="34" t="str">
        <f>IFERROR(__xludf.DUMMYFUNCTION("""COMPUTED_VALUE"""),"BOX 05")</f>
        <v>BOX 05</v>
      </c>
      <c r="G41" s="35">
        <f>IFERROR(__xludf.DUMMYFUNCTION("""COMPUTED_VALUE"""),45527.0)</f>
        <v>45527</v>
      </c>
      <c r="H41" s="34"/>
      <c r="I41" s="37"/>
    </row>
    <row r="42" ht="22.5" customHeight="1">
      <c r="A42" s="30">
        <f>IFERROR(__xludf.DUMMYFUNCTION("""COMPUTED_VALUE"""),37.0)</f>
        <v>37</v>
      </c>
      <c r="B42" s="31" t="str">
        <f>IFERROR(__xludf.DUMMYFUNCTION("""COMPUTED_VALUE"""),"PROTETOR DE QUINA ")</f>
        <v>PROTETOR DE QUINA </v>
      </c>
      <c r="C42" s="32">
        <f>IFERROR(__xludf.DUMMYFUNCTION("""COMPUTED_VALUE"""),1.0)</f>
        <v>1</v>
      </c>
      <c r="D42" s="33" t="str">
        <f>IFERROR(__xludf.DUMMYFUNCTION("""COMPUTED_VALUE"""),"VIATURA")</f>
        <v>VIATURA</v>
      </c>
      <c r="E42" s="34" t="str">
        <f>IFERROR(__xludf.DUMMYFUNCTION("""COMPUTED_VALUE"""),"1 - ABTS1418")</f>
        <v>1 - ABTS1418</v>
      </c>
      <c r="F42" s="34" t="str">
        <f>IFERROR(__xludf.DUMMYFUNCTION("""COMPUTED_VALUE"""),"BOX 05")</f>
        <v>BOX 05</v>
      </c>
      <c r="G42" s="35">
        <f>IFERROR(__xludf.DUMMYFUNCTION("""COMPUTED_VALUE"""),45527.0)</f>
        <v>45527</v>
      </c>
      <c r="H42" s="34"/>
      <c r="I42" s="37"/>
    </row>
    <row r="43" ht="22.5" customHeight="1">
      <c r="A43" s="30">
        <f>IFERROR(__xludf.DUMMYFUNCTION("""COMPUTED_VALUE"""),39.0)</f>
        <v>39</v>
      </c>
      <c r="B43" s="31" t="str">
        <f>IFERROR(__xludf.DUMMYFUNCTION("""COMPUTED_VALUE"""),"COLETOR")</f>
        <v>COLETOR</v>
      </c>
      <c r="C43" s="32">
        <f>IFERROR(__xludf.DUMMYFUNCTION("""COMPUTED_VALUE"""),1.0)</f>
        <v>1</v>
      </c>
      <c r="D43" s="33" t="str">
        <f>IFERROR(__xludf.DUMMYFUNCTION("""COMPUTED_VALUE"""),"VIATURA")</f>
        <v>VIATURA</v>
      </c>
      <c r="E43" s="34" t="str">
        <f>IFERROR(__xludf.DUMMYFUNCTION("""COMPUTED_VALUE"""),"1 - ABTS1418")</f>
        <v>1 - ABTS1418</v>
      </c>
      <c r="F43" s="34" t="str">
        <f>IFERROR(__xludf.DUMMYFUNCTION("""COMPUTED_VALUE"""),"BOX 07")</f>
        <v>BOX 07</v>
      </c>
      <c r="G43" s="35">
        <f>IFERROR(__xludf.DUMMYFUNCTION("""COMPUTED_VALUE"""),45527.0)</f>
        <v>45527</v>
      </c>
      <c r="H43" s="34"/>
      <c r="I43" s="37"/>
    </row>
    <row r="44" ht="22.5" customHeight="1">
      <c r="A44" s="30">
        <f>IFERROR(__xludf.DUMMYFUNCTION("""COMPUTED_VALUE"""),7.0)</f>
        <v>7</v>
      </c>
      <c r="B44" s="31" t="str">
        <f>IFERROR(__xludf.DUMMYFUNCTION("""COMPUTED_VALUE"""),"CONE SINALEIRO")</f>
        <v>CONE SINALEIRO</v>
      </c>
      <c r="C44" s="32">
        <f>IFERROR(__xludf.DUMMYFUNCTION("""COMPUTED_VALUE"""),5.0)</f>
        <v>5</v>
      </c>
      <c r="D44" s="33" t="str">
        <f>IFERROR(__xludf.DUMMYFUNCTION("""COMPUTED_VALUE"""),"VIATURA")</f>
        <v>VIATURA</v>
      </c>
      <c r="E44" s="34" t="str">
        <f>IFERROR(__xludf.DUMMYFUNCTION("""COMPUTED_VALUE"""),"1 - ABTS1418")</f>
        <v>1 - ABTS1418</v>
      </c>
      <c r="F44" s="34" t="str">
        <f>IFERROR(__xludf.DUMMYFUNCTION("""COMPUTED_VALUE"""),"BOX 07")</f>
        <v>BOX 07</v>
      </c>
      <c r="G44" s="35">
        <f>IFERROR(__xludf.DUMMYFUNCTION("""COMPUTED_VALUE"""),45527.0)</f>
        <v>45527</v>
      </c>
      <c r="H44" s="34"/>
      <c r="I44" s="37"/>
    </row>
    <row r="45" ht="22.5" customHeight="1">
      <c r="A45" s="30">
        <f>IFERROR(__xludf.DUMMYFUNCTION("""COMPUTED_VALUE"""),40.0)</f>
        <v>40</v>
      </c>
      <c r="B45" s="31" t="str">
        <f>IFERROR(__xludf.DUMMYFUNCTION("""COMPUTED_VALUE"""),"DIVISOR 3 BOCAS")</f>
        <v>DIVISOR 3 BOCAS</v>
      </c>
      <c r="C45" s="32">
        <f>IFERROR(__xludf.DUMMYFUNCTION("""COMPUTED_VALUE"""),1.0)</f>
        <v>1</v>
      </c>
      <c r="D45" s="33" t="str">
        <f>IFERROR(__xludf.DUMMYFUNCTION("""COMPUTED_VALUE"""),"VIATURA")</f>
        <v>VIATURA</v>
      </c>
      <c r="E45" s="34" t="str">
        <f>IFERROR(__xludf.DUMMYFUNCTION("""COMPUTED_VALUE"""),"1 - ABTS1418")</f>
        <v>1 - ABTS1418</v>
      </c>
      <c r="F45" s="34" t="str">
        <f>IFERROR(__xludf.DUMMYFUNCTION("""COMPUTED_VALUE"""),"BOX 07")</f>
        <v>BOX 07</v>
      </c>
      <c r="G45" s="35">
        <f>IFERROR(__xludf.DUMMYFUNCTION("""COMPUTED_VALUE"""),45527.0)</f>
        <v>45527</v>
      </c>
      <c r="H45" s="34"/>
      <c r="I45" s="37"/>
    </row>
    <row r="46" ht="22.5" customHeight="1">
      <c r="A46" s="30">
        <f>IFERROR(__xludf.DUMMYFUNCTION("""COMPUTED_VALUE"""),27.0)</f>
        <v>27</v>
      </c>
      <c r="B46" s="31" t="str">
        <f>IFERROR(__xludf.DUMMYFUNCTION("""COMPUTED_VALUE"""),"ADAPTADOR DE ¹/²"" COM ROSCA")</f>
        <v>ADAPTADOR DE ¹/²" COM ROSCA</v>
      </c>
      <c r="C46" s="32">
        <f>IFERROR(__xludf.DUMMYFUNCTION("""COMPUTED_VALUE"""),1.0)</f>
        <v>1</v>
      </c>
      <c r="D46" s="33" t="str">
        <f>IFERROR(__xludf.DUMMYFUNCTION("""COMPUTED_VALUE"""),"VIATURA")</f>
        <v>VIATURA</v>
      </c>
      <c r="E46" s="34" t="str">
        <f>IFERROR(__xludf.DUMMYFUNCTION("""COMPUTED_VALUE"""),"1 - ABTS1418")</f>
        <v>1 - ABTS1418</v>
      </c>
      <c r="F46" s="34" t="str">
        <f>IFERROR(__xludf.DUMMYFUNCTION("""COMPUTED_VALUE"""),"BOX 08")</f>
        <v>BOX 08</v>
      </c>
      <c r="G46" s="35">
        <f>IFERROR(__xludf.DUMMYFUNCTION("""COMPUTED_VALUE"""),45544.0)</f>
        <v>45544</v>
      </c>
      <c r="H46" s="34"/>
      <c r="I46" s="37"/>
    </row>
    <row r="47" ht="22.5" customHeight="1">
      <c r="A47" s="30">
        <f>IFERROR(__xludf.DUMMYFUNCTION("""COMPUTED_VALUE"""),45.0)</f>
        <v>45</v>
      </c>
      <c r="B47" s="40" t="str">
        <f>IFERROR(__xludf.DUMMYFUNCTION("""COMPUTED_VALUE"""),"CHAVE DE MANGOTE")</f>
        <v>CHAVE DE MANGOTE</v>
      </c>
      <c r="C47" s="32">
        <f>IFERROR(__xludf.DUMMYFUNCTION("""COMPUTED_VALUE"""),2.0)</f>
        <v>2</v>
      </c>
      <c r="D47" s="33" t="str">
        <f>IFERROR(__xludf.DUMMYFUNCTION("""COMPUTED_VALUE"""),"VIATURA")</f>
        <v>VIATURA</v>
      </c>
      <c r="E47" s="34" t="str">
        <f>IFERROR(__xludf.DUMMYFUNCTION("""COMPUTED_VALUE"""),"1 - ABTS1418")</f>
        <v>1 - ABTS1418</v>
      </c>
      <c r="F47" s="34" t="str">
        <f>IFERROR(__xludf.DUMMYFUNCTION("""COMPUTED_VALUE"""),"BOX 08")</f>
        <v>BOX 08</v>
      </c>
      <c r="G47" s="35">
        <f>IFERROR(__xludf.DUMMYFUNCTION("""COMPUTED_VALUE"""),45527.0)</f>
        <v>45527</v>
      </c>
      <c r="H47" s="34"/>
      <c r="I47" s="37"/>
    </row>
    <row r="48" ht="22.5" customHeight="1">
      <c r="A48" s="30">
        <f>IFERROR(__xludf.DUMMYFUNCTION("""COMPUTED_VALUE"""),44.0)</f>
        <v>44</v>
      </c>
      <c r="B48" s="31" t="str">
        <f>IFERROR(__xludf.DUMMYFUNCTION("""COMPUTED_VALUE"""),"CHAVE DE MANGUEIRA")</f>
        <v>CHAVE DE MANGUEIRA</v>
      </c>
      <c r="C48" s="32">
        <f>IFERROR(__xludf.DUMMYFUNCTION("""COMPUTED_VALUE"""),2.0)</f>
        <v>2</v>
      </c>
      <c r="D48" s="33" t="str">
        <f>IFERROR(__xludf.DUMMYFUNCTION("""COMPUTED_VALUE"""),"VIATURA")</f>
        <v>VIATURA</v>
      </c>
      <c r="E48" s="34" t="str">
        <f>IFERROR(__xludf.DUMMYFUNCTION("""COMPUTED_VALUE"""),"1 - ABTS1418")</f>
        <v>1 - ABTS1418</v>
      </c>
      <c r="F48" s="34" t="str">
        <f>IFERROR(__xludf.DUMMYFUNCTION("""COMPUTED_VALUE"""),"BOX 08")</f>
        <v>BOX 08</v>
      </c>
      <c r="G48" s="35">
        <f>IFERROR(__xludf.DUMMYFUNCTION("""COMPUTED_VALUE"""),45527.0)</f>
        <v>45527</v>
      </c>
      <c r="H48" s="34"/>
      <c r="I48" s="37"/>
    </row>
    <row r="49" ht="22.5" customHeight="1">
      <c r="A49" s="30">
        <f>IFERROR(__xludf.DUMMYFUNCTION("""COMPUTED_VALUE"""),46.0)</f>
        <v>46</v>
      </c>
      <c r="B49" s="31" t="str">
        <f>IFERROR(__xludf.DUMMYFUNCTION("""COMPUTED_VALUE"""),"CHAVE DE TAMPÃO DE HIRANTE")</f>
        <v>CHAVE DE TAMPÃO DE HIRANTE</v>
      </c>
      <c r="C49" s="32">
        <f>IFERROR(__xludf.DUMMYFUNCTION("""COMPUTED_VALUE"""),1.0)</f>
        <v>1</v>
      </c>
      <c r="D49" s="33" t="str">
        <f>IFERROR(__xludf.DUMMYFUNCTION("""COMPUTED_VALUE"""),"VIATURA")</f>
        <v>VIATURA</v>
      </c>
      <c r="E49" s="34" t="str">
        <f>IFERROR(__xludf.DUMMYFUNCTION("""COMPUTED_VALUE"""),"1 - ABTS1418")</f>
        <v>1 - ABTS1418</v>
      </c>
      <c r="F49" s="34" t="str">
        <f>IFERROR(__xludf.DUMMYFUNCTION("""COMPUTED_VALUE"""),"BOX 08")</f>
        <v>BOX 08</v>
      </c>
      <c r="G49" s="35">
        <f>IFERROR(__xludf.DUMMYFUNCTION("""COMPUTED_VALUE"""),45717.0)</f>
        <v>45717</v>
      </c>
      <c r="H49" s="34"/>
      <c r="I49" s="37"/>
    </row>
    <row r="50" ht="22.5" customHeight="1">
      <c r="A50" s="30">
        <f>IFERROR(__xludf.DUMMYFUNCTION("""COMPUTED_VALUE"""),48.0)</f>
        <v>48</v>
      </c>
      <c r="B50" s="31" t="str">
        <f>IFERROR(__xludf.DUMMYFUNCTION("""COMPUTED_VALUE"""),"ESGUICHO DE 1¹/² ")</f>
        <v>ESGUICHO DE 1¹/² </v>
      </c>
      <c r="C50" s="32">
        <f>IFERROR(__xludf.DUMMYFUNCTION("""COMPUTED_VALUE"""),2.0)</f>
        <v>2</v>
      </c>
      <c r="D50" s="33" t="str">
        <f>IFERROR(__xludf.DUMMYFUNCTION("""COMPUTED_VALUE"""),"VIATURA")</f>
        <v>VIATURA</v>
      </c>
      <c r="E50" s="34" t="str">
        <f>IFERROR(__xludf.DUMMYFUNCTION("""COMPUTED_VALUE"""),"1 - ABTS1418")</f>
        <v>1 - ABTS1418</v>
      </c>
      <c r="F50" s="34" t="str">
        <f>IFERROR(__xludf.DUMMYFUNCTION("""COMPUTED_VALUE"""),"BOX 08")</f>
        <v>BOX 08</v>
      </c>
      <c r="G50" s="35">
        <f>IFERROR(__xludf.DUMMYFUNCTION("""COMPUTED_VALUE"""),45527.0)</f>
        <v>45527</v>
      </c>
      <c r="H50" s="34"/>
      <c r="I50" s="37"/>
    </row>
    <row r="51" ht="22.5" customHeight="1">
      <c r="A51" s="30">
        <f>IFERROR(__xludf.DUMMYFUNCTION("""COMPUTED_VALUE"""),2.0)</f>
        <v>2</v>
      </c>
      <c r="B51" s="40" t="str">
        <f>IFERROR(__xludf.DUMMYFUNCTION("""COMPUTED_VALUE"""),"MANGUEIRA DE 1 ¹/²")</f>
        <v>MANGUEIRA DE 1 ¹/²</v>
      </c>
      <c r="C51" s="32">
        <f>IFERROR(__xludf.DUMMYFUNCTION("""COMPUTED_VALUE"""),9.0)</f>
        <v>9</v>
      </c>
      <c r="D51" s="33" t="str">
        <f>IFERROR(__xludf.DUMMYFUNCTION("""COMPUTED_VALUE"""),"VIATURA")</f>
        <v>VIATURA</v>
      </c>
      <c r="E51" s="34" t="str">
        <f>IFERROR(__xludf.DUMMYFUNCTION("""COMPUTED_VALUE"""),"1 - ABTS1418")</f>
        <v>1 - ABTS1418</v>
      </c>
      <c r="F51" s="34" t="str">
        <f>IFERROR(__xludf.DUMMYFUNCTION("""COMPUTED_VALUE"""),"BOX 08")</f>
        <v>BOX 08</v>
      </c>
      <c r="G51" s="35">
        <f>IFERROR(__xludf.DUMMYFUNCTION("""COMPUTED_VALUE"""),45527.0)</f>
        <v>45527</v>
      </c>
      <c r="H51" s="34"/>
      <c r="I51" s="37"/>
    </row>
    <row r="52" ht="22.5" customHeight="1">
      <c r="A52" s="30">
        <f>IFERROR(__xludf.DUMMYFUNCTION("""COMPUTED_VALUE"""),3.0)</f>
        <v>3</v>
      </c>
      <c r="B52" s="31" t="str">
        <f>IFERROR(__xludf.DUMMYFUNCTION("""COMPUTED_VALUE"""),"MANGUEIRA DE 2 ¹/²")</f>
        <v>MANGUEIRA DE 2 ¹/²</v>
      </c>
      <c r="C52" s="32">
        <f>IFERROR(__xludf.DUMMYFUNCTION("""COMPUTED_VALUE"""),2.0)</f>
        <v>2</v>
      </c>
      <c r="D52" s="33" t="str">
        <f>IFERROR(__xludf.DUMMYFUNCTION("""COMPUTED_VALUE"""),"VIATURA")</f>
        <v>VIATURA</v>
      </c>
      <c r="E52" s="34" t="str">
        <f>IFERROR(__xludf.DUMMYFUNCTION("""COMPUTED_VALUE"""),"1 - ABTS1418")</f>
        <v>1 - ABTS1418</v>
      </c>
      <c r="F52" s="34" t="str">
        <f>IFERROR(__xludf.DUMMYFUNCTION("""COMPUTED_VALUE"""),"BOX 08")</f>
        <v>BOX 08</v>
      </c>
      <c r="G52" s="35">
        <f>IFERROR(__xludf.DUMMYFUNCTION("""COMPUTED_VALUE"""),45527.0)</f>
        <v>45527</v>
      </c>
      <c r="H52" s="34"/>
      <c r="I52" s="37"/>
    </row>
    <row r="53" ht="22.5" customHeight="1">
      <c r="A53" s="30">
        <f>IFERROR(__xludf.DUMMYFUNCTION("""COMPUTED_VALUE"""),47.0)</f>
        <v>47</v>
      </c>
      <c r="B53" s="31" t="str">
        <f>IFERROR(__xludf.DUMMYFUNCTION("""COMPUTED_VALUE"""),"NIPS")</f>
        <v>NIPS</v>
      </c>
      <c r="C53" s="32">
        <f>IFERROR(__xludf.DUMMYFUNCTION("""COMPUTED_VALUE"""),3.0)</f>
        <v>3</v>
      </c>
      <c r="D53" s="33" t="str">
        <f>IFERROR(__xludf.DUMMYFUNCTION("""COMPUTED_VALUE"""),"VIATURA")</f>
        <v>VIATURA</v>
      </c>
      <c r="E53" s="34" t="str">
        <f>IFERROR(__xludf.DUMMYFUNCTION("""COMPUTED_VALUE"""),"1 - ABTS1418")</f>
        <v>1 - ABTS1418</v>
      </c>
      <c r="F53" s="34" t="str">
        <f>IFERROR(__xludf.DUMMYFUNCTION("""COMPUTED_VALUE"""),"BOX 08")</f>
        <v>BOX 08</v>
      </c>
      <c r="G53" s="35"/>
      <c r="H53" s="34"/>
      <c r="I53" s="37"/>
    </row>
    <row r="54" ht="22.5" customHeight="1">
      <c r="A54" s="30">
        <f>IFERROR(__xludf.DUMMYFUNCTION("""COMPUTED_VALUE"""),50.0)</f>
        <v>50</v>
      </c>
      <c r="B54" s="31" t="str">
        <f>IFERROR(__xludf.DUMMYFUNCTION("""COMPUTED_VALUE"""),"REDUÇÃO 2 ¹/² P/ 1¹/² ")</f>
        <v>REDUÇÃO 2 ¹/² P/ 1¹/² </v>
      </c>
      <c r="C54" s="32">
        <f>IFERROR(__xludf.DUMMYFUNCTION("""COMPUTED_VALUE"""),1.0)</f>
        <v>1</v>
      </c>
      <c r="D54" s="33" t="str">
        <f>IFERROR(__xludf.DUMMYFUNCTION("""COMPUTED_VALUE"""),"VIATURA")</f>
        <v>VIATURA</v>
      </c>
      <c r="E54" s="34" t="str">
        <f>IFERROR(__xludf.DUMMYFUNCTION("""COMPUTED_VALUE"""),"1 - ABTS1418")</f>
        <v>1 - ABTS1418</v>
      </c>
      <c r="F54" s="34" t="str">
        <f>IFERROR(__xludf.DUMMYFUNCTION("""COMPUTED_VALUE"""),"BOX 08")</f>
        <v>BOX 08</v>
      </c>
      <c r="G54" s="35">
        <f>IFERROR(__xludf.DUMMYFUNCTION("""COMPUTED_VALUE"""),45527.0)</f>
        <v>45527</v>
      </c>
      <c r="H54" s="34"/>
      <c r="I54" s="37"/>
    </row>
    <row r="55" ht="22.5" customHeight="1">
      <c r="A55" s="30">
        <f>IFERROR(__xludf.DUMMYFUNCTION("""COMPUTED_VALUE"""),57.0)</f>
        <v>57</v>
      </c>
      <c r="B55" s="31" t="str">
        <f>IFERROR(__xludf.DUMMYFUNCTION("""COMPUTED_VALUE"""),"REDUÇÃO 2 ¹/² P/ 1¹/²  COM ROSCA")</f>
        <v>REDUÇÃO 2 ¹/² P/ 1¹/²  COM ROSCA</v>
      </c>
      <c r="C55" s="32">
        <f>IFERROR(__xludf.DUMMYFUNCTION("""COMPUTED_VALUE"""),1.0)</f>
        <v>1</v>
      </c>
      <c r="D55" s="33" t="str">
        <f>IFERROR(__xludf.DUMMYFUNCTION("""COMPUTED_VALUE"""),"VIATURA")</f>
        <v>VIATURA</v>
      </c>
      <c r="E55" s="34" t="str">
        <f>IFERROR(__xludf.DUMMYFUNCTION("""COMPUTED_VALUE"""),"1 - ABTS1418")</f>
        <v>1 - ABTS1418</v>
      </c>
      <c r="F55" s="34" t="str">
        <f>IFERROR(__xludf.DUMMYFUNCTION("""COMPUTED_VALUE"""),"BOX 08")</f>
        <v>BOX 08</v>
      </c>
      <c r="G55" s="35">
        <f>IFERROR(__xludf.DUMMYFUNCTION("""COMPUTED_VALUE"""),45543.0)</f>
        <v>45543</v>
      </c>
      <c r="H55" s="34"/>
      <c r="I55" s="37"/>
    </row>
    <row r="56" ht="22.5" customHeight="1">
      <c r="A56" s="30">
        <f>IFERROR(__xludf.DUMMYFUNCTION("""COMPUTED_VALUE"""),55.0)</f>
        <v>55</v>
      </c>
      <c r="B56" s="31" t="str">
        <f>IFERROR(__xludf.DUMMYFUNCTION("""COMPUTED_VALUE"""),"TUBO PESCANTE DE 2 1/2""")</f>
        <v>TUBO PESCANTE DE 2 1/2"</v>
      </c>
      <c r="C56" s="32">
        <f>IFERROR(__xludf.DUMMYFUNCTION("""COMPUTED_VALUE"""),1.0)</f>
        <v>1</v>
      </c>
      <c r="D56" s="33" t="str">
        <f>IFERROR(__xludf.DUMMYFUNCTION("""COMPUTED_VALUE"""),"VIATURA")</f>
        <v>VIATURA</v>
      </c>
      <c r="E56" s="34" t="str">
        <f>IFERROR(__xludf.DUMMYFUNCTION("""COMPUTED_VALUE"""),"1 - ABTS1418")</f>
        <v>1 - ABTS1418</v>
      </c>
      <c r="F56" s="34" t="str">
        <f>IFERROR(__xludf.DUMMYFUNCTION("""COMPUTED_VALUE"""),"BOX 08")</f>
        <v>BOX 08</v>
      </c>
      <c r="G56" s="35">
        <f>IFERROR(__xludf.DUMMYFUNCTION("""COMPUTED_VALUE"""),45527.0)</f>
        <v>45527</v>
      </c>
      <c r="H56" s="34"/>
      <c r="I56" s="37"/>
    </row>
    <row r="57" ht="22.5" customHeight="1">
      <c r="A57" s="30">
        <f>IFERROR(__xludf.DUMMYFUNCTION("""COMPUTED_VALUE"""),41.0)</f>
        <v>41</v>
      </c>
      <c r="B57" s="31" t="str">
        <f>IFERROR(__xludf.DUMMYFUNCTION("""COMPUTED_VALUE"""),"ABAFADOR PARA COMBATE A INCENDIO FLORESTAL")</f>
        <v>ABAFADOR PARA COMBATE A INCENDIO FLORESTAL</v>
      </c>
      <c r="C57" s="32">
        <f>IFERROR(__xludf.DUMMYFUNCTION("""COMPUTED_VALUE"""),4.0)</f>
        <v>4</v>
      </c>
      <c r="D57" s="33" t="str">
        <f>IFERROR(__xludf.DUMMYFUNCTION("""COMPUTED_VALUE"""),"VIATURA")</f>
        <v>VIATURA</v>
      </c>
      <c r="E57" s="34" t="str">
        <f>IFERROR(__xludf.DUMMYFUNCTION("""COMPUTED_VALUE"""),"1 - ABTS1418")</f>
        <v>1 - ABTS1418</v>
      </c>
      <c r="F57" s="34" t="str">
        <f>IFERROR(__xludf.DUMMYFUNCTION("""COMPUTED_VALUE"""),"BOX SUPERIOR 01")</f>
        <v>BOX SUPERIOR 01</v>
      </c>
      <c r="G57" s="35">
        <f>IFERROR(__xludf.DUMMYFUNCTION("""COMPUTED_VALUE"""),45562.0)</f>
        <v>45562</v>
      </c>
      <c r="H57" s="34"/>
      <c r="I57" s="37"/>
    </row>
    <row r="58" ht="22.5" customHeight="1">
      <c r="A58" s="30">
        <f>IFERROR(__xludf.DUMMYFUNCTION("""COMPUTED_VALUE"""),771.0)</f>
        <v>771</v>
      </c>
      <c r="B58" s="31" t="str">
        <f>IFERROR(__xludf.DUMMYFUNCTION("""COMPUTED_VALUE"""),"BASTAO ISOLADO")</f>
        <v>BASTAO ISOLADO</v>
      </c>
      <c r="C58" s="32">
        <f>IFERROR(__xludf.DUMMYFUNCTION("""COMPUTED_VALUE"""),1.0)</f>
        <v>1</v>
      </c>
      <c r="D58" s="33" t="str">
        <f>IFERROR(__xludf.DUMMYFUNCTION("""COMPUTED_VALUE"""),"VIATURA")</f>
        <v>VIATURA</v>
      </c>
      <c r="E58" s="34" t="str">
        <f>IFERROR(__xludf.DUMMYFUNCTION("""COMPUTED_VALUE"""),"1 - ABTS1418")</f>
        <v>1 - ABTS1418</v>
      </c>
      <c r="F58" s="34" t="str">
        <f>IFERROR(__xludf.DUMMYFUNCTION("""COMPUTED_VALUE"""),"BOX SUPERIOR 01")</f>
        <v>BOX SUPERIOR 01</v>
      </c>
      <c r="G58" s="35"/>
      <c r="H58" s="34"/>
      <c r="I58" s="37"/>
    </row>
    <row r="59" ht="22.5" customHeight="1">
      <c r="A59" s="30">
        <f>IFERROR(__xludf.DUMMYFUNCTION("""COMPUTED_VALUE"""),49.0)</f>
        <v>49</v>
      </c>
      <c r="B59" s="31" t="str">
        <f>IFERROR(__xludf.DUMMYFUNCTION("""COMPUTED_VALUE"""),"CHAVE DE HIDRANTE")</f>
        <v>CHAVE DE HIDRANTE</v>
      </c>
      <c r="C59" s="32">
        <f>IFERROR(__xludf.DUMMYFUNCTION("""COMPUTED_VALUE"""),1.0)</f>
        <v>1</v>
      </c>
      <c r="D59" s="33" t="str">
        <f>IFERROR(__xludf.DUMMYFUNCTION("""COMPUTED_VALUE"""),"VIATURA")</f>
        <v>VIATURA</v>
      </c>
      <c r="E59" s="34" t="str">
        <f>IFERROR(__xludf.DUMMYFUNCTION("""COMPUTED_VALUE"""),"1 - ABTS1418")</f>
        <v>1 - ABTS1418</v>
      </c>
      <c r="F59" s="34" t="str">
        <f>IFERROR(__xludf.DUMMYFUNCTION("""COMPUTED_VALUE"""),"BOX SUPERIOR 01")</f>
        <v>BOX SUPERIOR 01</v>
      </c>
      <c r="G59" s="35">
        <f>IFERROR(__xludf.DUMMYFUNCTION("""COMPUTED_VALUE"""),45527.0)</f>
        <v>45527</v>
      </c>
      <c r="H59" s="34"/>
      <c r="I59" s="37"/>
    </row>
    <row r="60" ht="22.5" customHeight="1">
      <c r="A60" s="30">
        <f>IFERROR(__xludf.DUMMYFUNCTION("""COMPUTED_VALUE"""),42.0)</f>
        <v>42</v>
      </c>
      <c r="B60" s="31" t="str">
        <f>IFERROR(__xludf.DUMMYFUNCTION("""COMPUTED_VALUE"""),"CHICOTE PARA INCÊNDIO FLORESTAL")</f>
        <v>CHICOTE PARA INCÊNDIO FLORESTAL</v>
      </c>
      <c r="C60" s="32">
        <f>IFERROR(__xludf.DUMMYFUNCTION("""COMPUTED_VALUE"""),1.0)</f>
        <v>1</v>
      </c>
      <c r="D60" s="33" t="str">
        <f>IFERROR(__xludf.DUMMYFUNCTION("""COMPUTED_VALUE"""),"VIATURA")</f>
        <v>VIATURA</v>
      </c>
      <c r="E60" s="34" t="str">
        <f>IFERROR(__xludf.DUMMYFUNCTION("""COMPUTED_VALUE"""),"1 - ABTS1418")</f>
        <v>1 - ABTS1418</v>
      </c>
      <c r="F60" s="34" t="str">
        <f>IFERROR(__xludf.DUMMYFUNCTION("""COMPUTED_VALUE"""),"BOX SUPERIOR 01")</f>
        <v>BOX SUPERIOR 01</v>
      </c>
      <c r="G60" s="35">
        <f>IFERROR(__xludf.DUMMYFUNCTION("""COMPUTED_VALUE"""),45562.0)</f>
        <v>45562</v>
      </c>
      <c r="H60" s="34"/>
      <c r="I60" s="37"/>
    </row>
    <row r="61" ht="22.5" customHeight="1">
      <c r="A61" s="30">
        <f>IFERROR(__xludf.DUMMYFUNCTION("""COMPUTED_VALUE"""),13.0)</f>
        <v>13</v>
      </c>
      <c r="B61" s="31" t="str">
        <f>IFERROR(__xludf.DUMMYFUNCTION("""COMPUTED_VALUE"""),"ENROLADOR DE MANGUEIRA")</f>
        <v>ENROLADOR DE MANGUEIRA</v>
      </c>
      <c r="C61" s="32">
        <f>IFERROR(__xludf.DUMMYFUNCTION("""COMPUTED_VALUE"""),1.0)</f>
        <v>1</v>
      </c>
      <c r="D61" s="33" t="str">
        <f>IFERROR(__xludf.DUMMYFUNCTION("""COMPUTED_VALUE"""),"VIATURA")</f>
        <v>VIATURA</v>
      </c>
      <c r="E61" s="34" t="str">
        <f>IFERROR(__xludf.DUMMYFUNCTION("""COMPUTED_VALUE"""),"1 - ABTS1418")</f>
        <v>1 - ABTS1418</v>
      </c>
      <c r="F61" s="34" t="str">
        <f>IFERROR(__xludf.DUMMYFUNCTION("""COMPUTED_VALUE"""),"BOX SUPERIOR 01")</f>
        <v>BOX SUPERIOR 01</v>
      </c>
      <c r="G61" s="35"/>
      <c r="H61" s="34"/>
      <c r="I61" s="37"/>
    </row>
    <row r="62" ht="22.5" customHeight="1">
      <c r="A62" s="30">
        <f>IFERROR(__xludf.DUMMYFUNCTION("""COMPUTED_VALUE"""),53.0)</f>
        <v>53</v>
      </c>
      <c r="B62" s="31" t="str">
        <f>IFERROR(__xludf.DUMMYFUNCTION("""COMPUTED_VALUE"""),"ENXADA COMUM")</f>
        <v>ENXADA COMUM</v>
      </c>
      <c r="C62" s="32">
        <f>IFERROR(__xludf.DUMMYFUNCTION("""COMPUTED_VALUE"""),3.0)</f>
        <v>3</v>
      </c>
      <c r="D62" s="33" t="str">
        <f>IFERROR(__xludf.DUMMYFUNCTION("""COMPUTED_VALUE"""),"VIATURA")</f>
        <v>VIATURA</v>
      </c>
      <c r="E62" s="34" t="str">
        <f>IFERROR(__xludf.DUMMYFUNCTION("""COMPUTED_VALUE"""),"1 - ABTS1418")</f>
        <v>1 - ABTS1418</v>
      </c>
      <c r="F62" s="34" t="str">
        <f>IFERROR(__xludf.DUMMYFUNCTION("""COMPUTED_VALUE"""),"BOX SUPERIOR 01")</f>
        <v>BOX SUPERIOR 01</v>
      </c>
      <c r="G62" s="35">
        <f>IFERROR(__xludf.DUMMYFUNCTION("""COMPUTED_VALUE"""),45527.0)</f>
        <v>45527</v>
      </c>
      <c r="H62" s="34"/>
      <c r="I62" s="37"/>
    </row>
    <row r="63" ht="22.5" customHeight="1">
      <c r="A63" s="30">
        <f>IFERROR(__xludf.DUMMYFUNCTION("""COMPUTED_VALUE"""),1340.0)</f>
        <v>1340</v>
      </c>
      <c r="B63" s="31" t="str">
        <f>IFERROR(__xludf.DUMMYFUNCTION("""COMPUTED_VALUE"""),"ESCADA DE FIBRA COM 02 GANCHOS")</f>
        <v>ESCADA DE FIBRA COM 02 GANCHOS</v>
      </c>
      <c r="C63" s="32">
        <f>IFERROR(__xludf.DUMMYFUNCTION("""COMPUTED_VALUE"""),1.0)</f>
        <v>1</v>
      </c>
      <c r="D63" s="33" t="str">
        <f>IFERROR(__xludf.DUMMYFUNCTION("""COMPUTED_VALUE"""),"VIATURA")</f>
        <v>VIATURA</v>
      </c>
      <c r="E63" s="34" t="str">
        <f>IFERROR(__xludf.DUMMYFUNCTION("""COMPUTED_VALUE"""),"1 - ABTS1418")</f>
        <v>1 - ABTS1418</v>
      </c>
      <c r="F63" s="34" t="str">
        <f>IFERROR(__xludf.DUMMYFUNCTION("""COMPUTED_VALUE"""),"BOX SUPERIOR 01")</f>
        <v>BOX SUPERIOR 01</v>
      </c>
      <c r="G63" s="35">
        <f>IFERROR(__xludf.DUMMYFUNCTION("""COMPUTED_VALUE"""),4.0068684E7)</f>
        <v>40068684</v>
      </c>
      <c r="H63" s="34"/>
      <c r="I63" s="37"/>
    </row>
    <row r="64" ht="22.5" customHeight="1">
      <c r="A64" s="30">
        <f>IFERROR(__xludf.DUMMYFUNCTION("""COMPUTED_VALUE"""),1034.0)</f>
        <v>1034</v>
      </c>
      <c r="B64" s="31" t="str">
        <f>IFERROR(__xludf.DUMMYFUNCTION("""COMPUTED_VALUE"""),"ESCADA PROLONGAVEL PARA ATIVIDADES BOMBEIRO -")</f>
        <v>ESCADA PROLONGAVEL PARA ATIVIDADES BOMBEIRO -</v>
      </c>
      <c r="C64" s="32">
        <f>IFERROR(__xludf.DUMMYFUNCTION("""COMPUTED_VALUE"""),1.0)</f>
        <v>1</v>
      </c>
      <c r="D64" s="33" t="str">
        <f>IFERROR(__xludf.DUMMYFUNCTION("""COMPUTED_VALUE"""),"VIATURA")</f>
        <v>VIATURA</v>
      </c>
      <c r="E64" s="34" t="str">
        <f>IFERROR(__xludf.DUMMYFUNCTION("""COMPUTED_VALUE"""),"1 - ABTS1418")</f>
        <v>1 - ABTS1418</v>
      </c>
      <c r="F64" s="34" t="str">
        <f>IFERROR(__xludf.DUMMYFUNCTION("""COMPUTED_VALUE"""),"BOX SUPERIOR 01")</f>
        <v>BOX SUPERIOR 01</v>
      </c>
      <c r="G64" s="35">
        <f>IFERROR(__xludf.DUMMYFUNCTION("""COMPUTED_VALUE"""),7.6737942E7)</f>
        <v>76737942</v>
      </c>
      <c r="H64" s="34"/>
      <c r="I64" s="37"/>
    </row>
    <row r="65" ht="22.5" customHeight="1">
      <c r="A65" s="30">
        <f>IFERROR(__xludf.DUMMYFUNCTION("""COMPUTED_VALUE"""),12.0)</f>
        <v>12</v>
      </c>
      <c r="B65" s="31" t="str">
        <f>IFERROR(__xludf.DUMMYFUNCTION("""COMPUTED_VALUE"""),"FOICE")</f>
        <v>FOICE</v>
      </c>
      <c r="C65" s="32">
        <f>IFERROR(__xludf.DUMMYFUNCTION("""COMPUTED_VALUE"""),1.0)</f>
        <v>1</v>
      </c>
      <c r="D65" s="33" t="str">
        <f>IFERROR(__xludf.DUMMYFUNCTION("""COMPUTED_VALUE"""),"VIATURA")</f>
        <v>VIATURA</v>
      </c>
      <c r="E65" s="34" t="str">
        <f>IFERROR(__xludf.DUMMYFUNCTION("""COMPUTED_VALUE"""),"1 - ABTS1418")</f>
        <v>1 - ABTS1418</v>
      </c>
      <c r="F65" s="34" t="str">
        <f>IFERROR(__xludf.DUMMYFUNCTION("""COMPUTED_VALUE"""),"BOX SUPERIOR 01")</f>
        <v>BOX SUPERIOR 01</v>
      </c>
      <c r="G65" s="35">
        <f>IFERROR(__xludf.DUMMYFUNCTION("""COMPUTED_VALUE"""),45562.0)</f>
        <v>45562</v>
      </c>
      <c r="H65" s="34"/>
      <c r="I65" s="37"/>
    </row>
    <row r="66" ht="22.5" customHeight="1">
      <c r="A66" s="30">
        <f>IFERROR(__xludf.DUMMYFUNCTION("""COMPUTED_VALUE"""),43.0)</f>
        <v>43</v>
      </c>
      <c r="B66" s="40" t="str">
        <f>IFERROR(__xludf.DUMMYFUNCTION("""COMPUTED_VALUE"""),"GADANHO")</f>
        <v>GADANHO</v>
      </c>
      <c r="C66" s="32">
        <f>IFERROR(__xludf.DUMMYFUNCTION("""COMPUTED_VALUE"""),2.0)</f>
        <v>2</v>
      </c>
      <c r="D66" s="33" t="str">
        <f>IFERROR(__xludf.DUMMYFUNCTION("""COMPUTED_VALUE"""),"VIATURA")</f>
        <v>VIATURA</v>
      </c>
      <c r="E66" s="34" t="str">
        <f>IFERROR(__xludf.DUMMYFUNCTION("""COMPUTED_VALUE"""),"1 - ABTS1418")</f>
        <v>1 - ABTS1418</v>
      </c>
      <c r="F66" s="34" t="str">
        <f>IFERROR(__xludf.DUMMYFUNCTION("""COMPUTED_VALUE"""),"BOX SUPERIOR 01")</f>
        <v>BOX SUPERIOR 01</v>
      </c>
      <c r="G66" s="35"/>
      <c r="H66" s="34"/>
      <c r="I66" s="37"/>
    </row>
    <row r="67" ht="22.5" customHeight="1">
      <c r="A67" s="30">
        <f>IFERROR(__xludf.DUMMYFUNCTION("""COMPUTED_VALUE"""),54.0)</f>
        <v>54</v>
      </c>
      <c r="B67" s="31" t="str">
        <f>IFERROR(__xludf.DUMMYFUNCTION("""COMPUTED_VALUE"""),"PÁ DE BICO")</f>
        <v>PÁ DE BICO</v>
      </c>
      <c r="C67" s="32">
        <f>IFERROR(__xludf.DUMMYFUNCTION("""COMPUTED_VALUE"""),1.0)</f>
        <v>1</v>
      </c>
      <c r="D67" s="33" t="str">
        <f>IFERROR(__xludf.DUMMYFUNCTION("""COMPUTED_VALUE"""),"VIATURA")</f>
        <v>VIATURA</v>
      </c>
      <c r="E67" s="34" t="str">
        <f>IFERROR(__xludf.DUMMYFUNCTION("""COMPUTED_VALUE"""),"1 - ABTS1418")</f>
        <v>1 - ABTS1418</v>
      </c>
      <c r="F67" s="34" t="str">
        <f>IFERROR(__xludf.DUMMYFUNCTION("""COMPUTED_VALUE"""),"BOX SUPERIOR 01")</f>
        <v>BOX SUPERIOR 01</v>
      </c>
      <c r="G67" s="35">
        <f>IFERROR(__xludf.DUMMYFUNCTION("""COMPUTED_VALUE"""),45527.0)</f>
        <v>45527</v>
      </c>
      <c r="H67" s="34"/>
      <c r="I67" s="37"/>
    </row>
    <row r="68" ht="22.5" customHeight="1">
      <c r="A68" s="30">
        <f>IFERROR(__xludf.DUMMYFUNCTION("""COMPUTED_VALUE"""),63.0)</f>
        <v>63</v>
      </c>
      <c r="B68" s="40" t="str">
        <f>IFERROR(__xludf.DUMMYFUNCTION("""COMPUTED_VALUE"""),"PRANCHA LONGA")</f>
        <v>PRANCHA LONGA</v>
      </c>
      <c r="C68" s="32">
        <f>IFERROR(__xludf.DUMMYFUNCTION("""COMPUTED_VALUE"""),1.0)</f>
        <v>1</v>
      </c>
      <c r="D68" s="33" t="str">
        <f>IFERROR(__xludf.DUMMYFUNCTION("""COMPUTED_VALUE"""),"VIATURA")</f>
        <v>VIATURA</v>
      </c>
      <c r="E68" s="34" t="str">
        <f>IFERROR(__xludf.DUMMYFUNCTION("""COMPUTED_VALUE"""),"1 - ABTS1418")</f>
        <v>1 - ABTS1418</v>
      </c>
      <c r="F68" s="34" t="str">
        <f>IFERROR(__xludf.DUMMYFUNCTION("""COMPUTED_VALUE"""),"BOX SUPERIOR 01")</f>
        <v>BOX SUPERIOR 01</v>
      </c>
      <c r="G68" s="35"/>
      <c r="H68" s="34"/>
      <c r="I68" s="37"/>
    </row>
    <row r="69" ht="22.5" customHeight="1">
      <c r="A69" s="30">
        <f>IFERROR(__xludf.DUMMYFUNCTION("""COMPUTED_VALUE"""),752.0)</f>
        <v>752</v>
      </c>
      <c r="B69" s="31" t="str">
        <f>IFERROR(__xludf.DUMMYFUNCTION("""COMPUTED_VALUE"""),"LANTERNA TÁTICA NIGHTSTICK")</f>
        <v>LANTERNA TÁTICA NIGHTSTICK</v>
      </c>
      <c r="C69" s="32">
        <f>IFERROR(__xludf.DUMMYFUNCTION("""COMPUTED_VALUE"""),1.0)</f>
        <v>1</v>
      </c>
      <c r="D69" s="33" t="str">
        <f>IFERROR(__xludf.DUMMYFUNCTION("""COMPUTED_VALUE"""),"VIATURA")</f>
        <v>VIATURA</v>
      </c>
      <c r="E69" s="34" t="str">
        <f>IFERROR(__xludf.DUMMYFUNCTION("""COMPUTED_VALUE"""),"1 - ABTS1418")</f>
        <v>1 - ABTS1418</v>
      </c>
      <c r="F69" s="34"/>
      <c r="G69" s="35"/>
      <c r="H69" s="34"/>
      <c r="I69" s="37"/>
    </row>
    <row r="70" ht="22.5" customHeight="1">
      <c r="A70" s="30">
        <f>IFERROR(__xludf.DUMMYFUNCTION("""COMPUTED_VALUE"""),766.0)</f>
        <v>766</v>
      </c>
      <c r="B70" s="31" t="str">
        <f>IFERROR(__xludf.DUMMYFUNCTION("""COMPUTED_VALUE"""),"REDUÇÃO 2 ¹/² P/ 1¹/² ")</f>
        <v>REDUÇÃO 2 ¹/² P/ 1¹/² </v>
      </c>
      <c r="C70" s="32">
        <f>IFERROR(__xludf.DUMMYFUNCTION("""COMPUTED_VALUE"""),1.0)</f>
        <v>1</v>
      </c>
      <c r="D70" s="33" t="str">
        <f>IFERROR(__xludf.DUMMYFUNCTION("""COMPUTED_VALUE"""),"VIATURA")</f>
        <v>VIATURA</v>
      </c>
      <c r="E70" s="34" t="str">
        <f>IFERROR(__xludf.DUMMYFUNCTION("""COMPUTED_VALUE"""),"1 - ABTS1418")</f>
        <v>1 - ABTS1418</v>
      </c>
      <c r="F70" s="34"/>
      <c r="G70" s="35"/>
      <c r="H70" s="34"/>
      <c r="I70" s="37"/>
    </row>
    <row r="71" ht="22.5" customHeight="1">
      <c r="A71" s="30">
        <f>IFERROR(__xludf.DUMMYFUNCTION("""COMPUTED_VALUE"""),112.0)</f>
        <v>112</v>
      </c>
      <c r="B71" s="31" t="str">
        <f>IFERROR(__xludf.DUMMYFUNCTION("""COMPUTED_VALUE"""),"TAMPÃO DE 2 ¹/²")</f>
        <v>TAMPÃO DE 2 ¹/²</v>
      </c>
      <c r="C71" s="32">
        <f>IFERROR(__xludf.DUMMYFUNCTION("""COMPUTED_VALUE"""),1.0)</f>
        <v>1</v>
      </c>
      <c r="D71" s="33" t="str">
        <f>IFERROR(__xludf.DUMMYFUNCTION("""COMPUTED_VALUE"""),"VIATURA")</f>
        <v>VIATURA</v>
      </c>
      <c r="E71" s="34" t="str">
        <f>IFERROR(__xludf.DUMMYFUNCTION("""COMPUTED_VALUE"""),"1 - ABTS1418")</f>
        <v>1 - ABTS1418</v>
      </c>
      <c r="F71" s="34"/>
      <c r="G71" s="35"/>
      <c r="H71" s="34"/>
      <c r="I71" s="37"/>
    </row>
    <row r="72" ht="22.5" customHeight="1">
      <c r="A72" s="30">
        <f>IFERROR(__xludf.DUMMYFUNCTION("""COMPUTED_VALUE"""),1215.0)</f>
        <v>1215</v>
      </c>
      <c r="B72" s="31" t="str">
        <f>IFERROR(__xludf.DUMMYFUNCTION("""COMPUTED_VALUE"""),"VEICULO AUTO BOMBA/TANQUE -")</f>
        <v>VEICULO AUTO BOMBA/TANQUE -</v>
      </c>
      <c r="C72" s="32">
        <f>IFERROR(__xludf.DUMMYFUNCTION("""COMPUTED_VALUE"""),1.0)</f>
        <v>1</v>
      </c>
      <c r="D72" s="33" t="str">
        <f>IFERROR(__xludf.DUMMYFUNCTION("""COMPUTED_VALUE"""),"VIATURA")</f>
        <v>VIATURA</v>
      </c>
      <c r="E72" s="34" t="str">
        <f>IFERROR(__xludf.DUMMYFUNCTION("""COMPUTED_VALUE"""),"1 - ABTS1418")</f>
        <v>1 - ABTS1418</v>
      </c>
      <c r="F72" s="34"/>
      <c r="G72" s="35">
        <f>IFERROR(__xludf.DUMMYFUNCTION("""COMPUTED_VALUE"""),4.035709E7)</f>
        <v>40357090</v>
      </c>
      <c r="H72" s="34"/>
      <c r="I72" s="37" t="str">
        <f>IFERROR(__xludf.DUMMYFUNCTION("""COMPUTED_VALUE"""),"ABTS1418 - PLACA PUE8483")</f>
        <v>ABTS1418 - PLACA PUE8483</v>
      </c>
    </row>
    <row r="73" ht="22.5" customHeight="1">
      <c r="A73" s="30"/>
      <c r="B73" s="40"/>
      <c r="C73" s="32"/>
      <c r="D73" s="33"/>
      <c r="E73" s="34"/>
      <c r="F73" s="34"/>
      <c r="G73" s="35"/>
      <c r="H73" s="34"/>
      <c r="I73" s="37"/>
    </row>
    <row r="74" ht="22.5" customHeight="1">
      <c r="A74" s="30"/>
      <c r="B74" s="31"/>
      <c r="C74" s="32"/>
      <c r="D74" s="33"/>
      <c r="E74" s="34"/>
      <c r="F74" s="34"/>
      <c r="G74" s="35"/>
      <c r="H74" s="34"/>
      <c r="I74" s="37"/>
    </row>
    <row r="75" ht="22.5" customHeight="1">
      <c r="A75" s="30"/>
      <c r="B75" s="31"/>
      <c r="C75" s="32"/>
      <c r="D75" s="33"/>
      <c r="E75" s="34"/>
      <c r="F75" s="34"/>
      <c r="G75" s="35"/>
      <c r="H75" s="34"/>
      <c r="I75" s="37"/>
    </row>
    <row r="76" ht="22.5" customHeight="1">
      <c r="A76" s="30"/>
      <c r="B76" s="31"/>
      <c r="C76" s="32"/>
      <c r="D76" s="33"/>
      <c r="E76" s="34"/>
      <c r="F76" s="34"/>
      <c r="G76" s="35"/>
      <c r="H76" s="34"/>
      <c r="I76" s="37"/>
    </row>
    <row r="77" ht="22.5" customHeight="1">
      <c r="A77" s="30"/>
      <c r="B77" s="31"/>
      <c r="C77" s="32"/>
      <c r="D77" s="33"/>
      <c r="E77" s="34"/>
      <c r="F77" s="34"/>
      <c r="G77" s="35"/>
      <c r="H77" s="34"/>
      <c r="I77" s="37"/>
    </row>
    <row r="78" ht="22.5" customHeight="1">
      <c r="A78" s="30"/>
      <c r="B78" s="31"/>
      <c r="C78" s="32"/>
      <c r="D78" s="33"/>
      <c r="E78" s="34"/>
      <c r="F78" s="34"/>
      <c r="G78" s="35"/>
      <c r="H78" s="34"/>
      <c r="I78" s="37"/>
    </row>
    <row r="79" ht="22.5" customHeight="1">
      <c r="A79" s="30"/>
      <c r="B79" s="31"/>
      <c r="C79" s="32"/>
      <c r="D79" s="33"/>
      <c r="E79" s="34"/>
      <c r="F79" s="34"/>
      <c r="G79" s="35"/>
      <c r="H79" s="34"/>
      <c r="I79" s="37"/>
    </row>
    <row r="80" ht="22.5" customHeight="1">
      <c r="A80" s="30"/>
      <c r="B80" s="31"/>
      <c r="C80" s="32"/>
      <c r="D80" s="33"/>
      <c r="E80" s="34"/>
      <c r="F80" s="34"/>
      <c r="G80" s="35"/>
      <c r="H80" s="34"/>
      <c r="I80" s="37"/>
    </row>
    <row r="81" ht="22.5" customHeight="1">
      <c r="A81" s="30"/>
      <c r="B81" s="31"/>
      <c r="C81" s="32"/>
      <c r="D81" s="33"/>
      <c r="E81" s="34"/>
      <c r="F81" s="34"/>
      <c r="G81" s="35"/>
      <c r="H81" s="34"/>
      <c r="I81" s="37"/>
    </row>
    <row r="82" ht="22.5" customHeight="1">
      <c r="A82" s="30"/>
      <c r="B82" s="31"/>
      <c r="C82" s="32"/>
      <c r="D82" s="33"/>
      <c r="E82" s="34"/>
      <c r="F82" s="34"/>
      <c r="G82" s="35"/>
      <c r="H82" s="34"/>
      <c r="I82" s="37"/>
    </row>
    <row r="83" ht="22.5" customHeight="1">
      <c r="A83" s="30"/>
      <c r="B83" s="31"/>
      <c r="C83" s="32"/>
      <c r="D83" s="33"/>
      <c r="E83" s="34"/>
      <c r="F83" s="34"/>
      <c r="G83" s="35"/>
      <c r="H83" s="34"/>
      <c r="I83" s="37"/>
    </row>
    <row r="84" ht="22.5" customHeight="1">
      <c r="A84" s="30"/>
      <c r="B84" s="31"/>
      <c r="C84" s="32"/>
      <c r="D84" s="33"/>
      <c r="E84" s="34"/>
      <c r="F84" s="34"/>
      <c r="G84" s="35"/>
      <c r="H84" s="34"/>
      <c r="I84" s="37"/>
    </row>
    <row r="85" ht="22.5" customHeight="1">
      <c r="A85" s="30"/>
      <c r="B85" s="31"/>
      <c r="C85" s="32"/>
      <c r="D85" s="33"/>
      <c r="E85" s="34"/>
      <c r="F85" s="34"/>
      <c r="G85" s="35"/>
      <c r="H85" s="34"/>
      <c r="I85" s="37"/>
    </row>
    <row r="86" ht="22.5" customHeight="1">
      <c r="A86" s="30"/>
      <c r="B86" s="31"/>
      <c r="C86" s="32"/>
      <c r="D86" s="33"/>
      <c r="E86" s="34"/>
      <c r="F86" s="34"/>
      <c r="G86" s="35"/>
      <c r="H86" s="34"/>
      <c r="I86" s="37"/>
    </row>
    <row r="87" ht="22.5" customHeight="1">
      <c r="A87" s="30"/>
      <c r="B87" s="31"/>
      <c r="C87" s="32"/>
      <c r="D87" s="33"/>
      <c r="E87" s="34"/>
      <c r="F87" s="34"/>
      <c r="G87" s="35"/>
      <c r="H87" s="34"/>
      <c r="I87" s="37"/>
    </row>
    <row r="88" ht="22.5" customHeight="1">
      <c r="A88" s="30"/>
      <c r="B88" s="31"/>
      <c r="C88" s="32"/>
      <c r="D88" s="33"/>
      <c r="E88" s="34"/>
      <c r="F88" s="34"/>
      <c r="G88" s="35"/>
      <c r="H88" s="34"/>
      <c r="I88" s="37"/>
    </row>
    <row r="89" ht="22.5" customHeight="1">
      <c r="A89" s="30"/>
      <c r="B89" s="31"/>
      <c r="C89" s="32"/>
      <c r="D89" s="33"/>
      <c r="E89" s="34"/>
      <c r="F89" s="34"/>
      <c r="G89" s="35"/>
      <c r="H89" s="34"/>
      <c r="I89" s="37"/>
    </row>
    <row r="90" ht="22.5" customHeight="1">
      <c r="A90" s="30"/>
      <c r="B90" s="31"/>
      <c r="C90" s="32"/>
      <c r="D90" s="33"/>
      <c r="E90" s="34"/>
      <c r="F90" s="34"/>
      <c r="G90" s="35"/>
      <c r="H90" s="34"/>
      <c r="I90" s="37"/>
    </row>
    <row r="91" ht="22.5" customHeight="1">
      <c r="A91" s="30"/>
      <c r="B91" s="31"/>
      <c r="C91" s="32"/>
      <c r="D91" s="33"/>
      <c r="E91" s="34"/>
      <c r="F91" s="34"/>
      <c r="G91" s="35"/>
      <c r="H91" s="34"/>
      <c r="I91" s="37"/>
    </row>
    <row r="92" ht="22.5" customHeight="1">
      <c r="A92" s="30"/>
      <c r="B92" s="31"/>
      <c r="C92" s="32"/>
      <c r="D92" s="33"/>
      <c r="E92" s="34"/>
      <c r="F92" s="34"/>
      <c r="G92" s="35"/>
      <c r="H92" s="34"/>
      <c r="I92" s="37"/>
    </row>
    <row r="93" ht="22.5" customHeight="1">
      <c r="A93" s="30"/>
      <c r="B93" s="31"/>
      <c r="C93" s="32"/>
      <c r="D93" s="33"/>
      <c r="E93" s="34"/>
      <c r="F93" s="34"/>
      <c r="G93" s="35"/>
      <c r="H93" s="34"/>
      <c r="I93" s="37"/>
    </row>
    <row r="94" ht="22.5" customHeight="1">
      <c r="A94" s="30"/>
      <c r="B94" s="31"/>
      <c r="C94" s="32"/>
      <c r="D94" s="33"/>
      <c r="E94" s="34"/>
      <c r="F94" s="34"/>
      <c r="G94" s="35"/>
      <c r="H94" s="34"/>
      <c r="I94" s="37"/>
    </row>
    <row r="95" ht="22.5" customHeight="1">
      <c r="A95" s="30"/>
      <c r="B95" s="40"/>
      <c r="C95" s="32"/>
      <c r="D95" s="33"/>
      <c r="E95" s="34"/>
      <c r="F95" s="34"/>
      <c r="G95" s="35"/>
      <c r="H95" s="34"/>
      <c r="I95" s="37"/>
    </row>
    <row r="96" ht="22.5" customHeight="1">
      <c r="A96" s="30"/>
      <c r="B96" s="31"/>
      <c r="C96" s="32"/>
      <c r="D96" s="33"/>
      <c r="E96" s="34"/>
      <c r="F96" s="34"/>
      <c r="G96" s="35"/>
      <c r="H96" s="34"/>
      <c r="I96" s="37"/>
    </row>
    <row r="97" ht="22.5" customHeight="1">
      <c r="A97" s="30"/>
      <c r="B97" s="31"/>
      <c r="C97" s="32"/>
      <c r="D97" s="33"/>
      <c r="E97" s="34"/>
      <c r="F97" s="34"/>
      <c r="G97" s="35"/>
      <c r="H97" s="34"/>
      <c r="I97" s="37"/>
    </row>
    <row r="98" ht="22.5" customHeight="1">
      <c r="A98" s="30"/>
      <c r="B98" s="31"/>
      <c r="C98" s="32"/>
      <c r="D98" s="33"/>
      <c r="E98" s="34"/>
      <c r="F98" s="34"/>
      <c r="G98" s="35"/>
      <c r="H98" s="34"/>
      <c r="I98" s="37"/>
    </row>
    <row r="99" ht="22.5" customHeight="1">
      <c r="A99" s="30"/>
      <c r="B99" s="31"/>
      <c r="C99" s="32"/>
      <c r="D99" s="33"/>
      <c r="E99" s="34"/>
      <c r="F99" s="34"/>
      <c r="G99" s="35"/>
      <c r="H99" s="34"/>
      <c r="I99" s="38"/>
    </row>
    <row r="100" ht="22.5" customHeight="1">
      <c r="A100" s="30"/>
      <c r="B100" s="39"/>
      <c r="C100" s="32"/>
      <c r="D100" s="33"/>
      <c r="E100" s="34"/>
      <c r="F100" s="34"/>
      <c r="G100" s="35"/>
      <c r="H100" s="34"/>
      <c r="I100" s="37"/>
    </row>
    <row r="101" ht="22.5" customHeight="1">
      <c r="A101" s="30"/>
      <c r="B101" s="31"/>
      <c r="C101" s="32"/>
      <c r="D101" s="33"/>
      <c r="E101" s="34"/>
      <c r="F101" s="34"/>
      <c r="G101" s="35"/>
      <c r="H101" s="34"/>
      <c r="I101" s="37"/>
    </row>
    <row r="102" ht="22.5" customHeight="1">
      <c r="A102" s="30"/>
      <c r="B102" s="31"/>
      <c r="C102" s="32"/>
      <c r="D102" s="33"/>
      <c r="E102" s="34"/>
      <c r="F102" s="34"/>
      <c r="G102" s="35"/>
      <c r="H102" s="34"/>
      <c r="I102" s="37"/>
    </row>
    <row r="103" ht="22.5" customHeight="1">
      <c r="A103" s="30"/>
      <c r="B103" s="31"/>
      <c r="C103" s="32"/>
      <c r="D103" s="33"/>
      <c r="E103" s="34"/>
      <c r="F103" s="34"/>
      <c r="G103" s="35"/>
      <c r="H103" s="34"/>
      <c r="I103" s="37"/>
    </row>
    <row r="104" ht="22.5" customHeight="1">
      <c r="A104" s="30"/>
      <c r="B104" s="39"/>
      <c r="C104" s="32"/>
      <c r="D104" s="33"/>
      <c r="E104" s="34"/>
      <c r="F104" s="34"/>
      <c r="G104" s="35"/>
      <c r="H104" s="34"/>
      <c r="I104" s="37"/>
    </row>
    <row r="105" ht="22.5" customHeight="1">
      <c r="A105" s="30"/>
      <c r="B105" s="31"/>
      <c r="C105" s="32"/>
      <c r="D105" s="33"/>
      <c r="E105" s="34"/>
      <c r="F105" s="34"/>
      <c r="G105" s="35"/>
      <c r="H105" s="34"/>
      <c r="I105" s="37"/>
    </row>
    <row r="106" ht="22.5" customHeight="1">
      <c r="A106" s="30"/>
      <c r="B106" s="39"/>
      <c r="C106" s="32"/>
      <c r="D106" s="33"/>
      <c r="E106" s="34"/>
      <c r="F106" s="34"/>
      <c r="G106" s="35"/>
      <c r="H106" s="34"/>
      <c r="I106" s="37"/>
    </row>
    <row r="107" ht="22.5" customHeight="1">
      <c r="A107" s="30"/>
      <c r="B107" s="31"/>
      <c r="C107" s="32"/>
      <c r="D107" s="33"/>
      <c r="E107" s="34"/>
      <c r="F107" s="34"/>
      <c r="G107" s="35"/>
      <c r="H107" s="34"/>
      <c r="I107" s="37"/>
    </row>
    <row r="108" ht="22.5" customHeight="1">
      <c r="A108" s="30"/>
      <c r="B108" s="31"/>
      <c r="C108" s="32"/>
      <c r="D108" s="33"/>
      <c r="E108" s="34"/>
      <c r="F108" s="34"/>
      <c r="G108" s="35"/>
      <c r="H108" s="34"/>
      <c r="I108" s="37"/>
    </row>
    <row r="109" ht="22.5" customHeight="1">
      <c r="A109" s="30"/>
      <c r="B109" s="31"/>
      <c r="C109" s="32"/>
      <c r="D109" s="33"/>
      <c r="E109" s="34"/>
      <c r="F109" s="34"/>
      <c r="G109" s="35"/>
      <c r="H109" s="34"/>
      <c r="I109" s="37"/>
    </row>
    <row r="110" ht="22.5" customHeight="1">
      <c r="A110" s="30"/>
      <c r="B110" s="31"/>
      <c r="C110" s="32"/>
      <c r="D110" s="33"/>
      <c r="E110" s="34"/>
      <c r="F110" s="34"/>
      <c r="G110" s="35"/>
      <c r="H110" s="34"/>
      <c r="I110" s="37"/>
    </row>
    <row r="111" ht="22.5" customHeight="1">
      <c r="A111" s="30"/>
      <c r="B111" s="31"/>
      <c r="C111" s="32"/>
      <c r="D111" s="33"/>
      <c r="E111" s="34"/>
      <c r="F111" s="34"/>
      <c r="G111" s="35"/>
      <c r="H111" s="34"/>
      <c r="I111" s="37"/>
    </row>
    <row r="112" ht="22.5" customHeight="1">
      <c r="A112" s="30"/>
      <c r="B112" s="31"/>
      <c r="C112" s="32"/>
      <c r="D112" s="33"/>
      <c r="E112" s="34"/>
      <c r="F112" s="34"/>
      <c r="G112" s="35"/>
      <c r="H112" s="34"/>
      <c r="I112" s="37"/>
    </row>
    <row r="113" ht="22.5" customHeight="1">
      <c r="A113" s="30"/>
      <c r="B113" s="31"/>
      <c r="C113" s="32"/>
      <c r="D113" s="33"/>
      <c r="E113" s="34"/>
      <c r="F113" s="34"/>
      <c r="G113" s="35"/>
      <c r="H113" s="34"/>
      <c r="I113" s="37"/>
    </row>
    <row r="114" ht="22.5" customHeight="1">
      <c r="A114" s="30"/>
      <c r="B114" s="31"/>
      <c r="C114" s="32"/>
      <c r="D114" s="33"/>
      <c r="E114" s="34"/>
      <c r="F114" s="34"/>
      <c r="G114" s="35"/>
      <c r="H114" s="34"/>
      <c r="I114" s="37"/>
    </row>
    <row r="115" ht="22.5" customHeight="1">
      <c r="A115" s="30"/>
      <c r="B115" s="31"/>
      <c r="C115" s="32"/>
      <c r="D115" s="33"/>
      <c r="E115" s="34"/>
      <c r="F115" s="34"/>
      <c r="G115" s="35"/>
      <c r="H115" s="34"/>
      <c r="I115" s="37"/>
    </row>
    <row r="116" ht="22.5" customHeight="1">
      <c r="A116" s="30"/>
      <c r="B116" s="31"/>
      <c r="C116" s="32"/>
      <c r="D116" s="33"/>
      <c r="E116" s="34"/>
      <c r="F116" s="34"/>
      <c r="G116" s="35"/>
      <c r="H116" s="34"/>
      <c r="I116" s="37"/>
    </row>
    <row r="117" ht="22.5" customHeight="1">
      <c r="A117" s="30"/>
      <c r="B117" s="40"/>
      <c r="C117" s="32"/>
      <c r="D117" s="33"/>
      <c r="E117" s="34"/>
      <c r="F117" s="34"/>
      <c r="G117" s="35"/>
      <c r="H117" s="34"/>
      <c r="I117" s="37"/>
    </row>
    <row r="118" ht="22.5" customHeight="1">
      <c r="A118" s="30"/>
      <c r="B118" s="31"/>
      <c r="C118" s="32"/>
      <c r="D118" s="33"/>
      <c r="E118" s="34"/>
      <c r="F118" s="34"/>
      <c r="G118" s="35"/>
      <c r="H118" s="34"/>
      <c r="I118" s="37"/>
    </row>
    <row r="119" ht="22.5" customHeight="1">
      <c r="A119" s="30"/>
      <c r="B119" s="31"/>
      <c r="C119" s="32"/>
      <c r="D119" s="33"/>
      <c r="E119" s="34"/>
      <c r="F119" s="34"/>
      <c r="G119" s="35"/>
      <c r="H119" s="34"/>
      <c r="I119" s="37"/>
    </row>
    <row r="120" ht="22.5" customHeight="1">
      <c r="A120" s="30"/>
      <c r="B120" s="31"/>
      <c r="C120" s="32"/>
      <c r="D120" s="33"/>
      <c r="E120" s="34"/>
      <c r="F120" s="34"/>
      <c r="G120" s="35"/>
      <c r="H120" s="34"/>
      <c r="I120" s="37"/>
    </row>
    <row r="121" ht="22.5" customHeight="1">
      <c r="A121" s="30"/>
      <c r="B121" s="31"/>
      <c r="C121" s="32"/>
      <c r="D121" s="33"/>
      <c r="E121" s="34"/>
      <c r="F121" s="34"/>
      <c r="G121" s="35"/>
      <c r="H121" s="34"/>
      <c r="I121" s="37"/>
    </row>
    <row r="122" ht="22.5" customHeight="1">
      <c r="A122" s="30"/>
      <c r="B122" s="31"/>
      <c r="C122" s="32"/>
      <c r="D122" s="33"/>
      <c r="E122" s="34"/>
      <c r="F122" s="34"/>
      <c r="G122" s="35"/>
      <c r="H122" s="34"/>
      <c r="I122" s="37"/>
    </row>
    <row r="123" ht="22.5" customHeight="1">
      <c r="A123" s="30"/>
      <c r="B123" s="31"/>
      <c r="C123" s="32"/>
      <c r="D123" s="33"/>
      <c r="E123" s="34"/>
      <c r="F123" s="34"/>
      <c r="G123" s="35"/>
      <c r="H123" s="34"/>
      <c r="I123" s="37"/>
    </row>
    <row r="124" ht="22.5" customHeight="1">
      <c r="A124" s="30"/>
      <c r="B124" s="39"/>
      <c r="C124" s="32"/>
      <c r="D124" s="33"/>
      <c r="E124" s="34"/>
      <c r="F124" s="34"/>
      <c r="G124" s="35"/>
      <c r="H124" s="34"/>
      <c r="I124" s="37"/>
    </row>
    <row r="125" ht="22.5" customHeight="1">
      <c r="A125" s="30"/>
      <c r="B125" s="39"/>
      <c r="C125" s="32"/>
      <c r="D125" s="33"/>
      <c r="E125" s="34"/>
      <c r="F125" s="34"/>
      <c r="G125" s="35"/>
      <c r="H125" s="34"/>
      <c r="I125" s="37"/>
    </row>
    <row r="126" ht="22.5" customHeight="1">
      <c r="A126" s="30"/>
      <c r="B126" s="39"/>
      <c r="C126" s="32"/>
      <c r="D126" s="33"/>
      <c r="E126" s="34"/>
      <c r="F126" s="34"/>
      <c r="G126" s="35"/>
      <c r="H126" s="34"/>
      <c r="I126" s="37"/>
    </row>
    <row r="127" ht="22.5" customHeight="1">
      <c r="A127" s="30"/>
      <c r="B127" s="40"/>
      <c r="C127" s="32"/>
      <c r="D127" s="33"/>
      <c r="E127" s="34"/>
      <c r="F127" s="34"/>
      <c r="G127" s="35"/>
      <c r="H127" s="34"/>
      <c r="I127" s="37"/>
    </row>
    <row r="128" ht="22.5" customHeight="1">
      <c r="A128" s="30"/>
      <c r="B128" s="31"/>
      <c r="C128" s="32"/>
      <c r="D128" s="33"/>
      <c r="E128" s="34"/>
      <c r="F128" s="34"/>
      <c r="G128" s="35"/>
      <c r="H128" s="34"/>
      <c r="I128" s="37"/>
    </row>
    <row r="129" ht="22.5" customHeight="1">
      <c r="A129" s="30"/>
      <c r="B129" s="31"/>
      <c r="C129" s="32"/>
      <c r="D129" s="33"/>
      <c r="E129" s="34"/>
      <c r="F129" s="34"/>
      <c r="G129" s="35"/>
      <c r="H129" s="34"/>
      <c r="I129" s="37"/>
    </row>
    <row r="130" ht="22.5" customHeight="1">
      <c r="A130" s="30"/>
      <c r="B130" s="31"/>
      <c r="C130" s="32"/>
      <c r="D130" s="33"/>
      <c r="E130" s="34"/>
      <c r="F130" s="34"/>
      <c r="G130" s="35"/>
      <c r="H130" s="34"/>
      <c r="I130" s="37"/>
    </row>
    <row r="131" ht="22.5" customHeight="1">
      <c r="A131" s="30"/>
      <c r="B131" s="31"/>
      <c r="C131" s="32"/>
      <c r="D131" s="33"/>
      <c r="E131" s="34"/>
      <c r="F131" s="34"/>
      <c r="G131" s="35"/>
      <c r="H131" s="34"/>
      <c r="I131" s="37"/>
    </row>
    <row r="132" ht="22.5" customHeight="1">
      <c r="A132" s="30"/>
      <c r="B132" s="31"/>
      <c r="C132" s="32"/>
      <c r="D132" s="33"/>
      <c r="E132" s="34"/>
      <c r="F132" s="34"/>
      <c r="G132" s="35"/>
      <c r="H132" s="34"/>
      <c r="I132" s="37"/>
    </row>
    <row r="133" ht="22.5" customHeight="1">
      <c r="A133" s="30"/>
      <c r="B133" s="31"/>
      <c r="C133" s="32"/>
      <c r="D133" s="33"/>
      <c r="E133" s="34"/>
      <c r="F133" s="34"/>
      <c r="G133" s="35"/>
      <c r="H133" s="34"/>
      <c r="I133" s="37"/>
    </row>
    <row r="134" ht="22.5" customHeight="1">
      <c r="A134" s="30"/>
      <c r="B134" s="31"/>
      <c r="C134" s="32"/>
      <c r="D134" s="33"/>
      <c r="E134" s="34"/>
      <c r="F134" s="34"/>
      <c r="G134" s="35"/>
      <c r="H134" s="34"/>
      <c r="I134" s="37"/>
    </row>
    <row r="135" ht="22.5" customHeight="1">
      <c r="A135" s="30"/>
      <c r="B135" s="31"/>
      <c r="C135" s="32"/>
      <c r="D135" s="33"/>
      <c r="E135" s="34"/>
      <c r="F135" s="34"/>
      <c r="G135" s="35"/>
      <c r="H135" s="34"/>
      <c r="I135" s="37"/>
    </row>
    <row r="136" ht="22.5" customHeight="1">
      <c r="A136" s="30"/>
      <c r="B136" s="31"/>
      <c r="C136" s="32"/>
      <c r="D136" s="33"/>
      <c r="E136" s="34"/>
      <c r="F136" s="34"/>
      <c r="G136" s="35"/>
      <c r="H136" s="34"/>
      <c r="I136" s="37"/>
    </row>
    <row r="137" ht="22.5" customHeight="1">
      <c r="A137" s="30"/>
      <c r="B137" s="40"/>
      <c r="C137" s="32"/>
      <c r="D137" s="33"/>
      <c r="E137" s="34"/>
      <c r="F137" s="34"/>
      <c r="G137" s="35"/>
      <c r="H137" s="34"/>
      <c r="I137" s="37"/>
    </row>
    <row r="138" ht="22.5" customHeight="1">
      <c r="A138" s="30"/>
      <c r="B138" s="31"/>
      <c r="C138" s="32"/>
      <c r="D138" s="33"/>
      <c r="E138" s="34"/>
      <c r="F138" s="34"/>
      <c r="G138" s="35"/>
      <c r="H138" s="34"/>
      <c r="I138" s="37"/>
    </row>
    <row r="139" ht="22.5" customHeight="1">
      <c r="A139" s="30"/>
      <c r="B139" s="31"/>
      <c r="C139" s="32"/>
      <c r="D139" s="33"/>
      <c r="E139" s="34"/>
      <c r="F139" s="34"/>
      <c r="G139" s="35"/>
      <c r="H139" s="34"/>
      <c r="I139" s="37"/>
    </row>
    <row r="140" ht="22.5" customHeight="1">
      <c r="A140" s="30"/>
      <c r="B140" s="31"/>
      <c r="C140" s="32"/>
      <c r="D140" s="33"/>
      <c r="E140" s="34"/>
      <c r="F140" s="34"/>
      <c r="G140" s="35"/>
      <c r="H140" s="34"/>
      <c r="I140" s="37"/>
    </row>
    <row r="141" ht="22.5" customHeight="1">
      <c r="A141" s="30"/>
      <c r="B141" s="40"/>
      <c r="C141" s="32"/>
      <c r="D141" s="33"/>
      <c r="E141" s="34"/>
      <c r="F141" s="34"/>
      <c r="G141" s="35"/>
      <c r="H141" s="34"/>
      <c r="I141" s="37"/>
    </row>
    <row r="142" ht="22.5" customHeight="1">
      <c r="A142" s="30"/>
      <c r="B142" s="31"/>
      <c r="C142" s="32"/>
      <c r="D142" s="33"/>
      <c r="E142" s="34"/>
      <c r="F142" s="34"/>
      <c r="G142" s="35"/>
      <c r="H142" s="34"/>
      <c r="I142" s="37"/>
    </row>
    <row r="143" ht="22.5" customHeight="1">
      <c r="A143" s="30"/>
      <c r="B143" s="31"/>
      <c r="C143" s="32"/>
      <c r="D143" s="33"/>
      <c r="E143" s="34"/>
      <c r="F143" s="34"/>
      <c r="G143" s="35"/>
      <c r="H143" s="34"/>
      <c r="I143" s="37"/>
    </row>
    <row r="144" ht="22.5" customHeight="1">
      <c r="A144" s="30"/>
      <c r="B144" s="31"/>
      <c r="C144" s="32"/>
      <c r="D144" s="33"/>
      <c r="E144" s="34"/>
      <c r="F144" s="34"/>
      <c r="G144" s="35"/>
      <c r="H144" s="34"/>
      <c r="I144" s="37"/>
    </row>
    <row r="145" ht="22.5" customHeight="1">
      <c r="A145" s="30"/>
      <c r="B145" s="31"/>
      <c r="C145" s="32"/>
      <c r="D145" s="33"/>
      <c r="E145" s="34"/>
      <c r="F145" s="34"/>
      <c r="G145" s="35"/>
      <c r="H145" s="34"/>
      <c r="I145" s="37"/>
    </row>
    <row r="146" ht="22.5" customHeight="1">
      <c r="A146" s="30"/>
      <c r="B146" s="31"/>
      <c r="C146" s="32"/>
      <c r="D146" s="33"/>
      <c r="E146" s="34"/>
      <c r="F146" s="34"/>
      <c r="G146" s="35"/>
      <c r="H146" s="34"/>
      <c r="I146" s="37"/>
    </row>
    <row r="147" ht="22.5" customHeight="1">
      <c r="A147" s="30"/>
      <c r="B147" s="31"/>
      <c r="C147" s="32"/>
      <c r="D147" s="33"/>
      <c r="E147" s="34"/>
      <c r="F147" s="34"/>
      <c r="G147" s="35"/>
      <c r="H147" s="34"/>
      <c r="I147" s="37"/>
    </row>
    <row r="148" ht="22.5" customHeight="1">
      <c r="A148" s="30"/>
      <c r="B148" s="31"/>
      <c r="C148" s="32"/>
      <c r="D148" s="33"/>
      <c r="E148" s="34"/>
      <c r="F148" s="34"/>
      <c r="G148" s="35"/>
      <c r="H148" s="34"/>
      <c r="I148" s="37"/>
    </row>
    <row r="149" ht="22.5" customHeight="1">
      <c r="A149" s="30"/>
      <c r="B149" s="31"/>
      <c r="C149" s="32"/>
      <c r="D149" s="33"/>
      <c r="E149" s="34"/>
      <c r="F149" s="34"/>
      <c r="G149" s="35"/>
      <c r="H149" s="34"/>
      <c r="I149" s="37"/>
    </row>
    <row r="150" ht="22.5" customHeight="1">
      <c r="A150" s="30"/>
      <c r="B150" s="31"/>
      <c r="C150" s="32"/>
      <c r="D150" s="33"/>
      <c r="E150" s="34"/>
      <c r="F150" s="34"/>
      <c r="G150" s="35"/>
      <c r="H150" s="34"/>
      <c r="I150" s="37"/>
    </row>
    <row r="151" ht="22.5" customHeight="1">
      <c r="A151" s="30"/>
      <c r="B151" s="31"/>
      <c r="C151" s="32"/>
      <c r="D151" s="33"/>
      <c r="E151" s="34"/>
      <c r="F151" s="34"/>
      <c r="G151" s="35"/>
      <c r="H151" s="34"/>
      <c r="I151" s="37"/>
    </row>
    <row r="152" ht="22.5" customHeight="1">
      <c r="A152" s="30"/>
      <c r="B152" s="31"/>
      <c r="C152" s="32"/>
      <c r="D152" s="33"/>
      <c r="E152" s="34"/>
      <c r="F152" s="34"/>
      <c r="G152" s="35"/>
      <c r="H152" s="34"/>
      <c r="I152" s="37"/>
    </row>
    <row r="153" ht="22.5" customHeight="1">
      <c r="A153" s="30"/>
      <c r="B153" s="31"/>
      <c r="C153" s="32"/>
      <c r="D153" s="33"/>
      <c r="E153" s="34"/>
      <c r="F153" s="34"/>
      <c r="G153" s="35"/>
      <c r="H153" s="34"/>
      <c r="I153" s="37"/>
    </row>
    <row r="154" ht="22.5" customHeight="1">
      <c r="A154" s="30"/>
      <c r="B154" s="31"/>
      <c r="C154" s="32"/>
      <c r="D154" s="33"/>
      <c r="E154" s="34"/>
      <c r="F154" s="34"/>
      <c r="G154" s="35"/>
      <c r="H154" s="34"/>
      <c r="I154" s="37"/>
    </row>
    <row r="155" ht="22.5" customHeight="1">
      <c r="A155" s="30"/>
      <c r="B155" s="31"/>
      <c r="C155" s="32"/>
      <c r="D155" s="33"/>
      <c r="E155" s="34"/>
      <c r="F155" s="34"/>
      <c r="G155" s="35"/>
      <c r="H155" s="34"/>
      <c r="I155" s="37"/>
    </row>
    <row r="156" ht="22.5" customHeight="1">
      <c r="A156" s="30"/>
      <c r="B156" s="40"/>
      <c r="C156" s="32"/>
      <c r="D156" s="33"/>
      <c r="E156" s="34"/>
      <c r="F156" s="34"/>
      <c r="G156" s="35"/>
      <c r="H156" s="34"/>
      <c r="I156" s="37"/>
    </row>
    <row r="157" ht="22.5" customHeight="1">
      <c r="A157" s="30"/>
      <c r="B157" s="31"/>
      <c r="C157" s="32"/>
      <c r="D157" s="33"/>
      <c r="E157" s="34"/>
      <c r="F157" s="34"/>
      <c r="G157" s="35"/>
      <c r="H157" s="34"/>
      <c r="I157" s="37"/>
    </row>
    <row r="158" ht="22.5" customHeight="1">
      <c r="A158" s="30"/>
      <c r="B158" s="40"/>
      <c r="C158" s="32"/>
      <c r="D158" s="33"/>
      <c r="E158" s="34"/>
      <c r="F158" s="34"/>
      <c r="G158" s="35"/>
      <c r="H158" s="34"/>
      <c r="I158" s="37"/>
    </row>
    <row r="159" ht="22.5" customHeight="1">
      <c r="A159" s="30"/>
      <c r="B159" s="31"/>
      <c r="C159" s="32"/>
      <c r="D159" s="33"/>
      <c r="E159" s="34"/>
      <c r="F159" s="34"/>
      <c r="G159" s="35"/>
      <c r="H159" s="34"/>
      <c r="I159" s="37"/>
    </row>
    <row r="160" ht="22.5" customHeight="1">
      <c r="A160" s="30"/>
      <c r="B160" s="31"/>
      <c r="C160" s="32"/>
      <c r="D160" s="33"/>
      <c r="E160" s="34"/>
      <c r="F160" s="34"/>
      <c r="G160" s="35"/>
      <c r="H160" s="34"/>
      <c r="I160" s="37"/>
    </row>
    <row r="161" ht="22.5" customHeight="1">
      <c r="A161" s="30"/>
      <c r="B161" s="31"/>
      <c r="C161" s="32"/>
      <c r="D161" s="33"/>
      <c r="E161" s="34"/>
      <c r="F161" s="34"/>
      <c r="G161" s="35"/>
      <c r="H161" s="34"/>
      <c r="I161" s="37"/>
    </row>
    <row r="162" ht="22.5" customHeight="1">
      <c r="A162" s="30"/>
      <c r="B162" s="31"/>
      <c r="C162" s="32"/>
      <c r="D162" s="33"/>
      <c r="E162" s="34"/>
      <c r="F162" s="34"/>
      <c r="G162" s="35"/>
      <c r="H162" s="34"/>
      <c r="I162" s="37"/>
    </row>
    <row r="163" ht="22.5" customHeight="1">
      <c r="A163" s="30"/>
      <c r="B163" s="40"/>
      <c r="C163" s="32"/>
      <c r="D163" s="33"/>
      <c r="E163" s="34"/>
      <c r="F163" s="34"/>
      <c r="G163" s="35"/>
      <c r="H163" s="34"/>
      <c r="I163" s="37"/>
    </row>
    <row r="164" ht="22.5" customHeight="1">
      <c r="A164" s="30"/>
      <c r="B164" s="31"/>
      <c r="C164" s="32"/>
      <c r="D164" s="33"/>
      <c r="E164" s="34"/>
      <c r="F164" s="34"/>
      <c r="G164" s="35"/>
      <c r="H164" s="34"/>
      <c r="I164" s="37"/>
    </row>
    <row r="165" ht="22.5" customHeight="1">
      <c r="A165" s="30"/>
      <c r="B165" s="31"/>
      <c r="C165" s="32"/>
      <c r="D165" s="33"/>
      <c r="E165" s="34"/>
      <c r="F165" s="34"/>
      <c r="G165" s="35"/>
      <c r="H165" s="34"/>
      <c r="I165" s="37"/>
    </row>
    <row r="166" ht="22.5" customHeight="1">
      <c r="A166" s="30"/>
      <c r="B166" s="31"/>
      <c r="C166" s="32"/>
      <c r="D166" s="33"/>
      <c r="E166" s="34"/>
      <c r="F166" s="34"/>
      <c r="G166" s="35"/>
      <c r="H166" s="34"/>
      <c r="I166" s="37"/>
    </row>
    <row r="167" ht="22.5" customHeight="1">
      <c r="A167" s="30"/>
      <c r="B167" s="31"/>
      <c r="C167" s="32"/>
      <c r="D167" s="33"/>
      <c r="E167" s="34"/>
      <c r="F167" s="34"/>
      <c r="G167" s="35"/>
      <c r="H167" s="34"/>
      <c r="I167" s="37"/>
    </row>
    <row r="168" ht="22.5" customHeight="1">
      <c r="A168" s="30"/>
      <c r="B168" s="31"/>
      <c r="C168" s="32"/>
      <c r="D168" s="33"/>
      <c r="E168" s="34"/>
      <c r="F168" s="34"/>
      <c r="G168" s="35"/>
      <c r="H168" s="34"/>
      <c r="I168" s="37"/>
    </row>
    <row r="169" ht="22.5" customHeight="1">
      <c r="A169" s="30"/>
      <c r="B169" s="31"/>
      <c r="C169" s="32"/>
      <c r="D169" s="33"/>
      <c r="E169" s="34"/>
      <c r="F169" s="34"/>
      <c r="G169" s="35"/>
      <c r="H169" s="34"/>
      <c r="I169" s="37"/>
    </row>
    <row r="170" ht="22.5" customHeight="1">
      <c r="A170" s="30"/>
      <c r="B170" s="31"/>
      <c r="C170" s="32"/>
      <c r="D170" s="33"/>
      <c r="E170" s="34"/>
      <c r="F170" s="34"/>
      <c r="G170" s="35"/>
      <c r="H170" s="34"/>
      <c r="I170" s="37"/>
    </row>
    <row r="171" ht="22.5" customHeight="1">
      <c r="A171" s="30"/>
      <c r="B171" s="31"/>
      <c r="C171" s="32"/>
      <c r="D171" s="33"/>
      <c r="E171" s="34"/>
      <c r="F171" s="34"/>
      <c r="G171" s="35"/>
      <c r="H171" s="34"/>
      <c r="I171" s="37"/>
    </row>
    <row r="172" ht="22.5" customHeight="1">
      <c r="A172" s="30"/>
      <c r="B172" s="31"/>
      <c r="C172" s="32"/>
      <c r="D172" s="33"/>
      <c r="E172" s="34"/>
      <c r="F172" s="34"/>
      <c r="G172" s="35"/>
      <c r="H172" s="34"/>
      <c r="I172" s="37"/>
    </row>
    <row r="173" ht="22.5" customHeight="1">
      <c r="A173" s="30"/>
      <c r="B173" s="31"/>
      <c r="C173" s="32"/>
      <c r="D173" s="33"/>
      <c r="E173" s="34"/>
      <c r="F173" s="34"/>
      <c r="G173" s="35"/>
      <c r="H173" s="34"/>
      <c r="I173" s="37"/>
    </row>
    <row r="174" ht="22.5" customHeight="1">
      <c r="A174" s="30"/>
      <c r="B174" s="31"/>
      <c r="C174" s="32"/>
      <c r="D174" s="33"/>
      <c r="E174" s="34"/>
      <c r="F174" s="34"/>
      <c r="G174" s="35"/>
      <c r="H174" s="34"/>
      <c r="I174" s="37"/>
    </row>
    <row r="175" ht="22.5" customHeight="1">
      <c r="A175" s="30"/>
      <c r="B175" s="31"/>
      <c r="C175" s="32"/>
      <c r="D175" s="33"/>
      <c r="E175" s="34"/>
      <c r="F175" s="34"/>
      <c r="G175" s="35"/>
      <c r="H175" s="34"/>
      <c r="I175" s="37"/>
    </row>
    <row r="176" ht="22.5" customHeight="1">
      <c r="A176" s="30"/>
      <c r="B176" s="31"/>
      <c r="C176" s="32"/>
      <c r="D176" s="33"/>
      <c r="E176" s="34"/>
      <c r="F176" s="34"/>
      <c r="G176" s="35"/>
      <c r="H176" s="34"/>
      <c r="I176" s="37"/>
    </row>
    <row r="177" ht="22.5" customHeight="1">
      <c r="A177" s="30"/>
      <c r="B177" s="31"/>
      <c r="C177" s="32"/>
      <c r="D177" s="33"/>
      <c r="E177" s="34"/>
      <c r="F177" s="34"/>
      <c r="G177" s="35"/>
      <c r="H177" s="34"/>
      <c r="I177" s="37"/>
    </row>
    <row r="178" ht="22.5" customHeight="1">
      <c r="A178" s="30"/>
      <c r="B178" s="31"/>
      <c r="C178" s="32"/>
      <c r="D178" s="33"/>
      <c r="E178" s="34"/>
      <c r="F178" s="34"/>
      <c r="G178" s="35"/>
      <c r="H178" s="34"/>
      <c r="I178" s="37"/>
    </row>
    <row r="179" ht="22.5" customHeight="1">
      <c r="A179" s="30"/>
      <c r="B179" s="31"/>
      <c r="C179" s="32"/>
      <c r="D179" s="33"/>
      <c r="E179" s="34"/>
      <c r="F179" s="34"/>
      <c r="G179" s="35"/>
      <c r="H179" s="34"/>
      <c r="I179" s="37"/>
    </row>
    <row r="180" ht="22.5" customHeight="1">
      <c r="A180" s="30"/>
      <c r="B180" s="31"/>
      <c r="C180" s="32"/>
      <c r="D180" s="33"/>
      <c r="E180" s="34"/>
      <c r="F180" s="34"/>
      <c r="G180" s="35"/>
      <c r="H180" s="34"/>
      <c r="I180" s="37"/>
    </row>
    <row r="181" ht="22.5" customHeight="1">
      <c r="A181" s="30"/>
      <c r="B181" s="31"/>
      <c r="C181" s="32"/>
      <c r="D181" s="33"/>
      <c r="E181" s="34"/>
      <c r="F181" s="34"/>
      <c r="G181" s="35"/>
      <c r="H181" s="34"/>
      <c r="I181" s="37"/>
    </row>
    <row r="182" ht="22.5" customHeight="1">
      <c r="A182" s="30"/>
      <c r="B182" s="31"/>
      <c r="C182" s="32"/>
      <c r="D182" s="33"/>
      <c r="E182" s="34"/>
      <c r="F182" s="34"/>
      <c r="G182" s="35"/>
      <c r="H182" s="34"/>
      <c r="I182" s="37"/>
    </row>
    <row r="183" ht="22.5" customHeight="1">
      <c r="A183" s="30"/>
      <c r="B183" s="31"/>
      <c r="C183" s="32"/>
      <c r="D183" s="33"/>
      <c r="E183" s="34"/>
      <c r="F183" s="34"/>
      <c r="G183" s="35"/>
      <c r="H183" s="34"/>
      <c r="I183" s="37"/>
    </row>
    <row r="184" ht="22.5" customHeight="1">
      <c r="A184" s="30"/>
      <c r="B184" s="31"/>
      <c r="C184" s="32"/>
      <c r="D184" s="33"/>
      <c r="E184" s="34"/>
      <c r="F184" s="34"/>
      <c r="G184" s="35"/>
      <c r="H184" s="34"/>
      <c r="I184" s="37"/>
    </row>
    <row r="185" ht="22.5" customHeight="1">
      <c r="A185" s="30"/>
      <c r="B185" s="40"/>
      <c r="C185" s="32"/>
      <c r="D185" s="33"/>
      <c r="E185" s="34"/>
      <c r="F185" s="34"/>
      <c r="G185" s="35"/>
      <c r="H185" s="34"/>
      <c r="I185" s="37"/>
    </row>
    <row r="186" ht="22.5" customHeight="1">
      <c r="A186" s="30"/>
      <c r="B186" s="31"/>
      <c r="C186" s="32"/>
      <c r="D186" s="33"/>
      <c r="E186" s="34"/>
      <c r="F186" s="34"/>
      <c r="G186" s="35"/>
      <c r="H186" s="34"/>
      <c r="I186" s="37"/>
    </row>
    <row r="187" ht="22.5" customHeight="1">
      <c r="A187" s="30"/>
      <c r="B187" s="31"/>
      <c r="C187" s="32"/>
      <c r="D187" s="33"/>
      <c r="E187" s="34"/>
      <c r="F187" s="34"/>
      <c r="G187" s="35"/>
      <c r="H187" s="34"/>
      <c r="I187" s="37"/>
    </row>
    <row r="188" ht="22.5" customHeight="1">
      <c r="A188" s="30"/>
      <c r="B188" s="31"/>
      <c r="C188" s="32"/>
      <c r="D188" s="33"/>
      <c r="E188" s="34"/>
      <c r="F188" s="34"/>
      <c r="G188" s="35"/>
      <c r="H188" s="34"/>
      <c r="I188" s="37"/>
    </row>
    <row r="189" ht="22.5" customHeight="1">
      <c r="A189" s="30"/>
      <c r="B189" s="31"/>
      <c r="C189" s="32"/>
      <c r="D189" s="33"/>
      <c r="E189" s="34"/>
      <c r="F189" s="34"/>
      <c r="G189" s="35"/>
      <c r="H189" s="34"/>
      <c r="I189" s="38"/>
    </row>
    <row r="190" ht="22.5" customHeight="1">
      <c r="A190" s="30"/>
      <c r="B190" s="39"/>
      <c r="C190" s="32"/>
      <c r="D190" s="33"/>
      <c r="E190" s="34"/>
      <c r="F190" s="34"/>
      <c r="G190" s="35"/>
      <c r="H190" s="34"/>
      <c r="I190" s="37"/>
    </row>
    <row r="191" ht="22.5" customHeight="1">
      <c r="A191" s="30"/>
      <c r="B191" s="31"/>
      <c r="C191" s="32"/>
      <c r="D191" s="33"/>
      <c r="E191" s="34"/>
      <c r="F191" s="34"/>
      <c r="G191" s="35"/>
      <c r="H191" s="34"/>
      <c r="I191" s="37"/>
    </row>
    <row r="192" ht="22.5" customHeight="1">
      <c r="A192" s="30"/>
      <c r="B192" s="31"/>
      <c r="C192" s="32"/>
      <c r="D192" s="33"/>
      <c r="E192" s="34"/>
      <c r="F192" s="34"/>
      <c r="G192" s="35"/>
      <c r="H192" s="34"/>
      <c r="I192" s="37"/>
    </row>
    <row r="193" ht="22.5" customHeight="1">
      <c r="A193" s="30"/>
      <c r="B193" s="31"/>
      <c r="C193" s="32"/>
      <c r="D193" s="33"/>
      <c r="E193" s="34"/>
      <c r="F193" s="34"/>
      <c r="G193" s="35"/>
      <c r="H193" s="34"/>
      <c r="I193" s="37"/>
    </row>
    <row r="194" ht="22.5" customHeight="1">
      <c r="A194" s="30"/>
      <c r="B194" s="39"/>
      <c r="C194" s="32"/>
      <c r="D194" s="33"/>
      <c r="E194" s="34"/>
      <c r="F194" s="34"/>
      <c r="G194" s="35"/>
      <c r="H194" s="34"/>
      <c r="I194" s="37"/>
    </row>
    <row r="195" ht="22.5" customHeight="1">
      <c r="A195" s="30"/>
      <c r="B195" s="31"/>
      <c r="C195" s="32"/>
      <c r="D195" s="33"/>
      <c r="E195" s="34"/>
      <c r="F195" s="34"/>
      <c r="G195" s="35"/>
      <c r="H195" s="34"/>
      <c r="I195" s="37"/>
    </row>
    <row r="196" ht="22.5" customHeight="1">
      <c r="A196" s="30"/>
      <c r="B196" s="39"/>
      <c r="C196" s="32"/>
      <c r="D196" s="33"/>
      <c r="E196" s="34"/>
      <c r="F196" s="34"/>
      <c r="G196" s="35"/>
      <c r="H196" s="34"/>
      <c r="I196" s="37"/>
    </row>
    <row r="197" ht="22.5" customHeight="1">
      <c r="A197" s="30"/>
      <c r="B197" s="31"/>
      <c r="C197" s="32"/>
      <c r="D197" s="33"/>
      <c r="E197" s="34"/>
      <c r="F197" s="34"/>
      <c r="G197" s="35"/>
      <c r="H197" s="34"/>
      <c r="I197" s="37"/>
    </row>
    <row r="198" ht="22.5" customHeight="1">
      <c r="A198" s="30"/>
      <c r="B198" s="31"/>
      <c r="C198" s="32"/>
      <c r="D198" s="33"/>
      <c r="E198" s="34"/>
      <c r="F198" s="34"/>
      <c r="G198" s="35"/>
      <c r="H198" s="34"/>
      <c r="I198" s="37"/>
    </row>
    <row r="199" ht="22.5" customHeight="1">
      <c r="A199" s="30"/>
      <c r="B199" s="31"/>
      <c r="C199" s="32"/>
      <c r="D199" s="33"/>
      <c r="E199" s="34"/>
      <c r="F199" s="34"/>
      <c r="G199" s="35"/>
      <c r="H199" s="34"/>
      <c r="I199" s="37"/>
    </row>
    <row r="200" ht="22.5" customHeight="1">
      <c r="A200" s="30"/>
      <c r="B200" s="31"/>
      <c r="C200" s="32"/>
      <c r="D200" s="33"/>
      <c r="E200" s="34"/>
      <c r="F200" s="34"/>
      <c r="G200" s="35"/>
      <c r="H200" s="34"/>
      <c r="I200" s="37"/>
    </row>
    <row r="201" ht="22.5" customHeight="1">
      <c r="A201" s="30"/>
      <c r="B201" s="31"/>
      <c r="C201" s="32"/>
      <c r="D201" s="33"/>
      <c r="E201" s="34"/>
      <c r="F201" s="34"/>
      <c r="G201" s="35"/>
      <c r="H201" s="34"/>
      <c r="I201" s="37"/>
    </row>
    <row r="202" ht="22.5" customHeight="1">
      <c r="A202" s="30"/>
      <c r="B202" s="31"/>
      <c r="C202" s="32"/>
      <c r="D202" s="33"/>
      <c r="E202" s="34"/>
      <c r="F202" s="34"/>
      <c r="G202" s="35"/>
      <c r="H202" s="34"/>
      <c r="I202" s="37"/>
    </row>
    <row r="203" ht="22.5" customHeight="1">
      <c r="A203" s="30"/>
      <c r="B203" s="31"/>
      <c r="C203" s="32"/>
      <c r="D203" s="33"/>
      <c r="E203" s="34"/>
      <c r="F203" s="34"/>
      <c r="G203" s="35"/>
      <c r="H203" s="34"/>
      <c r="I203" s="37"/>
    </row>
    <row r="204" ht="22.5" customHeight="1">
      <c r="A204" s="30"/>
      <c r="B204" s="31"/>
      <c r="C204" s="32"/>
      <c r="D204" s="33"/>
      <c r="E204" s="34"/>
      <c r="F204" s="34"/>
      <c r="G204" s="35"/>
      <c r="H204" s="34"/>
      <c r="I204" s="37"/>
    </row>
    <row r="205" ht="22.5" customHeight="1">
      <c r="A205" s="30"/>
      <c r="B205" s="31"/>
      <c r="C205" s="32"/>
      <c r="D205" s="33"/>
      <c r="E205" s="34"/>
      <c r="F205" s="34"/>
      <c r="G205" s="35"/>
      <c r="H205" s="34"/>
      <c r="I205" s="37"/>
    </row>
    <row r="206" ht="22.5" customHeight="1">
      <c r="A206" s="30"/>
      <c r="B206" s="31"/>
      <c r="C206" s="32"/>
      <c r="D206" s="33"/>
      <c r="E206" s="34"/>
      <c r="F206" s="34"/>
      <c r="G206" s="35"/>
      <c r="H206" s="34"/>
      <c r="I206" s="37"/>
    </row>
    <row r="207" ht="22.5" customHeight="1">
      <c r="A207" s="30"/>
      <c r="B207" s="40"/>
      <c r="C207" s="32"/>
      <c r="D207" s="33"/>
      <c r="E207" s="34"/>
      <c r="F207" s="34"/>
      <c r="G207" s="35"/>
      <c r="H207" s="34"/>
      <c r="I207" s="37"/>
    </row>
    <row r="208" ht="22.5" customHeight="1">
      <c r="A208" s="30"/>
      <c r="B208" s="31"/>
      <c r="C208" s="32"/>
      <c r="D208" s="33"/>
      <c r="E208" s="34"/>
      <c r="F208" s="34"/>
      <c r="G208" s="35"/>
      <c r="H208" s="34"/>
      <c r="I208" s="37"/>
    </row>
    <row r="209" ht="22.5" customHeight="1">
      <c r="A209" s="30"/>
      <c r="B209" s="31"/>
      <c r="C209" s="32"/>
      <c r="D209" s="33"/>
      <c r="E209" s="34"/>
      <c r="F209" s="34"/>
      <c r="G209" s="35"/>
      <c r="H209" s="34"/>
      <c r="I209" s="37"/>
    </row>
    <row r="210" ht="22.5" customHeight="1">
      <c r="A210" s="30"/>
      <c r="B210" s="31"/>
      <c r="C210" s="32"/>
      <c r="D210" s="33"/>
      <c r="E210" s="34"/>
      <c r="F210" s="34"/>
      <c r="G210" s="35"/>
      <c r="H210" s="34"/>
      <c r="I210" s="37"/>
    </row>
    <row r="211" ht="22.5" customHeight="1">
      <c r="A211" s="30"/>
      <c r="B211" s="31"/>
      <c r="C211" s="32"/>
      <c r="D211" s="33"/>
      <c r="E211" s="34"/>
      <c r="F211" s="34"/>
      <c r="G211" s="35"/>
      <c r="H211" s="34"/>
      <c r="I211" s="37"/>
    </row>
    <row r="212" ht="22.5" customHeight="1">
      <c r="A212" s="30"/>
      <c r="B212" s="31"/>
      <c r="C212" s="32"/>
      <c r="D212" s="33"/>
      <c r="E212" s="34"/>
      <c r="F212" s="34"/>
      <c r="G212" s="35"/>
      <c r="H212" s="34"/>
      <c r="I212" s="37"/>
    </row>
    <row r="213" ht="22.5" customHeight="1">
      <c r="A213" s="30"/>
      <c r="B213" s="31"/>
      <c r="C213" s="32"/>
      <c r="D213" s="33"/>
      <c r="E213" s="34"/>
      <c r="F213" s="34"/>
      <c r="G213" s="35"/>
      <c r="H213" s="34"/>
      <c r="I213" s="37"/>
    </row>
    <row r="214" ht="22.5" customHeight="1">
      <c r="A214" s="30"/>
      <c r="B214" s="39"/>
      <c r="C214" s="32"/>
      <c r="D214" s="33"/>
      <c r="E214" s="34"/>
      <c r="F214" s="34"/>
      <c r="G214" s="35"/>
      <c r="H214" s="34"/>
      <c r="I214" s="37"/>
    </row>
    <row r="215" ht="22.5" customHeight="1">
      <c r="A215" s="30"/>
      <c r="B215" s="39"/>
      <c r="C215" s="32"/>
      <c r="D215" s="33"/>
      <c r="E215" s="34"/>
      <c r="F215" s="34"/>
      <c r="G215" s="35"/>
      <c r="H215" s="34"/>
      <c r="I215" s="37"/>
    </row>
    <row r="216" ht="22.5" customHeight="1">
      <c r="A216" s="30"/>
      <c r="B216" s="39"/>
      <c r="C216" s="32"/>
      <c r="D216" s="33"/>
      <c r="E216" s="34"/>
      <c r="F216" s="34"/>
      <c r="G216" s="35"/>
      <c r="H216" s="34"/>
      <c r="I216" s="37"/>
    </row>
    <row r="217" ht="22.5" customHeight="1">
      <c r="A217" s="30"/>
      <c r="B217" s="40"/>
      <c r="C217" s="32"/>
      <c r="D217" s="33"/>
      <c r="E217" s="34"/>
      <c r="F217" s="34"/>
      <c r="G217" s="35"/>
      <c r="H217" s="34"/>
      <c r="I217" s="37"/>
    </row>
    <row r="218" ht="22.5" customHeight="1">
      <c r="A218" s="30"/>
      <c r="B218" s="31"/>
      <c r="C218" s="32"/>
      <c r="D218" s="33"/>
      <c r="E218" s="34"/>
      <c r="F218" s="34"/>
      <c r="G218" s="35"/>
      <c r="H218" s="34"/>
      <c r="I218" s="37"/>
    </row>
    <row r="219" ht="22.5" customHeight="1">
      <c r="A219" s="30"/>
      <c r="B219" s="31"/>
      <c r="C219" s="32"/>
      <c r="D219" s="33"/>
      <c r="E219" s="34"/>
      <c r="F219" s="34"/>
      <c r="G219" s="35"/>
      <c r="H219" s="34"/>
      <c r="I219" s="37"/>
    </row>
    <row r="220" ht="22.5" customHeight="1">
      <c r="A220" s="30"/>
      <c r="B220" s="31"/>
      <c r="C220" s="32"/>
      <c r="D220" s="33"/>
      <c r="E220" s="34"/>
      <c r="F220" s="34"/>
      <c r="G220" s="35"/>
      <c r="H220" s="34"/>
      <c r="I220" s="37"/>
    </row>
    <row r="221" ht="22.5" customHeight="1">
      <c r="A221" s="30"/>
      <c r="B221" s="31"/>
      <c r="C221" s="32"/>
      <c r="D221" s="33"/>
      <c r="E221" s="34"/>
      <c r="F221" s="34"/>
      <c r="G221" s="35"/>
      <c r="H221" s="34"/>
      <c r="I221" s="37"/>
    </row>
    <row r="222" ht="22.5" customHeight="1">
      <c r="A222" s="30"/>
      <c r="B222" s="31"/>
      <c r="C222" s="32"/>
      <c r="D222" s="33"/>
      <c r="E222" s="34"/>
      <c r="F222" s="34"/>
      <c r="G222" s="35"/>
      <c r="H222" s="34"/>
      <c r="I222" s="37"/>
    </row>
    <row r="223" ht="22.5" customHeight="1">
      <c r="A223" s="30"/>
      <c r="B223" s="31"/>
      <c r="C223" s="32"/>
      <c r="D223" s="33"/>
      <c r="E223" s="34"/>
      <c r="F223" s="34"/>
      <c r="G223" s="35"/>
      <c r="H223" s="34"/>
      <c r="I223" s="37"/>
    </row>
    <row r="224" ht="22.5" customHeight="1">
      <c r="A224" s="30"/>
      <c r="B224" s="31"/>
      <c r="C224" s="32"/>
      <c r="D224" s="33"/>
      <c r="E224" s="34"/>
      <c r="F224" s="34"/>
      <c r="G224" s="35"/>
      <c r="H224" s="34"/>
      <c r="I224" s="37"/>
    </row>
    <row r="225" ht="22.5" customHeight="1">
      <c r="A225" s="30"/>
      <c r="B225" s="31"/>
      <c r="C225" s="32"/>
      <c r="D225" s="33"/>
      <c r="E225" s="34"/>
      <c r="F225" s="34"/>
      <c r="G225" s="35"/>
      <c r="H225" s="34"/>
      <c r="I225" s="37"/>
    </row>
    <row r="226" ht="22.5" customHeight="1">
      <c r="A226" s="30"/>
      <c r="B226" s="31"/>
      <c r="C226" s="32"/>
      <c r="D226" s="33"/>
      <c r="E226" s="34"/>
      <c r="F226" s="34"/>
      <c r="G226" s="35"/>
      <c r="H226" s="34"/>
      <c r="I226" s="37"/>
    </row>
    <row r="227" ht="22.5" customHeight="1">
      <c r="A227" s="30"/>
      <c r="B227" s="40"/>
      <c r="C227" s="32"/>
      <c r="D227" s="33"/>
      <c r="E227" s="34"/>
      <c r="F227" s="34"/>
      <c r="G227" s="35"/>
      <c r="H227" s="34"/>
      <c r="I227" s="37"/>
    </row>
    <row r="228" ht="22.5" customHeight="1">
      <c r="A228" s="30"/>
      <c r="B228" s="31"/>
      <c r="C228" s="32"/>
      <c r="D228" s="33"/>
      <c r="E228" s="34"/>
      <c r="F228" s="34"/>
      <c r="G228" s="35"/>
      <c r="H228" s="34"/>
      <c r="I228" s="37"/>
    </row>
    <row r="229" ht="22.5" customHeight="1">
      <c r="A229" s="30"/>
      <c r="B229" s="31"/>
      <c r="C229" s="32"/>
      <c r="D229" s="33"/>
      <c r="E229" s="34"/>
      <c r="F229" s="34"/>
      <c r="G229" s="35"/>
      <c r="H229" s="34"/>
      <c r="I229" s="37"/>
    </row>
    <row r="230" ht="22.5" customHeight="1">
      <c r="A230" s="30"/>
      <c r="B230" s="31"/>
      <c r="C230" s="32"/>
      <c r="D230" s="33"/>
      <c r="E230" s="34"/>
      <c r="F230" s="34"/>
      <c r="G230" s="35"/>
      <c r="H230" s="34"/>
      <c r="I230" s="37"/>
    </row>
    <row r="231" ht="22.5" customHeight="1">
      <c r="A231" s="30"/>
      <c r="B231" s="40"/>
      <c r="C231" s="32"/>
      <c r="D231" s="33"/>
      <c r="E231" s="34"/>
      <c r="F231" s="34"/>
      <c r="G231" s="35"/>
      <c r="H231" s="34"/>
      <c r="I231" s="37"/>
    </row>
    <row r="232" ht="22.5" customHeight="1">
      <c r="A232" s="30"/>
      <c r="B232" s="31"/>
      <c r="C232" s="32"/>
      <c r="D232" s="33"/>
      <c r="E232" s="34"/>
      <c r="F232" s="34"/>
      <c r="G232" s="35"/>
      <c r="H232" s="34"/>
      <c r="I232" s="37"/>
    </row>
    <row r="233" ht="22.5" customHeight="1">
      <c r="A233" s="30"/>
      <c r="B233" s="31"/>
      <c r="C233" s="32"/>
      <c r="D233" s="33"/>
      <c r="E233" s="34"/>
      <c r="F233" s="34"/>
      <c r="G233" s="35"/>
      <c r="H233" s="34"/>
      <c r="I233" s="37"/>
    </row>
    <row r="234" ht="22.5" customHeight="1">
      <c r="A234" s="30"/>
      <c r="B234" s="31"/>
      <c r="C234" s="32"/>
      <c r="D234" s="33"/>
      <c r="E234" s="34"/>
      <c r="F234" s="34"/>
      <c r="G234" s="35"/>
      <c r="H234" s="34"/>
      <c r="I234" s="37"/>
    </row>
    <row r="235" ht="22.5" customHeight="1">
      <c r="A235" s="30"/>
      <c r="B235" s="31"/>
      <c r="C235" s="32"/>
      <c r="D235" s="33"/>
      <c r="E235" s="34"/>
      <c r="F235" s="34"/>
      <c r="G235" s="35"/>
      <c r="H235" s="34"/>
      <c r="I235" s="37"/>
    </row>
    <row r="236" ht="22.5" customHeight="1">
      <c r="A236" s="30"/>
      <c r="B236" s="31"/>
      <c r="C236" s="32"/>
      <c r="D236" s="33"/>
      <c r="E236" s="34"/>
      <c r="F236" s="34"/>
      <c r="G236" s="35"/>
      <c r="H236" s="34"/>
      <c r="I236" s="37"/>
    </row>
    <row r="237" ht="22.5" customHeight="1">
      <c r="A237" s="30"/>
      <c r="B237" s="31"/>
      <c r="C237" s="32"/>
      <c r="D237" s="33"/>
      <c r="E237" s="34"/>
      <c r="F237" s="34"/>
      <c r="G237" s="35"/>
      <c r="H237" s="34"/>
      <c r="I237" s="37"/>
    </row>
    <row r="238" ht="22.5" customHeight="1">
      <c r="A238" s="30"/>
      <c r="B238" s="31"/>
      <c r="C238" s="32"/>
      <c r="D238" s="33"/>
      <c r="E238" s="34"/>
      <c r="F238" s="34"/>
      <c r="G238" s="35"/>
      <c r="H238" s="34"/>
      <c r="I238" s="37"/>
    </row>
    <row r="239" ht="22.5" customHeight="1">
      <c r="A239" s="30"/>
      <c r="B239" s="31"/>
      <c r="C239" s="32"/>
      <c r="D239" s="33"/>
      <c r="E239" s="34"/>
      <c r="F239" s="34"/>
      <c r="G239" s="35"/>
      <c r="H239" s="34"/>
      <c r="I239" s="37"/>
    </row>
    <row r="240" ht="22.5" customHeight="1">
      <c r="A240" s="30"/>
      <c r="B240" s="31"/>
      <c r="C240" s="32"/>
      <c r="D240" s="33"/>
      <c r="E240" s="34"/>
      <c r="F240" s="34"/>
      <c r="G240" s="35"/>
      <c r="H240" s="34"/>
      <c r="I240" s="37"/>
    </row>
    <row r="241" ht="22.5" customHeight="1">
      <c r="A241" s="30"/>
      <c r="B241" s="31"/>
      <c r="C241" s="32"/>
      <c r="D241" s="33"/>
      <c r="E241" s="34"/>
      <c r="F241" s="34"/>
      <c r="G241" s="35"/>
      <c r="H241" s="34"/>
      <c r="I241" s="37"/>
    </row>
    <row r="242" ht="22.5" customHeight="1">
      <c r="A242" s="30"/>
      <c r="B242" s="31"/>
      <c r="C242" s="32"/>
      <c r="D242" s="33"/>
      <c r="E242" s="34"/>
      <c r="F242" s="34"/>
      <c r="G242" s="35"/>
      <c r="H242" s="34"/>
      <c r="I242" s="37"/>
    </row>
    <row r="243" ht="22.5" customHeight="1">
      <c r="A243" s="30"/>
      <c r="B243" s="31"/>
      <c r="C243" s="32"/>
      <c r="D243" s="33"/>
      <c r="E243" s="34"/>
      <c r="F243" s="34"/>
      <c r="G243" s="35"/>
      <c r="H243" s="34"/>
      <c r="I243" s="37"/>
    </row>
    <row r="244" ht="22.5" customHeight="1">
      <c r="A244" s="30"/>
      <c r="B244" s="31"/>
      <c r="C244" s="32"/>
      <c r="D244" s="33"/>
      <c r="E244" s="34"/>
      <c r="F244" s="34"/>
      <c r="G244" s="35"/>
      <c r="H244" s="34"/>
      <c r="I244" s="37"/>
    </row>
    <row r="245" ht="22.5" customHeight="1">
      <c r="A245" s="30"/>
      <c r="B245" s="31"/>
      <c r="C245" s="32"/>
      <c r="D245" s="33"/>
      <c r="E245" s="34"/>
      <c r="F245" s="34"/>
      <c r="G245" s="35"/>
      <c r="H245" s="34"/>
      <c r="I245" s="37"/>
    </row>
    <row r="246" ht="22.5" customHeight="1">
      <c r="A246" s="30"/>
      <c r="B246" s="40"/>
      <c r="C246" s="32"/>
      <c r="D246" s="33"/>
      <c r="E246" s="34"/>
      <c r="F246" s="34"/>
      <c r="G246" s="35"/>
      <c r="H246" s="34"/>
      <c r="I246" s="37"/>
    </row>
    <row r="247" ht="22.5" customHeight="1">
      <c r="A247" s="30"/>
      <c r="B247" s="31"/>
      <c r="C247" s="32"/>
      <c r="D247" s="33"/>
      <c r="E247" s="34"/>
      <c r="F247" s="34"/>
      <c r="G247" s="35"/>
      <c r="H247" s="34"/>
      <c r="I247" s="37"/>
    </row>
    <row r="248" ht="22.5" customHeight="1">
      <c r="A248" s="30"/>
      <c r="B248" s="40"/>
      <c r="C248" s="32"/>
      <c r="D248" s="33"/>
      <c r="E248" s="34"/>
      <c r="F248" s="34"/>
      <c r="G248" s="35"/>
      <c r="H248" s="34"/>
      <c r="I248" s="37"/>
    </row>
    <row r="249" ht="22.5" customHeight="1">
      <c r="A249" s="30"/>
      <c r="B249" s="31"/>
      <c r="C249" s="32"/>
      <c r="D249" s="33"/>
      <c r="E249" s="34"/>
      <c r="F249" s="34"/>
      <c r="G249" s="35"/>
      <c r="H249" s="34"/>
      <c r="I249" s="37"/>
    </row>
    <row r="250" ht="22.5" customHeight="1">
      <c r="A250" s="30"/>
      <c r="B250" s="31"/>
      <c r="C250" s="32"/>
      <c r="D250" s="33"/>
      <c r="E250" s="34"/>
      <c r="F250" s="34"/>
      <c r="G250" s="35"/>
      <c r="H250" s="34"/>
      <c r="I250" s="37"/>
    </row>
    <row r="251" ht="22.5" customHeight="1">
      <c r="A251" s="30"/>
      <c r="B251" s="31"/>
      <c r="C251" s="32"/>
      <c r="D251" s="33"/>
      <c r="E251" s="34"/>
      <c r="F251" s="34"/>
      <c r="G251" s="35"/>
      <c r="H251" s="34"/>
      <c r="I251" s="37"/>
    </row>
    <row r="252" ht="22.5" customHeight="1">
      <c r="A252" s="30"/>
      <c r="B252" s="31"/>
      <c r="C252" s="32"/>
      <c r="D252" s="33"/>
      <c r="E252" s="34"/>
      <c r="F252" s="34"/>
      <c r="G252" s="35"/>
      <c r="H252" s="34"/>
      <c r="I252" s="37"/>
    </row>
    <row r="253" ht="22.5" customHeight="1">
      <c r="A253" s="30"/>
      <c r="B253" s="40"/>
      <c r="C253" s="32"/>
      <c r="D253" s="33"/>
      <c r="E253" s="34"/>
      <c r="F253" s="34"/>
      <c r="G253" s="35"/>
      <c r="H253" s="34"/>
      <c r="I253" s="37"/>
    </row>
    <row r="254" ht="22.5" customHeight="1">
      <c r="A254" s="30"/>
      <c r="B254" s="31"/>
      <c r="C254" s="32"/>
      <c r="D254" s="33"/>
      <c r="E254" s="34"/>
      <c r="F254" s="34"/>
      <c r="G254" s="35"/>
      <c r="H254" s="34"/>
      <c r="I254" s="37"/>
    </row>
    <row r="255" ht="22.5" customHeight="1">
      <c r="A255" s="30"/>
      <c r="B255" s="31"/>
      <c r="C255" s="32"/>
      <c r="D255" s="33"/>
      <c r="E255" s="34"/>
      <c r="F255" s="34"/>
      <c r="G255" s="35"/>
      <c r="H255" s="34"/>
      <c r="I255" s="37"/>
    </row>
    <row r="256" ht="22.5" customHeight="1">
      <c r="A256" s="30"/>
      <c r="B256" s="31"/>
      <c r="C256" s="32"/>
      <c r="D256" s="33"/>
      <c r="E256" s="34"/>
      <c r="F256" s="34"/>
      <c r="G256" s="35"/>
      <c r="H256" s="34"/>
      <c r="I256" s="37"/>
    </row>
    <row r="257" ht="22.5" customHeight="1">
      <c r="A257" s="30"/>
      <c r="B257" s="31"/>
      <c r="C257" s="32"/>
      <c r="D257" s="33"/>
      <c r="E257" s="34"/>
      <c r="F257" s="34"/>
      <c r="G257" s="35"/>
      <c r="H257" s="34"/>
      <c r="I257" s="37"/>
    </row>
    <row r="258" ht="22.5" customHeight="1">
      <c r="A258" s="30"/>
      <c r="B258" s="31"/>
      <c r="C258" s="32"/>
      <c r="D258" s="33"/>
      <c r="E258" s="34"/>
      <c r="F258" s="34"/>
      <c r="G258" s="35"/>
      <c r="H258" s="34"/>
      <c r="I258" s="37"/>
    </row>
    <row r="259" ht="22.5" customHeight="1">
      <c r="A259" s="30"/>
      <c r="B259" s="31"/>
      <c r="C259" s="32"/>
      <c r="D259" s="33"/>
      <c r="E259" s="34"/>
      <c r="F259" s="34"/>
      <c r="G259" s="35"/>
      <c r="H259" s="34"/>
      <c r="I259" s="37"/>
    </row>
    <row r="260" ht="22.5" customHeight="1">
      <c r="A260" s="30"/>
      <c r="B260" s="31"/>
      <c r="C260" s="32"/>
      <c r="D260" s="33"/>
      <c r="E260" s="34"/>
      <c r="F260" s="34"/>
      <c r="G260" s="35"/>
      <c r="H260" s="34"/>
      <c r="I260" s="37"/>
    </row>
    <row r="261" ht="22.5" customHeight="1">
      <c r="A261" s="30"/>
      <c r="B261" s="31"/>
      <c r="C261" s="32"/>
      <c r="D261" s="33"/>
      <c r="E261" s="34"/>
      <c r="F261" s="34"/>
      <c r="G261" s="35"/>
      <c r="H261" s="34"/>
      <c r="I261" s="37"/>
    </row>
    <row r="262" ht="22.5" customHeight="1">
      <c r="A262" s="30"/>
      <c r="B262" s="31"/>
      <c r="C262" s="32"/>
      <c r="D262" s="33"/>
      <c r="E262" s="34"/>
      <c r="F262" s="34"/>
      <c r="G262" s="35"/>
      <c r="H262" s="34"/>
      <c r="I262" s="37"/>
    </row>
    <row r="263" ht="22.5" customHeight="1">
      <c r="A263" s="30"/>
      <c r="B263" s="31"/>
      <c r="C263" s="32"/>
      <c r="D263" s="33"/>
      <c r="E263" s="34"/>
      <c r="F263" s="34"/>
      <c r="G263" s="35"/>
      <c r="H263" s="34"/>
      <c r="I263" s="37"/>
    </row>
    <row r="264" ht="22.5" customHeight="1">
      <c r="A264" s="30"/>
      <c r="B264" s="31"/>
      <c r="C264" s="32"/>
      <c r="D264" s="33"/>
      <c r="E264" s="34"/>
      <c r="F264" s="34"/>
      <c r="G264" s="35"/>
      <c r="H264" s="34"/>
      <c r="I264" s="37"/>
    </row>
    <row r="265" ht="22.5" customHeight="1">
      <c r="A265" s="30"/>
      <c r="B265" s="31"/>
      <c r="C265" s="32"/>
      <c r="D265" s="33"/>
      <c r="E265" s="34"/>
      <c r="F265" s="34"/>
      <c r="G265" s="35"/>
      <c r="H265" s="34"/>
      <c r="I265" s="37"/>
    </row>
    <row r="266" ht="22.5" customHeight="1">
      <c r="A266" s="30"/>
      <c r="B266" s="31"/>
      <c r="C266" s="32"/>
      <c r="D266" s="33"/>
      <c r="E266" s="34"/>
      <c r="F266" s="34"/>
      <c r="G266" s="35"/>
      <c r="H266" s="34"/>
      <c r="I266" s="37"/>
    </row>
    <row r="267" ht="22.5" customHeight="1">
      <c r="A267" s="30"/>
      <c r="B267" s="31"/>
      <c r="C267" s="32"/>
      <c r="D267" s="33"/>
      <c r="E267" s="34"/>
      <c r="F267" s="34"/>
      <c r="G267" s="35"/>
      <c r="H267" s="34"/>
      <c r="I267" s="37"/>
    </row>
    <row r="268" ht="22.5" customHeight="1">
      <c r="A268" s="30"/>
      <c r="B268" s="31"/>
      <c r="C268" s="32"/>
      <c r="D268" s="33"/>
      <c r="E268" s="34"/>
      <c r="F268" s="34"/>
      <c r="G268" s="35"/>
      <c r="H268" s="34"/>
      <c r="I268" s="37"/>
    </row>
    <row r="269" ht="22.5" customHeight="1">
      <c r="A269" s="30"/>
      <c r="B269" s="31"/>
      <c r="C269" s="32"/>
      <c r="D269" s="33"/>
      <c r="E269" s="34"/>
      <c r="F269" s="34"/>
      <c r="G269" s="35"/>
      <c r="H269" s="34"/>
      <c r="I269" s="37"/>
    </row>
    <row r="270" ht="22.5" customHeight="1">
      <c r="A270" s="30"/>
      <c r="B270" s="31"/>
      <c r="C270" s="32"/>
      <c r="D270" s="33"/>
      <c r="E270" s="34"/>
      <c r="F270" s="34"/>
      <c r="G270" s="35"/>
      <c r="H270" s="34"/>
      <c r="I270" s="37"/>
    </row>
    <row r="271" ht="22.5" customHeight="1">
      <c r="A271" s="30"/>
      <c r="B271" s="31"/>
      <c r="C271" s="32"/>
      <c r="D271" s="33"/>
      <c r="E271" s="34"/>
      <c r="F271" s="34"/>
      <c r="G271" s="35"/>
      <c r="H271" s="34"/>
      <c r="I271" s="37"/>
    </row>
    <row r="272" ht="22.5" customHeight="1">
      <c r="A272" s="30"/>
      <c r="B272" s="31"/>
      <c r="C272" s="32"/>
      <c r="D272" s="33"/>
      <c r="E272" s="34"/>
      <c r="F272" s="34"/>
      <c r="G272" s="35"/>
      <c r="H272" s="34"/>
      <c r="I272" s="37"/>
    </row>
    <row r="273" ht="22.5" customHeight="1">
      <c r="A273" s="30"/>
      <c r="B273" s="31"/>
      <c r="C273" s="32"/>
      <c r="D273" s="33"/>
      <c r="E273" s="34"/>
      <c r="F273" s="34"/>
      <c r="G273" s="35"/>
      <c r="H273" s="34"/>
      <c r="I273" s="37"/>
    </row>
    <row r="274" ht="22.5" customHeight="1">
      <c r="A274" s="30"/>
      <c r="B274" s="31"/>
      <c r="C274" s="32"/>
      <c r="D274" s="33"/>
      <c r="E274" s="34"/>
      <c r="F274" s="34"/>
      <c r="G274" s="35"/>
      <c r="H274" s="34"/>
      <c r="I274" s="37"/>
    </row>
    <row r="275" ht="22.5" customHeight="1">
      <c r="A275" s="30"/>
      <c r="B275" s="40"/>
      <c r="C275" s="32"/>
      <c r="D275" s="33"/>
      <c r="E275" s="34"/>
      <c r="F275" s="34"/>
      <c r="G275" s="35"/>
      <c r="H275" s="34"/>
      <c r="I275" s="37"/>
    </row>
    <row r="276" ht="22.5" customHeight="1">
      <c r="A276" s="30"/>
      <c r="B276" s="31"/>
      <c r="C276" s="32"/>
      <c r="D276" s="33"/>
      <c r="E276" s="34"/>
      <c r="F276" s="34"/>
      <c r="G276" s="35"/>
      <c r="H276" s="34"/>
      <c r="I276" s="37"/>
    </row>
    <row r="277" ht="22.5" customHeight="1">
      <c r="A277" s="30"/>
      <c r="B277" s="31"/>
      <c r="C277" s="32"/>
      <c r="D277" s="33"/>
      <c r="E277" s="34"/>
      <c r="F277" s="34"/>
      <c r="G277" s="35"/>
      <c r="H277" s="34"/>
      <c r="I277" s="37"/>
    </row>
    <row r="278" ht="22.5" customHeight="1">
      <c r="A278" s="30"/>
      <c r="B278" s="31"/>
      <c r="C278" s="32"/>
      <c r="D278" s="33"/>
      <c r="E278" s="34"/>
      <c r="F278" s="34"/>
      <c r="G278" s="35"/>
      <c r="H278" s="34"/>
      <c r="I278" s="37"/>
    </row>
    <row r="279" ht="22.5" customHeight="1">
      <c r="A279" s="30"/>
      <c r="B279" s="31"/>
      <c r="C279" s="32"/>
      <c r="D279" s="33"/>
      <c r="E279" s="34"/>
      <c r="F279" s="34"/>
      <c r="G279" s="35"/>
      <c r="H279" s="34"/>
      <c r="I279" s="38"/>
    </row>
    <row r="280" ht="22.5" customHeight="1">
      <c r="A280" s="30"/>
      <c r="B280" s="39"/>
      <c r="C280" s="32"/>
      <c r="D280" s="33"/>
      <c r="E280" s="34"/>
      <c r="F280" s="34"/>
      <c r="G280" s="35"/>
      <c r="H280" s="34"/>
      <c r="I280" s="37"/>
    </row>
    <row r="281" ht="22.5" customHeight="1">
      <c r="A281" s="30"/>
      <c r="B281" s="31"/>
      <c r="C281" s="32"/>
      <c r="D281" s="33"/>
      <c r="E281" s="34"/>
      <c r="F281" s="34"/>
      <c r="G281" s="35"/>
      <c r="H281" s="34"/>
      <c r="I281" s="37"/>
    </row>
    <row r="282" ht="22.5" customHeight="1">
      <c r="A282" s="30"/>
      <c r="B282" s="31"/>
      <c r="C282" s="32"/>
      <c r="D282" s="33"/>
      <c r="E282" s="34"/>
      <c r="F282" s="34"/>
      <c r="G282" s="35"/>
      <c r="H282" s="34"/>
      <c r="I282" s="37"/>
    </row>
    <row r="283" ht="22.5" customHeight="1">
      <c r="A283" s="30"/>
      <c r="B283" s="31"/>
      <c r="C283" s="32"/>
      <c r="D283" s="33"/>
      <c r="E283" s="34"/>
      <c r="F283" s="34"/>
      <c r="G283" s="35"/>
      <c r="H283" s="34"/>
      <c r="I283" s="37"/>
    </row>
    <row r="284" ht="22.5" customHeight="1">
      <c r="A284" s="30"/>
      <c r="B284" s="39"/>
      <c r="C284" s="32"/>
      <c r="D284" s="33"/>
      <c r="E284" s="34"/>
      <c r="F284" s="34"/>
      <c r="G284" s="35"/>
      <c r="H284" s="34"/>
      <c r="I284" s="37"/>
    </row>
    <row r="285" ht="22.5" customHeight="1">
      <c r="A285" s="30"/>
      <c r="B285" s="31"/>
      <c r="C285" s="32"/>
      <c r="D285" s="33"/>
      <c r="E285" s="34"/>
      <c r="F285" s="34"/>
      <c r="G285" s="35"/>
      <c r="H285" s="34"/>
      <c r="I285" s="37"/>
    </row>
    <row r="286" ht="22.5" customHeight="1">
      <c r="A286" s="30"/>
      <c r="B286" s="39"/>
      <c r="C286" s="32"/>
      <c r="D286" s="33"/>
      <c r="E286" s="34"/>
      <c r="F286" s="34"/>
      <c r="G286" s="35"/>
      <c r="H286" s="34"/>
      <c r="I286" s="37"/>
    </row>
    <row r="287" ht="22.5" customHeight="1">
      <c r="A287" s="30"/>
      <c r="B287" s="31"/>
      <c r="C287" s="32"/>
      <c r="D287" s="33"/>
      <c r="E287" s="34"/>
      <c r="F287" s="34"/>
      <c r="G287" s="35"/>
      <c r="H287" s="34"/>
      <c r="I287" s="37"/>
    </row>
    <row r="288" ht="22.5" customHeight="1">
      <c r="A288" s="30"/>
      <c r="B288" s="31"/>
      <c r="C288" s="32"/>
      <c r="D288" s="33"/>
      <c r="E288" s="34"/>
      <c r="F288" s="34"/>
      <c r="G288" s="35"/>
      <c r="H288" s="34"/>
      <c r="I288" s="37"/>
    </row>
    <row r="289" ht="22.5" customHeight="1">
      <c r="A289" s="30"/>
      <c r="B289" s="31"/>
      <c r="C289" s="32"/>
      <c r="D289" s="33"/>
      <c r="E289" s="34"/>
      <c r="F289" s="34"/>
      <c r="G289" s="35"/>
      <c r="H289" s="34"/>
      <c r="I289" s="37"/>
    </row>
    <row r="290" ht="22.5" customHeight="1">
      <c r="A290" s="30"/>
      <c r="B290" s="31"/>
      <c r="C290" s="32"/>
      <c r="D290" s="33"/>
      <c r="E290" s="34"/>
      <c r="F290" s="34"/>
      <c r="G290" s="35"/>
      <c r="H290" s="34"/>
      <c r="I290" s="37"/>
    </row>
    <row r="291" ht="22.5" customHeight="1">
      <c r="A291" s="30"/>
      <c r="B291" s="31"/>
      <c r="C291" s="32"/>
      <c r="D291" s="33"/>
      <c r="E291" s="34"/>
      <c r="F291" s="34"/>
      <c r="G291" s="35"/>
      <c r="H291" s="34"/>
      <c r="I291" s="37"/>
    </row>
    <row r="292" ht="22.5" customHeight="1">
      <c r="A292" s="30"/>
      <c r="B292" s="31"/>
      <c r="C292" s="32"/>
      <c r="D292" s="33"/>
      <c r="E292" s="34"/>
      <c r="F292" s="34"/>
      <c r="G292" s="35"/>
      <c r="H292" s="34"/>
      <c r="I292" s="37"/>
    </row>
    <row r="293" ht="22.5" customHeight="1">
      <c r="A293" s="30"/>
      <c r="B293" s="31"/>
      <c r="C293" s="32"/>
      <c r="D293" s="33"/>
      <c r="E293" s="34"/>
      <c r="F293" s="34"/>
      <c r="G293" s="35"/>
      <c r="H293" s="34"/>
      <c r="I293" s="37"/>
    </row>
    <row r="294" ht="22.5" customHeight="1">
      <c r="A294" s="30"/>
      <c r="B294" s="31"/>
      <c r="C294" s="32"/>
      <c r="D294" s="33"/>
      <c r="E294" s="34"/>
      <c r="F294" s="34"/>
      <c r="G294" s="35"/>
      <c r="H294" s="34"/>
      <c r="I294" s="37"/>
    </row>
    <row r="295" ht="22.5" customHeight="1">
      <c r="A295" s="30"/>
      <c r="B295" s="31"/>
      <c r="C295" s="32"/>
      <c r="D295" s="33"/>
      <c r="E295" s="34"/>
      <c r="F295" s="34"/>
      <c r="G295" s="35"/>
      <c r="H295" s="34"/>
      <c r="I295" s="37"/>
    </row>
    <row r="296" ht="22.5" customHeight="1">
      <c r="A296" s="30"/>
      <c r="B296" s="31"/>
      <c r="C296" s="32"/>
      <c r="D296" s="33"/>
      <c r="E296" s="34"/>
      <c r="F296" s="34"/>
      <c r="G296" s="35"/>
      <c r="H296" s="34"/>
      <c r="I296" s="37"/>
    </row>
    <row r="297" ht="22.5" customHeight="1">
      <c r="A297" s="30"/>
      <c r="B297" s="40"/>
      <c r="C297" s="32"/>
      <c r="D297" s="33"/>
      <c r="E297" s="34"/>
      <c r="F297" s="34"/>
      <c r="G297" s="35"/>
      <c r="H297" s="34"/>
      <c r="I297" s="37"/>
    </row>
    <row r="298" ht="22.5" customHeight="1">
      <c r="A298" s="30"/>
      <c r="B298" s="31"/>
      <c r="C298" s="32"/>
      <c r="D298" s="33"/>
      <c r="E298" s="34"/>
      <c r="F298" s="34"/>
      <c r="G298" s="35"/>
      <c r="H298" s="34"/>
      <c r="I298" s="37"/>
    </row>
    <row r="299" ht="22.5" customHeight="1">
      <c r="A299" s="30"/>
      <c r="B299" s="31"/>
      <c r="C299" s="32"/>
      <c r="D299" s="33"/>
      <c r="E299" s="34"/>
      <c r="F299" s="34"/>
      <c r="G299" s="35"/>
      <c r="H299" s="34"/>
      <c r="I299" s="37"/>
    </row>
    <row r="300" ht="22.5" customHeight="1">
      <c r="A300" s="30"/>
      <c r="B300" s="31"/>
      <c r="C300" s="32"/>
      <c r="D300" s="33"/>
      <c r="E300" s="34"/>
      <c r="F300" s="34"/>
      <c r="G300" s="35"/>
      <c r="H300" s="34"/>
      <c r="I300" s="37"/>
    </row>
    <row r="301" ht="22.5" customHeight="1">
      <c r="A301" s="30"/>
      <c r="B301" s="31"/>
      <c r="C301" s="32"/>
      <c r="D301" s="33"/>
      <c r="E301" s="34"/>
      <c r="F301" s="34"/>
      <c r="G301" s="35"/>
      <c r="H301" s="34"/>
      <c r="I301" s="37"/>
    </row>
    <row r="302" ht="22.5" customHeight="1">
      <c r="A302" s="30"/>
      <c r="B302" s="31"/>
      <c r="C302" s="32"/>
      <c r="D302" s="33"/>
      <c r="E302" s="34"/>
      <c r="F302" s="34"/>
      <c r="G302" s="35"/>
      <c r="H302" s="34"/>
      <c r="I302" s="37"/>
    </row>
    <row r="303" ht="22.5" customHeight="1">
      <c r="A303" s="30"/>
      <c r="B303" s="31"/>
      <c r="C303" s="32"/>
      <c r="D303" s="33"/>
      <c r="E303" s="34"/>
      <c r="F303" s="34"/>
      <c r="G303" s="35"/>
      <c r="H303" s="34"/>
      <c r="I303" s="37"/>
    </row>
    <row r="304" ht="22.5" customHeight="1">
      <c r="A304" s="30"/>
      <c r="B304" s="39"/>
      <c r="C304" s="32"/>
      <c r="D304" s="33"/>
      <c r="E304" s="34"/>
      <c r="F304" s="34"/>
      <c r="G304" s="35"/>
      <c r="H304" s="34"/>
      <c r="I304" s="37"/>
    </row>
    <row r="305" ht="22.5" customHeight="1">
      <c r="A305" s="30"/>
      <c r="B305" s="39"/>
      <c r="C305" s="32"/>
      <c r="D305" s="33"/>
      <c r="E305" s="34"/>
      <c r="F305" s="34"/>
      <c r="G305" s="35"/>
      <c r="H305" s="34"/>
      <c r="I305" s="37"/>
    </row>
    <row r="306" ht="22.5" customHeight="1">
      <c r="A306" s="30"/>
      <c r="B306" s="39"/>
      <c r="C306" s="32"/>
      <c r="D306" s="33"/>
      <c r="E306" s="34"/>
      <c r="F306" s="34"/>
      <c r="G306" s="35"/>
      <c r="H306" s="34"/>
      <c r="I306" s="37"/>
    </row>
    <row r="307" ht="22.5" customHeight="1">
      <c r="A307" s="30"/>
      <c r="B307" s="40"/>
      <c r="C307" s="32"/>
      <c r="D307" s="33"/>
      <c r="E307" s="34"/>
      <c r="F307" s="34"/>
      <c r="G307" s="35"/>
      <c r="H307" s="34"/>
      <c r="I307" s="37"/>
    </row>
    <row r="308" ht="22.5" customHeight="1">
      <c r="A308" s="30"/>
      <c r="B308" s="31"/>
      <c r="C308" s="32"/>
      <c r="D308" s="33"/>
      <c r="E308" s="34"/>
      <c r="F308" s="34"/>
      <c r="G308" s="35"/>
      <c r="H308" s="34"/>
      <c r="I308" s="37"/>
    </row>
    <row r="309" ht="22.5" customHeight="1">
      <c r="A309" s="30"/>
      <c r="B309" s="31"/>
      <c r="C309" s="32"/>
      <c r="D309" s="33"/>
      <c r="E309" s="34"/>
      <c r="F309" s="34"/>
      <c r="G309" s="35"/>
      <c r="H309" s="34"/>
      <c r="I309" s="37"/>
    </row>
    <row r="310" ht="22.5" customHeight="1">
      <c r="A310" s="30"/>
      <c r="B310" s="31"/>
      <c r="C310" s="32"/>
      <c r="D310" s="33"/>
      <c r="E310" s="34"/>
      <c r="F310" s="34"/>
      <c r="G310" s="35"/>
      <c r="H310" s="34"/>
      <c r="I310" s="37"/>
    </row>
    <row r="311" ht="22.5" customHeight="1">
      <c r="A311" s="30"/>
      <c r="B311" s="31"/>
      <c r="C311" s="32"/>
      <c r="D311" s="33"/>
      <c r="E311" s="34"/>
      <c r="F311" s="34"/>
      <c r="G311" s="35"/>
      <c r="H311" s="34"/>
      <c r="I311" s="37"/>
    </row>
    <row r="312" ht="22.5" customHeight="1">
      <c r="A312" s="30"/>
      <c r="B312" s="31"/>
      <c r="C312" s="32"/>
      <c r="D312" s="33"/>
      <c r="E312" s="34"/>
      <c r="F312" s="34"/>
      <c r="G312" s="35"/>
      <c r="H312" s="34"/>
      <c r="I312" s="37"/>
    </row>
    <row r="313" ht="22.5" customHeight="1">
      <c r="A313" s="30"/>
      <c r="B313" s="31"/>
      <c r="C313" s="32"/>
      <c r="D313" s="33"/>
      <c r="E313" s="34"/>
      <c r="F313" s="34"/>
      <c r="G313" s="35"/>
      <c r="H313" s="34"/>
      <c r="I313" s="37"/>
    </row>
    <row r="314" ht="22.5" customHeight="1">
      <c r="A314" s="30"/>
      <c r="B314" s="31"/>
      <c r="C314" s="32"/>
      <c r="D314" s="33"/>
      <c r="E314" s="34"/>
      <c r="F314" s="34"/>
      <c r="G314" s="35"/>
      <c r="H314" s="34"/>
      <c r="I314" s="37"/>
    </row>
    <row r="315" ht="22.5" customHeight="1">
      <c r="A315" s="30"/>
      <c r="B315" s="31"/>
      <c r="C315" s="32"/>
      <c r="D315" s="33"/>
      <c r="E315" s="34"/>
      <c r="F315" s="34"/>
      <c r="G315" s="35"/>
      <c r="H315" s="34"/>
      <c r="I315" s="37"/>
    </row>
    <row r="316" ht="22.5" customHeight="1">
      <c r="A316" s="30"/>
      <c r="B316" s="31"/>
      <c r="C316" s="32"/>
      <c r="D316" s="33"/>
      <c r="E316" s="34"/>
      <c r="F316" s="34"/>
      <c r="G316" s="35"/>
      <c r="H316" s="34"/>
      <c r="I316" s="37"/>
    </row>
    <row r="317" ht="22.5" customHeight="1">
      <c r="A317" s="30"/>
      <c r="B317" s="40"/>
      <c r="C317" s="32"/>
      <c r="D317" s="33"/>
      <c r="E317" s="34"/>
      <c r="F317" s="34"/>
      <c r="G317" s="35"/>
      <c r="H317" s="34"/>
      <c r="I317" s="37"/>
    </row>
    <row r="318" ht="22.5" customHeight="1">
      <c r="A318" s="30"/>
      <c r="B318" s="31"/>
      <c r="C318" s="32"/>
      <c r="D318" s="33"/>
      <c r="E318" s="34"/>
      <c r="F318" s="34"/>
      <c r="G318" s="35"/>
      <c r="H318" s="34"/>
      <c r="I318" s="37"/>
    </row>
    <row r="319" ht="22.5" customHeight="1">
      <c r="A319" s="30"/>
      <c r="B319" s="31"/>
      <c r="C319" s="32"/>
      <c r="D319" s="33"/>
      <c r="E319" s="34"/>
      <c r="F319" s="34"/>
      <c r="G319" s="35"/>
      <c r="H319" s="34"/>
      <c r="I319" s="37"/>
    </row>
    <row r="320" ht="22.5" customHeight="1">
      <c r="A320" s="30"/>
      <c r="B320" s="31"/>
      <c r="C320" s="32"/>
      <c r="D320" s="33"/>
      <c r="E320" s="34"/>
      <c r="F320" s="34"/>
      <c r="G320" s="35"/>
      <c r="H320" s="34"/>
      <c r="I320" s="37"/>
    </row>
    <row r="321" ht="22.5" customHeight="1">
      <c r="A321" s="30"/>
      <c r="B321" s="40"/>
      <c r="C321" s="32"/>
      <c r="D321" s="33"/>
      <c r="E321" s="34"/>
      <c r="F321" s="34"/>
      <c r="G321" s="35"/>
      <c r="H321" s="34"/>
      <c r="I321" s="37"/>
    </row>
    <row r="322" ht="22.5" customHeight="1">
      <c r="A322" s="30"/>
      <c r="B322" s="31"/>
      <c r="C322" s="32"/>
      <c r="D322" s="33"/>
      <c r="E322" s="34"/>
      <c r="F322" s="34"/>
      <c r="G322" s="35"/>
      <c r="H322" s="34"/>
      <c r="I322" s="37"/>
    </row>
    <row r="323" ht="22.5" customHeight="1">
      <c r="A323" s="30"/>
      <c r="B323" s="31"/>
      <c r="C323" s="32"/>
      <c r="D323" s="33"/>
      <c r="E323" s="34"/>
      <c r="F323" s="34"/>
      <c r="G323" s="35"/>
      <c r="H323" s="34"/>
      <c r="I323" s="37"/>
    </row>
    <row r="324" ht="22.5" customHeight="1">
      <c r="A324" s="30"/>
      <c r="B324" s="31"/>
      <c r="C324" s="32"/>
      <c r="D324" s="33"/>
      <c r="E324" s="34"/>
      <c r="F324" s="34"/>
      <c r="G324" s="35"/>
      <c r="H324" s="34"/>
      <c r="I324" s="37"/>
    </row>
    <row r="325" ht="22.5" customHeight="1">
      <c r="A325" s="30"/>
      <c r="B325" s="31"/>
      <c r="C325" s="32"/>
      <c r="D325" s="33"/>
      <c r="E325" s="34"/>
      <c r="F325" s="34"/>
      <c r="G325" s="35"/>
      <c r="H325" s="34"/>
      <c r="I325" s="37"/>
    </row>
    <row r="326" ht="22.5" customHeight="1">
      <c r="A326" s="30"/>
      <c r="B326" s="31"/>
      <c r="C326" s="32"/>
      <c r="D326" s="33"/>
      <c r="E326" s="34"/>
      <c r="F326" s="34"/>
      <c r="G326" s="35"/>
      <c r="H326" s="34"/>
      <c r="I326" s="37"/>
    </row>
    <row r="327" ht="22.5" customHeight="1">
      <c r="A327" s="30"/>
      <c r="B327" s="31"/>
      <c r="C327" s="32"/>
      <c r="D327" s="33"/>
      <c r="E327" s="34"/>
      <c r="F327" s="34"/>
      <c r="G327" s="35"/>
      <c r="H327" s="34"/>
      <c r="I327" s="37"/>
    </row>
    <row r="328" ht="22.5" customHeight="1">
      <c r="A328" s="30"/>
      <c r="B328" s="31"/>
      <c r="C328" s="32"/>
      <c r="D328" s="33"/>
      <c r="E328" s="34"/>
      <c r="F328" s="34"/>
      <c r="G328" s="35"/>
      <c r="H328" s="34"/>
      <c r="I328" s="37"/>
    </row>
    <row r="329" ht="22.5" customHeight="1">
      <c r="A329" s="30"/>
      <c r="B329" s="31"/>
      <c r="C329" s="32"/>
      <c r="D329" s="33"/>
      <c r="E329" s="34"/>
      <c r="F329" s="34"/>
      <c r="G329" s="35"/>
      <c r="H329" s="34"/>
      <c r="I329" s="37"/>
    </row>
    <row r="330" ht="22.5" customHeight="1">
      <c r="A330" s="30"/>
      <c r="B330" s="31"/>
      <c r="C330" s="32"/>
      <c r="D330" s="33"/>
      <c r="E330" s="34"/>
      <c r="F330" s="34"/>
      <c r="G330" s="35"/>
      <c r="H330" s="34"/>
      <c r="I330" s="37"/>
    </row>
    <row r="331" ht="22.5" customHeight="1">
      <c r="A331" s="30"/>
      <c r="B331" s="31"/>
      <c r="C331" s="32"/>
      <c r="D331" s="33"/>
      <c r="E331" s="34"/>
      <c r="F331" s="34"/>
      <c r="G331" s="35"/>
      <c r="H331" s="34"/>
      <c r="I331" s="37"/>
    </row>
    <row r="332" ht="22.5" customHeight="1">
      <c r="A332" s="30"/>
      <c r="B332" s="31"/>
      <c r="C332" s="32"/>
      <c r="D332" s="33"/>
      <c r="E332" s="34"/>
      <c r="F332" s="34"/>
      <c r="G332" s="35"/>
      <c r="H332" s="34"/>
      <c r="I332" s="37"/>
    </row>
    <row r="333" ht="22.5" customHeight="1">
      <c r="A333" s="30"/>
      <c r="B333" s="31"/>
      <c r="C333" s="32"/>
      <c r="D333" s="33"/>
      <c r="E333" s="34"/>
      <c r="F333" s="34"/>
      <c r="G333" s="35"/>
      <c r="H333" s="34"/>
      <c r="I333" s="37"/>
    </row>
    <row r="334" ht="22.5" customHeight="1">
      <c r="A334" s="30"/>
      <c r="B334" s="31"/>
      <c r="C334" s="32"/>
      <c r="D334" s="33"/>
      <c r="E334" s="34"/>
      <c r="F334" s="34"/>
      <c r="G334" s="35"/>
      <c r="H334" s="34"/>
      <c r="I334" s="37"/>
    </row>
    <row r="335" ht="22.5" customHeight="1">
      <c r="A335" s="30"/>
      <c r="B335" s="31"/>
      <c r="C335" s="32"/>
      <c r="D335" s="33"/>
      <c r="E335" s="34"/>
      <c r="F335" s="34"/>
      <c r="G335" s="35"/>
      <c r="H335" s="34"/>
      <c r="I335" s="37"/>
    </row>
    <row r="336" ht="22.5" customHeight="1">
      <c r="A336" s="30"/>
      <c r="B336" s="40"/>
      <c r="C336" s="32"/>
      <c r="D336" s="33"/>
      <c r="E336" s="34"/>
      <c r="F336" s="34"/>
      <c r="G336" s="35"/>
      <c r="H336" s="34"/>
      <c r="I336" s="37"/>
    </row>
    <row r="337" ht="22.5" customHeight="1">
      <c r="A337" s="30"/>
      <c r="B337" s="31"/>
      <c r="C337" s="32"/>
      <c r="D337" s="33"/>
      <c r="E337" s="34"/>
      <c r="F337" s="34"/>
      <c r="G337" s="35"/>
      <c r="H337" s="34"/>
      <c r="I337" s="37"/>
    </row>
    <row r="338" ht="22.5" customHeight="1">
      <c r="A338" s="30"/>
      <c r="B338" s="40"/>
      <c r="C338" s="32"/>
      <c r="D338" s="33"/>
      <c r="E338" s="34"/>
      <c r="F338" s="34"/>
      <c r="G338" s="35"/>
      <c r="H338" s="34"/>
      <c r="I338" s="37"/>
    </row>
    <row r="339" ht="22.5" customHeight="1">
      <c r="A339" s="30"/>
      <c r="B339" s="31"/>
      <c r="C339" s="32"/>
      <c r="D339" s="33"/>
      <c r="E339" s="34"/>
      <c r="F339" s="34"/>
      <c r="G339" s="35"/>
      <c r="H339" s="34"/>
      <c r="I339" s="37"/>
    </row>
    <row r="340" ht="22.5" customHeight="1">
      <c r="A340" s="30"/>
      <c r="B340" s="31"/>
      <c r="C340" s="32"/>
      <c r="D340" s="33"/>
      <c r="E340" s="34"/>
      <c r="F340" s="34"/>
      <c r="G340" s="35"/>
      <c r="H340" s="34"/>
      <c r="I340" s="37"/>
    </row>
    <row r="341" ht="22.5" customHeight="1">
      <c r="A341" s="30"/>
      <c r="B341" s="31"/>
      <c r="C341" s="32"/>
      <c r="D341" s="33"/>
      <c r="E341" s="34"/>
      <c r="F341" s="34"/>
      <c r="G341" s="35"/>
      <c r="H341" s="34"/>
      <c r="I341" s="37"/>
    </row>
    <row r="342" ht="22.5" customHeight="1">
      <c r="A342" s="30"/>
      <c r="B342" s="31"/>
      <c r="C342" s="32"/>
      <c r="D342" s="33"/>
      <c r="E342" s="34"/>
      <c r="F342" s="34"/>
      <c r="G342" s="35"/>
      <c r="H342" s="34"/>
      <c r="I342" s="37"/>
    </row>
    <row r="343" ht="22.5" customHeight="1">
      <c r="A343" s="30"/>
      <c r="B343" s="40"/>
      <c r="C343" s="32"/>
      <c r="D343" s="33"/>
      <c r="E343" s="34"/>
      <c r="F343" s="34"/>
      <c r="G343" s="35"/>
      <c r="H343" s="34"/>
      <c r="I343" s="37"/>
    </row>
    <row r="344" ht="22.5" customHeight="1">
      <c r="A344" s="30"/>
      <c r="B344" s="31"/>
      <c r="C344" s="32"/>
      <c r="D344" s="33"/>
      <c r="E344" s="34"/>
      <c r="F344" s="34"/>
      <c r="G344" s="35"/>
      <c r="H344" s="34"/>
      <c r="I344" s="37"/>
    </row>
    <row r="345" ht="22.5" customHeight="1">
      <c r="A345" s="30"/>
      <c r="B345" s="31"/>
      <c r="C345" s="32"/>
      <c r="D345" s="33"/>
      <c r="E345" s="34"/>
      <c r="F345" s="34"/>
      <c r="G345" s="35"/>
      <c r="H345" s="34"/>
      <c r="I345" s="37"/>
    </row>
    <row r="346" ht="22.5" customHeight="1">
      <c r="A346" s="30"/>
      <c r="B346" s="31"/>
      <c r="C346" s="32"/>
      <c r="D346" s="33"/>
      <c r="E346" s="34"/>
      <c r="F346" s="34"/>
      <c r="G346" s="35"/>
      <c r="H346" s="34"/>
      <c r="I346" s="37"/>
    </row>
    <row r="347" ht="22.5" customHeight="1">
      <c r="A347" s="30"/>
      <c r="B347" s="31"/>
      <c r="C347" s="32"/>
      <c r="D347" s="33"/>
      <c r="E347" s="34"/>
      <c r="F347" s="34"/>
      <c r="G347" s="35"/>
      <c r="H347" s="34"/>
      <c r="I347" s="37"/>
    </row>
    <row r="348" ht="22.5" customHeight="1">
      <c r="A348" s="30"/>
      <c r="B348" s="31"/>
      <c r="C348" s="32"/>
      <c r="D348" s="33"/>
      <c r="E348" s="34"/>
      <c r="F348" s="34"/>
      <c r="G348" s="35"/>
      <c r="H348" s="34"/>
      <c r="I348" s="37"/>
    </row>
    <row r="349" ht="22.5" customHeight="1">
      <c r="A349" s="30"/>
      <c r="B349" s="31"/>
      <c r="C349" s="32"/>
      <c r="D349" s="33"/>
      <c r="E349" s="34"/>
      <c r="F349" s="34"/>
      <c r="G349" s="35"/>
      <c r="H349" s="34"/>
      <c r="I349" s="37"/>
    </row>
    <row r="350" ht="22.5" customHeight="1">
      <c r="A350" s="30"/>
      <c r="B350" s="31"/>
      <c r="C350" s="32"/>
      <c r="D350" s="33"/>
      <c r="E350" s="34"/>
      <c r="F350" s="34"/>
      <c r="G350" s="35"/>
      <c r="H350" s="34"/>
      <c r="I350" s="37"/>
    </row>
    <row r="351" ht="22.5" customHeight="1">
      <c r="A351" s="30"/>
      <c r="B351" s="31"/>
      <c r="C351" s="32"/>
      <c r="D351" s="33"/>
      <c r="E351" s="34"/>
      <c r="F351" s="34"/>
      <c r="G351" s="35"/>
      <c r="H351" s="34"/>
      <c r="I351" s="37"/>
    </row>
    <row r="352" ht="22.5" customHeight="1">
      <c r="A352" s="30"/>
      <c r="B352" s="31"/>
      <c r="C352" s="32"/>
      <c r="D352" s="33"/>
      <c r="E352" s="34"/>
      <c r="F352" s="34"/>
      <c r="G352" s="35"/>
      <c r="H352" s="34"/>
      <c r="I352" s="37"/>
    </row>
    <row r="353" ht="22.5" customHeight="1">
      <c r="A353" s="30"/>
      <c r="B353" s="31"/>
      <c r="C353" s="32"/>
      <c r="D353" s="33"/>
      <c r="E353" s="34"/>
      <c r="F353" s="34"/>
      <c r="G353" s="35"/>
      <c r="H353" s="34"/>
      <c r="I353" s="37"/>
    </row>
    <row r="354" ht="22.5" customHeight="1">
      <c r="A354" s="30"/>
      <c r="B354" s="31"/>
      <c r="C354" s="32"/>
      <c r="D354" s="33"/>
      <c r="E354" s="34"/>
      <c r="F354" s="34"/>
      <c r="G354" s="35"/>
      <c r="H354" s="34"/>
      <c r="I354" s="37"/>
    </row>
    <row r="355" ht="22.5" customHeight="1">
      <c r="A355" s="30"/>
      <c r="B355" s="31"/>
      <c r="C355" s="32"/>
      <c r="D355" s="33"/>
      <c r="E355" s="34"/>
      <c r="F355" s="34"/>
      <c r="G355" s="35"/>
      <c r="H355" s="34"/>
      <c r="I355" s="37"/>
    </row>
    <row r="356" ht="22.5" customHeight="1">
      <c r="A356" s="30"/>
      <c r="B356" s="31"/>
      <c r="C356" s="32"/>
      <c r="D356" s="33"/>
      <c r="E356" s="34"/>
      <c r="F356" s="34"/>
      <c r="G356" s="35"/>
      <c r="H356" s="34"/>
      <c r="I356" s="37"/>
    </row>
    <row r="357" ht="22.5" customHeight="1">
      <c r="A357" s="30"/>
      <c r="B357" s="31"/>
      <c r="C357" s="32"/>
      <c r="D357" s="33"/>
      <c r="E357" s="34"/>
      <c r="F357" s="34"/>
      <c r="G357" s="35"/>
      <c r="H357" s="34"/>
      <c r="I357" s="37"/>
    </row>
    <row r="358" ht="22.5" customHeight="1">
      <c r="A358" s="30"/>
      <c r="B358" s="31"/>
      <c r="C358" s="32"/>
      <c r="D358" s="33"/>
      <c r="E358" s="34"/>
      <c r="F358" s="34"/>
      <c r="G358" s="35"/>
      <c r="H358" s="34"/>
      <c r="I358" s="37"/>
    </row>
    <row r="359" ht="22.5" customHeight="1">
      <c r="A359" s="30"/>
      <c r="B359" s="31"/>
      <c r="C359" s="32"/>
      <c r="D359" s="33"/>
      <c r="E359" s="34"/>
      <c r="F359" s="34"/>
      <c r="G359" s="35"/>
      <c r="H359" s="34"/>
      <c r="I359" s="37"/>
    </row>
    <row r="360" ht="22.5" customHeight="1">
      <c r="A360" s="30"/>
      <c r="B360" s="31"/>
      <c r="C360" s="32"/>
      <c r="D360" s="33"/>
      <c r="E360" s="34"/>
      <c r="F360" s="34"/>
      <c r="G360" s="35"/>
      <c r="H360" s="34"/>
      <c r="I360" s="37"/>
    </row>
    <row r="361" ht="22.5" customHeight="1">
      <c r="A361" s="30"/>
      <c r="B361" s="31"/>
      <c r="C361" s="32"/>
      <c r="D361" s="33"/>
      <c r="E361" s="34"/>
      <c r="F361" s="34"/>
      <c r="G361" s="35"/>
      <c r="H361" s="34"/>
      <c r="I361" s="37"/>
    </row>
    <row r="362" ht="22.5" customHeight="1">
      <c r="A362" s="30"/>
      <c r="B362" s="31"/>
      <c r="C362" s="32"/>
      <c r="D362" s="33"/>
      <c r="E362" s="34"/>
      <c r="F362" s="34"/>
      <c r="G362" s="35"/>
      <c r="H362" s="34"/>
      <c r="I362" s="37"/>
    </row>
    <row r="363" ht="22.5" customHeight="1">
      <c r="A363" s="30"/>
      <c r="B363" s="31"/>
      <c r="C363" s="32"/>
      <c r="D363" s="33"/>
      <c r="E363" s="34"/>
      <c r="F363" s="34"/>
      <c r="G363" s="35"/>
      <c r="H363" s="34"/>
      <c r="I363" s="37"/>
    </row>
    <row r="364" ht="22.5" customHeight="1">
      <c r="A364" s="30"/>
      <c r="B364" s="31"/>
      <c r="C364" s="32"/>
      <c r="D364" s="33"/>
      <c r="E364" s="34"/>
      <c r="F364" s="34"/>
      <c r="G364" s="35"/>
      <c r="H364" s="34"/>
      <c r="I364" s="37"/>
    </row>
    <row r="365" ht="22.5" customHeight="1">
      <c r="A365" s="30"/>
      <c r="B365" s="40"/>
      <c r="C365" s="32"/>
      <c r="D365" s="33"/>
      <c r="E365" s="34"/>
      <c r="F365" s="34"/>
      <c r="G365" s="35"/>
      <c r="H365" s="34"/>
      <c r="I365" s="37"/>
    </row>
    <row r="366" ht="22.5" customHeight="1">
      <c r="A366" s="30"/>
      <c r="B366" s="31"/>
      <c r="C366" s="32"/>
      <c r="D366" s="33"/>
      <c r="E366" s="34"/>
      <c r="F366" s="34"/>
      <c r="G366" s="35"/>
      <c r="H366" s="34"/>
      <c r="I366" s="37"/>
    </row>
    <row r="367" ht="22.5" customHeight="1">
      <c r="A367" s="30"/>
      <c r="B367" s="31"/>
      <c r="C367" s="32"/>
      <c r="D367" s="33"/>
      <c r="E367" s="34"/>
      <c r="F367" s="34"/>
      <c r="G367" s="35"/>
      <c r="H367" s="34"/>
      <c r="I367" s="37"/>
    </row>
    <row r="368" ht="22.5" customHeight="1">
      <c r="A368" s="30"/>
      <c r="B368" s="31"/>
      <c r="C368" s="32"/>
      <c r="D368" s="33"/>
      <c r="E368" s="34"/>
      <c r="F368" s="34"/>
      <c r="G368" s="35"/>
      <c r="H368" s="34"/>
      <c r="I368" s="37"/>
    </row>
    <row r="369" ht="22.5" customHeight="1">
      <c r="A369" s="30"/>
      <c r="B369" s="31"/>
      <c r="C369" s="32"/>
      <c r="D369" s="33"/>
      <c r="E369" s="34"/>
      <c r="F369" s="34"/>
      <c r="G369" s="35"/>
      <c r="H369" s="34"/>
      <c r="I369" s="38"/>
    </row>
    <row r="370" ht="22.5" customHeight="1">
      <c r="A370" s="30"/>
      <c r="B370" s="39"/>
      <c r="C370" s="32"/>
      <c r="D370" s="33"/>
      <c r="E370" s="34"/>
      <c r="F370" s="34"/>
      <c r="G370" s="35"/>
      <c r="H370" s="34"/>
      <c r="I370" s="37"/>
    </row>
    <row r="371" ht="22.5" customHeight="1">
      <c r="A371" s="30"/>
      <c r="B371" s="31"/>
      <c r="C371" s="32"/>
      <c r="D371" s="33"/>
      <c r="E371" s="34"/>
      <c r="F371" s="34"/>
      <c r="G371" s="35"/>
      <c r="H371" s="34"/>
      <c r="I371" s="37"/>
    </row>
    <row r="372" ht="22.5" customHeight="1">
      <c r="A372" s="30"/>
      <c r="B372" s="31"/>
      <c r="C372" s="32"/>
      <c r="D372" s="33"/>
      <c r="E372" s="34"/>
      <c r="F372" s="34"/>
      <c r="G372" s="35"/>
      <c r="H372" s="34"/>
      <c r="I372" s="37"/>
    </row>
    <row r="373" ht="22.5" customHeight="1">
      <c r="A373" s="30"/>
      <c r="B373" s="31"/>
      <c r="C373" s="32"/>
      <c r="D373" s="33"/>
      <c r="E373" s="34"/>
      <c r="F373" s="34"/>
      <c r="G373" s="35"/>
      <c r="H373" s="34"/>
      <c r="I373" s="37"/>
    </row>
    <row r="374" ht="22.5" customHeight="1">
      <c r="A374" s="30"/>
      <c r="B374" s="39"/>
      <c r="C374" s="32"/>
      <c r="D374" s="33"/>
      <c r="E374" s="34"/>
      <c r="F374" s="34"/>
      <c r="G374" s="35"/>
      <c r="H374" s="34"/>
      <c r="I374" s="37"/>
    </row>
    <row r="375" ht="22.5" customHeight="1">
      <c r="A375" s="30"/>
      <c r="B375" s="31"/>
      <c r="C375" s="32"/>
      <c r="D375" s="33"/>
      <c r="E375" s="34"/>
      <c r="F375" s="34"/>
      <c r="G375" s="35"/>
      <c r="H375" s="34"/>
      <c r="I375" s="37"/>
    </row>
    <row r="376" ht="22.5" customHeight="1">
      <c r="A376" s="30"/>
      <c r="B376" s="39"/>
      <c r="C376" s="32"/>
      <c r="D376" s="33"/>
      <c r="E376" s="34"/>
      <c r="F376" s="34"/>
      <c r="G376" s="35"/>
      <c r="H376" s="34"/>
      <c r="I376" s="37"/>
    </row>
    <row r="377" ht="22.5" customHeight="1">
      <c r="A377" s="30"/>
      <c r="B377" s="31"/>
      <c r="C377" s="32"/>
      <c r="D377" s="33"/>
      <c r="E377" s="34"/>
      <c r="F377" s="34"/>
      <c r="G377" s="35"/>
      <c r="H377" s="34"/>
      <c r="I377" s="37"/>
    </row>
    <row r="378" ht="22.5" customHeight="1">
      <c r="A378" s="30"/>
      <c r="B378" s="31"/>
      <c r="C378" s="32"/>
      <c r="D378" s="33"/>
      <c r="E378" s="34"/>
      <c r="F378" s="34"/>
      <c r="G378" s="35"/>
      <c r="H378" s="34"/>
      <c r="I378" s="37"/>
    </row>
    <row r="379" ht="22.5" customHeight="1">
      <c r="A379" s="30"/>
      <c r="B379" s="31"/>
      <c r="C379" s="32"/>
      <c r="D379" s="33"/>
      <c r="E379" s="34"/>
      <c r="F379" s="34"/>
      <c r="G379" s="35"/>
      <c r="H379" s="34"/>
      <c r="I379" s="37"/>
    </row>
    <row r="380" ht="22.5" customHeight="1">
      <c r="A380" s="30"/>
      <c r="B380" s="31"/>
      <c r="C380" s="32"/>
      <c r="D380" s="33"/>
      <c r="E380" s="34"/>
      <c r="F380" s="34"/>
      <c r="G380" s="35"/>
      <c r="H380" s="34"/>
      <c r="I380" s="37"/>
    </row>
    <row r="381" ht="22.5" customHeight="1">
      <c r="A381" s="30"/>
      <c r="B381" s="31"/>
      <c r="C381" s="32"/>
      <c r="D381" s="33"/>
      <c r="E381" s="34"/>
      <c r="F381" s="34"/>
      <c r="G381" s="35"/>
      <c r="H381" s="34"/>
      <c r="I381" s="37"/>
    </row>
    <row r="382" ht="22.5" customHeight="1">
      <c r="A382" s="30"/>
      <c r="B382" s="31"/>
      <c r="C382" s="32"/>
      <c r="D382" s="33"/>
      <c r="E382" s="34"/>
      <c r="F382" s="34"/>
      <c r="G382" s="35"/>
      <c r="H382" s="34"/>
      <c r="I382" s="37"/>
    </row>
    <row r="383" ht="22.5" customHeight="1">
      <c r="A383" s="30"/>
      <c r="B383" s="31"/>
      <c r="C383" s="32"/>
      <c r="D383" s="33"/>
      <c r="E383" s="34"/>
      <c r="F383" s="34"/>
      <c r="G383" s="35"/>
      <c r="H383" s="34"/>
      <c r="I383" s="37"/>
    </row>
    <row r="384" ht="22.5" customHeight="1">
      <c r="A384" s="30"/>
      <c r="B384" s="31"/>
      <c r="C384" s="32"/>
      <c r="D384" s="33"/>
      <c r="E384" s="34"/>
      <c r="F384" s="34"/>
      <c r="G384" s="35"/>
      <c r="H384" s="34"/>
      <c r="I384" s="37"/>
    </row>
    <row r="385" ht="22.5" customHeight="1">
      <c r="A385" s="30"/>
      <c r="B385" s="31"/>
      <c r="C385" s="32"/>
      <c r="D385" s="33"/>
      <c r="E385" s="34"/>
      <c r="F385" s="34"/>
      <c r="G385" s="35"/>
      <c r="H385" s="34"/>
      <c r="I385" s="37"/>
    </row>
    <row r="386" ht="22.5" customHeight="1">
      <c r="A386" s="30"/>
      <c r="B386" s="31"/>
      <c r="C386" s="32"/>
      <c r="D386" s="33"/>
      <c r="E386" s="34"/>
      <c r="F386" s="34"/>
      <c r="G386" s="35"/>
      <c r="H386" s="34"/>
      <c r="I386" s="37"/>
    </row>
    <row r="387" ht="22.5" customHeight="1">
      <c r="A387" s="30"/>
      <c r="B387" s="40"/>
      <c r="C387" s="32"/>
      <c r="D387" s="33"/>
      <c r="E387" s="34"/>
      <c r="F387" s="34"/>
      <c r="G387" s="35"/>
      <c r="H387" s="34"/>
      <c r="I387" s="37"/>
    </row>
    <row r="388" ht="22.5" customHeight="1">
      <c r="A388" s="30"/>
      <c r="B388" s="31"/>
      <c r="C388" s="32"/>
      <c r="D388" s="33"/>
      <c r="E388" s="34"/>
      <c r="F388" s="34"/>
      <c r="G388" s="35"/>
      <c r="H388" s="34"/>
      <c r="I388" s="37"/>
    </row>
    <row r="389" ht="22.5" customHeight="1">
      <c r="A389" s="30"/>
      <c r="B389" s="31"/>
      <c r="C389" s="32"/>
      <c r="D389" s="33"/>
      <c r="E389" s="34"/>
      <c r="F389" s="34"/>
      <c r="G389" s="35"/>
      <c r="H389" s="34"/>
      <c r="I389" s="37"/>
    </row>
    <row r="390" ht="22.5" customHeight="1">
      <c r="A390" s="30"/>
      <c r="B390" s="31"/>
      <c r="C390" s="32"/>
      <c r="D390" s="33"/>
      <c r="E390" s="34"/>
      <c r="F390" s="34"/>
      <c r="G390" s="35"/>
      <c r="H390" s="34"/>
      <c r="I390" s="37"/>
    </row>
    <row r="391" ht="22.5" customHeight="1">
      <c r="A391" s="30"/>
      <c r="B391" s="31"/>
      <c r="C391" s="32"/>
      <c r="D391" s="33"/>
      <c r="E391" s="34"/>
      <c r="F391" s="34"/>
      <c r="G391" s="35"/>
      <c r="H391" s="34"/>
      <c r="I391" s="37"/>
    </row>
    <row r="392" ht="22.5" customHeight="1">
      <c r="A392" s="30"/>
      <c r="B392" s="31"/>
      <c r="C392" s="32"/>
      <c r="D392" s="33"/>
      <c r="E392" s="34"/>
      <c r="F392" s="34"/>
      <c r="G392" s="35"/>
      <c r="H392" s="34"/>
      <c r="I392" s="37"/>
    </row>
    <row r="393" ht="22.5" customHeight="1">
      <c r="A393" s="30"/>
      <c r="B393" s="31"/>
      <c r="C393" s="32"/>
      <c r="D393" s="33"/>
      <c r="E393" s="34"/>
      <c r="F393" s="34"/>
      <c r="G393" s="35"/>
      <c r="H393" s="34"/>
      <c r="I393" s="37"/>
    </row>
    <row r="394" ht="22.5" customHeight="1">
      <c r="A394" s="30"/>
      <c r="B394" s="39"/>
      <c r="C394" s="32"/>
      <c r="D394" s="33"/>
      <c r="E394" s="34"/>
      <c r="F394" s="34"/>
      <c r="G394" s="35"/>
      <c r="H394" s="34"/>
      <c r="I394" s="37"/>
    </row>
    <row r="395" ht="22.5" customHeight="1">
      <c r="A395" s="30"/>
      <c r="B395" s="39"/>
      <c r="C395" s="32"/>
      <c r="D395" s="33"/>
      <c r="E395" s="34"/>
      <c r="F395" s="34"/>
      <c r="G395" s="35"/>
      <c r="H395" s="34"/>
      <c r="I395" s="37"/>
    </row>
    <row r="396" ht="22.5" customHeight="1">
      <c r="A396" s="30"/>
      <c r="B396" s="39"/>
      <c r="C396" s="32"/>
      <c r="D396" s="33"/>
      <c r="E396" s="34"/>
      <c r="F396" s="34"/>
      <c r="G396" s="35"/>
      <c r="H396" s="34"/>
      <c r="I396" s="37"/>
    </row>
    <row r="397" ht="22.5" customHeight="1">
      <c r="A397" s="30"/>
      <c r="B397" s="40"/>
      <c r="C397" s="32"/>
      <c r="D397" s="33"/>
      <c r="E397" s="34"/>
      <c r="F397" s="34"/>
      <c r="G397" s="35"/>
      <c r="H397" s="34"/>
      <c r="I397" s="37"/>
    </row>
    <row r="398" ht="22.5" customHeight="1">
      <c r="A398" s="30"/>
      <c r="B398" s="31"/>
      <c r="C398" s="32"/>
      <c r="D398" s="33"/>
      <c r="E398" s="34"/>
      <c r="F398" s="34"/>
      <c r="G398" s="35"/>
      <c r="H398" s="34"/>
      <c r="I398" s="37"/>
    </row>
    <row r="399" ht="22.5" customHeight="1">
      <c r="A399" s="30"/>
      <c r="B399" s="31"/>
      <c r="C399" s="32"/>
      <c r="D399" s="33"/>
      <c r="E399" s="34"/>
      <c r="F399" s="34"/>
      <c r="G399" s="35"/>
      <c r="H399" s="34"/>
      <c r="I399" s="37"/>
    </row>
    <row r="400" ht="22.5" customHeight="1">
      <c r="A400" s="30"/>
      <c r="B400" s="31"/>
      <c r="C400" s="32"/>
      <c r="D400" s="33"/>
      <c r="E400" s="34"/>
      <c r="F400" s="34"/>
      <c r="G400" s="35"/>
      <c r="H400" s="34"/>
      <c r="I400" s="37"/>
    </row>
    <row r="401" ht="22.5" customHeight="1">
      <c r="A401" s="30"/>
      <c r="B401" s="31"/>
      <c r="C401" s="32"/>
      <c r="D401" s="33"/>
      <c r="E401" s="34"/>
      <c r="F401" s="34"/>
      <c r="G401" s="35"/>
      <c r="H401" s="34"/>
      <c r="I401" s="37"/>
    </row>
    <row r="402" ht="22.5" customHeight="1">
      <c r="A402" s="30"/>
      <c r="B402" s="31"/>
      <c r="C402" s="32"/>
      <c r="D402" s="33"/>
      <c r="E402" s="34"/>
      <c r="F402" s="34"/>
      <c r="G402" s="35"/>
      <c r="H402" s="34"/>
      <c r="I402" s="37"/>
    </row>
    <row r="403" ht="22.5" customHeight="1">
      <c r="A403" s="30"/>
      <c r="B403" s="31"/>
      <c r="C403" s="32"/>
      <c r="D403" s="33"/>
      <c r="E403" s="34"/>
      <c r="F403" s="34"/>
      <c r="G403" s="35"/>
      <c r="H403" s="34"/>
      <c r="I403" s="37"/>
    </row>
    <row r="404" ht="22.5" customHeight="1">
      <c r="A404" s="30"/>
      <c r="B404" s="31"/>
      <c r="C404" s="32"/>
      <c r="D404" s="33"/>
      <c r="E404" s="34"/>
      <c r="F404" s="34"/>
      <c r="G404" s="35"/>
      <c r="H404" s="34"/>
      <c r="I404" s="37"/>
    </row>
    <row r="405" ht="22.5" customHeight="1">
      <c r="A405" s="30"/>
      <c r="B405" s="31"/>
      <c r="C405" s="32"/>
      <c r="D405" s="33"/>
      <c r="E405" s="34"/>
      <c r="F405" s="34"/>
      <c r="G405" s="35"/>
      <c r="H405" s="34"/>
      <c r="I405" s="37"/>
    </row>
    <row r="406" ht="22.5" customHeight="1">
      <c r="A406" s="30"/>
      <c r="B406" s="31"/>
      <c r="C406" s="32"/>
      <c r="D406" s="33"/>
      <c r="E406" s="34"/>
      <c r="F406" s="34"/>
      <c r="G406" s="35"/>
      <c r="H406" s="34"/>
      <c r="I406" s="37"/>
    </row>
    <row r="407" ht="22.5" customHeight="1">
      <c r="A407" s="30"/>
      <c r="B407" s="40"/>
      <c r="C407" s="32"/>
      <c r="D407" s="33"/>
      <c r="E407" s="34"/>
      <c r="F407" s="34"/>
      <c r="G407" s="35"/>
      <c r="H407" s="34"/>
      <c r="I407" s="37"/>
    </row>
    <row r="408" ht="22.5" customHeight="1">
      <c r="A408" s="30"/>
      <c r="B408" s="31"/>
      <c r="C408" s="32"/>
      <c r="D408" s="33"/>
      <c r="E408" s="34"/>
      <c r="F408" s="34"/>
      <c r="G408" s="35"/>
      <c r="H408" s="34"/>
      <c r="I408" s="37"/>
    </row>
    <row r="409" ht="22.5" customHeight="1">
      <c r="A409" s="30"/>
      <c r="B409" s="31"/>
      <c r="C409" s="32"/>
      <c r="D409" s="33"/>
      <c r="E409" s="34"/>
      <c r="F409" s="34"/>
      <c r="G409" s="35"/>
      <c r="H409" s="34"/>
      <c r="I409" s="37"/>
    </row>
    <row r="410" ht="22.5" customHeight="1">
      <c r="A410" s="30"/>
      <c r="B410" s="31"/>
      <c r="C410" s="32"/>
      <c r="D410" s="33"/>
      <c r="E410" s="34"/>
      <c r="F410" s="34"/>
      <c r="G410" s="35"/>
      <c r="H410" s="34"/>
      <c r="I410" s="37"/>
    </row>
    <row r="411" ht="22.5" customHeight="1">
      <c r="A411" s="30"/>
      <c r="B411" s="40"/>
      <c r="C411" s="32"/>
      <c r="D411" s="33"/>
      <c r="E411" s="34"/>
      <c r="F411" s="34"/>
      <c r="G411" s="35"/>
      <c r="H411" s="34"/>
      <c r="I411" s="37"/>
    </row>
    <row r="412" ht="22.5" customHeight="1">
      <c r="A412" s="30"/>
      <c r="B412" s="31"/>
      <c r="C412" s="32"/>
      <c r="D412" s="33"/>
      <c r="E412" s="34"/>
      <c r="F412" s="34"/>
      <c r="G412" s="35"/>
      <c r="H412" s="34"/>
      <c r="I412" s="37"/>
    </row>
    <row r="413" ht="22.5" customHeight="1">
      <c r="A413" s="30"/>
      <c r="B413" s="31"/>
      <c r="C413" s="32"/>
      <c r="D413" s="33"/>
      <c r="E413" s="34"/>
      <c r="F413" s="34"/>
      <c r="G413" s="35"/>
      <c r="H413" s="34"/>
      <c r="I413" s="37"/>
    </row>
    <row r="414" ht="22.5" customHeight="1">
      <c r="A414" s="30"/>
      <c r="B414" s="31"/>
      <c r="C414" s="32"/>
      <c r="D414" s="33"/>
      <c r="E414" s="34"/>
      <c r="F414" s="34"/>
      <c r="G414" s="35"/>
      <c r="H414" s="34"/>
      <c r="I414" s="37"/>
    </row>
    <row r="415" ht="22.5" customHeight="1">
      <c r="A415" s="30"/>
      <c r="B415" s="31"/>
      <c r="C415" s="32"/>
      <c r="D415" s="33"/>
      <c r="E415" s="34"/>
      <c r="F415" s="34"/>
      <c r="G415" s="35"/>
      <c r="H415" s="34"/>
      <c r="I415" s="37"/>
    </row>
    <row r="416" ht="22.5" customHeight="1">
      <c r="A416" s="30"/>
      <c r="B416" s="31"/>
      <c r="C416" s="32"/>
      <c r="D416" s="33"/>
      <c r="E416" s="34"/>
      <c r="F416" s="34"/>
      <c r="G416" s="35"/>
      <c r="H416" s="34"/>
      <c r="I416" s="37"/>
    </row>
    <row r="417" ht="22.5" customHeight="1">
      <c r="A417" s="30"/>
      <c r="B417" s="31"/>
      <c r="C417" s="32"/>
      <c r="D417" s="33"/>
      <c r="E417" s="34"/>
      <c r="F417" s="34"/>
      <c r="G417" s="35"/>
      <c r="H417" s="34"/>
      <c r="I417" s="37"/>
    </row>
    <row r="418" ht="22.5" customHeight="1">
      <c r="A418" s="30"/>
      <c r="B418" s="31"/>
      <c r="C418" s="32"/>
      <c r="D418" s="33"/>
      <c r="E418" s="34"/>
      <c r="F418" s="34"/>
      <c r="G418" s="35"/>
      <c r="H418" s="34"/>
      <c r="I418" s="37"/>
    </row>
    <row r="419" ht="22.5" customHeight="1">
      <c r="A419" s="30"/>
      <c r="B419" s="31"/>
      <c r="C419" s="32"/>
      <c r="D419" s="33"/>
      <c r="E419" s="34"/>
      <c r="F419" s="34"/>
      <c r="G419" s="35"/>
      <c r="H419" s="34"/>
      <c r="I419" s="37"/>
    </row>
    <row r="420" ht="22.5" customHeight="1">
      <c r="A420" s="30"/>
      <c r="B420" s="31"/>
      <c r="C420" s="32"/>
      <c r="D420" s="33"/>
      <c r="E420" s="34"/>
      <c r="F420" s="34"/>
      <c r="G420" s="35"/>
      <c r="H420" s="34"/>
      <c r="I420" s="37"/>
    </row>
    <row r="421" ht="22.5" customHeight="1">
      <c r="A421" s="30"/>
      <c r="B421" s="31"/>
      <c r="C421" s="32"/>
      <c r="D421" s="33"/>
      <c r="E421" s="34"/>
      <c r="F421" s="34"/>
      <c r="G421" s="35"/>
      <c r="H421" s="34"/>
      <c r="I421" s="37"/>
    </row>
    <row r="422" ht="22.5" customHeight="1">
      <c r="A422" s="30"/>
      <c r="B422" s="31"/>
      <c r="C422" s="32"/>
      <c r="D422" s="33"/>
      <c r="E422" s="34"/>
      <c r="F422" s="34"/>
      <c r="G422" s="35"/>
      <c r="H422" s="34"/>
      <c r="I422" s="37"/>
    </row>
    <row r="423" ht="22.5" customHeight="1">
      <c r="A423" s="30"/>
      <c r="B423" s="31"/>
      <c r="C423" s="32"/>
      <c r="D423" s="33"/>
      <c r="E423" s="34"/>
      <c r="F423" s="34"/>
      <c r="G423" s="35"/>
      <c r="H423" s="34"/>
      <c r="I423" s="37"/>
    </row>
    <row r="424" ht="22.5" customHeight="1">
      <c r="A424" s="30"/>
      <c r="B424" s="31"/>
      <c r="C424" s="32"/>
      <c r="D424" s="33"/>
      <c r="E424" s="34"/>
      <c r="F424" s="34"/>
      <c r="G424" s="35"/>
      <c r="H424" s="34"/>
      <c r="I424" s="37"/>
    </row>
    <row r="425" ht="22.5" customHeight="1">
      <c r="A425" s="30"/>
      <c r="B425" s="31"/>
      <c r="C425" s="32"/>
      <c r="D425" s="33"/>
      <c r="E425" s="34"/>
      <c r="F425" s="34"/>
      <c r="G425" s="35"/>
      <c r="H425" s="34"/>
      <c r="I425" s="37"/>
    </row>
    <row r="426" ht="22.5" customHeight="1">
      <c r="A426" s="30"/>
      <c r="B426" s="40"/>
      <c r="C426" s="32"/>
      <c r="D426" s="33"/>
      <c r="E426" s="34"/>
      <c r="F426" s="34"/>
      <c r="G426" s="35"/>
      <c r="H426" s="34"/>
      <c r="I426" s="37"/>
    </row>
    <row r="427" ht="22.5" customHeight="1">
      <c r="A427" s="30"/>
      <c r="B427" s="31"/>
      <c r="C427" s="32"/>
      <c r="D427" s="33"/>
      <c r="E427" s="34"/>
      <c r="F427" s="34"/>
      <c r="G427" s="35"/>
      <c r="H427" s="34"/>
      <c r="I427" s="37"/>
    </row>
    <row r="428" ht="22.5" customHeight="1">
      <c r="A428" s="30"/>
      <c r="B428" s="40"/>
      <c r="C428" s="32"/>
      <c r="D428" s="33"/>
      <c r="E428" s="34"/>
      <c r="F428" s="34"/>
      <c r="G428" s="35"/>
      <c r="H428" s="34"/>
      <c r="I428" s="37"/>
    </row>
    <row r="429" ht="22.5" customHeight="1">
      <c r="A429" s="30"/>
      <c r="B429" s="31"/>
      <c r="C429" s="32"/>
      <c r="D429" s="33"/>
      <c r="E429" s="34"/>
      <c r="F429" s="34"/>
      <c r="G429" s="35"/>
      <c r="H429" s="34"/>
      <c r="I429" s="37"/>
    </row>
    <row r="430" ht="22.5" customHeight="1">
      <c r="A430" s="30"/>
      <c r="B430" s="31"/>
      <c r="C430" s="32"/>
      <c r="D430" s="33"/>
      <c r="E430" s="34"/>
      <c r="F430" s="34"/>
      <c r="G430" s="35"/>
      <c r="H430" s="34"/>
      <c r="I430" s="37"/>
    </row>
    <row r="431" ht="22.5" customHeight="1">
      <c r="A431" s="30"/>
      <c r="B431" s="31"/>
      <c r="C431" s="32"/>
      <c r="D431" s="33"/>
      <c r="E431" s="34"/>
      <c r="F431" s="34"/>
      <c r="G431" s="35"/>
      <c r="H431" s="34"/>
      <c r="I431" s="37"/>
    </row>
    <row r="432" ht="22.5" customHeight="1">
      <c r="A432" s="30"/>
      <c r="B432" s="31"/>
      <c r="C432" s="32"/>
      <c r="D432" s="33"/>
      <c r="E432" s="34"/>
      <c r="F432" s="34"/>
      <c r="G432" s="35"/>
      <c r="H432" s="34"/>
      <c r="I432" s="37"/>
    </row>
    <row r="433" ht="22.5" customHeight="1">
      <c r="A433" s="30"/>
      <c r="B433" s="40"/>
      <c r="C433" s="32"/>
      <c r="D433" s="33"/>
      <c r="E433" s="34"/>
      <c r="F433" s="34"/>
      <c r="G433" s="35"/>
      <c r="H433" s="34"/>
      <c r="I433" s="37"/>
    </row>
    <row r="434" ht="22.5" customHeight="1">
      <c r="A434" s="30"/>
      <c r="B434" s="31"/>
      <c r="C434" s="32"/>
      <c r="D434" s="33"/>
      <c r="E434" s="34"/>
      <c r="F434" s="34"/>
      <c r="G434" s="35"/>
      <c r="H434" s="34"/>
      <c r="I434" s="37"/>
    </row>
    <row r="435" ht="22.5" customHeight="1">
      <c r="A435" s="30"/>
      <c r="B435" s="31"/>
      <c r="C435" s="32"/>
      <c r="D435" s="33"/>
      <c r="E435" s="34"/>
      <c r="F435" s="34"/>
      <c r="G435" s="35"/>
      <c r="H435" s="34"/>
      <c r="I435" s="37"/>
    </row>
    <row r="436" ht="22.5" customHeight="1">
      <c r="A436" s="30"/>
      <c r="B436" s="31"/>
      <c r="C436" s="32"/>
      <c r="D436" s="33"/>
      <c r="E436" s="34"/>
      <c r="F436" s="34"/>
      <c r="G436" s="35"/>
      <c r="H436" s="34"/>
      <c r="I436" s="37"/>
    </row>
    <row r="437" ht="22.5" customHeight="1">
      <c r="A437" s="30"/>
      <c r="B437" s="31"/>
      <c r="C437" s="32"/>
      <c r="D437" s="33"/>
      <c r="E437" s="34"/>
      <c r="F437" s="34"/>
      <c r="G437" s="35"/>
      <c r="H437" s="34"/>
      <c r="I437" s="37"/>
    </row>
    <row r="438" ht="22.5" customHeight="1">
      <c r="A438" s="30"/>
      <c r="B438" s="31"/>
      <c r="C438" s="32"/>
      <c r="D438" s="33"/>
      <c r="E438" s="34"/>
      <c r="F438" s="34"/>
      <c r="G438" s="35"/>
      <c r="H438" s="34"/>
      <c r="I438" s="37"/>
    </row>
    <row r="439" ht="22.5" customHeight="1">
      <c r="A439" s="30"/>
      <c r="B439" s="31"/>
      <c r="C439" s="32"/>
      <c r="D439" s="33"/>
      <c r="E439" s="34"/>
      <c r="F439" s="34"/>
      <c r="G439" s="35"/>
      <c r="H439" s="34"/>
      <c r="I439" s="37"/>
    </row>
    <row r="440" ht="22.5" customHeight="1">
      <c r="A440" s="30"/>
      <c r="B440" s="31"/>
      <c r="C440" s="32"/>
      <c r="D440" s="33"/>
      <c r="E440" s="34"/>
      <c r="F440" s="34"/>
      <c r="G440" s="35"/>
      <c r="H440" s="34"/>
      <c r="I440" s="37"/>
    </row>
    <row r="441" ht="22.5" customHeight="1">
      <c r="A441" s="30"/>
      <c r="B441" s="31"/>
      <c r="C441" s="32"/>
      <c r="D441" s="33"/>
      <c r="E441" s="34"/>
      <c r="F441" s="34"/>
      <c r="G441" s="35"/>
      <c r="H441" s="34"/>
      <c r="I441" s="37"/>
    </row>
    <row r="442" ht="22.5" customHeight="1">
      <c r="A442" s="30"/>
      <c r="B442" s="31"/>
      <c r="C442" s="32"/>
      <c r="D442" s="33"/>
      <c r="E442" s="34"/>
      <c r="F442" s="34"/>
      <c r="G442" s="35"/>
      <c r="H442" s="34"/>
      <c r="I442" s="37"/>
    </row>
    <row r="443" ht="22.5" customHeight="1">
      <c r="A443" s="30"/>
      <c r="B443" s="31"/>
      <c r="C443" s="32"/>
      <c r="D443" s="33"/>
      <c r="E443" s="34"/>
      <c r="F443" s="34"/>
      <c r="G443" s="35"/>
      <c r="H443" s="34"/>
      <c r="I443" s="37"/>
    </row>
    <row r="444" ht="22.5" customHeight="1">
      <c r="A444" s="30"/>
      <c r="B444" s="31"/>
      <c r="C444" s="32"/>
      <c r="D444" s="33"/>
      <c r="E444" s="34"/>
      <c r="F444" s="34"/>
      <c r="G444" s="35"/>
      <c r="H444" s="34"/>
      <c r="I444" s="37"/>
    </row>
    <row r="445" ht="22.5" customHeight="1">
      <c r="A445" s="30"/>
      <c r="B445" s="31"/>
      <c r="C445" s="32"/>
      <c r="D445" s="33"/>
      <c r="E445" s="34"/>
      <c r="F445" s="34"/>
      <c r="G445" s="35"/>
      <c r="H445" s="34"/>
      <c r="I445" s="37"/>
    </row>
    <row r="446" ht="22.5" customHeight="1">
      <c r="A446" s="30"/>
      <c r="B446" s="31"/>
      <c r="C446" s="32"/>
      <c r="D446" s="33"/>
      <c r="E446" s="34"/>
      <c r="F446" s="34"/>
      <c r="G446" s="35"/>
      <c r="H446" s="34"/>
      <c r="I446" s="37"/>
    </row>
    <row r="447" ht="22.5" customHeight="1">
      <c r="A447" s="30"/>
      <c r="B447" s="31"/>
      <c r="C447" s="32"/>
      <c r="D447" s="33"/>
      <c r="E447" s="34"/>
      <c r="F447" s="34"/>
      <c r="G447" s="35"/>
      <c r="H447" s="34"/>
      <c r="I447" s="37"/>
    </row>
    <row r="448" ht="22.5" customHeight="1">
      <c r="A448" s="30"/>
      <c r="B448" s="31"/>
      <c r="C448" s="32"/>
      <c r="D448" s="33"/>
      <c r="E448" s="34"/>
      <c r="F448" s="34"/>
      <c r="G448" s="35"/>
      <c r="H448" s="34"/>
      <c r="I448" s="37"/>
    </row>
    <row r="449" ht="22.5" customHeight="1">
      <c r="A449" s="30"/>
      <c r="B449" s="31"/>
      <c r="C449" s="32"/>
      <c r="D449" s="33"/>
      <c r="E449" s="34"/>
      <c r="F449" s="34"/>
      <c r="G449" s="35"/>
      <c r="H449" s="34"/>
      <c r="I449" s="37"/>
    </row>
    <row r="450" ht="22.5" customHeight="1">
      <c r="A450" s="30"/>
      <c r="B450" s="31"/>
      <c r="C450" s="32"/>
      <c r="D450" s="33"/>
      <c r="E450" s="34"/>
      <c r="F450" s="34"/>
      <c r="G450" s="35"/>
      <c r="H450" s="34"/>
      <c r="I450" s="37"/>
    </row>
    <row r="451" ht="22.5" customHeight="1">
      <c r="A451" s="30"/>
      <c r="B451" s="31"/>
      <c r="C451" s="32"/>
      <c r="D451" s="33"/>
      <c r="E451" s="34"/>
      <c r="F451" s="34"/>
      <c r="G451" s="35"/>
      <c r="H451" s="34"/>
      <c r="I451" s="37"/>
    </row>
    <row r="452" ht="22.5" customHeight="1">
      <c r="A452" s="30"/>
      <c r="B452" s="31"/>
      <c r="C452" s="32"/>
      <c r="D452" s="33"/>
      <c r="E452" s="34"/>
      <c r="F452" s="34"/>
      <c r="G452" s="35"/>
      <c r="H452" s="34"/>
      <c r="I452" s="37"/>
    </row>
    <row r="453" ht="22.5" customHeight="1">
      <c r="A453" s="30"/>
      <c r="B453" s="31"/>
      <c r="C453" s="32"/>
      <c r="D453" s="33"/>
      <c r="E453" s="34"/>
      <c r="F453" s="34"/>
      <c r="G453" s="35"/>
      <c r="H453" s="34"/>
      <c r="I453" s="37"/>
    </row>
    <row r="454" ht="22.5" customHeight="1">
      <c r="A454" s="30"/>
      <c r="B454" s="31"/>
      <c r="C454" s="32"/>
      <c r="D454" s="33"/>
      <c r="E454" s="34"/>
      <c r="F454" s="34"/>
      <c r="G454" s="35"/>
      <c r="H454" s="34"/>
      <c r="I454" s="37"/>
    </row>
    <row r="455" ht="22.5" customHeight="1">
      <c r="A455" s="30"/>
      <c r="B455" s="40"/>
      <c r="C455" s="32"/>
      <c r="D455" s="33"/>
      <c r="E455" s="34"/>
      <c r="F455" s="34"/>
      <c r="G455" s="35"/>
      <c r="H455" s="34"/>
      <c r="I455" s="37"/>
    </row>
    <row r="456" ht="22.5" customHeight="1">
      <c r="A456" s="30"/>
      <c r="B456" s="31"/>
      <c r="C456" s="32"/>
      <c r="D456" s="33"/>
      <c r="E456" s="34"/>
      <c r="F456" s="34"/>
      <c r="G456" s="35"/>
      <c r="H456" s="34"/>
      <c r="I456" s="37"/>
    </row>
    <row r="457" ht="22.5" customHeight="1">
      <c r="A457" s="30"/>
      <c r="B457" s="31"/>
      <c r="C457" s="32"/>
      <c r="D457" s="33"/>
      <c r="E457" s="34"/>
      <c r="F457" s="34"/>
      <c r="G457" s="35"/>
      <c r="H457" s="34"/>
      <c r="I457" s="37"/>
    </row>
    <row r="458" ht="22.5" customHeight="1">
      <c r="A458" s="30"/>
      <c r="B458" s="31"/>
      <c r="C458" s="32"/>
      <c r="D458" s="33"/>
      <c r="E458" s="34"/>
      <c r="F458" s="34"/>
      <c r="G458" s="35"/>
      <c r="H458" s="34"/>
      <c r="I458" s="37"/>
    </row>
    <row r="459" ht="22.5" customHeight="1">
      <c r="A459" s="30"/>
      <c r="B459" s="31"/>
      <c r="C459" s="32"/>
      <c r="D459" s="33"/>
      <c r="E459" s="34"/>
      <c r="F459" s="34"/>
      <c r="G459" s="35"/>
      <c r="H459" s="34"/>
      <c r="I459" s="38"/>
    </row>
    <row r="460" ht="22.5" customHeight="1">
      <c r="A460" s="30"/>
      <c r="B460" s="39"/>
      <c r="C460" s="32"/>
      <c r="D460" s="33"/>
      <c r="E460" s="34"/>
      <c r="F460" s="34"/>
      <c r="G460" s="35"/>
      <c r="H460" s="34"/>
      <c r="I460" s="37"/>
    </row>
    <row r="461" ht="22.5" customHeight="1">
      <c r="A461" s="30"/>
      <c r="B461" s="31"/>
      <c r="C461" s="32"/>
      <c r="D461" s="33"/>
      <c r="E461" s="34"/>
      <c r="F461" s="34"/>
      <c r="G461" s="35"/>
      <c r="H461" s="34"/>
      <c r="I461" s="37"/>
    </row>
    <row r="462" ht="22.5" customHeight="1">
      <c r="A462" s="30"/>
      <c r="B462" s="31"/>
      <c r="C462" s="32"/>
      <c r="D462" s="33"/>
      <c r="E462" s="34"/>
      <c r="F462" s="34"/>
      <c r="G462" s="35"/>
      <c r="H462" s="34"/>
      <c r="I462" s="37"/>
    </row>
    <row r="463" ht="22.5" customHeight="1">
      <c r="A463" s="30"/>
      <c r="B463" s="31"/>
      <c r="C463" s="32"/>
      <c r="D463" s="33"/>
      <c r="E463" s="34"/>
      <c r="F463" s="34"/>
      <c r="G463" s="35"/>
      <c r="H463" s="34"/>
      <c r="I463" s="37"/>
    </row>
    <row r="464" ht="22.5" customHeight="1">
      <c r="A464" s="30"/>
      <c r="B464" s="39"/>
      <c r="C464" s="32"/>
      <c r="D464" s="33"/>
      <c r="E464" s="34"/>
      <c r="F464" s="34"/>
      <c r="G464" s="35"/>
      <c r="H464" s="34"/>
      <c r="I464" s="37"/>
    </row>
    <row r="465" ht="22.5" customHeight="1">
      <c r="A465" s="30"/>
      <c r="B465" s="31"/>
      <c r="C465" s="32"/>
      <c r="D465" s="33"/>
      <c r="E465" s="34"/>
      <c r="F465" s="34"/>
      <c r="G465" s="35"/>
      <c r="H465" s="34"/>
      <c r="I465" s="37"/>
    </row>
    <row r="466" ht="22.5" customHeight="1">
      <c r="A466" s="30"/>
      <c r="B466" s="39"/>
      <c r="C466" s="32"/>
      <c r="D466" s="33"/>
      <c r="E466" s="34"/>
      <c r="F466" s="34"/>
      <c r="G466" s="35"/>
      <c r="H466" s="34"/>
      <c r="I466" s="37"/>
    </row>
    <row r="467" ht="22.5" customHeight="1">
      <c r="A467" s="30"/>
      <c r="B467" s="31"/>
      <c r="C467" s="32"/>
      <c r="D467" s="33"/>
      <c r="E467" s="34"/>
      <c r="F467" s="34"/>
      <c r="G467" s="35"/>
      <c r="H467" s="34"/>
      <c r="I467" s="37"/>
    </row>
    <row r="468" ht="22.5" customHeight="1">
      <c r="A468" s="30"/>
      <c r="B468" s="31"/>
      <c r="C468" s="32"/>
      <c r="D468" s="33"/>
      <c r="E468" s="34"/>
      <c r="F468" s="34"/>
      <c r="G468" s="35"/>
      <c r="H468" s="34"/>
      <c r="I468" s="37"/>
    </row>
    <row r="469" ht="22.5" customHeight="1">
      <c r="A469" s="30"/>
      <c r="B469" s="31"/>
      <c r="C469" s="32"/>
      <c r="D469" s="33"/>
      <c r="E469" s="34"/>
      <c r="F469" s="34"/>
      <c r="G469" s="35"/>
      <c r="H469" s="34"/>
      <c r="I469" s="37"/>
    </row>
    <row r="470" ht="22.5" customHeight="1">
      <c r="A470" s="30"/>
      <c r="B470" s="31"/>
      <c r="C470" s="32"/>
      <c r="D470" s="33"/>
      <c r="E470" s="34"/>
      <c r="F470" s="34"/>
      <c r="G470" s="35"/>
      <c r="H470" s="34"/>
      <c r="I470" s="37"/>
    </row>
    <row r="471" ht="22.5" customHeight="1">
      <c r="A471" s="30"/>
      <c r="B471" s="31"/>
      <c r="C471" s="32"/>
      <c r="D471" s="33"/>
      <c r="E471" s="34"/>
      <c r="F471" s="34"/>
      <c r="G471" s="35"/>
      <c r="H471" s="34"/>
      <c r="I471" s="37"/>
    </row>
    <row r="472" ht="22.5" customHeight="1">
      <c r="A472" s="30"/>
      <c r="B472" s="31"/>
      <c r="C472" s="32"/>
      <c r="D472" s="33"/>
      <c r="E472" s="34"/>
      <c r="F472" s="34"/>
      <c r="G472" s="35"/>
      <c r="H472" s="34"/>
      <c r="I472" s="37"/>
    </row>
    <row r="473" ht="22.5" customHeight="1">
      <c r="A473" s="30"/>
      <c r="B473" s="31"/>
      <c r="C473" s="32"/>
      <c r="D473" s="33"/>
      <c r="E473" s="34"/>
      <c r="F473" s="34"/>
      <c r="G473" s="35"/>
      <c r="H473" s="34"/>
      <c r="I473" s="37"/>
    </row>
    <row r="474" ht="22.5" customHeight="1">
      <c r="A474" s="30"/>
      <c r="B474" s="31"/>
      <c r="C474" s="32"/>
      <c r="D474" s="33"/>
      <c r="E474" s="34"/>
      <c r="F474" s="34"/>
      <c r="G474" s="35"/>
      <c r="H474" s="34"/>
      <c r="I474" s="37"/>
    </row>
    <row r="475" ht="22.5" customHeight="1">
      <c r="A475" s="30"/>
      <c r="B475" s="31"/>
      <c r="C475" s="32"/>
      <c r="D475" s="33"/>
      <c r="E475" s="34"/>
      <c r="F475" s="34"/>
      <c r="G475" s="35"/>
      <c r="H475" s="34"/>
      <c r="I475" s="37"/>
    </row>
    <row r="476" ht="22.5" customHeight="1">
      <c r="A476" s="30"/>
      <c r="B476" s="31"/>
      <c r="C476" s="32"/>
      <c r="D476" s="33"/>
      <c r="E476" s="34"/>
      <c r="F476" s="34"/>
      <c r="G476" s="35"/>
      <c r="H476" s="34"/>
      <c r="I476" s="37"/>
    </row>
    <row r="477" ht="22.5" customHeight="1">
      <c r="A477" s="30"/>
      <c r="B477" s="40"/>
      <c r="C477" s="32"/>
      <c r="D477" s="33"/>
      <c r="E477" s="34"/>
      <c r="F477" s="34"/>
      <c r="G477" s="35"/>
      <c r="H477" s="34"/>
      <c r="I477" s="37"/>
    </row>
    <row r="478" ht="22.5" customHeight="1">
      <c r="A478" s="30"/>
      <c r="B478" s="31"/>
      <c r="C478" s="32"/>
      <c r="D478" s="33"/>
      <c r="E478" s="34"/>
      <c r="F478" s="34"/>
      <c r="G478" s="35"/>
      <c r="H478" s="34"/>
      <c r="I478" s="37"/>
    </row>
    <row r="479" ht="22.5" customHeight="1">
      <c r="A479" s="30"/>
      <c r="B479" s="31"/>
      <c r="C479" s="32"/>
      <c r="D479" s="33"/>
      <c r="E479" s="34"/>
      <c r="F479" s="34"/>
      <c r="G479" s="35"/>
      <c r="H479" s="34"/>
      <c r="I479" s="37"/>
    </row>
    <row r="480" ht="22.5" customHeight="1">
      <c r="A480" s="30"/>
      <c r="B480" s="31"/>
      <c r="C480" s="32"/>
      <c r="D480" s="33"/>
      <c r="E480" s="34"/>
      <c r="F480" s="34"/>
      <c r="G480" s="35"/>
      <c r="H480" s="34"/>
      <c r="I480" s="37"/>
    </row>
    <row r="481" ht="22.5" customHeight="1">
      <c r="A481" s="30"/>
      <c r="B481" s="31"/>
      <c r="C481" s="32"/>
      <c r="D481" s="33"/>
      <c r="E481" s="34"/>
      <c r="F481" s="34"/>
      <c r="G481" s="35"/>
      <c r="H481" s="34"/>
      <c r="I481" s="37"/>
    </row>
    <row r="482" ht="22.5" customHeight="1">
      <c r="A482" s="30"/>
      <c r="B482" s="31"/>
      <c r="C482" s="32"/>
      <c r="D482" s="33"/>
      <c r="E482" s="34"/>
      <c r="F482" s="34"/>
      <c r="G482" s="35"/>
      <c r="H482" s="34"/>
      <c r="I482" s="37"/>
    </row>
    <row r="483" ht="22.5" customHeight="1">
      <c r="A483" s="30"/>
      <c r="B483" s="31"/>
      <c r="C483" s="32"/>
      <c r="D483" s="33"/>
      <c r="E483" s="34"/>
      <c r="F483" s="34"/>
      <c r="G483" s="35"/>
      <c r="H483" s="34"/>
      <c r="I483" s="37"/>
    </row>
    <row r="484" ht="22.5" customHeight="1">
      <c r="A484" s="30"/>
      <c r="B484" s="39"/>
      <c r="C484" s="32"/>
      <c r="D484" s="33"/>
      <c r="E484" s="34"/>
      <c r="F484" s="34"/>
      <c r="G484" s="35"/>
      <c r="H484" s="34"/>
      <c r="I484" s="37"/>
    </row>
    <row r="485" ht="22.5" customHeight="1">
      <c r="A485" s="30"/>
      <c r="B485" s="39"/>
      <c r="C485" s="32"/>
      <c r="D485" s="33"/>
      <c r="E485" s="34"/>
      <c r="F485" s="34"/>
      <c r="G485" s="35"/>
      <c r="H485" s="34"/>
      <c r="I485" s="37"/>
    </row>
    <row r="486" ht="22.5" customHeight="1">
      <c r="A486" s="30"/>
      <c r="B486" s="39"/>
      <c r="C486" s="32"/>
      <c r="D486" s="33"/>
      <c r="E486" s="34"/>
      <c r="F486" s="34"/>
      <c r="G486" s="35"/>
      <c r="H486" s="34"/>
      <c r="I486" s="37"/>
    </row>
    <row r="487" ht="22.5" customHeight="1">
      <c r="A487" s="30"/>
      <c r="B487" s="40"/>
      <c r="C487" s="32"/>
      <c r="D487" s="33"/>
      <c r="E487" s="34"/>
      <c r="F487" s="34"/>
      <c r="G487" s="35"/>
      <c r="H487" s="34"/>
      <c r="I487" s="37"/>
    </row>
    <row r="488" ht="22.5" customHeight="1">
      <c r="A488" s="30"/>
      <c r="B488" s="31"/>
      <c r="C488" s="32"/>
      <c r="D488" s="33"/>
      <c r="E488" s="34"/>
      <c r="F488" s="34"/>
      <c r="G488" s="35"/>
      <c r="H488" s="34"/>
      <c r="I488" s="37"/>
    </row>
    <row r="489" ht="22.5" customHeight="1">
      <c r="A489" s="30"/>
      <c r="B489" s="31"/>
      <c r="C489" s="32"/>
      <c r="D489" s="33"/>
      <c r="E489" s="34"/>
      <c r="F489" s="34"/>
      <c r="G489" s="35"/>
      <c r="H489" s="34"/>
      <c r="I489" s="37"/>
    </row>
    <row r="490" ht="22.5" customHeight="1">
      <c r="A490" s="30"/>
      <c r="B490" s="31"/>
      <c r="C490" s="32"/>
      <c r="D490" s="33"/>
      <c r="E490" s="34"/>
      <c r="F490" s="34"/>
      <c r="G490" s="35"/>
      <c r="H490" s="34"/>
      <c r="I490" s="37"/>
    </row>
    <row r="491" ht="22.5" customHeight="1">
      <c r="A491" s="30"/>
      <c r="B491" s="31"/>
      <c r="C491" s="32"/>
      <c r="D491" s="33"/>
      <c r="E491" s="34"/>
      <c r="F491" s="34"/>
      <c r="G491" s="35"/>
      <c r="H491" s="34"/>
      <c r="I491" s="37"/>
    </row>
    <row r="492" ht="22.5" customHeight="1">
      <c r="A492" s="30"/>
      <c r="B492" s="31"/>
      <c r="C492" s="32"/>
      <c r="D492" s="33"/>
      <c r="E492" s="34"/>
      <c r="F492" s="34"/>
      <c r="G492" s="35"/>
      <c r="H492" s="34"/>
      <c r="I492" s="37"/>
    </row>
    <row r="493" ht="22.5" customHeight="1">
      <c r="A493" s="30"/>
      <c r="B493" s="31"/>
      <c r="C493" s="32"/>
      <c r="D493" s="33"/>
      <c r="E493" s="34"/>
      <c r="F493" s="34"/>
      <c r="G493" s="35"/>
      <c r="H493" s="34"/>
      <c r="I493" s="37"/>
    </row>
    <row r="494" ht="22.5" customHeight="1">
      <c r="A494" s="30"/>
      <c r="B494" s="31"/>
      <c r="C494" s="32"/>
      <c r="D494" s="33"/>
      <c r="E494" s="34"/>
      <c r="F494" s="34"/>
      <c r="G494" s="35"/>
      <c r="H494" s="34"/>
      <c r="I494" s="37"/>
    </row>
    <row r="495" ht="22.5" customHeight="1">
      <c r="A495" s="30"/>
      <c r="B495" s="31"/>
      <c r="C495" s="32"/>
      <c r="D495" s="33"/>
      <c r="E495" s="34"/>
      <c r="F495" s="34"/>
      <c r="G495" s="35"/>
      <c r="H495" s="34"/>
      <c r="I495" s="37"/>
    </row>
    <row r="496" ht="22.5" customHeight="1">
      <c r="A496" s="30"/>
      <c r="B496" s="31"/>
      <c r="C496" s="32"/>
      <c r="D496" s="33"/>
      <c r="E496" s="34"/>
      <c r="F496" s="34"/>
      <c r="G496" s="35"/>
      <c r="H496" s="34"/>
      <c r="I496" s="37"/>
    </row>
    <row r="497" ht="22.5" customHeight="1">
      <c r="A497" s="30"/>
      <c r="B497" s="40"/>
      <c r="C497" s="32"/>
      <c r="D497" s="33"/>
      <c r="E497" s="34"/>
      <c r="F497" s="34"/>
      <c r="G497" s="35"/>
      <c r="H497" s="34"/>
      <c r="I497" s="37"/>
    </row>
    <row r="498" ht="22.5" customHeight="1">
      <c r="A498" s="30"/>
      <c r="B498" s="31"/>
      <c r="C498" s="32"/>
      <c r="D498" s="33"/>
      <c r="E498" s="34"/>
      <c r="F498" s="34"/>
      <c r="G498" s="35"/>
      <c r="H498" s="34"/>
      <c r="I498" s="37"/>
    </row>
    <row r="499" ht="22.5" customHeight="1">
      <c r="A499" s="30"/>
      <c r="B499" s="31"/>
      <c r="C499" s="32"/>
      <c r="D499" s="33"/>
      <c r="E499" s="34"/>
      <c r="F499" s="34"/>
      <c r="G499" s="35"/>
      <c r="H499" s="34"/>
      <c r="I499" s="37"/>
    </row>
    <row r="500" ht="22.5" customHeight="1">
      <c r="A500" s="30"/>
      <c r="B500" s="31"/>
      <c r="C500" s="32"/>
      <c r="D500" s="33"/>
      <c r="E500" s="34"/>
      <c r="F500" s="34"/>
      <c r="G500" s="35"/>
      <c r="H500" s="34"/>
      <c r="I500" s="37"/>
    </row>
    <row r="501" ht="22.5" customHeight="1">
      <c r="A501" s="30"/>
      <c r="B501" s="40"/>
      <c r="C501" s="32"/>
      <c r="D501" s="33"/>
      <c r="E501" s="34"/>
      <c r="F501" s="34"/>
      <c r="G501" s="35"/>
      <c r="H501" s="34"/>
      <c r="I501" s="37"/>
    </row>
    <row r="502" ht="22.5" customHeight="1">
      <c r="A502" s="30"/>
      <c r="B502" s="31"/>
      <c r="C502" s="32"/>
      <c r="D502" s="33"/>
      <c r="E502" s="34"/>
      <c r="F502" s="34"/>
      <c r="G502" s="35"/>
      <c r="H502" s="34"/>
      <c r="I502" s="37"/>
    </row>
    <row r="503" ht="22.5" customHeight="1">
      <c r="A503" s="30"/>
      <c r="B503" s="31"/>
      <c r="C503" s="32"/>
      <c r="D503" s="33"/>
      <c r="E503" s="34"/>
      <c r="F503" s="34"/>
      <c r="G503" s="35"/>
      <c r="H503" s="34"/>
      <c r="I503" s="37"/>
    </row>
    <row r="504" ht="22.5" customHeight="1">
      <c r="A504" s="30"/>
      <c r="B504" s="31"/>
      <c r="C504" s="32"/>
      <c r="D504" s="33"/>
      <c r="E504" s="34"/>
      <c r="F504" s="34"/>
      <c r="G504" s="35"/>
      <c r="H504" s="34"/>
      <c r="I504" s="37"/>
    </row>
    <row r="505" ht="22.5" customHeight="1">
      <c r="A505" s="30"/>
      <c r="B505" s="31"/>
      <c r="C505" s="32"/>
      <c r="D505" s="33"/>
      <c r="E505" s="34"/>
      <c r="F505" s="34"/>
      <c r="G505" s="35"/>
      <c r="H505" s="34"/>
      <c r="I505" s="37"/>
    </row>
    <row r="506" ht="22.5" customHeight="1">
      <c r="A506" s="30"/>
      <c r="B506" s="31"/>
      <c r="C506" s="32"/>
      <c r="D506" s="33"/>
      <c r="E506" s="34"/>
      <c r="F506" s="34"/>
      <c r="G506" s="35"/>
      <c r="H506" s="34"/>
      <c r="I506" s="37"/>
    </row>
    <row r="507" ht="22.5" customHeight="1">
      <c r="A507" s="30"/>
      <c r="B507" s="31"/>
      <c r="C507" s="32"/>
      <c r="D507" s="33"/>
      <c r="E507" s="34"/>
      <c r="F507" s="34"/>
      <c r="G507" s="35"/>
      <c r="H507" s="34"/>
      <c r="I507" s="37"/>
    </row>
    <row r="508" ht="22.5" customHeight="1">
      <c r="A508" s="30"/>
      <c r="B508" s="31"/>
      <c r="C508" s="32"/>
      <c r="D508" s="33"/>
      <c r="E508" s="34"/>
      <c r="F508" s="34"/>
      <c r="G508" s="35"/>
      <c r="H508" s="34"/>
      <c r="I508" s="37"/>
    </row>
    <row r="509" ht="22.5" customHeight="1">
      <c r="A509" s="30"/>
      <c r="B509" s="31"/>
      <c r="C509" s="32"/>
      <c r="D509" s="33"/>
      <c r="E509" s="34"/>
      <c r="F509" s="34"/>
      <c r="G509" s="35"/>
      <c r="H509" s="34"/>
      <c r="I509" s="37"/>
    </row>
    <row r="510" ht="22.5" customHeight="1">
      <c r="A510" s="30"/>
      <c r="B510" s="31"/>
      <c r="C510" s="32"/>
      <c r="D510" s="33"/>
      <c r="E510" s="34"/>
      <c r="F510" s="34"/>
      <c r="G510" s="35"/>
      <c r="H510" s="34"/>
      <c r="I510" s="37"/>
    </row>
    <row r="511" ht="22.5" customHeight="1">
      <c r="A511" s="30"/>
      <c r="B511" s="31"/>
      <c r="C511" s="32"/>
      <c r="D511" s="33"/>
      <c r="E511" s="34"/>
      <c r="F511" s="34"/>
      <c r="G511" s="35"/>
      <c r="H511" s="34"/>
      <c r="I511" s="37"/>
    </row>
    <row r="512" ht="22.5" customHeight="1">
      <c r="A512" s="30"/>
      <c r="B512" s="31"/>
      <c r="C512" s="32"/>
      <c r="D512" s="33"/>
      <c r="E512" s="34"/>
      <c r="F512" s="34"/>
      <c r="G512" s="35"/>
      <c r="H512" s="34"/>
      <c r="I512" s="37"/>
    </row>
    <row r="513" ht="22.5" customHeight="1">
      <c r="A513" s="30"/>
      <c r="B513" s="31"/>
      <c r="C513" s="32"/>
      <c r="D513" s="33"/>
      <c r="E513" s="34"/>
      <c r="F513" s="34"/>
      <c r="G513" s="35"/>
      <c r="H513" s="34"/>
      <c r="I513" s="37"/>
    </row>
    <row r="514" ht="22.5" customHeight="1">
      <c r="A514" s="30"/>
      <c r="B514" s="31"/>
      <c r="C514" s="32"/>
      <c r="D514" s="33"/>
      <c r="E514" s="34"/>
      <c r="F514" s="34"/>
      <c r="G514" s="35"/>
      <c r="H514" s="34"/>
      <c r="I514" s="37"/>
    </row>
    <row r="515" ht="22.5" customHeight="1">
      <c r="A515" s="30"/>
      <c r="B515" s="31"/>
      <c r="C515" s="32"/>
      <c r="D515" s="33"/>
      <c r="E515" s="34"/>
      <c r="F515" s="34"/>
      <c r="G515" s="35"/>
      <c r="H515" s="34"/>
      <c r="I515" s="37"/>
    </row>
    <row r="516" ht="22.5" customHeight="1">
      <c r="A516" s="30"/>
      <c r="B516" s="40"/>
      <c r="C516" s="32"/>
      <c r="D516" s="33"/>
      <c r="E516" s="34"/>
      <c r="F516" s="34"/>
      <c r="G516" s="35"/>
      <c r="H516" s="34"/>
      <c r="I516" s="37"/>
    </row>
    <row r="517" ht="22.5" customHeight="1">
      <c r="A517" s="30"/>
      <c r="B517" s="31"/>
      <c r="C517" s="32"/>
      <c r="D517" s="33"/>
      <c r="E517" s="34"/>
      <c r="F517" s="34"/>
      <c r="G517" s="35"/>
      <c r="H517" s="34"/>
      <c r="I517" s="37"/>
    </row>
    <row r="518" ht="22.5" customHeight="1">
      <c r="A518" s="30"/>
      <c r="B518" s="40"/>
      <c r="C518" s="32"/>
      <c r="D518" s="33"/>
      <c r="E518" s="34"/>
      <c r="F518" s="34"/>
      <c r="G518" s="35"/>
      <c r="H518" s="34"/>
      <c r="I518" s="37"/>
    </row>
    <row r="519" ht="22.5" customHeight="1">
      <c r="A519" s="30"/>
      <c r="B519" s="31"/>
      <c r="C519" s="32"/>
      <c r="D519" s="33"/>
      <c r="E519" s="34"/>
      <c r="F519" s="34"/>
      <c r="G519" s="35"/>
      <c r="H519" s="34"/>
      <c r="I519" s="37"/>
    </row>
    <row r="520" ht="22.5" customHeight="1">
      <c r="A520" s="30"/>
      <c r="B520" s="31"/>
      <c r="C520" s="32"/>
      <c r="D520" s="33"/>
      <c r="E520" s="34"/>
      <c r="F520" s="34"/>
      <c r="G520" s="35"/>
      <c r="H520" s="34"/>
      <c r="I520" s="37"/>
    </row>
    <row r="521" ht="22.5" customHeight="1">
      <c r="A521" s="30"/>
      <c r="B521" s="31"/>
      <c r="C521" s="32"/>
      <c r="D521" s="33"/>
      <c r="E521" s="34"/>
      <c r="F521" s="34"/>
      <c r="G521" s="35"/>
      <c r="H521" s="34"/>
      <c r="I521" s="37"/>
    </row>
    <row r="522" ht="22.5" customHeight="1">
      <c r="A522" s="30"/>
      <c r="B522" s="31"/>
      <c r="C522" s="32"/>
      <c r="D522" s="33"/>
      <c r="E522" s="34"/>
      <c r="F522" s="34"/>
      <c r="G522" s="35"/>
      <c r="H522" s="34"/>
      <c r="I522" s="37"/>
    </row>
    <row r="523" ht="22.5" customHeight="1">
      <c r="A523" s="30"/>
      <c r="B523" s="40"/>
      <c r="C523" s="32"/>
      <c r="D523" s="33"/>
      <c r="E523" s="34"/>
      <c r="F523" s="34"/>
      <c r="G523" s="35"/>
      <c r="H523" s="34"/>
      <c r="I523" s="37"/>
    </row>
    <row r="524" ht="22.5" customHeight="1">
      <c r="A524" s="30"/>
      <c r="B524" s="31"/>
      <c r="C524" s="32"/>
      <c r="D524" s="33"/>
      <c r="E524" s="34"/>
      <c r="F524" s="34"/>
      <c r="G524" s="35"/>
      <c r="H524" s="34"/>
      <c r="I524" s="37"/>
    </row>
    <row r="525" ht="22.5" customHeight="1">
      <c r="A525" s="30"/>
      <c r="B525" s="31"/>
      <c r="C525" s="32"/>
      <c r="D525" s="33"/>
      <c r="E525" s="34"/>
      <c r="F525" s="34"/>
      <c r="G525" s="35"/>
      <c r="H525" s="34"/>
      <c r="I525" s="37"/>
    </row>
    <row r="526" ht="22.5" customHeight="1">
      <c r="A526" s="30"/>
      <c r="B526" s="31"/>
      <c r="C526" s="32"/>
      <c r="D526" s="33"/>
      <c r="E526" s="34"/>
      <c r="F526" s="34"/>
      <c r="G526" s="35"/>
      <c r="H526" s="34"/>
      <c r="I526" s="37"/>
    </row>
    <row r="527" ht="22.5" customHeight="1">
      <c r="A527" s="30"/>
      <c r="B527" s="31"/>
      <c r="C527" s="32"/>
      <c r="D527" s="33"/>
      <c r="E527" s="34"/>
      <c r="F527" s="34"/>
      <c r="G527" s="35"/>
      <c r="H527" s="34"/>
      <c r="I527" s="37"/>
    </row>
    <row r="528" ht="22.5" customHeight="1">
      <c r="A528" s="30"/>
      <c r="B528" s="31"/>
      <c r="C528" s="32"/>
      <c r="D528" s="33"/>
      <c r="E528" s="34"/>
      <c r="F528" s="34"/>
      <c r="G528" s="35"/>
      <c r="H528" s="34"/>
      <c r="I528" s="37"/>
    </row>
    <row r="529" ht="22.5" customHeight="1">
      <c r="A529" s="30"/>
      <c r="B529" s="31"/>
      <c r="C529" s="32"/>
      <c r="D529" s="33"/>
      <c r="E529" s="34"/>
      <c r="F529" s="34"/>
      <c r="G529" s="35"/>
      <c r="H529" s="34"/>
      <c r="I529" s="37"/>
    </row>
    <row r="530" ht="22.5" customHeight="1">
      <c r="A530" s="30"/>
      <c r="B530" s="31"/>
      <c r="C530" s="32"/>
      <c r="D530" s="33"/>
      <c r="E530" s="34"/>
      <c r="F530" s="34"/>
      <c r="G530" s="35"/>
      <c r="H530" s="34"/>
      <c r="I530" s="37"/>
    </row>
    <row r="531" ht="22.5" customHeight="1">
      <c r="A531" s="30"/>
      <c r="B531" s="31"/>
      <c r="C531" s="32"/>
      <c r="D531" s="33"/>
      <c r="E531" s="34"/>
      <c r="F531" s="34"/>
      <c r="G531" s="35"/>
      <c r="H531" s="34"/>
      <c r="I531" s="37"/>
    </row>
    <row r="532" ht="22.5" customHeight="1">
      <c r="A532" s="30"/>
      <c r="B532" s="31"/>
      <c r="C532" s="32"/>
      <c r="D532" s="33"/>
      <c r="E532" s="34"/>
      <c r="F532" s="34"/>
      <c r="G532" s="35"/>
      <c r="H532" s="34"/>
      <c r="I532" s="37"/>
    </row>
    <row r="533" ht="22.5" customHeight="1">
      <c r="A533" s="30"/>
      <c r="B533" s="31"/>
      <c r="C533" s="32"/>
      <c r="D533" s="33"/>
      <c r="E533" s="34"/>
      <c r="F533" s="34"/>
      <c r="G533" s="35"/>
      <c r="H533" s="34"/>
      <c r="I533" s="37"/>
    </row>
    <row r="534" ht="22.5" customHeight="1">
      <c r="A534" s="30"/>
      <c r="B534" s="31"/>
      <c r="C534" s="32"/>
      <c r="D534" s="33"/>
      <c r="E534" s="34"/>
      <c r="F534" s="34"/>
      <c r="G534" s="35"/>
      <c r="H534" s="34"/>
      <c r="I534" s="37"/>
    </row>
    <row r="535" ht="22.5" customHeight="1">
      <c r="A535" s="30"/>
      <c r="B535" s="31"/>
      <c r="C535" s="32"/>
      <c r="D535" s="33"/>
      <c r="E535" s="34"/>
      <c r="F535" s="34"/>
      <c r="G535" s="35"/>
      <c r="H535" s="34"/>
      <c r="I535" s="37"/>
    </row>
    <row r="536" ht="22.5" customHeight="1">
      <c r="A536" s="30"/>
      <c r="B536" s="31"/>
      <c r="C536" s="32"/>
      <c r="D536" s="33"/>
      <c r="E536" s="34"/>
      <c r="F536" s="34"/>
      <c r="G536" s="35"/>
      <c r="H536" s="34"/>
      <c r="I536" s="37"/>
    </row>
    <row r="537" ht="22.5" customHeight="1">
      <c r="A537" s="30"/>
      <c r="B537" s="31"/>
      <c r="C537" s="32"/>
      <c r="D537" s="33"/>
      <c r="E537" s="34"/>
      <c r="F537" s="34"/>
      <c r="G537" s="35"/>
      <c r="H537" s="34"/>
      <c r="I537" s="37"/>
    </row>
    <row r="538" ht="22.5" customHeight="1">
      <c r="A538" s="30"/>
      <c r="B538" s="31"/>
      <c r="C538" s="32"/>
      <c r="D538" s="33"/>
      <c r="E538" s="34"/>
      <c r="F538" s="34"/>
      <c r="G538" s="35"/>
      <c r="H538" s="34"/>
      <c r="I538" s="37"/>
    </row>
    <row r="539" ht="22.5" customHeight="1">
      <c r="A539" s="30"/>
      <c r="B539" s="31"/>
      <c r="C539" s="32"/>
      <c r="D539" s="33"/>
      <c r="E539" s="34"/>
      <c r="F539" s="34"/>
      <c r="G539" s="35"/>
      <c r="H539" s="34"/>
      <c r="I539" s="37"/>
    </row>
    <row r="540" ht="22.5" customHeight="1">
      <c r="A540" s="30"/>
      <c r="B540" s="31"/>
      <c r="C540" s="32"/>
      <c r="D540" s="33"/>
      <c r="E540" s="34"/>
      <c r="F540" s="34"/>
      <c r="G540" s="35"/>
      <c r="H540" s="34"/>
      <c r="I540" s="37"/>
    </row>
    <row r="541" ht="22.5" customHeight="1">
      <c r="A541" s="30"/>
      <c r="B541" s="31"/>
      <c r="C541" s="32"/>
      <c r="D541" s="33"/>
      <c r="E541" s="34"/>
      <c r="F541" s="34"/>
      <c r="G541" s="35"/>
      <c r="H541" s="34"/>
      <c r="I541" s="37"/>
    </row>
    <row r="542" ht="22.5" customHeight="1">
      <c r="A542" s="30"/>
      <c r="B542" s="31"/>
      <c r="C542" s="32"/>
      <c r="D542" s="33"/>
      <c r="E542" s="34"/>
      <c r="F542" s="34"/>
      <c r="G542" s="35"/>
      <c r="H542" s="34"/>
      <c r="I542" s="37"/>
    </row>
    <row r="543" ht="22.5" customHeight="1">
      <c r="A543" s="30"/>
      <c r="B543" s="31"/>
      <c r="C543" s="32"/>
      <c r="D543" s="33"/>
      <c r="E543" s="34"/>
      <c r="F543" s="34"/>
      <c r="G543" s="35"/>
      <c r="H543" s="34"/>
      <c r="I543" s="37"/>
    </row>
    <row r="544" ht="22.5" customHeight="1">
      <c r="A544" s="30"/>
      <c r="B544" s="31"/>
      <c r="C544" s="32"/>
      <c r="D544" s="33"/>
      <c r="E544" s="34"/>
      <c r="F544" s="34"/>
      <c r="G544" s="35"/>
      <c r="H544" s="34"/>
      <c r="I544" s="37"/>
    </row>
    <row r="545" ht="22.5" customHeight="1">
      <c r="A545" s="30"/>
      <c r="B545" s="40"/>
      <c r="C545" s="32"/>
      <c r="D545" s="33"/>
      <c r="E545" s="34"/>
      <c r="F545" s="34"/>
      <c r="G545" s="35"/>
      <c r="H545" s="34"/>
      <c r="I545" s="37"/>
    </row>
    <row r="546" ht="22.5" customHeight="1">
      <c r="A546" s="30"/>
      <c r="B546" s="31"/>
      <c r="C546" s="32"/>
      <c r="D546" s="33"/>
      <c r="E546" s="34"/>
      <c r="F546" s="34"/>
      <c r="G546" s="35"/>
      <c r="H546" s="34"/>
      <c r="I546" s="37"/>
    </row>
    <row r="547" ht="22.5" customHeight="1">
      <c r="A547" s="30"/>
      <c r="B547" s="31"/>
      <c r="C547" s="32"/>
      <c r="D547" s="33"/>
      <c r="E547" s="34"/>
      <c r="F547" s="34"/>
      <c r="G547" s="35"/>
      <c r="H547" s="34"/>
      <c r="I547" s="37"/>
    </row>
    <row r="548" ht="22.5" customHeight="1">
      <c r="A548" s="30"/>
      <c r="B548" s="31"/>
      <c r="C548" s="32"/>
      <c r="D548" s="33"/>
      <c r="E548" s="34"/>
      <c r="F548" s="34"/>
      <c r="G548" s="35"/>
      <c r="H548" s="34"/>
      <c r="I548" s="37"/>
    </row>
    <row r="549" ht="22.5" customHeight="1">
      <c r="A549" s="30"/>
      <c r="B549" s="31"/>
      <c r="C549" s="32"/>
      <c r="D549" s="33"/>
      <c r="E549" s="34"/>
      <c r="F549" s="34"/>
      <c r="G549" s="35"/>
      <c r="H549" s="34"/>
      <c r="I549" s="38"/>
    </row>
    <row r="550" ht="22.5" customHeight="1">
      <c r="A550" s="30"/>
      <c r="B550" s="39"/>
      <c r="C550" s="32"/>
      <c r="D550" s="33"/>
      <c r="E550" s="34"/>
      <c r="F550" s="34"/>
      <c r="G550" s="35"/>
      <c r="H550" s="34"/>
      <c r="I550" s="37"/>
    </row>
    <row r="551" ht="22.5" customHeight="1">
      <c r="A551" s="30"/>
      <c r="B551" s="31"/>
      <c r="C551" s="32"/>
      <c r="D551" s="33"/>
      <c r="E551" s="34"/>
      <c r="F551" s="34"/>
      <c r="G551" s="35"/>
      <c r="H551" s="34"/>
      <c r="I551" s="37"/>
    </row>
    <row r="552" ht="22.5" customHeight="1">
      <c r="A552" s="30"/>
      <c r="B552" s="31"/>
      <c r="C552" s="32"/>
      <c r="D552" s="33"/>
      <c r="E552" s="34"/>
      <c r="F552" s="34"/>
      <c r="G552" s="35"/>
      <c r="H552" s="34"/>
      <c r="I552" s="37"/>
    </row>
    <row r="553" ht="22.5" customHeight="1">
      <c r="A553" s="30"/>
      <c r="B553" s="31"/>
      <c r="C553" s="32"/>
      <c r="D553" s="33"/>
      <c r="E553" s="34"/>
      <c r="F553" s="34"/>
      <c r="G553" s="35"/>
      <c r="H553" s="34"/>
      <c r="I553" s="37"/>
    </row>
    <row r="554" ht="22.5" customHeight="1">
      <c r="A554" s="30"/>
      <c r="B554" s="39"/>
      <c r="C554" s="32"/>
      <c r="D554" s="33"/>
      <c r="E554" s="34"/>
      <c r="F554" s="34"/>
      <c r="G554" s="35"/>
      <c r="H554" s="34"/>
      <c r="I554" s="37"/>
    </row>
    <row r="555" ht="22.5" customHeight="1">
      <c r="A555" s="30"/>
      <c r="B555" s="31"/>
      <c r="C555" s="32"/>
      <c r="D555" s="33"/>
      <c r="E555" s="34"/>
      <c r="F555" s="34"/>
      <c r="G555" s="35"/>
      <c r="H555" s="34"/>
      <c r="I555" s="37"/>
    </row>
    <row r="556" ht="22.5" customHeight="1">
      <c r="A556" s="30"/>
      <c r="B556" s="39"/>
      <c r="C556" s="32"/>
      <c r="D556" s="33"/>
      <c r="E556" s="34"/>
      <c r="F556" s="34"/>
      <c r="G556" s="35"/>
      <c r="H556" s="34"/>
      <c r="I556" s="37"/>
    </row>
    <row r="557" ht="22.5" customHeight="1">
      <c r="A557" s="30"/>
      <c r="B557" s="31"/>
      <c r="C557" s="32"/>
      <c r="D557" s="33"/>
      <c r="E557" s="34"/>
      <c r="F557" s="34"/>
      <c r="G557" s="35"/>
      <c r="H557" s="34"/>
      <c r="I557" s="37"/>
    </row>
    <row r="558" ht="22.5" customHeight="1">
      <c r="A558" s="30"/>
      <c r="B558" s="31"/>
      <c r="C558" s="32"/>
      <c r="D558" s="33"/>
      <c r="E558" s="34"/>
      <c r="F558" s="34"/>
      <c r="G558" s="35"/>
      <c r="H558" s="34"/>
      <c r="I558" s="37"/>
    </row>
    <row r="559" ht="22.5" customHeight="1">
      <c r="A559" s="30"/>
      <c r="B559" s="31"/>
      <c r="C559" s="32"/>
      <c r="D559" s="33"/>
      <c r="E559" s="34"/>
      <c r="F559" s="34"/>
      <c r="G559" s="35"/>
      <c r="H559" s="34"/>
      <c r="I559" s="37"/>
    </row>
    <row r="560" ht="22.5" customHeight="1">
      <c r="A560" s="30"/>
      <c r="B560" s="31"/>
      <c r="C560" s="32"/>
      <c r="D560" s="33"/>
      <c r="E560" s="34"/>
      <c r="F560" s="34"/>
      <c r="G560" s="35"/>
      <c r="H560" s="34"/>
      <c r="I560" s="37"/>
    </row>
    <row r="561" ht="22.5" customHeight="1">
      <c r="A561" s="30"/>
      <c r="B561" s="31"/>
      <c r="C561" s="32"/>
      <c r="D561" s="33"/>
      <c r="E561" s="34"/>
      <c r="F561" s="34"/>
      <c r="G561" s="35"/>
      <c r="H561" s="34"/>
      <c r="I561" s="37"/>
    </row>
    <row r="562" ht="22.5" customHeight="1">
      <c r="A562" s="30"/>
      <c r="B562" s="31"/>
      <c r="C562" s="32"/>
      <c r="D562" s="33"/>
      <c r="E562" s="34"/>
      <c r="F562" s="34"/>
      <c r="G562" s="35"/>
      <c r="H562" s="34"/>
      <c r="I562" s="37"/>
    </row>
    <row r="563" ht="22.5" customHeight="1">
      <c r="A563" s="30"/>
      <c r="B563" s="31"/>
      <c r="C563" s="32"/>
      <c r="D563" s="33"/>
      <c r="E563" s="34"/>
      <c r="F563" s="34"/>
      <c r="G563" s="35"/>
      <c r="H563" s="34"/>
      <c r="I563" s="37"/>
    </row>
    <row r="564" ht="22.5" customHeight="1">
      <c r="A564" s="30"/>
      <c r="B564" s="31"/>
      <c r="C564" s="32"/>
      <c r="D564" s="33"/>
      <c r="E564" s="34"/>
      <c r="F564" s="34"/>
      <c r="G564" s="35"/>
      <c r="H564" s="34"/>
      <c r="I564" s="37"/>
    </row>
    <row r="565" ht="22.5" customHeight="1">
      <c r="A565" s="30"/>
      <c r="B565" s="31"/>
      <c r="C565" s="32"/>
      <c r="D565" s="33"/>
      <c r="E565" s="34"/>
      <c r="F565" s="34"/>
      <c r="G565" s="35"/>
      <c r="H565" s="34"/>
      <c r="I565" s="37"/>
    </row>
    <row r="566" ht="22.5" customHeight="1">
      <c r="A566" s="30"/>
      <c r="B566" s="31"/>
      <c r="C566" s="32"/>
      <c r="D566" s="33"/>
      <c r="E566" s="34"/>
      <c r="F566" s="34"/>
      <c r="G566" s="35"/>
      <c r="H566" s="34"/>
      <c r="I566" s="37"/>
    </row>
    <row r="567" ht="22.5" customHeight="1">
      <c r="A567" s="30"/>
      <c r="B567" s="40"/>
      <c r="C567" s="32"/>
      <c r="D567" s="33"/>
      <c r="E567" s="34"/>
      <c r="F567" s="34"/>
      <c r="G567" s="35"/>
      <c r="H567" s="34"/>
      <c r="I567" s="37"/>
    </row>
    <row r="568" ht="22.5" customHeight="1">
      <c r="A568" s="30"/>
      <c r="B568" s="31"/>
      <c r="C568" s="32"/>
      <c r="D568" s="33"/>
      <c r="E568" s="34"/>
      <c r="F568" s="34"/>
      <c r="G568" s="35"/>
      <c r="H568" s="34"/>
      <c r="I568" s="37"/>
    </row>
    <row r="569" ht="22.5" customHeight="1">
      <c r="A569" s="30"/>
      <c r="B569" s="31"/>
      <c r="C569" s="32"/>
      <c r="D569" s="33"/>
      <c r="E569" s="34"/>
      <c r="F569" s="34"/>
      <c r="G569" s="35"/>
      <c r="H569" s="34"/>
      <c r="I569" s="37"/>
    </row>
    <row r="570" ht="22.5" customHeight="1">
      <c r="A570" s="30"/>
      <c r="B570" s="31"/>
      <c r="C570" s="32"/>
      <c r="D570" s="33"/>
      <c r="E570" s="34"/>
      <c r="F570" s="34"/>
      <c r="G570" s="35"/>
      <c r="H570" s="34"/>
      <c r="I570" s="37"/>
    </row>
    <row r="571" ht="22.5" customHeight="1">
      <c r="A571" s="30"/>
      <c r="B571" s="31"/>
      <c r="C571" s="32"/>
      <c r="D571" s="33"/>
      <c r="E571" s="34"/>
      <c r="F571" s="34"/>
      <c r="G571" s="35"/>
      <c r="H571" s="34"/>
      <c r="I571" s="37"/>
    </row>
    <row r="572" ht="22.5" customHeight="1">
      <c r="A572" s="30"/>
      <c r="B572" s="31"/>
      <c r="C572" s="32"/>
      <c r="D572" s="33"/>
      <c r="E572" s="34"/>
      <c r="F572" s="34"/>
      <c r="G572" s="35"/>
      <c r="H572" s="34"/>
      <c r="I572" s="37"/>
    </row>
    <row r="573" ht="22.5" customHeight="1">
      <c r="A573" s="30"/>
      <c r="B573" s="31"/>
      <c r="C573" s="32"/>
      <c r="D573" s="33"/>
      <c r="E573" s="34"/>
      <c r="F573" s="34"/>
      <c r="G573" s="35"/>
      <c r="H573" s="34"/>
      <c r="I573" s="37"/>
    </row>
    <row r="574" ht="22.5" customHeight="1">
      <c r="A574" s="30"/>
      <c r="B574" s="39"/>
      <c r="C574" s="32"/>
      <c r="D574" s="33"/>
      <c r="E574" s="34"/>
      <c r="F574" s="34"/>
      <c r="G574" s="35"/>
      <c r="H574" s="34"/>
      <c r="I574" s="37"/>
    </row>
    <row r="575" ht="22.5" customHeight="1">
      <c r="A575" s="30"/>
      <c r="B575" s="39"/>
      <c r="C575" s="32"/>
      <c r="D575" s="33"/>
      <c r="E575" s="34"/>
      <c r="F575" s="34"/>
      <c r="G575" s="35"/>
      <c r="H575" s="34"/>
      <c r="I575" s="37"/>
    </row>
    <row r="576" ht="22.5" customHeight="1">
      <c r="A576" s="30"/>
      <c r="B576" s="39"/>
      <c r="C576" s="32"/>
      <c r="D576" s="33"/>
      <c r="E576" s="34"/>
      <c r="F576" s="34"/>
      <c r="G576" s="35"/>
      <c r="H576" s="34"/>
      <c r="I576" s="37"/>
    </row>
    <row r="577" ht="22.5" customHeight="1">
      <c r="A577" s="30"/>
      <c r="B577" s="40"/>
      <c r="C577" s="32"/>
      <c r="D577" s="33"/>
      <c r="E577" s="34"/>
      <c r="F577" s="34"/>
      <c r="G577" s="35"/>
      <c r="H577" s="34"/>
      <c r="I577" s="37"/>
    </row>
    <row r="578" ht="22.5" customHeight="1">
      <c r="A578" s="30"/>
      <c r="B578" s="31"/>
      <c r="C578" s="32"/>
      <c r="D578" s="33"/>
      <c r="E578" s="34"/>
      <c r="F578" s="34"/>
      <c r="G578" s="35"/>
      <c r="H578" s="34"/>
      <c r="I578" s="37"/>
    </row>
    <row r="579" ht="22.5" customHeight="1">
      <c r="A579" s="30"/>
      <c r="B579" s="31"/>
      <c r="C579" s="32"/>
      <c r="D579" s="33"/>
      <c r="E579" s="34"/>
      <c r="F579" s="34"/>
      <c r="G579" s="35"/>
      <c r="H579" s="34"/>
      <c r="I579" s="37"/>
    </row>
    <row r="580" ht="22.5" customHeight="1">
      <c r="A580" s="30"/>
      <c r="B580" s="31"/>
      <c r="C580" s="32"/>
      <c r="D580" s="33"/>
      <c r="E580" s="34"/>
      <c r="F580" s="34"/>
      <c r="G580" s="35"/>
      <c r="H580" s="34"/>
      <c r="I580" s="37"/>
    </row>
    <row r="581" ht="22.5" customHeight="1">
      <c r="A581" s="30"/>
      <c r="B581" s="31"/>
      <c r="C581" s="32"/>
      <c r="D581" s="33"/>
      <c r="E581" s="34"/>
      <c r="F581" s="34"/>
      <c r="G581" s="35"/>
      <c r="H581" s="34"/>
      <c r="I581" s="37"/>
    </row>
    <row r="582" ht="22.5" customHeight="1">
      <c r="A582" s="30"/>
      <c r="B582" s="31"/>
      <c r="C582" s="32"/>
      <c r="D582" s="33"/>
      <c r="E582" s="34"/>
      <c r="F582" s="34"/>
      <c r="G582" s="35"/>
      <c r="H582" s="34"/>
      <c r="I582" s="37"/>
    </row>
    <row r="583" ht="22.5" customHeight="1">
      <c r="A583" s="30"/>
      <c r="B583" s="31"/>
      <c r="C583" s="32"/>
      <c r="D583" s="33"/>
      <c r="E583" s="34"/>
      <c r="F583" s="34"/>
      <c r="G583" s="35"/>
      <c r="H583" s="34"/>
      <c r="I583" s="37"/>
    </row>
    <row r="584" ht="22.5" customHeight="1">
      <c r="A584" s="30"/>
      <c r="B584" s="31"/>
      <c r="C584" s="32"/>
      <c r="D584" s="33"/>
      <c r="E584" s="34"/>
      <c r="F584" s="34"/>
      <c r="G584" s="35"/>
      <c r="H584" s="34"/>
      <c r="I584" s="37"/>
    </row>
    <row r="585" ht="22.5" customHeight="1">
      <c r="A585" s="30"/>
      <c r="B585" s="31"/>
      <c r="C585" s="32"/>
      <c r="D585" s="33"/>
      <c r="E585" s="34"/>
      <c r="F585" s="34"/>
      <c r="G585" s="35"/>
      <c r="H585" s="34"/>
      <c r="I585" s="37"/>
    </row>
    <row r="586" ht="22.5" customHeight="1">
      <c r="A586" s="30"/>
      <c r="B586" s="31"/>
      <c r="C586" s="32"/>
      <c r="D586" s="33"/>
      <c r="E586" s="34"/>
      <c r="F586" s="34"/>
      <c r="G586" s="35"/>
      <c r="H586" s="34"/>
      <c r="I586" s="37"/>
    </row>
    <row r="587" ht="22.5" customHeight="1">
      <c r="A587" s="30"/>
      <c r="B587" s="40"/>
      <c r="C587" s="32"/>
      <c r="D587" s="33"/>
      <c r="E587" s="34"/>
      <c r="F587" s="34"/>
      <c r="G587" s="35"/>
      <c r="H587" s="34"/>
      <c r="I587" s="37"/>
    </row>
    <row r="588" ht="22.5" customHeight="1">
      <c r="A588" s="30"/>
      <c r="B588" s="31"/>
      <c r="C588" s="32"/>
      <c r="D588" s="33"/>
      <c r="E588" s="34"/>
      <c r="F588" s="34"/>
      <c r="G588" s="35"/>
      <c r="H588" s="34"/>
      <c r="I588" s="37"/>
    </row>
    <row r="589" ht="22.5" customHeight="1">
      <c r="A589" s="30"/>
      <c r="B589" s="31"/>
      <c r="C589" s="32"/>
      <c r="D589" s="33"/>
      <c r="E589" s="34"/>
      <c r="F589" s="34"/>
      <c r="G589" s="35"/>
      <c r="H589" s="34"/>
      <c r="I589" s="37"/>
    </row>
    <row r="590" ht="22.5" customHeight="1">
      <c r="A590" s="30"/>
      <c r="B590" s="31"/>
      <c r="C590" s="32"/>
      <c r="D590" s="33"/>
      <c r="E590" s="34"/>
      <c r="F590" s="34"/>
      <c r="G590" s="35"/>
      <c r="H590" s="34"/>
      <c r="I590" s="37"/>
    </row>
    <row r="591" ht="22.5" customHeight="1">
      <c r="A591" s="30"/>
      <c r="B591" s="40"/>
      <c r="C591" s="32"/>
      <c r="D591" s="33"/>
      <c r="E591" s="34"/>
      <c r="F591" s="34"/>
      <c r="G591" s="35"/>
      <c r="H591" s="34"/>
      <c r="I591" s="37"/>
    </row>
    <row r="592" ht="22.5" customHeight="1">
      <c r="A592" s="30"/>
      <c r="B592" s="31"/>
      <c r="C592" s="32"/>
      <c r="D592" s="33"/>
      <c r="E592" s="34"/>
      <c r="F592" s="34"/>
      <c r="G592" s="35"/>
      <c r="H592" s="34"/>
      <c r="I592" s="37"/>
    </row>
    <row r="593" ht="22.5" customHeight="1">
      <c r="A593" s="30"/>
      <c r="B593" s="31"/>
      <c r="C593" s="32"/>
      <c r="D593" s="33"/>
      <c r="E593" s="34"/>
      <c r="F593" s="34"/>
      <c r="G593" s="35"/>
      <c r="H593" s="34"/>
      <c r="I593" s="37"/>
    </row>
    <row r="594" ht="22.5" customHeight="1">
      <c r="A594" s="30"/>
      <c r="B594" s="31"/>
      <c r="C594" s="32"/>
      <c r="D594" s="33"/>
      <c r="E594" s="34"/>
      <c r="F594" s="34"/>
      <c r="G594" s="35"/>
      <c r="H594" s="34"/>
      <c r="I594" s="37"/>
    </row>
    <row r="595" ht="22.5" customHeight="1">
      <c r="A595" s="30"/>
      <c r="B595" s="31"/>
      <c r="C595" s="32"/>
      <c r="D595" s="33"/>
      <c r="E595" s="34"/>
      <c r="F595" s="34"/>
      <c r="G595" s="35"/>
      <c r="H595" s="34"/>
      <c r="I595" s="37"/>
    </row>
    <row r="596" ht="22.5" customHeight="1">
      <c r="A596" s="30"/>
      <c r="B596" s="31"/>
      <c r="C596" s="32"/>
      <c r="D596" s="33"/>
      <c r="E596" s="34"/>
      <c r="F596" s="34"/>
      <c r="G596" s="35"/>
      <c r="H596" s="34"/>
      <c r="I596" s="37"/>
    </row>
    <row r="597" ht="22.5" customHeight="1">
      <c r="A597" s="30"/>
      <c r="B597" s="31"/>
      <c r="C597" s="32"/>
      <c r="D597" s="33"/>
      <c r="E597" s="34"/>
      <c r="F597" s="34"/>
      <c r="G597" s="35"/>
      <c r="H597" s="34"/>
      <c r="I597" s="37"/>
    </row>
    <row r="598" ht="22.5" customHeight="1">
      <c r="A598" s="30"/>
      <c r="B598" s="31"/>
      <c r="C598" s="32"/>
      <c r="D598" s="33"/>
      <c r="E598" s="34"/>
      <c r="F598" s="34"/>
      <c r="G598" s="35"/>
      <c r="H598" s="34"/>
      <c r="I598" s="37"/>
    </row>
    <row r="599" ht="22.5" customHeight="1">
      <c r="A599" s="30"/>
      <c r="B599" s="31"/>
      <c r="C599" s="32"/>
      <c r="D599" s="33"/>
      <c r="E599" s="34"/>
      <c r="F599" s="34"/>
      <c r="G599" s="35"/>
      <c r="H599" s="34"/>
      <c r="I599" s="37"/>
    </row>
    <row r="600" ht="22.5" customHeight="1">
      <c r="A600" s="30"/>
      <c r="B600" s="31"/>
      <c r="C600" s="32"/>
      <c r="D600" s="33"/>
      <c r="E600" s="34"/>
      <c r="F600" s="34"/>
      <c r="G600" s="35"/>
      <c r="H600" s="34"/>
      <c r="I600" s="37"/>
    </row>
    <row r="601" ht="22.5" customHeight="1">
      <c r="A601" s="30"/>
      <c r="B601" s="31"/>
      <c r="C601" s="32"/>
      <c r="D601" s="33"/>
      <c r="E601" s="34"/>
      <c r="F601" s="34"/>
      <c r="G601" s="35"/>
      <c r="H601" s="34"/>
      <c r="I601" s="37"/>
    </row>
    <row r="602" ht="22.5" customHeight="1">
      <c r="A602" s="30"/>
      <c r="B602" s="31"/>
      <c r="C602" s="32"/>
      <c r="D602" s="33"/>
      <c r="E602" s="34"/>
      <c r="F602" s="34"/>
      <c r="G602" s="35"/>
      <c r="H602" s="34"/>
      <c r="I602" s="37"/>
    </row>
    <row r="603" ht="22.5" customHeight="1">
      <c r="A603" s="30"/>
      <c r="B603" s="31"/>
      <c r="C603" s="32"/>
      <c r="D603" s="33"/>
      <c r="E603" s="34"/>
      <c r="F603" s="34"/>
      <c r="G603" s="35"/>
      <c r="H603" s="34"/>
      <c r="I603" s="37"/>
    </row>
    <row r="604" ht="22.5" customHeight="1">
      <c r="A604" s="30"/>
      <c r="B604" s="31"/>
      <c r="C604" s="32"/>
      <c r="D604" s="33"/>
      <c r="E604" s="34"/>
      <c r="F604" s="34"/>
      <c r="G604" s="35"/>
      <c r="H604" s="34"/>
      <c r="I604" s="37"/>
    </row>
    <row r="605" ht="22.5" customHeight="1">
      <c r="A605" s="30"/>
      <c r="B605" s="31"/>
      <c r="C605" s="32"/>
      <c r="D605" s="33"/>
      <c r="E605" s="34"/>
      <c r="F605" s="34"/>
      <c r="G605" s="35"/>
      <c r="H605" s="34"/>
      <c r="I605" s="37"/>
    </row>
    <row r="606" ht="22.5" customHeight="1">
      <c r="A606" s="30"/>
      <c r="B606" s="40"/>
      <c r="C606" s="32"/>
      <c r="D606" s="33"/>
      <c r="E606" s="34"/>
      <c r="F606" s="34"/>
      <c r="G606" s="35"/>
      <c r="H606" s="34"/>
      <c r="I606" s="37"/>
    </row>
    <row r="607" ht="22.5" customHeight="1">
      <c r="A607" s="30"/>
      <c r="B607" s="31"/>
      <c r="C607" s="32"/>
      <c r="D607" s="33"/>
      <c r="E607" s="34"/>
      <c r="F607" s="34"/>
      <c r="G607" s="35"/>
      <c r="H607" s="34"/>
      <c r="I607" s="37"/>
    </row>
    <row r="608" ht="22.5" customHeight="1">
      <c r="A608" s="30"/>
      <c r="B608" s="40"/>
      <c r="C608" s="32"/>
      <c r="D608" s="33"/>
      <c r="E608" s="34"/>
      <c r="F608" s="34"/>
      <c r="G608" s="35"/>
      <c r="H608" s="34"/>
      <c r="I608" s="37"/>
    </row>
    <row r="609" ht="22.5" customHeight="1">
      <c r="A609" s="30"/>
      <c r="B609" s="31"/>
      <c r="C609" s="32"/>
      <c r="D609" s="33"/>
      <c r="E609" s="34"/>
      <c r="F609" s="34"/>
      <c r="G609" s="35"/>
      <c r="H609" s="34"/>
      <c r="I609" s="37"/>
    </row>
    <row r="610" ht="22.5" customHeight="1">
      <c r="A610" s="30"/>
      <c r="B610" s="31"/>
      <c r="C610" s="32"/>
      <c r="D610" s="33"/>
      <c r="E610" s="34"/>
      <c r="F610" s="34"/>
      <c r="G610" s="35"/>
      <c r="H610" s="34"/>
      <c r="I610" s="37"/>
    </row>
    <row r="611" ht="22.5" customHeight="1">
      <c r="A611" s="30"/>
      <c r="B611" s="31"/>
      <c r="C611" s="32"/>
      <c r="D611" s="33"/>
      <c r="E611" s="34"/>
      <c r="F611" s="34"/>
      <c r="G611" s="35"/>
      <c r="H611" s="34"/>
      <c r="I611" s="37"/>
    </row>
    <row r="612" ht="22.5" customHeight="1">
      <c r="A612" s="30"/>
      <c r="B612" s="31"/>
      <c r="C612" s="32"/>
      <c r="D612" s="33"/>
      <c r="E612" s="34"/>
      <c r="F612" s="34"/>
      <c r="G612" s="35"/>
      <c r="H612" s="34"/>
      <c r="I612" s="37"/>
    </row>
    <row r="613" ht="22.5" customHeight="1">
      <c r="A613" s="30"/>
      <c r="B613" s="40"/>
      <c r="C613" s="32"/>
      <c r="D613" s="33"/>
      <c r="E613" s="34"/>
      <c r="F613" s="34"/>
      <c r="G613" s="35"/>
      <c r="H613" s="34"/>
      <c r="I613" s="37"/>
    </row>
    <row r="614" ht="22.5" customHeight="1">
      <c r="A614" s="30"/>
      <c r="B614" s="31"/>
      <c r="C614" s="32"/>
      <c r="D614" s="33"/>
      <c r="E614" s="34"/>
      <c r="F614" s="34"/>
      <c r="G614" s="35"/>
      <c r="H614" s="34"/>
      <c r="I614" s="37"/>
    </row>
    <row r="615" ht="22.5" customHeight="1">
      <c r="A615" s="30"/>
      <c r="B615" s="31"/>
      <c r="C615" s="32"/>
      <c r="D615" s="33"/>
      <c r="E615" s="34"/>
      <c r="F615" s="34"/>
      <c r="G615" s="35"/>
      <c r="H615" s="34"/>
      <c r="I615" s="37"/>
    </row>
    <row r="616" ht="22.5" customHeight="1">
      <c r="A616" s="30"/>
      <c r="B616" s="31"/>
      <c r="C616" s="32"/>
      <c r="D616" s="33"/>
      <c r="E616" s="34"/>
      <c r="F616" s="34"/>
      <c r="G616" s="35"/>
      <c r="H616" s="34"/>
      <c r="I616" s="37"/>
    </row>
    <row r="617" ht="22.5" customHeight="1">
      <c r="A617" s="30"/>
      <c r="B617" s="31"/>
      <c r="C617" s="32"/>
      <c r="D617" s="33"/>
      <c r="E617" s="34"/>
      <c r="F617" s="34"/>
      <c r="G617" s="35"/>
      <c r="H617" s="34"/>
      <c r="I617" s="37"/>
    </row>
    <row r="618" ht="22.5" customHeight="1">
      <c r="A618" s="30"/>
      <c r="B618" s="31"/>
      <c r="C618" s="32"/>
      <c r="D618" s="33"/>
      <c r="E618" s="34"/>
      <c r="F618" s="34"/>
      <c r="G618" s="35"/>
      <c r="H618" s="34"/>
      <c r="I618" s="37"/>
    </row>
    <row r="619" ht="22.5" customHeight="1">
      <c r="A619" s="30"/>
      <c r="B619" s="31"/>
      <c r="C619" s="32"/>
      <c r="D619" s="33"/>
      <c r="E619" s="34"/>
      <c r="F619" s="34"/>
      <c r="G619" s="35"/>
      <c r="H619" s="34"/>
      <c r="I619" s="37"/>
    </row>
    <row r="620" ht="22.5" customHeight="1">
      <c r="A620" s="30"/>
      <c r="B620" s="31"/>
      <c r="C620" s="32"/>
      <c r="D620" s="33"/>
      <c r="E620" s="34"/>
      <c r="F620" s="34"/>
      <c r="G620" s="35"/>
      <c r="H620" s="34"/>
      <c r="I620" s="37"/>
    </row>
    <row r="621" ht="22.5" customHeight="1">
      <c r="A621" s="30"/>
      <c r="B621" s="31"/>
      <c r="C621" s="32"/>
      <c r="D621" s="33"/>
      <c r="E621" s="34"/>
      <c r="F621" s="34"/>
      <c r="G621" s="35"/>
      <c r="H621" s="34"/>
      <c r="I621" s="37"/>
    </row>
    <row r="622" ht="22.5" customHeight="1">
      <c r="A622" s="30"/>
      <c r="B622" s="31"/>
      <c r="C622" s="32"/>
      <c r="D622" s="33"/>
      <c r="E622" s="34"/>
      <c r="F622" s="34"/>
      <c r="G622" s="35"/>
      <c r="H622" s="34"/>
      <c r="I622" s="37"/>
    </row>
    <row r="623" ht="22.5" customHeight="1">
      <c r="A623" s="30"/>
      <c r="B623" s="31"/>
      <c r="C623" s="32"/>
      <c r="D623" s="33"/>
      <c r="E623" s="34"/>
      <c r="F623" s="34"/>
      <c r="G623" s="35"/>
      <c r="H623" s="34"/>
      <c r="I623" s="37"/>
    </row>
    <row r="624" ht="22.5" customHeight="1">
      <c r="A624" s="30"/>
      <c r="B624" s="31"/>
      <c r="C624" s="32"/>
      <c r="D624" s="33"/>
      <c r="E624" s="34"/>
      <c r="F624" s="34"/>
      <c r="G624" s="35"/>
      <c r="H624" s="34"/>
      <c r="I624" s="37"/>
    </row>
    <row r="625" ht="22.5" customHeight="1">
      <c r="A625" s="30"/>
      <c r="B625" s="31"/>
      <c r="C625" s="32"/>
      <c r="D625" s="33"/>
      <c r="E625" s="34"/>
      <c r="F625" s="34"/>
      <c r="G625" s="35"/>
      <c r="H625" s="34"/>
      <c r="I625" s="37"/>
    </row>
    <row r="626" ht="22.5" customHeight="1">
      <c r="A626" s="30"/>
      <c r="B626" s="31"/>
      <c r="C626" s="32"/>
      <c r="D626" s="33"/>
      <c r="E626" s="34"/>
      <c r="F626" s="34"/>
      <c r="G626" s="35"/>
      <c r="H626" s="34"/>
      <c r="I626" s="37"/>
    </row>
    <row r="627" ht="22.5" customHeight="1">
      <c r="A627" s="30"/>
      <c r="B627" s="31"/>
      <c r="C627" s="32"/>
      <c r="D627" s="33"/>
      <c r="E627" s="34"/>
      <c r="F627" s="34"/>
      <c r="G627" s="35"/>
      <c r="H627" s="34"/>
      <c r="I627" s="37"/>
    </row>
    <row r="628" ht="22.5" customHeight="1">
      <c r="A628" s="30"/>
      <c r="B628" s="31"/>
      <c r="C628" s="32"/>
      <c r="D628" s="33"/>
      <c r="E628" s="34"/>
      <c r="F628" s="34"/>
      <c r="G628" s="35"/>
      <c r="H628" s="34"/>
      <c r="I628" s="37"/>
    </row>
    <row r="629" ht="22.5" customHeight="1">
      <c r="A629" s="30"/>
      <c r="B629" s="31"/>
      <c r="C629" s="32"/>
      <c r="D629" s="33"/>
      <c r="E629" s="34"/>
      <c r="F629" s="34"/>
      <c r="G629" s="35"/>
      <c r="H629" s="34"/>
      <c r="I629" s="37"/>
    </row>
    <row r="630" ht="22.5" customHeight="1">
      <c r="A630" s="30"/>
      <c r="B630" s="31"/>
      <c r="C630" s="32"/>
      <c r="D630" s="33"/>
      <c r="E630" s="34"/>
      <c r="F630" s="34"/>
      <c r="G630" s="35"/>
      <c r="H630" s="34"/>
      <c r="I630" s="37"/>
    </row>
    <row r="631" ht="22.5" customHeight="1">
      <c r="A631" s="30"/>
      <c r="B631" s="31"/>
      <c r="C631" s="32"/>
      <c r="D631" s="33"/>
      <c r="E631" s="34"/>
      <c r="F631" s="34"/>
      <c r="G631" s="35"/>
      <c r="H631" s="34"/>
      <c r="I631" s="37"/>
    </row>
    <row r="632" ht="22.5" customHeight="1">
      <c r="A632" s="30"/>
      <c r="B632" s="31"/>
      <c r="C632" s="32"/>
      <c r="D632" s="33"/>
      <c r="E632" s="34"/>
      <c r="F632" s="34"/>
      <c r="G632" s="35"/>
      <c r="H632" s="34"/>
      <c r="I632" s="37"/>
    </row>
    <row r="633" ht="22.5" customHeight="1">
      <c r="A633" s="30"/>
      <c r="B633" s="31"/>
      <c r="C633" s="32"/>
      <c r="D633" s="33"/>
      <c r="E633" s="34"/>
      <c r="F633" s="34"/>
      <c r="G633" s="35"/>
      <c r="H633" s="34"/>
      <c r="I633" s="37"/>
    </row>
    <row r="634" ht="22.5" customHeight="1">
      <c r="A634" s="30"/>
      <c r="B634" s="31"/>
      <c r="C634" s="32"/>
      <c r="D634" s="33"/>
      <c r="E634" s="34"/>
      <c r="F634" s="34"/>
      <c r="G634" s="35"/>
      <c r="H634" s="34"/>
      <c r="I634" s="37"/>
    </row>
    <row r="635" ht="22.5" customHeight="1">
      <c r="A635" s="30"/>
      <c r="B635" s="40"/>
      <c r="C635" s="32"/>
      <c r="D635" s="33"/>
      <c r="E635" s="34"/>
      <c r="F635" s="34"/>
      <c r="G635" s="35"/>
      <c r="H635" s="34"/>
      <c r="I635" s="37"/>
    </row>
    <row r="636" ht="22.5" customHeight="1">
      <c r="A636" s="30"/>
      <c r="B636" s="31"/>
      <c r="C636" s="32"/>
      <c r="D636" s="33"/>
      <c r="E636" s="34"/>
      <c r="F636" s="34"/>
      <c r="G636" s="35"/>
      <c r="H636" s="34"/>
      <c r="I636" s="37"/>
    </row>
    <row r="637" ht="22.5" customHeight="1">
      <c r="A637" s="30"/>
      <c r="B637" s="31"/>
      <c r="C637" s="32"/>
      <c r="D637" s="33"/>
      <c r="E637" s="34"/>
      <c r="F637" s="34"/>
      <c r="G637" s="35"/>
      <c r="H637" s="34"/>
      <c r="I637" s="37"/>
    </row>
    <row r="638" ht="22.5" customHeight="1">
      <c r="A638" s="30"/>
      <c r="B638" s="31"/>
      <c r="C638" s="32"/>
      <c r="D638" s="33"/>
      <c r="E638" s="34"/>
      <c r="F638" s="34"/>
      <c r="G638" s="35"/>
      <c r="H638" s="34"/>
      <c r="I638" s="37"/>
    </row>
    <row r="639" ht="22.5" customHeight="1">
      <c r="A639" s="30"/>
      <c r="B639" s="31"/>
      <c r="C639" s="32"/>
      <c r="D639" s="33"/>
      <c r="E639" s="34"/>
      <c r="F639" s="34"/>
      <c r="G639" s="35"/>
      <c r="H639" s="34"/>
      <c r="I639" s="38"/>
    </row>
    <row r="640" ht="22.5" customHeight="1">
      <c r="A640" s="30"/>
      <c r="B640" s="39"/>
      <c r="C640" s="32"/>
      <c r="D640" s="33"/>
      <c r="E640" s="34"/>
      <c r="F640" s="34"/>
      <c r="G640" s="35"/>
      <c r="H640" s="34"/>
      <c r="I640" s="37"/>
    </row>
    <row r="641" ht="22.5" customHeight="1">
      <c r="A641" s="30"/>
      <c r="B641" s="31"/>
      <c r="C641" s="32"/>
      <c r="D641" s="33"/>
      <c r="E641" s="34"/>
      <c r="F641" s="34"/>
      <c r="G641" s="35"/>
      <c r="H641" s="34"/>
      <c r="I641" s="37"/>
    </row>
    <row r="642" ht="22.5" customHeight="1">
      <c r="A642" s="30"/>
      <c r="B642" s="31"/>
      <c r="C642" s="32"/>
      <c r="D642" s="33"/>
      <c r="E642" s="34"/>
      <c r="F642" s="34"/>
      <c r="G642" s="35"/>
      <c r="H642" s="34"/>
      <c r="I642" s="37"/>
    </row>
    <row r="643" ht="22.5" customHeight="1">
      <c r="A643" s="30"/>
      <c r="B643" s="31"/>
      <c r="C643" s="32"/>
      <c r="D643" s="33"/>
      <c r="E643" s="34"/>
      <c r="F643" s="34"/>
      <c r="G643" s="35"/>
      <c r="H643" s="34"/>
      <c r="I643" s="37"/>
    </row>
    <row r="644" ht="22.5" customHeight="1">
      <c r="A644" s="30"/>
      <c r="B644" s="39"/>
      <c r="C644" s="32"/>
      <c r="D644" s="33"/>
      <c r="E644" s="34"/>
      <c r="F644" s="34"/>
      <c r="G644" s="35"/>
      <c r="H644" s="34"/>
      <c r="I644" s="37"/>
    </row>
    <row r="645" ht="22.5" customHeight="1">
      <c r="A645" s="30"/>
      <c r="B645" s="31"/>
      <c r="C645" s="32"/>
      <c r="D645" s="33"/>
      <c r="E645" s="34"/>
      <c r="F645" s="34"/>
      <c r="G645" s="35"/>
      <c r="H645" s="34"/>
      <c r="I645" s="37"/>
    </row>
    <row r="646" ht="22.5" customHeight="1">
      <c r="A646" s="30"/>
      <c r="B646" s="39"/>
      <c r="C646" s="32"/>
      <c r="D646" s="33"/>
      <c r="E646" s="34"/>
      <c r="F646" s="34"/>
      <c r="G646" s="35"/>
      <c r="H646" s="34"/>
      <c r="I646" s="37"/>
    </row>
    <row r="647" ht="22.5" customHeight="1">
      <c r="A647" s="30"/>
      <c r="B647" s="31"/>
      <c r="C647" s="32"/>
      <c r="D647" s="33"/>
      <c r="E647" s="34"/>
      <c r="F647" s="34"/>
      <c r="G647" s="35"/>
      <c r="H647" s="34"/>
      <c r="I647" s="37"/>
    </row>
    <row r="648" ht="22.5" customHeight="1">
      <c r="A648" s="30"/>
      <c r="B648" s="31"/>
      <c r="C648" s="32"/>
      <c r="D648" s="33"/>
      <c r="E648" s="34"/>
      <c r="F648" s="34"/>
      <c r="G648" s="35"/>
      <c r="H648" s="34"/>
      <c r="I648" s="37"/>
    </row>
    <row r="649" ht="22.5" customHeight="1">
      <c r="A649" s="30"/>
      <c r="B649" s="31"/>
      <c r="C649" s="32"/>
      <c r="D649" s="33"/>
      <c r="E649" s="34"/>
      <c r="F649" s="34"/>
      <c r="G649" s="35"/>
      <c r="H649" s="34"/>
      <c r="I649" s="37"/>
    </row>
    <row r="650" ht="22.5" customHeight="1">
      <c r="A650" s="30"/>
      <c r="B650" s="31"/>
      <c r="C650" s="32"/>
      <c r="D650" s="33"/>
      <c r="E650" s="34"/>
      <c r="F650" s="34"/>
      <c r="G650" s="35"/>
      <c r="H650" s="34"/>
      <c r="I650" s="37"/>
    </row>
    <row r="651" ht="22.5" customHeight="1">
      <c r="A651" s="30"/>
      <c r="B651" s="31"/>
      <c r="C651" s="32"/>
      <c r="D651" s="33"/>
      <c r="E651" s="34"/>
      <c r="F651" s="34"/>
      <c r="G651" s="35"/>
      <c r="H651" s="34"/>
      <c r="I651" s="37"/>
    </row>
    <row r="652" ht="22.5" customHeight="1">
      <c r="A652" s="30"/>
      <c r="B652" s="31"/>
      <c r="C652" s="32"/>
      <c r="D652" s="33"/>
      <c r="E652" s="34"/>
      <c r="F652" s="34"/>
      <c r="G652" s="35"/>
      <c r="H652" s="34"/>
      <c r="I652" s="37"/>
    </row>
    <row r="653" ht="22.5" customHeight="1">
      <c r="A653" s="30"/>
      <c r="B653" s="31"/>
      <c r="C653" s="32"/>
      <c r="D653" s="33"/>
      <c r="E653" s="34"/>
      <c r="F653" s="34"/>
      <c r="G653" s="35"/>
      <c r="H653" s="34"/>
      <c r="I653" s="37"/>
    </row>
    <row r="654" ht="22.5" customHeight="1">
      <c r="A654" s="30"/>
      <c r="B654" s="31"/>
      <c r="C654" s="32"/>
      <c r="D654" s="33"/>
      <c r="E654" s="34"/>
      <c r="F654" s="34"/>
      <c r="G654" s="35"/>
      <c r="H654" s="34"/>
      <c r="I654" s="37"/>
    </row>
    <row r="655" ht="22.5" customHeight="1">
      <c r="A655" s="30"/>
      <c r="B655" s="31"/>
      <c r="C655" s="32"/>
      <c r="D655" s="33"/>
      <c r="E655" s="34"/>
      <c r="F655" s="34"/>
      <c r="G655" s="35"/>
      <c r="H655" s="34"/>
      <c r="I655" s="37"/>
    </row>
    <row r="656" ht="22.5" customHeight="1">
      <c r="A656" s="30"/>
      <c r="B656" s="31"/>
      <c r="C656" s="32"/>
      <c r="D656" s="33"/>
      <c r="E656" s="34"/>
      <c r="F656" s="34"/>
      <c r="G656" s="35"/>
      <c r="H656" s="34"/>
      <c r="I656" s="37"/>
    </row>
    <row r="657" ht="22.5" customHeight="1">
      <c r="A657" s="30"/>
      <c r="B657" s="40"/>
      <c r="C657" s="32"/>
      <c r="D657" s="33"/>
      <c r="E657" s="34"/>
      <c r="F657" s="34"/>
      <c r="G657" s="35"/>
      <c r="H657" s="34"/>
      <c r="I657" s="37"/>
    </row>
    <row r="658" ht="22.5" customHeight="1">
      <c r="A658" s="30"/>
      <c r="B658" s="31"/>
      <c r="C658" s="32"/>
      <c r="D658" s="33"/>
      <c r="E658" s="34"/>
      <c r="F658" s="34"/>
      <c r="G658" s="35"/>
      <c r="H658" s="34"/>
      <c r="I658" s="37"/>
    </row>
    <row r="659" ht="22.5" customHeight="1">
      <c r="A659" s="30"/>
      <c r="B659" s="31"/>
      <c r="C659" s="32"/>
      <c r="D659" s="33"/>
      <c r="E659" s="34"/>
      <c r="F659" s="34"/>
      <c r="G659" s="35"/>
      <c r="H659" s="34"/>
      <c r="I659" s="37"/>
    </row>
    <row r="660" ht="22.5" customHeight="1">
      <c r="A660" s="30"/>
      <c r="B660" s="31"/>
      <c r="C660" s="32"/>
      <c r="D660" s="33"/>
      <c r="E660" s="34"/>
      <c r="F660" s="34"/>
      <c r="G660" s="35"/>
      <c r="H660" s="34"/>
      <c r="I660" s="37"/>
    </row>
    <row r="661" ht="22.5" customHeight="1">
      <c r="A661" s="30"/>
      <c r="B661" s="31"/>
      <c r="C661" s="32"/>
      <c r="D661" s="33"/>
      <c r="E661" s="34"/>
      <c r="F661" s="34"/>
      <c r="G661" s="35"/>
      <c r="H661" s="34"/>
      <c r="I661" s="37"/>
    </row>
    <row r="662" ht="22.5" customHeight="1">
      <c r="A662" s="30"/>
      <c r="B662" s="31"/>
      <c r="C662" s="32"/>
      <c r="D662" s="33"/>
      <c r="E662" s="34"/>
      <c r="F662" s="34"/>
      <c r="G662" s="35"/>
      <c r="H662" s="34"/>
      <c r="I662" s="37"/>
    </row>
    <row r="663" ht="22.5" customHeight="1">
      <c r="A663" s="30"/>
      <c r="B663" s="31"/>
      <c r="C663" s="32"/>
      <c r="D663" s="33"/>
      <c r="E663" s="34"/>
      <c r="F663" s="34"/>
      <c r="G663" s="35"/>
      <c r="H663" s="34"/>
      <c r="I663" s="37"/>
    </row>
    <row r="664" ht="22.5" customHeight="1">
      <c r="A664" s="30"/>
      <c r="B664" s="39"/>
      <c r="C664" s="32"/>
      <c r="D664" s="33"/>
      <c r="E664" s="34"/>
      <c r="F664" s="34"/>
      <c r="G664" s="35"/>
      <c r="H664" s="34"/>
      <c r="I664" s="37"/>
    </row>
    <row r="665" ht="22.5" customHeight="1">
      <c r="A665" s="30"/>
      <c r="B665" s="39"/>
      <c r="C665" s="32"/>
      <c r="D665" s="33"/>
      <c r="E665" s="34"/>
      <c r="F665" s="34"/>
      <c r="G665" s="35"/>
      <c r="H665" s="34"/>
      <c r="I665" s="37"/>
    </row>
    <row r="666" ht="22.5" customHeight="1">
      <c r="A666" s="30"/>
      <c r="B666" s="39"/>
      <c r="C666" s="32"/>
      <c r="D666" s="33"/>
      <c r="E666" s="34"/>
      <c r="F666" s="34"/>
      <c r="G666" s="35"/>
      <c r="H666" s="34"/>
      <c r="I666" s="37"/>
    </row>
    <row r="667" ht="22.5" customHeight="1">
      <c r="A667" s="30"/>
      <c r="B667" s="40"/>
      <c r="C667" s="32"/>
      <c r="D667" s="33"/>
      <c r="E667" s="34"/>
      <c r="F667" s="34"/>
      <c r="G667" s="35"/>
      <c r="H667" s="34"/>
      <c r="I667" s="37"/>
    </row>
    <row r="668" ht="22.5" customHeight="1">
      <c r="A668" s="30"/>
      <c r="B668" s="31"/>
      <c r="C668" s="32"/>
      <c r="D668" s="33"/>
      <c r="E668" s="34"/>
      <c r="F668" s="34"/>
      <c r="G668" s="35"/>
      <c r="H668" s="34"/>
      <c r="I668" s="37"/>
    </row>
    <row r="669" ht="22.5" customHeight="1">
      <c r="A669" s="30"/>
      <c r="B669" s="31"/>
      <c r="C669" s="32"/>
      <c r="D669" s="33"/>
      <c r="E669" s="34"/>
      <c r="F669" s="34"/>
      <c r="G669" s="35"/>
      <c r="H669" s="34"/>
      <c r="I669" s="37"/>
    </row>
    <row r="670" ht="22.5" customHeight="1">
      <c r="A670" s="30"/>
      <c r="B670" s="31"/>
      <c r="C670" s="32"/>
      <c r="D670" s="33"/>
      <c r="E670" s="34"/>
      <c r="F670" s="34"/>
      <c r="G670" s="35"/>
      <c r="H670" s="34"/>
      <c r="I670" s="37"/>
    </row>
    <row r="671" ht="22.5" customHeight="1">
      <c r="A671" s="30"/>
      <c r="B671" s="31"/>
      <c r="C671" s="32"/>
      <c r="D671" s="33"/>
      <c r="E671" s="34"/>
      <c r="F671" s="34"/>
      <c r="G671" s="35"/>
      <c r="H671" s="34"/>
      <c r="I671" s="37"/>
    </row>
    <row r="672" ht="22.5" customHeight="1">
      <c r="A672" s="30"/>
      <c r="B672" s="31"/>
      <c r="C672" s="32"/>
      <c r="D672" s="33"/>
      <c r="E672" s="34"/>
      <c r="F672" s="34"/>
      <c r="G672" s="35"/>
      <c r="H672" s="34"/>
      <c r="I672" s="37"/>
    </row>
    <row r="673" ht="22.5" customHeight="1">
      <c r="A673" s="30"/>
      <c r="B673" s="31"/>
      <c r="C673" s="32"/>
      <c r="D673" s="33"/>
      <c r="E673" s="34"/>
      <c r="F673" s="34"/>
      <c r="G673" s="35"/>
      <c r="H673" s="34"/>
      <c r="I673" s="37"/>
    </row>
    <row r="674" ht="22.5" customHeight="1">
      <c r="A674" s="30"/>
      <c r="B674" s="31"/>
      <c r="C674" s="32"/>
      <c r="D674" s="33"/>
      <c r="E674" s="34"/>
      <c r="F674" s="34"/>
      <c r="G674" s="35"/>
      <c r="H674" s="34"/>
      <c r="I674" s="37"/>
    </row>
    <row r="675" ht="22.5" customHeight="1">
      <c r="A675" s="30"/>
      <c r="B675" s="31"/>
      <c r="C675" s="32"/>
      <c r="D675" s="33"/>
      <c r="E675" s="34"/>
      <c r="F675" s="34"/>
      <c r="G675" s="35"/>
      <c r="H675" s="34"/>
      <c r="I675" s="37"/>
    </row>
    <row r="676" ht="22.5" customHeight="1">
      <c r="A676" s="30"/>
      <c r="B676" s="31"/>
      <c r="C676" s="32"/>
      <c r="D676" s="33"/>
      <c r="E676" s="34"/>
      <c r="F676" s="34"/>
      <c r="G676" s="35"/>
      <c r="H676" s="34"/>
      <c r="I676" s="37"/>
    </row>
    <row r="677" ht="22.5" customHeight="1">
      <c r="A677" s="30"/>
      <c r="B677" s="40"/>
      <c r="C677" s="32"/>
      <c r="D677" s="33"/>
      <c r="E677" s="34"/>
      <c r="F677" s="34"/>
      <c r="G677" s="35"/>
      <c r="H677" s="34"/>
      <c r="I677" s="37"/>
    </row>
    <row r="678" ht="22.5" customHeight="1">
      <c r="A678" s="30"/>
      <c r="B678" s="31"/>
      <c r="C678" s="32"/>
      <c r="D678" s="33"/>
      <c r="E678" s="34"/>
      <c r="F678" s="34"/>
      <c r="G678" s="35"/>
      <c r="H678" s="34"/>
      <c r="I678" s="37"/>
    </row>
    <row r="679" ht="22.5" customHeight="1">
      <c r="A679" s="30"/>
      <c r="B679" s="31"/>
      <c r="C679" s="32"/>
      <c r="D679" s="33"/>
      <c r="E679" s="34"/>
      <c r="F679" s="34"/>
      <c r="G679" s="35"/>
      <c r="H679" s="34"/>
      <c r="I679" s="37"/>
    </row>
    <row r="680" ht="22.5" customHeight="1">
      <c r="A680" s="30"/>
      <c r="B680" s="31"/>
      <c r="C680" s="32"/>
      <c r="D680" s="33"/>
      <c r="E680" s="34"/>
      <c r="F680" s="34"/>
      <c r="G680" s="35"/>
      <c r="H680" s="34"/>
      <c r="I680" s="37"/>
    </row>
    <row r="681" ht="22.5" customHeight="1">
      <c r="A681" s="30"/>
      <c r="B681" s="40"/>
      <c r="C681" s="32"/>
      <c r="D681" s="33"/>
      <c r="E681" s="34"/>
      <c r="F681" s="34"/>
      <c r="G681" s="35"/>
      <c r="H681" s="34"/>
      <c r="I681" s="37"/>
    </row>
    <row r="682" ht="22.5" customHeight="1">
      <c r="A682" s="30"/>
      <c r="B682" s="31"/>
      <c r="C682" s="32"/>
      <c r="D682" s="33"/>
      <c r="E682" s="34"/>
      <c r="F682" s="34"/>
      <c r="G682" s="35"/>
      <c r="H682" s="34"/>
      <c r="I682" s="37"/>
    </row>
    <row r="683" ht="22.5" customHeight="1">
      <c r="A683" s="30"/>
      <c r="B683" s="31"/>
      <c r="C683" s="32"/>
      <c r="D683" s="33"/>
      <c r="E683" s="34"/>
      <c r="F683" s="34"/>
      <c r="G683" s="35"/>
      <c r="H683" s="34"/>
      <c r="I683" s="37"/>
    </row>
    <row r="684" ht="22.5" customHeight="1">
      <c r="A684" s="30"/>
      <c r="B684" s="31"/>
      <c r="C684" s="32"/>
      <c r="D684" s="33"/>
      <c r="E684" s="34"/>
      <c r="F684" s="34"/>
      <c r="G684" s="35"/>
      <c r="H684" s="34"/>
      <c r="I684" s="37"/>
    </row>
    <row r="685" ht="22.5" customHeight="1">
      <c r="A685" s="30"/>
      <c r="B685" s="31"/>
      <c r="C685" s="32"/>
      <c r="D685" s="33"/>
      <c r="E685" s="34"/>
      <c r="F685" s="34"/>
      <c r="G685" s="35"/>
      <c r="H685" s="34"/>
      <c r="I685" s="37"/>
    </row>
    <row r="686" ht="22.5" customHeight="1">
      <c r="A686" s="30"/>
      <c r="B686" s="31"/>
      <c r="C686" s="32"/>
      <c r="D686" s="33"/>
      <c r="E686" s="34"/>
      <c r="F686" s="34"/>
      <c r="G686" s="35"/>
      <c r="H686" s="34"/>
      <c r="I686" s="37"/>
    </row>
    <row r="687" ht="22.5" customHeight="1">
      <c r="A687" s="30"/>
      <c r="B687" s="31"/>
      <c r="C687" s="32"/>
      <c r="D687" s="33"/>
      <c r="E687" s="34"/>
      <c r="F687" s="34"/>
      <c r="G687" s="35"/>
      <c r="H687" s="34"/>
      <c r="I687" s="37"/>
    </row>
    <row r="688" ht="22.5" customHeight="1">
      <c r="A688" s="30"/>
      <c r="B688" s="31"/>
      <c r="C688" s="32"/>
      <c r="D688" s="33"/>
      <c r="E688" s="34"/>
      <c r="F688" s="34"/>
      <c r="G688" s="35"/>
      <c r="H688" s="34"/>
      <c r="I688" s="37"/>
    </row>
    <row r="689" ht="22.5" customHeight="1">
      <c r="A689" s="30"/>
      <c r="B689" s="31"/>
      <c r="C689" s="32"/>
      <c r="D689" s="33"/>
      <c r="E689" s="34"/>
      <c r="F689" s="34"/>
      <c r="G689" s="35"/>
      <c r="H689" s="34"/>
      <c r="I689" s="37"/>
    </row>
    <row r="690" ht="22.5" customHeight="1">
      <c r="A690" s="30"/>
      <c r="B690" s="31"/>
      <c r="C690" s="32"/>
      <c r="D690" s="33"/>
      <c r="E690" s="34"/>
      <c r="F690" s="34"/>
      <c r="G690" s="35"/>
      <c r="H690" s="34"/>
      <c r="I690" s="37"/>
    </row>
    <row r="691" ht="22.5" customHeight="1">
      <c r="A691" s="30"/>
      <c r="B691" s="31"/>
      <c r="C691" s="32"/>
      <c r="D691" s="33"/>
      <c r="E691" s="34"/>
      <c r="F691" s="34"/>
      <c r="G691" s="35"/>
      <c r="H691" s="34"/>
      <c r="I691" s="37"/>
    </row>
    <row r="692" ht="22.5" customHeight="1">
      <c r="A692" s="30"/>
      <c r="B692" s="31"/>
      <c r="C692" s="32"/>
      <c r="D692" s="33"/>
      <c r="E692" s="34"/>
      <c r="F692" s="34"/>
      <c r="G692" s="35"/>
      <c r="H692" s="34"/>
      <c r="I692" s="37"/>
    </row>
    <row r="693" ht="22.5" customHeight="1">
      <c r="A693" s="30"/>
      <c r="B693" s="31"/>
      <c r="C693" s="32"/>
      <c r="D693" s="33"/>
      <c r="E693" s="34"/>
      <c r="F693" s="34"/>
      <c r="G693" s="35"/>
      <c r="H693" s="34"/>
      <c r="I693" s="37"/>
    </row>
    <row r="694" ht="22.5" customHeight="1">
      <c r="A694" s="30"/>
      <c r="B694" s="31"/>
      <c r="C694" s="32"/>
      <c r="D694" s="33"/>
      <c r="E694" s="34"/>
      <c r="F694" s="34"/>
      <c r="G694" s="35"/>
      <c r="H694" s="34"/>
      <c r="I694" s="37"/>
    </row>
    <row r="695" ht="22.5" customHeight="1">
      <c r="A695" s="30"/>
      <c r="B695" s="31"/>
      <c r="C695" s="32"/>
      <c r="D695" s="33"/>
      <c r="E695" s="34"/>
      <c r="F695" s="34"/>
      <c r="G695" s="35"/>
      <c r="H695" s="34"/>
      <c r="I695" s="37"/>
    </row>
    <row r="696" ht="22.5" customHeight="1">
      <c r="A696" s="30"/>
      <c r="B696" s="40"/>
      <c r="C696" s="32"/>
      <c r="D696" s="33"/>
      <c r="E696" s="34"/>
      <c r="F696" s="34"/>
      <c r="G696" s="35"/>
      <c r="H696" s="34"/>
      <c r="I696" s="37"/>
    </row>
    <row r="697" ht="22.5" customHeight="1">
      <c r="A697" s="30"/>
      <c r="B697" s="31"/>
      <c r="C697" s="32"/>
      <c r="D697" s="33"/>
      <c r="E697" s="34"/>
      <c r="F697" s="34"/>
      <c r="G697" s="35"/>
      <c r="H697" s="34"/>
      <c r="I697" s="37"/>
    </row>
    <row r="698" ht="22.5" customHeight="1">
      <c r="A698" s="30"/>
      <c r="B698" s="40"/>
      <c r="C698" s="32"/>
      <c r="D698" s="33"/>
      <c r="E698" s="34"/>
      <c r="F698" s="34"/>
      <c r="G698" s="35"/>
      <c r="H698" s="34"/>
      <c r="I698" s="37"/>
    </row>
    <row r="699" ht="22.5" customHeight="1">
      <c r="A699" s="30"/>
      <c r="B699" s="31"/>
      <c r="C699" s="32"/>
      <c r="D699" s="33"/>
      <c r="E699" s="34"/>
      <c r="F699" s="34"/>
      <c r="G699" s="35"/>
      <c r="H699" s="34"/>
      <c r="I699" s="37"/>
    </row>
    <row r="700" ht="22.5" customHeight="1">
      <c r="A700" s="30"/>
      <c r="B700" s="31"/>
      <c r="C700" s="32"/>
      <c r="D700" s="33"/>
      <c r="E700" s="34"/>
      <c r="F700" s="34"/>
      <c r="G700" s="35"/>
      <c r="H700" s="34"/>
      <c r="I700" s="37"/>
    </row>
    <row r="701" ht="22.5" customHeight="1">
      <c r="A701" s="30"/>
      <c r="B701" s="31"/>
      <c r="C701" s="32"/>
      <c r="D701" s="33"/>
      <c r="E701" s="34"/>
      <c r="F701" s="34"/>
      <c r="G701" s="35"/>
      <c r="H701" s="34"/>
      <c r="I701" s="37"/>
    </row>
    <row r="702" ht="22.5" customHeight="1">
      <c r="A702" s="30"/>
      <c r="B702" s="31"/>
      <c r="C702" s="32"/>
      <c r="D702" s="33"/>
      <c r="E702" s="34"/>
      <c r="F702" s="34"/>
      <c r="G702" s="35"/>
      <c r="H702" s="34"/>
      <c r="I702" s="37"/>
    </row>
    <row r="703" ht="22.5" customHeight="1">
      <c r="A703" s="30"/>
      <c r="B703" s="40"/>
      <c r="C703" s="32"/>
      <c r="D703" s="33"/>
      <c r="E703" s="34"/>
      <c r="F703" s="34"/>
      <c r="G703" s="35"/>
      <c r="H703" s="34"/>
      <c r="I703" s="37"/>
    </row>
    <row r="704" ht="22.5" customHeight="1">
      <c r="A704" s="30"/>
      <c r="B704" s="31"/>
      <c r="C704" s="32"/>
      <c r="D704" s="33"/>
      <c r="E704" s="34"/>
      <c r="F704" s="34"/>
      <c r="G704" s="35"/>
      <c r="H704" s="34"/>
      <c r="I704" s="37"/>
    </row>
    <row r="705" ht="22.5" customHeight="1">
      <c r="A705" s="30"/>
      <c r="B705" s="31"/>
      <c r="C705" s="32"/>
      <c r="D705" s="33"/>
      <c r="E705" s="34"/>
      <c r="F705" s="34"/>
      <c r="G705" s="35"/>
      <c r="H705" s="34"/>
      <c r="I705" s="37"/>
    </row>
    <row r="706" ht="22.5" customHeight="1">
      <c r="A706" s="30"/>
      <c r="B706" s="31"/>
      <c r="C706" s="32"/>
      <c r="D706" s="33"/>
      <c r="E706" s="34"/>
      <c r="F706" s="34"/>
      <c r="G706" s="35"/>
      <c r="H706" s="34"/>
      <c r="I706" s="37"/>
    </row>
    <row r="707" ht="22.5" customHeight="1">
      <c r="A707" s="30"/>
      <c r="B707" s="31"/>
      <c r="C707" s="32"/>
      <c r="D707" s="33"/>
      <c r="E707" s="34"/>
      <c r="F707" s="34"/>
      <c r="G707" s="35"/>
      <c r="H707" s="34"/>
      <c r="I707" s="37"/>
    </row>
    <row r="708" ht="22.5" customHeight="1">
      <c r="A708" s="30"/>
      <c r="B708" s="31"/>
      <c r="C708" s="32"/>
      <c r="D708" s="33"/>
      <c r="E708" s="34"/>
      <c r="F708" s="34"/>
      <c r="G708" s="35"/>
      <c r="H708" s="34"/>
      <c r="I708" s="37"/>
    </row>
    <row r="709" ht="22.5" customHeight="1">
      <c r="A709" s="30"/>
      <c r="B709" s="31"/>
      <c r="C709" s="32"/>
      <c r="D709" s="33"/>
      <c r="E709" s="34"/>
      <c r="F709" s="34"/>
      <c r="G709" s="35"/>
      <c r="H709" s="34"/>
      <c r="I709" s="37"/>
    </row>
    <row r="710" ht="22.5" customHeight="1">
      <c r="A710" s="30"/>
      <c r="B710" s="31"/>
      <c r="C710" s="32"/>
      <c r="D710" s="33"/>
      <c r="E710" s="34"/>
      <c r="F710" s="34"/>
      <c r="G710" s="35"/>
      <c r="H710" s="34"/>
      <c r="I710" s="37"/>
    </row>
    <row r="711" ht="22.5" customHeight="1">
      <c r="A711" s="30"/>
      <c r="B711" s="31"/>
      <c r="C711" s="32"/>
      <c r="D711" s="33"/>
      <c r="E711" s="34"/>
      <c r="F711" s="34"/>
      <c r="G711" s="35"/>
      <c r="H711" s="34"/>
      <c r="I711" s="37"/>
    </row>
    <row r="712" ht="22.5" customHeight="1">
      <c r="A712" s="30"/>
      <c r="B712" s="31"/>
      <c r="C712" s="32"/>
      <c r="D712" s="33"/>
      <c r="E712" s="34"/>
      <c r="F712" s="34"/>
      <c r="G712" s="35"/>
      <c r="H712" s="34"/>
      <c r="I712" s="37"/>
    </row>
    <row r="713" ht="22.5" customHeight="1">
      <c r="A713" s="30"/>
      <c r="B713" s="31"/>
      <c r="C713" s="32"/>
      <c r="D713" s="33"/>
      <c r="E713" s="34"/>
      <c r="F713" s="34"/>
      <c r="G713" s="35"/>
      <c r="H713" s="34"/>
      <c r="I713" s="37"/>
    </row>
    <row r="714" ht="22.5" customHeight="1">
      <c r="A714" s="30"/>
      <c r="B714" s="31"/>
      <c r="C714" s="32"/>
      <c r="D714" s="33"/>
      <c r="E714" s="34"/>
      <c r="F714" s="34"/>
      <c r="G714" s="35"/>
      <c r="H714" s="34"/>
      <c r="I714" s="37"/>
    </row>
    <row r="715" ht="22.5" customHeight="1">
      <c r="A715" s="30"/>
      <c r="B715" s="31"/>
      <c r="C715" s="32"/>
      <c r="D715" s="33"/>
      <c r="E715" s="34"/>
      <c r="F715" s="34"/>
      <c r="G715" s="35"/>
      <c r="H715" s="34"/>
      <c r="I715" s="37"/>
    </row>
    <row r="716" ht="22.5" customHeight="1">
      <c r="A716" s="30"/>
      <c r="B716" s="31"/>
      <c r="C716" s="32"/>
      <c r="D716" s="33"/>
      <c r="E716" s="34"/>
      <c r="F716" s="34"/>
      <c r="G716" s="35"/>
      <c r="H716" s="34"/>
      <c r="I716" s="37"/>
    </row>
    <row r="717" ht="22.5" customHeight="1">
      <c r="A717" s="30"/>
      <c r="B717" s="31"/>
      <c r="C717" s="32"/>
      <c r="D717" s="33"/>
      <c r="E717" s="34"/>
      <c r="F717" s="34"/>
      <c r="G717" s="35"/>
      <c r="H717" s="34"/>
      <c r="I717" s="37"/>
    </row>
    <row r="718" ht="22.5" customHeight="1">
      <c r="A718" s="30"/>
      <c r="B718" s="31"/>
      <c r="C718" s="32"/>
      <c r="D718" s="33"/>
      <c r="E718" s="34"/>
      <c r="F718" s="34"/>
      <c r="G718" s="35"/>
      <c r="H718" s="34"/>
      <c r="I718" s="37"/>
    </row>
    <row r="719" ht="22.5" customHeight="1">
      <c r="A719" s="30"/>
      <c r="B719" s="31"/>
      <c r="C719" s="32"/>
      <c r="D719" s="33"/>
      <c r="E719" s="34"/>
      <c r="F719" s="34"/>
      <c r="G719" s="35"/>
      <c r="H719" s="34"/>
      <c r="I719" s="37"/>
    </row>
    <row r="720" ht="22.5" customHeight="1">
      <c r="A720" s="30"/>
      <c r="B720" s="31"/>
      <c r="C720" s="32"/>
      <c r="D720" s="33"/>
      <c r="E720" s="34"/>
      <c r="F720" s="34"/>
      <c r="G720" s="35"/>
      <c r="H720" s="34"/>
      <c r="I720" s="37"/>
    </row>
    <row r="721" ht="22.5" customHeight="1">
      <c r="A721" s="30"/>
      <c r="B721" s="31"/>
      <c r="C721" s="32"/>
      <c r="D721" s="33"/>
      <c r="E721" s="34"/>
      <c r="F721" s="34"/>
      <c r="G721" s="35"/>
      <c r="H721" s="34"/>
      <c r="I721" s="37"/>
    </row>
    <row r="722" ht="22.5" customHeight="1">
      <c r="A722" s="30"/>
      <c r="B722" s="31"/>
      <c r="C722" s="32"/>
      <c r="D722" s="33"/>
      <c r="E722" s="34"/>
      <c r="F722" s="34"/>
      <c r="G722" s="35"/>
      <c r="H722" s="34"/>
      <c r="I722" s="37"/>
    </row>
    <row r="723" ht="22.5" customHeight="1">
      <c r="A723" s="30"/>
      <c r="B723" s="31"/>
      <c r="C723" s="32"/>
      <c r="D723" s="33"/>
      <c r="E723" s="34"/>
      <c r="F723" s="34"/>
      <c r="G723" s="35"/>
      <c r="H723" s="34"/>
      <c r="I723" s="37"/>
    </row>
    <row r="724" ht="22.5" customHeight="1">
      <c r="A724" s="30"/>
      <c r="B724" s="31"/>
      <c r="C724" s="32"/>
      <c r="D724" s="33"/>
      <c r="E724" s="34"/>
      <c r="F724" s="34"/>
      <c r="G724" s="35"/>
      <c r="H724" s="34"/>
      <c r="I724" s="37"/>
    </row>
    <row r="725" ht="22.5" customHeight="1">
      <c r="A725" s="30"/>
      <c r="B725" s="40"/>
      <c r="C725" s="32"/>
      <c r="D725" s="33"/>
      <c r="E725" s="34"/>
      <c r="F725" s="34"/>
      <c r="G725" s="35"/>
      <c r="H725" s="34"/>
      <c r="I725" s="37"/>
    </row>
    <row r="726" ht="22.5" customHeight="1">
      <c r="A726" s="30"/>
      <c r="B726" s="31"/>
      <c r="C726" s="32"/>
      <c r="D726" s="33"/>
      <c r="E726" s="34"/>
      <c r="F726" s="34"/>
      <c r="G726" s="35"/>
      <c r="H726" s="34"/>
      <c r="I726" s="37"/>
    </row>
    <row r="727" ht="22.5" customHeight="1">
      <c r="A727" s="30"/>
      <c r="B727" s="31"/>
      <c r="C727" s="32"/>
      <c r="D727" s="33"/>
      <c r="E727" s="34"/>
      <c r="F727" s="34"/>
      <c r="G727" s="35"/>
      <c r="H727" s="34"/>
      <c r="I727" s="37"/>
    </row>
    <row r="728" ht="22.5" customHeight="1">
      <c r="A728" s="30"/>
      <c r="B728" s="31"/>
      <c r="C728" s="32"/>
      <c r="D728" s="33"/>
      <c r="E728" s="34"/>
      <c r="F728" s="34"/>
      <c r="G728" s="35"/>
      <c r="H728" s="34"/>
      <c r="I728" s="37"/>
    </row>
    <row r="729" ht="22.5" customHeight="1">
      <c r="A729" s="30"/>
      <c r="B729" s="31"/>
      <c r="C729" s="32"/>
      <c r="D729" s="33"/>
      <c r="E729" s="34"/>
      <c r="F729" s="34"/>
      <c r="G729" s="35"/>
      <c r="H729" s="34"/>
      <c r="I729" s="38"/>
    </row>
    <row r="730" ht="22.5" customHeight="1">
      <c r="A730" s="30"/>
      <c r="B730" s="39"/>
      <c r="C730" s="32"/>
      <c r="D730" s="33"/>
      <c r="E730" s="34"/>
      <c r="F730" s="34"/>
      <c r="G730" s="35"/>
      <c r="H730" s="34"/>
      <c r="I730" s="37"/>
    </row>
    <row r="731" ht="22.5" customHeight="1">
      <c r="A731" s="30"/>
      <c r="B731" s="31"/>
      <c r="C731" s="32"/>
      <c r="D731" s="33"/>
      <c r="E731" s="34"/>
      <c r="F731" s="34"/>
      <c r="G731" s="35"/>
      <c r="H731" s="34"/>
      <c r="I731" s="37"/>
    </row>
    <row r="732" ht="22.5" customHeight="1">
      <c r="A732" s="30"/>
      <c r="B732" s="31"/>
      <c r="C732" s="32"/>
      <c r="D732" s="33"/>
      <c r="E732" s="34"/>
      <c r="F732" s="34"/>
      <c r="G732" s="35"/>
      <c r="H732" s="34"/>
      <c r="I732" s="37"/>
    </row>
    <row r="733" ht="22.5" customHeight="1">
      <c r="A733" s="30"/>
      <c r="B733" s="31"/>
      <c r="C733" s="32"/>
      <c r="D733" s="33"/>
      <c r="E733" s="34"/>
      <c r="F733" s="34"/>
      <c r="G733" s="35"/>
      <c r="H733" s="34"/>
      <c r="I733" s="37"/>
    </row>
    <row r="734" ht="22.5" customHeight="1">
      <c r="A734" s="30"/>
      <c r="B734" s="39"/>
      <c r="C734" s="32"/>
      <c r="D734" s="33"/>
      <c r="E734" s="34"/>
      <c r="F734" s="34"/>
      <c r="G734" s="35"/>
      <c r="H734" s="34"/>
      <c r="I734" s="37"/>
    </row>
    <row r="735" ht="22.5" customHeight="1">
      <c r="A735" s="30"/>
      <c r="B735" s="31"/>
      <c r="C735" s="32"/>
      <c r="D735" s="33"/>
      <c r="E735" s="34"/>
      <c r="F735" s="34"/>
      <c r="G735" s="35"/>
      <c r="H735" s="34"/>
      <c r="I735" s="37"/>
    </row>
    <row r="736" ht="22.5" customHeight="1">
      <c r="A736" s="30"/>
      <c r="B736" s="39"/>
      <c r="C736" s="32"/>
      <c r="D736" s="33"/>
      <c r="E736" s="34"/>
      <c r="F736" s="34"/>
      <c r="G736" s="35"/>
      <c r="H736" s="34"/>
      <c r="I736" s="37"/>
    </row>
    <row r="737" ht="22.5" customHeight="1">
      <c r="A737" s="30"/>
      <c r="B737" s="31"/>
      <c r="C737" s="32"/>
      <c r="D737" s="33"/>
      <c r="E737" s="34"/>
      <c r="F737" s="34"/>
      <c r="G737" s="35"/>
      <c r="H737" s="34"/>
      <c r="I737" s="37"/>
    </row>
    <row r="738" ht="22.5" customHeight="1">
      <c r="A738" s="30"/>
      <c r="B738" s="31"/>
      <c r="C738" s="32"/>
      <c r="D738" s="33"/>
      <c r="E738" s="34"/>
      <c r="F738" s="34"/>
      <c r="G738" s="35"/>
      <c r="H738" s="34"/>
      <c r="I738" s="37"/>
    </row>
    <row r="739" ht="22.5" customHeight="1">
      <c r="A739" s="30"/>
      <c r="B739" s="31"/>
      <c r="C739" s="32"/>
      <c r="D739" s="33"/>
      <c r="E739" s="34"/>
      <c r="F739" s="34"/>
      <c r="G739" s="35"/>
      <c r="H739" s="34"/>
      <c r="I739" s="37"/>
    </row>
    <row r="740" ht="22.5" customHeight="1">
      <c r="A740" s="30"/>
      <c r="B740" s="31"/>
      <c r="C740" s="32"/>
      <c r="D740" s="33"/>
      <c r="E740" s="34"/>
      <c r="F740" s="34"/>
      <c r="G740" s="35"/>
      <c r="H740" s="34"/>
      <c r="I740" s="37"/>
    </row>
    <row r="741" ht="22.5" customHeight="1">
      <c r="A741" s="30"/>
      <c r="B741" s="31"/>
      <c r="C741" s="32"/>
      <c r="D741" s="33"/>
      <c r="E741" s="34"/>
      <c r="F741" s="34"/>
      <c r="G741" s="35"/>
      <c r="H741" s="34"/>
      <c r="I741" s="37"/>
    </row>
    <row r="742" ht="22.5" customHeight="1">
      <c r="A742" s="30"/>
      <c r="B742" s="31"/>
      <c r="C742" s="32"/>
      <c r="D742" s="33"/>
      <c r="E742" s="34"/>
      <c r="F742" s="34"/>
      <c r="G742" s="35"/>
      <c r="H742" s="34"/>
      <c r="I742" s="37"/>
    </row>
    <row r="743" ht="22.5" customHeight="1">
      <c r="A743" s="30"/>
      <c r="B743" s="31"/>
      <c r="C743" s="32"/>
      <c r="D743" s="33"/>
      <c r="E743" s="34"/>
      <c r="F743" s="34"/>
      <c r="G743" s="35"/>
      <c r="H743" s="34"/>
      <c r="I743" s="37"/>
    </row>
    <row r="744" ht="22.5" customHeight="1">
      <c r="A744" s="30"/>
      <c r="B744" s="31"/>
      <c r="C744" s="32"/>
      <c r="D744" s="33"/>
      <c r="E744" s="34"/>
      <c r="F744" s="34"/>
      <c r="G744" s="35"/>
      <c r="H744" s="34"/>
      <c r="I744" s="37"/>
    </row>
    <row r="745" ht="22.5" customHeight="1">
      <c r="A745" s="30"/>
      <c r="B745" s="31"/>
      <c r="C745" s="32"/>
      <c r="D745" s="33"/>
      <c r="E745" s="34"/>
      <c r="F745" s="34"/>
      <c r="G745" s="35"/>
      <c r="H745" s="34"/>
      <c r="I745" s="37"/>
    </row>
    <row r="746" ht="22.5" customHeight="1">
      <c r="A746" s="30"/>
      <c r="B746" s="31"/>
      <c r="C746" s="32"/>
      <c r="D746" s="33"/>
      <c r="E746" s="34"/>
      <c r="F746" s="34"/>
      <c r="G746" s="35"/>
      <c r="H746" s="34"/>
      <c r="I746" s="37"/>
    </row>
    <row r="747" ht="22.5" customHeight="1">
      <c r="A747" s="30"/>
      <c r="B747" s="40"/>
      <c r="C747" s="32"/>
      <c r="D747" s="33"/>
      <c r="E747" s="34"/>
      <c r="F747" s="34"/>
      <c r="G747" s="35"/>
      <c r="H747" s="34"/>
      <c r="I747" s="37"/>
    </row>
    <row r="748" ht="22.5" customHeight="1">
      <c r="A748" s="30"/>
      <c r="B748" s="31"/>
      <c r="C748" s="32"/>
      <c r="D748" s="33"/>
      <c r="E748" s="34"/>
      <c r="F748" s="34"/>
      <c r="G748" s="35"/>
      <c r="H748" s="34"/>
      <c r="I748" s="37"/>
    </row>
    <row r="749" ht="22.5" customHeight="1">
      <c r="A749" s="30"/>
      <c r="B749" s="31"/>
      <c r="C749" s="32"/>
      <c r="D749" s="33"/>
      <c r="E749" s="34"/>
      <c r="F749" s="34"/>
      <c r="G749" s="35"/>
      <c r="H749" s="34"/>
      <c r="I749" s="37"/>
    </row>
    <row r="750" ht="22.5" customHeight="1">
      <c r="A750" s="30"/>
      <c r="B750" s="31"/>
      <c r="C750" s="32"/>
      <c r="D750" s="33"/>
      <c r="E750" s="34"/>
      <c r="F750" s="34"/>
      <c r="G750" s="35"/>
      <c r="H750" s="34"/>
      <c r="I750" s="37"/>
    </row>
    <row r="751" ht="22.5" customHeight="1">
      <c r="A751" s="30"/>
      <c r="B751" s="31"/>
      <c r="C751" s="32"/>
      <c r="D751" s="33"/>
      <c r="E751" s="34"/>
      <c r="F751" s="34"/>
      <c r="G751" s="35"/>
      <c r="H751" s="34"/>
      <c r="I751" s="37"/>
    </row>
    <row r="752" ht="22.5" customHeight="1">
      <c r="A752" s="30"/>
      <c r="B752" s="31"/>
      <c r="C752" s="32"/>
      <c r="D752" s="33"/>
      <c r="E752" s="34"/>
      <c r="F752" s="34"/>
      <c r="G752" s="35"/>
      <c r="H752" s="34"/>
      <c r="I752" s="37"/>
    </row>
    <row r="753" ht="22.5" customHeight="1">
      <c r="A753" s="30"/>
      <c r="B753" s="31"/>
      <c r="C753" s="32"/>
      <c r="D753" s="33"/>
      <c r="E753" s="34"/>
      <c r="F753" s="34"/>
      <c r="G753" s="35"/>
      <c r="H753" s="34"/>
      <c r="I753" s="37"/>
    </row>
    <row r="754" ht="22.5" customHeight="1">
      <c r="A754" s="30"/>
      <c r="B754" s="39"/>
      <c r="C754" s="32"/>
      <c r="D754" s="33"/>
      <c r="E754" s="34"/>
      <c r="F754" s="34"/>
      <c r="G754" s="35"/>
      <c r="H754" s="34"/>
      <c r="I754" s="37"/>
    </row>
    <row r="755" ht="22.5" customHeight="1">
      <c r="A755" s="30"/>
      <c r="B755" s="39"/>
      <c r="C755" s="32"/>
      <c r="D755" s="33"/>
      <c r="E755" s="34"/>
      <c r="F755" s="34"/>
      <c r="G755" s="35"/>
      <c r="H755" s="34"/>
      <c r="I755" s="37"/>
    </row>
    <row r="756" ht="22.5" customHeight="1">
      <c r="A756" s="30"/>
      <c r="B756" s="39"/>
      <c r="C756" s="32"/>
      <c r="D756" s="33"/>
      <c r="E756" s="34"/>
      <c r="F756" s="34"/>
      <c r="G756" s="35"/>
      <c r="H756" s="34"/>
      <c r="I756" s="37"/>
    </row>
    <row r="757" ht="22.5" customHeight="1">
      <c r="A757" s="30"/>
      <c r="B757" s="40"/>
      <c r="C757" s="32"/>
      <c r="D757" s="33"/>
      <c r="E757" s="34"/>
      <c r="F757" s="34"/>
      <c r="G757" s="35"/>
      <c r="H757" s="34"/>
      <c r="I757" s="37"/>
    </row>
    <row r="758" ht="22.5" customHeight="1">
      <c r="A758" s="30"/>
      <c r="B758" s="31"/>
      <c r="C758" s="32"/>
      <c r="D758" s="33"/>
      <c r="E758" s="34"/>
      <c r="F758" s="34"/>
      <c r="G758" s="35"/>
      <c r="H758" s="34"/>
      <c r="I758" s="37"/>
    </row>
    <row r="759" ht="22.5" customHeight="1">
      <c r="A759" s="30"/>
      <c r="B759" s="31"/>
      <c r="C759" s="32"/>
      <c r="D759" s="33"/>
      <c r="E759" s="34"/>
      <c r="F759" s="34"/>
      <c r="G759" s="35"/>
      <c r="H759" s="34"/>
      <c r="I759" s="37"/>
    </row>
    <row r="760" ht="22.5" customHeight="1">
      <c r="A760" s="30"/>
      <c r="B760" s="31"/>
      <c r="C760" s="32"/>
      <c r="D760" s="33"/>
      <c r="E760" s="34"/>
      <c r="F760" s="34"/>
      <c r="G760" s="35"/>
      <c r="H760" s="34"/>
      <c r="I760" s="37"/>
    </row>
    <row r="761" ht="22.5" customHeight="1">
      <c r="A761" s="30"/>
      <c r="B761" s="31"/>
      <c r="C761" s="32"/>
      <c r="D761" s="33"/>
      <c r="E761" s="34"/>
      <c r="F761" s="34"/>
      <c r="G761" s="35"/>
      <c r="H761" s="34"/>
      <c r="I761" s="37"/>
    </row>
    <row r="762" ht="22.5" customHeight="1">
      <c r="A762" s="30"/>
      <c r="B762" s="31"/>
      <c r="C762" s="32"/>
      <c r="D762" s="33"/>
      <c r="E762" s="34"/>
      <c r="F762" s="34"/>
      <c r="G762" s="35"/>
      <c r="H762" s="34"/>
      <c r="I762" s="37"/>
    </row>
    <row r="763" ht="22.5" customHeight="1">
      <c r="A763" s="30"/>
      <c r="B763" s="31"/>
      <c r="C763" s="32"/>
      <c r="D763" s="33"/>
      <c r="E763" s="34"/>
      <c r="F763" s="34"/>
      <c r="G763" s="35"/>
      <c r="H763" s="34"/>
      <c r="I763" s="37"/>
    </row>
    <row r="764" ht="22.5" customHeight="1">
      <c r="A764" s="30"/>
      <c r="B764" s="31"/>
      <c r="C764" s="32"/>
      <c r="D764" s="33"/>
      <c r="E764" s="34"/>
      <c r="F764" s="34"/>
      <c r="G764" s="35"/>
      <c r="H764" s="34"/>
      <c r="I764" s="37"/>
    </row>
    <row r="765" ht="22.5" customHeight="1">
      <c r="A765" s="30"/>
      <c r="B765" s="31"/>
      <c r="C765" s="32"/>
      <c r="D765" s="33"/>
      <c r="E765" s="34"/>
      <c r="F765" s="34"/>
      <c r="G765" s="35"/>
      <c r="H765" s="34"/>
      <c r="I765" s="37"/>
    </row>
    <row r="766" ht="22.5" customHeight="1">
      <c r="A766" s="30"/>
      <c r="B766" s="31"/>
      <c r="C766" s="32"/>
      <c r="D766" s="33"/>
      <c r="E766" s="34"/>
      <c r="F766" s="34"/>
      <c r="G766" s="35"/>
      <c r="H766" s="34"/>
      <c r="I766" s="37"/>
    </row>
    <row r="767" ht="22.5" customHeight="1">
      <c r="A767" s="30"/>
      <c r="B767" s="40"/>
      <c r="C767" s="32"/>
      <c r="D767" s="33"/>
      <c r="E767" s="34"/>
      <c r="F767" s="34"/>
      <c r="G767" s="35"/>
      <c r="H767" s="34"/>
      <c r="I767" s="37"/>
    </row>
    <row r="768" ht="22.5" customHeight="1">
      <c r="A768" s="30"/>
      <c r="B768" s="31"/>
      <c r="C768" s="32"/>
      <c r="D768" s="33"/>
      <c r="E768" s="34"/>
      <c r="F768" s="34"/>
      <c r="G768" s="35"/>
      <c r="H768" s="34"/>
      <c r="I768" s="37"/>
    </row>
    <row r="769" ht="22.5" customHeight="1">
      <c r="A769" s="30"/>
      <c r="B769" s="31"/>
      <c r="C769" s="32"/>
      <c r="D769" s="33"/>
      <c r="E769" s="34"/>
      <c r="F769" s="34"/>
      <c r="G769" s="35"/>
      <c r="H769" s="34"/>
      <c r="I769" s="37"/>
    </row>
    <row r="770" ht="22.5" customHeight="1">
      <c r="A770" s="30"/>
      <c r="B770" s="31"/>
      <c r="C770" s="32"/>
      <c r="D770" s="33"/>
      <c r="E770" s="34"/>
      <c r="F770" s="34"/>
      <c r="G770" s="35"/>
      <c r="H770" s="34"/>
      <c r="I770" s="37"/>
    </row>
    <row r="771" ht="22.5" customHeight="1">
      <c r="A771" s="30"/>
      <c r="B771" s="40"/>
      <c r="C771" s="32"/>
      <c r="D771" s="33"/>
      <c r="E771" s="34"/>
      <c r="F771" s="34"/>
      <c r="G771" s="35"/>
      <c r="H771" s="34"/>
      <c r="I771" s="37"/>
    </row>
    <row r="772" ht="22.5" customHeight="1">
      <c r="A772" s="30"/>
      <c r="B772" s="31"/>
      <c r="C772" s="32"/>
      <c r="D772" s="33"/>
      <c r="E772" s="34"/>
      <c r="F772" s="34"/>
      <c r="G772" s="35"/>
      <c r="H772" s="34"/>
      <c r="I772" s="37"/>
    </row>
    <row r="773" ht="22.5" customHeight="1">
      <c r="A773" s="30"/>
      <c r="B773" s="31"/>
      <c r="C773" s="32"/>
      <c r="D773" s="33"/>
      <c r="E773" s="34"/>
      <c r="F773" s="34"/>
      <c r="G773" s="35"/>
      <c r="H773" s="34"/>
      <c r="I773" s="37"/>
    </row>
    <row r="774" ht="22.5" customHeight="1">
      <c r="A774" s="30"/>
      <c r="B774" s="31"/>
      <c r="C774" s="32"/>
      <c r="D774" s="33"/>
      <c r="E774" s="34"/>
      <c r="F774" s="34"/>
      <c r="G774" s="35"/>
      <c r="H774" s="34"/>
      <c r="I774" s="37"/>
    </row>
    <row r="775" ht="22.5" customHeight="1">
      <c r="A775" s="30"/>
      <c r="B775" s="31"/>
      <c r="C775" s="32"/>
      <c r="D775" s="33"/>
      <c r="E775" s="34"/>
      <c r="F775" s="34"/>
      <c r="G775" s="35"/>
      <c r="H775" s="34"/>
      <c r="I775" s="37"/>
    </row>
    <row r="776" ht="22.5" customHeight="1">
      <c r="A776" s="30"/>
      <c r="B776" s="31"/>
      <c r="C776" s="32"/>
      <c r="D776" s="33"/>
      <c r="E776" s="34"/>
      <c r="F776" s="34"/>
      <c r="G776" s="35"/>
      <c r="H776" s="34"/>
      <c r="I776" s="37"/>
    </row>
    <row r="777" ht="22.5" customHeight="1">
      <c r="A777" s="30"/>
      <c r="B777" s="31"/>
      <c r="C777" s="32"/>
      <c r="D777" s="33"/>
      <c r="E777" s="34"/>
      <c r="F777" s="34"/>
      <c r="G777" s="35"/>
      <c r="H777" s="34"/>
      <c r="I777" s="37"/>
    </row>
    <row r="778" ht="22.5" customHeight="1">
      <c r="A778" s="30"/>
      <c r="B778" s="31"/>
      <c r="C778" s="32"/>
      <c r="D778" s="33"/>
      <c r="E778" s="34"/>
      <c r="F778" s="34"/>
      <c r="G778" s="35"/>
      <c r="H778" s="34"/>
      <c r="I778" s="37"/>
    </row>
    <row r="779" ht="22.5" customHeight="1">
      <c r="A779" s="30"/>
      <c r="B779" s="31"/>
      <c r="C779" s="32"/>
      <c r="D779" s="33"/>
      <c r="E779" s="34"/>
      <c r="F779" s="34"/>
      <c r="G779" s="35"/>
      <c r="H779" s="34"/>
      <c r="I779" s="37"/>
    </row>
    <row r="780" ht="22.5" customHeight="1">
      <c r="A780" s="30"/>
      <c r="B780" s="31"/>
      <c r="C780" s="32"/>
      <c r="D780" s="33"/>
      <c r="E780" s="34"/>
      <c r="F780" s="34"/>
      <c r="G780" s="35"/>
      <c r="H780" s="34"/>
      <c r="I780" s="37"/>
    </row>
    <row r="781" ht="22.5" customHeight="1">
      <c r="A781" s="30"/>
      <c r="B781" s="31"/>
      <c r="C781" s="32"/>
      <c r="D781" s="33"/>
      <c r="E781" s="34"/>
      <c r="F781" s="34"/>
      <c r="G781" s="35"/>
      <c r="H781" s="34"/>
      <c r="I781" s="37"/>
    </row>
    <row r="782" ht="22.5" customHeight="1">
      <c r="A782" s="30"/>
      <c r="B782" s="31"/>
      <c r="C782" s="32"/>
      <c r="D782" s="33"/>
      <c r="E782" s="34"/>
      <c r="F782" s="34"/>
      <c r="G782" s="35"/>
      <c r="H782" s="34"/>
      <c r="I782" s="37"/>
    </row>
    <row r="783" ht="22.5" customHeight="1">
      <c r="A783" s="30"/>
      <c r="B783" s="31"/>
      <c r="C783" s="32"/>
      <c r="D783" s="33"/>
      <c r="E783" s="34"/>
      <c r="F783" s="34"/>
      <c r="G783" s="35"/>
      <c r="H783" s="34"/>
      <c r="I783" s="37"/>
    </row>
    <row r="784" ht="22.5" customHeight="1">
      <c r="A784" s="30"/>
      <c r="B784" s="31"/>
      <c r="C784" s="32"/>
      <c r="D784" s="33"/>
      <c r="E784" s="34"/>
      <c r="F784" s="34"/>
      <c r="G784" s="35"/>
      <c r="H784" s="34"/>
      <c r="I784" s="37"/>
    </row>
    <row r="785" ht="22.5" customHeight="1">
      <c r="A785" s="30"/>
      <c r="B785" s="31"/>
      <c r="C785" s="32"/>
      <c r="D785" s="33"/>
      <c r="E785" s="34"/>
      <c r="F785" s="34"/>
      <c r="G785" s="35"/>
      <c r="H785" s="34"/>
      <c r="I785" s="37"/>
    </row>
    <row r="786" ht="22.5" customHeight="1">
      <c r="A786" s="30"/>
      <c r="B786" s="40"/>
      <c r="C786" s="32"/>
      <c r="D786" s="33"/>
      <c r="E786" s="34"/>
      <c r="F786" s="34"/>
      <c r="G786" s="35"/>
      <c r="H786" s="34"/>
      <c r="I786" s="37"/>
    </row>
    <row r="787" ht="22.5" customHeight="1">
      <c r="A787" s="30"/>
      <c r="B787" s="31"/>
      <c r="C787" s="32"/>
      <c r="D787" s="33"/>
      <c r="E787" s="34"/>
      <c r="F787" s="34"/>
      <c r="G787" s="35"/>
      <c r="H787" s="34"/>
      <c r="I787" s="37"/>
    </row>
    <row r="788" ht="22.5" customHeight="1">
      <c r="A788" s="30"/>
      <c r="B788" s="40"/>
      <c r="C788" s="32"/>
      <c r="D788" s="33"/>
      <c r="E788" s="34"/>
      <c r="F788" s="34"/>
      <c r="G788" s="35"/>
      <c r="H788" s="34"/>
      <c r="I788" s="37"/>
    </row>
    <row r="789" ht="22.5" customHeight="1">
      <c r="A789" s="30"/>
      <c r="B789" s="31"/>
      <c r="C789" s="32"/>
      <c r="D789" s="33"/>
      <c r="E789" s="34"/>
      <c r="F789" s="34"/>
      <c r="G789" s="35"/>
      <c r="H789" s="34"/>
      <c r="I789" s="37"/>
    </row>
    <row r="790" ht="22.5" customHeight="1">
      <c r="A790" s="30"/>
      <c r="B790" s="31"/>
      <c r="C790" s="32"/>
      <c r="D790" s="33"/>
      <c r="E790" s="34"/>
      <c r="F790" s="34"/>
      <c r="G790" s="35"/>
      <c r="H790" s="34"/>
      <c r="I790" s="37"/>
    </row>
    <row r="791" ht="22.5" customHeight="1">
      <c r="A791" s="30"/>
      <c r="B791" s="31"/>
      <c r="C791" s="32"/>
      <c r="D791" s="33"/>
      <c r="E791" s="34"/>
      <c r="F791" s="34"/>
      <c r="G791" s="35"/>
      <c r="H791" s="34"/>
      <c r="I791" s="37"/>
    </row>
    <row r="792" ht="22.5" customHeight="1">
      <c r="A792" s="30"/>
      <c r="B792" s="31"/>
      <c r="C792" s="32"/>
      <c r="D792" s="33"/>
      <c r="E792" s="34"/>
      <c r="F792" s="34"/>
      <c r="G792" s="35"/>
      <c r="H792" s="34"/>
      <c r="I792" s="37"/>
    </row>
    <row r="793" ht="22.5" customHeight="1">
      <c r="A793" s="30"/>
      <c r="B793" s="40"/>
      <c r="C793" s="32"/>
      <c r="D793" s="33"/>
      <c r="E793" s="34"/>
      <c r="F793" s="34"/>
      <c r="G793" s="35"/>
      <c r="H793" s="34"/>
      <c r="I793" s="37"/>
    </row>
    <row r="794" ht="22.5" customHeight="1">
      <c r="A794" s="30"/>
      <c r="B794" s="31"/>
      <c r="C794" s="32"/>
      <c r="D794" s="33"/>
      <c r="E794" s="34"/>
      <c r="F794" s="34"/>
      <c r="G794" s="35"/>
      <c r="H794" s="34"/>
      <c r="I794" s="37"/>
    </row>
    <row r="795" ht="22.5" customHeight="1">
      <c r="A795" s="30"/>
      <c r="B795" s="31"/>
      <c r="C795" s="32"/>
      <c r="D795" s="33"/>
      <c r="E795" s="34"/>
      <c r="F795" s="34"/>
      <c r="G795" s="35"/>
      <c r="H795" s="34"/>
      <c r="I795" s="37"/>
    </row>
    <row r="796" ht="22.5" customHeight="1">
      <c r="A796" s="30"/>
      <c r="B796" s="31"/>
      <c r="C796" s="32"/>
      <c r="D796" s="33"/>
      <c r="E796" s="34"/>
      <c r="F796" s="34"/>
      <c r="G796" s="35"/>
      <c r="H796" s="34"/>
      <c r="I796" s="37"/>
    </row>
    <row r="797" ht="22.5" customHeight="1">
      <c r="A797" s="30"/>
      <c r="B797" s="31"/>
      <c r="C797" s="32"/>
      <c r="D797" s="33"/>
      <c r="E797" s="34"/>
      <c r="F797" s="34"/>
      <c r="G797" s="35"/>
      <c r="H797" s="34"/>
      <c r="I797" s="37"/>
    </row>
    <row r="798" ht="22.5" customHeight="1">
      <c r="A798" s="30"/>
      <c r="B798" s="31"/>
      <c r="C798" s="32"/>
      <c r="D798" s="33"/>
      <c r="E798" s="34"/>
      <c r="F798" s="34"/>
      <c r="G798" s="35"/>
      <c r="H798" s="34"/>
      <c r="I798" s="37"/>
    </row>
    <row r="799" ht="22.5" customHeight="1">
      <c r="A799" s="30"/>
      <c r="B799" s="31"/>
      <c r="C799" s="32"/>
      <c r="D799" s="33"/>
      <c r="E799" s="34"/>
      <c r="F799" s="34"/>
      <c r="G799" s="35"/>
      <c r="H799" s="34"/>
      <c r="I799" s="37"/>
    </row>
    <row r="800" ht="22.5" customHeight="1">
      <c r="A800" s="30"/>
      <c r="B800" s="31"/>
      <c r="C800" s="32"/>
      <c r="D800" s="33"/>
      <c r="E800" s="34"/>
      <c r="F800" s="34"/>
      <c r="G800" s="35"/>
      <c r="H800" s="34"/>
      <c r="I800" s="37"/>
    </row>
    <row r="801" ht="22.5" customHeight="1">
      <c r="A801" s="30"/>
      <c r="B801" s="31"/>
      <c r="C801" s="32"/>
      <c r="D801" s="33"/>
      <c r="E801" s="34"/>
      <c r="F801" s="34"/>
      <c r="G801" s="35"/>
      <c r="H801" s="34"/>
      <c r="I801" s="37"/>
    </row>
    <row r="802" ht="22.5" customHeight="1">
      <c r="A802" s="30"/>
      <c r="B802" s="31"/>
      <c r="C802" s="32"/>
      <c r="D802" s="33"/>
      <c r="E802" s="34"/>
      <c r="F802" s="34"/>
      <c r="G802" s="35"/>
      <c r="H802" s="34"/>
      <c r="I802" s="37"/>
    </row>
    <row r="803" ht="22.5" customHeight="1">
      <c r="A803" s="30"/>
      <c r="B803" s="31"/>
      <c r="C803" s="32"/>
      <c r="D803" s="33"/>
      <c r="E803" s="34"/>
      <c r="F803" s="34"/>
      <c r="G803" s="35"/>
      <c r="H803" s="34"/>
      <c r="I803" s="37"/>
    </row>
    <row r="804" ht="22.5" customHeight="1">
      <c r="A804" s="30"/>
      <c r="B804" s="31"/>
      <c r="C804" s="32"/>
      <c r="D804" s="33"/>
      <c r="E804" s="34"/>
      <c r="F804" s="34"/>
      <c r="G804" s="35"/>
      <c r="H804" s="34"/>
      <c r="I804" s="37"/>
    </row>
    <row r="805" ht="22.5" customHeight="1">
      <c r="A805" s="30"/>
      <c r="B805" s="31"/>
      <c r="C805" s="32"/>
      <c r="D805" s="33"/>
      <c r="E805" s="34"/>
      <c r="F805" s="34"/>
      <c r="G805" s="35"/>
      <c r="H805" s="34"/>
      <c r="I805" s="37"/>
    </row>
    <row r="806" ht="22.5" customHeight="1">
      <c r="A806" s="30"/>
      <c r="B806" s="31"/>
      <c r="C806" s="32"/>
      <c r="D806" s="33"/>
      <c r="E806" s="34"/>
      <c r="F806" s="34"/>
      <c r="G806" s="35"/>
      <c r="H806" s="34"/>
      <c r="I806" s="37"/>
    </row>
    <row r="807" ht="22.5" customHeight="1">
      <c r="A807" s="30"/>
      <c r="B807" s="31"/>
      <c r="C807" s="32"/>
      <c r="D807" s="33"/>
      <c r="E807" s="34"/>
      <c r="F807" s="34"/>
      <c r="G807" s="35"/>
      <c r="H807" s="34"/>
      <c r="I807" s="37"/>
    </row>
    <row r="808" ht="22.5" customHeight="1">
      <c r="A808" s="30"/>
      <c r="B808" s="31"/>
      <c r="C808" s="32"/>
      <c r="D808" s="33"/>
      <c r="E808" s="34"/>
      <c r="F808" s="34"/>
      <c r="G808" s="35"/>
      <c r="H808" s="34"/>
      <c r="I808" s="37"/>
    </row>
    <row r="809" ht="22.5" customHeight="1">
      <c r="A809" s="30"/>
      <c r="B809" s="31"/>
      <c r="C809" s="32"/>
      <c r="D809" s="33"/>
      <c r="E809" s="34"/>
      <c r="F809" s="34"/>
      <c r="G809" s="35"/>
      <c r="H809" s="34"/>
      <c r="I809" s="37"/>
    </row>
    <row r="810" ht="22.5" customHeight="1">
      <c r="A810" s="30"/>
      <c r="B810" s="31"/>
      <c r="C810" s="32"/>
      <c r="D810" s="33"/>
      <c r="E810" s="34"/>
      <c r="F810" s="34"/>
      <c r="G810" s="35"/>
      <c r="H810" s="34"/>
      <c r="I810" s="37"/>
    </row>
    <row r="811" ht="22.5" customHeight="1">
      <c r="A811" s="30"/>
      <c r="B811" s="31"/>
      <c r="C811" s="32"/>
      <c r="D811" s="33"/>
      <c r="E811" s="34"/>
      <c r="F811" s="34"/>
      <c r="G811" s="35"/>
      <c r="H811" s="34"/>
      <c r="I811" s="37"/>
    </row>
    <row r="812" ht="22.5" customHeight="1">
      <c r="A812" s="30"/>
      <c r="B812" s="31"/>
      <c r="C812" s="32"/>
      <c r="D812" s="33"/>
      <c r="E812" s="34"/>
      <c r="F812" s="34"/>
      <c r="G812" s="35"/>
      <c r="H812" s="34"/>
      <c r="I812" s="37"/>
    </row>
    <row r="813" ht="22.5" customHeight="1">
      <c r="A813" s="30"/>
      <c r="B813" s="31"/>
      <c r="C813" s="32"/>
      <c r="D813" s="33"/>
      <c r="E813" s="34"/>
      <c r="F813" s="34"/>
      <c r="G813" s="35"/>
      <c r="H813" s="34"/>
      <c r="I813" s="37"/>
    </row>
    <row r="814" ht="22.5" customHeight="1">
      <c r="A814" s="30"/>
      <c r="B814" s="31"/>
      <c r="C814" s="32"/>
      <c r="D814" s="33"/>
      <c r="E814" s="34"/>
      <c r="F814" s="34"/>
      <c r="G814" s="35"/>
      <c r="H814" s="34"/>
      <c r="I814" s="37"/>
    </row>
    <row r="815" ht="22.5" customHeight="1">
      <c r="A815" s="30"/>
      <c r="B815" s="40"/>
      <c r="C815" s="32"/>
      <c r="D815" s="33"/>
      <c r="E815" s="34"/>
      <c r="F815" s="34"/>
      <c r="G815" s="35"/>
      <c r="H815" s="34"/>
      <c r="I815" s="37"/>
    </row>
    <row r="816" ht="22.5" customHeight="1">
      <c r="A816" s="30"/>
      <c r="B816" s="31"/>
      <c r="C816" s="32"/>
      <c r="D816" s="33"/>
      <c r="E816" s="34"/>
      <c r="F816" s="34"/>
      <c r="G816" s="35"/>
      <c r="H816" s="34"/>
      <c r="I816" s="37"/>
    </row>
    <row r="817" ht="22.5" customHeight="1">
      <c r="A817" s="30"/>
      <c r="B817" s="31"/>
      <c r="C817" s="32"/>
      <c r="D817" s="33"/>
      <c r="E817" s="34"/>
      <c r="F817" s="34"/>
      <c r="G817" s="35"/>
      <c r="H817" s="34"/>
      <c r="I817" s="37"/>
    </row>
    <row r="818" ht="22.5" customHeight="1">
      <c r="A818" s="30"/>
      <c r="B818" s="31"/>
      <c r="C818" s="32"/>
      <c r="D818" s="33"/>
      <c r="E818" s="34"/>
      <c r="F818" s="34"/>
      <c r="G818" s="35"/>
      <c r="H818" s="34"/>
      <c r="I818" s="37"/>
    </row>
    <row r="819" ht="22.5" customHeight="1">
      <c r="A819" s="30"/>
      <c r="B819" s="31"/>
      <c r="C819" s="32"/>
      <c r="D819" s="33"/>
      <c r="E819" s="34"/>
      <c r="F819" s="34"/>
      <c r="G819" s="35"/>
      <c r="H819" s="34"/>
      <c r="I819" s="38"/>
    </row>
    <row r="820" ht="22.5" customHeight="1">
      <c r="A820" s="30"/>
      <c r="B820" s="39"/>
      <c r="C820" s="32"/>
      <c r="D820" s="33"/>
      <c r="E820" s="34"/>
      <c r="F820" s="34"/>
      <c r="G820" s="35"/>
      <c r="H820" s="34"/>
      <c r="I820" s="37"/>
    </row>
    <row r="821" ht="22.5" customHeight="1">
      <c r="A821" s="30"/>
      <c r="B821" s="31"/>
      <c r="C821" s="32"/>
      <c r="D821" s="33"/>
      <c r="E821" s="34"/>
      <c r="F821" s="34"/>
      <c r="G821" s="35"/>
      <c r="H821" s="34"/>
      <c r="I821" s="37"/>
    </row>
    <row r="822" ht="22.5" customHeight="1">
      <c r="A822" s="30"/>
      <c r="B822" s="31"/>
      <c r="C822" s="32"/>
      <c r="D822" s="33"/>
      <c r="E822" s="34"/>
      <c r="F822" s="34"/>
      <c r="G822" s="35"/>
      <c r="H822" s="34"/>
      <c r="I822" s="37"/>
    </row>
    <row r="823" ht="22.5" customHeight="1">
      <c r="A823" s="30"/>
      <c r="B823" s="31"/>
      <c r="C823" s="32"/>
      <c r="D823" s="33"/>
      <c r="E823" s="34"/>
      <c r="F823" s="34"/>
      <c r="G823" s="35"/>
      <c r="H823" s="34"/>
      <c r="I823" s="37"/>
    </row>
    <row r="824" ht="22.5" customHeight="1">
      <c r="A824" s="30"/>
      <c r="B824" s="39"/>
      <c r="C824" s="32"/>
      <c r="D824" s="33"/>
      <c r="E824" s="34"/>
      <c r="F824" s="34"/>
      <c r="G824" s="35"/>
      <c r="H824" s="34"/>
      <c r="I824" s="37"/>
    </row>
    <row r="825" ht="22.5" customHeight="1">
      <c r="A825" s="30"/>
      <c r="B825" s="31"/>
      <c r="C825" s="32"/>
      <c r="D825" s="33"/>
      <c r="E825" s="34"/>
      <c r="F825" s="34"/>
      <c r="G825" s="35"/>
      <c r="H825" s="34"/>
      <c r="I825" s="37"/>
    </row>
    <row r="826" ht="22.5" customHeight="1">
      <c r="A826" s="30"/>
      <c r="B826" s="39"/>
      <c r="C826" s="32"/>
      <c r="D826" s="33"/>
      <c r="E826" s="34"/>
      <c r="F826" s="34"/>
      <c r="G826" s="35"/>
      <c r="H826" s="34"/>
      <c r="I826" s="37"/>
    </row>
    <row r="827" ht="22.5" customHeight="1">
      <c r="A827" s="30"/>
      <c r="B827" s="31"/>
      <c r="C827" s="32"/>
      <c r="D827" s="33"/>
      <c r="E827" s="34"/>
      <c r="F827" s="34"/>
      <c r="G827" s="35"/>
      <c r="H827" s="34"/>
      <c r="I827" s="37"/>
    </row>
    <row r="828" ht="22.5" customHeight="1">
      <c r="A828" s="30"/>
      <c r="B828" s="31"/>
      <c r="C828" s="32"/>
      <c r="D828" s="33"/>
      <c r="E828" s="34"/>
      <c r="F828" s="34"/>
      <c r="G828" s="35"/>
      <c r="H828" s="34"/>
      <c r="I828" s="37"/>
    </row>
    <row r="829" ht="22.5" customHeight="1">
      <c r="A829" s="30"/>
      <c r="B829" s="31"/>
      <c r="C829" s="32"/>
      <c r="D829" s="33"/>
      <c r="E829" s="34"/>
      <c r="F829" s="34"/>
      <c r="G829" s="35"/>
      <c r="H829" s="34"/>
      <c r="I829" s="37"/>
    </row>
    <row r="830" ht="22.5" customHeight="1">
      <c r="A830" s="30"/>
      <c r="B830" s="31"/>
      <c r="C830" s="32"/>
      <c r="D830" s="33"/>
      <c r="E830" s="34"/>
      <c r="F830" s="34"/>
      <c r="G830" s="35"/>
      <c r="H830" s="34"/>
      <c r="I830" s="37"/>
    </row>
    <row r="831" ht="22.5" customHeight="1">
      <c r="A831" s="30"/>
      <c r="B831" s="31"/>
      <c r="C831" s="32"/>
      <c r="D831" s="33"/>
      <c r="E831" s="34"/>
      <c r="F831" s="34"/>
      <c r="G831" s="35"/>
      <c r="H831" s="34"/>
      <c r="I831" s="37"/>
    </row>
    <row r="832" ht="22.5" customHeight="1">
      <c r="A832" s="30"/>
      <c r="B832" s="31"/>
      <c r="C832" s="32"/>
      <c r="D832" s="33"/>
      <c r="E832" s="34"/>
      <c r="F832" s="34"/>
      <c r="G832" s="35"/>
      <c r="H832" s="34"/>
      <c r="I832" s="37"/>
    </row>
    <row r="833" ht="22.5" customHeight="1">
      <c r="A833" s="30"/>
      <c r="B833" s="31"/>
      <c r="C833" s="32"/>
      <c r="D833" s="33"/>
      <c r="E833" s="34"/>
      <c r="F833" s="34"/>
      <c r="G833" s="35"/>
      <c r="H833" s="34"/>
      <c r="I833" s="37"/>
    </row>
    <row r="834" ht="22.5" customHeight="1">
      <c r="A834" s="30"/>
      <c r="B834" s="31"/>
      <c r="C834" s="32"/>
      <c r="D834" s="33"/>
      <c r="E834" s="34"/>
      <c r="F834" s="34"/>
      <c r="G834" s="35"/>
      <c r="H834" s="34"/>
      <c r="I834" s="37"/>
    </row>
    <row r="835" ht="22.5" customHeight="1">
      <c r="A835" s="30"/>
      <c r="B835" s="31"/>
      <c r="C835" s="32"/>
      <c r="D835" s="33"/>
      <c r="E835" s="34"/>
      <c r="F835" s="34"/>
      <c r="G835" s="35"/>
      <c r="H835" s="34"/>
      <c r="I835" s="37"/>
    </row>
    <row r="836" ht="22.5" customHeight="1">
      <c r="A836" s="30"/>
      <c r="B836" s="31"/>
      <c r="C836" s="32"/>
      <c r="D836" s="33"/>
      <c r="E836" s="34"/>
      <c r="F836" s="34"/>
      <c r="G836" s="35"/>
      <c r="H836" s="34"/>
      <c r="I836" s="37"/>
    </row>
    <row r="837" ht="22.5" customHeight="1">
      <c r="A837" s="30"/>
      <c r="B837" s="40"/>
      <c r="C837" s="32"/>
      <c r="D837" s="33"/>
      <c r="E837" s="34"/>
      <c r="F837" s="34"/>
      <c r="G837" s="35"/>
      <c r="H837" s="34"/>
      <c r="I837" s="37"/>
    </row>
    <row r="838" ht="22.5" customHeight="1">
      <c r="A838" s="30"/>
      <c r="B838" s="31"/>
      <c r="C838" s="32"/>
      <c r="D838" s="33"/>
      <c r="E838" s="34"/>
      <c r="F838" s="34"/>
      <c r="G838" s="35"/>
      <c r="H838" s="34"/>
      <c r="I838" s="37"/>
    </row>
    <row r="839" ht="22.5" customHeight="1">
      <c r="A839" s="30"/>
      <c r="B839" s="31"/>
      <c r="C839" s="32"/>
      <c r="D839" s="33"/>
      <c r="E839" s="34"/>
      <c r="F839" s="34"/>
      <c r="G839" s="35"/>
      <c r="H839" s="34"/>
      <c r="I839" s="37"/>
    </row>
    <row r="840" ht="22.5" customHeight="1">
      <c r="A840" s="30"/>
      <c r="B840" s="31"/>
      <c r="C840" s="32"/>
      <c r="D840" s="33"/>
      <c r="E840" s="34"/>
      <c r="F840" s="34"/>
      <c r="G840" s="35"/>
      <c r="H840" s="34"/>
      <c r="I840" s="37"/>
    </row>
    <row r="841" ht="22.5" customHeight="1">
      <c r="A841" s="30"/>
      <c r="B841" s="31"/>
      <c r="C841" s="32"/>
      <c r="D841" s="33"/>
      <c r="E841" s="34"/>
      <c r="F841" s="34"/>
      <c r="G841" s="35"/>
      <c r="H841" s="34"/>
      <c r="I841" s="37"/>
    </row>
    <row r="842" ht="22.5" customHeight="1">
      <c r="A842" s="30"/>
      <c r="B842" s="31"/>
      <c r="C842" s="32"/>
      <c r="D842" s="33"/>
      <c r="E842" s="34"/>
      <c r="F842" s="34"/>
      <c r="G842" s="35"/>
      <c r="H842" s="34"/>
      <c r="I842" s="37"/>
    </row>
    <row r="843" ht="22.5" customHeight="1">
      <c r="A843" s="30"/>
      <c r="B843" s="31"/>
      <c r="C843" s="32"/>
      <c r="D843" s="33"/>
      <c r="E843" s="34"/>
      <c r="F843" s="34"/>
      <c r="G843" s="35"/>
      <c r="H843" s="34"/>
      <c r="I843" s="37"/>
    </row>
    <row r="844" ht="22.5" customHeight="1">
      <c r="A844" s="30"/>
      <c r="B844" s="39"/>
      <c r="C844" s="32"/>
      <c r="D844" s="33"/>
      <c r="E844" s="34"/>
      <c r="F844" s="34"/>
      <c r="G844" s="35"/>
      <c r="H844" s="34"/>
      <c r="I844" s="37"/>
    </row>
    <row r="845" ht="22.5" customHeight="1">
      <c r="A845" s="30"/>
      <c r="B845" s="39"/>
      <c r="C845" s="32"/>
      <c r="D845" s="33"/>
      <c r="E845" s="34"/>
      <c r="F845" s="34"/>
      <c r="G845" s="35"/>
      <c r="H845" s="34"/>
      <c r="I845" s="37"/>
    </row>
    <row r="846" ht="22.5" customHeight="1">
      <c r="A846" s="30"/>
      <c r="B846" s="39"/>
      <c r="C846" s="32"/>
      <c r="D846" s="33"/>
      <c r="E846" s="34"/>
      <c r="F846" s="34"/>
      <c r="G846" s="35"/>
      <c r="H846" s="34"/>
      <c r="I846" s="37"/>
    </row>
    <row r="847" ht="22.5" customHeight="1">
      <c r="A847" s="30"/>
      <c r="B847" s="40"/>
      <c r="C847" s="32"/>
      <c r="D847" s="33"/>
      <c r="E847" s="34"/>
      <c r="F847" s="34"/>
      <c r="G847" s="35"/>
      <c r="H847" s="34"/>
      <c r="I847" s="37"/>
    </row>
    <row r="848" ht="22.5" customHeight="1">
      <c r="A848" s="30"/>
      <c r="B848" s="31"/>
      <c r="C848" s="32"/>
      <c r="D848" s="33"/>
      <c r="E848" s="34"/>
      <c r="F848" s="34"/>
      <c r="G848" s="35"/>
      <c r="H848" s="34"/>
      <c r="I848" s="37"/>
    </row>
    <row r="849" ht="22.5" customHeight="1">
      <c r="A849" s="30"/>
      <c r="B849" s="31"/>
      <c r="C849" s="32"/>
      <c r="D849" s="33"/>
      <c r="E849" s="34"/>
      <c r="F849" s="34"/>
      <c r="G849" s="35"/>
      <c r="H849" s="34"/>
      <c r="I849" s="37"/>
    </row>
    <row r="850" ht="22.5" customHeight="1">
      <c r="A850" s="30"/>
      <c r="B850" s="31"/>
      <c r="C850" s="32"/>
      <c r="D850" s="33"/>
      <c r="E850" s="34"/>
      <c r="F850" s="34"/>
      <c r="G850" s="35"/>
      <c r="H850" s="34"/>
      <c r="I850" s="37"/>
    </row>
    <row r="851" ht="22.5" customHeight="1">
      <c r="A851" s="30"/>
      <c r="B851" s="31"/>
      <c r="C851" s="32"/>
      <c r="D851" s="33"/>
      <c r="E851" s="34"/>
      <c r="F851" s="34"/>
      <c r="G851" s="35"/>
      <c r="H851" s="34"/>
      <c r="I851" s="37"/>
    </row>
    <row r="852" ht="22.5" customHeight="1">
      <c r="A852" s="30"/>
      <c r="B852" s="31"/>
      <c r="C852" s="32"/>
      <c r="D852" s="33"/>
      <c r="E852" s="34"/>
      <c r="F852" s="34"/>
      <c r="G852" s="35"/>
      <c r="H852" s="34"/>
      <c r="I852" s="37"/>
    </row>
    <row r="853" ht="22.5" customHeight="1">
      <c r="A853" s="30"/>
      <c r="B853" s="31"/>
      <c r="C853" s="32"/>
      <c r="D853" s="33"/>
      <c r="E853" s="34"/>
      <c r="F853" s="34"/>
      <c r="G853" s="35"/>
      <c r="H853" s="34"/>
      <c r="I853" s="37"/>
    </row>
    <row r="854" ht="22.5" customHeight="1">
      <c r="A854" s="30"/>
      <c r="B854" s="31"/>
      <c r="C854" s="32"/>
      <c r="D854" s="33"/>
      <c r="E854" s="34"/>
      <c r="F854" s="34"/>
      <c r="G854" s="35"/>
      <c r="H854" s="34"/>
      <c r="I854" s="37"/>
    </row>
    <row r="855" ht="22.5" customHeight="1">
      <c r="A855" s="30"/>
      <c r="B855" s="31"/>
      <c r="C855" s="32"/>
      <c r="D855" s="33"/>
      <c r="E855" s="34"/>
      <c r="F855" s="34"/>
      <c r="G855" s="35"/>
      <c r="H855" s="34"/>
      <c r="I855" s="37"/>
    </row>
    <row r="856" ht="22.5" customHeight="1">
      <c r="A856" s="30"/>
      <c r="B856" s="31"/>
      <c r="C856" s="32"/>
      <c r="D856" s="33"/>
      <c r="E856" s="34"/>
      <c r="F856" s="34"/>
      <c r="G856" s="35"/>
      <c r="H856" s="34"/>
      <c r="I856" s="37"/>
    </row>
    <row r="857" ht="22.5" customHeight="1">
      <c r="A857" s="30"/>
      <c r="B857" s="40"/>
      <c r="C857" s="32"/>
      <c r="D857" s="33"/>
      <c r="E857" s="34"/>
      <c r="F857" s="34"/>
      <c r="G857" s="35"/>
      <c r="H857" s="34"/>
      <c r="I857" s="37"/>
    </row>
    <row r="858" ht="22.5" customHeight="1">
      <c r="A858" s="30"/>
      <c r="B858" s="31"/>
      <c r="C858" s="32"/>
      <c r="D858" s="33"/>
      <c r="E858" s="34"/>
      <c r="F858" s="34"/>
      <c r="G858" s="35"/>
      <c r="H858" s="34"/>
      <c r="I858" s="37"/>
    </row>
    <row r="859" ht="22.5" customHeight="1">
      <c r="A859" s="30"/>
      <c r="B859" s="31"/>
      <c r="C859" s="32"/>
      <c r="D859" s="33"/>
      <c r="E859" s="34"/>
      <c r="F859" s="34"/>
      <c r="G859" s="35"/>
      <c r="H859" s="34"/>
      <c r="I859" s="37"/>
    </row>
    <row r="860" ht="22.5" customHeight="1">
      <c r="A860" s="30"/>
      <c r="B860" s="31"/>
      <c r="C860" s="32"/>
      <c r="D860" s="33"/>
      <c r="E860" s="34"/>
      <c r="F860" s="34"/>
      <c r="G860" s="35"/>
      <c r="H860" s="34"/>
      <c r="I860" s="37"/>
    </row>
    <row r="861" ht="22.5" customHeight="1">
      <c r="A861" s="30"/>
      <c r="B861" s="40"/>
      <c r="C861" s="32"/>
      <c r="D861" s="33"/>
      <c r="E861" s="34"/>
      <c r="F861" s="34"/>
      <c r="G861" s="35"/>
      <c r="H861" s="34"/>
      <c r="I861" s="37"/>
    </row>
    <row r="862" ht="22.5" customHeight="1">
      <c r="A862" s="30"/>
      <c r="B862" s="31"/>
      <c r="C862" s="32"/>
      <c r="D862" s="33"/>
      <c r="E862" s="34"/>
      <c r="F862" s="34"/>
      <c r="G862" s="35"/>
      <c r="H862" s="34"/>
      <c r="I862" s="37"/>
    </row>
    <row r="863" ht="22.5" customHeight="1">
      <c r="A863" s="30"/>
      <c r="B863" s="31"/>
      <c r="C863" s="32"/>
      <c r="D863" s="33"/>
      <c r="E863" s="34"/>
      <c r="F863" s="34"/>
      <c r="G863" s="35"/>
      <c r="H863" s="34"/>
      <c r="I863" s="37"/>
    </row>
    <row r="864" ht="22.5" customHeight="1">
      <c r="A864" s="30"/>
      <c r="B864" s="31"/>
      <c r="C864" s="32"/>
      <c r="D864" s="33"/>
      <c r="E864" s="34"/>
      <c r="F864" s="34"/>
      <c r="G864" s="35"/>
      <c r="H864" s="34"/>
      <c r="I864" s="37"/>
    </row>
    <row r="865" ht="22.5" customHeight="1">
      <c r="A865" s="30"/>
      <c r="B865" s="31"/>
      <c r="C865" s="32"/>
      <c r="D865" s="33"/>
      <c r="E865" s="34"/>
      <c r="F865" s="34"/>
      <c r="G865" s="35"/>
      <c r="H865" s="34"/>
      <c r="I865" s="37"/>
    </row>
    <row r="866" ht="22.5" customHeight="1">
      <c r="A866" s="30"/>
      <c r="B866" s="31"/>
      <c r="C866" s="32"/>
      <c r="D866" s="33"/>
      <c r="E866" s="34"/>
      <c r="F866" s="34"/>
      <c r="G866" s="35"/>
      <c r="H866" s="34"/>
      <c r="I866" s="37"/>
    </row>
    <row r="867" ht="22.5" customHeight="1">
      <c r="A867" s="30"/>
      <c r="B867" s="31"/>
      <c r="C867" s="32"/>
      <c r="D867" s="33"/>
      <c r="E867" s="34"/>
      <c r="F867" s="34"/>
      <c r="G867" s="35"/>
      <c r="H867" s="34"/>
      <c r="I867" s="37"/>
    </row>
    <row r="868" ht="22.5" customHeight="1">
      <c r="A868" s="30"/>
      <c r="B868" s="31"/>
      <c r="C868" s="32"/>
      <c r="D868" s="33"/>
      <c r="E868" s="34"/>
      <c r="F868" s="34"/>
      <c r="G868" s="35"/>
      <c r="H868" s="34"/>
      <c r="I868" s="37"/>
    </row>
    <row r="869" ht="22.5" customHeight="1">
      <c r="A869" s="30"/>
      <c r="B869" s="31"/>
      <c r="C869" s="32"/>
      <c r="D869" s="33"/>
      <c r="E869" s="34"/>
      <c r="F869" s="34"/>
      <c r="G869" s="35"/>
      <c r="H869" s="34"/>
      <c r="I869" s="37"/>
    </row>
    <row r="870" ht="22.5" customHeight="1">
      <c r="A870" s="30"/>
      <c r="B870" s="31"/>
      <c r="C870" s="32"/>
      <c r="D870" s="33"/>
      <c r="E870" s="34"/>
      <c r="F870" s="34"/>
      <c r="G870" s="35"/>
      <c r="H870" s="34"/>
      <c r="I870" s="37"/>
    </row>
    <row r="871" ht="22.5" customHeight="1">
      <c r="A871" s="30"/>
      <c r="B871" s="31"/>
      <c r="C871" s="32"/>
      <c r="D871" s="33"/>
      <c r="E871" s="34"/>
      <c r="F871" s="34"/>
      <c r="G871" s="35"/>
      <c r="H871" s="34"/>
      <c r="I871" s="37"/>
    </row>
    <row r="872" ht="22.5" customHeight="1">
      <c r="A872" s="30"/>
      <c r="B872" s="31"/>
      <c r="C872" s="32"/>
      <c r="D872" s="33"/>
      <c r="E872" s="34"/>
      <c r="F872" s="34"/>
      <c r="G872" s="35"/>
      <c r="H872" s="34"/>
      <c r="I872" s="37"/>
    </row>
    <row r="873" ht="22.5" customHeight="1">
      <c r="A873" s="30"/>
      <c r="B873" s="31"/>
      <c r="C873" s="32"/>
      <c r="D873" s="33"/>
      <c r="E873" s="34"/>
      <c r="F873" s="34"/>
      <c r="G873" s="35"/>
      <c r="H873" s="34"/>
      <c r="I873" s="37"/>
    </row>
    <row r="874" ht="22.5" customHeight="1">
      <c r="A874" s="30"/>
      <c r="B874" s="31"/>
      <c r="C874" s="32"/>
      <c r="D874" s="33"/>
      <c r="E874" s="34"/>
      <c r="F874" s="34"/>
      <c r="G874" s="35"/>
      <c r="H874" s="34"/>
      <c r="I874" s="37"/>
    </row>
    <row r="875" ht="22.5" customHeight="1">
      <c r="A875" s="30"/>
      <c r="B875" s="31"/>
      <c r="C875" s="32"/>
      <c r="D875" s="33"/>
      <c r="E875" s="34"/>
      <c r="F875" s="34"/>
      <c r="G875" s="35"/>
      <c r="H875" s="34"/>
      <c r="I875" s="37"/>
    </row>
    <row r="876" ht="22.5" customHeight="1">
      <c r="A876" s="30"/>
      <c r="B876" s="40"/>
      <c r="C876" s="32"/>
      <c r="D876" s="33"/>
      <c r="E876" s="34"/>
      <c r="F876" s="34"/>
      <c r="G876" s="35"/>
      <c r="H876" s="34"/>
      <c r="I876" s="37"/>
    </row>
    <row r="877" ht="22.5" customHeight="1">
      <c r="A877" s="30"/>
      <c r="B877" s="31"/>
      <c r="C877" s="32"/>
      <c r="D877" s="33"/>
      <c r="E877" s="34"/>
      <c r="F877" s="34"/>
      <c r="G877" s="35"/>
      <c r="H877" s="34"/>
      <c r="I877" s="37"/>
    </row>
    <row r="878" ht="22.5" customHeight="1">
      <c r="A878" s="30"/>
      <c r="B878" s="40"/>
      <c r="C878" s="32"/>
      <c r="D878" s="33"/>
      <c r="E878" s="34"/>
      <c r="F878" s="34"/>
      <c r="G878" s="35"/>
      <c r="H878" s="34"/>
      <c r="I878" s="37"/>
    </row>
    <row r="879" ht="22.5" customHeight="1">
      <c r="A879" s="30"/>
      <c r="B879" s="31"/>
      <c r="C879" s="32"/>
      <c r="D879" s="33"/>
      <c r="E879" s="34"/>
      <c r="F879" s="34"/>
      <c r="G879" s="35"/>
      <c r="H879" s="34"/>
      <c r="I879" s="37"/>
    </row>
    <row r="880" ht="22.5" customHeight="1">
      <c r="A880" s="30"/>
      <c r="B880" s="31"/>
      <c r="C880" s="32"/>
      <c r="D880" s="33"/>
      <c r="E880" s="34"/>
      <c r="F880" s="34"/>
      <c r="G880" s="35"/>
      <c r="H880" s="34"/>
      <c r="I880" s="37"/>
    </row>
    <row r="881" ht="22.5" customHeight="1">
      <c r="A881" s="30"/>
      <c r="B881" s="31"/>
      <c r="C881" s="32"/>
      <c r="D881" s="33"/>
      <c r="E881" s="34"/>
      <c r="F881" s="34"/>
      <c r="G881" s="35"/>
      <c r="H881" s="34"/>
      <c r="I881" s="37"/>
    </row>
    <row r="882" ht="22.5" customHeight="1">
      <c r="A882" s="30"/>
      <c r="B882" s="31"/>
      <c r="C882" s="32"/>
      <c r="D882" s="33"/>
      <c r="E882" s="34"/>
      <c r="F882" s="34"/>
      <c r="G882" s="35"/>
      <c r="H882" s="34"/>
      <c r="I882" s="37"/>
    </row>
    <row r="883" ht="22.5" customHeight="1">
      <c r="A883" s="30"/>
      <c r="B883" s="40"/>
      <c r="C883" s="32"/>
      <c r="D883" s="33"/>
      <c r="E883" s="34"/>
      <c r="F883" s="34"/>
      <c r="G883" s="35"/>
      <c r="H883" s="34"/>
      <c r="I883" s="37"/>
    </row>
    <row r="884" ht="22.5" customHeight="1">
      <c r="A884" s="30"/>
      <c r="B884" s="31"/>
      <c r="C884" s="32"/>
      <c r="D884" s="33"/>
      <c r="E884" s="34"/>
      <c r="F884" s="34"/>
      <c r="G884" s="35"/>
      <c r="H884" s="34"/>
      <c r="I884" s="37"/>
    </row>
    <row r="885" ht="22.5" customHeight="1">
      <c r="A885" s="30"/>
      <c r="B885" s="31"/>
      <c r="C885" s="32"/>
      <c r="D885" s="33"/>
      <c r="E885" s="34"/>
      <c r="F885" s="34"/>
      <c r="G885" s="35"/>
      <c r="H885" s="34"/>
      <c r="I885" s="37"/>
    </row>
    <row r="886" ht="22.5" customHeight="1">
      <c r="A886" s="30"/>
      <c r="B886" s="31"/>
      <c r="C886" s="32"/>
      <c r="D886" s="33"/>
      <c r="E886" s="34"/>
      <c r="F886" s="34"/>
      <c r="G886" s="35"/>
      <c r="H886" s="34"/>
      <c r="I886" s="37"/>
    </row>
    <row r="887" ht="22.5" customHeight="1">
      <c r="A887" s="30"/>
      <c r="B887" s="31"/>
      <c r="C887" s="32"/>
      <c r="D887" s="33"/>
      <c r="E887" s="34"/>
      <c r="F887" s="34"/>
      <c r="G887" s="35"/>
      <c r="H887" s="34"/>
      <c r="I887" s="37"/>
    </row>
    <row r="888" ht="22.5" customHeight="1">
      <c r="A888" s="30"/>
      <c r="B888" s="31"/>
      <c r="C888" s="32"/>
      <c r="D888" s="33"/>
      <c r="E888" s="34"/>
      <c r="F888" s="34"/>
      <c r="G888" s="35"/>
      <c r="H888" s="34"/>
      <c r="I888" s="37"/>
    </row>
    <row r="889" ht="22.5" customHeight="1">
      <c r="A889" s="30"/>
      <c r="B889" s="31"/>
      <c r="C889" s="32"/>
      <c r="D889" s="33"/>
      <c r="E889" s="34"/>
      <c r="F889" s="34"/>
      <c r="G889" s="35"/>
      <c r="H889" s="34"/>
      <c r="I889" s="37"/>
    </row>
    <row r="890" ht="22.5" customHeight="1">
      <c r="A890" s="30"/>
      <c r="B890" s="31"/>
      <c r="C890" s="32"/>
      <c r="D890" s="33"/>
      <c r="E890" s="34"/>
      <c r="F890" s="34"/>
      <c r="G890" s="35"/>
      <c r="H890" s="34"/>
      <c r="I890" s="37"/>
    </row>
    <row r="891" ht="22.5" customHeight="1">
      <c r="A891" s="30"/>
      <c r="B891" s="31"/>
      <c r="C891" s="32"/>
      <c r="D891" s="33"/>
      <c r="E891" s="34"/>
      <c r="F891" s="34"/>
      <c r="G891" s="35"/>
      <c r="H891" s="34"/>
      <c r="I891" s="37"/>
    </row>
    <row r="892" ht="22.5" customHeight="1">
      <c r="A892" s="30"/>
      <c r="B892" s="31"/>
      <c r="C892" s="32"/>
      <c r="D892" s="33"/>
      <c r="E892" s="34"/>
      <c r="F892" s="34"/>
      <c r="G892" s="35"/>
      <c r="H892" s="34"/>
      <c r="I892" s="37"/>
    </row>
    <row r="893" ht="22.5" customHeight="1">
      <c r="A893" s="30"/>
      <c r="B893" s="31"/>
      <c r="C893" s="32"/>
      <c r="D893" s="33"/>
      <c r="E893" s="34"/>
      <c r="F893" s="34"/>
      <c r="G893" s="35"/>
      <c r="H893" s="34"/>
      <c r="I893" s="37"/>
    </row>
    <row r="894" ht="22.5" customHeight="1">
      <c r="A894" s="30"/>
      <c r="B894" s="31"/>
      <c r="C894" s="32"/>
      <c r="D894" s="33"/>
      <c r="E894" s="34"/>
      <c r="F894" s="34"/>
      <c r="G894" s="35"/>
      <c r="H894" s="34"/>
      <c r="I894" s="37"/>
    </row>
    <row r="895" ht="22.5" customHeight="1">
      <c r="A895" s="30"/>
      <c r="B895" s="31"/>
      <c r="C895" s="32"/>
      <c r="D895" s="33"/>
      <c r="E895" s="34"/>
      <c r="F895" s="34"/>
      <c r="G895" s="35"/>
      <c r="H895" s="34"/>
      <c r="I895" s="37"/>
    </row>
    <row r="896" ht="22.5" customHeight="1">
      <c r="A896" s="30"/>
      <c r="B896" s="31"/>
      <c r="C896" s="32"/>
      <c r="D896" s="33"/>
      <c r="E896" s="34"/>
      <c r="F896" s="34"/>
      <c r="G896" s="35"/>
      <c r="H896" s="34"/>
      <c r="I896" s="37"/>
    </row>
    <row r="897" ht="22.5" customHeight="1">
      <c r="A897" s="30"/>
      <c r="B897" s="31"/>
      <c r="C897" s="32"/>
      <c r="D897" s="33"/>
      <c r="E897" s="34"/>
      <c r="F897" s="34"/>
      <c r="G897" s="35"/>
      <c r="H897" s="34"/>
      <c r="I897" s="37"/>
    </row>
    <row r="898" ht="22.5" customHeight="1">
      <c r="A898" s="30"/>
      <c r="B898" s="31"/>
      <c r="C898" s="32"/>
      <c r="D898" s="33"/>
      <c r="E898" s="34"/>
      <c r="F898" s="34"/>
      <c r="G898" s="35"/>
      <c r="H898" s="34"/>
      <c r="I898" s="37"/>
    </row>
    <row r="899" ht="22.5" customHeight="1">
      <c r="A899" s="30"/>
      <c r="B899" s="31"/>
      <c r="C899" s="32"/>
      <c r="D899" s="33"/>
      <c r="E899" s="34"/>
      <c r="F899" s="34"/>
      <c r="G899" s="35"/>
      <c r="H899" s="34"/>
      <c r="I899" s="37"/>
    </row>
    <row r="900" ht="22.5" customHeight="1">
      <c r="A900" s="30"/>
      <c r="B900" s="31"/>
      <c r="C900" s="32"/>
      <c r="D900" s="33"/>
      <c r="E900" s="34"/>
      <c r="F900" s="34"/>
      <c r="G900" s="35"/>
      <c r="H900" s="34"/>
      <c r="I900" s="37"/>
    </row>
    <row r="901" ht="22.5" customHeight="1">
      <c r="A901" s="30"/>
      <c r="B901" s="31"/>
      <c r="C901" s="32"/>
      <c r="D901" s="33"/>
      <c r="E901" s="34"/>
      <c r="F901" s="34"/>
      <c r="G901" s="35"/>
      <c r="H901" s="34"/>
      <c r="I901" s="37"/>
    </row>
    <row r="902" ht="22.5" customHeight="1">
      <c r="A902" s="30"/>
      <c r="B902" s="31"/>
      <c r="C902" s="32"/>
      <c r="D902" s="33"/>
      <c r="E902" s="34"/>
      <c r="F902" s="34"/>
      <c r="G902" s="35"/>
      <c r="H902" s="34"/>
      <c r="I902" s="37"/>
    </row>
    <row r="903" ht="22.5" customHeight="1">
      <c r="A903" s="30"/>
      <c r="B903" s="31"/>
      <c r="C903" s="32"/>
      <c r="D903" s="33"/>
      <c r="E903" s="34"/>
      <c r="F903" s="34"/>
      <c r="G903" s="35"/>
      <c r="H903" s="34"/>
      <c r="I903" s="37"/>
    </row>
    <row r="904" ht="22.5" customHeight="1">
      <c r="A904" s="30"/>
      <c r="B904" s="31"/>
      <c r="C904" s="32"/>
      <c r="D904" s="33"/>
      <c r="E904" s="34"/>
      <c r="F904" s="34"/>
      <c r="G904" s="35"/>
      <c r="H904" s="34"/>
      <c r="I904" s="37"/>
    </row>
    <row r="905" ht="22.5" customHeight="1">
      <c r="A905" s="30"/>
      <c r="B905" s="40"/>
      <c r="C905" s="32"/>
      <c r="D905" s="33"/>
      <c r="E905" s="34"/>
      <c r="F905" s="34"/>
      <c r="G905" s="35"/>
      <c r="H905" s="34"/>
      <c r="I905" s="37"/>
    </row>
    <row r="906" ht="22.5" customHeight="1">
      <c r="A906" s="30"/>
      <c r="B906" s="31"/>
      <c r="C906" s="32"/>
      <c r="D906" s="33"/>
      <c r="E906" s="34"/>
      <c r="F906" s="34"/>
      <c r="G906" s="35"/>
      <c r="H906" s="34"/>
      <c r="I906" s="37"/>
    </row>
    <row r="907" ht="22.5" customHeight="1">
      <c r="A907" s="30"/>
      <c r="B907" s="31"/>
      <c r="C907" s="32"/>
      <c r="D907" s="33"/>
      <c r="E907" s="34"/>
      <c r="F907" s="34"/>
      <c r="G907" s="35"/>
      <c r="H907" s="34"/>
      <c r="I907" s="37"/>
    </row>
    <row r="908" ht="22.5" customHeight="1">
      <c r="A908" s="30"/>
      <c r="B908" s="31"/>
      <c r="C908" s="32"/>
      <c r="D908" s="33"/>
      <c r="E908" s="34"/>
      <c r="F908" s="34"/>
      <c r="G908" s="35"/>
      <c r="H908" s="34"/>
      <c r="I908" s="37"/>
    </row>
    <row r="909" ht="22.5" customHeight="1">
      <c r="A909" s="30"/>
      <c r="B909" s="31"/>
      <c r="C909" s="32"/>
      <c r="D909" s="33"/>
      <c r="E909" s="34"/>
      <c r="F909" s="34"/>
      <c r="G909" s="35"/>
      <c r="H909" s="34"/>
      <c r="I909" s="38"/>
    </row>
    <row r="910" ht="22.5" customHeight="1">
      <c r="A910" s="30"/>
      <c r="B910" s="39"/>
      <c r="C910" s="32"/>
      <c r="D910" s="33"/>
      <c r="E910" s="34"/>
      <c r="F910" s="34"/>
      <c r="G910" s="35"/>
      <c r="H910" s="34"/>
      <c r="I910" s="37"/>
    </row>
    <row r="911" ht="22.5" customHeight="1">
      <c r="A911" s="30"/>
      <c r="B911" s="31"/>
      <c r="C911" s="32"/>
      <c r="D911" s="33"/>
      <c r="E911" s="34"/>
      <c r="F911" s="34"/>
      <c r="G911" s="35"/>
      <c r="H911" s="34"/>
      <c r="I911" s="37"/>
    </row>
    <row r="912" ht="22.5" customHeight="1">
      <c r="A912" s="30"/>
      <c r="B912" s="31"/>
      <c r="C912" s="32"/>
      <c r="D912" s="33"/>
      <c r="E912" s="34"/>
      <c r="F912" s="34"/>
      <c r="G912" s="35"/>
      <c r="H912" s="34"/>
      <c r="I912" s="37"/>
    </row>
    <row r="913" ht="22.5" customHeight="1">
      <c r="A913" s="30"/>
      <c r="B913" s="31"/>
      <c r="C913" s="32"/>
      <c r="D913" s="33"/>
      <c r="E913" s="34"/>
      <c r="F913" s="34"/>
      <c r="G913" s="35"/>
      <c r="H913" s="34"/>
      <c r="I913" s="37"/>
    </row>
    <row r="914" ht="22.5" customHeight="1">
      <c r="A914" s="30"/>
      <c r="B914" s="39"/>
      <c r="C914" s="32"/>
      <c r="D914" s="33"/>
      <c r="E914" s="34"/>
      <c r="F914" s="34"/>
      <c r="G914" s="35"/>
      <c r="H914" s="34"/>
      <c r="I914" s="37"/>
    </row>
    <row r="915" ht="22.5" customHeight="1">
      <c r="A915" s="30"/>
      <c r="B915" s="31"/>
      <c r="C915" s="32"/>
      <c r="D915" s="33"/>
      <c r="E915" s="34"/>
      <c r="F915" s="34"/>
      <c r="G915" s="35"/>
      <c r="H915" s="34"/>
      <c r="I915" s="37"/>
    </row>
    <row r="916" ht="22.5" customHeight="1">
      <c r="A916" s="30"/>
      <c r="B916" s="39"/>
      <c r="C916" s="32"/>
      <c r="D916" s="33"/>
      <c r="E916" s="34"/>
      <c r="F916" s="34"/>
      <c r="G916" s="35"/>
      <c r="H916" s="34"/>
      <c r="I916" s="37"/>
    </row>
    <row r="917" ht="22.5" customHeight="1">
      <c r="A917" s="30"/>
      <c r="B917" s="31"/>
      <c r="C917" s="32"/>
      <c r="D917" s="33"/>
      <c r="E917" s="34"/>
      <c r="F917" s="34"/>
      <c r="G917" s="35"/>
      <c r="H917" s="34"/>
      <c r="I917" s="37"/>
    </row>
    <row r="918" ht="22.5" customHeight="1">
      <c r="A918" s="30"/>
      <c r="B918" s="31"/>
      <c r="C918" s="32"/>
      <c r="D918" s="33"/>
      <c r="E918" s="34"/>
      <c r="F918" s="34"/>
      <c r="G918" s="35"/>
      <c r="H918" s="34"/>
      <c r="I918" s="37"/>
    </row>
    <row r="919" ht="22.5" customHeight="1">
      <c r="A919" s="30"/>
      <c r="B919" s="31"/>
      <c r="C919" s="32"/>
      <c r="D919" s="33"/>
      <c r="E919" s="34"/>
      <c r="F919" s="34"/>
      <c r="G919" s="35"/>
      <c r="H919" s="34"/>
      <c r="I919" s="37"/>
    </row>
    <row r="920" ht="22.5" customHeight="1">
      <c r="A920" s="30"/>
      <c r="B920" s="31"/>
      <c r="C920" s="32"/>
      <c r="D920" s="33"/>
      <c r="E920" s="34"/>
      <c r="F920" s="34"/>
      <c r="G920" s="35"/>
      <c r="H920" s="34"/>
      <c r="I920" s="37"/>
    </row>
    <row r="921" ht="22.5" customHeight="1">
      <c r="A921" s="30"/>
      <c r="B921" s="31"/>
      <c r="C921" s="32"/>
      <c r="D921" s="33"/>
      <c r="E921" s="34"/>
      <c r="F921" s="34"/>
      <c r="G921" s="35"/>
      <c r="H921" s="34"/>
      <c r="I921" s="37"/>
    </row>
    <row r="922" ht="22.5" customHeight="1">
      <c r="A922" s="30"/>
      <c r="B922" s="31"/>
      <c r="C922" s="32"/>
      <c r="D922" s="33"/>
      <c r="E922" s="34"/>
      <c r="F922" s="34"/>
      <c r="G922" s="35"/>
      <c r="H922" s="34"/>
      <c r="I922" s="37"/>
    </row>
    <row r="923" ht="22.5" customHeight="1">
      <c r="A923" s="30"/>
      <c r="B923" s="31"/>
      <c r="C923" s="32"/>
      <c r="D923" s="33"/>
      <c r="E923" s="34"/>
      <c r="F923" s="34"/>
      <c r="G923" s="35"/>
      <c r="H923" s="34"/>
      <c r="I923" s="37"/>
    </row>
    <row r="924" ht="22.5" customHeight="1">
      <c r="A924" s="30"/>
      <c r="B924" s="31"/>
      <c r="C924" s="32"/>
      <c r="D924" s="33"/>
      <c r="E924" s="34"/>
      <c r="F924" s="34"/>
      <c r="G924" s="35"/>
      <c r="H924" s="34"/>
      <c r="I924" s="37"/>
    </row>
    <row r="925" ht="22.5" customHeight="1">
      <c r="A925" s="30"/>
      <c r="B925" s="31"/>
      <c r="C925" s="32"/>
      <c r="D925" s="33"/>
      <c r="E925" s="34"/>
      <c r="F925" s="34"/>
      <c r="G925" s="35"/>
      <c r="H925" s="34"/>
      <c r="I925" s="37"/>
    </row>
    <row r="926" ht="22.5" customHeight="1">
      <c r="A926" s="30"/>
      <c r="B926" s="31"/>
      <c r="C926" s="32"/>
      <c r="D926" s="33"/>
      <c r="E926" s="34"/>
      <c r="F926" s="34"/>
      <c r="G926" s="35"/>
      <c r="H926" s="34"/>
      <c r="I926" s="37"/>
    </row>
    <row r="927" ht="22.5" customHeight="1">
      <c r="A927" s="30"/>
      <c r="B927" s="40"/>
      <c r="C927" s="32"/>
      <c r="D927" s="33"/>
      <c r="E927" s="34"/>
      <c r="F927" s="34"/>
      <c r="G927" s="35"/>
      <c r="H927" s="34"/>
      <c r="I927" s="37"/>
    </row>
    <row r="928" ht="22.5" customHeight="1">
      <c r="A928" s="30"/>
      <c r="B928" s="31"/>
      <c r="C928" s="32"/>
      <c r="D928" s="33"/>
      <c r="E928" s="34"/>
      <c r="F928" s="34"/>
      <c r="G928" s="35"/>
      <c r="H928" s="34"/>
      <c r="I928" s="37"/>
    </row>
    <row r="929" ht="22.5" customHeight="1">
      <c r="A929" s="30"/>
      <c r="B929" s="31"/>
      <c r="C929" s="32"/>
      <c r="D929" s="33"/>
      <c r="E929" s="34"/>
      <c r="F929" s="34"/>
      <c r="G929" s="35"/>
      <c r="H929" s="34"/>
      <c r="I929" s="37"/>
    </row>
    <row r="930" ht="22.5" customHeight="1">
      <c r="A930" s="30"/>
      <c r="B930" s="31"/>
      <c r="C930" s="32"/>
      <c r="D930" s="33"/>
      <c r="E930" s="34"/>
      <c r="F930" s="34"/>
      <c r="G930" s="35"/>
      <c r="H930" s="34"/>
      <c r="I930" s="37"/>
    </row>
    <row r="931" ht="22.5" customHeight="1">
      <c r="A931" s="30"/>
      <c r="B931" s="31"/>
      <c r="C931" s="32"/>
      <c r="D931" s="33"/>
      <c r="E931" s="34"/>
      <c r="F931" s="34"/>
      <c r="G931" s="35"/>
      <c r="H931" s="34"/>
      <c r="I931" s="37"/>
    </row>
    <row r="932" ht="22.5" customHeight="1">
      <c r="A932" s="30"/>
      <c r="B932" s="31"/>
      <c r="C932" s="32"/>
      <c r="D932" s="33"/>
      <c r="E932" s="34"/>
      <c r="F932" s="34"/>
      <c r="G932" s="35"/>
      <c r="H932" s="34"/>
      <c r="I932" s="37"/>
    </row>
    <row r="933" ht="22.5" customHeight="1">
      <c r="A933" s="30"/>
      <c r="B933" s="31"/>
      <c r="C933" s="32"/>
      <c r="D933" s="33"/>
      <c r="E933" s="34"/>
      <c r="F933" s="34"/>
      <c r="G933" s="35"/>
      <c r="H933" s="34"/>
      <c r="I933" s="37"/>
    </row>
    <row r="934" ht="22.5" customHeight="1">
      <c r="A934" s="30"/>
      <c r="B934" s="39"/>
      <c r="C934" s="32"/>
      <c r="D934" s="33"/>
      <c r="E934" s="34"/>
      <c r="F934" s="34"/>
      <c r="G934" s="35"/>
      <c r="H934" s="34"/>
      <c r="I934" s="37"/>
    </row>
    <row r="935" ht="22.5" customHeight="1">
      <c r="A935" s="30"/>
      <c r="B935" s="39"/>
      <c r="C935" s="32"/>
      <c r="D935" s="33"/>
      <c r="E935" s="34"/>
      <c r="F935" s="34"/>
      <c r="G935" s="35"/>
      <c r="H935" s="34"/>
      <c r="I935" s="37"/>
    </row>
    <row r="936" ht="22.5" customHeight="1">
      <c r="A936" s="30"/>
      <c r="B936" s="39"/>
      <c r="C936" s="32"/>
      <c r="D936" s="33"/>
      <c r="E936" s="34"/>
      <c r="F936" s="34"/>
      <c r="G936" s="35"/>
      <c r="H936" s="34"/>
      <c r="I936" s="37"/>
    </row>
    <row r="937" ht="22.5" customHeight="1">
      <c r="A937" s="30"/>
      <c r="B937" s="40"/>
      <c r="C937" s="32"/>
      <c r="D937" s="33"/>
      <c r="E937" s="34"/>
      <c r="F937" s="34"/>
      <c r="G937" s="35"/>
      <c r="H937" s="34"/>
      <c r="I937" s="37"/>
    </row>
    <row r="938" ht="22.5" customHeight="1">
      <c r="A938" s="30"/>
      <c r="B938" s="31"/>
      <c r="C938" s="32"/>
      <c r="D938" s="33"/>
      <c r="E938" s="34"/>
      <c r="F938" s="34"/>
      <c r="G938" s="35"/>
      <c r="H938" s="34"/>
      <c r="I938" s="37"/>
    </row>
    <row r="939" ht="22.5" customHeight="1">
      <c r="A939" s="30"/>
      <c r="B939" s="31"/>
      <c r="C939" s="32"/>
      <c r="D939" s="33"/>
      <c r="E939" s="34"/>
      <c r="F939" s="34"/>
      <c r="G939" s="35"/>
      <c r="H939" s="34"/>
      <c r="I939" s="37"/>
    </row>
    <row r="940" ht="22.5" customHeight="1">
      <c r="A940" s="30"/>
      <c r="B940" s="31"/>
      <c r="C940" s="32"/>
      <c r="D940" s="33"/>
      <c r="E940" s="34"/>
      <c r="F940" s="34"/>
      <c r="G940" s="35"/>
      <c r="H940" s="34"/>
      <c r="I940" s="37"/>
    </row>
    <row r="941" ht="22.5" customHeight="1">
      <c r="A941" s="30"/>
      <c r="B941" s="31"/>
      <c r="C941" s="32"/>
      <c r="D941" s="33"/>
      <c r="E941" s="34"/>
      <c r="F941" s="34"/>
      <c r="G941" s="35"/>
      <c r="H941" s="34"/>
      <c r="I941" s="37"/>
    </row>
    <row r="942" ht="22.5" customHeight="1">
      <c r="A942" s="30"/>
      <c r="B942" s="31"/>
      <c r="C942" s="32"/>
      <c r="D942" s="33"/>
      <c r="E942" s="34"/>
      <c r="F942" s="34"/>
      <c r="G942" s="35"/>
      <c r="H942" s="34"/>
      <c r="I942" s="37"/>
    </row>
    <row r="943" ht="22.5" customHeight="1">
      <c r="A943" s="30"/>
      <c r="B943" s="31"/>
      <c r="C943" s="32"/>
      <c r="D943" s="33"/>
      <c r="E943" s="34"/>
      <c r="F943" s="34"/>
      <c r="G943" s="35"/>
      <c r="H943" s="34"/>
      <c r="I943" s="37"/>
    </row>
    <row r="944" ht="22.5" customHeight="1">
      <c r="A944" s="30"/>
      <c r="B944" s="31"/>
      <c r="C944" s="32"/>
      <c r="D944" s="33"/>
      <c r="E944" s="34"/>
      <c r="F944" s="34"/>
      <c r="G944" s="35"/>
      <c r="H944" s="34"/>
      <c r="I944" s="37"/>
    </row>
    <row r="945" ht="22.5" customHeight="1">
      <c r="A945" s="30"/>
      <c r="B945" s="31"/>
      <c r="C945" s="32"/>
      <c r="D945" s="33"/>
      <c r="E945" s="34"/>
      <c r="F945" s="34"/>
      <c r="G945" s="35"/>
      <c r="H945" s="34"/>
      <c r="I945" s="37"/>
    </row>
    <row r="946" ht="22.5" customHeight="1">
      <c r="A946" s="30"/>
      <c r="B946" s="31"/>
      <c r="C946" s="32"/>
      <c r="D946" s="33"/>
      <c r="E946" s="34"/>
      <c r="F946" s="34"/>
      <c r="G946" s="35"/>
      <c r="H946" s="34"/>
      <c r="I946" s="37"/>
    </row>
    <row r="947" ht="22.5" customHeight="1">
      <c r="A947" s="30"/>
      <c r="B947" s="40"/>
      <c r="C947" s="32"/>
      <c r="D947" s="33"/>
      <c r="E947" s="34"/>
      <c r="F947" s="34"/>
      <c r="G947" s="35"/>
      <c r="H947" s="34"/>
      <c r="I947" s="37"/>
    </row>
    <row r="948" ht="22.5" customHeight="1">
      <c r="A948" s="30"/>
      <c r="B948" s="31"/>
      <c r="C948" s="32"/>
      <c r="D948" s="33"/>
      <c r="E948" s="34"/>
      <c r="F948" s="34"/>
      <c r="G948" s="35"/>
      <c r="H948" s="34"/>
      <c r="I948" s="37"/>
    </row>
    <row r="949" ht="22.5" customHeight="1">
      <c r="A949" s="30"/>
      <c r="B949" s="31"/>
      <c r="C949" s="32"/>
      <c r="D949" s="33"/>
      <c r="E949" s="34"/>
      <c r="F949" s="34"/>
      <c r="G949" s="35"/>
      <c r="H949" s="34"/>
      <c r="I949" s="37"/>
    </row>
    <row r="950" ht="22.5" customHeight="1">
      <c r="A950" s="30"/>
      <c r="B950" s="31"/>
      <c r="C950" s="32"/>
      <c r="D950" s="33"/>
      <c r="E950" s="34"/>
      <c r="F950" s="34"/>
      <c r="G950" s="35"/>
      <c r="H950" s="34"/>
      <c r="I950" s="37"/>
    </row>
    <row r="951" ht="22.5" customHeight="1">
      <c r="A951" s="30"/>
      <c r="B951" s="40"/>
      <c r="C951" s="32"/>
      <c r="D951" s="33"/>
      <c r="E951" s="34"/>
      <c r="F951" s="34"/>
      <c r="G951" s="35"/>
      <c r="H951" s="34"/>
      <c r="I951" s="37"/>
    </row>
    <row r="952" ht="22.5" customHeight="1">
      <c r="A952" s="30"/>
      <c r="B952" s="31"/>
      <c r="C952" s="32"/>
      <c r="D952" s="33"/>
      <c r="E952" s="34"/>
      <c r="F952" s="34"/>
      <c r="G952" s="35"/>
      <c r="H952" s="34"/>
      <c r="I952" s="37"/>
    </row>
    <row r="953" ht="22.5" customHeight="1">
      <c r="A953" s="30"/>
      <c r="B953" s="31"/>
      <c r="C953" s="32"/>
      <c r="D953" s="33"/>
      <c r="E953" s="34"/>
      <c r="F953" s="34"/>
      <c r="G953" s="35"/>
      <c r="H953" s="34"/>
      <c r="I953" s="37"/>
    </row>
    <row r="954" ht="22.5" customHeight="1">
      <c r="A954" s="30"/>
      <c r="B954" s="31"/>
      <c r="C954" s="32"/>
      <c r="D954" s="33"/>
      <c r="E954" s="34"/>
      <c r="F954" s="34"/>
      <c r="G954" s="35"/>
      <c r="H954" s="34"/>
      <c r="I954" s="37"/>
    </row>
    <row r="955" ht="22.5" customHeight="1">
      <c r="A955" s="30"/>
      <c r="B955" s="31"/>
      <c r="C955" s="32"/>
      <c r="D955" s="33"/>
      <c r="E955" s="34"/>
      <c r="F955" s="34"/>
      <c r="G955" s="35"/>
      <c r="H955" s="34"/>
      <c r="I955" s="37"/>
    </row>
    <row r="956" ht="22.5" customHeight="1">
      <c r="A956" s="30"/>
      <c r="B956" s="31"/>
      <c r="C956" s="32"/>
      <c r="D956" s="33"/>
      <c r="E956" s="34"/>
      <c r="F956" s="34"/>
      <c r="G956" s="35"/>
      <c r="H956" s="34"/>
      <c r="I956" s="37"/>
    </row>
    <row r="957" ht="22.5" customHeight="1">
      <c r="A957" s="30"/>
      <c r="B957" s="31"/>
      <c r="C957" s="32"/>
      <c r="D957" s="33"/>
      <c r="E957" s="34"/>
      <c r="F957" s="34"/>
      <c r="G957" s="35"/>
      <c r="H957" s="34"/>
      <c r="I957" s="37"/>
    </row>
    <row r="958" ht="22.5" customHeight="1">
      <c r="A958" s="30"/>
      <c r="B958" s="31"/>
      <c r="C958" s="32"/>
      <c r="D958" s="33"/>
      <c r="E958" s="34"/>
      <c r="F958" s="34"/>
      <c r="G958" s="35"/>
      <c r="H958" s="34"/>
      <c r="I958" s="37"/>
    </row>
    <row r="959" ht="22.5" customHeight="1">
      <c r="A959" s="30"/>
      <c r="B959" s="31"/>
      <c r="C959" s="32"/>
      <c r="D959" s="33"/>
      <c r="E959" s="34"/>
      <c r="F959" s="34"/>
      <c r="G959" s="35"/>
      <c r="H959" s="34"/>
      <c r="I959" s="37"/>
    </row>
    <row r="960" ht="22.5" customHeight="1">
      <c r="A960" s="30"/>
      <c r="B960" s="31"/>
      <c r="C960" s="32"/>
      <c r="D960" s="33"/>
      <c r="E960" s="34"/>
      <c r="F960" s="34"/>
      <c r="G960" s="35"/>
      <c r="H960" s="34"/>
      <c r="I960" s="37"/>
    </row>
    <row r="961" ht="22.5" customHeight="1">
      <c r="A961" s="30"/>
      <c r="B961" s="31"/>
      <c r="C961" s="32"/>
      <c r="D961" s="33"/>
      <c r="E961" s="34"/>
      <c r="F961" s="34"/>
      <c r="G961" s="35"/>
      <c r="H961" s="34"/>
      <c r="I961" s="37"/>
    </row>
    <row r="962" ht="22.5" customHeight="1">
      <c r="A962" s="30"/>
      <c r="B962" s="31"/>
      <c r="C962" s="32"/>
      <c r="D962" s="33"/>
      <c r="E962" s="34"/>
      <c r="F962" s="34"/>
      <c r="G962" s="35"/>
      <c r="H962" s="34"/>
      <c r="I962" s="37"/>
    </row>
    <row r="963" ht="22.5" customHeight="1">
      <c r="A963" s="30"/>
      <c r="B963" s="31"/>
      <c r="C963" s="32"/>
      <c r="D963" s="33"/>
      <c r="E963" s="34"/>
      <c r="F963" s="34"/>
      <c r="G963" s="35"/>
      <c r="H963" s="34"/>
      <c r="I963" s="37"/>
    </row>
    <row r="964" ht="22.5" customHeight="1">
      <c r="A964" s="30"/>
      <c r="B964" s="31"/>
      <c r="C964" s="32"/>
      <c r="D964" s="33"/>
      <c r="E964" s="34"/>
      <c r="F964" s="34"/>
      <c r="G964" s="35"/>
      <c r="H964" s="34"/>
      <c r="I964" s="37"/>
    </row>
    <row r="965" ht="22.5" customHeight="1">
      <c r="A965" s="30"/>
      <c r="B965" s="31"/>
      <c r="C965" s="32"/>
      <c r="D965" s="33"/>
      <c r="E965" s="34"/>
      <c r="F965" s="34"/>
      <c r="G965" s="35"/>
      <c r="H965" s="34"/>
      <c r="I965" s="37"/>
    </row>
    <row r="966" ht="22.5" customHeight="1">
      <c r="A966" s="30"/>
      <c r="B966" s="40"/>
      <c r="C966" s="32"/>
      <c r="D966" s="33"/>
      <c r="E966" s="34"/>
      <c r="F966" s="34"/>
      <c r="G966" s="35"/>
      <c r="H966" s="34"/>
      <c r="I966" s="37"/>
    </row>
    <row r="967" ht="22.5" customHeight="1">
      <c r="A967" s="30"/>
      <c r="B967" s="31"/>
      <c r="C967" s="32"/>
      <c r="D967" s="33"/>
      <c r="E967" s="34"/>
      <c r="F967" s="34"/>
      <c r="G967" s="35"/>
      <c r="H967" s="34"/>
      <c r="I967" s="37"/>
    </row>
    <row r="968" ht="22.5" customHeight="1">
      <c r="A968" s="30"/>
      <c r="B968" s="40"/>
      <c r="C968" s="32"/>
      <c r="D968" s="33"/>
      <c r="E968" s="34"/>
      <c r="F968" s="34"/>
      <c r="G968" s="35"/>
      <c r="H968" s="34"/>
      <c r="I968" s="37"/>
    </row>
    <row r="969" ht="22.5" customHeight="1">
      <c r="A969" s="30"/>
      <c r="B969" s="31"/>
      <c r="C969" s="32"/>
      <c r="D969" s="33"/>
      <c r="E969" s="34"/>
      <c r="F969" s="34"/>
      <c r="G969" s="35"/>
      <c r="H969" s="34"/>
      <c r="I969" s="37"/>
    </row>
    <row r="970" ht="22.5" customHeight="1">
      <c r="A970" s="30"/>
      <c r="B970" s="31"/>
      <c r="C970" s="32"/>
      <c r="D970" s="33"/>
      <c r="E970" s="34"/>
      <c r="F970" s="34"/>
      <c r="G970" s="35"/>
      <c r="H970" s="34"/>
      <c r="I970" s="37"/>
    </row>
    <row r="971" ht="22.5" customHeight="1">
      <c r="A971" s="30"/>
      <c r="B971" s="31"/>
      <c r="C971" s="32"/>
      <c r="D971" s="33"/>
      <c r="E971" s="34"/>
      <c r="F971" s="34"/>
      <c r="G971" s="35"/>
      <c r="H971" s="34"/>
      <c r="I971" s="37"/>
    </row>
    <row r="972" ht="22.5" customHeight="1">
      <c r="A972" s="30"/>
      <c r="B972" s="31"/>
      <c r="C972" s="32"/>
      <c r="D972" s="33"/>
      <c r="E972" s="34"/>
      <c r="F972" s="34"/>
      <c r="G972" s="35"/>
      <c r="H972" s="34"/>
      <c r="I972" s="37"/>
    </row>
    <row r="973" ht="22.5" customHeight="1">
      <c r="A973" s="30"/>
      <c r="B973" s="40"/>
      <c r="C973" s="32"/>
      <c r="D973" s="33"/>
      <c r="E973" s="34"/>
      <c r="F973" s="34"/>
      <c r="G973" s="35"/>
      <c r="H973" s="34"/>
      <c r="I973" s="37"/>
    </row>
    <row r="974" ht="22.5" customHeight="1">
      <c r="A974" s="30"/>
      <c r="B974" s="31"/>
      <c r="C974" s="32"/>
      <c r="D974" s="33"/>
      <c r="E974" s="34"/>
      <c r="F974" s="34"/>
      <c r="G974" s="35"/>
      <c r="H974" s="34"/>
      <c r="I974" s="37"/>
    </row>
    <row r="975" ht="22.5" customHeight="1">
      <c r="A975" s="30"/>
      <c r="B975" s="31"/>
      <c r="C975" s="32"/>
      <c r="D975" s="33"/>
      <c r="E975" s="34"/>
      <c r="F975" s="34"/>
      <c r="G975" s="35"/>
      <c r="H975" s="34"/>
      <c r="I975" s="37"/>
    </row>
    <row r="976" ht="22.5" customHeight="1">
      <c r="A976" s="30"/>
      <c r="B976" s="31"/>
      <c r="C976" s="32"/>
      <c r="D976" s="33"/>
      <c r="E976" s="34"/>
      <c r="F976" s="34"/>
      <c r="G976" s="35"/>
      <c r="H976" s="34"/>
      <c r="I976" s="37"/>
    </row>
    <row r="977" ht="22.5" customHeight="1">
      <c r="A977" s="30"/>
      <c r="B977" s="31"/>
      <c r="C977" s="32"/>
      <c r="D977" s="33"/>
      <c r="E977" s="34"/>
      <c r="F977" s="34"/>
      <c r="G977" s="35"/>
      <c r="H977" s="34"/>
      <c r="I977" s="37"/>
    </row>
    <row r="978" ht="22.5" customHeight="1">
      <c r="A978" s="30"/>
      <c r="B978" s="31"/>
      <c r="C978" s="32"/>
      <c r="D978" s="33"/>
      <c r="E978" s="34"/>
      <c r="F978" s="34"/>
      <c r="G978" s="35"/>
      <c r="H978" s="34"/>
      <c r="I978" s="37"/>
    </row>
    <row r="979" ht="22.5" customHeight="1">
      <c r="A979" s="30"/>
      <c r="B979" s="31"/>
      <c r="C979" s="32"/>
      <c r="D979" s="33"/>
      <c r="E979" s="34"/>
      <c r="F979" s="34"/>
      <c r="G979" s="35"/>
      <c r="H979" s="34"/>
      <c r="I979" s="37"/>
    </row>
    <row r="980" ht="22.5" customHeight="1">
      <c r="A980" s="30"/>
      <c r="B980" s="31"/>
      <c r="C980" s="32"/>
      <c r="D980" s="33"/>
      <c r="E980" s="34"/>
      <c r="F980" s="34"/>
      <c r="G980" s="35"/>
      <c r="H980" s="34"/>
      <c r="I980" s="37"/>
    </row>
    <row r="981" ht="22.5" customHeight="1">
      <c r="A981" s="30"/>
      <c r="B981" s="31"/>
      <c r="C981" s="32"/>
      <c r="D981" s="33"/>
      <c r="E981" s="34"/>
      <c r="F981" s="34"/>
      <c r="G981" s="35"/>
      <c r="H981" s="34"/>
      <c r="I981" s="37"/>
    </row>
    <row r="982" ht="22.5" customHeight="1">
      <c r="A982" s="30"/>
      <c r="B982" s="31"/>
      <c r="C982" s="32"/>
      <c r="D982" s="33"/>
      <c r="E982" s="34"/>
      <c r="F982" s="34"/>
      <c r="G982" s="35"/>
      <c r="H982" s="34"/>
      <c r="I982" s="37"/>
    </row>
    <row r="983" ht="22.5" customHeight="1">
      <c r="A983" s="30"/>
      <c r="B983" s="31"/>
      <c r="C983" s="32"/>
      <c r="D983" s="33"/>
      <c r="E983" s="34"/>
      <c r="F983" s="34"/>
      <c r="G983" s="35"/>
      <c r="H983" s="34"/>
      <c r="I983" s="37"/>
    </row>
    <row r="984" ht="22.5" customHeight="1">
      <c r="A984" s="30"/>
      <c r="B984" s="31"/>
      <c r="C984" s="32"/>
      <c r="D984" s="33"/>
      <c r="E984" s="34"/>
      <c r="F984" s="34"/>
      <c r="G984" s="35"/>
      <c r="H984" s="34"/>
      <c r="I984" s="37"/>
    </row>
    <row r="985" ht="22.5" customHeight="1">
      <c r="A985" s="30"/>
      <c r="B985" s="31"/>
      <c r="C985" s="32"/>
      <c r="D985" s="33"/>
      <c r="E985" s="34"/>
      <c r="F985" s="34"/>
      <c r="G985" s="35"/>
      <c r="H985" s="34"/>
      <c r="I985" s="37"/>
    </row>
    <row r="986" ht="22.5" customHeight="1">
      <c r="A986" s="30"/>
      <c r="B986" s="31"/>
      <c r="C986" s="32"/>
      <c r="D986" s="33"/>
      <c r="E986" s="34"/>
      <c r="F986" s="34"/>
      <c r="G986" s="35"/>
      <c r="H986" s="34"/>
      <c r="I986" s="37"/>
    </row>
    <row r="987" ht="22.5" customHeight="1">
      <c r="A987" s="30"/>
      <c r="B987" s="31"/>
      <c r="C987" s="32"/>
      <c r="D987" s="33"/>
      <c r="E987" s="34"/>
      <c r="F987" s="34"/>
      <c r="G987" s="35"/>
      <c r="H987" s="34"/>
      <c r="I987" s="37"/>
    </row>
    <row r="988" ht="22.5" customHeight="1">
      <c r="A988" s="30"/>
      <c r="B988" s="31"/>
      <c r="C988" s="32"/>
      <c r="D988" s="33"/>
      <c r="E988" s="34"/>
      <c r="F988" s="34"/>
      <c r="G988" s="35"/>
      <c r="H988" s="34"/>
      <c r="I988" s="37"/>
    </row>
    <row r="989" ht="22.5" customHeight="1">
      <c r="A989" s="30"/>
      <c r="B989" s="31"/>
      <c r="C989" s="32"/>
      <c r="D989" s="33"/>
      <c r="E989" s="34"/>
      <c r="F989" s="34"/>
      <c r="G989" s="35"/>
      <c r="H989" s="34"/>
      <c r="I989" s="37"/>
    </row>
    <row r="990" ht="22.5" customHeight="1">
      <c r="A990" s="30"/>
      <c r="B990" s="31"/>
      <c r="C990" s="32"/>
      <c r="D990" s="33"/>
      <c r="E990" s="34"/>
      <c r="F990" s="34"/>
      <c r="G990" s="35"/>
      <c r="H990" s="34"/>
      <c r="I990" s="37"/>
    </row>
    <row r="991" ht="22.5" customHeight="1">
      <c r="A991" s="30"/>
      <c r="B991" s="31"/>
      <c r="C991" s="32"/>
      <c r="D991" s="33"/>
      <c r="E991" s="34"/>
      <c r="F991" s="34"/>
      <c r="G991" s="35"/>
      <c r="H991" s="34"/>
      <c r="I991" s="37"/>
    </row>
    <row r="992" ht="22.5" customHeight="1">
      <c r="A992" s="30"/>
      <c r="B992" s="31"/>
      <c r="C992" s="32"/>
      <c r="D992" s="33"/>
      <c r="E992" s="34"/>
      <c r="F992" s="34"/>
      <c r="G992" s="35"/>
      <c r="H992" s="34"/>
      <c r="I992" s="37"/>
    </row>
    <row r="993" ht="22.5" customHeight="1">
      <c r="A993" s="30"/>
      <c r="B993" s="31"/>
      <c r="C993" s="32"/>
      <c r="D993" s="33"/>
      <c r="E993" s="34"/>
      <c r="F993" s="34"/>
      <c r="G993" s="35"/>
      <c r="H993" s="34"/>
      <c r="I993" s="37"/>
    </row>
    <row r="994" ht="22.5" customHeight="1">
      <c r="A994" s="30"/>
      <c r="B994" s="31"/>
      <c r="C994" s="32"/>
      <c r="D994" s="33"/>
      <c r="E994" s="34"/>
      <c r="F994" s="34"/>
      <c r="G994" s="35"/>
      <c r="H994" s="34"/>
      <c r="I994" s="37"/>
    </row>
    <row r="995" ht="22.5" customHeight="1">
      <c r="A995" s="30"/>
      <c r="B995" s="40"/>
      <c r="C995" s="32"/>
      <c r="D995" s="33"/>
      <c r="E995" s="34"/>
      <c r="F995" s="34"/>
      <c r="G995" s="35"/>
      <c r="H995" s="34"/>
      <c r="I995" s="37"/>
    </row>
    <row r="996" ht="22.5" customHeight="1">
      <c r="A996" s="30"/>
      <c r="B996" s="31"/>
      <c r="C996" s="32"/>
      <c r="D996" s="33"/>
      <c r="E996" s="34"/>
      <c r="F996" s="34"/>
      <c r="G996" s="35"/>
      <c r="H996" s="34"/>
      <c r="I996" s="37"/>
    </row>
    <row r="997" ht="22.5" customHeight="1">
      <c r="A997" s="30"/>
      <c r="B997" s="31"/>
      <c r="C997" s="32"/>
      <c r="D997" s="33"/>
      <c r="E997" s="34"/>
      <c r="F997" s="34"/>
      <c r="G997" s="35"/>
      <c r="H997" s="34"/>
      <c r="I997" s="37"/>
    </row>
    <row r="998" ht="22.5" customHeight="1">
      <c r="A998" s="30"/>
      <c r="B998" s="31"/>
      <c r="C998" s="32"/>
      <c r="D998" s="33"/>
      <c r="E998" s="34"/>
      <c r="F998" s="34"/>
      <c r="G998" s="35"/>
      <c r="H998" s="34"/>
      <c r="I998" s="37"/>
    </row>
    <row r="999" ht="22.5" customHeight="1">
      <c r="A999" s="30"/>
      <c r="B999" s="31"/>
      <c r="C999" s="32"/>
      <c r="D999" s="33"/>
      <c r="E999" s="34"/>
      <c r="F999" s="34"/>
      <c r="G999" s="35"/>
      <c r="H999" s="34"/>
      <c r="I999" s="38"/>
    </row>
    <row r="1000" ht="22.5" customHeight="1">
      <c r="A1000" s="30"/>
      <c r="B1000" s="39"/>
      <c r="C1000" s="32"/>
      <c r="D1000" s="33"/>
      <c r="E1000" s="34"/>
      <c r="F1000" s="34"/>
      <c r="G1000" s="35"/>
      <c r="H1000" s="34"/>
      <c r="I1000" s="37"/>
    </row>
    <row r="1001" ht="22.5" customHeight="1">
      <c r="A1001" s="30"/>
      <c r="B1001" s="31"/>
      <c r="C1001" s="32"/>
      <c r="D1001" s="33"/>
      <c r="E1001" s="34"/>
      <c r="F1001" s="34"/>
      <c r="G1001" s="35"/>
      <c r="H1001" s="34"/>
      <c r="I1001" s="37"/>
    </row>
    <row r="1002" ht="22.5" customHeight="1">
      <c r="A1002" s="30"/>
      <c r="B1002" s="31"/>
      <c r="C1002" s="32"/>
      <c r="D1002" s="33"/>
      <c r="E1002" s="34"/>
      <c r="F1002" s="34"/>
      <c r="G1002" s="35"/>
      <c r="H1002" s="34"/>
      <c r="I1002" s="37"/>
    </row>
    <row r="1003" ht="22.5" customHeight="1">
      <c r="A1003" s="30"/>
      <c r="B1003" s="31"/>
      <c r="C1003" s="32"/>
      <c r="D1003" s="33"/>
      <c r="E1003" s="34"/>
      <c r="F1003" s="34"/>
      <c r="G1003" s="35"/>
      <c r="H1003" s="34"/>
      <c r="I1003" s="37"/>
    </row>
    <row r="1004" ht="22.5" customHeight="1">
      <c r="A1004" s="30"/>
      <c r="B1004" s="39"/>
      <c r="C1004" s="32"/>
      <c r="D1004" s="33"/>
      <c r="E1004" s="34"/>
      <c r="F1004" s="34"/>
      <c r="G1004" s="35"/>
      <c r="H1004" s="34"/>
      <c r="I1004" s="37"/>
    </row>
    <row r="1005" ht="22.5" customHeight="1">
      <c r="A1005" s="30"/>
      <c r="B1005" s="31"/>
      <c r="C1005" s="32"/>
      <c r="D1005" s="33"/>
      <c r="E1005" s="34"/>
      <c r="F1005" s="34"/>
      <c r="G1005" s="35"/>
      <c r="H1005" s="34"/>
      <c r="I1005" s="37"/>
    </row>
    <row r="1006" ht="22.5" customHeight="1">
      <c r="A1006" s="30"/>
      <c r="B1006" s="39"/>
      <c r="C1006" s="32"/>
      <c r="D1006" s="33"/>
      <c r="E1006" s="34"/>
      <c r="F1006" s="34"/>
      <c r="G1006" s="35"/>
      <c r="H1006" s="34"/>
      <c r="I1006" s="37"/>
    </row>
    <row r="1007" ht="22.5" customHeight="1">
      <c r="A1007" s="30"/>
      <c r="B1007" s="31"/>
      <c r="C1007" s="32"/>
      <c r="D1007" s="33"/>
      <c r="E1007" s="34"/>
      <c r="F1007" s="34"/>
      <c r="G1007" s="35"/>
      <c r="H1007" s="34"/>
      <c r="I1007" s="37"/>
    </row>
    <row r="1008" ht="22.5" customHeight="1">
      <c r="A1008" s="30"/>
      <c r="B1008" s="31"/>
      <c r="C1008" s="32"/>
      <c r="D1008" s="33"/>
      <c r="E1008" s="34"/>
      <c r="F1008" s="34"/>
      <c r="G1008" s="35"/>
      <c r="H1008" s="34"/>
      <c r="I1008" s="37"/>
    </row>
    <row r="1009" ht="22.5" customHeight="1">
      <c r="A1009" s="30"/>
      <c r="B1009" s="31"/>
      <c r="C1009" s="32"/>
      <c r="D1009" s="33"/>
      <c r="E1009" s="34"/>
      <c r="F1009" s="34"/>
      <c r="G1009" s="35"/>
      <c r="H1009" s="34"/>
      <c r="I1009" s="37"/>
    </row>
    <row r="1010" ht="22.5" customHeight="1">
      <c r="A1010" s="30"/>
      <c r="B1010" s="31"/>
      <c r="C1010" s="32"/>
      <c r="D1010" s="33"/>
      <c r="E1010" s="34"/>
      <c r="F1010" s="34"/>
      <c r="G1010" s="35"/>
      <c r="H1010" s="34"/>
      <c r="I1010" s="37"/>
    </row>
    <row r="1011" ht="22.5" customHeight="1">
      <c r="A1011" s="30"/>
      <c r="B1011" s="31"/>
      <c r="C1011" s="32"/>
      <c r="D1011" s="33"/>
      <c r="E1011" s="34"/>
      <c r="F1011" s="34"/>
      <c r="G1011" s="35"/>
      <c r="H1011" s="34"/>
      <c r="I1011" s="37"/>
    </row>
    <row r="1012" ht="22.5" customHeight="1">
      <c r="A1012" s="30"/>
      <c r="B1012" s="31"/>
      <c r="C1012" s="32"/>
      <c r="D1012" s="33"/>
      <c r="E1012" s="34"/>
      <c r="F1012" s="34"/>
      <c r="G1012" s="35"/>
      <c r="H1012" s="34"/>
      <c r="I1012" s="37"/>
    </row>
    <row r="1013" ht="22.5" customHeight="1">
      <c r="A1013" s="30"/>
      <c r="B1013" s="31"/>
      <c r="C1013" s="32"/>
      <c r="D1013" s="33"/>
      <c r="E1013" s="34"/>
      <c r="F1013" s="34"/>
      <c r="G1013" s="35"/>
      <c r="H1013" s="34"/>
      <c r="I1013" s="37"/>
    </row>
    <row r="1014" ht="22.5" customHeight="1">
      <c r="A1014" s="30"/>
      <c r="B1014" s="31"/>
      <c r="C1014" s="32"/>
      <c r="D1014" s="33"/>
      <c r="E1014" s="34"/>
      <c r="F1014" s="34"/>
      <c r="G1014" s="35"/>
      <c r="H1014" s="34"/>
      <c r="I1014" s="37"/>
    </row>
    <row r="1015" ht="22.5" customHeight="1">
      <c r="A1015" s="30"/>
      <c r="B1015" s="31"/>
      <c r="C1015" s="32"/>
      <c r="D1015" s="33"/>
      <c r="E1015" s="34"/>
      <c r="F1015" s="34"/>
      <c r="G1015" s="35"/>
      <c r="H1015" s="34"/>
      <c r="I1015" s="37"/>
    </row>
    <row r="1016" ht="22.5" customHeight="1">
      <c r="A1016" s="30"/>
      <c r="B1016" s="31"/>
      <c r="C1016" s="32"/>
      <c r="D1016" s="33"/>
      <c r="E1016" s="34"/>
      <c r="F1016" s="34"/>
      <c r="G1016" s="35"/>
      <c r="H1016" s="34"/>
      <c r="I1016" s="37"/>
    </row>
    <row r="1017" ht="22.5" customHeight="1">
      <c r="A1017" s="30"/>
      <c r="B1017" s="40"/>
      <c r="C1017" s="32"/>
      <c r="D1017" s="33"/>
      <c r="E1017" s="34"/>
      <c r="F1017" s="34"/>
      <c r="G1017" s="35"/>
      <c r="H1017" s="34"/>
      <c r="I1017" s="37"/>
    </row>
    <row r="1018" ht="22.5" customHeight="1">
      <c r="A1018" s="30"/>
      <c r="B1018" s="31"/>
      <c r="C1018" s="32"/>
      <c r="D1018" s="33"/>
      <c r="E1018" s="34"/>
      <c r="F1018" s="34"/>
      <c r="G1018" s="35"/>
      <c r="H1018" s="34"/>
      <c r="I1018" s="37"/>
    </row>
    <row r="1019" ht="22.5" customHeight="1">
      <c r="A1019" s="30"/>
      <c r="B1019" s="31"/>
      <c r="C1019" s="32"/>
      <c r="D1019" s="33"/>
      <c r="E1019" s="34"/>
      <c r="F1019" s="34"/>
      <c r="G1019" s="35"/>
      <c r="H1019" s="34"/>
      <c r="I1019" s="37"/>
    </row>
    <row r="1020" ht="22.5" customHeight="1">
      <c r="A1020" s="30"/>
      <c r="B1020" s="31"/>
      <c r="C1020" s="32"/>
      <c r="D1020" s="33"/>
      <c r="E1020" s="34"/>
      <c r="F1020" s="34"/>
      <c r="G1020" s="35"/>
      <c r="H1020" s="34"/>
      <c r="I1020" s="37"/>
    </row>
    <row r="1021" ht="22.5" customHeight="1">
      <c r="A1021" s="30"/>
      <c r="B1021" s="31"/>
      <c r="C1021" s="32"/>
      <c r="D1021" s="33"/>
      <c r="E1021" s="34"/>
      <c r="F1021" s="34"/>
      <c r="G1021" s="35"/>
      <c r="H1021" s="34"/>
      <c r="I1021" s="37"/>
    </row>
    <row r="1022" ht="22.5" customHeight="1">
      <c r="A1022" s="30"/>
      <c r="B1022" s="31"/>
      <c r="C1022" s="32"/>
      <c r="D1022" s="33"/>
      <c r="E1022" s="34"/>
      <c r="F1022" s="34"/>
      <c r="G1022" s="35"/>
      <c r="H1022" s="34"/>
      <c r="I1022" s="37"/>
    </row>
    <row r="1023" ht="22.5" customHeight="1">
      <c r="A1023" s="30"/>
      <c r="B1023" s="31"/>
      <c r="C1023" s="32"/>
      <c r="D1023" s="33"/>
      <c r="E1023" s="34"/>
      <c r="F1023" s="34"/>
      <c r="G1023" s="35"/>
      <c r="H1023" s="34"/>
      <c r="I1023" s="37"/>
    </row>
    <row r="1024" ht="22.5" customHeight="1">
      <c r="A1024" s="30"/>
      <c r="B1024" s="39"/>
      <c r="C1024" s="32"/>
      <c r="D1024" s="33"/>
      <c r="E1024" s="34"/>
      <c r="F1024" s="34"/>
      <c r="G1024" s="35"/>
      <c r="H1024" s="34"/>
      <c r="I1024" s="37"/>
    </row>
    <row r="1025" ht="22.5" customHeight="1">
      <c r="A1025" s="30"/>
      <c r="B1025" s="39"/>
      <c r="C1025" s="32"/>
      <c r="D1025" s="33"/>
      <c r="E1025" s="34"/>
      <c r="F1025" s="34"/>
      <c r="G1025" s="35"/>
      <c r="H1025" s="34"/>
      <c r="I1025" s="37"/>
    </row>
    <row r="1026" ht="22.5" customHeight="1">
      <c r="A1026" s="30"/>
      <c r="B1026" s="39"/>
      <c r="C1026" s="32"/>
      <c r="D1026" s="33"/>
      <c r="E1026" s="34"/>
      <c r="F1026" s="34"/>
      <c r="G1026" s="35"/>
      <c r="H1026" s="34"/>
      <c r="I1026" s="37"/>
    </row>
    <row r="1027" ht="22.5" customHeight="1">
      <c r="A1027" s="30"/>
      <c r="B1027" s="40"/>
      <c r="C1027" s="32"/>
      <c r="D1027" s="33"/>
      <c r="E1027" s="34"/>
      <c r="F1027" s="34"/>
      <c r="G1027" s="35"/>
      <c r="H1027" s="34"/>
      <c r="I1027" s="37"/>
    </row>
    <row r="1028" ht="22.5" customHeight="1">
      <c r="A1028" s="30"/>
      <c r="B1028" s="31"/>
      <c r="C1028" s="32"/>
      <c r="D1028" s="33"/>
      <c r="E1028" s="34"/>
      <c r="F1028" s="34"/>
      <c r="G1028" s="35"/>
      <c r="H1028" s="34"/>
      <c r="I1028" s="37"/>
    </row>
    <row r="1029" ht="22.5" customHeight="1">
      <c r="A1029" s="30"/>
      <c r="B1029" s="31"/>
      <c r="C1029" s="32"/>
      <c r="D1029" s="33"/>
      <c r="E1029" s="34"/>
      <c r="F1029" s="34"/>
      <c r="G1029" s="35"/>
      <c r="H1029" s="34"/>
      <c r="I1029" s="37"/>
    </row>
    <row r="1030" ht="22.5" customHeight="1">
      <c r="A1030" s="30"/>
      <c r="B1030" s="31"/>
      <c r="C1030" s="32"/>
      <c r="D1030" s="33"/>
      <c r="E1030" s="34"/>
      <c r="F1030" s="34"/>
      <c r="G1030" s="35"/>
      <c r="H1030" s="34"/>
      <c r="I1030" s="37"/>
    </row>
    <row r="1031" ht="22.5" customHeight="1">
      <c r="A1031" s="30"/>
      <c r="B1031" s="31"/>
      <c r="C1031" s="32"/>
      <c r="D1031" s="33"/>
      <c r="E1031" s="34"/>
      <c r="F1031" s="34"/>
      <c r="G1031" s="35"/>
      <c r="H1031" s="34"/>
      <c r="I1031" s="37"/>
    </row>
    <row r="1032" ht="22.5" customHeight="1">
      <c r="A1032" s="30"/>
      <c r="B1032" s="31"/>
      <c r="C1032" s="32"/>
      <c r="D1032" s="33"/>
      <c r="E1032" s="34"/>
      <c r="F1032" s="34"/>
      <c r="G1032" s="35"/>
      <c r="H1032" s="34"/>
      <c r="I1032" s="37"/>
    </row>
    <row r="1033" ht="22.5" customHeight="1">
      <c r="A1033" s="30"/>
      <c r="B1033" s="31"/>
      <c r="C1033" s="32"/>
      <c r="D1033" s="33"/>
      <c r="E1033" s="34"/>
      <c r="F1033" s="34"/>
      <c r="G1033" s="35"/>
      <c r="H1033" s="34"/>
      <c r="I1033" s="37"/>
    </row>
    <row r="1034" ht="22.5" customHeight="1">
      <c r="A1034" s="30"/>
      <c r="B1034" s="31"/>
      <c r="C1034" s="32"/>
      <c r="D1034" s="33"/>
      <c r="E1034" s="34"/>
      <c r="F1034" s="34"/>
      <c r="G1034" s="35"/>
      <c r="H1034" s="34"/>
      <c r="I1034" s="37"/>
    </row>
    <row r="1035" ht="22.5" customHeight="1">
      <c r="A1035" s="30"/>
      <c r="B1035" s="31"/>
      <c r="C1035" s="32"/>
      <c r="D1035" s="33"/>
      <c r="E1035" s="34"/>
      <c r="F1035" s="34"/>
      <c r="G1035" s="35"/>
      <c r="H1035" s="34"/>
      <c r="I1035" s="37"/>
    </row>
    <row r="1036" ht="22.5" customHeight="1">
      <c r="A1036" s="30"/>
      <c r="B1036" s="31"/>
      <c r="C1036" s="32"/>
      <c r="D1036" s="33"/>
      <c r="E1036" s="34"/>
      <c r="F1036" s="34"/>
      <c r="G1036" s="35"/>
      <c r="H1036" s="34"/>
      <c r="I1036" s="37"/>
    </row>
    <row r="1037" ht="22.5" customHeight="1">
      <c r="A1037" s="30"/>
      <c r="B1037" s="40"/>
      <c r="C1037" s="32"/>
      <c r="D1037" s="33"/>
      <c r="E1037" s="34"/>
      <c r="F1037" s="34"/>
      <c r="G1037" s="35"/>
      <c r="H1037" s="34"/>
      <c r="I1037" s="37"/>
    </row>
    <row r="1038" ht="22.5" customHeight="1">
      <c r="A1038" s="30"/>
      <c r="B1038" s="31"/>
      <c r="C1038" s="32"/>
      <c r="D1038" s="33"/>
      <c r="E1038" s="34"/>
      <c r="F1038" s="34"/>
      <c r="G1038" s="35"/>
      <c r="H1038" s="34"/>
      <c r="I1038" s="37"/>
    </row>
    <row r="1039" ht="22.5" customHeight="1">
      <c r="A1039" s="30"/>
      <c r="B1039" s="31"/>
      <c r="C1039" s="32"/>
      <c r="D1039" s="33"/>
      <c r="E1039" s="34"/>
      <c r="F1039" s="34"/>
      <c r="G1039" s="35"/>
      <c r="H1039" s="34"/>
      <c r="I1039" s="37"/>
    </row>
    <row r="1040" ht="22.5" customHeight="1">
      <c r="A1040" s="30"/>
      <c r="B1040" s="31"/>
      <c r="C1040" s="32"/>
      <c r="D1040" s="33"/>
      <c r="E1040" s="34"/>
      <c r="F1040" s="34"/>
      <c r="G1040" s="35"/>
      <c r="H1040" s="34"/>
      <c r="I1040" s="37"/>
    </row>
    <row r="1041" ht="22.5" customHeight="1">
      <c r="A1041" s="30"/>
      <c r="B1041" s="40"/>
      <c r="C1041" s="32"/>
      <c r="D1041" s="33"/>
      <c r="E1041" s="34"/>
      <c r="F1041" s="34"/>
      <c r="G1041" s="35"/>
      <c r="H1041" s="34"/>
      <c r="I1041" s="37"/>
    </row>
    <row r="1042" ht="22.5" customHeight="1">
      <c r="A1042" s="30"/>
      <c r="B1042" s="31"/>
      <c r="C1042" s="32"/>
      <c r="D1042" s="33"/>
      <c r="E1042" s="34"/>
      <c r="F1042" s="34"/>
      <c r="G1042" s="35"/>
      <c r="H1042" s="34"/>
      <c r="I1042" s="37"/>
    </row>
    <row r="1043" ht="22.5" customHeight="1">
      <c r="A1043" s="30"/>
      <c r="B1043" s="31"/>
      <c r="C1043" s="32"/>
      <c r="D1043" s="33"/>
      <c r="E1043" s="34"/>
      <c r="F1043" s="34"/>
      <c r="G1043" s="35"/>
      <c r="H1043" s="34"/>
      <c r="I1043" s="37"/>
    </row>
    <row r="1044" ht="22.5" customHeight="1">
      <c r="A1044" s="30"/>
      <c r="B1044" s="31"/>
      <c r="C1044" s="32"/>
      <c r="D1044" s="33"/>
      <c r="E1044" s="34"/>
      <c r="F1044" s="34"/>
      <c r="G1044" s="35"/>
      <c r="H1044" s="34"/>
      <c r="I1044" s="37"/>
    </row>
    <row r="1045" ht="22.5" customHeight="1">
      <c r="A1045" s="30"/>
      <c r="B1045" s="31"/>
      <c r="C1045" s="32"/>
      <c r="D1045" s="33"/>
      <c r="E1045" s="34"/>
      <c r="F1045" s="34"/>
      <c r="G1045" s="35"/>
      <c r="H1045" s="34"/>
      <c r="I1045" s="37"/>
    </row>
    <row r="1046" ht="22.5" customHeight="1">
      <c r="A1046" s="30"/>
      <c r="B1046" s="31"/>
      <c r="C1046" s="32"/>
      <c r="D1046" s="33"/>
      <c r="E1046" s="34"/>
      <c r="F1046" s="34"/>
      <c r="G1046" s="35"/>
      <c r="H1046" s="34"/>
      <c r="I1046" s="37"/>
    </row>
    <row r="1047" ht="22.5" customHeight="1">
      <c r="A1047" s="30"/>
      <c r="B1047" s="31"/>
      <c r="C1047" s="32"/>
      <c r="D1047" s="33"/>
      <c r="E1047" s="34"/>
      <c r="F1047" s="34"/>
      <c r="G1047" s="35"/>
      <c r="H1047" s="34"/>
      <c r="I1047" s="37"/>
    </row>
    <row r="1048" ht="22.5" customHeight="1">
      <c r="A1048" s="30"/>
      <c r="B1048" s="31"/>
      <c r="C1048" s="32"/>
      <c r="D1048" s="33"/>
      <c r="E1048" s="34"/>
      <c r="F1048" s="34"/>
      <c r="G1048" s="35"/>
      <c r="H1048" s="34"/>
      <c r="I1048" s="37"/>
    </row>
    <row r="1049" ht="22.5" customHeight="1">
      <c r="A1049" s="30"/>
      <c r="B1049" s="31"/>
      <c r="C1049" s="32"/>
      <c r="D1049" s="33"/>
      <c r="E1049" s="34"/>
      <c r="F1049" s="34"/>
      <c r="G1049" s="35"/>
      <c r="H1049" s="34"/>
      <c r="I1049" s="37"/>
    </row>
    <row r="1050" ht="22.5" customHeight="1">
      <c r="A1050" s="30"/>
      <c r="B1050" s="31"/>
      <c r="C1050" s="32"/>
      <c r="D1050" s="33"/>
      <c r="E1050" s="34"/>
      <c r="F1050" s="34"/>
      <c r="G1050" s="35"/>
      <c r="H1050" s="34"/>
      <c r="I1050" s="37"/>
    </row>
    <row r="1051" ht="22.5" customHeight="1">
      <c r="A1051" s="30"/>
      <c r="B1051" s="31"/>
      <c r="C1051" s="32"/>
      <c r="D1051" s="33"/>
      <c r="E1051" s="34"/>
      <c r="F1051" s="34"/>
      <c r="G1051" s="35"/>
      <c r="H1051" s="34"/>
      <c r="I1051" s="37"/>
    </row>
    <row r="1052" ht="22.5" customHeight="1">
      <c r="A1052" s="30"/>
      <c r="B1052" s="31"/>
      <c r="C1052" s="32"/>
      <c r="D1052" s="33"/>
      <c r="E1052" s="34"/>
      <c r="F1052" s="34"/>
      <c r="G1052" s="35"/>
      <c r="H1052" s="34"/>
      <c r="I1052" s="37"/>
    </row>
    <row r="1053" ht="22.5" customHeight="1">
      <c r="A1053" s="30"/>
      <c r="B1053" s="31"/>
      <c r="C1053" s="32"/>
      <c r="D1053" s="33"/>
      <c r="E1053" s="34"/>
      <c r="F1053" s="34"/>
      <c r="G1053" s="35"/>
      <c r="H1053" s="34"/>
      <c r="I1053" s="37"/>
    </row>
    <row r="1054" ht="22.5" customHeight="1">
      <c r="A1054" s="30"/>
      <c r="B1054" s="31"/>
      <c r="C1054" s="32"/>
      <c r="D1054" s="33"/>
      <c r="E1054" s="34"/>
      <c r="F1054" s="34"/>
      <c r="G1054" s="35"/>
      <c r="H1054" s="34"/>
      <c r="I1054" s="37"/>
    </row>
    <row r="1055" ht="22.5" customHeight="1">
      <c r="A1055" s="30"/>
      <c r="B1055" s="31"/>
      <c r="C1055" s="32"/>
      <c r="D1055" s="33"/>
      <c r="E1055" s="34"/>
      <c r="F1055" s="34"/>
      <c r="G1055" s="35"/>
      <c r="H1055" s="34"/>
      <c r="I1055" s="37"/>
    </row>
    <row r="1056" ht="22.5" customHeight="1">
      <c r="A1056" s="30"/>
      <c r="B1056" s="40"/>
      <c r="C1056" s="32"/>
      <c r="D1056" s="33"/>
      <c r="E1056" s="34"/>
      <c r="F1056" s="34"/>
      <c r="G1056" s="35"/>
      <c r="H1056" s="34"/>
      <c r="I1056" s="37"/>
    </row>
    <row r="1057" ht="22.5" customHeight="1">
      <c r="A1057" s="30"/>
      <c r="B1057" s="31"/>
      <c r="C1057" s="32"/>
      <c r="D1057" s="33"/>
      <c r="E1057" s="34"/>
      <c r="F1057" s="34"/>
      <c r="G1057" s="35"/>
      <c r="H1057" s="34"/>
      <c r="I1057" s="37"/>
    </row>
    <row r="1058" ht="22.5" customHeight="1">
      <c r="A1058" s="30"/>
      <c r="B1058" s="40"/>
      <c r="C1058" s="32"/>
      <c r="D1058" s="33"/>
      <c r="E1058" s="34"/>
      <c r="F1058" s="34"/>
      <c r="G1058" s="35"/>
      <c r="H1058" s="34"/>
      <c r="I1058" s="37"/>
    </row>
    <row r="1059" ht="22.5" customHeight="1">
      <c r="A1059" s="30"/>
      <c r="B1059" s="31"/>
      <c r="C1059" s="32"/>
      <c r="D1059" s="33"/>
      <c r="E1059" s="34"/>
      <c r="F1059" s="34"/>
      <c r="G1059" s="35"/>
      <c r="H1059" s="34"/>
      <c r="I1059" s="37"/>
    </row>
    <row r="1060" ht="22.5" customHeight="1">
      <c r="A1060" s="30"/>
      <c r="B1060" s="31"/>
      <c r="C1060" s="32"/>
      <c r="D1060" s="33"/>
      <c r="E1060" s="34"/>
      <c r="F1060" s="34"/>
      <c r="G1060" s="35"/>
      <c r="H1060" s="34"/>
      <c r="I1060" s="37"/>
    </row>
    <row r="1061" ht="22.5" customHeight="1">
      <c r="A1061" s="30"/>
      <c r="B1061" s="31"/>
      <c r="C1061" s="32"/>
      <c r="D1061" s="33"/>
      <c r="E1061" s="34"/>
      <c r="F1061" s="34"/>
      <c r="G1061" s="35"/>
      <c r="H1061" s="34"/>
      <c r="I1061" s="37"/>
    </row>
    <row r="1062" ht="22.5" customHeight="1">
      <c r="A1062" s="30"/>
      <c r="B1062" s="31"/>
      <c r="C1062" s="32"/>
      <c r="D1062" s="33"/>
      <c r="E1062" s="34"/>
      <c r="F1062" s="34"/>
      <c r="G1062" s="35"/>
      <c r="H1062" s="34"/>
      <c r="I1062" s="37"/>
    </row>
    <row r="1063" ht="22.5" customHeight="1">
      <c r="A1063" s="30"/>
      <c r="B1063" s="40"/>
      <c r="C1063" s="32"/>
      <c r="D1063" s="33"/>
      <c r="E1063" s="34"/>
      <c r="F1063" s="34"/>
      <c r="G1063" s="35"/>
      <c r="H1063" s="34"/>
      <c r="I1063" s="37"/>
    </row>
    <row r="1064" ht="22.5" customHeight="1">
      <c r="A1064" s="30"/>
      <c r="B1064" s="31"/>
      <c r="C1064" s="32"/>
      <c r="D1064" s="33"/>
      <c r="E1064" s="34"/>
      <c r="F1064" s="34"/>
      <c r="G1064" s="35"/>
      <c r="H1064" s="34"/>
      <c r="I1064" s="37"/>
    </row>
    <row r="1065" ht="22.5" customHeight="1">
      <c r="A1065" s="30"/>
      <c r="B1065" s="31"/>
      <c r="C1065" s="32"/>
      <c r="D1065" s="33"/>
      <c r="E1065" s="34"/>
      <c r="F1065" s="34"/>
      <c r="G1065" s="35"/>
      <c r="H1065" s="34"/>
      <c r="I1065" s="37"/>
    </row>
    <row r="1066" ht="22.5" customHeight="1">
      <c r="A1066" s="30"/>
      <c r="B1066" s="31"/>
      <c r="C1066" s="32"/>
      <c r="D1066" s="33"/>
      <c r="E1066" s="34"/>
      <c r="F1066" s="34"/>
      <c r="G1066" s="35"/>
      <c r="H1066" s="34"/>
      <c r="I1066" s="37"/>
    </row>
    <row r="1067" ht="22.5" customHeight="1">
      <c r="A1067" s="30"/>
      <c r="B1067" s="31"/>
      <c r="C1067" s="32"/>
      <c r="D1067" s="33"/>
      <c r="E1067" s="34"/>
      <c r="F1067" s="34"/>
      <c r="G1067" s="35"/>
      <c r="H1067" s="34"/>
      <c r="I1067" s="37"/>
    </row>
    <row r="1068" ht="22.5" customHeight="1">
      <c r="A1068" s="30"/>
      <c r="B1068" s="31"/>
      <c r="C1068" s="32"/>
      <c r="D1068" s="33"/>
      <c r="E1068" s="34"/>
      <c r="F1068" s="34"/>
      <c r="G1068" s="35"/>
      <c r="H1068" s="34"/>
      <c r="I1068" s="37"/>
    </row>
    <row r="1069" ht="22.5" customHeight="1">
      <c r="A1069" s="30"/>
      <c r="B1069" s="31"/>
      <c r="C1069" s="32"/>
      <c r="D1069" s="33"/>
      <c r="E1069" s="34"/>
      <c r="F1069" s="34"/>
      <c r="G1069" s="35"/>
      <c r="H1069" s="34"/>
      <c r="I1069" s="37"/>
    </row>
    <row r="1070" ht="22.5" customHeight="1">
      <c r="A1070" s="30"/>
      <c r="B1070" s="31"/>
      <c r="C1070" s="32"/>
      <c r="D1070" s="33"/>
      <c r="E1070" s="34"/>
      <c r="F1070" s="34"/>
      <c r="G1070" s="35"/>
      <c r="H1070" s="34"/>
      <c r="I1070" s="37"/>
    </row>
    <row r="1071" ht="22.5" customHeight="1">
      <c r="A1071" s="30"/>
      <c r="B1071" s="31"/>
      <c r="C1071" s="32"/>
      <c r="D1071" s="33"/>
      <c r="E1071" s="34"/>
      <c r="F1071" s="34"/>
      <c r="G1071" s="35"/>
      <c r="H1071" s="34"/>
      <c r="I1071" s="37"/>
    </row>
    <row r="1072" ht="22.5" customHeight="1">
      <c r="A1072" s="30"/>
      <c r="B1072" s="31"/>
      <c r="C1072" s="32"/>
      <c r="D1072" s="33"/>
      <c r="E1072" s="34"/>
      <c r="F1072" s="34"/>
      <c r="G1072" s="35"/>
      <c r="H1072" s="34"/>
      <c r="I1072" s="37"/>
    </row>
    <row r="1073" ht="22.5" customHeight="1">
      <c r="A1073" s="30"/>
      <c r="B1073" s="31"/>
      <c r="C1073" s="32"/>
      <c r="D1073" s="33"/>
      <c r="E1073" s="34"/>
      <c r="F1073" s="34"/>
      <c r="G1073" s="35"/>
      <c r="H1073" s="34"/>
      <c r="I1073" s="37"/>
    </row>
    <row r="1074" ht="22.5" customHeight="1">
      <c r="A1074" s="30"/>
      <c r="B1074" s="31"/>
      <c r="C1074" s="32"/>
      <c r="D1074" s="33"/>
      <c r="E1074" s="34"/>
      <c r="F1074" s="34"/>
      <c r="G1074" s="35"/>
      <c r="H1074" s="34"/>
      <c r="I1074" s="37"/>
    </row>
    <row r="1075" ht="22.5" customHeight="1">
      <c r="A1075" s="30"/>
      <c r="B1075" s="31"/>
      <c r="C1075" s="32"/>
      <c r="D1075" s="33"/>
      <c r="E1075" s="34"/>
      <c r="F1075" s="34"/>
      <c r="G1075" s="35"/>
      <c r="H1075" s="34"/>
      <c r="I1075" s="37"/>
    </row>
    <row r="1076" ht="22.5" customHeight="1">
      <c r="A1076" s="30"/>
      <c r="B1076" s="31"/>
      <c r="C1076" s="32"/>
      <c r="D1076" s="33"/>
      <c r="E1076" s="34"/>
      <c r="F1076" s="34"/>
      <c r="G1076" s="35"/>
      <c r="H1076" s="34"/>
      <c r="I1076" s="37"/>
    </row>
    <row r="1077" ht="22.5" customHeight="1">
      <c r="A1077" s="30"/>
      <c r="B1077" s="31"/>
      <c r="C1077" s="32"/>
      <c r="D1077" s="33"/>
      <c r="E1077" s="34"/>
      <c r="F1077" s="34"/>
      <c r="G1077" s="35"/>
      <c r="H1077" s="34"/>
      <c r="I1077" s="37"/>
    </row>
    <row r="1078" ht="22.5" customHeight="1">
      <c r="A1078" s="30"/>
      <c r="B1078" s="31"/>
      <c r="C1078" s="32"/>
      <c r="D1078" s="33"/>
      <c r="E1078" s="34"/>
      <c r="F1078" s="34"/>
      <c r="G1078" s="35"/>
      <c r="H1078" s="34"/>
      <c r="I1078" s="37"/>
    </row>
    <row r="1079" ht="22.5" customHeight="1">
      <c r="A1079" s="30"/>
      <c r="B1079" s="31"/>
      <c r="C1079" s="32"/>
      <c r="D1079" s="33"/>
      <c r="E1079" s="34"/>
      <c r="F1079" s="34"/>
      <c r="G1079" s="35"/>
      <c r="H1079" s="34"/>
      <c r="I1079" s="37"/>
    </row>
    <row r="1080" ht="22.5" customHeight="1">
      <c r="A1080" s="30"/>
      <c r="B1080" s="31"/>
      <c r="C1080" s="32"/>
      <c r="D1080" s="33"/>
      <c r="E1080" s="34"/>
      <c r="F1080" s="34"/>
      <c r="G1080" s="35"/>
      <c r="H1080" s="34"/>
      <c r="I1080" s="37"/>
    </row>
    <row r="1081" ht="22.5" customHeight="1">
      <c r="A1081" s="30"/>
      <c r="B1081" s="31"/>
      <c r="C1081" s="32"/>
      <c r="D1081" s="33"/>
      <c r="E1081" s="34"/>
      <c r="F1081" s="34"/>
      <c r="G1081" s="35"/>
      <c r="H1081" s="34"/>
      <c r="I1081" s="37"/>
    </row>
    <row r="1082" ht="22.5" customHeight="1">
      <c r="A1082" s="30"/>
      <c r="B1082" s="31"/>
      <c r="C1082" s="32"/>
      <c r="D1082" s="33"/>
      <c r="E1082" s="34"/>
      <c r="F1082" s="34"/>
      <c r="G1082" s="35"/>
      <c r="H1082" s="34"/>
      <c r="I1082" s="37"/>
    </row>
    <row r="1083" ht="22.5" customHeight="1">
      <c r="A1083" s="30"/>
      <c r="B1083" s="31"/>
      <c r="C1083" s="32"/>
      <c r="D1083" s="33"/>
      <c r="E1083" s="34"/>
      <c r="F1083" s="34"/>
      <c r="G1083" s="35"/>
      <c r="H1083" s="34"/>
      <c r="I1083" s="37"/>
    </row>
    <row r="1084" ht="22.5" customHeight="1">
      <c r="A1084" s="30"/>
      <c r="B1084" s="31"/>
      <c r="C1084" s="32"/>
      <c r="D1084" s="33"/>
      <c r="E1084" s="34"/>
      <c r="F1084" s="34"/>
      <c r="G1084" s="35"/>
      <c r="H1084" s="34"/>
      <c r="I1084" s="37"/>
    </row>
    <row r="1085" ht="22.5" customHeight="1">
      <c r="A1085" s="30"/>
      <c r="B1085" s="40"/>
      <c r="C1085" s="32"/>
      <c r="D1085" s="33"/>
      <c r="E1085" s="34"/>
      <c r="F1085" s="34"/>
      <c r="G1085" s="35"/>
      <c r="H1085" s="34"/>
      <c r="I1085" s="37"/>
    </row>
    <row r="1086" ht="22.5" customHeight="1">
      <c r="A1086" s="30"/>
      <c r="B1086" s="31"/>
      <c r="C1086" s="32"/>
      <c r="D1086" s="33"/>
      <c r="E1086" s="34"/>
      <c r="F1086" s="34"/>
      <c r="G1086" s="35"/>
      <c r="H1086" s="34"/>
      <c r="I1086" s="37"/>
    </row>
    <row r="1087" ht="22.5" customHeight="1">
      <c r="A1087" s="30"/>
      <c r="B1087" s="31"/>
      <c r="C1087" s="32"/>
      <c r="D1087" s="33"/>
      <c r="E1087" s="34"/>
      <c r="F1087" s="34"/>
      <c r="G1087" s="35"/>
      <c r="H1087" s="34"/>
      <c r="I1087" s="37"/>
    </row>
    <row r="1088" ht="22.5" customHeight="1">
      <c r="A1088" s="30"/>
      <c r="B1088" s="31"/>
      <c r="C1088" s="32"/>
      <c r="D1088" s="33"/>
      <c r="E1088" s="34"/>
      <c r="F1088" s="34"/>
      <c r="G1088" s="35"/>
      <c r="H1088" s="34"/>
      <c r="I1088" s="37"/>
    </row>
    <row r="1089" ht="22.5" customHeight="1">
      <c r="A1089" s="30"/>
      <c r="B1089" s="31"/>
      <c r="C1089" s="32"/>
      <c r="D1089" s="33"/>
      <c r="E1089" s="34"/>
      <c r="F1089" s="34"/>
      <c r="G1089" s="35"/>
      <c r="H1089" s="34"/>
      <c r="I1089" s="38"/>
    </row>
    <row r="1090" ht="22.5" customHeight="1">
      <c r="A1090" s="30"/>
      <c r="B1090" s="39"/>
      <c r="C1090" s="32"/>
      <c r="D1090" s="33"/>
      <c r="E1090" s="34"/>
      <c r="F1090" s="34"/>
      <c r="G1090" s="35"/>
      <c r="H1090" s="34"/>
      <c r="I1090" s="37"/>
    </row>
    <row r="1091" ht="22.5" customHeight="1">
      <c r="A1091" s="30"/>
      <c r="B1091" s="31"/>
      <c r="C1091" s="32"/>
      <c r="D1091" s="33"/>
      <c r="E1091" s="34"/>
      <c r="F1091" s="34"/>
      <c r="G1091" s="35"/>
      <c r="H1091" s="34"/>
      <c r="I1091" s="37"/>
    </row>
    <row r="1092" ht="22.5" customHeight="1">
      <c r="A1092" s="30"/>
      <c r="B1092" s="31"/>
      <c r="C1092" s="32"/>
      <c r="D1092" s="33"/>
      <c r="E1092" s="34"/>
      <c r="F1092" s="34"/>
      <c r="G1092" s="35"/>
      <c r="H1092" s="34"/>
      <c r="I1092" s="37"/>
    </row>
    <row r="1093" ht="22.5" customHeight="1">
      <c r="A1093" s="30"/>
      <c r="B1093" s="31"/>
      <c r="C1093" s="32"/>
      <c r="D1093" s="33"/>
      <c r="E1093" s="34"/>
      <c r="F1093" s="34"/>
      <c r="G1093" s="35"/>
      <c r="H1093" s="34"/>
      <c r="I1093" s="37"/>
    </row>
    <row r="1094" ht="22.5" customHeight="1">
      <c r="A1094" s="30"/>
      <c r="B1094" s="39"/>
      <c r="C1094" s="32"/>
      <c r="D1094" s="33"/>
      <c r="E1094" s="34"/>
      <c r="F1094" s="34"/>
      <c r="G1094" s="35"/>
      <c r="H1094" s="34"/>
      <c r="I1094" s="37"/>
    </row>
    <row r="1095" ht="22.5" customHeight="1">
      <c r="A1095" s="30"/>
      <c r="B1095" s="31"/>
      <c r="C1095" s="32"/>
      <c r="D1095" s="33"/>
      <c r="E1095" s="34"/>
      <c r="F1095" s="34"/>
      <c r="G1095" s="35"/>
      <c r="H1095" s="34"/>
      <c r="I1095" s="37"/>
    </row>
    <row r="1096" ht="22.5" customHeight="1">
      <c r="A1096" s="30"/>
      <c r="B1096" s="39"/>
      <c r="C1096" s="32"/>
      <c r="D1096" s="33"/>
      <c r="E1096" s="34"/>
      <c r="F1096" s="34"/>
      <c r="G1096" s="35"/>
      <c r="H1096" s="34"/>
      <c r="I1096" s="37"/>
    </row>
    <row r="1097" ht="22.5" customHeight="1">
      <c r="A1097" s="30"/>
      <c r="B1097" s="31"/>
      <c r="C1097" s="32"/>
      <c r="D1097" s="33"/>
      <c r="E1097" s="34"/>
      <c r="F1097" s="34"/>
      <c r="G1097" s="35"/>
      <c r="H1097" s="34"/>
      <c r="I1097" s="37"/>
    </row>
    <row r="1098" ht="22.5" customHeight="1">
      <c r="A1098" s="30"/>
      <c r="B1098" s="31"/>
      <c r="C1098" s="32"/>
      <c r="D1098" s="33"/>
      <c r="E1098" s="34"/>
      <c r="F1098" s="34"/>
      <c r="G1098" s="35"/>
      <c r="H1098" s="34"/>
      <c r="I1098" s="37"/>
    </row>
    <row r="1099" ht="22.5" customHeight="1">
      <c r="A1099" s="30"/>
      <c r="B1099" s="31"/>
      <c r="C1099" s="32"/>
      <c r="D1099" s="33"/>
      <c r="E1099" s="34"/>
      <c r="F1099" s="34"/>
      <c r="G1099" s="35"/>
      <c r="H1099" s="34"/>
      <c r="I1099" s="37"/>
    </row>
    <row r="1100" ht="22.5" customHeight="1">
      <c r="A1100" s="30"/>
      <c r="B1100" s="31"/>
      <c r="C1100" s="32"/>
      <c r="D1100" s="33"/>
      <c r="E1100" s="34"/>
      <c r="F1100" s="34"/>
      <c r="G1100" s="35"/>
      <c r="H1100" s="34"/>
      <c r="I1100" s="37"/>
    </row>
    <row r="1101" ht="22.5" customHeight="1">
      <c r="A1101" s="30"/>
      <c r="B1101" s="31"/>
      <c r="C1101" s="32"/>
      <c r="D1101" s="33"/>
      <c r="E1101" s="34"/>
      <c r="F1101" s="34"/>
      <c r="G1101" s="35"/>
      <c r="H1101" s="34"/>
      <c r="I1101" s="37"/>
    </row>
    <row r="1102" ht="22.5" customHeight="1">
      <c r="A1102" s="30"/>
      <c r="B1102" s="31"/>
      <c r="C1102" s="32"/>
      <c r="D1102" s="33"/>
      <c r="E1102" s="34"/>
      <c r="F1102" s="34"/>
      <c r="G1102" s="35"/>
      <c r="H1102" s="34"/>
      <c r="I1102" s="37"/>
    </row>
    <row r="1103" ht="22.5" customHeight="1">
      <c r="A1103" s="30"/>
      <c r="B1103" s="31"/>
      <c r="C1103" s="32"/>
      <c r="D1103" s="33"/>
      <c r="E1103" s="34"/>
      <c r="F1103" s="34"/>
      <c r="G1103" s="35"/>
      <c r="H1103" s="34"/>
      <c r="I1103" s="37"/>
    </row>
    <row r="1104" ht="22.5" customHeight="1">
      <c r="A1104" s="30"/>
      <c r="B1104" s="31"/>
      <c r="C1104" s="32"/>
      <c r="D1104" s="33"/>
      <c r="E1104" s="34"/>
      <c r="F1104" s="34"/>
      <c r="G1104" s="35"/>
      <c r="H1104" s="34"/>
      <c r="I1104" s="37"/>
    </row>
    <row r="1105" ht="22.5" customHeight="1">
      <c r="A1105" s="30"/>
      <c r="B1105" s="31"/>
      <c r="C1105" s="32"/>
      <c r="D1105" s="33"/>
      <c r="E1105" s="34"/>
      <c r="F1105" s="34"/>
      <c r="G1105" s="35"/>
      <c r="H1105" s="34"/>
      <c r="I1105" s="37"/>
    </row>
    <row r="1106" ht="22.5" customHeight="1">
      <c r="A1106" s="30"/>
      <c r="B1106" s="31"/>
      <c r="C1106" s="32"/>
      <c r="D1106" s="33"/>
      <c r="E1106" s="34"/>
      <c r="F1106" s="34"/>
      <c r="G1106" s="35"/>
      <c r="H1106" s="34"/>
      <c r="I1106" s="37"/>
    </row>
    <row r="1107" ht="22.5" customHeight="1">
      <c r="A1107" s="30"/>
      <c r="B1107" s="40"/>
      <c r="C1107" s="32"/>
      <c r="D1107" s="33"/>
      <c r="E1107" s="34"/>
      <c r="F1107" s="34"/>
      <c r="G1107" s="35"/>
      <c r="H1107" s="34"/>
      <c r="I1107" s="37"/>
    </row>
    <row r="1108" ht="22.5" customHeight="1">
      <c r="A1108" s="30"/>
      <c r="B1108" s="31"/>
      <c r="C1108" s="32"/>
      <c r="D1108" s="33"/>
      <c r="E1108" s="34"/>
      <c r="F1108" s="34"/>
      <c r="G1108" s="35"/>
      <c r="H1108" s="34"/>
      <c r="I1108" s="37"/>
    </row>
    <row r="1109" ht="22.5" customHeight="1">
      <c r="A1109" s="30"/>
      <c r="B1109" s="31"/>
      <c r="C1109" s="32"/>
      <c r="D1109" s="33"/>
      <c r="E1109" s="34"/>
      <c r="F1109" s="34"/>
      <c r="G1109" s="35"/>
      <c r="H1109" s="34"/>
      <c r="I1109" s="37"/>
    </row>
    <row r="1110" ht="22.5" customHeight="1">
      <c r="A1110" s="30"/>
      <c r="B1110" s="31"/>
      <c r="C1110" s="32"/>
      <c r="D1110" s="33"/>
      <c r="E1110" s="34"/>
      <c r="F1110" s="34"/>
      <c r="G1110" s="35"/>
      <c r="H1110" s="34"/>
      <c r="I1110" s="37"/>
    </row>
    <row r="1111" ht="22.5" customHeight="1">
      <c r="A1111" s="30"/>
      <c r="B1111" s="31"/>
      <c r="C1111" s="32"/>
      <c r="D1111" s="33"/>
      <c r="E1111" s="34"/>
      <c r="F1111" s="34"/>
      <c r="G1111" s="35"/>
      <c r="H1111" s="34"/>
      <c r="I1111" s="37"/>
    </row>
    <row r="1112" ht="22.5" customHeight="1">
      <c r="A1112" s="30"/>
      <c r="B1112" s="31"/>
      <c r="C1112" s="32"/>
      <c r="D1112" s="33"/>
      <c r="E1112" s="34"/>
      <c r="F1112" s="34"/>
      <c r="G1112" s="35"/>
      <c r="H1112" s="34"/>
      <c r="I1112" s="37"/>
    </row>
    <row r="1113" ht="22.5" customHeight="1">
      <c r="A1113" s="30"/>
      <c r="B1113" s="31"/>
      <c r="C1113" s="32"/>
      <c r="D1113" s="33"/>
      <c r="E1113" s="34"/>
      <c r="F1113" s="34"/>
      <c r="G1113" s="35"/>
      <c r="H1113" s="34"/>
      <c r="I1113" s="37"/>
    </row>
    <row r="1114" ht="22.5" customHeight="1">
      <c r="A1114" s="30"/>
      <c r="B1114" s="39"/>
      <c r="C1114" s="32"/>
      <c r="D1114" s="33"/>
      <c r="E1114" s="34"/>
      <c r="F1114" s="34"/>
      <c r="G1114" s="35"/>
      <c r="H1114" s="34"/>
      <c r="I1114" s="37"/>
    </row>
    <row r="1115" ht="22.5" customHeight="1">
      <c r="A1115" s="30"/>
      <c r="B1115" s="39"/>
      <c r="C1115" s="32"/>
      <c r="D1115" s="33"/>
      <c r="E1115" s="34"/>
      <c r="F1115" s="34"/>
      <c r="G1115" s="35"/>
      <c r="H1115" s="34"/>
      <c r="I1115" s="37"/>
    </row>
    <row r="1116" ht="22.5" customHeight="1">
      <c r="A1116" s="30"/>
      <c r="B1116" s="39"/>
      <c r="C1116" s="32"/>
      <c r="D1116" s="33"/>
      <c r="E1116" s="34"/>
      <c r="F1116" s="34"/>
      <c r="G1116" s="35"/>
      <c r="H1116" s="34"/>
      <c r="I1116" s="37"/>
    </row>
    <row r="1117" ht="22.5" customHeight="1">
      <c r="A1117" s="30"/>
      <c r="B1117" s="40"/>
      <c r="C1117" s="32"/>
      <c r="D1117" s="33"/>
      <c r="E1117" s="34"/>
      <c r="F1117" s="34"/>
      <c r="G1117" s="35"/>
      <c r="H1117" s="34"/>
      <c r="I1117" s="37"/>
    </row>
    <row r="1118" ht="22.5" customHeight="1">
      <c r="A1118" s="30"/>
      <c r="B1118" s="31"/>
      <c r="C1118" s="32"/>
      <c r="D1118" s="33"/>
      <c r="E1118" s="34"/>
      <c r="F1118" s="34"/>
      <c r="G1118" s="35"/>
      <c r="H1118" s="34"/>
      <c r="I1118" s="37"/>
    </row>
    <row r="1119" ht="22.5" customHeight="1">
      <c r="A1119" s="30"/>
      <c r="B1119" s="31"/>
      <c r="C1119" s="32"/>
      <c r="D1119" s="33"/>
      <c r="E1119" s="34"/>
      <c r="F1119" s="34"/>
      <c r="G1119" s="35"/>
      <c r="H1119" s="34"/>
      <c r="I1119" s="37"/>
    </row>
    <row r="1120" ht="22.5" customHeight="1">
      <c r="A1120" s="30"/>
      <c r="B1120" s="31"/>
      <c r="C1120" s="32"/>
      <c r="D1120" s="33"/>
      <c r="E1120" s="34"/>
      <c r="F1120" s="34"/>
      <c r="G1120" s="35"/>
      <c r="H1120" s="34"/>
      <c r="I1120" s="37"/>
    </row>
    <row r="1121" ht="22.5" customHeight="1">
      <c r="A1121" s="30"/>
      <c r="B1121" s="31"/>
      <c r="C1121" s="32"/>
      <c r="D1121" s="33"/>
      <c r="E1121" s="34"/>
      <c r="F1121" s="34"/>
      <c r="G1121" s="35"/>
      <c r="H1121" s="34"/>
      <c r="I1121" s="37"/>
    </row>
    <row r="1122" ht="22.5" customHeight="1">
      <c r="A1122" s="30"/>
      <c r="B1122" s="31"/>
      <c r="C1122" s="32"/>
      <c r="D1122" s="33"/>
      <c r="E1122" s="34"/>
      <c r="F1122" s="34"/>
      <c r="G1122" s="35"/>
      <c r="H1122" s="34"/>
      <c r="I1122" s="37"/>
    </row>
    <row r="1123" ht="22.5" customHeight="1">
      <c r="A1123" s="30"/>
      <c r="B1123" s="31"/>
      <c r="C1123" s="32"/>
      <c r="D1123" s="33"/>
      <c r="E1123" s="34"/>
      <c r="F1123" s="34"/>
      <c r="G1123" s="35"/>
      <c r="H1123" s="34"/>
      <c r="I1123" s="37"/>
    </row>
    <row r="1124" ht="22.5" customHeight="1">
      <c r="A1124" s="30"/>
      <c r="B1124" s="31"/>
      <c r="C1124" s="32"/>
      <c r="D1124" s="33"/>
      <c r="E1124" s="34"/>
      <c r="F1124" s="34"/>
      <c r="G1124" s="35"/>
      <c r="H1124" s="34"/>
      <c r="I1124" s="37"/>
    </row>
    <row r="1125" ht="22.5" customHeight="1">
      <c r="A1125" s="30"/>
      <c r="B1125" s="31"/>
      <c r="C1125" s="32"/>
      <c r="D1125" s="33"/>
      <c r="E1125" s="34"/>
      <c r="F1125" s="34"/>
      <c r="G1125" s="35"/>
      <c r="H1125" s="34"/>
      <c r="I1125" s="37"/>
    </row>
    <row r="1126" ht="22.5" customHeight="1">
      <c r="A1126" s="30"/>
      <c r="B1126" s="31"/>
      <c r="C1126" s="32"/>
      <c r="D1126" s="33"/>
      <c r="E1126" s="34"/>
      <c r="F1126" s="34"/>
      <c r="G1126" s="35"/>
      <c r="H1126" s="34"/>
      <c r="I1126" s="37"/>
    </row>
    <row r="1127" ht="22.5" customHeight="1">
      <c r="A1127" s="30"/>
      <c r="B1127" s="40"/>
      <c r="C1127" s="32"/>
      <c r="D1127" s="33"/>
      <c r="E1127" s="34"/>
      <c r="F1127" s="34"/>
      <c r="G1127" s="35"/>
      <c r="H1127" s="34"/>
      <c r="I1127" s="37"/>
    </row>
    <row r="1128" ht="22.5" customHeight="1">
      <c r="A1128" s="30"/>
      <c r="B1128" s="31"/>
      <c r="C1128" s="32"/>
      <c r="D1128" s="33"/>
      <c r="E1128" s="34"/>
      <c r="F1128" s="34"/>
      <c r="G1128" s="35"/>
      <c r="H1128" s="34"/>
      <c r="I1128" s="37"/>
    </row>
    <row r="1129" ht="22.5" customHeight="1">
      <c r="A1129" s="30"/>
      <c r="B1129" s="31"/>
      <c r="C1129" s="32"/>
      <c r="D1129" s="33"/>
      <c r="E1129" s="34"/>
      <c r="F1129" s="34"/>
      <c r="G1129" s="35"/>
      <c r="H1129" s="34"/>
      <c r="I1129" s="37"/>
    </row>
    <row r="1130" ht="22.5" customHeight="1">
      <c r="A1130" s="30"/>
      <c r="B1130" s="31"/>
      <c r="C1130" s="32"/>
      <c r="D1130" s="33"/>
      <c r="E1130" s="34"/>
      <c r="F1130" s="34"/>
      <c r="G1130" s="35"/>
      <c r="H1130" s="34"/>
      <c r="I1130" s="37"/>
    </row>
    <row r="1131" ht="22.5" customHeight="1">
      <c r="A1131" s="30"/>
      <c r="B1131" s="40"/>
      <c r="C1131" s="32"/>
      <c r="D1131" s="33"/>
      <c r="E1131" s="34"/>
      <c r="F1131" s="34"/>
      <c r="G1131" s="35"/>
      <c r="H1131" s="34"/>
      <c r="I1131" s="37"/>
    </row>
    <row r="1132" ht="22.5" customHeight="1">
      <c r="A1132" s="30"/>
      <c r="B1132" s="31"/>
      <c r="C1132" s="32"/>
      <c r="D1132" s="33"/>
      <c r="E1132" s="34"/>
      <c r="F1132" s="34"/>
      <c r="G1132" s="35"/>
      <c r="H1132" s="34"/>
      <c r="I1132" s="37"/>
    </row>
    <row r="1133" ht="22.5" customHeight="1">
      <c r="A1133" s="30"/>
      <c r="B1133" s="31"/>
      <c r="C1133" s="32"/>
      <c r="D1133" s="33"/>
      <c r="E1133" s="34"/>
      <c r="F1133" s="34"/>
      <c r="G1133" s="35"/>
      <c r="H1133" s="34"/>
      <c r="I1133" s="37"/>
    </row>
    <row r="1134" ht="22.5" customHeight="1">
      <c r="A1134" s="30"/>
      <c r="B1134" s="31"/>
      <c r="C1134" s="32"/>
      <c r="D1134" s="33"/>
      <c r="E1134" s="34"/>
      <c r="F1134" s="34"/>
      <c r="G1134" s="35"/>
      <c r="H1134" s="34"/>
      <c r="I1134" s="37"/>
    </row>
    <row r="1135" ht="22.5" customHeight="1">
      <c r="A1135" s="30"/>
      <c r="B1135" s="31"/>
      <c r="C1135" s="32"/>
      <c r="D1135" s="33"/>
      <c r="E1135" s="34"/>
      <c r="F1135" s="34"/>
      <c r="G1135" s="35"/>
      <c r="H1135" s="34"/>
      <c r="I1135" s="37"/>
    </row>
    <row r="1136" ht="22.5" customHeight="1">
      <c r="A1136" s="30"/>
      <c r="B1136" s="31"/>
      <c r="C1136" s="32"/>
      <c r="D1136" s="33"/>
      <c r="E1136" s="34"/>
      <c r="F1136" s="34"/>
      <c r="G1136" s="35"/>
      <c r="H1136" s="34"/>
      <c r="I1136" s="37"/>
    </row>
    <row r="1137" ht="22.5" customHeight="1">
      <c r="A1137" s="30"/>
      <c r="B1137" s="31"/>
      <c r="C1137" s="32"/>
      <c r="D1137" s="33"/>
      <c r="E1137" s="34"/>
      <c r="F1137" s="34"/>
      <c r="G1137" s="35"/>
      <c r="H1137" s="34"/>
      <c r="I1137" s="37"/>
    </row>
    <row r="1138" ht="22.5" customHeight="1">
      <c r="A1138" s="30"/>
      <c r="B1138" s="31"/>
      <c r="C1138" s="32"/>
      <c r="D1138" s="33"/>
      <c r="E1138" s="34"/>
      <c r="F1138" s="34"/>
      <c r="G1138" s="35"/>
      <c r="H1138" s="34"/>
      <c r="I1138" s="37"/>
    </row>
    <row r="1139" ht="22.5" customHeight="1">
      <c r="A1139" s="30"/>
      <c r="B1139" s="31"/>
      <c r="C1139" s="32"/>
      <c r="D1139" s="33"/>
      <c r="E1139" s="34"/>
      <c r="F1139" s="34"/>
      <c r="G1139" s="35"/>
      <c r="H1139" s="34"/>
      <c r="I1139" s="37"/>
    </row>
    <row r="1140" ht="22.5" customHeight="1">
      <c r="A1140" s="30"/>
      <c r="B1140" s="31"/>
      <c r="C1140" s="32"/>
      <c r="D1140" s="33"/>
      <c r="E1140" s="34"/>
      <c r="F1140" s="34"/>
      <c r="G1140" s="35"/>
      <c r="H1140" s="34"/>
      <c r="I1140" s="37"/>
    </row>
    <row r="1141" ht="22.5" customHeight="1">
      <c r="A1141" s="30"/>
      <c r="B1141" s="31"/>
      <c r="C1141" s="32"/>
      <c r="D1141" s="33"/>
      <c r="E1141" s="34"/>
      <c r="F1141" s="34"/>
      <c r="G1141" s="35"/>
      <c r="H1141" s="34"/>
      <c r="I1141" s="37"/>
    </row>
    <row r="1142" ht="22.5" customHeight="1">
      <c r="A1142" s="30"/>
      <c r="B1142" s="31"/>
      <c r="C1142" s="32"/>
      <c r="D1142" s="33"/>
      <c r="E1142" s="34"/>
      <c r="F1142" s="34"/>
      <c r="G1142" s="35"/>
      <c r="H1142" s="34"/>
      <c r="I1142" s="37"/>
    </row>
    <row r="1143" ht="22.5" customHeight="1">
      <c r="A1143" s="30"/>
      <c r="B1143" s="31"/>
      <c r="C1143" s="32"/>
      <c r="D1143" s="33"/>
      <c r="E1143" s="34"/>
      <c r="F1143" s="34"/>
      <c r="G1143" s="35"/>
      <c r="H1143" s="34"/>
      <c r="I1143" s="37"/>
    </row>
    <row r="1144" ht="22.5" customHeight="1">
      <c r="A1144" s="30"/>
      <c r="B1144" s="31"/>
      <c r="C1144" s="32"/>
      <c r="D1144" s="33"/>
      <c r="E1144" s="34"/>
      <c r="F1144" s="34"/>
      <c r="G1144" s="35"/>
      <c r="H1144" s="34"/>
      <c r="I1144" s="37"/>
    </row>
    <row r="1145" ht="22.5" customHeight="1">
      <c r="A1145" s="30"/>
      <c r="B1145" s="31"/>
      <c r="C1145" s="32"/>
      <c r="D1145" s="33"/>
      <c r="E1145" s="34"/>
      <c r="F1145" s="34"/>
      <c r="G1145" s="35"/>
      <c r="H1145" s="34"/>
      <c r="I1145" s="37"/>
    </row>
    <row r="1146" ht="22.5" customHeight="1">
      <c r="A1146" s="30"/>
      <c r="B1146" s="40"/>
      <c r="C1146" s="32"/>
      <c r="D1146" s="33"/>
      <c r="E1146" s="34"/>
      <c r="F1146" s="34"/>
      <c r="G1146" s="35"/>
      <c r="H1146" s="34"/>
      <c r="I1146" s="37"/>
    </row>
    <row r="1147" ht="22.5" customHeight="1">
      <c r="A1147" s="30"/>
      <c r="B1147" s="31"/>
      <c r="C1147" s="32"/>
      <c r="D1147" s="33"/>
      <c r="E1147" s="34"/>
      <c r="F1147" s="34"/>
      <c r="G1147" s="35"/>
      <c r="H1147" s="34"/>
      <c r="I1147" s="37"/>
    </row>
    <row r="1148" ht="22.5" customHeight="1">
      <c r="A1148" s="30"/>
      <c r="B1148" s="40"/>
      <c r="C1148" s="32"/>
      <c r="D1148" s="33"/>
      <c r="E1148" s="34"/>
      <c r="F1148" s="34"/>
      <c r="G1148" s="35"/>
      <c r="H1148" s="34"/>
      <c r="I1148" s="37"/>
    </row>
    <row r="1149" ht="22.5" customHeight="1">
      <c r="A1149" s="30"/>
      <c r="B1149" s="31"/>
      <c r="C1149" s="32"/>
      <c r="D1149" s="33"/>
      <c r="E1149" s="34"/>
      <c r="F1149" s="34"/>
      <c r="G1149" s="35"/>
      <c r="H1149" s="34"/>
      <c r="I1149" s="37"/>
    </row>
    <row r="1150" ht="22.5" customHeight="1">
      <c r="A1150" s="30"/>
      <c r="B1150" s="31"/>
      <c r="C1150" s="32"/>
      <c r="D1150" s="33"/>
      <c r="E1150" s="34"/>
      <c r="F1150" s="34"/>
      <c r="G1150" s="35"/>
      <c r="H1150" s="34"/>
      <c r="I1150" s="37"/>
    </row>
    <row r="1151" ht="22.5" customHeight="1">
      <c r="A1151" s="30"/>
      <c r="B1151" s="31"/>
      <c r="C1151" s="32"/>
      <c r="D1151" s="33"/>
      <c r="E1151" s="34"/>
      <c r="F1151" s="34"/>
      <c r="G1151" s="35"/>
      <c r="H1151" s="34"/>
      <c r="I1151" s="37"/>
    </row>
    <row r="1152" ht="22.5" customHeight="1">
      <c r="A1152" s="30"/>
      <c r="B1152" s="31"/>
      <c r="C1152" s="32"/>
      <c r="D1152" s="33"/>
      <c r="E1152" s="34"/>
      <c r="F1152" s="34"/>
      <c r="G1152" s="35"/>
      <c r="H1152" s="34"/>
      <c r="I1152" s="37"/>
    </row>
    <row r="1153" ht="22.5" customHeight="1">
      <c r="A1153" s="30"/>
      <c r="B1153" s="40"/>
      <c r="C1153" s="32"/>
      <c r="D1153" s="33"/>
      <c r="E1153" s="34"/>
      <c r="F1153" s="34"/>
      <c r="G1153" s="35"/>
      <c r="H1153" s="34"/>
      <c r="I1153" s="37"/>
    </row>
    <row r="1154" ht="22.5" customHeight="1">
      <c r="A1154" s="30"/>
      <c r="B1154" s="31"/>
      <c r="C1154" s="32"/>
      <c r="D1154" s="33"/>
      <c r="E1154" s="34"/>
      <c r="F1154" s="34"/>
      <c r="G1154" s="35"/>
      <c r="H1154" s="34"/>
      <c r="I1154" s="37"/>
    </row>
    <row r="1155" ht="22.5" customHeight="1">
      <c r="A1155" s="30"/>
      <c r="B1155" s="31"/>
      <c r="C1155" s="32"/>
      <c r="D1155" s="33"/>
      <c r="E1155" s="34"/>
      <c r="F1155" s="34"/>
      <c r="G1155" s="35"/>
      <c r="H1155" s="34"/>
      <c r="I1155" s="37"/>
    </row>
    <row r="1156" ht="22.5" customHeight="1">
      <c r="A1156" s="30"/>
      <c r="B1156" s="31"/>
      <c r="C1156" s="32"/>
      <c r="D1156" s="33"/>
      <c r="E1156" s="34"/>
      <c r="F1156" s="34"/>
      <c r="G1156" s="35"/>
      <c r="H1156" s="34"/>
      <c r="I1156" s="37"/>
    </row>
    <row r="1157" ht="22.5" customHeight="1">
      <c r="A1157" s="30"/>
      <c r="B1157" s="31"/>
      <c r="C1157" s="32"/>
      <c r="D1157" s="33"/>
      <c r="E1157" s="34"/>
      <c r="F1157" s="34"/>
      <c r="G1157" s="35"/>
      <c r="H1157" s="34"/>
      <c r="I1157" s="37"/>
    </row>
    <row r="1158" ht="22.5" customHeight="1">
      <c r="A1158" s="30"/>
      <c r="B1158" s="31"/>
      <c r="C1158" s="32"/>
      <c r="D1158" s="33"/>
      <c r="E1158" s="34"/>
      <c r="F1158" s="34"/>
      <c r="G1158" s="35"/>
      <c r="H1158" s="34"/>
      <c r="I1158" s="37"/>
    </row>
    <row r="1159" ht="22.5" customHeight="1">
      <c r="A1159" s="30"/>
      <c r="B1159" s="31"/>
      <c r="C1159" s="32"/>
      <c r="D1159" s="33"/>
      <c r="E1159" s="34"/>
      <c r="F1159" s="34"/>
      <c r="G1159" s="35"/>
      <c r="H1159" s="34"/>
      <c r="I1159" s="37"/>
    </row>
    <row r="1160" ht="22.5" customHeight="1">
      <c r="A1160" s="30"/>
      <c r="B1160" s="31"/>
      <c r="C1160" s="32"/>
      <c r="D1160" s="33"/>
      <c r="E1160" s="34"/>
      <c r="F1160" s="34"/>
      <c r="G1160" s="35"/>
      <c r="H1160" s="34"/>
      <c r="I1160" s="37"/>
    </row>
    <row r="1161" ht="22.5" customHeight="1">
      <c r="A1161" s="30"/>
      <c r="B1161" s="31"/>
      <c r="C1161" s="32"/>
      <c r="D1161" s="33"/>
      <c r="E1161" s="34"/>
      <c r="F1161" s="34"/>
      <c r="G1161" s="35"/>
      <c r="H1161" s="34"/>
      <c r="I1161" s="37"/>
    </row>
    <row r="1162" ht="22.5" customHeight="1">
      <c r="A1162" s="30"/>
      <c r="B1162" s="31"/>
      <c r="C1162" s="32"/>
      <c r="D1162" s="33"/>
      <c r="E1162" s="34"/>
      <c r="F1162" s="34"/>
      <c r="G1162" s="35"/>
      <c r="H1162" s="34"/>
      <c r="I1162" s="37"/>
    </row>
    <row r="1163" ht="22.5" customHeight="1">
      <c r="A1163" s="30"/>
      <c r="B1163" s="31"/>
      <c r="C1163" s="32"/>
      <c r="D1163" s="33"/>
      <c r="E1163" s="34"/>
      <c r="F1163" s="34"/>
      <c r="G1163" s="35"/>
      <c r="H1163" s="34"/>
      <c r="I1163" s="37"/>
    </row>
    <row r="1164" ht="22.5" customHeight="1">
      <c r="A1164" s="30"/>
      <c r="B1164" s="31"/>
      <c r="C1164" s="32"/>
      <c r="D1164" s="33"/>
      <c r="E1164" s="34"/>
      <c r="F1164" s="34"/>
      <c r="G1164" s="35"/>
      <c r="H1164" s="34"/>
      <c r="I1164" s="37"/>
    </row>
    <row r="1165" ht="22.5" customHeight="1">
      <c r="A1165" s="30"/>
      <c r="B1165" s="31"/>
      <c r="C1165" s="32"/>
      <c r="D1165" s="33"/>
      <c r="E1165" s="34"/>
      <c r="F1165" s="34"/>
      <c r="G1165" s="35"/>
      <c r="H1165" s="34"/>
      <c r="I1165" s="37"/>
    </row>
    <row r="1166" ht="22.5" customHeight="1">
      <c r="A1166" s="30"/>
      <c r="B1166" s="31"/>
      <c r="C1166" s="32"/>
      <c r="D1166" s="33"/>
      <c r="E1166" s="34"/>
      <c r="F1166" s="34"/>
      <c r="G1166" s="35"/>
      <c r="H1166" s="34"/>
      <c r="I1166" s="37"/>
    </row>
    <row r="1167" ht="22.5" customHeight="1">
      <c r="A1167" s="30"/>
      <c r="B1167" s="31"/>
      <c r="C1167" s="32"/>
      <c r="D1167" s="33"/>
      <c r="E1167" s="34"/>
      <c r="F1167" s="34"/>
      <c r="G1167" s="35"/>
      <c r="H1167" s="34"/>
      <c r="I1167" s="37"/>
    </row>
    <row r="1168" ht="22.5" customHeight="1">
      <c r="A1168" s="30"/>
      <c r="B1168" s="31"/>
      <c r="C1168" s="32"/>
      <c r="D1168" s="33"/>
      <c r="E1168" s="34"/>
      <c r="F1168" s="34"/>
      <c r="G1168" s="35"/>
      <c r="H1168" s="34"/>
      <c r="I1168" s="37"/>
    </row>
    <row r="1169" ht="22.5" customHeight="1">
      <c r="A1169" s="30"/>
      <c r="B1169" s="31"/>
      <c r="C1169" s="32"/>
      <c r="D1169" s="33"/>
      <c r="E1169" s="34"/>
      <c r="F1169" s="34"/>
      <c r="G1169" s="35"/>
      <c r="H1169" s="34"/>
      <c r="I1169" s="37"/>
    </row>
    <row r="1170" ht="22.5" customHeight="1">
      <c r="A1170" s="30"/>
      <c r="B1170" s="31"/>
      <c r="C1170" s="32"/>
      <c r="D1170" s="33"/>
      <c r="E1170" s="34"/>
      <c r="F1170" s="34"/>
      <c r="G1170" s="35"/>
      <c r="H1170" s="34"/>
      <c r="I1170" s="37"/>
    </row>
    <row r="1171" ht="22.5" customHeight="1">
      <c r="A1171" s="30"/>
      <c r="B1171" s="31"/>
      <c r="C1171" s="32"/>
      <c r="D1171" s="33"/>
      <c r="E1171" s="34"/>
      <c r="F1171" s="34"/>
      <c r="G1171" s="35"/>
      <c r="H1171" s="34"/>
      <c r="I1171" s="37"/>
    </row>
    <row r="1172" ht="22.5" customHeight="1">
      <c r="A1172" s="30"/>
      <c r="B1172" s="31"/>
      <c r="C1172" s="32"/>
      <c r="D1172" s="33"/>
      <c r="E1172" s="34"/>
      <c r="F1172" s="34"/>
      <c r="G1172" s="35"/>
      <c r="H1172" s="34"/>
      <c r="I1172" s="37"/>
    </row>
    <row r="1173" ht="22.5" customHeight="1">
      <c r="A1173" s="30"/>
      <c r="B1173" s="31"/>
      <c r="C1173" s="32"/>
      <c r="D1173" s="33"/>
      <c r="E1173" s="34"/>
      <c r="F1173" s="34"/>
      <c r="G1173" s="35"/>
      <c r="H1173" s="34"/>
      <c r="I1173" s="37"/>
    </row>
    <row r="1174" ht="22.5" customHeight="1">
      <c r="A1174" s="30"/>
      <c r="B1174" s="31"/>
      <c r="C1174" s="32"/>
      <c r="D1174" s="33"/>
      <c r="E1174" s="34"/>
      <c r="F1174" s="34"/>
      <c r="G1174" s="35"/>
      <c r="H1174" s="34"/>
      <c r="I1174" s="37"/>
    </row>
    <row r="1175" ht="22.5" customHeight="1">
      <c r="A1175" s="30"/>
      <c r="B1175" s="40"/>
      <c r="C1175" s="32"/>
      <c r="D1175" s="33"/>
      <c r="E1175" s="34"/>
      <c r="F1175" s="34"/>
      <c r="G1175" s="35"/>
      <c r="H1175" s="34"/>
      <c r="I1175" s="37"/>
    </row>
    <row r="1176" ht="22.5" customHeight="1">
      <c r="A1176" s="30"/>
      <c r="B1176" s="31"/>
      <c r="C1176" s="32"/>
      <c r="D1176" s="33"/>
      <c r="E1176" s="34"/>
      <c r="F1176" s="34"/>
      <c r="G1176" s="35"/>
      <c r="H1176" s="34"/>
      <c r="I1176" s="37"/>
    </row>
    <row r="1177" ht="22.5" customHeight="1">
      <c r="A1177" s="30"/>
      <c r="B1177" s="31"/>
      <c r="C1177" s="32"/>
      <c r="D1177" s="33"/>
      <c r="E1177" s="34"/>
      <c r="F1177" s="34"/>
      <c r="G1177" s="35"/>
      <c r="H1177" s="34"/>
      <c r="I1177" s="37"/>
    </row>
    <row r="1178" ht="22.5" customHeight="1">
      <c r="A1178" s="30"/>
      <c r="B1178" s="31"/>
      <c r="C1178" s="32"/>
      <c r="D1178" s="33"/>
      <c r="E1178" s="34"/>
      <c r="F1178" s="34"/>
      <c r="G1178" s="35"/>
      <c r="H1178" s="34"/>
      <c r="I1178" s="37"/>
    </row>
    <row r="1179" ht="22.5" customHeight="1">
      <c r="A1179" s="30"/>
      <c r="B1179" s="31"/>
      <c r="C1179" s="32"/>
      <c r="D1179" s="33"/>
      <c r="E1179" s="34"/>
      <c r="F1179" s="34"/>
      <c r="G1179" s="35"/>
      <c r="H1179" s="34"/>
      <c r="I1179" s="38"/>
    </row>
    <row r="1180" ht="22.5" customHeight="1">
      <c r="A1180" s="30"/>
      <c r="B1180" s="39"/>
      <c r="C1180" s="32"/>
      <c r="D1180" s="33"/>
      <c r="E1180" s="34"/>
      <c r="F1180" s="34"/>
      <c r="G1180" s="35"/>
      <c r="H1180" s="34"/>
      <c r="I1180" s="37"/>
    </row>
    <row r="1181" ht="22.5" customHeight="1">
      <c r="A1181" s="30"/>
      <c r="B1181" s="31"/>
      <c r="C1181" s="32"/>
      <c r="D1181" s="33"/>
      <c r="E1181" s="34"/>
      <c r="F1181" s="34"/>
      <c r="G1181" s="35"/>
      <c r="H1181" s="34"/>
      <c r="I1181" s="37"/>
    </row>
    <row r="1182" ht="22.5" customHeight="1">
      <c r="A1182" s="30"/>
      <c r="B1182" s="31"/>
      <c r="C1182" s="32"/>
      <c r="D1182" s="33"/>
      <c r="E1182" s="34"/>
      <c r="F1182" s="34"/>
      <c r="G1182" s="35"/>
      <c r="H1182" s="34"/>
      <c r="I1182" s="37"/>
    </row>
    <row r="1183" ht="22.5" customHeight="1">
      <c r="A1183" s="30"/>
      <c r="B1183" s="31"/>
      <c r="C1183" s="32"/>
      <c r="D1183" s="33"/>
      <c r="E1183" s="34"/>
      <c r="F1183" s="34"/>
      <c r="G1183" s="35"/>
      <c r="H1183" s="34"/>
      <c r="I1183" s="37"/>
    </row>
    <row r="1184" ht="22.5" customHeight="1">
      <c r="A1184" s="30"/>
      <c r="B1184" s="39"/>
      <c r="C1184" s="32"/>
      <c r="D1184" s="33"/>
      <c r="E1184" s="34"/>
      <c r="F1184" s="34"/>
      <c r="G1184" s="35"/>
      <c r="H1184" s="34"/>
      <c r="I1184" s="37"/>
    </row>
    <row r="1185" ht="22.5" customHeight="1">
      <c r="A1185" s="30"/>
      <c r="B1185" s="31"/>
      <c r="C1185" s="32"/>
      <c r="D1185" s="33"/>
      <c r="E1185" s="34"/>
      <c r="F1185" s="34"/>
      <c r="G1185" s="35"/>
      <c r="H1185" s="34"/>
      <c r="I1185" s="37"/>
    </row>
    <row r="1186" ht="22.5" customHeight="1">
      <c r="A1186" s="30"/>
      <c r="B1186" s="39"/>
      <c r="C1186" s="32"/>
      <c r="D1186" s="33"/>
      <c r="E1186" s="34"/>
      <c r="F1186" s="34"/>
      <c r="G1186" s="35"/>
      <c r="H1186" s="34"/>
      <c r="I1186" s="37"/>
    </row>
    <row r="1187" ht="22.5" customHeight="1">
      <c r="A1187" s="30"/>
      <c r="B1187" s="31"/>
      <c r="C1187" s="32"/>
      <c r="D1187" s="33"/>
      <c r="E1187" s="34"/>
      <c r="F1187" s="34"/>
      <c r="G1187" s="35"/>
      <c r="H1187" s="34"/>
      <c r="I1187" s="37"/>
    </row>
    <row r="1188" ht="22.5" customHeight="1">
      <c r="A1188" s="30"/>
      <c r="B1188" s="31"/>
      <c r="C1188" s="32"/>
      <c r="D1188" s="33"/>
      <c r="E1188" s="34"/>
      <c r="F1188" s="34"/>
      <c r="G1188" s="35"/>
      <c r="H1188" s="34"/>
      <c r="I1188" s="37"/>
    </row>
    <row r="1189" ht="22.5" customHeight="1">
      <c r="A1189" s="30"/>
      <c r="B1189" s="31"/>
      <c r="C1189" s="32"/>
      <c r="D1189" s="33"/>
      <c r="E1189" s="34"/>
      <c r="F1189" s="34"/>
      <c r="G1189" s="35"/>
      <c r="H1189" s="34"/>
      <c r="I1189" s="37"/>
    </row>
    <row r="1190" ht="22.5" customHeight="1">
      <c r="A1190" s="30"/>
      <c r="B1190" s="31"/>
      <c r="C1190" s="32"/>
      <c r="D1190" s="33"/>
      <c r="E1190" s="34"/>
      <c r="F1190" s="34"/>
      <c r="G1190" s="35"/>
      <c r="H1190" s="34"/>
      <c r="I1190" s="37"/>
    </row>
    <row r="1191" ht="22.5" customHeight="1">
      <c r="A1191" s="30"/>
      <c r="B1191" s="31"/>
      <c r="C1191" s="32"/>
      <c r="D1191" s="33"/>
      <c r="E1191" s="34"/>
      <c r="F1191" s="34"/>
      <c r="G1191" s="35"/>
      <c r="H1191" s="34"/>
      <c r="I1191" s="37"/>
    </row>
    <row r="1192" ht="22.5" customHeight="1">
      <c r="A1192" s="30"/>
      <c r="B1192" s="31"/>
      <c r="C1192" s="32"/>
      <c r="D1192" s="33"/>
      <c r="E1192" s="34"/>
      <c r="F1192" s="34"/>
      <c r="G1192" s="35"/>
      <c r="H1192" s="34"/>
      <c r="I1192" s="37"/>
    </row>
    <row r="1193" ht="22.5" customHeight="1">
      <c r="A1193" s="30"/>
      <c r="B1193" s="31"/>
      <c r="C1193" s="32"/>
      <c r="D1193" s="33"/>
      <c r="E1193" s="34"/>
      <c r="F1193" s="34"/>
      <c r="G1193" s="35"/>
      <c r="H1193" s="34"/>
      <c r="I1193" s="37"/>
    </row>
    <row r="1194" ht="22.5" customHeight="1">
      <c r="A1194" s="30"/>
      <c r="B1194" s="31"/>
      <c r="C1194" s="32"/>
      <c r="D1194" s="33"/>
      <c r="E1194" s="34"/>
      <c r="F1194" s="34"/>
      <c r="G1194" s="35"/>
      <c r="H1194" s="34"/>
      <c r="I1194" s="37"/>
    </row>
    <row r="1195" ht="22.5" customHeight="1">
      <c r="A1195" s="30"/>
      <c r="B1195" s="31"/>
      <c r="C1195" s="32"/>
      <c r="D1195" s="33"/>
      <c r="E1195" s="34"/>
      <c r="F1195" s="34"/>
      <c r="G1195" s="35"/>
      <c r="H1195" s="34"/>
      <c r="I1195" s="37"/>
    </row>
    <row r="1196" ht="22.5" customHeight="1">
      <c r="A1196" s="30"/>
      <c r="B1196" s="31"/>
      <c r="C1196" s="32"/>
      <c r="D1196" s="33"/>
      <c r="E1196" s="34"/>
      <c r="F1196" s="34"/>
      <c r="G1196" s="35"/>
      <c r="H1196" s="34"/>
      <c r="I1196" s="37"/>
    </row>
    <row r="1197" ht="22.5" customHeight="1">
      <c r="A1197" s="30"/>
      <c r="B1197" s="40"/>
      <c r="C1197" s="32"/>
      <c r="D1197" s="33"/>
      <c r="E1197" s="34"/>
      <c r="F1197" s="34"/>
      <c r="G1197" s="35"/>
      <c r="H1197" s="34"/>
      <c r="I1197" s="37"/>
    </row>
    <row r="1198" ht="22.5" customHeight="1">
      <c r="A1198" s="30"/>
      <c r="B1198" s="31"/>
      <c r="C1198" s="32"/>
      <c r="D1198" s="33"/>
      <c r="E1198" s="34"/>
      <c r="F1198" s="34"/>
      <c r="G1198" s="35"/>
      <c r="H1198" s="34"/>
      <c r="I1198" s="37"/>
    </row>
    <row r="1199" ht="22.5" customHeight="1">
      <c r="A1199" s="30"/>
      <c r="B1199" s="31"/>
      <c r="C1199" s="32"/>
      <c r="D1199" s="33"/>
      <c r="E1199" s="34"/>
      <c r="F1199" s="34"/>
      <c r="G1199" s="35"/>
      <c r="H1199" s="34"/>
      <c r="I1199" s="37"/>
    </row>
    <row r="1200" ht="22.5" customHeight="1">
      <c r="A1200" s="30"/>
      <c r="B1200" s="31"/>
      <c r="C1200" s="32"/>
      <c r="D1200" s="33"/>
      <c r="E1200" s="34"/>
      <c r="F1200" s="34"/>
      <c r="G1200" s="35"/>
      <c r="H1200" s="34"/>
      <c r="I1200" s="37"/>
    </row>
    <row r="1201" ht="22.5" customHeight="1">
      <c r="A1201" s="30"/>
      <c r="B1201" s="31"/>
      <c r="C1201" s="32"/>
      <c r="D1201" s="33"/>
      <c r="E1201" s="34"/>
      <c r="F1201" s="34"/>
      <c r="G1201" s="35"/>
      <c r="H1201" s="34"/>
      <c r="I1201" s="37"/>
    </row>
    <row r="1202" ht="22.5" customHeight="1">
      <c r="A1202" s="30"/>
      <c r="B1202" s="31"/>
      <c r="C1202" s="32"/>
      <c r="D1202" s="33"/>
      <c r="E1202" s="34"/>
      <c r="F1202" s="34"/>
      <c r="G1202" s="35"/>
      <c r="H1202" s="34"/>
      <c r="I1202" s="37"/>
    </row>
    <row r="1203" ht="22.5" customHeight="1">
      <c r="A1203" s="30"/>
      <c r="B1203" s="31"/>
      <c r="C1203" s="32"/>
      <c r="D1203" s="33"/>
      <c r="E1203" s="34"/>
      <c r="F1203" s="34"/>
      <c r="G1203" s="35"/>
      <c r="H1203" s="34"/>
      <c r="I1203" s="37"/>
    </row>
    <row r="1204" ht="22.5" customHeight="1">
      <c r="A1204" s="30"/>
      <c r="B1204" s="39"/>
      <c r="C1204" s="32"/>
      <c r="D1204" s="33"/>
      <c r="E1204" s="34"/>
      <c r="F1204" s="34"/>
      <c r="G1204" s="35"/>
      <c r="H1204" s="34"/>
      <c r="I1204" s="37"/>
    </row>
    <row r="1205" ht="22.5" customHeight="1">
      <c r="A1205" s="30"/>
      <c r="B1205" s="39"/>
      <c r="C1205" s="32"/>
      <c r="D1205" s="33"/>
      <c r="E1205" s="34"/>
      <c r="F1205" s="34"/>
      <c r="G1205" s="35"/>
      <c r="H1205" s="34"/>
      <c r="I1205" s="37"/>
    </row>
    <row r="1206" ht="22.5" customHeight="1">
      <c r="A1206" s="30"/>
      <c r="B1206" s="39"/>
      <c r="C1206" s="32"/>
      <c r="D1206" s="33"/>
      <c r="E1206" s="34"/>
      <c r="F1206" s="34"/>
      <c r="G1206" s="35"/>
      <c r="H1206" s="34"/>
      <c r="I1206" s="37"/>
    </row>
    <row r="1207" ht="22.5" customHeight="1">
      <c r="A1207" s="30"/>
      <c r="B1207" s="40"/>
      <c r="C1207" s="32"/>
      <c r="D1207" s="33"/>
      <c r="E1207" s="34"/>
      <c r="F1207" s="34"/>
      <c r="G1207" s="35"/>
      <c r="H1207" s="34"/>
      <c r="I1207" s="37"/>
    </row>
    <row r="1208" ht="22.5" customHeight="1">
      <c r="A1208" s="30"/>
      <c r="B1208" s="31"/>
      <c r="C1208" s="32"/>
      <c r="D1208" s="33"/>
      <c r="E1208" s="34"/>
      <c r="F1208" s="34"/>
      <c r="G1208" s="35"/>
      <c r="H1208" s="34"/>
      <c r="I1208" s="37"/>
    </row>
    <row r="1209" ht="22.5" customHeight="1">
      <c r="A1209" s="30"/>
      <c r="B1209" s="31"/>
      <c r="C1209" s="32"/>
      <c r="D1209" s="33"/>
      <c r="E1209" s="34"/>
      <c r="F1209" s="34"/>
      <c r="G1209" s="35"/>
      <c r="H1209" s="34"/>
      <c r="I1209" s="37"/>
    </row>
    <row r="1210" ht="22.5" customHeight="1">
      <c r="A1210" s="30"/>
      <c r="B1210" s="31"/>
      <c r="C1210" s="32"/>
      <c r="D1210" s="33"/>
      <c r="E1210" s="34"/>
      <c r="F1210" s="34"/>
      <c r="G1210" s="35"/>
      <c r="H1210" s="34"/>
      <c r="I1210" s="37"/>
    </row>
    <row r="1211" ht="22.5" customHeight="1">
      <c r="A1211" s="30"/>
      <c r="B1211" s="31"/>
      <c r="C1211" s="32"/>
      <c r="D1211" s="33"/>
      <c r="E1211" s="34"/>
      <c r="F1211" s="34"/>
      <c r="G1211" s="35"/>
      <c r="H1211" s="34"/>
      <c r="I1211" s="37"/>
    </row>
    <row r="1212" ht="22.5" customHeight="1">
      <c r="A1212" s="30"/>
      <c r="B1212" s="31"/>
      <c r="C1212" s="32"/>
      <c r="D1212" s="33"/>
      <c r="E1212" s="34"/>
      <c r="F1212" s="34"/>
      <c r="G1212" s="35"/>
      <c r="H1212" s="34"/>
      <c r="I1212" s="37"/>
    </row>
    <row r="1213" ht="22.5" customHeight="1">
      <c r="A1213" s="30"/>
      <c r="B1213" s="31"/>
      <c r="C1213" s="32"/>
      <c r="D1213" s="33"/>
      <c r="E1213" s="34"/>
      <c r="F1213" s="34"/>
      <c r="G1213" s="35"/>
      <c r="H1213" s="34"/>
      <c r="I1213" s="37"/>
    </row>
    <row r="1214" ht="22.5" customHeight="1">
      <c r="A1214" s="30"/>
      <c r="B1214" s="31"/>
      <c r="C1214" s="32"/>
      <c r="D1214" s="33"/>
      <c r="E1214" s="34"/>
      <c r="F1214" s="34"/>
      <c r="G1214" s="35"/>
      <c r="H1214" s="34"/>
      <c r="I1214" s="37"/>
    </row>
    <row r="1215" ht="22.5" customHeight="1">
      <c r="A1215" s="30"/>
      <c r="B1215" s="31"/>
      <c r="C1215" s="32"/>
      <c r="D1215" s="33"/>
      <c r="E1215" s="34"/>
      <c r="F1215" s="34"/>
      <c r="G1215" s="35"/>
      <c r="H1215" s="34"/>
      <c r="I1215" s="37"/>
    </row>
    <row r="1216" ht="22.5" customHeight="1">
      <c r="A1216" s="30"/>
      <c r="B1216" s="31"/>
      <c r="C1216" s="32"/>
      <c r="D1216" s="33"/>
      <c r="E1216" s="34"/>
      <c r="F1216" s="34"/>
      <c r="G1216" s="35"/>
      <c r="H1216" s="34"/>
      <c r="I1216" s="37"/>
    </row>
    <row r="1217" ht="22.5" customHeight="1">
      <c r="A1217" s="30"/>
      <c r="B1217" s="40"/>
      <c r="C1217" s="32"/>
      <c r="D1217" s="33"/>
      <c r="E1217" s="34"/>
      <c r="F1217" s="34"/>
      <c r="G1217" s="35"/>
      <c r="H1217" s="34"/>
      <c r="I1217" s="37"/>
    </row>
    <row r="1218" ht="22.5" customHeight="1">
      <c r="A1218" s="30"/>
      <c r="B1218" s="31"/>
      <c r="C1218" s="32"/>
      <c r="D1218" s="33"/>
      <c r="E1218" s="34"/>
      <c r="F1218" s="34"/>
      <c r="G1218" s="35"/>
      <c r="H1218" s="34"/>
      <c r="I1218" s="37"/>
    </row>
    <row r="1219" ht="22.5" customHeight="1">
      <c r="A1219" s="30"/>
      <c r="B1219" s="31"/>
      <c r="C1219" s="32"/>
      <c r="D1219" s="33"/>
      <c r="E1219" s="34"/>
      <c r="F1219" s="34"/>
      <c r="G1219" s="35"/>
      <c r="H1219" s="34"/>
      <c r="I1219" s="37"/>
    </row>
    <row r="1220" ht="22.5" customHeight="1">
      <c r="A1220" s="30"/>
      <c r="B1220" s="31"/>
      <c r="C1220" s="32"/>
      <c r="D1220" s="33"/>
      <c r="E1220" s="34"/>
      <c r="F1220" s="34"/>
      <c r="G1220" s="35"/>
      <c r="H1220" s="34"/>
      <c r="I1220" s="37"/>
    </row>
    <row r="1221" ht="22.5" customHeight="1">
      <c r="A1221" s="30"/>
      <c r="B1221" s="40"/>
      <c r="C1221" s="32"/>
      <c r="D1221" s="33"/>
      <c r="E1221" s="34"/>
      <c r="F1221" s="34"/>
      <c r="G1221" s="35"/>
      <c r="H1221" s="34"/>
      <c r="I1221" s="37"/>
    </row>
    <row r="1222" ht="22.5" customHeight="1">
      <c r="A1222" s="30"/>
      <c r="B1222" s="31"/>
      <c r="C1222" s="32"/>
      <c r="D1222" s="33"/>
      <c r="E1222" s="34"/>
      <c r="F1222" s="34"/>
      <c r="G1222" s="35"/>
      <c r="H1222" s="34"/>
      <c r="I1222" s="37"/>
    </row>
    <row r="1223" ht="22.5" customHeight="1">
      <c r="A1223" s="30"/>
      <c r="B1223" s="31"/>
      <c r="C1223" s="32"/>
      <c r="D1223" s="33"/>
      <c r="E1223" s="34"/>
      <c r="F1223" s="34"/>
      <c r="G1223" s="35"/>
      <c r="H1223" s="34"/>
      <c r="I1223" s="37"/>
    </row>
    <row r="1224" ht="22.5" customHeight="1">
      <c r="A1224" s="30"/>
      <c r="B1224" s="31"/>
      <c r="C1224" s="32"/>
      <c r="D1224" s="33"/>
      <c r="E1224" s="34"/>
      <c r="F1224" s="34"/>
      <c r="G1224" s="35"/>
      <c r="H1224" s="34"/>
      <c r="I1224" s="37"/>
    </row>
    <row r="1225" ht="22.5" customHeight="1">
      <c r="A1225" s="30"/>
      <c r="B1225" s="31"/>
      <c r="C1225" s="32"/>
      <c r="D1225" s="33"/>
      <c r="E1225" s="34"/>
      <c r="F1225" s="34"/>
      <c r="G1225" s="35"/>
      <c r="H1225" s="34"/>
      <c r="I1225" s="37"/>
    </row>
    <row r="1226" ht="22.5" customHeight="1">
      <c r="A1226" s="30"/>
      <c r="B1226" s="31"/>
      <c r="C1226" s="32"/>
      <c r="D1226" s="33"/>
      <c r="E1226" s="34"/>
      <c r="F1226" s="34"/>
      <c r="G1226" s="35"/>
      <c r="H1226" s="34"/>
      <c r="I1226" s="37"/>
    </row>
    <row r="1227" ht="22.5" customHeight="1">
      <c r="A1227" s="30"/>
      <c r="B1227" s="31"/>
      <c r="C1227" s="32"/>
      <c r="D1227" s="33"/>
      <c r="E1227" s="34"/>
      <c r="F1227" s="34"/>
      <c r="G1227" s="35"/>
      <c r="H1227" s="34"/>
      <c r="I1227" s="37"/>
    </row>
    <row r="1228" ht="22.5" customHeight="1">
      <c r="A1228" s="30"/>
      <c r="B1228" s="31"/>
      <c r="C1228" s="32"/>
      <c r="D1228" s="33"/>
      <c r="E1228" s="34"/>
      <c r="F1228" s="34"/>
      <c r="G1228" s="35"/>
      <c r="H1228" s="34"/>
      <c r="I1228" s="37"/>
    </row>
    <row r="1229" ht="22.5" customHeight="1">
      <c r="A1229" s="30"/>
      <c r="B1229" s="31"/>
      <c r="C1229" s="32"/>
      <c r="D1229" s="33"/>
      <c r="E1229" s="34"/>
      <c r="F1229" s="34"/>
      <c r="G1229" s="35"/>
      <c r="H1229" s="34"/>
      <c r="I1229" s="37"/>
    </row>
    <row r="1230" ht="22.5" customHeight="1">
      <c r="A1230" s="30"/>
      <c r="B1230" s="31"/>
      <c r="C1230" s="32"/>
      <c r="D1230" s="33"/>
      <c r="E1230" s="34"/>
      <c r="F1230" s="34"/>
      <c r="G1230" s="35"/>
      <c r="H1230" s="34"/>
      <c r="I1230" s="37"/>
    </row>
    <row r="1231" ht="22.5" customHeight="1">
      <c r="A1231" s="30"/>
      <c r="B1231" s="31"/>
      <c r="C1231" s="32"/>
      <c r="D1231" s="33"/>
      <c r="E1231" s="34"/>
      <c r="F1231" s="34"/>
      <c r="G1231" s="35"/>
      <c r="H1231" s="34"/>
      <c r="I1231" s="37"/>
    </row>
    <row r="1232" ht="22.5" customHeight="1">
      <c r="A1232" s="30"/>
      <c r="B1232" s="31"/>
      <c r="C1232" s="32"/>
      <c r="D1232" s="33"/>
      <c r="E1232" s="34"/>
      <c r="F1232" s="34"/>
      <c r="G1232" s="35"/>
      <c r="H1232" s="34"/>
      <c r="I1232" s="37"/>
    </row>
    <row r="1233" ht="22.5" customHeight="1">
      <c r="A1233" s="30"/>
      <c r="B1233" s="31"/>
      <c r="C1233" s="32"/>
      <c r="D1233" s="33"/>
      <c r="E1233" s="34"/>
      <c r="F1233" s="34"/>
      <c r="G1233" s="35"/>
      <c r="H1233" s="34"/>
      <c r="I1233" s="37"/>
    </row>
    <row r="1234" ht="22.5" customHeight="1">
      <c r="A1234" s="30"/>
      <c r="B1234" s="31"/>
      <c r="C1234" s="32"/>
      <c r="D1234" s="33"/>
      <c r="E1234" s="34"/>
      <c r="F1234" s="34"/>
      <c r="G1234" s="35"/>
      <c r="H1234" s="34"/>
      <c r="I1234" s="37"/>
    </row>
    <row r="1235" ht="22.5" customHeight="1">
      <c r="A1235" s="30"/>
      <c r="B1235" s="31"/>
      <c r="C1235" s="32"/>
      <c r="D1235" s="33"/>
      <c r="E1235" s="34"/>
      <c r="F1235" s="34"/>
      <c r="G1235" s="35"/>
      <c r="H1235" s="34"/>
      <c r="I1235" s="37"/>
    </row>
    <row r="1236" ht="22.5" customHeight="1">
      <c r="A1236" s="30"/>
      <c r="B1236" s="40"/>
      <c r="C1236" s="32"/>
      <c r="D1236" s="33"/>
      <c r="E1236" s="34"/>
      <c r="F1236" s="34"/>
      <c r="G1236" s="35"/>
      <c r="H1236" s="34"/>
      <c r="I1236" s="37"/>
    </row>
    <row r="1237" ht="22.5" customHeight="1">
      <c r="A1237" s="30"/>
      <c r="B1237" s="31"/>
      <c r="C1237" s="32"/>
      <c r="D1237" s="33"/>
      <c r="E1237" s="34"/>
      <c r="F1237" s="34"/>
      <c r="G1237" s="35"/>
      <c r="H1237" s="34"/>
      <c r="I1237" s="37"/>
    </row>
    <row r="1238" ht="22.5" customHeight="1">
      <c r="A1238" s="30"/>
      <c r="B1238" s="40"/>
      <c r="C1238" s="32"/>
      <c r="D1238" s="33"/>
      <c r="E1238" s="34"/>
      <c r="F1238" s="34"/>
      <c r="G1238" s="35"/>
      <c r="H1238" s="34"/>
      <c r="I1238" s="37"/>
    </row>
    <row r="1239" ht="22.5" customHeight="1">
      <c r="A1239" s="30"/>
      <c r="B1239" s="31"/>
      <c r="C1239" s="32"/>
      <c r="D1239" s="33"/>
      <c r="E1239" s="34"/>
      <c r="F1239" s="34"/>
      <c r="G1239" s="35"/>
      <c r="H1239" s="34"/>
      <c r="I1239" s="37"/>
    </row>
    <row r="1240" ht="22.5" customHeight="1">
      <c r="A1240" s="30"/>
      <c r="B1240" s="31"/>
      <c r="C1240" s="32"/>
      <c r="D1240" s="33"/>
      <c r="E1240" s="34"/>
      <c r="F1240" s="34"/>
      <c r="G1240" s="35"/>
      <c r="H1240" s="34"/>
      <c r="I1240" s="37"/>
    </row>
    <row r="1241" ht="22.5" customHeight="1">
      <c r="A1241" s="30"/>
      <c r="B1241" s="31"/>
      <c r="C1241" s="32"/>
      <c r="D1241" s="33"/>
      <c r="E1241" s="34"/>
      <c r="F1241" s="34"/>
      <c r="G1241" s="35"/>
      <c r="H1241" s="34"/>
      <c r="I1241" s="37"/>
    </row>
    <row r="1242" ht="22.5" customHeight="1">
      <c r="A1242" s="30"/>
      <c r="B1242" s="31"/>
      <c r="C1242" s="32"/>
      <c r="D1242" s="33"/>
      <c r="E1242" s="34"/>
      <c r="F1242" s="34"/>
      <c r="G1242" s="35"/>
      <c r="H1242" s="34"/>
      <c r="I1242" s="37"/>
    </row>
    <row r="1243" ht="22.5" customHeight="1">
      <c r="A1243" s="30"/>
      <c r="B1243" s="40"/>
      <c r="C1243" s="32"/>
      <c r="D1243" s="33"/>
      <c r="E1243" s="34"/>
      <c r="F1243" s="34"/>
      <c r="G1243" s="35"/>
      <c r="H1243" s="34"/>
      <c r="I1243" s="37"/>
    </row>
    <row r="1244" ht="22.5" customHeight="1">
      <c r="A1244" s="30"/>
      <c r="B1244" s="31"/>
      <c r="C1244" s="32"/>
      <c r="D1244" s="33"/>
      <c r="E1244" s="34"/>
      <c r="F1244" s="34"/>
      <c r="G1244" s="35"/>
      <c r="H1244" s="34"/>
      <c r="I1244" s="37"/>
    </row>
    <row r="1245" ht="22.5" customHeight="1">
      <c r="A1245" s="30"/>
      <c r="B1245" s="31"/>
      <c r="C1245" s="32"/>
      <c r="D1245" s="33"/>
      <c r="E1245" s="34"/>
      <c r="F1245" s="34"/>
      <c r="G1245" s="35"/>
      <c r="H1245" s="34"/>
      <c r="I1245" s="37"/>
    </row>
    <row r="1246" ht="22.5" customHeight="1">
      <c r="A1246" s="30"/>
      <c r="B1246" s="31"/>
      <c r="C1246" s="32"/>
      <c r="D1246" s="33"/>
      <c r="E1246" s="34"/>
      <c r="F1246" s="34"/>
      <c r="G1246" s="35"/>
      <c r="H1246" s="34"/>
      <c r="I1246" s="37"/>
    </row>
    <row r="1247" ht="22.5" customHeight="1">
      <c r="A1247" s="30"/>
      <c r="B1247" s="31"/>
      <c r="C1247" s="32"/>
      <c r="D1247" s="33"/>
      <c r="E1247" s="34"/>
      <c r="F1247" s="34"/>
      <c r="G1247" s="35"/>
      <c r="H1247" s="34"/>
      <c r="I1247" s="37"/>
    </row>
    <row r="1248" ht="22.5" customHeight="1">
      <c r="A1248" s="30"/>
      <c r="B1248" s="31"/>
      <c r="C1248" s="32"/>
      <c r="D1248" s="33"/>
      <c r="E1248" s="34"/>
      <c r="F1248" s="34"/>
      <c r="G1248" s="35"/>
      <c r="H1248" s="34"/>
      <c r="I1248" s="37"/>
    </row>
    <row r="1249" ht="22.5" customHeight="1">
      <c r="A1249" s="30"/>
      <c r="B1249" s="31"/>
      <c r="C1249" s="32"/>
      <c r="D1249" s="33"/>
      <c r="E1249" s="34"/>
      <c r="F1249" s="34"/>
      <c r="G1249" s="35"/>
      <c r="H1249" s="34"/>
      <c r="I1249" s="37"/>
    </row>
    <row r="1250" ht="22.5" customHeight="1">
      <c r="A1250" s="30"/>
      <c r="B1250" s="31"/>
      <c r="C1250" s="32"/>
      <c r="D1250" s="33"/>
      <c r="E1250" s="34"/>
      <c r="F1250" s="34"/>
      <c r="G1250" s="35"/>
      <c r="H1250" s="34"/>
      <c r="I1250" s="37"/>
    </row>
    <row r="1251" ht="22.5" customHeight="1">
      <c r="A1251" s="30"/>
      <c r="B1251" s="31"/>
      <c r="C1251" s="32"/>
      <c r="D1251" s="33"/>
      <c r="E1251" s="34"/>
      <c r="F1251" s="34"/>
      <c r="G1251" s="35"/>
      <c r="H1251" s="34"/>
      <c r="I1251" s="37"/>
    </row>
    <row r="1252" ht="22.5" customHeight="1">
      <c r="A1252" s="30"/>
      <c r="B1252" s="31"/>
      <c r="C1252" s="32"/>
      <c r="D1252" s="33"/>
      <c r="E1252" s="34"/>
      <c r="F1252" s="34"/>
      <c r="G1252" s="35"/>
      <c r="H1252" s="34"/>
      <c r="I1252" s="37"/>
    </row>
    <row r="1253" ht="22.5" customHeight="1">
      <c r="A1253" s="30"/>
      <c r="B1253" s="31"/>
      <c r="C1253" s="32"/>
      <c r="D1253" s="33"/>
      <c r="E1253" s="34"/>
      <c r="F1253" s="34"/>
      <c r="G1253" s="35"/>
      <c r="H1253" s="34"/>
      <c r="I1253" s="37"/>
    </row>
    <row r="1254" ht="22.5" customHeight="1">
      <c r="A1254" s="30"/>
      <c r="B1254" s="31"/>
      <c r="C1254" s="32"/>
      <c r="D1254" s="33"/>
      <c r="E1254" s="34"/>
      <c r="F1254" s="34"/>
      <c r="G1254" s="35"/>
      <c r="H1254" s="34"/>
      <c r="I1254" s="37"/>
    </row>
    <row r="1255" ht="22.5" customHeight="1">
      <c r="A1255" s="30"/>
      <c r="B1255" s="31"/>
      <c r="C1255" s="32"/>
      <c r="D1255" s="33"/>
      <c r="E1255" s="34"/>
      <c r="F1255" s="34"/>
      <c r="G1255" s="35"/>
      <c r="H1255" s="34"/>
      <c r="I1255" s="37"/>
    </row>
    <row r="1256" ht="22.5" customHeight="1">
      <c r="A1256" s="30"/>
      <c r="B1256" s="31"/>
      <c r="C1256" s="32"/>
      <c r="D1256" s="33"/>
      <c r="E1256" s="34"/>
      <c r="F1256" s="34"/>
      <c r="G1256" s="35"/>
      <c r="H1256" s="34"/>
      <c r="I1256" s="37"/>
    </row>
    <row r="1257" ht="22.5" customHeight="1">
      <c r="A1257" s="30"/>
      <c r="B1257" s="31"/>
      <c r="C1257" s="32"/>
      <c r="D1257" s="33"/>
      <c r="E1257" s="34"/>
      <c r="F1257" s="34"/>
      <c r="G1257" s="35"/>
      <c r="H1257" s="34"/>
      <c r="I1257" s="37"/>
    </row>
    <row r="1258" ht="22.5" customHeight="1">
      <c r="A1258" s="30"/>
      <c r="B1258" s="31"/>
      <c r="C1258" s="32"/>
      <c r="D1258" s="33"/>
      <c r="E1258" s="34"/>
      <c r="F1258" s="34"/>
      <c r="G1258" s="35"/>
      <c r="H1258" s="34"/>
      <c r="I1258" s="37"/>
    </row>
    <row r="1259" ht="22.5" customHeight="1">
      <c r="A1259" s="30"/>
      <c r="B1259" s="31"/>
      <c r="C1259" s="32"/>
      <c r="D1259" s="33"/>
      <c r="E1259" s="34"/>
      <c r="F1259" s="34"/>
      <c r="G1259" s="35"/>
      <c r="H1259" s="34"/>
      <c r="I1259" s="37"/>
    </row>
    <row r="1260" ht="22.5" customHeight="1">
      <c r="A1260" s="30"/>
      <c r="B1260" s="31"/>
      <c r="C1260" s="32"/>
      <c r="D1260" s="33"/>
      <c r="E1260" s="34"/>
      <c r="F1260" s="34"/>
      <c r="G1260" s="35"/>
      <c r="H1260" s="34"/>
      <c r="I1260" s="37"/>
    </row>
    <row r="1261" ht="22.5" customHeight="1">
      <c r="A1261" s="30"/>
      <c r="B1261" s="31"/>
      <c r="C1261" s="32"/>
      <c r="D1261" s="33"/>
      <c r="E1261" s="34"/>
      <c r="F1261" s="34"/>
      <c r="G1261" s="35"/>
      <c r="H1261" s="34"/>
      <c r="I1261" s="37"/>
    </row>
    <row r="1262" ht="22.5" customHeight="1">
      <c r="A1262" s="30"/>
      <c r="B1262" s="31"/>
      <c r="C1262" s="32"/>
      <c r="D1262" s="33"/>
      <c r="E1262" s="34"/>
      <c r="F1262" s="34"/>
      <c r="G1262" s="35"/>
      <c r="H1262" s="34"/>
      <c r="I1262" s="37"/>
    </row>
    <row r="1263" ht="22.5" customHeight="1">
      <c r="A1263" s="30"/>
      <c r="B1263" s="31"/>
      <c r="C1263" s="32"/>
      <c r="D1263" s="33"/>
      <c r="E1263" s="34"/>
      <c r="F1263" s="34"/>
      <c r="G1263" s="35"/>
      <c r="H1263" s="34"/>
      <c r="I1263" s="37"/>
    </row>
    <row r="1264" ht="22.5" customHeight="1">
      <c r="A1264" s="30"/>
      <c r="B1264" s="31"/>
      <c r="C1264" s="32"/>
      <c r="D1264" s="33"/>
      <c r="E1264" s="34"/>
      <c r="F1264" s="34"/>
      <c r="G1264" s="35"/>
      <c r="H1264" s="34"/>
      <c r="I1264" s="37"/>
    </row>
    <row r="1265" ht="22.5" customHeight="1">
      <c r="A1265" s="30"/>
      <c r="B1265" s="40"/>
      <c r="C1265" s="32"/>
      <c r="D1265" s="33"/>
      <c r="E1265" s="34"/>
      <c r="F1265" s="34"/>
      <c r="G1265" s="35"/>
      <c r="H1265" s="34"/>
      <c r="I1265" s="37"/>
    </row>
    <row r="1266" ht="22.5" customHeight="1">
      <c r="A1266" s="30"/>
      <c r="B1266" s="31"/>
      <c r="C1266" s="32"/>
      <c r="D1266" s="33"/>
      <c r="E1266" s="34"/>
      <c r="F1266" s="34"/>
      <c r="G1266" s="35"/>
      <c r="H1266" s="34"/>
      <c r="I1266" s="37"/>
    </row>
    <row r="1267" ht="22.5" customHeight="1">
      <c r="A1267" s="30"/>
      <c r="B1267" s="31"/>
      <c r="C1267" s="32"/>
      <c r="D1267" s="33"/>
      <c r="E1267" s="34"/>
      <c r="F1267" s="34"/>
      <c r="G1267" s="35"/>
      <c r="H1267" s="34"/>
      <c r="I1267" s="37"/>
    </row>
    <row r="1268" ht="22.5" customHeight="1">
      <c r="A1268" s="30"/>
      <c r="B1268" s="31"/>
      <c r="C1268" s="32"/>
      <c r="D1268" s="33"/>
      <c r="E1268" s="34"/>
      <c r="F1268" s="34"/>
      <c r="G1268" s="35"/>
      <c r="H1268" s="34"/>
      <c r="I1268" s="37"/>
    </row>
    <row r="1269" ht="22.5" customHeight="1">
      <c r="A1269" s="30"/>
      <c r="B1269" s="31"/>
      <c r="C1269" s="32"/>
      <c r="D1269" s="33"/>
      <c r="E1269" s="34"/>
      <c r="F1269" s="34"/>
      <c r="G1269" s="35"/>
      <c r="H1269" s="34"/>
      <c r="I1269" s="38"/>
    </row>
    <row r="1270" ht="22.5" customHeight="1">
      <c r="A1270" s="30"/>
      <c r="B1270" s="39"/>
      <c r="C1270" s="32"/>
      <c r="D1270" s="33"/>
      <c r="E1270" s="34"/>
      <c r="F1270" s="34"/>
      <c r="G1270" s="35"/>
      <c r="H1270" s="34"/>
      <c r="I1270" s="37"/>
    </row>
    <row r="1271" ht="22.5" customHeight="1">
      <c r="A1271" s="30"/>
      <c r="B1271" s="31"/>
      <c r="C1271" s="32"/>
      <c r="D1271" s="33"/>
      <c r="E1271" s="34"/>
      <c r="F1271" s="34"/>
      <c r="G1271" s="35"/>
      <c r="H1271" s="34"/>
      <c r="I1271" s="37"/>
    </row>
    <row r="1272" ht="22.5" customHeight="1">
      <c r="A1272" s="30"/>
      <c r="B1272" s="31"/>
      <c r="C1272" s="32"/>
      <c r="D1272" s="33"/>
      <c r="E1272" s="34"/>
      <c r="F1272" s="34"/>
      <c r="G1272" s="35"/>
      <c r="H1272" s="34"/>
      <c r="I1272" s="37"/>
    </row>
    <row r="1273" ht="22.5" customHeight="1">
      <c r="A1273" s="30"/>
      <c r="B1273" s="31"/>
      <c r="C1273" s="32"/>
      <c r="D1273" s="33"/>
      <c r="E1273" s="34"/>
      <c r="F1273" s="34"/>
      <c r="G1273" s="35"/>
      <c r="H1273" s="34"/>
      <c r="I1273" s="37"/>
    </row>
    <row r="1274" ht="22.5" customHeight="1">
      <c r="A1274" s="30"/>
      <c r="B1274" s="39"/>
      <c r="C1274" s="32"/>
      <c r="D1274" s="33"/>
      <c r="E1274" s="34"/>
      <c r="F1274" s="34"/>
      <c r="G1274" s="35"/>
      <c r="H1274" s="34"/>
      <c r="I1274" s="37"/>
    </row>
    <row r="1275" ht="22.5" customHeight="1">
      <c r="A1275" s="30"/>
      <c r="B1275" s="31"/>
      <c r="C1275" s="32"/>
      <c r="D1275" s="33"/>
      <c r="E1275" s="34"/>
      <c r="F1275" s="34"/>
      <c r="G1275" s="35"/>
      <c r="H1275" s="34"/>
      <c r="I1275" s="37"/>
    </row>
    <row r="1276" ht="22.5" customHeight="1">
      <c r="A1276" s="30"/>
      <c r="B1276" s="39"/>
      <c r="C1276" s="32"/>
      <c r="D1276" s="33"/>
      <c r="E1276" s="34"/>
      <c r="F1276" s="34"/>
      <c r="G1276" s="35"/>
      <c r="H1276" s="34"/>
      <c r="I1276" s="37"/>
    </row>
    <row r="1277" ht="22.5" customHeight="1">
      <c r="A1277" s="30"/>
      <c r="B1277" s="31"/>
      <c r="C1277" s="32"/>
      <c r="D1277" s="33"/>
      <c r="E1277" s="34"/>
      <c r="F1277" s="34"/>
      <c r="G1277" s="35"/>
      <c r="H1277" s="34"/>
      <c r="I1277" s="37"/>
    </row>
    <row r="1278" ht="22.5" customHeight="1">
      <c r="A1278" s="30"/>
      <c r="B1278" s="31"/>
      <c r="C1278" s="32"/>
      <c r="D1278" s="33"/>
      <c r="E1278" s="34"/>
      <c r="F1278" s="34"/>
      <c r="G1278" s="35"/>
      <c r="H1278" s="34"/>
      <c r="I1278" s="37"/>
    </row>
    <row r="1279" ht="22.5" customHeight="1">
      <c r="A1279" s="30"/>
      <c r="B1279" s="31"/>
      <c r="C1279" s="32"/>
      <c r="D1279" s="33"/>
      <c r="E1279" s="34"/>
      <c r="F1279" s="34"/>
      <c r="G1279" s="35"/>
      <c r="H1279" s="34"/>
      <c r="I1279" s="37"/>
    </row>
    <row r="1280" ht="22.5" customHeight="1">
      <c r="A1280" s="30"/>
      <c r="B1280" s="31"/>
      <c r="C1280" s="32"/>
      <c r="D1280" s="33"/>
      <c r="E1280" s="34"/>
      <c r="F1280" s="34"/>
      <c r="G1280" s="35"/>
      <c r="H1280" s="34"/>
      <c r="I1280" s="37"/>
    </row>
    <row r="1281" ht="22.5" customHeight="1">
      <c r="A1281" s="30"/>
      <c r="B1281" s="31"/>
      <c r="C1281" s="32"/>
      <c r="D1281" s="33"/>
      <c r="E1281" s="34"/>
      <c r="F1281" s="34"/>
      <c r="G1281" s="35"/>
      <c r="H1281" s="34"/>
      <c r="I1281" s="37"/>
    </row>
    <row r="1282" ht="22.5" customHeight="1">
      <c r="A1282" s="30"/>
      <c r="B1282" s="31"/>
      <c r="C1282" s="32"/>
      <c r="D1282" s="33"/>
      <c r="E1282" s="34"/>
      <c r="F1282" s="34"/>
      <c r="G1282" s="35"/>
      <c r="H1282" s="34"/>
      <c r="I1282" s="37"/>
    </row>
    <row r="1283" ht="22.5" customHeight="1">
      <c r="A1283" s="30"/>
      <c r="B1283" s="31"/>
      <c r="C1283" s="32"/>
      <c r="D1283" s="33"/>
      <c r="E1283" s="34"/>
      <c r="F1283" s="34"/>
      <c r="G1283" s="35"/>
      <c r="H1283" s="34"/>
      <c r="I1283" s="37"/>
    </row>
    <row r="1284" ht="22.5" customHeight="1">
      <c r="A1284" s="30"/>
      <c r="B1284" s="31"/>
      <c r="C1284" s="32"/>
      <c r="D1284" s="33"/>
      <c r="E1284" s="34"/>
      <c r="F1284" s="34"/>
      <c r="G1284" s="35"/>
      <c r="H1284" s="34"/>
      <c r="I1284" s="37"/>
    </row>
    <row r="1285" ht="22.5" customHeight="1">
      <c r="A1285" s="30"/>
      <c r="B1285" s="31"/>
      <c r="C1285" s="32"/>
      <c r="D1285" s="33"/>
      <c r="E1285" s="34"/>
      <c r="F1285" s="34"/>
      <c r="G1285" s="35"/>
      <c r="H1285" s="34"/>
      <c r="I1285" s="37"/>
    </row>
    <row r="1286" ht="22.5" customHeight="1">
      <c r="A1286" s="30"/>
      <c r="B1286" s="31"/>
      <c r="C1286" s="32"/>
      <c r="D1286" s="33"/>
      <c r="E1286" s="34"/>
      <c r="F1286" s="34"/>
      <c r="G1286" s="35"/>
      <c r="H1286" s="34"/>
      <c r="I1286" s="37"/>
    </row>
    <row r="1287" ht="22.5" customHeight="1">
      <c r="A1287" s="30"/>
      <c r="B1287" s="40"/>
      <c r="C1287" s="32"/>
      <c r="D1287" s="33"/>
      <c r="E1287" s="34"/>
      <c r="F1287" s="34"/>
      <c r="G1287" s="35"/>
      <c r="H1287" s="34"/>
      <c r="I1287" s="37"/>
    </row>
    <row r="1288" ht="22.5" customHeight="1">
      <c r="A1288" s="30"/>
      <c r="B1288" s="31"/>
      <c r="C1288" s="32"/>
      <c r="D1288" s="33"/>
      <c r="E1288" s="34"/>
      <c r="F1288" s="34"/>
      <c r="G1288" s="35"/>
      <c r="H1288" s="34"/>
      <c r="I1288" s="37"/>
    </row>
    <row r="1289" ht="22.5" customHeight="1">
      <c r="A1289" s="30"/>
      <c r="B1289" s="31"/>
      <c r="C1289" s="32"/>
      <c r="D1289" s="33"/>
      <c r="E1289" s="34"/>
      <c r="F1289" s="34"/>
      <c r="G1289" s="35"/>
      <c r="H1289" s="34"/>
      <c r="I1289" s="37"/>
    </row>
    <row r="1290" ht="22.5" customHeight="1">
      <c r="A1290" s="30"/>
      <c r="B1290" s="31"/>
      <c r="C1290" s="32"/>
      <c r="D1290" s="33"/>
      <c r="E1290" s="34"/>
      <c r="F1290" s="34"/>
      <c r="G1290" s="35"/>
      <c r="H1290" s="34"/>
      <c r="I1290" s="37"/>
    </row>
    <row r="1291" ht="22.5" customHeight="1">
      <c r="A1291" s="30"/>
      <c r="B1291" s="31"/>
      <c r="C1291" s="32"/>
      <c r="D1291" s="33"/>
      <c r="E1291" s="34"/>
      <c r="F1291" s="34"/>
      <c r="G1291" s="35"/>
      <c r="H1291" s="34"/>
      <c r="I1291" s="37"/>
    </row>
    <row r="1292" ht="22.5" customHeight="1">
      <c r="A1292" s="30"/>
      <c r="B1292" s="31"/>
      <c r="C1292" s="32"/>
      <c r="D1292" s="33"/>
      <c r="E1292" s="34"/>
      <c r="F1292" s="34"/>
      <c r="G1292" s="35"/>
      <c r="H1292" s="34"/>
      <c r="I1292" s="37"/>
    </row>
    <row r="1293" ht="22.5" customHeight="1">
      <c r="A1293" s="30"/>
      <c r="B1293" s="31"/>
      <c r="C1293" s="32"/>
      <c r="D1293" s="33"/>
      <c r="E1293" s="34"/>
      <c r="F1293" s="34"/>
      <c r="G1293" s="35"/>
      <c r="H1293" s="34"/>
      <c r="I1293" s="37"/>
    </row>
    <row r="1294" ht="22.5" customHeight="1">
      <c r="A1294" s="30"/>
      <c r="B1294" s="39"/>
      <c r="C1294" s="32"/>
      <c r="D1294" s="33"/>
      <c r="E1294" s="34"/>
      <c r="F1294" s="34"/>
      <c r="G1294" s="35"/>
      <c r="H1294" s="34"/>
      <c r="I1294" s="37"/>
    </row>
    <row r="1295" ht="22.5" customHeight="1">
      <c r="A1295" s="30"/>
      <c r="B1295" s="39"/>
      <c r="C1295" s="32"/>
      <c r="D1295" s="33"/>
      <c r="E1295" s="34"/>
      <c r="F1295" s="34"/>
      <c r="G1295" s="35"/>
      <c r="H1295" s="34"/>
      <c r="I1295" s="37"/>
    </row>
    <row r="1296" ht="22.5" customHeight="1">
      <c r="A1296" s="30"/>
      <c r="B1296" s="39"/>
      <c r="C1296" s="32"/>
      <c r="D1296" s="33"/>
      <c r="E1296" s="34"/>
      <c r="F1296" s="34"/>
      <c r="G1296" s="35"/>
      <c r="H1296" s="34"/>
      <c r="I1296" s="37"/>
    </row>
    <row r="1297" ht="22.5" customHeight="1">
      <c r="A1297" s="30"/>
      <c r="B1297" s="40"/>
      <c r="C1297" s="32"/>
      <c r="D1297" s="33"/>
      <c r="E1297" s="34"/>
      <c r="F1297" s="34"/>
      <c r="G1297" s="35"/>
      <c r="H1297" s="34"/>
      <c r="I1297" s="37"/>
    </row>
    <row r="1298" ht="22.5" customHeight="1">
      <c r="A1298" s="30"/>
      <c r="B1298" s="31"/>
      <c r="C1298" s="32"/>
      <c r="D1298" s="33"/>
      <c r="E1298" s="34"/>
      <c r="F1298" s="34"/>
      <c r="G1298" s="35"/>
      <c r="H1298" s="34"/>
      <c r="I1298" s="37"/>
    </row>
    <row r="1299" ht="22.5" customHeight="1">
      <c r="A1299" s="30"/>
      <c r="B1299" s="31"/>
      <c r="C1299" s="32"/>
      <c r="D1299" s="33"/>
      <c r="E1299" s="34"/>
      <c r="F1299" s="34"/>
      <c r="G1299" s="35"/>
      <c r="H1299" s="34"/>
      <c r="I1299" s="37"/>
    </row>
    <row r="1300" ht="22.5" customHeight="1">
      <c r="A1300" s="30"/>
      <c r="B1300" s="31"/>
      <c r="C1300" s="32"/>
      <c r="D1300" s="33"/>
      <c r="E1300" s="34"/>
      <c r="F1300" s="34"/>
      <c r="G1300" s="35"/>
      <c r="H1300" s="34"/>
      <c r="I1300" s="37"/>
    </row>
    <row r="1301" ht="22.5" customHeight="1">
      <c r="A1301" s="30"/>
      <c r="B1301" s="31"/>
      <c r="C1301" s="32"/>
      <c r="D1301" s="33"/>
      <c r="E1301" s="34"/>
      <c r="F1301" s="34"/>
      <c r="G1301" s="35"/>
      <c r="H1301" s="34"/>
      <c r="I1301" s="37"/>
    </row>
    <row r="1302" ht="22.5" customHeight="1">
      <c r="A1302" s="30"/>
      <c r="B1302" s="31"/>
      <c r="C1302" s="32"/>
      <c r="D1302" s="33"/>
      <c r="E1302" s="34"/>
      <c r="F1302" s="34"/>
      <c r="G1302" s="35"/>
      <c r="H1302" s="34"/>
      <c r="I1302" s="37"/>
    </row>
    <row r="1303" ht="22.5" customHeight="1">
      <c r="A1303" s="30"/>
      <c r="B1303" s="31"/>
      <c r="C1303" s="32"/>
      <c r="D1303" s="33"/>
      <c r="E1303" s="34"/>
      <c r="F1303" s="34"/>
      <c r="G1303" s="35"/>
      <c r="H1303" s="34"/>
      <c r="I1303" s="37"/>
    </row>
    <row r="1304" ht="22.5" customHeight="1">
      <c r="A1304" s="30"/>
      <c r="B1304" s="31"/>
      <c r="C1304" s="32"/>
      <c r="D1304" s="33"/>
      <c r="E1304" s="34"/>
      <c r="F1304" s="34"/>
      <c r="G1304" s="35"/>
      <c r="H1304" s="34"/>
      <c r="I1304" s="37"/>
    </row>
    <row r="1305" ht="22.5" customHeight="1">
      <c r="A1305" s="30"/>
      <c r="B1305" s="31"/>
      <c r="C1305" s="32"/>
      <c r="D1305" s="33"/>
      <c r="E1305" s="34"/>
      <c r="F1305" s="34"/>
      <c r="G1305" s="35"/>
      <c r="H1305" s="34"/>
      <c r="I1305" s="37"/>
    </row>
    <row r="1306" ht="22.5" customHeight="1">
      <c r="A1306" s="30"/>
      <c r="B1306" s="31"/>
      <c r="C1306" s="32"/>
      <c r="D1306" s="33"/>
      <c r="E1306" s="34"/>
      <c r="F1306" s="34"/>
      <c r="G1306" s="35"/>
      <c r="H1306" s="34"/>
      <c r="I1306" s="37"/>
    </row>
    <row r="1307" ht="22.5" customHeight="1">
      <c r="A1307" s="30"/>
      <c r="B1307" s="40"/>
      <c r="C1307" s="32"/>
      <c r="D1307" s="33"/>
      <c r="E1307" s="34"/>
      <c r="F1307" s="34"/>
      <c r="G1307" s="35"/>
      <c r="H1307" s="34"/>
      <c r="I1307" s="37"/>
    </row>
    <row r="1308" ht="22.5" customHeight="1">
      <c r="A1308" s="30"/>
      <c r="B1308" s="31"/>
      <c r="C1308" s="32"/>
      <c r="D1308" s="33"/>
      <c r="E1308" s="34"/>
      <c r="F1308" s="34"/>
      <c r="G1308" s="35"/>
      <c r="H1308" s="34"/>
      <c r="I1308" s="37"/>
    </row>
    <row r="1309" ht="22.5" customHeight="1">
      <c r="A1309" s="30"/>
      <c r="B1309" s="31"/>
      <c r="C1309" s="32"/>
      <c r="D1309" s="33"/>
      <c r="E1309" s="34"/>
      <c r="F1309" s="34"/>
      <c r="G1309" s="35"/>
      <c r="H1309" s="34"/>
      <c r="I1309" s="37"/>
    </row>
    <row r="1310" ht="22.5" customHeight="1">
      <c r="A1310" s="30"/>
      <c r="B1310" s="31"/>
      <c r="C1310" s="32"/>
      <c r="D1310" s="33"/>
      <c r="E1310" s="34"/>
      <c r="F1310" s="34"/>
      <c r="G1310" s="35"/>
      <c r="H1310" s="34"/>
      <c r="I1310" s="37"/>
    </row>
    <row r="1311" ht="22.5" customHeight="1">
      <c r="A1311" s="30"/>
      <c r="B1311" s="40"/>
      <c r="C1311" s="32"/>
      <c r="D1311" s="33"/>
      <c r="E1311" s="34"/>
      <c r="F1311" s="34"/>
      <c r="G1311" s="35"/>
      <c r="H1311" s="34"/>
      <c r="I1311" s="37"/>
    </row>
    <row r="1312" ht="22.5" customHeight="1">
      <c r="A1312" s="30"/>
      <c r="B1312" s="31"/>
      <c r="C1312" s="32"/>
      <c r="D1312" s="33"/>
      <c r="E1312" s="34"/>
      <c r="F1312" s="34"/>
      <c r="G1312" s="35"/>
      <c r="H1312" s="34"/>
      <c r="I1312" s="37"/>
    </row>
    <row r="1313" ht="22.5" customHeight="1">
      <c r="A1313" s="30"/>
      <c r="B1313" s="31"/>
      <c r="C1313" s="32"/>
      <c r="D1313" s="33"/>
      <c r="E1313" s="34"/>
      <c r="F1313" s="34"/>
      <c r="G1313" s="35"/>
      <c r="H1313" s="34"/>
      <c r="I1313" s="37"/>
    </row>
    <row r="1314" ht="22.5" customHeight="1">
      <c r="A1314" s="30"/>
      <c r="B1314" s="31"/>
      <c r="C1314" s="32"/>
      <c r="D1314" s="33"/>
      <c r="E1314" s="34"/>
      <c r="F1314" s="34"/>
      <c r="G1314" s="35"/>
      <c r="H1314" s="34"/>
      <c r="I1314" s="37"/>
    </row>
    <row r="1315" ht="22.5" customHeight="1">
      <c r="A1315" s="30"/>
      <c r="B1315" s="31"/>
      <c r="C1315" s="32"/>
      <c r="D1315" s="33"/>
      <c r="E1315" s="34"/>
      <c r="F1315" s="34"/>
      <c r="G1315" s="35"/>
      <c r="H1315" s="34"/>
      <c r="I1315" s="37"/>
    </row>
    <row r="1316" ht="22.5" customHeight="1">
      <c r="A1316" s="30"/>
      <c r="B1316" s="31"/>
      <c r="C1316" s="32"/>
      <c r="D1316" s="33"/>
      <c r="E1316" s="34"/>
      <c r="F1316" s="34"/>
      <c r="G1316" s="35"/>
      <c r="H1316" s="34"/>
      <c r="I1316" s="37"/>
    </row>
    <row r="1317" ht="22.5" customHeight="1">
      <c r="A1317" s="30"/>
      <c r="B1317" s="31"/>
      <c r="C1317" s="32"/>
      <c r="D1317" s="33"/>
      <c r="E1317" s="34"/>
      <c r="F1317" s="34"/>
      <c r="G1317" s="35"/>
      <c r="H1317" s="34"/>
      <c r="I1317" s="37"/>
    </row>
    <row r="1318" ht="22.5" customHeight="1">
      <c r="A1318" s="30"/>
      <c r="B1318" s="31"/>
      <c r="C1318" s="32"/>
      <c r="D1318" s="33"/>
      <c r="E1318" s="34"/>
      <c r="F1318" s="34"/>
      <c r="G1318" s="35"/>
      <c r="H1318" s="34"/>
      <c r="I1318" s="37"/>
    </row>
    <row r="1319" ht="22.5" customHeight="1">
      <c r="A1319" s="30"/>
      <c r="B1319" s="31"/>
      <c r="C1319" s="32"/>
      <c r="D1319" s="33"/>
      <c r="E1319" s="34"/>
      <c r="F1319" s="34"/>
      <c r="G1319" s="35"/>
      <c r="H1319" s="34"/>
      <c r="I1319" s="37"/>
    </row>
    <row r="1320" ht="22.5" customHeight="1">
      <c r="A1320" s="30"/>
      <c r="B1320" s="31"/>
      <c r="C1320" s="32"/>
      <c r="D1320" s="33"/>
      <c r="E1320" s="34"/>
      <c r="F1320" s="34"/>
      <c r="G1320" s="35"/>
      <c r="H1320" s="34"/>
      <c r="I1320" s="37"/>
    </row>
    <row r="1321" ht="22.5" customHeight="1">
      <c r="A1321" s="30"/>
      <c r="B1321" s="31"/>
      <c r="C1321" s="32"/>
      <c r="D1321" s="33"/>
      <c r="E1321" s="34"/>
      <c r="F1321" s="34"/>
      <c r="G1321" s="35"/>
      <c r="H1321" s="34"/>
      <c r="I1321" s="37"/>
    </row>
    <row r="1322" ht="22.5" customHeight="1">
      <c r="A1322" s="30"/>
      <c r="B1322" s="31"/>
      <c r="C1322" s="32"/>
      <c r="D1322" s="33"/>
      <c r="E1322" s="34"/>
      <c r="F1322" s="34"/>
      <c r="G1322" s="35"/>
      <c r="H1322" s="34"/>
      <c r="I1322" s="37"/>
    </row>
    <row r="1323" ht="22.5" customHeight="1">
      <c r="A1323" s="30"/>
      <c r="B1323" s="31"/>
      <c r="C1323" s="32"/>
      <c r="D1323" s="33"/>
      <c r="E1323" s="34"/>
      <c r="F1323" s="34"/>
      <c r="G1323" s="35"/>
      <c r="H1323" s="34"/>
      <c r="I1323" s="37"/>
    </row>
    <row r="1324" ht="22.5" customHeight="1">
      <c r="A1324" s="30"/>
      <c r="B1324" s="31"/>
      <c r="C1324" s="32"/>
      <c r="D1324" s="33"/>
      <c r="E1324" s="34"/>
      <c r="F1324" s="34"/>
      <c r="G1324" s="35"/>
      <c r="H1324" s="34"/>
      <c r="I1324" s="37"/>
    </row>
    <row r="1325" ht="22.5" customHeight="1">
      <c r="A1325" s="30"/>
      <c r="B1325" s="31"/>
      <c r="C1325" s="32"/>
      <c r="D1325" s="33"/>
      <c r="E1325" s="34"/>
      <c r="F1325" s="34"/>
      <c r="G1325" s="35"/>
      <c r="H1325" s="34"/>
      <c r="I1325" s="37"/>
    </row>
    <row r="1326" ht="22.5" customHeight="1">
      <c r="A1326" s="30"/>
      <c r="B1326" s="40"/>
      <c r="C1326" s="32"/>
      <c r="D1326" s="33"/>
      <c r="E1326" s="34"/>
      <c r="F1326" s="34"/>
      <c r="G1326" s="35"/>
      <c r="H1326" s="34"/>
      <c r="I1326" s="37"/>
    </row>
    <row r="1327" ht="22.5" customHeight="1">
      <c r="A1327" s="30"/>
      <c r="B1327" s="31"/>
      <c r="C1327" s="32"/>
      <c r="D1327" s="33"/>
      <c r="E1327" s="34"/>
      <c r="F1327" s="34"/>
      <c r="G1327" s="35"/>
      <c r="H1327" s="34"/>
      <c r="I1327" s="37"/>
    </row>
    <row r="1328" ht="22.5" customHeight="1">
      <c r="A1328" s="30"/>
      <c r="B1328" s="40"/>
      <c r="C1328" s="32"/>
      <c r="D1328" s="33"/>
      <c r="E1328" s="34"/>
      <c r="F1328" s="34"/>
      <c r="G1328" s="35"/>
      <c r="H1328" s="34"/>
      <c r="I1328" s="37"/>
    </row>
    <row r="1329" ht="22.5" customHeight="1">
      <c r="A1329" s="30"/>
      <c r="B1329" s="31"/>
      <c r="C1329" s="32"/>
      <c r="D1329" s="33"/>
      <c r="E1329" s="34"/>
      <c r="F1329" s="34"/>
      <c r="G1329" s="35"/>
      <c r="H1329" s="34"/>
      <c r="I1329" s="37"/>
    </row>
    <row r="1330" ht="22.5" customHeight="1">
      <c r="A1330" s="30"/>
      <c r="B1330" s="31"/>
      <c r="C1330" s="32"/>
      <c r="D1330" s="33"/>
      <c r="E1330" s="34"/>
      <c r="F1330" s="34"/>
      <c r="G1330" s="35"/>
      <c r="H1330" s="34"/>
      <c r="I1330" s="37"/>
    </row>
    <row r="1331" ht="22.5" customHeight="1">
      <c r="A1331" s="30"/>
      <c r="B1331" s="31"/>
      <c r="C1331" s="32"/>
      <c r="D1331" s="33"/>
      <c r="E1331" s="34"/>
      <c r="F1331" s="34"/>
      <c r="G1331" s="35"/>
      <c r="H1331" s="34"/>
      <c r="I1331" s="37"/>
    </row>
    <row r="1332" ht="22.5" customHeight="1">
      <c r="A1332" s="30"/>
      <c r="B1332" s="31"/>
      <c r="C1332" s="32"/>
      <c r="D1332" s="33"/>
      <c r="E1332" s="34"/>
      <c r="F1332" s="34"/>
      <c r="G1332" s="35"/>
      <c r="H1332" s="34"/>
      <c r="I1332" s="37"/>
    </row>
    <row r="1333" ht="22.5" customHeight="1">
      <c r="A1333" s="30"/>
      <c r="B1333" s="40"/>
      <c r="C1333" s="32"/>
      <c r="D1333" s="33"/>
      <c r="E1333" s="34"/>
      <c r="F1333" s="34"/>
      <c r="G1333" s="35"/>
      <c r="H1333" s="34"/>
      <c r="I1333" s="37"/>
    </row>
    <row r="1334" ht="22.5" customHeight="1">
      <c r="A1334" s="30"/>
      <c r="B1334" s="31"/>
      <c r="C1334" s="32"/>
      <c r="D1334" s="33"/>
      <c r="E1334" s="34"/>
      <c r="F1334" s="34"/>
      <c r="G1334" s="35"/>
      <c r="H1334" s="34"/>
      <c r="I1334" s="37"/>
    </row>
    <row r="1335" ht="22.5" customHeight="1">
      <c r="A1335" s="30"/>
      <c r="B1335" s="31"/>
      <c r="C1335" s="32"/>
      <c r="D1335" s="33"/>
      <c r="E1335" s="34"/>
      <c r="F1335" s="34"/>
      <c r="G1335" s="35"/>
      <c r="H1335" s="34"/>
      <c r="I1335" s="37"/>
    </row>
    <row r="1336" ht="22.5" customHeight="1">
      <c r="A1336" s="30"/>
      <c r="B1336" s="31"/>
      <c r="C1336" s="32"/>
      <c r="D1336" s="33"/>
      <c r="E1336" s="34"/>
      <c r="F1336" s="34"/>
      <c r="G1336" s="35"/>
      <c r="H1336" s="34"/>
      <c r="I1336" s="37"/>
    </row>
    <row r="1337" ht="22.5" customHeight="1">
      <c r="A1337" s="30"/>
      <c r="B1337" s="31"/>
      <c r="C1337" s="32"/>
      <c r="D1337" s="33"/>
      <c r="E1337" s="34"/>
      <c r="F1337" s="34"/>
      <c r="G1337" s="35"/>
      <c r="H1337" s="34"/>
      <c r="I1337" s="37"/>
    </row>
    <row r="1338" ht="22.5" customHeight="1">
      <c r="A1338" s="30"/>
      <c r="B1338" s="31"/>
      <c r="C1338" s="32"/>
      <c r="D1338" s="33"/>
      <c r="E1338" s="34"/>
      <c r="F1338" s="34"/>
      <c r="G1338" s="35"/>
      <c r="H1338" s="34"/>
      <c r="I1338" s="37"/>
    </row>
    <row r="1339" ht="22.5" customHeight="1">
      <c r="A1339" s="30"/>
      <c r="B1339" s="31"/>
      <c r="C1339" s="32"/>
      <c r="D1339" s="33"/>
      <c r="E1339" s="34"/>
      <c r="F1339" s="34"/>
      <c r="G1339" s="35"/>
      <c r="H1339" s="34"/>
      <c r="I1339" s="37"/>
    </row>
    <row r="1340" ht="22.5" customHeight="1">
      <c r="A1340" s="30"/>
      <c r="B1340" s="31"/>
      <c r="C1340" s="32"/>
      <c r="D1340" s="33"/>
      <c r="E1340" s="34"/>
      <c r="F1340" s="34"/>
      <c r="G1340" s="35"/>
      <c r="H1340" s="34"/>
      <c r="I1340" s="37"/>
    </row>
    <row r="1341" ht="22.5" customHeight="1">
      <c r="A1341" s="30"/>
      <c r="B1341" s="31"/>
      <c r="C1341" s="32"/>
      <c r="D1341" s="33"/>
      <c r="E1341" s="34"/>
      <c r="F1341" s="34"/>
      <c r="G1341" s="35"/>
      <c r="H1341" s="34"/>
      <c r="I1341" s="37"/>
    </row>
    <row r="1342" ht="22.5" customHeight="1">
      <c r="A1342" s="30"/>
      <c r="B1342" s="31"/>
      <c r="C1342" s="32"/>
      <c r="D1342" s="33"/>
      <c r="E1342" s="34"/>
      <c r="F1342" s="34"/>
      <c r="G1342" s="35"/>
      <c r="H1342" s="34"/>
      <c r="I1342" s="37"/>
    </row>
    <row r="1343" ht="22.5" customHeight="1">
      <c r="A1343" s="30"/>
      <c r="B1343" s="31"/>
      <c r="C1343" s="32"/>
      <c r="D1343" s="33"/>
      <c r="E1343" s="34"/>
      <c r="F1343" s="34"/>
      <c r="G1343" s="35"/>
      <c r="H1343" s="34"/>
      <c r="I1343" s="37"/>
    </row>
    <row r="1344" ht="22.5" customHeight="1">
      <c r="A1344" s="30"/>
      <c r="B1344" s="31"/>
      <c r="C1344" s="32"/>
      <c r="D1344" s="33"/>
      <c r="E1344" s="34"/>
      <c r="F1344" s="34"/>
      <c r="G1344" s="35"/>
      <c r="H1344" s="34"/>
      <c r="I1344" s="37"/>
    </row>
    <row r="1345" ht="22.5" customHeight="1">
      <c r="A1345" s="30"/>
      <c r="B1345" s="31"/>
      <c r="C1345" s="32"/>
      <c r="D1345" s="33"/>
      <c r="E1345" s="34"/>
      <c r="F1345" s="34"/>
      <c r="G1345" s="35"/>
      <c r="H1345" s="34"/>
      <c r="I1345" s="37"/>
    </row>
    <row r="1346" ht="22.5" customHeight="1">
      <c r="A1346" s="30"/>
      <c r="B1346" s="31"/>
      <c r="C1346" s="32"/>
      <c r="D1346" s="33"/>
      <c r="E1346" s="34"/>
      <c r="F1346" s="34"/>
      <c r="G1346" s="35"/>
      <c r="H1346" s="34"/>
      <c r="I1346" s="37"/>
    </row>
    <row r="1347" ht="22.5" customHeight="1">
      <c r="A1347" s="30"/>
      <c r="B1347" s="31"/>
      <c r="C1347" s="32"/>
      <c r="D1347" s="33"/>
      <c r="E1347" s="34"/>
      <c r="F1347" s="34"/>
      <c r="G1347" s="35"/>
      <c r="H1347" s="34"/>
      <c r="I1347" s="37"/>
    </row>
    <row r="1348" ht="22.5" customHeight="1">
      <c r="A1348" s="30"/>
      <c r="B1348" s="31"/>
      <c r="C1348" s="32"/>
      <c r="D1348" s="33"/>
      <c r="E1348" s="34"/>
      <c r="F1348" s="34"/>
      <c r="G1348" s="35"/>
      <c r="H1348" s="34"/>
      <c r="I1348" s="37"/>
    </row>
    <row r="1349" ht="22.5" customHeight="1">
      <c r="A1349" s="30"/>
      <c r="B1349" s="31"/>
      <c r="C1349" s="32"/>
      <c r="D1349" s="33"/>
      <c r="E1349" s="34"/>
      <c r="F1349" s="34"/>
      <c r="G1349" s="35"/>
      <c r="H1349" s="34"/>
      <c r="I1349" s="37"/>
    </row>
    <row r="1350" ht="22.5" customHeight="1">
      <c r="A1350" s="30"/>
      <c r="B1350" s="31"/>
      <c r="C1350" s="32"/>
      <c r="D1350" s="33"/>
      <c r="E1350" s="34"/>
      <c r="F1350" s="34"/>
      <c r="G1350" s="35"/>
      <c r="H1350" s="34"/>
      <c r="I1350" s="37"/>
    </row>
    <row r="1351" ht="22.5" customHeight="1">
      <c r="A1351" s="30"/>
      <c r="B1351" s="31"/>
      <c r="C1351" s="32"/>
      <c r="D1351" s="33"/>
      <c r="E1351" s="34"/>
      <c r="F1351" s="34"/>
      <c r="G1351" s="35"/>
      <c r="H1351" s="34"/>
      <c r="I1351" s="37"/>
    </row>
    <row r="1352" ht="22.5" customHeight="1">
      <c r="A1352" s="30"/>
      <c r="B1352" s="31"/>
      <c r="C1352" s="32"/>
      <c r="D1352" s="33"/>
      <c r="E1352" s="34"/>
      <c r="F1352" s="34"/>
      <c r="G1352" s="35"/>
      <c r="H1352" s="34"/>
      <c r="I1352" s="37"/>
    </row>
    <row r="1353" ht="22.5" customHeight="1">
      <c r="A1353" s="30"/>
      <c r="B1353" s="31"/>
      <c r="C1353" s="32"/>
      <c r="D1353" s="33"/>
      <c r="E1353" s="34"/>
      <c r="F1353" s="34"/>
      <c r="G1353" s="35"/>
      <c r="H1353" s="34"/>
      <c r="I1353" s="37"/>
    </row>
    <row r="1354" ht="22.5" customHeight="1">
      <c r="A1354" s="30"/>
      <c r="B1354" s="31"/>
      <c r="C1354" s="32"/>
      <c r="D1354" s="33"/>
      <c r="E1354" s="34"/>
      <c r="F1354" s="34"/>
      <c r="G1354" s="35"/>
      <c r="H1354" s="34"/>
      <c r="I1354" s="37"/>
    </row>
    <row r="1355" ht="22.5" customHeight="1">
      <c r="A1355" s="30"/>
      <c r="B1355" s="40"/>
      <c r="C1355" s="32"/>
      <c r="D1355" s="33"/>
      <c r="E1355" s="34"/>
      <c r="F1355" s="34"/>
      <c r="G1355" s="35"/>
      <c r="H1355" s="34"/>
      <c r="I1355" s="37"/>
    </row>
    <row r="1356" ht="22.5" customHeight="1">
      <c r="A1356" s="30"/>
      <c r="B1356" s="31"/>
      <c r="C1356" s="32"/>
      <c r="D1356" s="33"/>
      <c r="E1356" s="34"/>
      <c r="F1356" s="34"/>
      <c r="G1356" s="35"/>
      <c r="H1356" s="34"/>
      <c r="I1356" s="37"/>
    </row>
    <row r="1357" ht="22.5" customHeight="1">
      <c r="A1357" s="30"/>
      <c r="B1357" s="31"/>
      <c r="C1357" s="32"/>
      <c r="D1357" s="33"/>
      <c r="E1357" s="34"/>
      <c r="F1357" s="34"/>
      <c r="G1357" s="35"/>
      <c r="H1357" s="34"/>
      <c r="I1357" s="37"/>
    </row>
    <row r="1358" ht="22.5" customHeight="1">
      <c r="A1358" s="30"/>
      <c r="B1358" s="31"/>
      <c r="C1358" s="32"/>
      <c r="D1358" s="33"/>
      <c r="E1358" s="34"/>
      <c r="F1358" s="34"/>
      <c r="G1358" s="35"/>
      <c r="H1358" s="34"/>
      <c r="I1358" s="37"/>
    </row>
    <row r="1359" ht="22.5" customHeight="1">
      <c r="A1359" s="30"/>
      <c r="B1359" s="31"/>
      <c r="C1359" s="32"/>
      <c r="D1359" s="33"/>
      <c r="E1359" s="34"/>
      <c r="F1359" s="34"/>
      <c r="G1359" s="35"/>
      <c r="H1359" s="34"/>
      <c r="I1359" s="38"/>
    </row>
    <row r="1360" ht="22.5" customHeight="1">
      <c r="A1360" s="30"/>
      <c r="B1360" s="39"/>
      <c r="C1360" s="32"/>
      <c r="D1360" s="33"/>
      <c r="E1360" s="34"/>
      <c r="F1360" s="34"/>
      <c r="G1360" s="35"/>
      <c r="H1360" s="34"/>
      <c r="I1360" s="37"/>
    </row>
    <row r="1361" ht="22.5" customHeight="1">
      <c r="A1361" s="30"/>
      <c r="B1361" s="31"/>
      <c r="C1361" s="32"/>
      <c r="D1361" s="33"/>
      <c r="E1361" s="34"/>
      <c r="F1361" s="34"/>
      <c r="G1361" s="35"/>
      <c r="H1361" s="34"/>
      <c r="I1361" s="37"/>
    </row>
    <row r="1362" ht="22.5" customHeight="1">
      <c r="A1362" s="30"/>
      <c r="B1362" s="31"/>
      <c r="C1362" s="32"/>
      <c r="D1362" s="33"/>
      <c r="E1362" s="34"/>
      <c r="F1362" s="34"/>
      <c r="G1362" s="35"/>
      <c r="H1362" s="34"/>
      <c r="I1362" s="37"/>
    </row>
    <row r="1363" ht="22.5" customHeight="1">
      <c r="A1363" s="30"/>
      <c r="B1363" s="31"/>
      <c r="C1363" s="32"/>
      <c r="D1363" s="33"/>
      <c r="E1363" s="34"/>
      <c r="F1363" s="34"/>
      <c r="G1363" s="35"/>
      <c r="H1363" s="34"/>
      <c r="I1363" s="37"/>
    </row>
    <row r="1364" ht="22.5" customHeight="1">
      <c r="A1364" s="30"/>
      <c r="B1364" s="39"/>
      <c r="C1364" s="32"/>
      <c r="D1364" s="33"/>
      <c r="E1364" s="34"/>
      <c r="F1364" s="34"/>
      <c r="G1364" s="35"/>
      <c r="H1364" s="34"/>
      <c r="I1364" s="37"/>
    </row>
    <row r="1365" ht="22.5" customHeight="1">
      <c r="A1365" s="30"/>
      <c r="B1365" s="31"/>
      <c r="C1365" s="32"/>
      <c r="D1365" s="33"/>
      <c r="E1365" s="34"/>
      <c r="F1365" s="34"/>
      <c r="G1365" s="35"/>
      <c r="H1365" s="34"/>
      <c r="I1365" s="37"/>
    </row>
    <row r="1366" ht="22.5" customHeight="1">
      <c r="A1366" s="30"/>
      <c r="B1366" s="39"/>
      <c r="C1366" s="32"/>
      <c r="D1366" s="33"/>
      <c r="E1366" s="34"/>
      <c r="F1366" s="34"/>
      <c r="G1366" s="35"/>
      <c r="H1366" s="34"/>
      <c r="I1366" s="37"/>
    </row>
    <row r="1367" ht="22.5" customHeight="1">
      <c r="A1367" s="30"/>
      <c r="B1367" s="31"/>
      <c r="C1367" s="32"/>
      <c r="D1367" s="33"/>
      <c r="E1367" s="34"/>
      <c r="F1367" s="34"/>
      <c r="G1367" s="35"/>
      <c r="H1367" s="34"/>
      <c r="I1367" s="37"/>
    </row>
    <row r="1368" ht="22.5" customHeight="1">
      <c r="A1368" s="30"/>
      <c r="B1368" s="31"/>
      <c r="C1368" s="32"/>
      <c r="D1368" s="33"/>
      <c r="E1368" s="34"/>
      <c r="F1368" s="34"/>
      <c r="G1368" s="35"/>
      <c r="H1368" s="34"/>
      <c r="I1368" s="37"/>
    </row>
    <row r="1369" ht="22.5" customHeight="1">
      <c r="A1369" s="30"/>
      <c r="B1369" s="31"/>
      <c r="C1369" s="32"/>
      <c r="D1369" s="33"/>
      <c r="E1369" s="34"/>
      <c r="F1369" s="34"/>
      <c r="G1369" s="35"/>
      <c r="H1369" s="34"/>
      <c r="I1369" s="37"/>
    </row>
    <row r="1370" ht="22.5" customHeight="1">
      <c r="A1370" s="30"/>
      <c r="B1370" s="31"/>
      <c r="C1370" s="32"/>
      <c r="D1370" s="33"/>
      <c r="E1370" s="34"/>
      <c r="F1370" s="34"/>
      <c r="G1370" s="35"/>
      <c r="H1370" s="34"/>
      <c r="I1370" s="37"/>
    </row>
    <row r="1371" ht="22.5" customHeight="1">
      <c r="A1371" s="30"/>
      <c r="B1371" s="31"/>
      <c r="C1371" s="32"/>
      <c r="D1371" s="33"/>
      <c r="E1371" s="34"/>
      <c r="F1371" s="34"/>
      <c r="G1371" s="35"/>
      <c r="H1371" s="34"/>
      <c r="I1371" s="37"/>
    </row>
    <row r="1372" ht="22.5" customHeight="1">
      <c r="A1372" s="30"/>
      <c r="B1372" s="31"/>
      <c r="C1372" s="32"/>
      <c r="D1372" s="33"/>
      <c r="E1372" s="34"/>
      <c r="F1372" s="34"/>
      <c r="G1372" s="35"/>
      <c r="H1372" s="34"/>
      <c r="I1372" s="37"/>
    </row>
    <row r="1373" ht="22.5" customHeight="1">
      <c r="A1373" s="30"/>
      <c r="B1373" s="31"/>
      <c r="C1373" s="32"/>
      <c r="D1373" s="33"/>
      <c r="E1373" s="34"/>
      <c r="F1373" s="34"/>
      <c r="G1373" s="35"/>
      <c r="H1373" s="34"/>
      <c r="I1373" s="37"/>
    </row>
    <row r="1374" ht="22.5" customHeight="1">
      <c r="A1374" s="30"/>
      <c r="B1374" s="31"/>
      <c r="C1374" s="32"/>
      <c r="D1374" s="33"/>
      <c r="E1374" s="34"/>
      <c r="F1374" s="34"/>
      <c r="G1374" s="35"/>
      <c r="H1374" s="34"/>
      <c r="I1374" s="37"/>
    </row>
    <row r="1375" ht="22.5" customHeight="1">
      <c r="A1375" s="30"/>
      <c r="B1375" s="31"/>
      <c r="C1375" s="32"/>
      <c r="D1375" s="33"/>
      <c r="E1375" s="34"/>
      <c r="F1375" s="34"/>
      <c r="G1375" s="35"/>
      <c r="H1375" s="34"/>
      <c r="I1375" s="37"/>
    </row>
    <row r="1376" ht="22.5" customHeight="1">
      <c r="A1376" s="30"/>
      <c r="B1376" s="31"/>
      <c r="C1376" s="32"/>
      <c r="D1376" s="33"/>
      <c r="E1376" s="34"/>
      <c r="F1376" s="34"/>
      <c r="G1376" s="35"/>
      <c r="H1376" s="34"/>
      <c r="I1376" s="37"/>
    </row>
    <row r="1377" ht="22.5" customHeight="1">
      <c r="A1377" s="30"/>
      <c r="B1377" s="40"/>
      <c r="C1377" s="32"/>
      <c r="D1377" s="33"/>
      <c r="E1377" s="34"/>
      <c r="F1377" s="34"/>
      <c r="G1377" s="35"/>
      <c r="H1377" s="34"/>
      <c r="I1377" s="37"/>
    </row>
    <row r="1378" ht="22.5" customHeight="1">
      <c r="A1378" s="30"/>
      <c r="B1378" s="31"/>
      <c r="C1378" s="32"/>
      <c r="D1378" s="33"/>
      <c r="E1378" s="34"/>
      <c r="F1378" s="34"/>
      <c r="G1378" s="35"/>
      <c r="H1378" s="34"/>
      <c r="I1378" s="37"/>
    </row>
    <row r="1379" ht="22.5" customHeight="1">
      <c r="A1379" s="30"/>
      <c r="B1379" s="31"/>
      <c r="C1379" s="32"/>
      <c r="D1379" s="33"/>
      <c r="E1379" s="34"/>
      <c r="F1379" s="34"/>
      <c r="G1379" s="35"/>
      <c r="H1379" s="34"/>
      <c r="I1379" s="37"/>
    </row>
    <row r="1380" ht="22.5" customHeight="1">
      <c r="A1380" s="30"/>
      <c r="B1380" s="31"/>
      <c r="C1380" s="32"/>
      <c r="D1380" s="33"/>
      <c r="E1380" s="34"/>
      <c r="F1380" s="34"/>
      <c r="G1380" s="35"/>
      <c r="H1380" s="34"/>
      <c r="I1380" s="37"/>
    </row>
    <row r="1381" ht="22.5" customHeight="1">
      <c r="A1381" s="30"/>
      <c r="B1381" s="31"/>
      <c r="C1381" s="32"/>
      <c r="D1381" s="33"/>
      <c r="E1381" s="34"/>
      <c r="F1381" s="34"/>
      <c r="G1381" s="35"/>
      <c r="H1381" s="34"/>
      <c r="I1381" s="37"/>
    </row>
    <row r="1382" ht="22.5" customHeight="1">
      <c r="A1382" s="30"/>
      <c r="B1382" s="31"/>
      <c r="C1382" s="32"/>
      <c r="D1382" s="33"/>
      <c r="E1382" s="34"/>
      <c r="F1382" s="34"/>
      <c r="G1382" s="35"/>
      <c r="H1382" s="34"/>
      <c r="I1382" s="37"/>
    </row>
    <row r="1383" ht="22.5" customHeight="1">
      <c r="A1383" s="30"/>
      <c r="B1383" s="31"/>
      <c r="C1383" s="32"/>
      <c r="D1383" s="33"/>
      <c r="E1383" s="34"/>
      <c r="F1383" s="34"/>
      <c r="G1383" s="35"/>
      <c r="H1383" s="34"/>
      <c r="I1383" s="37"/>
    </row>
    <row r="1384" ht="22.5" customHeight="1">
      <c r="A1384" s="30"/>
      <c r="B1384" s="39"/>
      <c r="C1384" s="32"/>
      <c r="D1384" s="33"/>
      <c r="E1384" s="34"/>
      <c r="F1384" s="34"/>
      <c r="G1384" s="35"/>
      <c r="H1384" s="34"/>
      <c r="I1384" s="37"/>
    </row>
    <row r="1385" ht="22.5" customHeight="1">
      <c r="A1385" s="30"/>
      <c r="B1385" s="39"/>
      <c r="C1385" s="32"/>
      <c r="D1385" s="33"/>
      <c r="E1385" s="34"/>
      <c r="F1385" s="34"/>
      <c r="G1385" s="35"/>
      <c r="H1385" s="34"/>
      <c r="I1385" s="37"/>
    </row>
    <row r="1386" ht="22.5" customHeight="1">
      <c r="A1386" s="30"/>
      <c r="B1386" s="39"/>
      <c r="C1386" s="32"/>
      <c r="D1386" s="33"/>
      <c r="E1386" s="34"/>
      <c r="F1386" s="34"/>
      <c r="G1386" s="35"/>
      <c r="H1386" s="34"/>
      <c r="I1386" s="37"/>
    </row>
    <row r="1387" ht="22.5" customHeight="1">
      <c r="A1387" s="30"/>
      <c r="B1387" s="40"/>
      <c r="C1387" s="32"/>
      <c r="D1387" s="33"/>
      <c r="E1387" s="34"/>
      <c r="F1387" s="34"/>
      <c r="G1387" s="35"/>
      <c r="H1387" s="34"/>
      <c r="I1387" s="37"/>
    </row>
    <row r="1388" ht="22.5" customHeight="1">
      <c r="A1388" s="30"/>
      <c r="B1388" s="31"/>
      <c r="C1388" s="32"/>
      <c r="D1388" s="33"/>
      <c r="E1388" s="34"/>
      <c r="F1388" s="34"/>
      <c r="G1388" s="35"/>
      <c r="H1388" s="34"/>
      <c r="I1388" s="37"/>
    </row>
    <row r="1389" ht="22.5" customHeight="1">
      <c r="A1389" s="30"/>
      <c r="B1389" s="31"/>
      <c r="C1389" s="32"/>
      <c r="D1389" s="33"/>
      <c r="E1389" s="34"/>
      <c r="F1389" s="34"/>
      <c r="G1389" s="35"/>
      <c r="H1389" s="34"/>
      <c r="I1389" s="37"/>
    </row>
    <row r="1390" ht="22.5" customHeight="1">
      <c r="A1390" s="30"/>
      <c r="B1390" s="31"/>
      <c r="C1390" s="32"/>
      <c r="D1390" s="33"/>
      <c r="E1390" s="34"/>
      <c r="F1390" s="34"/>
      <c r="G1390" s="35"/>
      <c r="H1390" s="34"/>
      <c r="I1390" s="37"/>
    </row>
    <row r="1391" ht="22.5" customHeight="1">
      <c r="A1391" s="30"/>
      <c r="B1391" s="31"/>
      <c r="C1391" s="32"/>
      <c r="D1391" s="33"/>
      <c r="E1391" s="34"/>
      <c r="F1391" s="34"/>
      <c r="G1391" s="35"/>
      <c r="H1391" s="34"/>
      <c r="I1391" s="37"/>
    </row>
    <row r="1392" ht="22.5" customHeight="1">
      <c r="A1392" s="30"/>
      <c r="B1392" s="31"/>
      <c r="C1392" s="32"/>
      <c r="D1392" s="33"/>
      <c r="E1392" s="34"/>
      <c r="F1392" s="34"/>
      <c r="G1392" s="35"/>
      <c r="H1392" s="34"/>
      <c r="I1392" s="37"/>
    </row>
    <row r="1393" ht="22.5" customHeight="1">
      <c r="A1393" s="30"/>
      <c r="B1393" s="31"/>
      <c r="C1393" s="32"/>
      <c r="D1393" s="33"/>
      <c r="E1393" s="34"/>
      <c r="F1393" s="34"/>
      <c r="G1393" s="35"/>
      <c r="H1393" s="34"/>
      <c r="I1393" s="37"/>
    </row>
    <row r="1394" ht="22.5" customHeight="1">
      <c r="A1394" s="30"/>
      <c r="B1394" s="31"/>
      <c r="C1394" s="32"/>
      <c r="D1394" s="33"/>
      <c r="E1394" s="34"/>
      <c r="F1394" s="34"/>
      <c r="G1394" s="35"/>
      <c r="H1394" s="34"/>
      <c r="I1394" s="37"/>
    </row>
    <row r="1395" ht="22.5" customHeight="1">
      <c r="A1395" s="30"/>
      <c r="B1395" s="31"/>
      <c r="C1395" s="32"/>
      <c r="D1395" s="33"/>
      <c r="E1395" s="34"/>
      <c r="F1395" s="34"/>
      <c r="G1395" s="35"/>
      <c r="H1395" s="34"/>
      <c r="I1395" s="37"/>
    </row>
    <row r="1396" ht="22.5" customHeight="1">
      <c r="A1396" s="30"/>
      <c r="B1396" s="31"/>
      <c r="C1396" s="32"/>
      <c r="D1396" s="33"/>
      <c r="E1396" s="34"/>
      <c r="F1396" s="34"/>
      <c r="G1396" s="35"/>
      <c r="H1396" s="34"/>
      <c r="I1396" s="37"/>
    </row>
    <row r="1397" ht="22.5" customHeight="1">
      <c r="A1397" s="30"/>
      <c r="B1397" s="40"/>
      <c r="C1397" s="32"/>
      <c r="D1397" s="33"/>
      <c r="E1397" s="34"/>
      <c r="F1397" s="34"/>
      <c r="G1397" s="35"/>
      <c r="H1397" s="34"/>
      <c r="I1397" s="37"/>
    </row>
    <row r="1398" ht="22.5" customHeight="1">
      <c r="A1398" s="30"/>
      <c r="B1398" s="31"/>
      <c r="C1398" s="32"/>
      <c r="D1398" s="33"/>
      <c r="E1398" s="34"/>
      <c r="F1398" s="34"/>
      <c r="G1398" s="35"/>
      <c r="H1398" s="34"/>
      <c r="I1398" s="37"/>
    </row>
    <row r="1399" ht="22.5" customHeight="1">
      <c r="A1399" s="30"/>
      <c r="B1399" s="31"/>
      <c r="C1399" s="32"/>
      <c r="D1399" s="33"/>
      <c r="E1399" s="34"/>
      <c r="F1399" s="34"/>
      <c r="G1399" s="35"/>
      <c r="H1399" s="34"/>
      <c r="I1399" s="37"/>
    </row>
    <row r="1400" ht="22.5" customHeight="1">
      <c r="A1400" s="30"/>
      <c r="B1400" s="31"/>
      <c r="C1400" s="32"/>
      <c r="D1400" s="33"/>
      <c r="E1400" s="34"/>
      <c r="F1400" s="34"/>
      <c r="G1400" s="35"/>
      <c r="H1400" s="34"/>
      <c r="I1400" s="37"/>
    </row>
    <row r="1401" ht="22.5" customHeight="1">
      <c r="A1401" s="30"/>
      <c r="B1401" s="40"/>
      <c r="C1401" s="32"/>
      <c r="D1401" s="33"/>
      <c r="E1401" s="34"/>
      <c r="F1401" s="34"/>
      <c r="G1401" s="35"/>
      <c r="H1401" s="34"/>
      <c r="I1401" s="37"/>
    </row>
    <row r="1402" ht="22.5" customHeight="1">
      <c r="A1402" s="30"/>
      <c r="B1402" s="31"/>
      <c r="C1402" s="32"/>
      <c r="D1402" s="33"/>
      <c r="E1402" s="34"/>
      <c r="F1402" s="34"/>
      <c r="G1402" s="35"/>
      <c r="H1402" s="34"/>
      <c r="I1402" s="37"/>
    </row>
    <row r="1403" ht="22.5" customHeight="1">
      <c r="A1403" s="30"/>
      <c r="B1403" s="31"/>
      <c r="C1403" s="32"/>
      <c r="D1403" s="33"/>
      <c r="E1403" s="34"/>
      <c r="F1403" s="34"/>
      <c r="G1403" s="35"/>
      <c r="H1403" s="34"/>
      <c r="I1403" s="37"/>
    </row>
    <row r="1404" ht="22.5" customHeight="1">
      <c r="A1404" s="30"/>
      <c r="B1404" s="31"/>
      <c r="C1404" s="32"/>
      <c r="D1404" s="33"/>
      <c r="E1404" s="34"/>
      <c r="F1404" s="34"/>
      <c r="G1404" s="35"/>
      <c r="H1404" s="34"/>
      <c r="I1404" s="37"/>
    </row>
    <row r="1405" ht="22.5" customHeight="1">
      <c r="A1405" s="30"/>
      <c r="B1405" s="31"/>
      <c r="C1405" s="32"/>
      <c r="D1405" s="33"/>
      <c r="E1405" s="34"/>
      <c r="F1405" s="34"/>
      <c r="G1405" s="35"/>
      <c r="H1405" s="34"/>
      <c r="I1405" s="37"/>
    </row>
    <row r="1406" ht="22.5" customHeight="1">
      <c r="A1406" s="30"/>
      <c r="B1406" s="31"/>
      <c r="C1406" s="32"/>
      <c r="D1406" s="33"/>
      <c r="E1406" s="34"/>
      <c r="F1406" s="34"/>
      <c r="G1406" s="35"/>
      <c r="H1406" s="34"/>
      <c r="I1406" s="37"/>
    </row>
    <row r="1407" ht="22.5" customHeight="1">
      <c r="A1407" s="30"/>
      <c r="B1407" s="31"/>
      <c r="C1407" s="32"/>
      <c r="D1407" s="33"/>
      <c r="E1407" s="34"/>
      <c r="F1407" s="34"/>
      <c r="G1407" s="35"/>
      <c r="H1407" s="34"/>
      <c r="I1407" s="37"/>
    </row>
    <row r="1408" ht="22.5" customHeight="1">
      <c r="A1408" s="30"/>
      <c r="B1408" s="31"/>
      <c r="C1408" s="32"/>
      <c r="D1408" s="33"/>
      <c r="E1408" s="34"/>
      <c r="F1408" s="34"/>
      <c r="G1408" s="35"/>
      <c r="H1408" s="34"/>
      <c r="I1408" s="37"/>
    </row>
    <row r="1409" ht="22.5" customHeight="1">
      <c r="A1409" s="30"/>
      <c r="B1409" s="31"/>
      <c r="C1409" s="32"/>
      <c r="D1409" s="33"/>
      <c r="E1409" s="34"/>
      <c r="F1409" s="34"/>
      <c r="G1409" s="35"/>
      <c r="H1409" s="34"/>
      <c r="I1409" s="37"/>
    </row>
    <row r="1410" ht="22.5" customHeight="1">
      <c r="A1410" s="30"/>
      <c r="B1410" s="31"/>
      <c r="C1410" s="32"/>
      <c r="D1410" s="33"/>
      <c r="E1410" s="34"/>
      <c r="F1410" s="34"/>
      <c r="G1410" s="35"/>
      <c r="H1410" s="34"/>
      <c r="I1410" s="37"/>
    </row>
    <row r="1411" ht="22.5" customHeight="1">
      <c r="A1411" s="30"/>
      <c r="B1411" s="31"/>
      <c r="C1411" s="32"/>
      <c r="D1411" s="33"/>
      <c r="E1411" s="34"/>
      <c r="F1411" s="34"/>
      <c r="G1411" s="35"/>
      <c r="H1411" s="34"/>
      <c r="I1411" s="37"/>
    </row>
    <row r="1412" ht="22.5" customHeight="1">
      <c r="A1412" s="30"/>
      <c r="B1412" s="31"/>
      <c r="C1412" s="32"/>
      <c r="D1412" s="33"/>
      <c r="E1412" s="34"/>
      <c r="F1412" s="34"/>
      <c r="G1412" s="35"/>
      <c r="H1412" s="34"/>
      <c r="I1412" s="37"/>
    </row>
    <row r="1413" ht="22.5" customHeight="1">
      <c r="A1413" s="30"/>
      <c r="B1413" s="31"/>
      <c r="C1413" s="32"/>
      <c r="D1413" s="33"/>
      <c r="E1413" s="34"/>
      <c r="F1413" s="34"/>
      <c r="G1413" s="35"/>
      <c r="H1413" s="34"/>
      <c r="I1413" s="37"/>
    </row>
    <row r="1414" ht="22.5" customHeight="1">
      <c r="A1414" s="30"/>
      <c r="B1414" s="31"/>
      <c r="C1414" s="32"/>
      <c r="D1414" s="33"/>
      <c r="E1414" s="34"/>
      <c r="F1414" s="34"/>
      <c r="G1414" s="35"/>
      <c r="H1414" s="34"/>
      <c r="I1414" s="37"/>
    </row>
    <row r="1415" ht="22.5" customHeight="1">
      <c r="A1415" s="30"/>
      <c r="B1415" s="31"/>
      <c r="C1415" s="32"/>
      <c r="D1415" s="33"/>
      <c r="E1415" s="34"/>
      <c r="F1415" s="34"/>
      <c r="G1415" s="35"/>
      <c r="H1415" s="34"/>
      <c r="I1415" s="37"/>
    </row>
    <row r="1416" ht="22.5" customHeight="1">
      <c r="A1416" s="30"/>
      <c r="B1416" s="40"/>
      <c r="C1416" s="32"/>
      <c r="D1416" s="33"/>
      <c r="E1416" s="34"/>
      <c r="F1416" s="34"/>
      <c r="G1416" s="35"/>
      <c r="H1416" s="34"/>
      <c r="I1416" s="37"/>
    </row>
    <row r="1417" ht="22.5" customHeight="1">
      <c r="A1417" s="30"/>
      <c r="B1417" s="31"/>
      <c r="C1417" s="32"/>
      <c r="D1417" s="33"/>
      <c r="E1417" s="34"/>
      <c r="F1417" s="34"/>
      <c r="G1417" s="35"/>
      <c r="H1417" s="34"/>
      <c r="I1417" s="37"/>
    </row>
    <row r="1418" ht="22.5" customHeight="1">
      <c r="A1418" s="30"/>
      <c r="B1418" s="40"/>
      <c r="C1418" s="32"/>
      <c r="D1418" s="33"/>
      <c r="E1418" s="34"/>
      <c r="F1418" s="34"/>
      <c r="G1418" s="35"/>
      <c r="H1418" s="34"/>
      <c r="I1418" s="37"/>
    </row>
    <row r="1419" ht="22.5" customHeight="1">
      <c r="A1419" s="30"/>
      <c r="B1419" s="31"/>
      <c r="C1419" s="32"/>
      <c r="D1419" s="33"/>
      <c r="E1419" s="34"/>
      <c r="F1419" s="34"/>
      <c r="G1419" s="35"/>
      <c r="H1419" s="34"/>
      <c r="I1419" s="37"/>
    </row>
    <row r="1420" ht="22.5" customHeight="1">
      <c r="A1420" s="30"/>
      <c r="B1420" s="31"/>
      <c r="C1420" s="32"/>
      <c r="D1420" s="33"/>
      <c r="E1420" s="34"/>
      <c r="F1420" s="34"/>
      <c r="G1420" s="35"/>
      <c r="H1420" s="34"/>
      <c r="I1420" s="37"/>
    </row>
    <row r="1421" ht="22.5" customHeight="1">
      <c r="A1421" s="30"/>
      <c r="B1421" s="31"/>
      <c r="C1421" s="32"/>
      <c r="D1421" s="33"/>
      <c r="E1421" s="34"/>
      <c r="F1421" s="34"/>
      <c r="G1421" s="35"/>
      <c r="H1421" s="34"/>
      <c r="I1421" s="37"/>
    </row>
    <row r="1422" ht="22.5" customHeight="1">
      <c r="A1422" s="30"/>
      <c r="B1422" s="31"/>
      <c r="C1422" s="32"/>
      <c r="D1422" s="33"/>
      <c r="E1422" s="34"/>
      <c r="F1422" s="34"/>
      <c r="G1422" s="35"/>
      <c r="H1422" s="34"/>
      <c r="I1422" s="37"/>
    </row>
    <row r="1423" ht="22.5" customHeight="1">
      <c r="A1423" s="30"/>
      <c r="B1423" s="40"/>
      <c r="C1423" s="32"/>
      <c r="D1423" s="33"/>
      <c r="E1423" s="34"/>
      <c r="F1423" s="34"/>
      <c r="G1423" s="35"/>
      <c r="H1423" s="34"/>
      <c r="I1423" s="37"/>
    </row>
    <row r="1424" ht="22.5" customHeight="1">
      <c r="A1424" s="30"/>
      <c r="B1424" s="31"/>
      <c r="C1424" s="32"/>
      <c r="D1424" s="33"/>
      <c r="E1424" s="34"/>
      <c r="F1424" s="34"/>
      <c r="G1424" s="35"/>
      <c r="H1424" s="34"/>
      <c r="I1424" s="37"/>
    </row>
    <row r="1425" ht="22.5" customHeight="1">
      <c r="A1425" s="30"/>
      <c r="B1425" s="31"/>
      <c r="C1425" s="32"/>
      <c r="D1425" s="33"/>
      <c r="E1425" s="34"/>
      <c r="F1425" s="34"/>
      <c r="G1425" s="35"/>
      <c r="H1425" s="34"/>
      <c r="I1425" s="37"/>
    </row>
    <row r="1426" ht="22.5" customHeight="1">
      <c r="A1426" s="30"/>
      <c r="B1426" s="31"/>
      <c r="C1426" s="32"/>
      <c r="D1426" s="33"/>
      <c r="E1426" s="34"/>
      <c r="F1426" s="34"/>
      <c r="G1426" s="35"/>
      <c r="H1426" s="34"/>
      <c r="I1426" s="37"/>
    </row>
    <row r="1427" ht="22.5" customHeight="1">
      <c r="A1427" s="30"/>
      <c r="B1427" s="31"/>
      <c r="C1427" s="32"/>
      <c r="D1427" s="33"/>
      <c r="E1427" s="34"/>
      <c r="F1427" s="34"/>
      <c r="G1427" s="35"/>
      <c r="H1427" s="34"/>
      <c r="I1427" s="37"/>
    </row>
    <row r="1428" ht="22.5" customHeight="1">
      <c r="A1428" s="30"/>
      <c r="B1428" s="31"/>
      <c r="C1428" s="32"/>
      <c r="D1428" s="33"/>
      <c r="E1428" s="34"/>
      <c r="F1428" s="34"/>
      <c r="G1428" s="35"/>
      <c r="H1428" s="34"/>
      <c r="I1428" s="37"/>
    </row>
    <row r="1429" ht="22.5" customHeight="1">
      <c r="A1429" s="30"/>
      <c r="B1429" s="31"/>
      <c r="C1429" s="32"/>
      <c r="D1429" s="33"/>
      <c r="E1429" s="34"/>
      <c r="F1429" s="34"/>
      <c r="G1429" s="35"/>
      <c r="H1429" s="34"/>
      <c r="I1429" s="37"/>
    </row>
    <row r="1430" ht="22.5" customHeight="1">
      <c r="A1430" s="30"/>
      <c r="B1430" s="31"/>
      <c r="C1430" s="32"/>
      <c r="D1430" s="33"/>
      <c r="E1430" s="34"/>
      <c r="F1430" s="34"/>
      <c r="G1430" s="35"/>
      <c r="H1430" s="34"/>
      <c r="I1430" s="37"/>
    </row>
    <row r="1431" ht="22.5" customHeight="1">
      <c r="A1431" s="30"/>
      <c r="B1431" s="31"/>
      <c r="C1431" s="32"/>
      <c r="D1431" s="33"/>
      <c r="E1431" s="34"/>
      <c r="F1431" s="34"/>
      <c r="G1431" s="35"/>
      <c r="H1431" s="34"/>
      <c r="I1431" s="37"/>
    </row>
    <row r="1432" ht="22.5" customHeight="1">
      <c r="A1432" s="30"/>
      <c r="B1432" s="31"/>
      <c r="C1432" s="32"/>
      <c r="D1432" s="33"/>
      <c r="E1432" s="34"/>
      <c r="F1432" s="34"/>
      <c r="G1432" s="35"/>
      <c r="H1432" s="34"/>
      <c r="I1432" s="37"/>
    </row>
    <row r="1433" ht="22.5" customHeight="1">
      <c r="A1433" s="30"/>
      <c r="B1433" s="31"/>
      <c r="C1433" s="32"/>
      <c r="D1433" s="33"/>
      <c r="E1433" s="34"/>
      <c r="F1433" s="34"/>
      <c r="G1433" s="35"/>
      <c r="H1433" s="34"/>
      <c r="I1433" s="37"/>
    </row>
    <row r="1434" ht="22.5" customHeight="1">
      <c r="A1434" s="30"/>
      <c r="B1434" s="31"/>
      <c r="C1434" s="32"/>
      <c r="D1434" s="33"/>
      <c r="E1434" s="34"/>
      <c r="F1434" s="34"/>
      <c r="G1434" s="35"/>
      <c r="H1434" s="34"/>
      <c r="I1434" s="37"/>
    </row>
    <row r="1435" ht="22.5" customHeight="1">
      <c r="A1435" s="30"/>
      <c r="B1435" s="31"/>
      <c r="C1435" s="32"/>
      <c r="D1435" s="33"/>
      <c r="E1435" s="34"/>
      <c r="F1435" s="34"/>
      <c r="G1435" s="35"/>
      <c r="H1435" s="34"/>
      <c r="I1435" s="37"/>
    </row>
    <row r="1436" ht="22.5" customHeight="1">
      <c r="A1436" s="30"/>
      <c r="B1436" s="31"/>
      <c r="C1436" s="32"/>
      <c r="D1436" s="33"/>
      <c r="E1436" s="34"/>
      <c r="F1436" s="34"/>
      <c r="G1436" s="35"/>
      <c r="H1436" s="34"/>
      <c r="I1436" s="37"/>
    </row>
    <row r="1437" ht="22.5" customHeight="1">
      <c r="A1437" s="30"/>
      <c r="B1437" s="31"/>
      <c r="C1437" s="32"/>
      <c r="D1437" s="33"/>
      <c r="E1437" s="34"/>
      <c r="F1437" s="34"/>
      <c r="G1437" s="35"/>
      <c r="H1437" s="34"/>
      <c r="I1437" s="37"/>
    </row>
    <row r="1438" ht="22.5" customHeight="1">
      <c r="A1438" s="30"/>
      <c r="B1438" s="31"/>
      <c r="C1438" s="32"/>
      <c r="D1438" s="33"/>
      <c r="E1438" s="34"/>
      <c r="F1438" s="34"/>
      <c r="G1438" s="35"/>
      <c r="H1438" s="34"/>
      <c r="I1438" s="37"/>
    </row>
    <row r="1439" ht="22.5" customHeight="1">
      <c r="A1439" s="30"/>
      <c r="B1439" s="31"/>
      <c r="C1439" s="32"/>
      <c r="D1439" s="33"/>
      <c r="E1439" s="34"/>
      <c r="F1439" s="34"/>
      <c r="G1439" s="35"/>
      <c r="H1439" s="34"/>
      <c r="I1439" s="37"/>
    </row>
    <row r="1440" ht="22.5" customHeight="1">
      <c r="A1440" s="30"/>
      <c r="B1440" s="31"/>
      <c r="C1440" s="32"/>
      <c r="D1440" s="33"/>
      <c r="E1440" s="34"/>
      <c r="F1440" s="34"/>
      <c r="G1440" s="35"/>
      <c r="H1440" s="34"/>
      <c r="I1440" s="37"/>
    </row>
    <row r="1441" ht="22.5" customHeight="1">
      <c r="A1441" s="30"/>
      <c r="B1441" s="31"/>
      <c r="C1441" s="32"/>
      <c r="D1441" s="33"/>
      <c r="E1441" s="34"/>
      <c r="F1441" s="34"/>
      <c r="G1441" s="35"/>
      <c r="H1441" s="34"/>
      <c r="I1441" s="37"/>
    </row>
    <row r="1442" ht="22.5" customHeight="1">
      <c r="A1442" s="30"/>
      <c r="B1442" s="31"/>
      <c r="C1442" s="32"/>
      <c r="D1442" s="33"/>
      <c r="E1442" s="34"/>
      <c r="F1442" s="34"/>
      <c r="G1442" s="35"/>
      <c r="H1442" s="34"/>
      <c r="I1442" s="37"/>
    </row>
    <row r="1443" ht="22.5" customHeight="1">
      <c r="A1443" s="30"/>
      <c r="B1443" s="31"/>
      <c r="C1443" s="32"/>
      <c r="D1443" s="33"/>
      <c r="E1443" s="34"/>
      <c r="F1443" s="34"/>
      <c r="G1443" s="35"/>
      <c r="H1443" s="34"/>
      <c r="I1443" s="37"/>
    </row>
    <row r="1444" ht="22.5" customHeight="1">
      <c r="A1444" s="30"/>
      <c r="B1444" s="31"/>
      <c r="C1444" s="32"/>
      <c r="D1444" s="33"/>
      <c r="E1444" s="34"/>
      <c r="F1444" s="34"/>
      <c r="G1444" s="35"/>
      <c r="H1444" s="34"/>
      <c r="I1444" s="37"/>
    </row>
    <row r="1445" ht="22.5" customHeight="1">
      <c r="A1445" s="30"/>
      <c r="B1445" s="40"/>
      <c r="C1445" s="32"/>
      <c r="D1445" s="33"/>
      <c r="E1445" s="34"/>
      <c r="F1445" s="34"/>
      <c r="G1445" s="35"/>
      <c r="H1445" s="34"/>
      <c r="I1445" s="37"/>
    </row>
    <row r="1446" ht="22.5" customHeight="1">
      <c r="A1446" s="30"/>
      <c r="B1446" s="31"/>
      <c r="C1446" s="32"/>
      <c r="D1446" s="33"/>
      <c r="E1446" s="34"/>
      <c r="F1446" s="34"/>
      <c r="G1446" s="35"/>
      <c r="H1446" s="34"/>
      <c r="I1446" s="37"/>
    </row>
    <row r="1447" ht="22.5" customHeight="1">
      <c r="A1447" s="30"/>
      <c r="B1447" s="31"/>
      <c r="C1447" s="32"/>
      <c r="D1447" s="33"/>
      <c r="E1447" s="34"/>
      <c r="F1447" s="34"/>
      <c r="G1447" s="35"/>
      <c r="H1447" s="34"/>
      <c r="I1447" s="37"/>
    </row>
    <row r="1448" ht="22.5" customHeight="1">
      <c r="A1448" s="30"/>
      <c r="B1448" s="31"/>
      <c r="C1448" s="32"/>
      <c r="D1448" s="33"/>
      <c r="E1448" s="34"/>
      <c r="F1448" s="34"/>
      <c r="G1448" s="35"/>
      <c r="H1448" s="34"/>
      <c r="I1448" s="37"/>
    </row>
    <row r="1449" ht="22.5" customHeight="1">
      <c r="A1449" s="30"/>
      <c r="B1449" s="31"/>
      <c r="C1449" s="32"/>
      <c r="D1449" s="33"/>
      <c r="E1449" s="34"/>
      <c r="F1449" s="34"/>
      <c r="G1449" s="35"/>
      <c r="H1449" s="34"/>
      <c r="I1449" s="38"/>
    </row>
    <row r="1450" ht="22.5" customHeight="1">
      <c r="A1450" s="30"/>
      <c r="B1450" s="39"/>
      <c r="C1450" s="32"/>
      <c r="D1450" s="33"/>
      <c r="E1450" s="34"/>
      <c r="F1450" s="34"/>
      <c r="G1450" s="35"/>
      <c r="H1450" s="34"/>
      <c r="I1450" s="37"/>
    </row>
    <row r="1451" ht="22.5" customHeight="1">
      <c r="A1451" s="30"/>
      <c r="B1451" s="31"/>
      <c r="C1451" s="32"/>
      <c r="D1451" s="33"/>
      <c r="E1451" s="34"/>
      <c r="F1451" s="34"/>
      <c r="G1451" s="35"/>
      <c r="H1451" s="34"/>
      <c r="I1451" s="37"/>
    </row>
    <row r="1452" ht="22.5" customHeight="1">
      <c r="A1452" s="30"/>
      <c r="B1452" s="31"/>
      <c r="C1452" s="32"/>
      <c r="D1452" s="33"/>
      <c r="E1452" s="34"/>
      <c r="F1452" s="34"/>
      <c r="G1452" s="35"/>
      <c r="H1452" s="34"/>
      <c r="I1452" s="37"/>
    </row>
    <row r="1453" ht="22.5" customHeight="1">
      <c r="A1453" s="30"/>
      <c r="B1453" s="31"/>
      <c r="C1453" s="32"/>
      <c r="D1453" s="33"/>
      <c r="E1453" s="34"/>
      <c r="F1453" s="34"/>
      <c r="G1453" s="35"/>
      <c r="H1453" s="34"/>
      <c r="I1453" s="37"/>
    </row>
    <row r="1454" ht="22.5" customHeight="1">
      <c r="A1454" s="30"/>
      <c r="B1454" s="39"/>
      <c r="C1454" s="32"/>
      <c r="D1454" s="33"/>
      <c r="E1454" s="34"/>
      <c r="F1454" s="34"/>
      <c r="G1454" s="35"/>
      <c r="H1454" s="34"/>
      <c r="I1454" s="37"/>
    </row>
    <row r="1455" ht="22.5" customHeight="1">
      <c r="A1455" s="30"/>
      <c r="B1455" s="31"/>
      <c r="C1455" s="32"/>
      <c r="D1455" s="33"/>
      <c r="E1455" s="34"/>
      <c r="F1455" s="34"/>
      <c r="G1455" s="35"/>
      <c r="H1455" s="34"/>
      <c r="I1455" s="37"/>
    </row>
    <row r="1456" ht="22.5" customHeight="1">
      <c r="A1456" s="30"/>
      <c r="B1456" s="39"/>
      <c r="C1456" s="32"/>
      <c r="D1456" s="33"/>
      <c r="E1456" s="34"/>
      <c r="F1456" s="34"/>
      <c r="G1456" s="35"/>
      <c r="H1456" s="34"/>
      <c r="I1456" s="37"/>
    </row>
    <row r="1457" ht="22.5" customHeight="1">
      <c r="A1457" s="30"/>
      <c r="B1457" s="31"/>
      <c r="C1457" s="32"/>
      <c r="D1457" s="33"/>
      <c r="E1457" s="34"/>
      <c r="F1457" s="34"/>
      <c r="G1457" s="35"/>
      <c r="H1457" s="34"/>
      <c r="I1457" s="37"/>
    </row>
    <row r="1458" ht="22.5" customHeight="1">
      <c r="A1458" s="30"/>
      <c r="B1458" s="31"/>
      <c r="C1458" s="32"/>
      <c r="D1458" s="33"/>
      <c r="E1458" s="34"/>
      <c r="F1458" s="34"/>
      <c r="G1458" s="35"/>
      <c r="H1458" s="34"/>
      <c r="I1458" s="37"/>
    </row>
    <row r="1459" ht="22.5" customHeight="1">
      <c r="A1459" s="30"/>
      <c r="B1459" s="31"/>
      <c r="C1459" s="32"/>
      <c r="D1459" s="33"/>
      <c r="E1459" s="34"/>
      <c r="F1459" s="34"/>
      <c r="G1459" s="35"/>
      <c r="H1459" s="34"/>
      <c r="I1459" s="37"/>
    </row>
    <row r="1460" ht="22.5" customHeight="1">
      <c r="A1460" s="30"/>
      <c r="B1460" s="31"/>
      <c r="C1460" s="32"/>
      <c r="D1460" s="33"/>
      <c r="E1460" s="34"/>
      <c r="F1460" s="34"/>
      <c r="G1460" s="35"/>
      <c r="H1460" s="34"/>
      <c r="I1460" s="37"/>
    </row>
    <row r="1461" ht="22.5" customHeight="1">
      <c r="A1461" s="30"/>
      <c r="B1461" s="31"/>
      <c r="C1461" s="32"/>
      <c r="D1461" s="33"/>
      <c r="E1461" s="34"/>
      <c r="F1461" s="34"/>
      <c r="G1461" s="35"/>
      <c r="H1461" s="34"/>
      <c r="I1461" s="37"/>
    </row>
    <row r="1462" ht="22.5" customHeight="1">
      <c r="A1462" s="30"/>
      <c r="B1462" s="31"/>
      <c r="C1462" s="32"/>
      <c r="D1462" s="33"/>
      <c r="E1462" s="34"/>
      <c r="F1462" s="34"/>
      <c r="G1462" s="35"/>
      <c r="H1462" s="34"/>
      <c r="I1462" s="37"/>
    </row>
    <row r="1463" ht="22.5" customHeight="1">
      <c r="A1463" s="30"/>
      <c r="B1463" s="31"/>
      <c r="C1463" s="32"/>
      <c r="D1463" s="33"/>
      <c r="E1463" s="34"/>
      <c r="F1463" s="34"/>
      <c r="G1463" s="35"/>
      <c r="H1463" s="34"/>
      <c r="I1463" s="37"/>
    </row>
    <row r="1464" ht="22.5" customHeight="1">
      <c r="A1464" s="30"/>
      <c r="B1464" s="31"/>
      <c r="C1464" s="32"/>
      <c r="D1464" s="33"/>
      <c r="E1464" s="34"/>
      <c r="F1464" s="34"/>
      <c r="G1464" s="35"/>
      <c r="H1464" s="34"/>
      <c r="I1464" s="37"/>
    </row>
    <row r="1465" ht="22.5" customHeight="1">
      <c r="A1465" s="30"/>
      <c r="B1465" s="31"/>
      <c r="C1465" s="32"/>
      <c r="D1465" s="33"/>
      <c r="E1465" s="34"/>
      <c r="F1465" s="34"/>
      <c r="G1465" s="35"/>
      <c r="H1465" s="34"/>
      <c r="I1465" s="37"/>
    </row>
    <row r="1466" ht="22.5" customHeight="1">
      <c r="A1466" s="30"/>
      <c r="B1466" s="31"/>
      <c r="C1466" s="32"/>
      <c r="D1466" s="33"/>
      <c r="E1466" s="34"/>
      <c r="F1466" s="34"/>
      <c r="G1466" s="35"/>
      <c r="H1466" s="34"/>
      <c r="I1466" s="37"/>
    </row>
    <row r="1467" ht="22.5" customHeight="1">
      <c r="A1467" s="30"/>
      <c r="B1467" s="40"/>
      <c r="C1467" s="32"/>
      <c r="D1467" s="33"/>
      <c r="E1467" s="34"/>
      <c r="F1467" s="34"/>
      <c r="G1467" s="35"/>
      <c r="H1467" s="34"/>
      <c r="I1467" s="37"/>
    </row>
    <row r="1468" ht="22.5" customHeight="1">
      <c r="A1468" s="30"/>
      <c r="B1468" s="31"/>
      <c r="C1468" s="32"/>
      <c r="D1468" s="33"/>
      <c r="E1468" s="34"/>
      <c r="F1468" s="34"/>
      <c r="G1468" s="35"/>
      <c r="H1468" s="34"/>
      <c r="I1468" s="37"/>
    </row>
    <row r="1469" ht="22.5" customHeight="1">
      <c r="A1469" s="30"/>
      <c r="B1469" s="31"/>
      <c r="C1469" s="32"/>
      <c r="D1469" s="33"/>
      <c r="E1469" s="34"/>
      <c r="F1469" s="34"/>
      <c r="G1469" s="35"/>
      <c r="H1469" s="34"/>
      <c r="I1469" s="37"/>
    </row>
    <row r="1470" ht="22.5" customHeight="1">
      <c r="A1470" s="30"/>
      <c r="B1470" s="31"/>
      <c r="C1470" s="32"/>
      <c r="D1470" s="33"/>
      <c r="E1470" s="34"/>
      <c r="F1470" s="34"/>
      <c r="G1470" s="35"/>
      <c r="H1470" s="34"/>
      <c r="I1470" s="37"/>
    </row>
    <row r="1471" ht="22.5" customHeight="1">
      <c r="A1471" s="30"/>
      <c r="B1471" s="31"/>
      <c r="C1471" s="32"/>
      <c r="D1471" s="33"/>
      <c r="E1471" s="34"/>
      <c r="F1471" s="34"/>
      <c r="G1471" s="35"/>
      <c r="H1471" s="34"/>
      <c r="I1471" s="37"/>
    </row>
    <row r="1472" ht="22.5" customHeight="1">
      <c r="A1472" s="30"/>
      <c r="B1472" s="31"/>
      <c r="C1472" s="32"/>
      <c r="D1472" s="33"/>
      <c r="E1472" s="34"/>
      <c r="F1472" s="34"/>
      <c r="G1472" s="35"/>
      <c r="H1472" s="34"/>
      <c r="I1472" s="37"/>
    </row>
    <row r="1473" ht="22.5" customHeight="1">
      <c r="A1473" s="30"/>
      <c r="B1473" s="31"/>
      <c r="C1473" s="32"/>
      <c r="D1473" s="33"/>
      <c r="E1473" s="34"/>
      <c r="F1473" s="34"/>
      <c r="G1473" s="35"/>
      <c r="H1473" s="34"/>
      <c r="I1473" s="37"/>
    </row>
    <row r="1474" ht="22.5" customHeight="1">
      <c r="A1474" s="30"/>
      <c r="B1474" s="39"/>
      <c r="C1474" s="32"/>
      <c r="D1474" s="33"/>
      <c r="E1474" s="34"/>
      <c r="F1474" s="34"/>
      <c r="G1474" s="35"/>
      <c r="H1474" s="34"/>
      <c r="I1474" s="37"/>
    </row>
    <row r="1475" ht="22.5" customHeight="1">
      <c r="A1475" s="30"/>
      <c r="B1475" s="39"/>
      <c r="C1475" s="32"/>
      <c r="D1475" s="33"/>
      <c r="E1475" s="34"/>
      <c r="F1475" s="34"/>
      <c r="G1475" s="35"/>
      <c r="H1475" s="34"/>
      <c r="I1475" s="37"/>
    </row>
    <row r="1476" ht="22.5" customHeight="1">
      <c r="A1476" s="30"/>
      <c r="B1476" s="39"/>
      <c r="C1476" s="32"/>
      <c r="D1476" s="33"/>
      <c r="E1476" s="34"/>
      <c r="F1476" s="34"/>
      <c r="G1476" s="35"/>
      <c r="H1476" s="34"/>
      <c r="I1476" s="37"/>
    </row>
    <row r="1477" ht="22.5" customHeight="1">
      <c r="A1477" s="30"/>
      <c r="B1477" s="40"/>
      <c r="C1477" s="32"/>
      <c r="D1477" s="33"/>
      <c r="E1477" s="34"/>
      <c r="F1477" s="34"/>
      <c r="G1477" s="35"/>
      <c r="H1477" s="34"/>
      <c r="I1477" s="37"/>
    </row>
    <row r="1478" ht="22.5" customHeight="1">
      <c r="A1478" s="30"/>
      <c r="B1478" s="31"/>
      <c r="C1478" s="32"/>
      <c r="D1478" s="33"/>
      <c r="E1478" s="34"/>
      <c r="F1478" s="34"/>
      <c r="G1478" s="35"/>
      <c r="H1478" s="34"/>
      <c r="I1478" s="37"/>
    </row>
    <row r="1479" ht="22.5" customHeight="1">
      <c r="A1479" s="30"/>
      <c r="B1479" s="31"/>
      <c r="C1479" s="32"/>
      <c r="D1479" s="33"/>
      <c r="E1479" s="34"/>
      <c r="F1479" s="34"/>
      <c r="G1479" s="35"/>
      <c r="H1479" s="34"/>
      <c r="I1479" s="37"/>
    </row>
    <row r="1480" ht="22.5" customHeight="1">
      <c r="A1480" s="30"/>
      <c r="B1480" s="31"/>
      <c r="C1480" s="32"/>
      <c r="D1480" s="33"/>
      <c r="E1480" s="34"/>
      <c r="F1480" s="34"/>
      <c r="G1480" s="35"/>
      <c r="H1480" s="34"/>
      <c r="I1480" s="37"/>
    </row>
    <row r="1481" ht="22.5" customHeight="1">
      <c r="A1481" s="30"/>
      <c r="B1481" s="31"/>
      <c r="C1481" s="32"/>
      <c r="D1481" s="33"/>
      <c r="E1481" s="34"/>
      <c r="F1481" s="34"/>
      <c r="G1481" s="35"/>
      <c r="H1481" s="34"/>
      <c r="I1481" s="37"/>
    </row>
    <row r="1482" ht="22.5" customHeight="1">
      <c r="A1482" s="30"/>
      <c r="B1482" s="31"/>
      <c r="C1482" s="32"/>
      <c r="D1482" s="33"/>
      <c r="E1482" s="34"/>
      <c r="F1482" s="34"/>
      <c r="G1482" s="35"/>
      <c r="H1482" s="34"/>
      <c r="I1482" s="37"/>
    </row>
    <row r="1483" ht="22.5" customHeight="1">
      <c r="A1483" s="30"/>
      <c r="B1483" s="31"/>
      <c r="C1483" s="32"/>
      <c r="D1483" s="33"/>
      <c r="E1483" s="34"/>
      <c r="F1483" s="34"/>
      <c r="G1483" s="35"/>
      <c r="H1483" s="34"/>
      <c r="I1483" s="37"/>
    </row>
    <row r="1484" ht="22.5" customHeight="1">
      <c r="A1484" s="30"/>
      <c r="B1484" s="31"/>
      <c r="C1484" s="32"/>
      <c r="D1484" s="33"/>
      <c r="E1484" s="34"/>
      <c r="F1484" s="34"/>
      <c r="G1484" s="35"/>
      <c r="H1484" s="34"/>
      <c r="I1484" s="37"/>
    </row>
    <row r="1485" ht="22.5" customHeight="1">
      <c r="A1485" s="30"/>
      <c r="B1485" s="31"/>
      <c r="C1485" s="32"/>
      <c r="D1485" s="33"/>
      <c r="E1485" s="34"/>
      <c r="F1485" s="34"/>
      <c r="G1485" s="35"/>
      <c r="H1485" s="34"/>
      <c r="I1485" s="37"/>
    </row>
    <row r="1486" ht="22.5" customHeight="1">
      <c r="A1486" s="30"/>
      <c r="B1486" s="31"/>
      <c r="C1486" s="32"/>
      <c r="D1486" s="33"/>
      <c r="E1486" s="34"/>
      <c r="F1486" s="34"/>
      <c r="G1486" s="35"/>
      <c r="H1486" s="34"/>
      <c r="I1486" s="37"/>
    </row>
    <row r="1487" ht="22.5" customHeight="1">
      <c r="A1487" s="30"/>
      <c r="B1487" s="40"/>
      <c r="C1487" s="32"/>
      <c r="D1487" s="33"/>
      <c r="E1487" s="34"/>
      <c r="F1487" s="34"/>
      <c r="G1487" s="35"/>
      <c r="H1487" s="34"/>
      <c r="I1487" s="37"/>
    </row>
    <row r="1488" ht="22.5" customHeight="1">
      <c r="A1488" s="30"/>
      <c r="B1488" s="31"/>
      <c r="C1488" s="32"/>
      <c r="D1488" s="33"/>
      <c r="E1488" s="34"/>
      <c r="F1488" s="34"/>
      <c r="G1488" s="35"/>
      <c r="H1488" s="34"/>
      <c r="I1488" s="37"/>
    </row>
    <row r="1489" ht="22.5" customHeight="1">
      <c r="A1489" s="30"/>
      <c r="B1489" s="31"/>
      <c r="C1489" s="32"/>
      <c r="D1489" s="33"/>
      <c r="E1489" s="34"/>
      <c r="F1489" s="34"/>
      <c r="G1489" s="35"/>
      <c r="H1489" s="34"/>
      <c r="I1489" s="37"/>
    </row>
    <row r="1490" ht="22.5" customHeight="1">
      <c r="A1490" s="30"/>
      <c r="B1490" s="31"/>
      <c r="C1490" s="32"/>
      <c r="D1490" s="33"/>
      <c r="E1490" s="34"/>
      <c r="F1490" s="34"/>
      <c r="G1490" s="35"/>
      <c r="H1490" s="34"/>
      <c r="I1490" s="37"/>
    </row>
    <row r="1491" ht="22.5" customHeight="1">
      <c r="A1491" s="30"/>
      <c r="B1491" s="40"/>
      <c r="C1491" s="32"/>
      <c r="D1491" s="33"/>
      <c r="E1491" s="34"/>
      <c r="F1491" s="34"/>
      <c r="G1491" s="35"/>
      <c r="H1491" s="34"/>
      <c r="I1491" s="37"/>
    </row>
    <row r="1492" ht="22.5" customHeight="1">
      <c r="A1492" s="30"/>
      <c r="B1492" s="31"/>
      <c r="C1492" s="32"/>
      <c r="D1492" s="33"/>
      <c r="E1492" s="34"/>
      <c r="F1492" s="34"/>
      <c r="G1492" s="35"/>
      <c r="H1492" s="34"/>
      <c r="I1492" s="37"/>
    </row>
    <row r="1493" ht="22.5" customHeight="1">
      <c r="A1493" s="30"/>
      <c r="B1493" s="31"/>
      <c r="C1493" s="32"/>
      <c r="D1493" s="33"/>
      <c r="E1493" s="34"/>
      <c r="F1493" s="34"/>
      <c r="G1493" s="35"/>
      <c r="H1493" s="34"/>
      <c r="I1493" s="37"/>
    </row>
    <row r="1494" ht="22.5" customHeight="1">
      <c r="A1494" s="30"/>
      <c r="B1494" s="31"/>
      <c r="C1494" s="32"/>
      <c r="D1494" s="33"/>
      <c r="E1494" s="34"/>
      <c r="F1494" s="34"/>
      <c r="G1494" s="35"/>
      <c r="H1494" s="34"/>
      <c r="I1494" s="37"/>
    </row>
    <row r="1495" ht="22.5" customHeight="1">
      <c r="A1495" s="30"/>
      <c r="B1495" s="31"/>
      <c r="C1495" s="32"/>
      <c r="D1495" s="33"/>
      <c r="E1495" s="34"/>
      <c r="F1495" s="34"/>
      <c r="G1495" s="35"/>
      <c r="H1495" s="34"/>
      <c r="I1495" s="37"/>
    </row>
    <row r="1496" ht="22.5" customHeight="1">
      <c r="A1496" s="30"/>
      <c r="B1496" s="31"/>
      <c r="C1496" s="32"/>
      <c r="D1496" s="33"/>
      <c r="E1496" s="34"/>
      <c r="F1496" s="34"/>
      <c r="G1496" s="35"/>
      <c r="H1496" s="34"/>
      <c r="I1496" s="37"/>
    </row>
    <row r="1497" ht="22.5" customHeight="1">
      <c r="A1497" s="30"/>
      <c r="B1497" s="31"/>
      <c r="C1497" s="32"/>
      <c r="D1497" s="33"/>
      <c r="E1497" s="34"/>
      <c r="F1497" s="34"/>
      <c r="G1497" s="35"/>
      <c r="H1497" s="34"/>
      <c r="I1497" s="37"/>
    </row>
    <row r="1498" ht="22.5" customHeight="1">
      <c r="A1498" s="30"/>
      <c r="B1498" s="31"/>
      <c r="C1498" s="32"/>
      <c r="D1498" s="33"/>
      <c r="E1498" s="34"/>
      <c r="F1498" s="34"/>
      <c r="G1498" s="35"/>
      <c r="H1498" s="34"/>
      <c r="I1498" s="37"/>
    </row>
    <row r="1499" ht="22.5" customHeight="1">
      <c r="A1499" s="30"/>
      <c r="B1499" s="31"/>
      <c r="C1499" s="32"/>
      <c r="D1499" s="33"/>
      <c r="E1499" s="34"/>
      <c r="F1499" s="34"/>
      <c r="G1499" s="35"/>
      <c r="H1499" s="34"/>
      <c r="I1499" s="37"/>
    </row>
    <row r="1500" ht="22.5" customHeight="1">
      <c r="A1500" s="30"/>
      <c r="B1500" s="31"/>
      <c r="C1500" s="32"/>
      <c r="D1500" s="33"/>
      <c r="E1500" s="34"/>
      <c r="F1500" s="34"/>
      <c r="G1500" s="35"/>
      <c r="H1500" s="34"/>
      <c r="I1500" s="37"/>
    </row>
    <row r="1501" ht="22.5" customHeight="1">
      <c r="A1501" s="30"/>
      <c r="B1501" s="31"/>
      <c r="C1501" s="32"/>
      <c r="D1501" s="33"/>
      <c r="E1501" s="34"/>
      <c r="F1501" s="34"/>
      <c r="G1501" s="35"/>
      <c r="H1501" s="34"/>
      <c r="I1501" s="37"/>
    </row>
    <row r="1502" ht="22.5" customHeight="1">
      <c r="A1502" s="30"/>
      <c r="B1502" s="31"/>
      <c r="C1502" s="32"/>
      <c r="D1502" s="33"/>
      <c r="E1502" s="34"/>
      <c r="F1502" s="34"/>
      <c r="G1502" s="35"/>
      <c r="H1502" s="34"/>
      <c r="I1502" s="37"/>
    </row>
    <row r="1503" ht="22.5" customHeight="1">
      <c r="A1503" s="30"/>
      <c r="B1503" s="31"/>
      <c r="C1503" s="32"/>
      <c r="D1503" s="33"/>
      <c r="E1503" s="34"/>
      <c r="F1503" s="34"/>
      <c r="G1503" s="35"/>
      <c r="H1503" s="34"/>
      <c r="I1503" s="37"/>
    </row>
    <row r="1504" ht="22.5" customHeight="1">
      <c r="A1504" s="30"/>
      <c r="B1504" s="31"/>
      <c r="C1504" s="32"/>
      <c r="D1504" s="33"/>
      <c r="E1504" s="34"/>
      <c r="F1504" s="34"/>
      <c r="G1504" s="35"/>
      <c r="H1504" s="34"/>
      <c r="I1504" s="37"/>
    </row>
    <row r="1505" ht="22.5" customHeight="1">
      <c r="A1505" s="30"/>
      <c r="B1505" s="31"/>
      <c r="C1505" s="32"/>
      <c r="D1505" s="33"/>
      <c r="E1505" s="34"/>
      <c r="F1505" s="34"/>
      <c r="G1505" s="35"/>
      <c r="H1505" s="34"/>
      <c r="I1505" s="37"/>
    </row>
    <row r="1506" ht="22.5" customHeight="1">
      <c r="A1506" s="30"/>
      <c r="B1506" s="40"/>
      <c r="C1506" s="32"/>
      <c r="D1506" s="33"/>
      <c r="E1506" s="34"/>
      <c r="F1506" s="34"/>
      <c r="G1506" s="35"/>
      <c r="H1506" s="34"/>
      <c r="I1506" s="37"/>
    </row>
    <row r="1507" ht="22.5" customHeight="1">
      <c r="A1507" s="30"/>
      <c r="B1507" s="31"/>
      <c r="C1507" s="32"/>
      <c r="D1507" s="33"/>
      <c r="E1507" s="34"/>
      <c r="F1507" s="34"/>
      <c r="G1507" s="35"/>
      <c r="H1507" s="34"/>
      <c r="I1507" s="37"/>
    </row>
    <row r="1508" ht="22.5" customHeight="1">
      <c r="A1508" s="30"/>
      <c r="B1508" s="40"/>
      <c r="C1508" s="32"/>
      <c r="D1508" s="33"/>
      <c r="E1508" s="34"/>
      <c r="F1508" s="34"/>
      <c r="G1508" s="35"/>
      <c r="H1508" s="34"/>
      <c r="I1508" s="37"/>
    </row>
    <row r="1509" ht="22.5" customHeight="1">
      <c r="A1509" s="30"/>
      <c r="B1509" s="31"/>
      <c r="C1509" s="32"/>
      <c r="D1509" s="33"/>
      <c r="E1509" s="34"/>
      <c r="F1509" s="34"/>
      <c r="G1509" s="35"/>
      <c r="H1509" s="34"/>
      <c r="I1509" s="37"/>
    </row>
    <row r="1510" ht="22.5" customHeight="1">
      <c r="A1510" s="30"/>
      <c r="B1510" s="31"/>
      <c r="C1510" s="32"/>
      <c r="D1510" s="33"/>
      <c r="E1510" s="34"/>
      <c r="F1510" s="34"/>
      <c r="G1510" s="35"/>
      <c r="H1510" s="34"/>
      <c r="I1510" s="37"/>
    </row>
    <row r="1511" ht="22.5" customHeight="1">
      <c r="A1511" s="30"/>
      <c r="B1511" s="31"/>
      <c r="C1511" s="32"/>
      <c r="D1511" s="33"/>
      <c r="E1511" s="34"/>
      <c r="F1511" s="34"/>
      <c r="G1511" s="35"/>
      <c r="H1511" s="34"/>
      <c r="I1511" s="37"/>
    </row>
    <row r="1512" ht="22.5" customHeight="1">
      <c r="A1512" s="30"/>
      <c r="B1512" s="31"/>
      <c r="C1512" s="32"/>
      <c r="D1512" s="33"/>
      <c r="E1512" s="34"/>
      <c r="F1512" s="34"/>
      <c r="G1512" s="35"/>
      <c r="H1512" s="34"/>
      <c r="I1512" s="37"/>
    </row>
    <row r="1513" ht="22.5" customHeight="1">
      <c r="A1513" s="30"/>
      <c r="B1513" s="40"/>
      <c r="C1513" s="32"/>
      <c r="D1513" s="33"/>
      <c r="E1513" s="34"/>
      <c r="F1513" s="34"/>
      <c r="G1513" s="35"/>
      <c r="H1513" s="34"/>
      <c r="I1513" s="37"/>
    </row>
    <row r="1514" ht="22.5" customHeight="1">
      <c r="A1514" s="30"/>
      <c r="B1514" s="31"/>
      <c r="C1514" s="32"/>
      <c r="D1514" s="33"/>
      <c r="E1514" s="34"/>
      <c r="F1514" s="34"/>
      <c r="G1514" s="35"/>
      <c r="H1514" s="34"/>
      <c r="I1514" s="37"/>
    </row>
    <row r="1515" ht="22.5" customHeight="1">
      <c r="A1515" s="30"/>
      <c r="B1515" s="31"/>
      <c r="C1515" s="32"/>
      <c r="D1515" s="33"/>
      <c r="E1515" s="34"/>
      <c r="F1515" s="34"/>
      <c r="G1515" s="35"/>
      <c r="H1515" s="34"/>
      <c r="I1515" s="37"/>
    </row>
    <row r="1516" ht="22.5" customHeight="1">
      <c r="A1516" s="30"/>
      <c r="B1516" s="31"/>
      <c r="C1516" s="32"/>
      <c r="D1516" s="33"/>
      <c r="E1516" s="34"/>
      <c r="F1516" s="34"/>
      <c r="G1516" s="35"/>
      <c r="H1516" s="34"/>
      <c r="I1516" s="37"/>
    </row>
    <row r="1517" ht="22.5" customHeight="1">
      <c r="A1517" s="30"/>
      <c r="B1517" s="31"/>
      <c r="C1517" s="32"/>
      <c r="D1517" s="33"/>
      <c r="E1517" s="34"/>
      <c r="F1517" s="34"/>
      <c r="G1517" s="35"/>
      <c r="H1517" s="34"/>
      <c r="I1517" s="37"/>
    </row>
    <row r="1518" ht="22.5" customHeight="1">
      <c r="A1518" s="30"/>
      <c r="B1518" s="31"/>
      <c r="C1518" s="32"/>
      <c r="D1518" s="33"/>
      <c r="E1518" s="34"/>
      <c r="F1518" s="34"/>
      <c r="G1518" s="35"/>
      <c r="H1518" s="34"/>
      <c r="I1518" s="37"/>
    </row>
    <row r="1519" ht="22.5" customHeight="1">
      <c r="A1519" s="30"/>
      <c r="B1519" s="31"/>
      <c r="C1519" s="32"/>
      <c r="D1519" s="33"/>
      <c r="E1519" s="34"/>
      <c r="F1519" s="34"/>
      <c r="G1519" s="35"/>
      <c r="H1519" s="34"/>
      <c r="I1519" s="37"/>
    </row>
    <row r="1520" ht="22.5" customHeight="1">
      <c r="A1520" s="30"/>
      <c r="B1520" s="31"/>
      <c r="C1520" s="32"/>
      <c r="D1520" s="33"/>
      <c r="E1520" s="34"/>
      <c r="F1520" s="34"/>
      <c r="G1520" s="35"/>
      <c r="H1520" s="34"/>
      <c r="I1520" s="37"/>
    </row>
    <row r="1521" ht="22.5" customHeight="1">
      <c r="A1521" s="30"/>
      <c r="B1521" s="31"/>
      <c r="C1521" s="32"/>
      <c r="D1521" s="33"/>
      <c r="E1521" s="34"/>
      <c r="F1521" s="34"/>
      <c r="G1521" s="35"/>
      <c r="H1521" s="34"/>
      <c r="I1521" s="37"/>
    </row>
    <row r="1522" ht="22.5" customHeight="1">
      <c r="A1522" s="30"/>
      <c r="B1522" s="31"/>
      <c r="C1522" s="32"/>
      <c r="D1522" s="33"/>
      <c r="E1522" s="34"/>
      <c r="F1522" s="34"/>
      <c r="G1522" s="35"/>
      <c r="H1522" s="34"/>
      <c r="I1522" s="37"/>
    </row>
    <row r="1523" ht="22.5" customHeight="1">
      <c r="A1523" s="30"/>
      <c r="B1523" s="31"/>
      <c r="C1523" s="32"/>
      <c r="D1523" s="33"/>
      <c r="E1523" s="34"/>
      <c r="F1523" s="34"/>
      <c r="G1523" s="35"/>
      <c r="H1523" s="34"/>
      <c r="I1523" s="37"/>
    </row>
    <row r="1524" ht="22.5" customHeight="1">
      <c r="A1524" s="30"/>
      <c r="B1524" s="31"/>
      <c r="C1524" s="32"/>
      <c r="D1524" s="33"/>
      <c r="E1524" s="34"/>
      <c r="F1524" s="34"/>
      <c r="G1524" s="35"/>
      <c r="H1524" s="34"/>
      <c r="I1524" s="37"/>
    </row>
    <row r="1525" ht="22.5" customHeight="1">
      <c r="A1525" s="30"/>
      <c r="B1525" s="31"/>
      <c r="C1525" s="32"/>
      <c r="D1525" s="33"/>
      <c r="E1525" s="34"/>
      <c r="F1525" s="34"/>
      <c r="G1525" s="35"/>
      <c r="H1525" s="34"/>
      <c r="I1525" s="37"/>
    </row>
    <row r="1526" ht="22.5" customHeight="1">
      <c r="A1526" s="30"/>
      <c r="B1526" s="31"/>
      <c r="C1526" s="32"/>
      <c r="D1526" s="33"/>
      <c r="E1526" s="34"/>
      <c r="F1526" s="34"/>
      <c r="G1526" s="35"/>
      <c r="H1526" s="34"/>
      <c r="I1526" s="37"/>
    </row>
    <row r="1527" ht="22.5" customHeight="1">
      <c r="A1527" s="30"/>
      <c r="B1527" s="31"/>
      <c r="C1527" s="32"/>
      <c r="D1527" s="33"/>
      <c r="E1527" s="34"/>
      <c r="F1527" s="34"/>
      <c r="G1527" s="35"/>
      <c r="H1527" s="34"/>
      <c r="I1527" s="37"/>
    </row>
    <row r="1528" ht="22.5" customHeight="1">
      <c r="A1528" s="30"/>
      <c r="B1528" s="31"/>
      <c r="C1528" s="32"/>
      <c r="D1528" s="33"/>
      <c r="E1528" s="34"/>
      <c r="F1528" s="34"/>
      <c r="G1528" s="35"/>
      <c r="H1528" s="34"/>
      <c r="I1528" s="37"/>
    </row>
    <row r="1529" ht="22.5" customHeight="1">
      <c r="A1529" s="30"/>
      <c r="B1529" s="31"/>
      <c r="C1529" s="32"/>
      <c r="D1529" s="33"/>
      <c r="E1529" s="34"/>
      <c r="F1529" s="34"/>
      <c r="G1529" s="35"/>
      <c r="H1529" s="34"/>
      <c r="I1529" s="37"/>
    </row>
    <row r="1530" ht="22.5" customHeight="1">
      <c r="A1530" s="30"/>
      <c r="B1530" s="31"/>
      <c r="C1530" s="32"/>
      <c r="D1530" s="33"/>
      <c r="E1530" s="34"/>
      <c r="F1530" s="34"/>
      <c r="G1530" s="35"/>
      <c r="H1530" s="34"/>
      <c r="I1530" s="37"/>
    </row>
    <row r="1531" ht="22.5" customHeight="1">
      <c r="A1531" s="30"/>
      <c r="B1531" s="31"/>
      <c r="C1531" s="32"/>
      <c r="D1531" s="33"/>
      <c r="E1531" s="34"/>
      <c r="F1531" s="34"/>
      <c r="G1531" s="35"/>
      <c r="H1531" s="34"/>
      <c r="I1531" s="37"/>
    </row>
    <row r="1532" ht="22.5" customHeight="1">
      <c r="A1532" s="30"/>
      <c r="B1532" s="31"/>
      <c r="C1532" s="32"/>
      <c r="D1532" s="33"/>
      <c r="E1532" s="34"/>
      <c r="F1532" s="34"/>
      <c r="G1532" s="35"/>
      <c r="H1532" s="34"/>
      <c r="I1532" s="37"/>
    </row>
    <row r="1533" ht="22.5" customHeight="1">
      <c r="A1533" s="30"/>
      <c r="B1533" s="31"/>
      <c r="C1533" s="32"/>
      <c r="D1533" s="33"/>
      <c r="E1533" s="34"/>
      <c r="F1533" s="34"/>
      <c r="G1533" s="35"/>
      <c r="H1533" s="34"/>
      <c r="I1533" s="37"/>
    </row>
    <row r="1534" ht="22.5" customHeight="1">
      <c r="A1534" s="30"/>
      <c r="B1534" s="31"/>
      <c r="C1534" s="32"/>
      <c r="D1534" s="33"/>
      <c r="E1534" s="34"/>
      <c r="F1534" s="34"/>
      <c r="G1534" s="35"/>
      <c r="H1534" s="34"/>
      <c r="I1534" s="37"/>
    </row>
    <row r="1535" ht="22.5" customHeight="1">
      <c r="A1535" s="30"/>
      <c r="B1535" s="40"/>
      <c r="C1535" s="32"/>
      <c r="D1535" s="33"/>
      <c r="E1535" s="34"/>
      <c r="F1535" s="34"/>
      <c r="G1535" s="35"/>
      <c r="H1535" s="34"/>
      <c r="I1535" s="37"/>
    </row>
    <row r="1536" ht="22.5" customHeight="1">
      <c r="A1536" s="30"/>
      <c r="B1536" s="31"/>
      <c r="C1536" s="32"/>
      <c r="D1536" s="33"/>
      <c r="E1536" s="34"/>
      <c r="F1536" s="34"/>
      <c r="G1536" s="35"/>
      <c r="H1536" s="34"/>
      <c r="I1536" s="37"/>
    </row>
    <row r="1537" ht="22.5" customHeight="1">
      <c r="A1537" s="30"/>
      <c r="B1537" s="31"/>
      <c r="C1537" s="32"/>
      <c r="D1537" s="33"/>
      <c r="E1537" s="34"/>
      <c r="F1537" s="34"/>
      <c r="G1537" s="35"/>
      <c r="H1537" s="34"/>
      <c r="I1537" s="37"/>
    </row>
    <row r="1538" ht="22.5" customHeight="1">
      <c r="A1538" s="30"/>
      <c r="B1538" s="31"/>
      <c r="C1538" s="32"/>
      <c r="D1538" s="33"/>
      <c r="E1538" s="34"/>
      <c r="F1538" s="34"/>
      <c r="G1538" s="35"/>
      <c r="H1538" s="34"/>
      <c r="I1538" s="37"/>
    </row>
    <row r="1539" ht="22.5" customHeight="1">
      <c r="A1539" s="30"/>
      <c r="B1539" s="31"/>
      <c r="C1539" s="32"/>
      <c r="D1539" s="33"/>
      <c r="E1539" s="34"/>
      <c r="F1539" s="34"/>
      <c r="G1539" s="35"/>
      <c r="H1539" s="34"/>
      <c r="I1539" s="38"/>
    </row>
    <row r="1540" ht="22.5" customHeight="1">
      <c r="A1540" s="30"/>
      <c r="B1540" s="39"/>
      <c r="C1540" s="32"/>
      <c r="D1540" s="33"/>
      <c r="E1540" s="34"/>
      <c r="F1540" s="34"/>
      <c r="G1540" s="35"/>
      <c r="H1540" s="34"/>
      <c r="I1540" s="37"/>
    </row>
    <row r="1541" ht="22.5" customHeight="1">
      <c r="A1541" s="30"/>
      <c r="B1541" s="31"/>
      <c r="C1541" s="32"/>
      <c r="D1541" s="33"/>
      <c r="E1541" s="34"/>
      <c r="F1541" s="34"/>
      <c r="G1541" s="35"/>
      <c r="H1541" s="34"/>
      <c r="I1541" s="37"/>
    </row>
    <row r="1542" ht="22.5" customHeight="1">
      <c r="A1542" s="30"/>
      <c r="B1542" s="31"/>
      <c r="C1542" s="32"/>
      <c r="D1542" s="33"/>
      <c r="E1542" s="34"/>
      <c r="F1542" s="34"/>
      <c r="G1542" s="35"/>
      <c r="H1542" s="34"/>
      <c r="I1542" s="37"/>
    </row>
    <row r="1543" ht="22.5" customHeight="1">
      <c r="A1543" s="30"/>
      <c r="B1543" s="31"/>
      <c r="C1543" s="32"/>
      <c r="D1543" s="33"/>
      <c r="E1543" s="34"/>
      <c r="F1543" s="34"/>
      <c r="G1543" s="35"/>
      <c r="H1543" s="34"/>
      <c r="I1543" s="37"/>
    </row>
    <row r="1544" ht="22.5" customHeight="1">
      <c r="A1544" s="30"/>
      <c r="B1544" s="39"/>
      <c r="C1544" s="32"/>
      <c r="D1544" s="33"/>
      <c r="E1544" s="34"/>
      <c r="F1544" s="34"/>
      <c r="G1544" s="35"/>
      <c r="H1544" s="34"/>
      <c r="I1544" s="37"/>
    </row>
    <row r="1545" ht="22.5" customHeight="1">
      <c r="A1545" s="30"/>
      <c r="B1545" s="31"/>
      <c r="C1545" s="32"/>
      <c r="D1545" s="33"/>
      <c r="E1545" s="34"/>
      <c r="F1545" s="34"/>
      <c r="G1545" s="35"/>
      <c r="H1545" s="34"/>
      <c r="I1545" s="37"/>
    </row>
    <row r="1546" ht="22.5" customHeight="1">
      <c r="A1546" s="30"/>
      <c r="B1546" s="39"/>
      <c r="C1546" s="32"/>
      <c r="D1546" s="33"/>
      <c r="E1546" s="34"/>
      <c r="F1546" s="34"/>
      <c r="G1546" s="35"/>
      <c r="H1546" s="34"/>
      <c r="I1546" s="37"/>
    </row>
    <row r="1547" ht="22.5" customHeight="1">
      <c r="A1547" s="30"/>
      <c r="B1547" s="31"/>
      <c r="C1547" s="32"/>
      <c r="D1547" s="33"/>
      <c r="E1547" s="34"/>
      <c r="F1547" s="34"/>
      <c r="G1547" s="35"/>
      <c r="H1547" s="34"/>
      <c r="I1547" s="37"/>
    </row>
    <row r="1548" ht="22.5" customHeight="1">
      <c r="A1548" s="30"/>
      <c r="B1548" s="31"/>
      <c r="C1548" s="32"/>
      <c r="D1548" s="33"/>
      <c r="E1548" s="34"/>
      <c r="F1548" s="34"/>
      <c r="G1548" s="35"/>
      <c r="H1548" s="34"/>
      <c r="I1548" s="37"/>
    </row>
    <row r="1549" ht="22.5" customHeight="1">
      <c r="A1549" s="30"/>
      <c r="B1549" s="31"/>
      <c r="C1549" s="32"/>
      <c r="D1549" s="33"/>
      <c r="E1549" s="34"/>
      <c r="F1549" s="34"/>
      <c r="G1549" s="35"/>
      <c r="H1549" s="34"/>
      <c r="I1549" s="37"/>
    </row>
    <row r="1550" ht="22.5" customHeight="1">
      <c r="A1550" s="30"/>
      <c r="B1550" s="31"/>
      <c r="C1550" s="32"/>
      <c r="D1550" s="33"/>
      <c r="E1550" s="34"/>
      <c r="F1550" s="34"/>
      <c r="G1550" s="35"/>
      <c r="H1550" s="34"/>
      <c r="I1550" s="37"/>
    </row>
    <row r="1551" ht="22.5" customHeight="1">
      <c r="A1551" s="30"/>
      <c r="B1551" s="31"/>
      <c r="C1551" s="32"/>
      <c r="D1551" s="33"/>
      <c r="E1551" s="34"/>
      <c r="F1551" s="34"/>
      <c r="G1551" s="35"/>
      <c r="H1551" s="34"/>
      <c r="I1551" s="37"/>
    </row>
    <row r="1552" ht="22.5" customHeight="1">
      <c r="A1552" s="30"/>
      <c r="B1552" s="31"/>
      <c r="C1552" s="32"/>
      <c r="D1552" s="33"/>
      <c r="E1552" s="34"/>
      <c r="F1552" s="34"/>
      <c r="G1552" s="35"/>
      <c r="H1552" s="34"/>
      <c r="I1552" s="37"/>
    </row>
    <row r="1553" ht="22.5" customHeight="1">
      <c r="A1553" s="30"/>
      <c r="B1553" s="31"/>
      <c r="C1553" s="32"/>
      <c r="D1553" s="33"/>
      <c r="E1553" s="34"/>
      <c r="F1553" s="34"/>
      <c r="G1553" s="35"/>
      <c r="H1553" s="34"/>
      <c r="I1553" s="37"/>
    </row>
    <row r="1554" ht="22.5" customHeight="1">
      <c r="A1554" s="30"/>
      <c r="B1554" s="31"/>
      <c r="C1554" s="32"/>
      <c r="D1554" s="33"/>
      <c r="E1554" s="34"/>
      <c r="F1554" s="34"/>
      <c r="G1554" s="35"/>
      <c r="H1554" s="34"/>
      <c r="I1554" s="37"/>
    </row>
    <row r="1555" ht="22.5" customHeight="1">
      <c r="A1555" s="30"/>
      <c r="B1555" s="31"/>
      <c r="C1555" s="32"/>
      <c r="D1555" s="33"/>
      <c r="E1555" s="34"/>
      <c r="F1555" s="34"/>
      <c r="G1555" s="35"/>
      <c r="H1555" s="34"/>
      <c r="I1555" s="37"/>
    </row>
    <row r="1556" ht="22.5" customHeight="1">
      <c r="A1556" s="30"/>
      <c r="B1556" s="31"/>
      <c r="C1556" s="32"/>
      <c r="D1556" s="33"/>
      <c r="E1556" s="34"/>
      <c r="F1556" s="34"/>
      <c r="G1556" s="35"/>
      <c r="H1556" s="34"/>
      <c r="I1556" s="37"/>
    </row>
    <row r="1557" ht="22.5" customHeight="1">
      <c r="A1557" s="30"/>
      <c r="B1557" s="40"/>
      <c r="C1557" s="32"/>
      <c r="D1557" s="33"/>
      <c r="E1557" s="34"/>
      <c r="F1557" s="34"/>
      <c r="G1557" s="35"/>
      <c r="H1557" s="34"/>
      <c r="I1557" s="37"/>
    </row>
    <row r="1558" ht="22.5" customHeight="1">
      <c r="A1558" s="30"/>
      <c r="B1558" s="31"/>
      <c r="C1558" s="32"/>
      <c r="D1558" s="33"/>
      <c r="E1558" s="34"/>
      <c r="F1558" s="34"/>
      <c r="G1558" s="35"/>
      <c r="H1558" s="34"/>
      <c r="I1558" s="37"/>
    </row>
    <row r="1559" ht="22.5" customHeight="1">
      <c r="A1559" s="30"/>
      <c r="B1559" s="31"/>
      <c r="C1559" s="32"/>
      <c r="D1559" s="33"/>
      <c r="E1559" s="34"/>
      <c r="F1559" s="34"/>
      <c r="G1559" s="35"/>
      <c r="H1559" s="34"/>
      <c r="I1559" s="37"/>
    </row>
    <row r="1560" ht="22.5" customHeight="1">
      <c r="A1560" s="30"/>
      <c r="B1560" s="31"/>
      <c r="C1560" s="32"/>
      <c r="D1560" s="33"/>
      <c r="E1560" s="34"/>
      <c r="F1560" s="34"/>
      <c r="G1560" s="35"/>
      <c r="H1560" s="34"/>
      <c r="I1560" s="37"/>
    </row>
    <row r="1561" ht="22.5" customHeight="1">
      <c r="A1561" s="30"/>
      <c r="B1561" s="31"/>
      <c r="C1561" s="32"/>
      <c r="D1561" s="33"/>
      <c r="E1561" s="34"/>
      <c r="F1561" s="34"/>
      <c r="G1561" s="35"/>
      <c r="H1561" s="34"/>
      <c r="I1561" s="37"/>
    </row>
    <row r="1562" ht="22.5" customHeight="1">
      <c r="A1562" s="30"/>
      <c r="B1562" s="31"/>
      <c r="C1562" s="32"/>
      <c r="D1562" s="33"/>
      <c r="E1562" s="34"/>
      <c r="F1562" s="34"/>
      <c r="G1562" s="35"/>
      <c r="H1562" s="34"/>
      <c r="I1562" s="37"/>
    </row>
    <row r="1563" ht="22.5" customHeight="1">
      <c r="A1563" s="30"/>
      <c r="B1563" s="31"/>
      <c r="C1563" s="32"/>
      <c r="D1563" s="33"/>
      <c r="E1563" s="34"/>
      <c r="F1563" s="34"/>
      <c r="G1563" s="35"/>
      <c r="H1563" s="34"/>
      <c r="I1563" s="37"/>
    </row>
    <row r="1564" ht="22.5" customHeight="1">
      <c r="A1564" s="30"/>
      <c r="B1564" s="39"/>
      <c r="C1564" s="32"/>
      <c r="D1564" s="33"/>
      <c r="E1564" s="34"/>
      <c r="F1564" s="34"/>
      <c r="G1564" s="35"/>
      <c r="H1564" s="34"/>
      <c r="I1564" s="37"/>
    </row>
    <row r="1565" ht="22.5" customHeight="1">
      <c r="A1565" s="30"/>
      <c r="B1565" s="39"/>
      <c r="C1565" s="32"/>
      <c r="D1565" s="33"/>
      <c r="E1565" s="34"/>
      <c r="F1565" s="34"/>
      <c r="G1565" s="35"/>
      <c r="H1565" s="34"/>
      <c r="I1565" s="37"/>
    </row>
    <row r="1566" ht="22.5" customHeight="1">
      <c r="A1566" s="30"/>
      <c r="B1566" s="39"/>
      <c r="C1566" s="32"/>
      <c r="D1566" s="33"/>
      <c r="E1566" s="34"/>
      <c r="F1566" s="34"/>
      <c r="G1566" s="35"/>
      <c r="H1566" s="34"/>
      <c r="I1566" s="37"/>
    </row>
    <row r="1567" ht="22.5" customHeight="1">
      <c r="A1567" s="30"/>
      <c r="B1567" s="40"/>
      <c r="C1567" s="32"/>
      <c r="D1567" s="33"/>
      <c r="E1567" s="34"/>
      <c r="F1567" s="34"/>
      <c r="G1567" s="35"/>
      <c r="H1567" s="34"/>
      <c r="I1567" s="37"/>
    </row>
    <row r="1568" ht="22.5" customHeight="1">
      <c r="A1568" s="30"/>
      <c r="B1568" s="31"/>
      <c r="C1568" s="32"/>
      <c r="D1568" s="33"/>
      <c r="E1568" s="34"/>
      <c r="F1568" s="34"/>
      <c r="G1568" s="35"/>
      <c r="H1568" s="34"/>
      <c r="I1568" s="37"/>
    </row>
    <row r="1569" ht="22.5" customHeight="1">
      <c r="A1569" s="30"/>
      <c r="B1569" s="31"/>
      <c r="C1569" s="32"/>
      <c r="D1569" s="33"/>
      <c r="E1569" s="34"/>
      <c r="F1569" s="34"/>
      <c r="G1569" s="35"/>
      <c r="H1569" s="34"/>
      <c r="I1569" s="37"/>
    </row>
    <row r="1570" ht="22.5" customHeight="1">
      <c r="A1570" s="30"/>
      <c r="B1570" s="31"/>
      <c r="C1570" s="32"/>
      <c r="D1570" s="33"/>
      <c r="E1570" s="34"/>
      <c r="F1570" s="34"/>
      <c r="G1570" s="35"/>
      <c r="H1570" s="34"/>
      <c r="I1570" s="37"/>
    </row>
    <row r="1571" ht="22.5" customHeight="1">
      <c r="A1571" s="30"/>
      <c r="B1571" s="31"/>
      <c r="C1571" s="32"/>
      <c r="D1571" s="33"/>
      <c r="E1571" s="34"/>
      <c r="F1571" s="34"/>
      <c r="G1571" s="35"/>
      <c r="H1571" s="34"/>
      <c r="I1571" s="37"/>
    </row>
    <row r="1572" ht="22.5" customHeight="1">
      <c r="A1572" s="30"/>
      <c r="B1572" s="31"/>
      <c r="C1572" s="32"/>
      <c r="D1572" s="33"/>
      <c r="E1572" s="34"/>
      <c r="F1572" s="34"/>
      <c r="G1572" s="35"/>
      <c r="H1572" s="34"/>
      <c r="I1572" s="37"/>
    </row>
    <row r="1573" ht="22.5" customHeight="1">
      <c r="A1573" s="30"/>
      <c r="B1573" s="31"/>
      <c r="C1573" s="32"/>
      <c r="D1573" s="33"/>
      <c r="E1573" s="34"/>
      <c r="F1573" s="34"/>
      <c r="G1573" s="35"/>
      <c r="H1573" s="34"/>
      <c r="I1573" s="37"/>
    </row>
    <row r="1574" ht="22.5" customHeight="1">
      <c r="A1574" s="30"/>
      <c r="B1574" s="31"/>
      <c r="C1574" s="32"/>
      <c r="D1574" s="33"/>
      <c r="E1574" s="34"/>
      <c r="F1574" s="34"/>
      <c r="G1574" s="35"/>
      <c r="H1574" s="34"/>
      <c r="I1574" s="37"/>
    </row>
    <row r="1575" ht="22.5" customHeight="1">
      <c r="A1575" s="30"/>
      <c r="B1575" s="31"/>
      <c r="C1575" s="32"/>
      <c r="D1575" s="33"/>
      <c r="E1575" s="34"/>
      <c r="F1575" s="34"/>
      <c r="G1575" s="35"/>
      <c r="H1575" s="34"/>
      <c r="I1575" s="37"/>
    </row>
    <row r="1576" ht="22.5" customHeight="1">
      <c r="A1576" s="30"/>
      <c r="B1576" s="31"/>
      <c r="C1576" s="32"/>
      <c r="D1576" s="33"/>
      <c r="E1576" s="34"/>
      <c r="F1576" s="34"/>
      <c r="G1576" s="35"/>
      <c r="H1576" s="34"/>
      <c r="I1576" s="37"/>
    </row>
    <row r="1577" ht="22.5" customHeight="1">
      <c r="A1577" s="30"/>
      <c r="B1577" s="40"/>
      <c r="C1577" s="32"/>
      <c r="D1577" s="33"/>
      <c r="E1577" s="34"/>
      <c r="F1577" s="34"/>
      <c r="G1577" s="35"/>
      <c r="H1577" s="34"/>
      <c r="I1577" s="37"/>
    </row>
    <row r="1578" ht="22.5" customHeight="1">
      <c r="A1578" s="30"/>
      <c r="B1578" s="31"/>
      <c r="C1578" s="32"/>
      <c r="D1578" s="33"/>
      <c r="E1578" s="34"/>
      <c r="F1578" s="34"/>
      <c r="G1578" s="35"/>
      <c r="H1578" s="34"/>
      <c r="I1578" s="37"/>
    </row>
    <row r="1579" ht="22.5" customHeight="1">
      <c r="A1579" s="30"/>
      <c r="B1579" s="31"/>
      <c r="C1579" s="32"/>
      <c r="D1579" s="33"/>
      <c r="E1579" s="34"/>
      <c r="F1579" s="34"/>
      <c r="G1579" s="35"/>
      <c r="H1579" s="34"/>
      <c r="I1579" s="37"/>
    </row>
    <row r="1580" ht="22.5" customHeight="1">
      <c r="A1580" s="30"/>
      <c r="B1580" s="31"/>
      <c r="C1580" s="32"/>
      <c r="D1580" s="33"/>
      <c r="E1580" s="34"/>
      <c r="F1580" s="34"/>
      <c r="G1580" s="35"/>
      <c r="H1580" s="34"/>
      <c r="I1580" s="37"/>
    </row>
    <row r="1581" ht="22.5" customHeight="1">
      <c r="A1581" s="30"/>
      <c r="B1581" s="40"/>
      <c r="C1581" s="32"/>
      <c r="D1581" s="33"/>
      <c r="E1581" s="34"/>
      <c r="F1581" s="34"/>
      <c r="G1581" s="35"/>
      <c r="H1581" s="34"/>
      <c r="I1581" s="37"/>
    </row>
    <row r="1582" ht="22.5" customHeight="1">
      <c r="A1582" s="30"/>
      <c r="B1582" s="31"/>
      <c r="C1582" s="32"/>
      <c r="D1582" s="33"/>
      <c r="E1582" s="34"/>
      <c r="F1582" s="34"/>
      <c r="G1582" s="35"/>
      <c r="H1582" s="34"/>
      <c r="I1582" s="37"/>
    </row>
    <row r="1583" ht="22.5" customHeight="1">
      <c r="A1583" s="30"/>
      <c r="B1583" s="31"/>
      <c r="C1583" s="32"/>
      <c r="D1583" s="33"/>
      <c r="E1583" s="34"/>
      <c r="F1583" s="34"/>
      <c r="G1583" s="35"/>
      <c r="H1583" s="34"/>
      <c r="I1583" s="37"/>
    </row>
    <row r="1584" ht="22.5" customHeight="1">
      <c r="A1584" s="30"/>
      <c r="B1584" s="31"/>
      <c r="C1584" s="32"/>
      <c r="D1584" s="33"/>
      <c r="E1584" s="34"/>
      <c r="F1584" s="34"/>
      <c r="G1584" s="35"/>
      <c r="H1584" s="34"/>
      <c r="I1584" s="37"/>
    </row>
    <row r="1585" ht="22.5" customHeight="1">
      <c r="A1585" s="30"/>
      <c r="B1585" s="31"/>
      <c r="C1585" s="32"/>
      <c r="D1585" s="33"/>
      <c r="E1585" s="34"/>
      <c r="F1585" s="34"/>
      <c r="G1585" s="35"/>
      <c r="H1585" s="34"/>
      <c r="I1585" s="37"/>
    </row>
    <row r="1586" ht="22.5" customHeight="1">
      <c r="A1586" s="30"/>
      <c r="B1586" s="31"/>
      <c r="C1586" s="32"/>
      <c r="D1586" s="33"/>
      <c r="E1586" s="34"/>
      <c r="F1586" s="34"/>
      <c r="G1586" s="35"/>
      <c r="H1586" s="34"/>
      <c r="I1586" s="37"/>
    </row>
    <row r="1587" ht="22.5" customHeight="1">
      <c r="A1587" s="30"/>
      <c r="B1587" s="31"/>
      <c r="C1587" s="32"/>
      <c r="D1587" s="33"/>
      <c r="E1587" s="34"/>
      <c r="F1587" s="34"/>
      <c r="G1587" s="35"/>
      <c r="H1587" s="34"/>
      <c r="I1587" s="37"/>
    </row>
    <row r="1588" ht="22.5" customHeight="1">
      <c r="A1588" s="30"/>
      <c r="B1588" s="31"/>
      <c r="C1588" s="32"/>
      <c r="D1588" s="33"/>
      <c r="E1588" s="34"/>
      <c r="F1588" s="34"/>
      <c r="G1588" s="35"/>
      <c r="H1588" s="34"/>
      <c r="I1588" s="37"/>
    </row>
    <row r="1589" ht="22.5" customHeight="1">
      <c r="A1589" s="30"/>
      <c r="B1589" s="31"/>
      <c r="C1589" s="32"/>
      <c r="D1589" s="33"/>
      <c r="E1589" s="34"/>
      <c r="F1589" s="34"/>
      <c r="G1589" s="35"/>
      <c r="H1589" s="34"/>
      <c r="I1589" s="37"/>
    </row>
    <row r="1590" ht="22.5" customHeight="1">
      <c r="A1590" s="30"/>
      <c r="B1590" s="31"/>
      <c r="C1590" s="32"/>
      <c r="D1590" s="33"/>
      <c r="E1590" s="34"/>
      <c r="F1590" s="34"/>
      <c r="G1590" s="35"/>
      <c r="H1590" s="34"/>
      <c r="I1590" s="37"/>
    </row>
    <row r="1591" ht="22.5" customHeight="1">
      <c r="A1591" s="30"/>
      <c r="B1591" s="31"/>
      <c r="C1591" s="32"/>
      <c r="D1591" s="33"/>
      <c r="E1591" s="34"/>
      <c r="F1591" s="34"/>
      <c r="G1591" s="35"/>
      <c r="H1591" s="34"/>
      <c r="I1591" s="37"/>
    </row>
    <row r="1592" ht="22.5" customHeight="1">
      <c r="A1592" s="30"/>
      <c r="B1592" s="31"/>
      <c r="C1592" s="32"/>
      <c r="D1592" s="33"/>
      <c r="E1592" s="34"/>
      <c r="F1592" s="34"/>
      <c r="G1592" s="35"/>
      <c r="H1592" s="34"/>
      <c r="I1592" s="37"/>
    </row>
    <row r="1593" ht="22.5" customHeight="1">
      <c r="A1593" s="30"/>
      <c r="B1593" s="31"/>
      <c r="C1593" s="32"/>
      <c r="D1593" s="33"/>
      <c r="E1593" s="34"/>
      <c r="F1593" s="34"/>
      <c r="G1593" s="35"/>
      <c r="H1593" s="34"/>
      <c r="I1593" s="37"/>
    </row>
    <row r="1594" ht="22.5" customHeight="1">
      <c r="A1594" s="30"/>
      <c r="B1594" s="31"/>
      <c r="C1594" s="32"/>
      <c r="D1594" s="33"/>
      <c r="E1594" s="34"/>
      <c r="F1594" s="34"/>
      <c r="G1594" s="35"/>
      <c r="H1594" s="34"/>
      <c r="I1594" s="37"/>
    </row>
    <row r="1595" ht="22.5" customHeight="1">
      <c r="A1595" s="30"/>
      <c r="B1595" s="31"/>
      <c r="C1595" s="32"/>
      <c r="D1595" s="33"/>
      <c r="E1595" s="34"/>
      <c r="F1595" s="34"/>
      <c r="G1595" s="35"/>
      <c r="H1595" s="34"/>
      <c r="I1595" s="37"/>
    </row>
    <row r="1596" ht="22.5" customHeight="1">
      <c r="A1596" s="30"/>
      <c r="B1596" s="40"/>
      <c r="C1596" s="32"/>
      <c r="D1596" s="33"/>
      <c r="E1596" s="34"/>
      <c r="F1596" s="34"/>
      <c r="G1596" s="35"/>
      <c r="H1596" s="34"/>
      <c r="I1596" s="37"/>
    </row>
    <row r="1597" ht="22.5" customHeight="1">
      <c r="A1597" s="30"/>
      <c r="B1597" s="31"/>
      <c r="C1597" s="32"/>
      <c r="D1597" s="33"/>
      <c r="E1597" s="34"/>
      <c r="F1597" s="34"/>
      <c r="G1597" s="35"/>
      <c r="H1597" s="34"/>
      <c r="I1597" s="37"/>
    </row>
    <row r="1598" ht="22.5" customHeight="1">
      <c r="A1598" s="30"/>
      <c r="B1598" s="40"/>
      <c r="C1598" s="32"/>
      <c r="D1598" s="33"/>
      <c r="E1598" s="34"/>
      <c r="F1598" s="34"/>
      <c r="G1598" s="35"/>
      <c r="H1598" s="34"/>
      <c r="I1598" s="37"/>
    </row>
    <row r="1599" ht="22.5" customHeight="1">
      <c r="A1599" s="30"/>
      <c r="B1599" s="31"/>
      <c r="C1599" s="32"/>
      <c r="D1599" s="33"/>
      <c r="E1599" s="34"/>
      <c r="F1599" s="34"/>
      <c r="G1599" s="35"/>
      <c r="H1599" s="34"/>
      <c r="I1599" s="37"/>
    </row>
    <row r="1600" ht="22.5" customHeight="1">
      <c r="A1600" s="30"/>
      <c r="B1600" s="31"/>
      <c r="C1600" s="32"/>
      <c r="D1600" s="33"/>
      <c r="E1600" s="34"/>
      <c r="F1600" s="34"/>
      <c r="G1600" s="35"/>
      <c r="H1600" s="34"/>
      <c r="I1600" s="37"/>
    </row>
    <row r="1601" ht="22.5" customHeight="1">
      <c r="A1601" s="30"/>
      <c r="B1601" s="31"/>
      <c r="C1601" s="32"/>
      <c r="D1601" s="33"/>
      <c r="E1601" s="34"/>
      <c r="F1601" s="34"/>
      <c r="G1601" s="35"/>
      <c r="H1601" s="34"/>
      <c r="I1601" s="37"/>
    </row>
    <row r="1602" ht="22.5" customHeight="1">
      <c r="A1602" s="30"/>
      <c r="B1602" s="31"/>
      <c r="C1602" s="32"/>
      <c r="D1602" s="33"/>
      <c r="E1602" s="34"/>
      <c r="F1602" s="34"/>
      <c r="G1602" s="35"/>
      <c r="H1602" s="34"/>
      <c r="I1602" s="37"/>
    </row>
    <row r="1603" ht="22.5" customHeight="1">
      <c r="A1603" s="30"/>
      <c r="B1603" s="40"/>
      <c r="C1603" s="32"/>
      <c r="D1603" s="33"/>
      <c r="E1603" s="34"/>
      <c r="F1603" s="34"/>
      <c r="G1603" s="35"/>
      <c r="H1603" s="34"/>
      <c r="I1603" s="37"/>
    </row>
    <row r="1604" ht="22.5" customHeight="1">
      <c r="A1604" s="30"/>
      <c r="B1604" s="31"/>
      <c r="C1604" s="32"/>
      <c r="D1604" s="33"/>
      <c r="E1604" s="34"/>
      <c r="F1604" s="34"/>
      <c r="G1604" s="35"/>
      <c r="H1604" s="34"/>
      <c r="I1604" s="37"/>
    </row>
    <row r="1605" ht="22.5" customHeight="1">
      <c r="A1605" s="30"/>
      <c r="B1605" s="31"/>
      <c r="C1605" s="32"/>
      <c r="D1605" s="33"/>
      <c r="E1605" s="34"/>
      <c r="F1605" s="34"/>
      <c r="G1605" s="35"/>
      <c r="H1605" s="34"/>
      <c r="I1605" s="37"/>
    </row>
    <row r="1606" ht="22.5" customHeight="1">
      <c r="A1606" s="30"/>
      <c r="B1606" s="31"/>
      <c r="C1606" s="32"/>
      <c r="D1606" s="33"/>
      <c r="E1606" s="34"/>
      <c r="F1606" s="34"/>
      <c r="G1606" s="35"/>
      <c r="H1606" s="34"/>
      <c r="I1606" s="37"/>
    </row>
    <row r="1607" ht="22.5" customHeight="1">
      <c r="A1607" s="30"/>
      <c r="B1607" s="31"/>
      <c r="C1607" s="32"/>
      <c r="D1607" s="33"/>
      <c r="E1607" s="34"/>
      <c r="F1607" s="34"/>
      <c r="G1607" s="35"/>
      <c r="H1607" s="34"/>
      <c r="I1607" s="37"/>
    </row>
    <row r="1608" ht="22.5" customHeight="1">
      <c r="A1608" s="30"/>
      <c r="B1608" s="31"/>
      <c r="C1608" s="32"/>
      <c r="D1608" s="33"/>
      <c r="E1608" s="34"/>
      <c r="F1608" s="34"/>
      <c r="G1608" s="35"/>
      <c r="H1608" s="34"/>
      <c r="I1608" s="37"/>
    </row>
    <row r="1609" ht="22.5" customHeight="1">
      <c r="A1609" s="30"/>
      <c r="B1609" s="31"/>
      <c r="C1609" s="32"/>
      <c r="D1609" s="33"/>
      <c r="E1609" s="34"/>
      <c r="F1609" s="34"/>
      <c r="G1609" s="35"/>
      <c r="H1609" s="34"/>
      <c r="I1609" s="37"/>
    </row>
    <row r="1610" ht="22.5" customHeight="1">
      <c r="A1610" s="30"/>
      <c r="B1610" s="31"/>
      <c r="C1610" s="32"/>
      <c r="D1610" s="33"/>
      <c r="E1610" s="34"/>
      <c r="F1610" s="34"/>
      <c r="G1610" s="35"/>
      <c r="H1610" s="34"/>
      <c r="I1610" s="37"/>
    </row>
    <row r="1611" ht="22.5" customHeight="1">
      <c r="A1611" s="30"/>
      <c r="B1611" s="31"/>
      <c r="C1611" s="32"/>
      <c r="D1611" s="33"/>
      <c r="E1611" s="34"/>
      <c r="F1611" s="34"/>
      <c r="G1611" s="35"/>
      <c r="H1611" s="34"/>
      <c r="I1611" s="37"/>
    </row>
    <row r="1612" ht="22.5" customHeight="1">
      <c r="A1612" s="30"/>
      <c r="B1612" s="31"/>
      <c r="C1612" s="32"/>
      <c r="D1612" s="33"/>
      <c r="E1612" s="34"/>
      <c r="F1612" s="34"/>
      <c r="G1612" s="35"/>
      <c r="H1612" s="34"/>
      <c r="I1612" s="37"/>
    </row>
    <row r="1613" ht="22.5" customHeight="1">
      <c r="A1613" s="30"/>
      <c r="B1613" s="31"/>
      <c r="C1613" s="32"/>
      <c r="D1613" s="33"/>
      <c r="E1613" s="34"/>
      <c r="F1613" s="34"/>
      <c r="G1613" s="35"/>
      <c r="H1613" s="34"/>
      <c r="I1613" s="37"/>
    </row>
    <row r="1614" ht="22.5" customHeight="1">
      <c r="A1614" s="30"/>
      <c r="B1614" s="31"/>
      <c r="C1614" s="32"/>
      <c r="D1614" s="33"/>
      <c r="E1614" s="34"/>
      <c r="F1614" s="34"/>
      <c r="G1614" s="35"/>
      <c r="H1614" s="34"/>
      <c r="I1614" s="37"/>
    </row>
    <row r="1615" ht="22.5" customHeight="1">
      <c r="A1615" s="30"/>
      <c r="B1615" s="31"/>
      <c r="C1615" s="32"/>
      <c r="D1615" s="33"/>
      <c r="E1615" s="34"/>
      <c r="F1615" s="34"/>
      <c r="G1615" s="35"/>
      <c r="H1615" s="34"/>
      <c r="I1615" s="37"/>
    </row>
    <row r="1616" ht="22.5" customHeight="1">
      <c r="A1616" s="30"/>
      <c r="B1616" s="31"/>
      <c r="C1616" s="32"/>
      <c r="D1616" s="33"/>
      <c r="E1616" s="34"/>
      <c r="F1616" s="34"/>
      <c r="G1616" s="35"/>
      <c r="H1616" s="34"/>
      <c r="I1616" s="37"/>
    </row>
    <row r="1617" ht="22.5" customHeight="1">
      <c r="A1617" s="30"/>
      <c r="B1617" s="31"/>
      <c r="C1617" s="32"/>
      <c r="D1617" s="33"/>
      <c r="E1617" s="34"/>
      <c r="F1617" s="34"/>
      <c r="G1617" s="35"/>
      <c r="H1617" s="34"/>
      <c r="I1617" s="37"/>
    </row>
    <row r="1618" ht="22.5" customHeight="1">
      <c r="A1618" s="30"/>
      <c r="B1618" s="31"/>
      <c r="C1618" s="32"/>
      <c r="D1618" s="33"/>
      <c r="E1618" s="34"/>
      <c r="F1618" s="34"/>
      <c r="G1618" s="35"/>
      <c r="H1618" s="34"/>
      <c r="I1618" s="37"/>
    </row>
    <row r="1619" ht="22.5" customHeight="1">
      <c r="A1619" s="30"/>
      <c r="B1619" s="31"/>
      <c r="C1619" s="32"/>
      <c r="D1619" s="33"/>
      <c r="E1619" s="34"/>
      <c r="F1619" s="34"/>
      <c r="G1619" s="35"/>
      <c r="H1619" s="34"/>
      <c r="I1619" s="37"/>
    </row>
    <row r="1620" ht="22.5" customHeight="1">
      <c r="A1620" s="30"/>
      <c r="B1620" s="31"/>
      <c r="C1620" s="32"/>
      <c r="D1620" s="33"/>
      <c r="E1620" s="34"/>
      <c r="F1620" s="34"/>
      <c r="G1620" s="35"/>
      <c r="H1620" s="34"/>
      <c r="I1620" s="37"/>
    </row>
    <row r="1621" ht="22.5" customHeight="1">
      <c r="A1621" s="30"/>
      <c r="B1621" s="31"/>
      <c r="C1621" s="32"/>
      <c r="D1621" s="33"/>
      <c r="E1621" s="34"/>
      <c r="F1621" s="34"/>
      <c r="G1621" s="35"/>
      <c r="H1621" s="34"/>
      <c r="I1621" s="37"/>
    </row>
    <row r="1622" ht="22.5" customHeight="1">
      <c r="A1622" s="30"/>
      <c r="B1622" s="31"/>
      <c r="C1622" s="32"/>
      <c r="D1622" s="33"/>
      <c r="E1622" s="34"/>
      <c r="F1622" s="34"/>
      <c r="G1622" s="35"/>
      <c r="H1622" s="34"/>
      <c r="I1622" s="37"/>
    </row>
    <row r="1623" ht="22.5" customHeight="1">
      <c r="A1623" s="30"/>
      <c r="B1623" s="31"/>
      <c r="C1623" s="32"/>
      <c r="D1623" s="33"/>
      <c r="E1623" s="34"/>
      <c r="F1623" s="34"/>
      <c r="G1623" s="35"/>
      <c r="H1623" s="34"/>
      <c r="I1623" s="37"/>
    </row>
    <row r="1624" ht="22.5" customHeight="1">
      <c r="A1624" s="30"/>
      <c r="B1624" s="31"/>
      <c r="C1624" s="32"/>
      <c r="D1624" s="33"/>
      <c r="E1624" s="34"/>
      <c r="F1624" s="34"/>
      <c r="G1624" s="35"/>
      <c r="H1624" s="34"/>
      <c r="I1624" s="37"/>
    </row>
    <row r="1625" ht="22.5" customHeight="1">
      <c r="A1625" s="30"/>
      <c r="B1625" s="31"/>
      <c r="C1625" s="30"/>
      <c r="D1625" s="33"/>
      <c r="E1625" s="34"/>
      <c r="F1625" s="34"/>
      <c r="G1625" s="36"/>
      <c r="H1625" s="34"/>
      <c r="I1625" s="37"/>
    </row>
    <row r="1626" ht="22.5" customHeight="1">
      <c r="A1626" s="30"/>
      <c r="B1626" s="31"/>
      <c r="C1626" s="30"/>
      <c r="D1626" s="33"/>
      <c r="E1626" s="34"/>
      <c r="F1626" s="34"/>
      <c r="G1626" s="36"/>
      <c r="H1626" s="34"/>
      <c r="I1626" s="37"/>
    </row>
    <row r="1627" ht="22.5" customHeight="1">
      <c r="A1627" s="30"/>
      <c r="B1627" s="31"/>
      <c r="C1627" s="30"/>
      <c r="D1627" s="33"/>
      <c r="E1627" s="34"/>
      <c r="F1627" s="34"/>
      <c r="G1627" s="36"/>
      <c r="H1627" s="34"/>
      <c r="I1627" s="37"/>
    </row>
    <row r="1628" ht="22.5" customHeight="1">
      <c r="A1628" s="30"/>
      <c r="B1628" s="31"/>
      <c r="C1628" s="30"/>
      <c r="D1628" s="33"/>
      <c r="E1628" s="34"/>
      <c r="F1628" s="34"/>
      <c r="G1628" s="36"/>
      <c r="H1628" s="34"/>
      <c r="I1628" s="37"/>
    </row>
    <row r="1629" ht="22.5" customHeight="1">
      <c r="A1629" s="30"/>
      <c r="B1629" s="31"/>
      <c r="C1629" s="30"/>
      <c r="D1629" s="33"/>
      <c r="E1629" s="34"/>
      <c r="F1629" s="34"/>
      <c r="G1629" s="36"/>
      <c r="H1629" s="34"/>
      <c r="I1629" s="37"/>
    </row>
    <row r="1630" ht="22.5" customHeight="1">
      <c r="A1630" s="30"/>
      <c r="B1630" s="31"/>
      <c r="C1630" s="30"/>
      <c r="D1630" s="33"/>
      <c r="E1630" s="34"/>
      <c r="F1630" s="34"/>
      <c r="G1630" s="36"/>
      <c r="H1630" s="34"/>
      <c r="I1630" s="37"/>
    </row>
    <row r="1631" ht="22.5" customHeight="1">
      <c r="A1631" s="30"/>
      <c r="B1631" s="31"/>
      <c r="C1631" s="30"/>
      <c r="D1631" s="33"/>
      <c r="E1631" s="34"/>
      <c r="F1631" s="34"/>
      <c r="G1631" s="36"/>
      <c r="H1631" s="34"/>
      <c r="I1631" s="37"/>
    </row>
    <row r="1632" ht="22.5" customHeight="1">
      <c r="A1632" s="30"/>
      <c r="B1632" s="31"/>
      <c r="C1632" s="30"/>
      <c r="D1632" s="33"/>
      <c r="E1632" s="34"/>
      <c r="F1632" s="34"/>
      <c r="G1632" s="36"/>
      <c r="H1632" s="34"/>
      <c r="I1632" s="37"/>
    </row>
    <row r="1633" ht="22.5" customHeight="1">
      <c r="A1633" s="30"/>
      <c r="B1633" s="31"/>
      <c r="C1633" s="30"/>
      <c r="D1633" s="33"/>
      <c r="E1633" s="34"/>
      <c r="F1633" s="34"/>
      <c r="G1633" s="36"/>
      <c r="H1633" s="34"/>
      <c r="I1633" s="37"/>
    </row>
    <row r="1634" ht="22.5" customHeight="1">
      <c r="A1634" s="30"/>
      <c r="B1634" s="31"/>
      <c r="C1634" s="30"/>
      <c r="D1634" s="33"/>
      <c r="E1634" s="34"/>
      <c r="F1634" s="34"/>
      <c r="G1634" s="36"/>
      <c r="H1634" s="34"/>
      <c r="I1634" s="37"/>
    </row>
    <row r="1635" ht="22.5" customHeight="1">
      <c r="A1635" s="30"/>
      <c r="B1635" s="31"/>
      <c r="C1635" s="30"/>
      <c r="D1635" s="33"/>
      <c r="E1635" s="34"/>
      <c r="F1635" s="34"/>
      <c r="G1635" s="36"/>
      <c r="H1635" s="34"/>
      <c r="I1635" s="37"/>
    </row>
    <row r="1636" ht="22.5" customHeight="1">
      <c r="A1636" s="30"/>
      <c r="B1636" s="31"/>
      <c r="C1636" s="30"/>
      <c r="D1636" s="33"/>
      <c r="E1636" s="34"/>
      <c r="F1636" s="34"/>
      <c r="G1636" s="36"/>
      <c r="H1636" s="34"/>
      <c r="I1636" s="37"/>
    </row>
    <row r="1637" ht="22.5" customHeight="1">
      <c r="A1637" s="30"/>
      <c r="B1637" s="31"/>
      <c r="C1637" s="30"/>
      <c r="D1637" s="33"/>
      <c r="E1637" s="34"/>
      <c r="F1637" s="34"/>
      <c r="G1637" s="36"/>
      <c r="H1637" s="34"/>
      <c r="I1637" s="37"/>
    </row>
    <row r="1638" ht="22.5" customHeight="1">
      <c r="A1638" s="30"/>
      <c r="B1638" s="31"/>
      <c r="C1638" s="30"/>
      <c r="D1638" s="33"/>
      <c r="E1638" s="34"/>
      <c r="F1638" s="34"/>
      <c r="G1638" s="36"/>
      <c r="H1638" s="34"/>
      <c r="I1638" s="37"/>
    </row>
    <row r="1639" ht="22.5" customHeight="1">
      <c r="A1639" s="30"/>
      <c r="B1639" s="31"/>
      <c r="C1639" s="30"/>
      <c r="D1639" s="33"/>
      <c r="E1639" s="34"/>
      <c r="F1639" s="34"/>
      <c r="G1639" s="36"/>
      <c r="H1639" s="34"/>
      <c r="I1639" s="37"/>
    </row>
    <row r="1640" ht="22.5" customHeight="1">
      <c r="A1640" s="30"/>
      <c r="B1640" s="31"/>
      <c r="C1640" s="30"/>
      <c r="D1640" s="33"/>
      <c r="E1640" s="34"/>
      <c r="F1640" s="34"/>
      <c r="G1640" s="36"/>
      <c r="H1640" s="34"/>
      <c r="I1640" s="37"/>
    </row>
    <row r="1641" ht="22.5" customHeight="1">
      <c r="A1641" s="30"/>
      <c r="B1641" s="31"/>
      <c r="C1641" s="30"/>
      <c r="D1641" s="33"/>
      <c r="E1641" s="34"/>
      <c r="F1641" s="34"/>
      <c r="G1641" s="36"/>
      <c r="H1641" s="34"/>
      <c r="I1641" s="37"/>
    </row>
    <row r="1642" ht="22.5" customHeight="1">
      <c r="A1642" s="30"/>
      <c r="B1642" s="31"/>
      <c r="C1642" s="30"/>
      <c r="D1642" s="33"/>
      <c r="E1642" s="34"/>
      <c r="F1642" s="34"/>
      <c r="G1642" s="36"/>
      <c r="H1642" s="34"/>
      <c r="I1642" s="37"/>
    </row>
    <row r="1643" ht="22.5" customHeight="1">
      <c r="A1643" s="30"/>
      <c r="B1643" s="31"/>
      <c r="C1643" s="30"/>
      <c r="D1643" s="33"/>
      <c r="E1643" s="34"/>
      <c r="F1643" s="34"/>
      <c r="G1643" s="36"/>
      <c r="H1643" s="34"/>
      <c r="I1643" s="37"/>
    </row>
    <row r="1644" ht="22.5" customHeight="1">
      <c r="A1644" s="30"/>
      <c r="B1644" s="31"/>
      <c r="C1644" s="30"/>
      <c r="D1644" s="33"/>
      <c r="E1644" s="34"/>
      <c r="F1644" s="34"/>
      <c r="G1644" s="36"/>
      <c r="H1644" s="34"/>
      <c r="I1644" s="37"/>
    </row>
    <row r="1645" ht="22.5" customHeight="1">
      <c r="A1645" s="30"/>
      <c r="B1645" s="31"/>
      <c r="C1645" s="30"/>
      <c r="D1645" s="33"/>
      <c r="E1645" s="34"/>
      <c r="F1645" s="34"/>
      <c r="G1645" s="36"/>
      <c r="H1645" s="34"/>
      <c r="I1645" s="37"/>
    </row>
    <row r="1646" ht="22.5" customHeight="1">
      <c r="A1646" s="30"/>
      <c r="B1646" s="31"/>
      <c r="C1646" s="30"/>
      <c r="D1646" s="33"/>
      <c r="E1646" s="34"/>
      <c r="F1646" s="34"/>
      <c r="G1646" s="36"/>
      <c r="H1646" s="34"/>
      <c r="I1646" s="37"/>
    </row>
    <row r="1647" ht="22.5" customHeight="1">
      <c r="A1647" s="30"/>
      <c r="B1647" s="31"/>
      <c r="C1647" s="30"/>
      <c r="D1647" s="33"/>
      <c r="E1647" s="34"/>
      <c r="F1647" s="34"/>
      <c r="G1647" s="36"/>
      <c r="H1647" s="34"/>
      <c r="I1647" s="37"/>
    </row>
    <row r="1648" ht="22.5" customHeight="1">
      <c r="A1648" s="30"/>
      <c r="B1648" s="31"/>
      <c r="C1648" s="30"/>
      <c r="D1648" s="33"/>
      <c r="E1648" s="34"/>
      <c r="F1648" s="34"/>
      <c r="G1648" s="36"/>
      <c r="H1648" s="34"/>
      <c r="I1648" s="37"/>
    </row>
    <row r="1649" ht="22.5" customHeight="1">
      <c r="A1649" s="30"/>
      <c r="B1649" s="31"/>
      <c r="C1649" s="30"/>
      <c r="D1649" s="33"/>
      <c r="E1649" s="34"/>
      <c r="F1649" s="34"/>
      <c r="G1649" s="36"/>
      <c r="H1649" s="34"/>
      <c r="I1649" s="37"/>
    </row>
    <row r="1650" ht="22.5" customHeight="1">
      <c r="A1650" s="30"/>
      <c r="B1650" s="31"/>
      <c r="C1650" s="30"/>
      <c r="D1650" s="33"/>
      <c r="E1650" s="34"/>
      <c r="F1650" s="34"/>
      <c r="G1650" s="36"/>
      <c r="H1650" s="34"/>
      <c r="I1650" s="37"/>
    </row>
    <row r="1651" ht="22.5" customHeight="1">
      <c r="A1651" s="30"/>
      <c r="B1651" s="31"/>
      <c r="C1651" s="30"/>
      <c r="D1651" s="33"/>
      <c r="E1651" s="34"/>
      <c r="F1651" s="34"/>
      <c r="G1651" s="36"/>
      <c r="H1651" s="34"/>
      <c r="I1651" s="37"/>
    </row>
    <row r="1652" ht="22.5" customHeight="1">
      <c r="A1652" s="30"/>
      <c r="B1652" s="31"/>
      <c r="C1652" s="30"/>
      <c r="D1652" s="33"/>
      <c r="E1652" s="34"/>
      <c r="F1652" s="34"/>
      <c r="G1652" s="36"/>
      <c r="H1652" s="34"/>
      <c r="I1652" s="37"/>
    </row>
    <row r="1653" ht="22.5" customHeight="1">
      <c r="A1653" s="30"/>
      <c r="B1653" s="31"/>
      <c r="C1653" s="30"/>
      <c r="D1653" s="33"/>
      <c r="E1653" s="34"/>
      <c r="F1653" s="34"/>
      <c r="G1653" s="36"/>
      <c r="H1653" s="34"/>
      <c r="I1653" s="37"/>
    </row>
    <row r="1654" ht="22.5" customHeight="1">
      <c r="A1654" s="30"/>
      <c r="B1654" s="31"/>
      <c r="C1654" s="30"/>
      <c r="D1654" s="33"/>
      <c r="E1654" s="34"/>
      <c r="F1654" s="34"/>
      <c r="G1654" s="36"/>
      <c r="H1654" s="34"/>
      <c r="I1654" s="37"/>
    </row>
    <row r="1655" ht="22.5" customHeight="1">
      <c r="A1655" s="30"/>
      <c r="B1655" s="31"/>
      <c r="C1655" s="30"/>
      <c r="D1655" s="33"/>
      <c r="E1655" s="34"/>
      <c r="F1655" s="34"/>
      <c r="G1655" s="36"/>
      <c r="H1655" s="34"/>
      <c r="I1655" s="37"/>
    </row>
    <row r="1656" ht="22.5" customHeight="1">
      <c r="A1656" s="30"/>
      <c r="B1656" s="31"/>
      <c r="C1656" s="30"/>
      <c r="D1656" s="33"/>
      <c r="E1656" s="34"/>
      <c r="F1656" s="34"/>
      <c r="G1656" s="36"/>
      <c r="H1656" s="34"/>
      <c r="I1656" s="37"/>
    </row>
    <row r="1657" ht="22.5" customHeight="1">
      <c r="A1657" s="30"/>
      <c r="B1657" s="31"/>
      <c r="C1657" s="30"/>
      <c r="D1657" s="33"/>
      <c r="E1657" s="34"/>
      <c r="F1657" s="34"/>
      <c r="G1657" s="36"/>
      <c r="H1657" s="34"/>
      <c r="I1657" s="37"/>
    </row>
    <row r="1658" ht="22.5" customHeight="1">
      <c r="A1658" s="30"/>
      <c r="B1658" s="31"/>
      <c r="C1658" s="30"/>
      <c r="D1658" s="33"/>
      <c r="E1658" s="34"/>
      <c r="F1658" s="34"/>
      <c r="G1658" s="36"/>
      <c r="H1658" s="34"/>
      <c r="I1658" s="37"/>
    </row>
    <row r="1659" ht="22.5" customHeight="1">
      <c r="A1659" s="30"/>
      <c r="B1659" s="31"/>
      <c r="C1659" s="30"/>
      <c r="D1659" s="33"/>
      <c r="E1659" s="34"/>
      <c r="F1659" s="34"/>
      <c r="G1659" s="36"/>
      <c r="H1659" s="34"/>
      <c r="I1659" s="37"/>
    </row>
    <row r="1660" ht="22.5" customHeight="1">
      <c r="A1660" s="30"/>
      <c r="B1660" s="31"/>
      <c r="C1660" s="30"/>
      <c r="D1660" s="33"/>
      <c r="E1660" s="34"/>
      <c r="F1660" s="34"/>
      <c r="G1660" s="36"/>
      <c r="H1660" s="34"/>
      <c r="I1660" s="37"/>
    </row>
    <row r="1661" ht="22.5" customHeight="1">
      <c r="A1661" s="30"/>
      <c r="B1661" s="31"/>
      <c r="C1661" s="30"/>
      <c r="D1661" s="33"/>
      <c r="E1661" s="34"/>
      <c r="F1661" s="34"/>
      <c r="G1661" s="36"/>
      <c r="H1661" s="34"/>
      <c r="I1661" s="37"/>
    </row>
    <row r="1662" ht="22.5" customHeight="1">
      <c r="A1662" s="30"/>
      <c r="B1662" s="31"/>
      <c r="C1662" s="30"/>
      <c r="D1662" s="33"/>
      <c r="E1662" s="34"/>
      <c r="F1662" s="34"/>
      <c r="G1662" s="36"/>
      <c r="H1662" s="34"/>
      <c r="I1662" s="37"/>
    </row>
    <row r="1663" ht="22.5" customHeight="1">
      <c r="A1663" s="30"/>
      <c r="B1663" s="31"/>
      <c r="C1663" s="30"/>
      <c r="D1663" s="33"/>
      <c r="E1663" s="34"/>
      <c r="F1663" s="34"/>
      <c r="G1663" s="36"/>
      <c r="H1663" s="34"/>
      <c r="I1663" s="37"/>
    </row>
    <row r="1664" ht="22.5" customHeight="1">
      <c r="A1664" s="30"/>
      <c r="B1664" s="31"/>
      <c r="C1664" s="30"/>
      <c r="D1664" s="33"/>
      <c r="E1664" s="34"/>
      <c r="F1664" s="34"/>
      <c r="G1664" s="36"/>
      <c r="H1664" s="34"/>
      <c r="I1664" s="37"/>
    </row>
    <row r="1665" ht="22.5" customHeight="1">
      <c r="A1665" s="30"/>
      <c r="B1665" s="31"/>
      <c r="C1665" s="30"/>
      <c r="D1665" s="33"/>
      <c r="E1665" s="34"/>
      <c r="F1665" s="34"/>
      <c r="G1665" s="36"/>
      <c r="H1665" s="34"/>
      <c r="I1665" s="37"/>
    </row>
    <row r="1666" ht="22.5" customHeight="1">
      <c r="A1666" s="30"/>
      <c r="B1666" s="31"/>
      <c r="C1666" s="30"/>
      <c r="D1666" s="33"/>
      <c r="E1666" s="34"/>
      <c r="F1666" s="34"/>
      <c r="G1666" s="36"/>
      <c r="H1666" s="34"/>
      <c r="I1666" s="37"/>
    </row>
    <row r="1667" ht="22.5" customHeight="1">
      <c r="A1667" s="30"/>
      <c r="B1667" s="31"/>
      <c r="C1667" s="30"/>
      <c r="D1667" s="33"/>
      <c r="E1667" s="34"/>
      <c r="F1667" s="34"/>
      <c r="G1667" s="36"/>
      <c r="H1667" s="34"/>
      <c r="I1667" s="37"/>
    </row>
    <row r="1668" ht="22.5" customHeight="1">
      <c r="A1668" s="30"/>
      <c r="B1668" s="31"/>
      <c r="C1668" s="30"/>
      <c r="D1668" s="33"/>
      <c r="E1668" s="34"/>
      <c r="F1668" s="34"/>
      <c r="G1668" s="36"/>
      <c r="H1668" s="34"/>
      <c r="I1668" s="37"/>
    </row>
    <row r="1669" ht="22.5" customHeight="1">
      <c r="A1669" s="30"/>
      <c r="B1669" s="31"/>
      <c r="C1669" s="30"/>
      <c r="D1669" s="33"/>
      <c r="E1669" s="34"/>
      <c r="F1669" s="34"/>
      <c r="G1669" s="36"/>
      <c r="H1669" s="34"/>
      <c r="I1669" s="37"/>
    </row>
    <row r="1670" ht="22.5" customHeight="1">
      <c r="A1670" s="30"/>
      <c r="B1670" s="31"/>
      <c r="C1670" s="30"/>
      <c r="D1670" s="33"/>
      <c r="E1670" s="34"/>
      <c r="F1670" s="34"/>
      <c r="G1670" s="36"/>
      <c r="H1670" s="34"/>
      <c r="I1670" s="37"/>
    </row>
    <row r="1671" ht="22.5" customHeight="1">
      <c r="A1671" s="30"/>
      <c r="B1671" s="31"/>
      <c r="C1671" s="30"/>
      <c r="D1671" s="33"/>
      <c r="E1671" s="34"/>
      <c r="F1671" s="34"/>
      <c r="G1671" s="36"/>
      <c r="H1671" s="34"/>
      <c r="I1671" s="37"/>
    </row>
    <row r="1672" ht="22.5" customHeight="1">
      <c r="A1672" s="30"/>
      <c r="B1672" s="31"/>
      <c r="C1672" s="30"/>
      <c r="D1672" s="33"/>
      <c r="E1672" s="34"/>
      <c r="F1672" s="34"/>
      <c r="G1672" s="36"/>
      <c r="H1672" s="34"/>
      <c r="I1672" s="37"/>
    </row>
    <row r="1673" ht="22.5" customHeight="1">
      <c r="A1673" s="30"/>
      <c r="B1673" s="31"/>
      <c r="C1673" s="30"/>
      <c r="D1673" s="33"/>
      <c r="E1673" s="34"/>
      <c r="F1673" s="34"/>
      <c r="G1673" s="36"/>
      <c r="H1673" s="34"/>
      <c r="I1673" s="37"/>
    </row>
    <row r="1674" ht="22.5" customHeight="1">
      <c r="A1674" s="30"/>
      <c r="B1674" s="31"/>
      <c r="C1674" s="30"/>
      <c r="D1674" s="33"/>
      <c r="E1674" s="34"/>
      <c r="F1674" s="34"/>
      <c r="G1674" s="36"/>
      <c r="H1674" s="34"/>
      <c r="I1674" s="37"/>
    </row>
    <row r="1675" ht="22.5" customHeight="1">
      <c r="A1675" s="30"/>
      <c r="B1675" s="31"/>
      <c r="C1675" s="30"/>
      <c r="D1675" s="33"/>
      <c r="E1675" s="34"/>
      <c r="F1675" s="34"/>
      <c r="G1675" s="36"/>
      <c r="H1675" s="34"/>
      <c r="I1675" s="37"/>
    </row>
    <row r="1676" ht="22.5" customHeight="1">
      <c r="A1676" s="30"/>
      <c r="B1676" s="31"/>
      <c r="C1676" s="30"/>
      <c r="D1676" s="33"/>
      <c r="E1676" s="34"/>
      <c r="F1676" s="34"/>
      <c r="G1676" s="36"/>
      <c r="H1676" s="34"/>
      <c r="I1676" s="37"/>
    </row>
    <row r="1677" ht="22.5" customHeight="1">
      <c r="A1677" s="30"/>
      <c r="B1677" s="31"/>
      <c r="C1677" s="30"/>
      <c r="D1677" s="33"/>
      <c r="E1677" s="34"/>
      <c r="F1677" s="34"/>
      <c r="G1677" s="36"/>
      <c r="H1677" s="34"/>
      <c r="I1677" s="37"/>
    </row>
    <row r="1678" ht="22.5" customHeight="1">
      <c r="A1678" s="30"/>
      <c r="B1678" s="31"/>
      <c r="C1678" s="30"/>
      <c r="D1678" s="33"/>
      <c r="E1678" s="34"/>
      <c r="F1678" s="34"/>
      <c r="G1678" s="36"/>
      <c r="H1678" s="34"/>
      <c r="I1678" s="37"/>
    </row>
    <row r="1679" ht="22.5" customHeight="1">
      <c r="A1679" s="30"/>
      <c r="B1679" s="31"/>
      <c r="C1679" s="30"/>
      <c r="D1679" s="33"/>
      <c r="E1679" s="34"/>
      <c r="F1679" s="34"/>
      <c r="G1679" s="36"/>
      <c r="H1679" s="34"/>
      <c r="I1679" s="37"/>
    </row>
    <row r="1680" ht="22.5" customHeight="1">
      <c r="A1680" s="30"/>
      <c r="B1680" s="31"/>
      <c r="C1680" s="30"/>
      <c r="D1680" s="33"/>
      <c r="E1680" s="34"/>
      <c r="F1680" s="34"/>
      <c r="G1680" s="36"/>
      <c r="H1680" s="34"/>
      <c r="I1680" s="37"/>
    </row>
    <row r="1681" ht="22.5" customHeight="1">
      <c r="A1681" s="30"/>
      <c r="B1681" s="31"/>
      <c r="C1681" s="30"/>
      <c r="D1681" s="33"/>
      <c r="E1681" s="34"/>
      <c r="F1681" s="34"/>
      <c r="G1681" s="36"/>
      <c r="H1681" s="34"/>
      <c r="I1681" s="37"/>
    </row>
    <row r="1682" ht="22.5" customHeight="1">
      <c r="A1682" s="30"/>
      <c r="B1682" s="31"/>
      <c r="C1682" s="30"/>
      <c r="D1682" s="33"/>
      <c r="E1682" s="34"/>
      <c r="F1682" s="34"/>
      <c r="G1682" s="36"/>
      <c r="H1682" s="34"/>
      <c r="I1682" s="37"/>
    </row>
    <row r="1683" ht="22.5" customHeight="1">
      <c r="A1683" s="30"/>
      <c r="B1683" s="31"/>
      <c r="C1683" s="30"/>
      <c r="D1683" s="33"/>
      <c r="E1683" s="34"/>
      <c r="F1683" s="34"/>
      <c r="G1683" s="36"/>
      <c r="H1683" s="34"/>
      <c r="I1683" s="37"/>
    </row>
    <row r="1684" ht="22.5" customHeight="1">
      <c r="A1684" s="30"/>
      <c r="B1684" s="31"/>
      <c r="C1684" s="30"/>
      <c r="D1684" s="33"/>
      <c r="E1684" s="34"/>
      <c r="F1684" s="34"/>
      <c r="G1684" s="36"/>
      <c r="H1684" s="34"/>
      <c r="I1684" s="37"/>
    </row>
    <row r="1685" ht="22.5" customHeight="1">
      <c r="A1685" s="30"/>
      <c r="B1685" s="31"/>
      <c r="C1685" s="30"/>
      <c r="D1685" s="33"/>
      <c r="E1685" s="34"/>
      <c r="F1685" s="34"/>
      <c r="G1685" s="36"/>
      <c r="H1685" s="34"/>
      <c r="I1685" s="37"/>
    </row>
    <row r="1686" ht="22.5" customHeight="1">
      <c r="A1686" s="30"/>
      <c r="B1686" s="31"/>
      <c r="C1686" s="30"/>
      <c r="D1686" s="33"/>
      <c r="E1686" s="34"/>
      <c r="F1686" s="34"/>
      <c r="G1686" s="36"/>
      <c r="H1686" s="34"/>
      <c r="I1686" s="37"/>
    </row>
    <row r="1687" ht="22.5" customHeight="1">
      <c r="A1687" s="30"/>
      <c r="B1687" s="31"/>
      <c r="C1687" s="30"/>
      <c r="D1687" s="33"/>
      <c r="E1687" s="34"/>
      <c r="F1687" s="34"/>
      <c r="G1687" s="36"/>
      <c r="H1687" s="34"/>
      <c r="I1687" s="37"/>
    </row>
    <row r="1688" ht="22.5" customHeight="1">
      <c r="A1688" s="30"/>
      <c r="B1688" s="31"/>
      <c r="C1688" s="30"/>
      <c r="D1688" s="33"/>
      <c r="E1688" s="34"/>
      <c r="F1688" s="34"/>
      <c r="G1688" s="36"/>
      <c r="H1688" s="34"/>
      <c r="I1688" s="37"/>
    </row>
    <row r="1689" ht="22.5" customHeight="1">
      <c r="A1689" s="30"/>
      <c r="B1689" s="31"/>
      <c r="C1689" s="30"/>
      <c r="D1689" s="33"/>
      <c r="E1689" s="34"/>
      <c r="F1689" s="34"/>
      <c r="G1689" s="36"/>
      <c r="H1689" s="34"/>
      <c r="I1689" s="37"/>
    </row>
    <row r="1690" ht="22.5" customHeight="1">
      <c r="A1690" s="30"/>
      <c r="B1690" s="31"/>
      <c r="C1690" s="30"/>
      <c r="D1690" s="33"/>
      <c r="E1690" s="34"/>
      <c r="F1690" s="34"/>
      <c r="G1690" s="36"/>
      <c r="H1690" s="34"/>
      <c r="I1690" s="37"/>
    </row>
    <row r="1691" ht="22.5" customHeight="1">
      <c r="A1691" s="30"/>
      <c r="B1691" s="31"/>
      <c r="C1691" s="30"/>
      <c r="D1691" s="33"/>
      <c r="E1691" s="34"/>
      <c r="F1691" s="34"/>
      <c r="G1691" s="36"/>
      <c r="H1691" s="34"/>
      <c r="I1691" s="37"/>
    </row>
    <row r="1692" ht="22.5" customHeight="1">
      <c r="A1692" s="30"/>
      <c r="B1692" s="31"/>
      <c r="C1692" s="30"/>
      <c r="D1692" s="33"/>
      <c r="E1692" s="34"/>
      <c r="F1692" s="34"/>
      <c r="G1692" s="36"/>
      <c r="H1692" s="34"/>
      <c r="I1692" s="37"/>
    </row>
    <row r="1693" ht="22.5" customHeight="1">
      <c r="A1693" s="30"/>
      <c r="B1693" s="31"/>
      <c r="C1693" s="30"/>
      <c r="D1693" s="33"/>
      <c r="E1693" s="34"/>
      <c r="F1693" s="34"/>
      <c r="G1693" s="36"/>
      <c r="H1693" s="34"/>
      <c r="I1693" s="37"/>
    </row>
    <row r="1694" ht="22.5" customHeight="1">
      <c r="A1694" s="30"/>
      <c r="B1694" s="31"/>
      <c r="C1694" s="30"/>
      <c r="D1694" s="33"/>
      <c r="E1694" s="34"/>
      <c r="F1694" s="34"/>
      <c r="G1694" s="36"/>
      <c r="H1694" s="34"/>
      <c r="I1694" s="37"/>
    </row>
    <row r="1695" ht="22.5" customHeight="1">
      <c r="A1695" s="30"/>
      <c r="B1695" s="31"/>
      <c r="C1695" s="30"/>
      <c r="D1695" s="33"/>
      <c r="E1695" s="34"/>
      <c r="F1695" s="34"/>
      <c r="G1695" s="36"/>
      <c r="H1695" s="34"/>
      <c r="I1695" s="37"/>
    </row>
    <row r="1696" ht="22.5" customHeight="1">
      <c r="A1696" s="30"/>
      <c r="B1696" s="31"/>
      <c r="C1696" s="30"/>
      <c r="D1696" s="33"/>
      <c r="E1696" s="34"/>
      <c r="F1696" s="34"/>
      <c r="G1696" s="36"/>
      <c r="H1696" s="34"/>
      <c r="I1696" s="37"/>
    </row>
    <row r="1697" ht="22.5" customHeight="1">
      <c r="A1697" s="30"/>
      <c r="B1697" s="31"/>
      <c r="C1697" s="30"/>
      <c r="D1697" s="33"/>
      <c r="E1697" s="34"/>
      <c r="F1697" s="34"/>
      <c r="G1697" s="36"/>
      <c r="H1697" s="34"/>
      <c r="I1697" s="37"/>
    </row>
    <row r="1698" ht="22.5" customHeight="1">
      <c r="A1698" s="30"/>
      <c r="B1698" s="31"/>
      <c r="C1698" s="30"/>
      <c r="D1698" s="33"/>
      <c r="E1698" s="34"/>
      <c r="F1698" s="34"/>
      <c r="G1698" s="36"/>
      <c r="H1698" s="34"/>
      <c r="I1698" s="37"/>
    </row>
    <row r="1699" ht="22.5" customHeight="1">
      <c r="A1699" s="30"/>
      <c r="B1699" s="31"/>
      <c r="C1699" s="30"/>
      <c r="D1699" s="33"/>
      <c r="E1699" s="34"/>
      <c r="F1699" s="34"/>
      <c r="G1699" s="36"/>
      <c r="H1699" s="34"/>
      <c r="I1699" s="37"/>
    </row>
    <row r="1700" ht="22.5" customHeight="1">
      <c r="A1700" s="30"/>
      <c r="B1700" s="31"/>
      <c r="C1700" s="30"/>
      <c r="D1700" s="33"/>
      <c r="E1700" s="34"/>
      <c r="F1700" s="34"/>
      <c r="G1700" s="36"/>
      <c r="H1700" s="34"/>
      <c r="I1700" s="37"/>
    </row>
    <row r="1701" ht="22.5" customHeight="1">
      <c r="A1701" s="30"/>
      <c r="B1701" s="31"/>
      <c r="C1701" s="30"/>
      <c r="D1701" s="33"/>
      <c r="E1701" s="34"/>
      <c r="F1701" s="34"/>
      <c r="G1701" s="36"/>
      <c r="H1701" s="34"/>
      <c r="I1701" s="37"/>
    </row>
    <row r="1702" ht="22.5" customHeight="1">
      <c r="A1702" s="30"/>
      <c r="B1702" s="31"/>
      <c r="C1702" s="30"/>
      <c r="D1702" s="33"/>
      <c r="E1702" s="34"/>
      <c r="F1702" s="34"/>
      <c r="G1702" s="36"/>
      <c r="H1702" s="34"/>
      <c r="I1702" s="37"/>
    </row>
    <row r="1703" ht="22.5" customHeight="1">
      <c r="A1703" s="41"/>
      <c r="B1703" s="42"/>
      <c r="C1703" s="41"/>
      <c r="D1703" s="43"/>
      <c r="E1703" s="44"/>
      <c r="F1703" s="44"/>
      <c r="G1703" s="45"/>
      <c r="H1703" s="44"/>
      <c r="I1703" s="46"/>
    </row>
  </sheetData>
  <conditionalFormatting sqref="A6:I1703">
    <cfRule type="expression" dxfId="23" priority="1">
      <formula>$F6="BOLSA DE OXIGÊNIO"</formula>
    </cfRule>
  </conditionalFormatting>
  <conditionalFormatting sqref="A6:I1703">
    <cfRule type="expression" dxfId="17" priority="2">
      <formula>$F6="BOLSA DE SALV. ALTURA"</formula>
    </cfRule>
  </conditionalFormatting>
  <conditionalFormatting sqref="A6:I1703">
    <cfRule type="expression" dxfId="18" priority="3">
      <formula>$F6="BOLSA DE SALV ALTURA VERMELHA LACRADA"</formula>
    </cfRule>
  </conditionalFormatting>
  <conditionalFormatting sqref="A6:I1703">
    <cfRule type="expression" dxfId="19" priority="4">
      <formula>$F6="BOLSA DE SALV ALTURA CINZA LACRADA"</formula>
    </cfRule>
  </conditionalFormatting>
  <conditionalFormatting sqref="A6:I1703">
    <cfRule type="expression" dxfId="20" priority="5">
      <formula>$F6="BOX 06"</formula>
    </cfRule>
  </conditionalFormatting>
  <conditionalFormatting sqref="A6:I1703">
    <cfRule type="expression" dxfId="21" priority="6">
      <formula>$F6="BOX 07"</formula>
    </cfRule>
  </conditionalFormatting>
  <conditionalFormatting sqref="A6:I1703">
    <cfRule type="expression" dxfId="22" priority="7">
      <formula>$F6="BOX 08"</formula>
    </cfRule>
  </conditionalFormatting>
  <conditionalFormatting sqref="A6:I95">
    <cfRule type="expression" dxfId="24" priority="8">
      <formula>$F6="BOX TRASEIRO"</formula>
    </cfRule>
  </conditionalFormatting>
  <conditionalFormatting sqref="A6:I1703">
    <cfRule type="expression" dxfId="6" priority="9">
      <formula>$F6="BOLSA SALV. ALTURA (MERET)"</formula>
    </cfRule>
  </conditionalFormatting>
  <conditionalFormatting sqref="A6:I1703">
    <cfRule type="expression" dxfId="7" priority="10">
      <formula>$F6="BOX 01"</formula>
    </cfRule>
  </conditionalFormatting>
  <conditionalFormatting sqref="A6:I1703">
    <cfRule type="expression" dxfId="8" priority="11">
      <formula>$F6="BOX 02"</formula>
    </cfRule>
  </conditionalFormatting>
  <conditionalFormatting sqref="A6:I1703">
    <cfRule type="expression" dxfId="9" priority="12">
      <formula>$F6="BOX 03"</formula>
    </cfRule>
  </conditionalFormatting>
  <conditionalFormatting sqref="A6:I1703">
    <cfRule type="expression" dxfId="10" priority="13">
      <formula>$F6="BOX 04"</formula>
    </cfRule>
  </conditionalFormatting>
  <conditionalFormatting sqref="A6:I1703">
    <cfRule type="expression" dxfId="11" priority="14">
      <formula>$F6="BOX 05"</formula>
    </cfRule>
  </conditionalFormatting>
  <conditionalFormatting sqref="A6:I1703">
    <cfRule type="expression" dxfId="12" priority="15">
      <formula>$F6="BOX CENTRAL"</formula>
    </cfRule>
  </conditionalFormatting>
  <conditionalFormatting sqref="A6:I1703">
    <cfRule type="expression" dxfId="13" priority="16">
      <formula>$F6="BOX SUPERIOR 01"</formula>
    </cfRule>
  </conditionalFormatting>
  <conditionalFormatting sqref="A6:I1703">
    <cfRule type="expression" dxfId="14" priority="17">
      <formula>$F6="CABINE"</formula>
    </cfRule>
  </conditionalFormatting>
  <conditionalFormatting sqref="A6:I1703">
    <cfRule type="expression" dxfId="15" priority="18">
      <formula>$F6="CARROCERIA"</formula>
    </cfRule>
  </conditionalFormatting>
  <conditionalFormatting sqref="A6:I1703">
    <cfRule type="expression" dxfId="16" priority="19">
      <formula>$F6="CAIXA DE FERRAMENTA"</formula>
    </cfRule>
  </conditionalFormatting>
  <conditionalFormatting sqref="A6:I95">
    <cfRule type="expression" dxfId="25" priority="20">
      <formula>$F6="BOLSA DE RESGATE"</formula>
    </cfRule>
  </conditionalFormatting>
  <dataValidations>
    <dataValidation type="list" allowBlank="1" sqref="B2">
      <formula1>'Cadastro Automático VTRSEÇÃOMIL'!$C$1:$C1703</formula1>
    </dataValidation>
    <dataValidation allowBlank="1" showDropDown="1" sqref="B5:B1703"/>
    <dataValidation type="list" allowBlank="1" sqref="B1">
      <formula1>'Cadastro Automático VTRSEÇÃOMIL'!$B$1:$B1703</formula1>
    </dataValidation>
  </dataValidations>
  <printOptions gridLines="1" horizontalCentered="1"/>
  <pageMargins bottom="0.75" footer="0.0" header="0.0" left="0.25" right="0.25" top="0.75"/>
  <pageSetup fitToHeight="0" paperSize="9" cellComments="atEnd" orientation="portrait" pageOrder="overThenDown"/>
  <drawing r:id="rId1"/>
  <tableParts count="2"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20.38"/>
    <col customWidth="1" min="2" max="2" width="50.13"/>
    <col customWidth="1" min="3" max="3" width="9.5"/>
    <col customWidth="1" min="4" max="4" width="14.0"/>
    <col customWidth="1" min="5" max="5" width="21.88"/>
    <col customWidth="1" min="6" max="6" width="30.5"/>
    <col customWidth="1" min="7" max="7" width="14.25"/>
    <col customWidth="1" min="8" max="8" width="31.25"/>
    <col customWidth="1" min="9" max="9" width="81.38"/>
  </cols>
  <sheetData>
    <row r="1" ht="21.0" customHeight="1">
      <c r="A1" s="1" t="s">
        <v>0</v>
      </c>
      <c r="B1" s="2" t="s">
        <v>13</v>
      </c>
      <c r="C1" s="3"/>
      <c r="D1" s="3"/>
      <c r="E1" s="3"/>
      <c r="F1" s="3"/>
      <c r="G1" s="4"/>
      <c r="H1" s="49"/>
      <c r="I1" s="5"/>
    </row>
    <row r="2" ht="17.25" customHeight="1">
      <c r="A2" s="1" t="s">
        <v>2</v>
      </c>
      <c r="B2" s="2"/>
      <c r="C2" s="3"/>
      <c r="D2" s="3"/>
      <c r="E2" s="3"/>
      <c r="F2" s="3"/>
      <c r="G2" s="4"/>
      <c r="H2" s="4"/>
      <c r="I2" s="5"/>
    </row>
    <row r="3" ht="30.0" customHeight="1">
      <c r="A3" s="3"/>
      <c r="B3" s="3"/>
      <c r="C3" s="3"/>
      <c r="D3" s="3"/>
      <c r="E3" s="3"/>
      <c r="F3" s="3"/>
      <c r="G3" s="4"/>
      <c r="H3" s="49"/>
      <c r="I3" s="8"/>
    </row>
    <row r="4" ht="37.5" customHeight="1">
      <c r="A4" s="9" t="s">
        <v>14</v>
      </c>
      <c r="B4" s="10" t="s">
        <v>4</v>
      </c>
      <c r="C4" s="11" t="s">
        <v>5</v>
      </c>
      <c r="D4" s="12" t="s">
        <v>6</v>
      </c>
      <c r="E4" s="12" t="s">
        <v>0</v>
      </c>
      <c r="F4" s="12" t="s">
        <v>7</v>
      </c>
      <c r="G4" s="11" t="s">
        <v>8</v>
      </c>
      <c r="H4" s="50" t="s">
        <v>9</v>
      </c>
      <c r="I4" s="59" t="s">
        <v>15</v>
      </c>
    </row>
    <row r="5" ht="22.5" customHeight="1">
      <c r="A5" s="22"/>
      <c r="B5" s="23"/>
      <c r="C5" s="24"/>
      <c r="D5" s="25"/>
      <c r="E5" s="26"/>
      <c r="F5" s="26"/>
      <c r="G5" s="27"/>
      <c r="H5" s="26"/>
      <c r="I5" s="29"/>
    </row>
    <row r="6" ht="25.5" customHeight="1">
      <c r="A6" s="30">
        <f>IFERROR(__xludf.DUMMYFUNCTION("IF(B2&lt;&gt;"""",FILTER('Planilhas compilada ordem alfab'!A2:I1703,'Planilhas compilada ordem alfab'!E2:E1703=B1,'Planilhas compilada ordem alfab'!F2:F1703=B2),FILTER('Planilhas compilada ordem alfab'!A2:I1703,'Planilhas compilada ordem alfab'!E2:E1703=B1))"),764.0)</f>
        <v>764</v>
      </c>
      <c r="B6" s="31" t="str">
        <f>IFERROR(__xludf.DUMMYFUNCTION("""COMPUTED_VALUE"""),"CHAVE DE MANGUEIRA")</f>
        <v>CHAVE DE MANGUEIRA</v>
      </c>
      <c r="C6" s="32">
        <f>IFERROR(__xludf.DUMMYFUNCTION("""COMPUTED_VALUE"""),2.0)</f>
        <v>2</v>
      </c>
      <c r="D6" s="33" t="str">
        <f>IFERROR(__xludf.DUMMYFUNCTION("""COMPUTED_VALUE"""),"VIATURA")</f>
        <v>VIATURA</v>
      </c>
      <c r="E6" s="34" t="str">
        <f>IFERROR(__xludf.DUMMYFUNCTION("""COMPUTED_VALUE"""),"1 - ACIF5790")</f>
        <v>1 - ACIF5790</v>
      </c>
      <c r="F6" s="34" t="str">
        <f>IFERROR(__xludf.DUMMYFUNCTION("""COMPUTED_VALUE"""),"BOX 01")</f>
        <v>BOX 01</v>
      </c>
      <c r="G6" s="35"/>
      <c r="H6" s="34"/>
      <c r="I6" s="37"/>
    </row>
    <row r="7" ht="22.5" customHeight="1">
      <c r="A7" s="30">
        <f>IFERROR(__xludf.DUMMYFUNCTION("""COMPUTED_VALUE"""),174.0)</f>
        <v>174</v>
      </c>
      <c r="B7" s="31" t="str">
        <f>IFERROR(__xludf.DUMMYFUNCTION("""COMPUTED_VALUE"""),"MANGUEIRA DE 1 ¹/²")</f>
        <v>MANGUEIRA DE 1 ¹/²</v>
      </c>
      <c r="C7" s="32">
        <f>IFERROR(__xludf.DUMMYFUNCTION("""COMPUTED_VALUE"""),3.0)</f>
        <v>3</v>
      </c>
      <c r="D7" s="33" t="str">
        <f>IFERROR(__xludf.DUMMYFUNCTION("""COMPUTED_VALUE"""),"VIATURA")</f>
        <v>VIATURA</v>
      </c>
      <c r="E7" s="34" t="str">
        <f>IFERROR(__xludf.DUMMYFUNCTION("""COMPUTED_VALUE"""),"1 - ACIF5790")</f>
        <v>1 - ACIF5790</v>
      </c>
      <c r="F7" s="34" t="str">
        <f>IFERROR(__xludf.DUMMYFUNCTION("""COMPUTED_VALUE"""),"BOX 01")</f>
        <v>BOX 01</v>
      </c>
      <c r="G7" s="35">
        <f>IFERROR(__xludf.DUMMYFUNCTION("""COMPUTED_VALUE"""),45819.0)</f>
        <v>45819</v>
      </c>
      <c r="H7" s="34"/>
      <c r="I7" s="37"/>
    </row>
    <row r="8" ht="22.5" customHeight="1">
      <c r="A8" s="30">
        <f>IFERROR(__xludf.DUMMYFUNCTION("""COMPUTED_VALUE"""),1011.0)</f>
        <v>1011</v>
      </c>
      <c r="B8" s="31" t="str">
        <f>IFERROR(__xludf.DUMMYFUNCTION("""COMPUTED_VALUE"""),"MOCHILA COSTAL (VALLFIREST) C/ ESGUICHO")</f>
        <v>MOCHILA COSTAL (VALLFIREST) C/ ESGUICHO</v>
      </c>
      <c r="C8" s="32">
        <f>IFERROR(__xludf.DUMMYFUNCTION("""COMPUTED_VALUE"""),1.0)</f>
        <v>1</v>
      </c>
      <c r="D8" s="33" t="str">
        <f>IFERROR(__xludf.DUMMYFUNCTION("""COMPUTED_VALUE"""),"VIATURA")</f>
        <v>VIATURA</v>
      </c>
      <c r="E8" s="34" t="str">
        <f>IFERROR(__xludf.DUMMYFUNCTION("""COMPUTED_VALUE"""),"1 - ACIF5790")</f>
        <v>1 - ACIF5790</v>
      </c>
      <c r="F8" s="34" t="str">
        <f>IFERROR(__xludf.DUMMYFUNCTION("""COMPUTED_VALUE"""),"BOX 01")</f>
        <v>BOX 01</v>
      </c>
      <c r="G8" s="35">
        <f>IFERROR(__xludf.DUMMYFUNCTION("""COMPUTED_VALUE"""),7.6725529E7)</f>
        <v>76725529</v>
      </c>
      <c r="H8" s="34"/>
      <c r="I8" s="38" t="str">
        <f>IFERROR(__xludf.DUMMYFUNCTION("""COMPUTED_VALUE"""),"MOCHILA COSTAL (VALLFIREST) C/ ESGUICHO")</f>
        <v>MOCHILA COSTAL (VALLFIREST) C/ ESGUICHO</v>
      </c>
    </row>
    <row r="9" ht="22.5" customHeight="1">
      <c r="A9" s="30">
        <f>IFERROR(__xludf.DUMMYFUNCTION("""COMPUTED_VALUE"""),765.0)</f>
        <v>765</v>
      </c>
      <c r="B9" s="39" t="str">
        <f>IFERROR(__xludf.DUMMYFUNCTION("""COMPUTED_VALUE"""),"REDUÇÃO 2 ¹/² P/ 1¹/² ")</f>
        <v>REDUÇÃO 2 ¹/² P/ 1¹/² </v>
      </c>
      <c r="C9" s="32">
        <f>IFERROR(__xludf.DUMMYFUNCTION("""COMPUTED_VALUE"""),1.0)</f>
        <v>1</v>
      </c>
      <c r="D9" s="33" t="str">
        <f>IFERROR(__xludf.DUMMYFUNCTION("""COMPUTED_VALUE"""),"VIATURA")</f>
        <v>VIATURA</v>
      </c>
      <c r="E9" s="34" t="str">
        <f>IFERROR(__xludf.DUMMYFUNCTION("""COMPUTED_VALUE"""),"1 - ACIF5790")</f>
        <v>1 - ACIF5790</v>
      </c>
      <c r="F9" s="34" t="str">
        <f>IFERROR(__xludf.DUMMYFUNCTION("""COMPUTED_VALUE"""),"BOX 01")</f>
        <v>BOX 01</v>
      </c>
      <c r="G9" s="35"/>
      <c r="H9" s="34"/>
      <c r="I9" s="37"/>
    </row>
    <row r="10" ht="22.5" customHeight="1">
      <c r="A10" s="30">
        <f>IFERROR(__xludf.DUMMYFUNCTION("""COMPUTED_VALUE"""),176.0)</f>
        <v>176</v>
      </c>
      <c r="B10" s="31" t="str">
        <f>IFERROR(__xludf.DUMMYFUNCTION("""COMPUTED_VALUE"""),"ADAPTADOR STORZ 2 ¹/²"" PARA ROSCA 3 FIOS")</f>
        <v>ADAPTADOR STORZ 2 ¹/²" PARA ROSCA 3 FIOS</v>
      </c>
      <c r="C10" s="32">
        <f>IFERROR(__xludf.DUMMYFUNCTION("""COMPUTED_VALUE"""),1.0)</f>
        <v>1</v>
      </c>
      <c r="D10" s="33" t="str">
        <f>IFERROR(__xludf.DUMMYFUNCTION("""COMPUTED_VALUE"""),"VIATURA")</f>
        <v>VIATURA</v>
      </c>
      <c r="E10" s="34" t="str">
        <f>IFERROR(__xludf.DUMMYFUNCTION("""COMPUTED_VALUE"""),"1 - ACIF5790")</f>
        <v>1 - ACIF5790</v>
      </c>
      <c r="F10" s="34" t="str">
        <f>IFERROR(__xludf.DUMMYFUNCTION("""COMPUTED_VALUE"""),"CABINE")</f>
        <v>CABINE</v>
      </c>
      <c r="G10" s="35"/>
      <c r="H10" s="34"/>
      <c r="I10" s="37"/>
    </row>
    <row r="11" ht="22.5" customHeight="1">
      <c r="A11" s="30">
        <f>IFERROR(__xludf.DUMMYFUNCTION("""COMPUTED_VALUE"""),97.0)</f>
        <v>97</v>
      </c>
      <c r="B11" s="31" t="str">
        <f>IFERROR(__xludf.DUMMYFUNCTION("""COMPUTED_VALUE"""),"CHAVE DE REGISTRO DE HIDRANTE TIPO “T”")</f>
        <v>CHAVE DE REGISTRO DE HIDRANTE TIPO “T”</v>
      </c>
      <c r="C11" s="32">
        <f>IFERROR(__xludf.DUMMYFUNCTION("""COMPUTED_VALUE"""),1.0)</f>
        <v>1</v>
      </c>
      <c r="D11" s="33" t="str">
        <f>IFERROR(__xludf.DUMMYFUNCTION("""COMPUTED_VALUE"""),"VIATURA")</f>
        <v>VIATURA</v>
      </c>
      <c r="E11" s="34" t="str">
        <f>IFERROR(__xludf.DUMMYFUNCTION("""COMPUTED_VALUE"""),"1 - ACIF5790")</f>
        <v>1 - ACIF5790</v>
      </c>
      <c r="F11" s="34" t="str">
        <f>IFERROR(__xludf.DUMMYFUNCTION("""COMPUTED_VALUE"""),"CABINE")</f>
        <v>CABINE</v>
      </c>
      <c r="G11" s="35">
        <f>IFERROR(__xludf.DUMMYFUNCTION("""COMPUTED_VALUE"""),45525.0)</f>
        <v>45525</v>
      </c>
      <c r="H11" s="34"/>
      <c r="I11" s="37"/>
    </row>
    <row r="12" ht="22.5" customHeight="1">
      <c r="A12" s="30">
        <f>IFERROR(__xludf.DUMMYFUNCTION("""COMPUTED_VALUE"""),1237.0)</f>
        <v>1237</v>
      </c>
      <c r="B12" s="31" t="str">
        <f>IFERROR(__xludf.DUMMYFUNCTION("""COMPUTED_VALUE"""),"ESGUICHO PARA MANGUEIRA COMBATE A INCENDIO -")</f>
        <v>ESGUICHO PARA MANGUEIRA COMBATE A INCENDIO -</v>
      </c>
      <c r="C12" s="32">
        <f>IFERROR(__xludf.DUMMYFUNCTION("""COMPUTED_VALUE"""),1.0)</f>
        <v>1</v>
      </c>
      <c r="D12" s="33" t="str">
        <f>IFERROR(__xludf.DUMMYFUNCTION("""COMPUTED_VALUE"""),"VIATURA")</f>
        <v>VIATURA</v>
      </c>
      <c r="E12" s="34" t="str">
        <f>IFERROR(__xludf.DUMMYFUNCTION("""COMPUTED_VALUE"""),"1 - ACIF5790")</f>
        <v>1 - ACIF5790</v>
      </c>
      <c r="F12" s="34" t="str">
        <f>IFERROR(__xludf.DUMMYFUNCTION("""COMPUTED_VALUE"""),"CABINE")</f>
        <v>CABINE</v>
      </c>
      <c r="G12" s="35">
        <f>IFERROR(__xludf.DUMMYFUNCTION("""COMPUTED_VALUE"""),7.6904164E7)</f>
        <v>76904164</v>
      </c>
      <c r="H12" s="34" t="str">
        <f>IFERROR(__xludf.DUMMYFUNCTION("""COMPUTED_VALUE"""),"N.S- 0600-23 ")</f>
        <v>N.S- 0600-23 </v>
      </c>
      <c r="I12" s="37" t="str">
        <f>IFERROR(__xludf.DUMMYFUNCTION("""COMPUTED_VALUE"""),"Esguicho POK Firefighting equipment ")</f>
        <v>Esguicho POK Firefighting equipment </v>
      </c>
    </row>
    <row r="13" ht="22.5" customHeight="1">
      <c r="A13" s="30">
        <f>IFERROR(__xludf.DUMMYFUNCTION("""COMPUTED_VALUE"""),177.0)</f>
        <v>177</v>
      </c>
      <c r="B13" s="39" t="str">
        <f>IFERROR(__xludf.DUMMYFUNCTION("""COMPUTED_VALUE"""),"LANTERNA TÁTICA NIGHTSTICK")</f>
        <v>LANTERNA TÁTICA NIGHTSTICK</v>
      </c>
      <c r="C13" s="32">
        <f>IFERROR(__xludf.DUMMYFUNCTION("""COMPUTED_VALUE"""),1.0)</f>
        <v>1</v>
      </c>
      <c r="D13" s="33" t="str">
        <f>IFERROR(__xludf.DUMMYFUNCTION("""COMPUTED_VALUE"""),"VIATURA")</f>
        <v>VIATURA</v>
      </c>
      <c r="E13" s="34" t="str">
        <f>IFERROR(__xludf.DUMMYFUNCTION("""COMPUTED_VALUE"""),"1 - ACIF5790")</f>
        <v>1 - ACIF5790</v>
      </c>
      <c r="F13" s="34" t="str">
        <f>IFERROR(__xludf.DUMMYFUNCTION("""COMPUTED_VALUE"""),"CABINE")</f>
        <v>CABINE</v>
      </c>
      <c r="G13" s="35"/>
      <c r="H13" s="34"/>
      <c r="I13" s="37"/>
    </row>
    <row r="14" ht="22.5" customHeight="1">
      <c r="A14" s="30">
        <f>IFERROR(__xludf.DUMMYFUNCTION("""COMPUTED_VALUE"""),1542.0)</f>
        <v>1542</v>
      </c>
      <c r="B14" s="31" t="str">
        <f>IFERROR(__xludf.DUMMYFUNCTION("""COMPUTED_VALUE"""),"RÁDIO MÓVEL -")</f>
        <v>RÁDIO MÓVEL -</v>
      </c>
      <c r="C14" s="32">
        <f>IFERROR(__xludf.DUMMYFUNCTION("""COMPUTED_VALUE"""),1.0)</f>
        <v>1</v>
      </c>
      <c r="D14" s="33" t="str">
        <f>IFERROR(__xludf.DUMMYFUNCTION("""COMPUTED_VALUE"""),"VIATURA")</f>
        <v>VIATURA</v>
      </c>
      <c r="E14" s="34" t="str">
        <f>IFERROR(__xludf.DUMMYFUNCTION("""COMPUTED_VALUE"""),"1 - ACIF5790")</f>
        <v>1 - ACIF5790</v>
      </c>
      <c r="F14" s="34" t="str">
        <f>IFERROR(__xludf.DUMMYFUNCTION("""COMPUTED_VALUE"""),"CABINE")</f>
        <v>CABINE</v>
      </c>
      <c r="G14" s="35">
        <f>IFERROR(__xludf.DUMMYFUNCTION("""COMPUTED_VALUE"""),5.5961134E7)</f>
        <v>55961134</v>
      </c>
      <c r="H14" s="34"/>
      <c r="I14" s="37"/>
    </row>
    <row r="15" ht="22.5" customHeight="1">
      <c r="A15" s="30">
        <f>IFERROR(__xludf.DUMMYFUNCTION("""COMPUTED_VALUE"""),762.0)</f>
        <v>762</v>
      </c>
      <c r="B15" s="39" t="str">
        <f>IFERROR(__xludf.DUMMYFUNCTION("""COMPUTED_VALUE"""),"ABAFADOR PARA COMBATE A INCENDIO FLORESTAL")</f>
        <v>ABAFADOR PARA COMBATE A INCENDIO FLORESTAL</v>
      </c>
      <c r="C15" s="32">
        <f>IFERROR(__xludf.DUMMYFUNCTION("""COMPUTED_VALUE"""),2.0)</f>
        <v>2</v>
      </c>
      <c r="D15" s="33" t="str">
        <f>IFERROR(__xludf.DUMMYFUNCTION("""COMPUTED_VALUE"""),"VIATURA")</f>
        <v>VIATURA</v>
      </c>
      <c r="E15" s="34" t="str">
        <f>IFERROR(__xludf.DUMMYFUNCTION("""COMPUTED_VALUE"""),"1 - ACIF5790")</f>
        <v>1 - ACIF5790</v>
      </c>
      <c r="F15" s="34" t="str">
        <f>IFERROR(__xludf.DUMMYFUNCTION("""COMPUTED_VALUE"""),"PARTE EXTERNA")</f>
        <v>PARTE EXTERNA</v>
      </c>
      <c r="G15" s="35"/>
      <c r="H15" s="34"/>
      <c r="I15" s="37"/>
    </row>
    <row r="16" ht="22.5" customHeight="1">
      <c r="A16" s="30">
        <f>IFERROR(__xludf.DUMMYFUNCTION("""COMPUTED_VALUE"""),763.0)</f>
        <v>763</v>
      </c>
      <c r="B16" s="31" t="str">
        <f>IFERROR(__xludf.DUMMYFUNCTION("""COMPUTED_VALUE"""),"CABO SOLTEIRO")</f>
        <v>CABO SOLTEIRO</v>
      </c>
      <c r="C16" s="32">
        <f>IFERROR(__xludf.DUMMYFUNCTION("""COMPUTED_VALUE"""),2.0)</f>
        <v>2</v>
      </c>
      <c r="D16" s="33" t="str">
        <f>IFERROR(__xludf.DUMMYFUNCTION("""COMPUTED_VALUE"""),"VIATURA")</f>
        <v>VIATURA</v>
      </c>
      <c r="E16" s="34" t="str">
        <f>IFERROR(__xludf.DUMMYFUNCTION("""COMPUTED_VALUE"""),"1 - ACIF5790")</f>
        <v>1 - ACIF5790</v>
      </c>
      <c r="F16" s="34" t="str">
        <f>IFERROR(__xludf.DUMMYFUNCTION("""COMPUTED_VALUE"""),"PARTE EXTERNA")</f>
        <v>PARTE EXTERNA</v>
      </c>
      <c r="G16" s="35"/>
      <c r="H16" s="34"/>
      <c r="I16" s="37" t="str">
        <f>IFERROR(__xludf.DUMMYFUNCTION("""COMPUTED_VALUE"""),"AMARRANDO OS ABAFADORES.")</f>
        <v>AMARRANDO OS ABAFADORES.</v>
      </c>
    </row>
    <row r="17" ht="22.5" customHeight="1">
      <c r="A17" s="30">
        <f>IFERROR(__xludf.DUMMYFUNCTION("""COMPUTED_VALUE"""),761.0)</f>
        <v>761</v>
      </c>
      <c r="B17" s="31" t="str">
        <f>IFERROR(__xludf.DUMMYFUNCTION("""COMPUTED_VALUE"""),"CONE SINALEIRO")</f>
        <v>CONE SINALEIRO</v>
      </c>
      <c r="C17" s="32">
        <f>IFERROR(__xludf.DUMMYFUNCTION("""COMPUTED_VALUE"""),2.0)</f>
        <v>2</v>
      </c>
      <c r="D17" s="33" t="str">
        <f>IFERROR(__xludf.DUMMYFUNCTION("""COMPUTED_VALUE"""),"VIATURA")</f>
        <v>VIATURA</v>
      </c>
      <c r="E17" s="34" t="str">
        <f>IFERROR(__xludf.DUMMYFUNCTION("""COMPUTED_VALUE"""),"1 - ACIF5790")</f>
        <v>1 - ACIF5790</v>
      </c>
      <c r="F17" s="34" t="str">
        <f>IFERROR(__xludf.DUMMYFUNCTION("""COMPUTED_VALUE"""),"PARTE EXTERNA")</f>
        <v>PARTE EXTERNA</v>
      </c>
      <c r="G17" s="35"/>
      <c r="H17" s="34"/>
      <c r="I17" s="37"/>
    </row>
    <row r="18" ht="22.5" customHeight="1">
      <c r="A18" s="30">
        <f>IFERROR(__xludf.DUMMYFUNCTION("""COMPUTED_VALUE"""),760.0)</f>
        <v>760</v>
      </c>
      <c r="B18" s="31" t="str">
        <f>IFERROR(__xludf.DUMMYFUNCTION("""COMPUTED_VALUE"""),"CALÇO PARA VIATURA (FERRO)")</f>
        <v>CALÇO PARA VIATURA (FERRO)</v>
      </c>
      <c r="C18" s="32">
        <f>IFERROR(__xludf.DUMMYFUNCTION("""COMPUTED_VALUE"""),1.0)</f>
        <v>1</v>
      </c>
      <c r="D18" s="33" t="str">
        <f>IFERROR(__xludf.DUMMYFUNCTION("""COMPUTED_VALUE"""),"VIATURA")</f>
        <v>VIATURA</v>
      </c>
      <c r="E18" s="34" t="str">
        <f>IFERROR(__xludf.DUMMYFUNCTION("""COMPUTED_VALUE"""),"1 - ACIF5790")</f>
        <v>1 - ACIF5790</v>
      </c>
      <c r="F18" s="34"/>
      <c r="G18" s="35"/>
      <c r="H18" s="34"/>
      <c r="I18" s="37"/>
    </row>
    <row r="19" ht="22.5" customHeight="1">
      <c r="A19" s="30">
        <f>IFERROR(__xludf.DUMMYFUNCTION("""COMPUTED_VALUE"""),175.0)</f>
        <v>175</v>
      </c>
      <c r="B19" s="31" t="str">
        <f>IFERROR(__xludf.DUMMYFUNCTION("""COMPUTED_VALUE"""),"LUZ ROTATIVA DE EMERGÊNCIA VEICULAR")</f>
        <v>LUZ ROTATIVA DE EMERGÊNCIA VEICULAR</v>
      </c>
      <c r="C19" s="32">
        <f>IFERROR(__xludf.DUMMYFUNCTION("""COMPUTED_VALUE"""),1.0)</f>
        <v>1</v>
      </c>
      <c r="D19" s="33" t="str">
        <f>IFERROR(__xludf.DUMMYFUNCTION("""COMPUTED_VALUE"""),"VIATURA")</f>
        <v>VIATURA</v>
      </c>
      <c r="E19" s="34" t="str">
        <f>IFERROR(__xludf.DUMMYFUNCTION("""COMPUTED_VALUE"""),"1 - ACIF5790")</f>
        <v>1 - ACIF5790</v>
      </c>
      <c r="F19" s="34"/>
      <c r="G19" s="35"/>
      <c r="H19" s="34"/>
      <c r="I19" s="37"/>
    </row>
    <row r="20" ht="22.5" customHeight="1">
      <c r="A20" s="30"/>
      <c r="B20" s="31"/>
      <c r="C20" s="32"/>
      <c r="D20" s="33"/>
      <c r="E20" s="34"/>
      <c r="F20" s="34"/>
      <c r="G20" s="35"/>
      <c r="H20" s="34"/>
      <c r="I20" s="37"/>
    </row>
    <row r="21" ht="22.5" customHeight="1">
      <c r="A21" s="30"/>
      <c r="B21" s="31"/>
      <c r="C21" s="32"/>
      <c r="D21" s="33"/>
      <c r="E21" s="34"/>
      <c r="F21" s="34"/>
      <c r="G21" s="35"/>
      <c r="H21" s="34"/>
      <c r="I21" s="37"/>
    </row>
    <row r="22" ht="22.5" customHeight="1">
      <c r="A22" s="30"/>
      <c r="B22" s="31"/>
      <c r="C22" s="32"/>
      <c r="D22" s="33"/>
      <c r="E22" s="34"/>
      <c r="F22" s="34"/>
      <c r="G22" s="35"/>
      <c r="H22" s="34"/>
      <c r="I22" s="37"/>
    </row>
    <row r="23" ht="22.5" customHeight="1">
      <c r="A23" s="30"/>
      <c r="B23" s="31"/>
      <c r="C23" s="32"/>
      <c r="D23" s="33"/>
      <c r="E23" s="34"/>
      <c r="F23" s="34"/>
      <c r="G23" s="35"/>
      <c r="H23" s="34"/>
      <c r="I23" s="37"/>
    </row>
    <row r="24" ht="22.5" customHeight="1">
      <c r="A24" s="30"/>
      <c r="B24" s="31"/>
      <c r="C24" s="32"/>
      <c r="D24" s="33"/>
      <c r="E24" s="34"/>
      <c r="F24" s="34"/>
      <c r="G24" s="35"/>
      <c r="H24" s="34"/>
      <c r="I24" s="37"/>
    </row>
    <row r="25" ht="22.5" customHeight="1">
      <c r="A25" s="30"/>
      <c r="B25" s="31"/>
      <c r="C25" s="32"/>
      <c r="D25" s="33"/>
      <c r="E25" s="34"/>
      <c r="F25" s="34"/>
      <c r="G25" s="35"/>
      <c r="H25" s="34"/>
      <c r="I25" s="37"/>
    </row>
    <row r="26" ht="22.5" customHeight="1">
      <c r="A26" s="30"/>
      <c r="B26" s="40"/>
      <c r="C26" s="32"/>
      <c r="D26" s="33"/>
      <c r="E26" s="34"/>
      <c r="F26" s="34"/>
      <c r="G26" s="35"/>
      <c r="H26" s="34"/>
      <c r="I26" s="37"/>
    </row>
    <row r="27" ht="22.5" customHeight="1">
      <c r="A27" s="30"/>
      <c r="B27" s="31"/>
      <c r="C27" s="32"/>
      <c r="D27" s="33"/>
      <c r="E27" s="34"/>
      <c r="F27" s="34"/>
      <c r="G27" s="35"/>
      <c r="H27" s="34"/>
      <c r="I27" s="37"/>
    </row>
    <row r="28" ht="22.5" customHeight="1">
      <c r="A28" s="30"/>
      <c r="B28" s="31"/>
      <c r="C28" s="32"/>
      <c r="D28" s="33"/>
      <c r="E28" s="34"/>
      <c r="F28" s="34"/>
      <c r="G28" s="35"/>
      <c r="H28" s="34"/>
      <c r="I28" s="37"/>
    </row>
    <row r="29" ht="22.5" customHeight="1">
      <c r="A29" s="30"/>
      <c r="B29" s="31"/>
      <c r="C29" s="32"/>
      <c r="D29" s="33"/>
      <c r="E29" s="34"/>
      <c r="F29" s="34"/>
      <c r="G29" s="35"/>
      <c r="H29" s="34"/>
      <c r="I29" s="37"/>
    </row>
    <row r="30" ht="22.5" customHeight="1">
      <c r="A30" s="30"/>
      <c r="B30" s="31"/>
      <c r="C30" s="32"/>
      <c r="D30" s="33"/>
      <c r="E30" s="34"/>
      <c r="F30" s="34"/>
      <c r="G30" s="35"/>
      <c r="H30" s="34"/>
      <c r="I30" s="37"/>
    </row>
    <row r="31" ht="22.5" customHeight="1">
      <c r="A31" s="30"/>
      <c r="B31" s="31"/>
      <c r="C31" s="32"/>
      <c r="D31" s="33"/>
      <c r="E31" s="34"/>
      <c r="F31" s="34"/>
      <c r="G31" s="35"/>
      <c r="H31" s="34"/>
      <c r="I31" s="37"/>
    </row>
    <row r="32" ht="22.5" customHeight="1">
      <c r="A32" s="30"/>
      <c r="B32" s="31"/>
      <c r="C32" s="32"/>
      <c r="D32" s="33"/>
      <c r="E32" s="34"/>
      <c r="F32" s="34"/>
      <c r="G32" s="35"/>
      <c r="H32" s="34"/>
      <c r="I32" s="37"/>
    </row>
    <row r="33" ht="22.5" customHeight="1">
      <c r="A33" s="30"/>
      <c r="B33" s="39"/>
      <c r="C33" s="32"/>
      <c r="D33" s="33"/>
      <c r="E33" s="34"/>
      <c r="F33" s="34"/>
      <c r="G33" s="35"/>
      <c r="H33" s="34"/>
      <c r="I33" s="37"/>
    </row>
    <row r="34" ht="22.5" customHeight="1">
      <c r="A34" s="30"/>
      <c r="B34" s="39"/>
      <c r="C34" s="32"/>
      <c r="D34" s="33"/>
      <c r="E34" s="34"/>
      <c r="F34" s="34"/>
      <c r="G34" s="35"/>
      <c r="H34" s="34"/>
      <c r="I34" s="37"/>
    </row>
    <row r="35" ht="22.5" customHeight="1">
      <c r="A35" s="30"/>
      <c r="B35" s="39"/>
      <c r="C35" s="32"/>
      <c r="D35" s="33"/>
      <c r="E35" s="34"/>
      <c r="F35" s="34"/>
      <c r="G35" s="35"/>
      <c r="H35" s="34"/>
      <c r="I35" s="37"/>
    </row>
    <row r="36" ht="22.5" customHeight="1">
      <c r="A36" s="30"/>
      <c r="B36" s="40"/>
      <c r="C36" s="32"/>
      <c r="D36" s="33"/>
      <c r="E36" s="34"/>
      <c r="F36" s="34"/>
      <c r="G36" s="35"/>
      <c r="H36" s="34"/>
      <c r="I36" s="37"/>
    </row>
    <row r="37" ht="22.5" customHeight="1">
      <c r="A37" s="30"/>
      <c r="B37" s="31"/>
      <c r="C37" s="32"/>
      <c r="D37" s="33"/>
      <c r="E37" s="34"/>
      <c r="F37" s="34"/>
      <c r="G37" s="35"/>
      <c r="H37" s="34"/>
      <c r="I37" s="37"/>
    </row>
    <row r="38" ht="22.5" customHeight="1">
      <c r="A38" s="30"/>
      <c r="B38" s="31"/>
      <c r="C38" s="32"/>
      <c r="D38" s="33"/>
      <c r="E38" s="34"/>
      <c r="F38" s="34"/>
      <c r="G38" s="35"/>
      <c r="H38" s="34"/>
      <c r="I38" s="37"/>
    </row>
    <row r="39" ht="22.5" customHeight="1">
      <c r="A39" s="30"/>
      <c r="B39" s="31"/>
      <c r="C39" s="32"/>
      <c r="D39" s="33"/>
      <c r="E39" s="34"/>
      <c r="F39" s="34"/>
      <c r="G39" s="35"/>
      <c r="H39" s="34"/>
      <c r="I39" s="37"/>
    </row>
    <row r="40" ht="22.5" customHeight="1">
      <c r="A40" s="30"/>
      <c r="B40" s="31"/>
      <c r="C40" s="32"/>
      <c r="D40" s="33"/>
      <c r="E40" s="34"/>
      <c r="F40" s="34"/>
      <c r="G40" s="35"/>
      <c r="H40" s="34"/>
      <c r="I40" s="37"/>
    </row>
    <row r="41" ht="22.5" customHeight="1">
      <c r="A41" s="30"/>
      <c r="B41" s="31"/>
      <c r="C41" s="32"/>
      <c r="D41" s="33"/>
      <c r="E41" s="34"/>
      <c r="F41" s="34"/>
      <c r="G41" s="35"/>
      <c r="H41" s="34"/>
      <c r="I41" s="37"/>
    </row>
    <row r="42" ht="22.5" customHeight="1">
      <c r="A42" s="30"/>
      <c r="B42" s="31"/>
      <c r="C42" s="32"/>
      <c r="D42" s="33"/>
      <c r="E42" s="34"/>
      <c r="F42" s="34"/>
      <c r="G42" s="35"/>
      <c r="H42" s="34"/>
      <c r="I42" s="37"/>
    </row>
    <row r="43" ht="22.5" customHeight="1">
      <c r="A43" s="30"/>
      <c r="B43" s="31"/>
      <c r="C43" s="32"/>
      <c r="D43" s="33"/>
      <c r="E43" s="34"/>
      <c r="F43" s="34"/>
      <c r="G43" s="35"/>
      <c r="H43" s="34"/>
      <c r="I43" s="37"/>
    </row>
    <row r="44" ht="22.5" customHeight="1">
      <c r="A44" s="30"/>
      <c r="B44" s="31"/>
      <c r="C44" s="32"/>
      <c r="D44" s="33"/>
      <c r="E44" s="34"/>
      <c r="F44" s="34"/>
      <c r="G44" s="35"/>
      <c r="H44" s="34"/>
      <c r="I44" s="37"/>
    </row>
    <row r="45" ht="22.5" customHeight="1">
      <c r="A45" s="30"/>
      <c r="B45" s="31"/>
      <c r="C45" s="32"/>
      <c r="D45" s="33"/>
      <c r="E45" s="34"/>
      <c r="F45" s="34"/>
      <c r="G45" s="35"/>
      <c r="H45" s="34"/>
      <c r="I45" s="37"/>
    </row>
    <row r="46" ht="22.5" customHeight="1">
      <c r="A46" s="30"/>
      <c r="B46" s="40"/>
      <c r="C46" s="32"/>
      <c r="D46" s="33"/>
      <c r="E46" s="34"/>
      <c r="F46" s="34"/>
      <c r="G46" s="35"/>
      <c r="H46" s="34"/>
      <c r="I46" s="37"/>
    </row>
    <row r="47" ht="22.5" customHeight="1">
      <c r="A47" s="30"/>
      <c r="B47" s="31"/>
      <c r="C47" s="32"/>
      <c r="D47" s="33"/>
      <c r="E47" s="34"/>
      <c r="F47" s="34"/>
      <c r="G47" s="35"/>
      <c r="H47" s="34"/>
      <c r="I47" s="37"/>
    </row>
    <row r="48" ht="22.5" customHeight="1">
      <c r="A48" s="30"/>
      <c r="B48" s="31"/>
      <c r="C48" s="32"/>
      <c r="D48" s="33"/>
      <c r="E48" s="34"/>
      <c r="F48" s="34"/>
      <c r="G48" s="35"/>
      <c r="H48" s="34"/>
      <c r="I48" s="37"/>
    </row>
    <row r="49" ht="22.5" customHeight="1">
      <c r="A49" s="30"/>
      <c r="B49" s="31"/>
      <c r="C49" s="32"/>
      <c r="D49" s="33"/>
      <c r="E49" s="34"/>
      <c r="F49" s="34"/>
      <c r="G49" s="35"/>
      <c r="H49" s="34"/>
      <c r="I49" s="37"/>
    </row>
    <row r="50" ht="22.5" customHeight="1">
      <c r="A50" s="30"/>
      <c r="B50" s="40"/>
      <c r="C50" s="32"/>
      <c r="D50" s="33"/>
      <c r="E50" s="34"/>
      <c r="F50" s="34"/>
      <c r="G50" s="35"/>
      <c r="H50" s="34"/>
      <c r="I50" s="37"/>
    </row>
    <row r="51" ht="22.5" customHeight="1">
      <c r="A51" s="30"/>
      <c r="B51" s="31"/>
      <c r="C51" s="32"/>
      <c r="D51" s="33"/>
      <c r="E51" s="34"/>
      <c r="F51" s="34"/>
      <c r="G51" s="35"/>
      <c r="H51" s="34"/>
      <c r="I51" s="37"/>
    </row>
    <row r="52" ht="22.5" customHeight="1">
      <c r="A52" s="30"/>
      <c r="B52" s="31"/>
      <c r="C52" s="32"/>
      <c r="D52" s="33"/>
      <c r="E52" s="34"/>
      <c r="F52" s="34"/>
      <c r="G52" s="35"/>
      <c r="H52" s="34"/>
      <c r="I52" s="37"/>
    </row>
    <row r="53" ht="22.5" customHeight="1">
      <c r="A53" s="30"/>
      <c r="B53" s="31"/>
      <c r="C53" s="32"/>
      <c r="D53" s="33"/>
      <c r="E53" s="34"/>
      <c r="F53" s="34"/>
      <c r="G53" s="35"/>
      <c r="H53" s="34"/>
      <c r="I53" s="37"/>
    </row>
    <row r="54" ht="22.5" customHeight="1">
      <c r="A54" s="30"/>
      <c r="B54" s="31"/>
      <c r="C54" s="32"/>
      <c r="D54" s="33"/>
      <c r="E54" s="34"/>
      <c r="F54" s="34"/>
      <c r="G54" s="35"/>
      <c r="H54" s="34"/>
      <c r="I54" s="37"/>
    </row>
    <row r="55" ht="22.5" customHeight="1">
      <c r="A55" s="30"/>
      <c r="B55" s="31"/>
      <c r="C55" s="32"/>
      <c r="D55" s="33"/>
      <c r="E55" s="34"/>
      <c r="F55" s="34"/>
      <c r="G55" s="35"/>
      <c r="H55" s="34"/>
      <c r="I55" s="37"/>
    </row>
    <row r="56" ht="22.5" customHeight="1">
      <c r="A56" s="30"/>
      <c r="B56" s="31"/>
      <c r="C56" s="32"/>
      <c r="D56" s="33"/>
      <c r="E56" s="34"/>
      <c r="F56" s="34"/>
      <c r="G56" s="35"/>
      <c r="H56" s="34"/>
      <c r="I56" s="37"/>
    </row>
    <row r="57" ht="22.5" customHeight="1">
      <c r="A57" s="30"/>
      <c r="B57" s="31"/>
      <c r="C57" s="32"/>
      <c r="D57" s="33"/>
      <c r="E57" s="34"/>
      <c r="F57" s="34"/>
      <c r="G57" s="35"/>
      <c r="H57" s="34"/>
      <c r="I57" s="37"/>
    </row>
    <row r="58" ht="22.5" customHeight="1">
      <c r="A58" s="30"/>
      <c r="B58" s="31"/>
      <c r="C58" s="32"/>
      <c r="D58" s="33"/>
      <c r="E58" s="34"/>
      <c r="F58" s="34"/>
      <c r="G58" s="35"/>
      <c r="H58" s="34"/>
      <c r="I58" s="37"/>
    </row>
    <row r="59" ht="22.5" customHeight="1">
      <c r="A59" s="30"/>
      <c r="B59" s="31"/>
      <c r="C59" s="32"/>
      <c r="D59" s="33"/>
      <c r="E59" s="34"/>
      <c r="F59" s="34"/>
      <c r="G59" s="35"/>
      <c r="H59" s="34"/>
      <c r="I59" s="37"/>
    </row>
    <row r="60" ht="22.5" customHeight="1">
      <c r="A60" s="30"/>
      <c r="B60" s="31"/>
      <c r="C60" s="32"/>
      <c r="D60" s="33"/>
      <c r="E60" s="34"/>
      <c r="F60" s="34"/>
      <c r="G60" s="35"/>
      <c r="H60" s="34"/>
      <c r="I60" s="37"/>
    </row>
    <row r="61" ht="22.5" customHeight="1">
      <c r="A61" s="30"/>
      <c r="B61" s="31"/>
      <c r="C61" s="32"/>
      <c r="D61" s="33"/>
      <c r="E61" s="34"/>
      <c r="F61" s="34"/>
      <c r="G61" s="35"/>
      <c r="H61" s="34"/>
      <c r="I61" s="37"/>
    </row>
    <row r="62" ht="22.5" customHeight="1">
      <c r="A62" s="30"/>
      <c r="B62" s="31"/>
      <c r="C62" s="32"/>
      <c r="D62" s="33"/>
      <c r="E62" s="34"/>
      <c r="F62" s="34"/>
      <c r="G62" s="35"/>
      <c r="H62" s="34"/>
      <c r="I62" s="37"/>
    </row>
    <row r="63" ht="22.5" customHeight="1">
      <c r="A63" s="30"/>
      <c r="B63" s="31"/>
      <c r="C63" s="32"/>
      <c r="D63" s="33"/>
      <c r="E63" s="34"/>
      <c r="F63" s="34"/>
      <c r="G63" s="35"/>
      <c r="H63" s="34"/>
      <c r="I63" s="37"/>
    </row>
    <row r="64" ht="22.5" customHeight="1">
      <c r="A64" s="30"/>
      <c r="B64" s="31"/>
      <c r="C64" s="32"/>
      <c r="D64" s="33"/>
      <c r="E64" s="34"/>
      <c r="F64" s="34"/>
      <c r="G64" s="35"/>
      <c r="H64" s="34"/>
      <c r="I64" s="37"/>
    </row>
    <row r="65" ht="22.5" customHeight="1">
      <c r="A65" s="30"/>
      <c r="B65" s="40"/>
      <c r="C65" s="32"/>
      <c r="D65" s="33"/>
      <c r="E65" s="34"/>
      <c r="F65" s="34"/>
      <c r="G65" s="35"/>
      <c r="H65" s="34"/>
      <c r="I65" s="37"/>
    </row>
    <row r="66" ht="22.5" customHeight="1">
      <c r="A66" s="30"/>
      <c r="B66" s="31"/>
      <c r="C66" s="32"/>
      <c r="D66" s="33"/>
      <c r="E66" s="34"/>
      <c r="F66" s="34"/>
      <c r="G66" s="35"/>
      <c r="H66" s="34"/>
      <c r="I66" s="37"/>
    </row>
    <row r="67" ht="22.5" customHeight="1">
      <c r="A67" s="30"/>
      <c r="B67" s="40"/>
      <c r="C67" s="32"/>
      <c r="D67" s="33"/>
      <c r="E67" s="34"/>
      <c r="F67" s="34"/>
      <c r="G67" s="35"/>
      <c r="H67" s="34"/>
      <c r="I67" s="37"/>
    </row>
    <row r="68" ht="22.5" customHeight="1">
      <c r="A68" s="30"/>
      <c r="B68" s="31"/>
      <c r="C68" s="32"/>
      <c r="D68" s="33"/>
      <c r="E68" s="34"/>
      <c r="F68" s="34"/>
      <c r="G68" s="35"/>
      <c r="H68" s="34"/>
      <c r="I68" s="37"/>
    </row>
    <row r="69" ht="22.5" customHeight="1">
      <c r="A69" s="30"/>
      <c r="B69" s="31"/>
      <c r="C69" s="32"/>
      <c r="D69" s="33"/>
      <c r="E69" s="34"/>
      <c r="F69" s="34"/>
      <c r="G69" s="35"/>
      <c r="H69" s="34"/>
      <c r="I69" s="37"/>
    </row>
    <row r="70" ht="22.5" customHeight="1">
      <c r="A70" s="30"/>
      <c r="B70" s="31"/>
      <c r="C70" s="32"/>
      <c r="D70" s="33"/>
      <c r="E70" s="34"/>
      <c r="F70" s="34"/>
      <c r="G70" s="35"/>
      <c r="H70" s="34"/>
      <c r="I70" s="37"/>
    </row>
    <row r="71" ht="22.5" customHeight="1">
      <c r="A71" s="30"/>
      <c r="B71" s="31"/>
      <c r="C71" s="32"/>
      <c r="D71" s="33"/>
      <c r="E71" s="34"/>
      <c r="F71" s="34"/>
      <c r="G71" s="35"/>
      <c r="H71" s="34"/>
      <c r="I71" s="37"/>
    </row>
    <row r="72" ht="22.5" customHeight="1">
      <c r="A72" s="30"/>
      <c r="B72" s="40"/>
      <c r="C72" s="32"/>
      <c r="D72" s="33"/>
      <c r="E72" s="34"/>
      <c r="F72" s="34"/>
      <c r="G72" s="35"/>
      <c r="H72" s="34"/>
      <c r="I72" s="37"/>
    </row>
    <row r="73" ht="22.5" customHeight="1">
      <c r="A73" s="30"/>
      <c r="B73" s="31"/>
      <c r="C73" s="32"/>
      <c r="D73" s="33"/>
      <c r="E73" s="34"/>
      <c r="F73" s="34"/>
      <c r="G73" s="35"/>
      <c r="H73" s="34"/>
      <c r="I73" s="37"/>
    </row>
    <row r="74" ht="22.5" customHeight="1">
      <c r="A74" s="30"/>
      <c r="B74" s="31"/>
      <c r="C74" s="32"/>
      <c r="D74" s="33"/>
      <c r="E74" s="34"/>
      <c r="F74" s="34"/>
      <c r="G74" s="35"/>
      <c r="H74" s="34"/>
      <c r="I74" s="37"/>
    </row>
    <row r="75" ht="22.5" customHeight="1">
      <c r="A75" s="30"/>
      <c r="B75" s="31"/>
      <c r="C75" s="32"/>
      <c r="D75" s="33"/>
      <c r="E75" s="34"/>
      <c r="F75" s="34"/>
      <c r="G75" s="35"/>
      <c r="H75" s="34"/>
      <c r="I75" s="37"/>
    </row>
    <row r="76" ht="22.5" customHeight="1">
      <c r="A76" s="30"/>
      <c r="B76" s="31"/>
      <c r="C76" s="32"/>
      <c r="D76" s="33"/>
      <c r="E76" s="34"/>
      <c r="F76" s="34"/>
      <c r="G76" s="35"/>
      <c r="H76" s="34"/>
      <c r="I76" s="37"/>
    </row>
    <row r="77" ht="22.5" customHeight="1">
      <c r="A77" s="30"/>
      <c r="B77" s="31"/>
      <c r="C77" s="32"/>
      <c r="D77" s="33"/>
      <c r="E77" s="34"/>
      <c r="F77" s="34"/>
      <c r="G77" s="35"/>
      <c r="H77" s="34"/>
      <c r="I77" s="37"/>
    </row>
    <row r="78" ht="22.5" customHeight="1">
      <c r="A78" s="30"/>
      <c r="B78" s="31"/>
      <c r="C78" s="32"/>
      <c r="D78" s="33"/>
      <c r="E78" s="34"/>
      <c r="F78" s="34"/>
      <c r="G78" s="35"/>
      <c r="H78" s="34"/>
      <c r="I78" s="37"/>
    </row>
    <row r="79" ht="22.5" customHeight="1">
      <c r="A79" s="30"/>
      <c r="B79" s="31"/>
      <c r="C79" s="32"/>
      <c r="D79" s="33"/>
      <c r="E79" s="34"/>
      <c r="F79" s="34"/>
      <c r="G79" s="35"/>
      <c r="H79" s="34"/>
      <c r="I79" s="37"/>
    </row>
    <row r="80" ht="22.5" customHeight="1">
      <c r="A80" s="30"/>
      <c r="B80" s="31"/>
      <c r="C80" s="32"/>
      <c r="D80" s="33"/>
      <c r="E80" s="34"/>
      <c r="F80" s="34"/>
      <c r="G80" s="35"/>
      <c r="H80" s="34"/>
      <c r="I80" s="37"/>
    </row>
    <row r="81" ht="22.5" customHeight="1">
      <c r="A81" s="30"/>
      <c r="B81" s="31"/>
      <c r="C81" s="32"/>
      <c r="D81" s="33"/>
      <c r="E81" s="34"/>
      <c r="F81" s="34"/>
      <c r="G81" s="35"/>
      <c r="H81" s="34"/>
      <c r="I81" s="37"/>
    </row>
    <row r="82" ht="22.5" customHeight="1">
      <c r="A82" s="30"/>
      <c r="B82" s="31"/>
      <c r="C82" s="32"/>
      <c r="D82" s="33"/>
      <c r="E82" s="34"/>
      <c r="F82" s="34"/>
      <c r="G82" s="35"/>
      <c r="H82" s="34"/>
      <c r="I82" s="37"/>
    </row>
    <row r="83" ht="22.5" customHeight="1">
      <c r="A83" s="30"/>
      <c r="B83" s="31"/>
      <c r="C83" s="32"/>
      <c r="D83" s="33"/>
      <c r="E83" s="34"/>
      <c r="F83" s="34"/>
      <c r="G83" s="35"/>
      <c r="H83" s="34"/>
      <c r="I83" s="37"/>
    </row>
    <row r="84" ht="22.5" customHeight="1">
      <c r="A84" s="30"/>
      <c r="B84" s="31"/>
      <c r="C84" s="32"/>
      <c r="D84" s="33"/>
      <c r="E84" s="34"/>
      <c r="F84" s="34"/>
      <c r="G84" s="35"/>
      <c r="H84" s="34"/>
      <c r="I84" s="37"/>
    </row>
    <row r="85" ht="22.5" customHeight="1">
      <c r="A85" s="30"/>
      <c r="B85" s="31"/>
      <c r="C85" s="32"/>
      <c r="D85" s="33"/>
      <c r="E85" s="34"/>
      <c r="F85" s="34"/>
      <c r="G85" s="35"/>
      <c r="H85" s="34"/>
      <c r="I85" s="37"/>
    </row>
    <row r="86" ht="22.5" customHeight="1">
      <c r="A86" s="30"/>
      <c r="B86" s="31"/>
      <c r="C86" s="32"/>
      <c r="D86" s="33"/>
      <c r="E86" s="34"/>
      <c r="F86" s="34"/>
      <c r="G86" s="35"/>
      <c r="H86" s="34"/>
      <c r="I86" s="37"/>
    </row>
    <row r="87" ht="22.5" customHeight="1">
      <c r="A87" s="30"/>
      <c r="B87" s="31"/>
      <c r="C87" s="32"/>
      <c r="D87" s="33"/>
      <c r="E87" s="34"/>
      <c r="F87" s="34"/>
      <c r="G87" s="35"/>
      <c r="H87" s="34"/>
      <c r="I87" s="37"/>
    </row>
    <row r="88" ht="22.5" customHeight="1">
      <c r="A88" s="30"/>
      <c r="B88" s="31"/>
      <c r="C88" s="32"/>
      <c r="D88" s="33"/>
      <c r="E88" s="34"/>
      <c r="F88" s="34"/>
      <c r="G88" s="35"/>
      <c r="H88" s="34"/>
      <c r="I88" s="37"/>
    </row>
    <row r="89" ht="22.5" customHeight="1">
      <c r="A89" s="30"/>
      <c r="B89" s="31"/>
      <c r="C89" s="32"/>
      <c r="D89" s="33"/>
      <c r="E89" s="34"/>
      <c r="F89" s="34"/>
      <c r="G89" s="35"/>
      <c r="H89" s="34"/>
      <c r="I89" s="37"/>
    </row>
    <row r="90" ht="22.5" customHeight="1">
      <c r="A90" s="30"/>
      <c r="B90" s="31"/>
      <c r="C90" s="32"/>
      <c r="D90" s="33"/>
      <c r="E90" s="34"/>
      <c r="F90" s="34"/>
      <c r="G90" s="35"/>
      <c r="H90" s="34"/>
      <c r="I90" s="37"/>
    </row>
    <row r="91" ht="22.5" customHeight="1">
      <c r="A91" s="30"/>
      <c r="B91" s="31"/>
      <c r="C91" s="32"/>
      <c r="D91" s="33"/>
      <c r="E91" s="34"/>
      <c r="F91" s="34"/>
      <c r="G91" s="35"/>
      <c r="H91" s="34"/>
      <c r="I91" s="37"/>
    </row>
    <row r="92" ht="22.5" customHeight="1">
      <c r="A92" s="30"/>
      <c r="B92" s="31"/>
      <c r="C92" s="32"/>
      <c r="D92" s="33"/>
      <c r="E92" s="34"/>
      <c r="F92" s="34"/>
      <c r="G92" s="35"/>
      <c r="H92" s="34"/>
      <c r="I92" s="37"/>
    </row>
    <row r="93" ht="22.5" customHeight="1">
      <c r="A93" s="30"/>
      <c r="B93" s="31"/>
      <c r="C93" s="32"/>
      <c r="D93" s="33"/>
      <c r="E93" s="34"/>
      <c r="F93" s="34"/>
      <c r="G93" s="35"/>
      <c r="H93" s="34"/>
      <c r="I93" s="37"/>
    </row>
    <row r="94" ht="22.5" customHeight="1">
      <c r="A94" s="30"/>
      <c r="B94" s="40"/>
      <c r="C94" s="32"/>
      <c r="D94" s="33"/>
      <c r="E94" s="34"/>
      <c r="F94" s="34"/>
      <c r="G94" s="35"/>
      <c r="H94" s="34"/>
      <c r="I94" s="37"/>
    </row>
    <row r="95" ht="22.5" customHeight="1">
      <c r="A95" s="30"/>
      <c r="B95" s="31"/>
      <c r="C95" s="32"/>
      <c r="D95" s="33"/>
      <c r="E95" s="34"/>
      <c r="F95" s="34"/>
      <c r="G95" s="35"/>
      <c r="H95" s="34"/>
      <c r="I95" s="37"/>
    </row>
    <row r="96" ht="22.5" customHeight="1">
      <c r="A96" s="30"/>
      <c r="B96" s="31"/>
      <c r="C96" s="32"/>
      <c r="D96" s="33"/>
      <c r="E96" s="34"/>
      <c r="F96" s="34"/>
      <c r="G96" s="35"/>
      <c r="H96" s="34"/>
      <c r="I96" s="37"/>
    </row>
    <row r="97" ht="22.5" customHeight="1">
      <c r="A97" s="30"/>
      <c r="B97" s="31"/>
      <c r="C97" s="32"/>
      <c r="D97" s="33"/>
      <c r="E97" s="34"/>
      <c r="F97" s="34"/>
      <c r="G97" s="35"/>
      <c r="H97" s="34"/>
      <c r="I97" s="37"/>
    </row>
    <row r="98" ht="22.5" customHeight="1">
      <c r="A98" s="30"/>
      <c r="B98" s="31"/>
      <c r="C98" s="32"/>
      <c r="D98" s="33"/>
      <c r="E98" s="34"/>
      <c r="F98" s="34"/>
      <c r="G98" s="35"/>
      <c r="H98" s="34"/>
      <c r="I98" s="38"/>
    </row>
    <row r="99" ht="22.5" customHeight="1">
      <c r="A99" s="30"/>
      <c r="B99" s="39"/>
      <c r="C99" s="32"/>
      <c r="D99" s="33"/>
      <c r="E99" s="34"/>
      <c r="F99" s="34"/>
      <c r="G99" s="35"/>
      <c r="H99" s="34"/>
      <c r="I99" s="37"/>
    </row>
    <row r="100" ht="22.5" customHeight="1">
      <c r="A100" s="30"/>
      <c r="B100" s="31"/>
      <c r="C100" s="32"/>
      <c r="D100" s="33"/>
      <c r="E100" s="34"/>
      <c r="F100" s="34"/>
      <c r="G100" s="35"/>
      <c r="H100" s="34"/>
      <c r="I100" s="37"/>
    </row>
    <row r="101" ht="22.5" customHeight="1">
      <c r="A101" s="30"/>
      <c r="B101" s="31"/>
      <c r="C101" s="32"/>
      <c r="D101" s="33"/>
      <c r="E101" s="34"/>
      <c r="F101" s="34"/>
      <c r="G101" s="35"/>
      <c r="H101" s="34"/>
      <c r="I101" s="37"/>
    </row>
    <row r="102" ht="22.5" customHeight="1">
      <c r="A102" s="30"/>
      <c r="B102" s="31"/>
      <c r="C102" s="32"/>
      <c r="D102" s="33"/>
      <c r="E102" s="34"/>
      <c r="F102" s="34"/>
      <c r="G102" s="35"/>
      <c r="H102" s="34"/>
      <c r="I102" s="37"/>
    </row>
    <row r="103" ht="22.5" customHeight="1">
      <c r="A103" s="30"/>
      <c r="B103" s="39"/>
      <c r="C103" s="32"/>
      <c r="D103" s="33"/>
      <c r="E103" s="34"/>
      <c r="F103" s="34"/>
      <c r="G103" s="35"/>
      <c r="H103" s="34"/>
      <c r="I103" s="37"/>
    </row>
    <row r="104" ht="22.5" customHeight="1">
      <c r="A104" s="30"/>
      <c r="B104" s="31"/>
      <c r="C104" s="32"/>
      <c r="D104" s="33"/>
      <c r="E104" s="34"/>
      <c r="F104" s="34"/>
      <c r="G104" s="35"/>
      <c r="H104" s="34"/>
      <c r="I104" s="37"/>
    </row>
    <row r="105" ht="22.5" customHeight="1">
      <c r="A105" s="30"/>
      <c r="B105" s="39"/>
      <c r="C105" s="32"/>
      <c r="D105" s="33"/>
      <c r="E105" s="34"/>
      <c r="F105" s="34"/>
      <c r="G105" s="35"/>
      <c r="H105" s="34"/>
      <c r="I105" s="37"/>
    </row>
    <row r="106" ht="22.5" customHeight="1">
      <c r="A106" s="30"/>
      <c r="B106" s="31"/>
      <c r="C106" s="32"/>
      <c r="D106" s="33"/>
      <c r="E106" s="34"/>
      <c r="F106" s="34"/>
      <c r="G106" s="35"/>
      <c r="H106" s="34"/>
      <c r="I106" s="37"/>
    </row>
    <row r="107" ht="22.5" customHeight="1">
      <c r="A107" s="30"/>
      <c r="B107" s="31"/>
      <c r="C107" s="32"/>
      <c r="D107" s="33"/>
      <c r="E107" s="34"/>
      <c r="F107" s="34"/>
      <c r="G107" s="35"/>
      <c r="H107" s="34"/>
      <c r="I107" s="37"/>
    </row>
    <row r="108" ht="22.5" customHeight="1">
      <c r="A108" s="30"/>
      <c r="B108" s="31"/>
      <c r="C108" s="32"/>
      <c r="D108" s="33"/>
      <c r="E108" s="34"/>
      <c r="F108" s="34"/>
      <c r="G108" s="35"/>
      <c r="H108" s="34"/>
      <c r="I108" s="37"/>
    </row>
    <row r="109" ht="22.5" customHeight="1">
      <c r="A109" s="30"/>
      <c r="B109" s="31"/>
      <c r="C109" s="32"/>
      <c r="D109" s="33"/>
      <c r="E109" s="34"/>
      <c r="F109" s="34"/>
      <c r="G109" s="35"/>
      <c r="H109" s="34"/>
      <c r="I109" s="37"/>
    </row>
    <row r="110" ht="22.5" customHeight="1">
      <c r="A110" s="30"/>
      <c r="B110" s="31"/>
      <c r="C110" s="32"/>
      <c r="D110" s="33"/>
      <c r="E110" s="34"/>
      <c r="F110" s="34"/>
      <c r="G110" s="35"/>
      <c r="H110" s="34"/>
      <c r="I110" s="37"/>
    </row>
    <row r="111" ht="22.5" customHeight="1">
      <c r="A111" s="30"/>
      <c r="B111" s="31"/>
      <c r="C111" s="32"/>
      <c r="D111" s="33"/>
      <c r="E111" s="34"/>
      <c r="F111" s="34"/>
      <c r="G111" s="35"/>
      <c r="H111" s="34"/>
      <c r="I111" s="37"/>
    </row>
    <row r="112" ht="22.5" customHeight="1">
      <c r="A112" s="30"/>
      <c r="B112" s="31"/>
      <c r="C112" s="32"/>
      <c r="D112" s="33"/>
      <c r="E112" s="34"/>
      <c r="F112" s="34"/>
      <c r="G112" s="35"/>
      <c r="H112" s="34"/>
      <c r="I112" s="37"/>
    </row>
    <row r="113" ht="22.5" customHeight="1">
      <c r="A113" s="30"/>
      <c r="B113" s="31"/>
      <c r="C113" s="32"/>
      <c r="D113" s="33"/>
      <c r="E113" s="34"/>
      <c r="F113" s="34"/>
      <c r="G113" s="35"/>
      <c r="H113" s="34"/>
      <c r="I113" s="37"/>
    </row>
    <row r="114" ht="22.5" customHeight="1">
      <c r="A114" s="30"/>
      <c r="B114" s="31"/>
      <c r="C114" s="32"/>
      <c r="D114" s="33"/>
      <c r="E114" s="34"/>
      <c r="F114" s="34"/>
      <c r="G114" s="35"/>
      <c r="H114" s="34"/>
      <c r="I114" s="37"/>
    </row>
    <row r="115" ht="22.5" customHeight="1">
      <c r="A115" s="30"/>
      <c r="B115" s="31"/>
      <c r="C115" s="32"/>
      <c r="D115" s="33"/>
      <c r="E115" s="34"/>
      <c r="F115" s="34"/>
      <c r="G115" s="35"/>
      <c r="H115" s="34"/>
      <c r="I115" s="37"/>
    </row>
    <row r="116" ht="22.5" customHeight="1">
      <c r="A116" s="30"/>
      <c r="B116" s="40"/>
      <c r="C116" s="32"/>
      <c r="D116" s="33"/>
      <c r="E116" s="34"/>
      <c r="F116" s="34"/>
      <c r="G116" s="35"/>
      <c r="H116" s="34"/>
      <c r="I116" s="37"/>
    </row>
    <row r="117" ht="22.5" customHeight="1">
      <c r="A117" s="30"/>
      <c r="B117" s="31"/>
      <c r="C117" s="32"/>
      <c r="D117" s="33"/>
      <c r="E117" s="34"/>
      <c r="F117" s="34"/>
      <c r="G117" s="35"/>
      <c r="H117" s="34"/>
      <c r="I117" s="37"/>
    </row>
    <row r="118" ht="22.5" customHeight="1">
      <c r="A118" s="30"/>
      <c r="B118" s="31"/>
      <c r="C118" s="32"/>
      <c r="D118" s="33"/>
      <c r="E118" s="34"/>
      <c r="F118" s="34"/>
      <c r="G118" s="35"/>
      <c r="H118" s="34"/>
      <c r="I118" s="37"/>
    </row>
    <row r="119" ht="22.5" customHeight="1">
      <c r="A119" s="30"/>
      <c r="B119" s="31"/>
      <c r="C119" s="32"/>
      <c r="D119" s="33"/>
      <c r="E119" s="34"/>
      <c r="F119" s="34"/>
      <c r="G119" s="35"/>
      <c r="H119" s="34"/>
      <c r="I119" s="37"/>
    </row>
    <row r="120" ht="22.5" customHeight="1">
      <c r="A120" s="30"/>
      <c r="B120" s="31"/>
      <c r="C120" s="32"/>
      <c r="D120" s="33"/>
      <c r="E120" s="34"/>
      <c r="F120" s="34"/>
      <c r="G120" s="35"/>
      <c r="H120" s="34"/>
      <c r="I120" s="37"/>
    </row>
    <row r="121" ht="22.5" customHeight="1">
      <c r="A121" s="30"/>
      <c r="B121" s="31"/>
      <c r="C121" s="32"/>
      <c r="D121" s="33"/>
      <c r="E121" s="34"/>
      <c r="F121" s="34"/>
      <c r="G121" s="35"/>
      <c r="H121" s="34"/>
      <c r="I121" s="37"/>
    </row>
    <row r="122" ht="22.5" customHeight="1">
      <c r="A122" s="30"/>
      <c r="B122" s="31"/>
      <c r="C122" s="32"/>
      <c r="D122" s="33"/>
      <c r="E122" s="34"/>
      <c r="F122" s="34"/>
      <c r="G122" s="35"/>
      <c r="H122" s="34"/>
      <c r="I122" s="37"/>
    </row>
    <row r="123" ht="22.5" customHeight="1">
      <c r="A123" s="30"/>
      <c r="B123" s="39"/>
      <c r="C123" s="32"/>
      <c r="D123" s="33"/>
      <c r="E123" s="34"/>
      <c r="F123" s="34"/>
      <c r="G123" s="35"/>
      <c r="H123" s="34"/>
      <c r="I123" s="37"/>
    </row>
    <row r="124" ht="22.5" customHeight="1">
      <c r="A124" s="30"/>
      <c r="B124" s="39"/>
      <c r="C124" s="32"/>
      <c r="D124" s="33"/>
      <c r="E124" s="34"/>
      <c r="F124" s="34"/>
      <c r="G124" s="35"/>
      <c r="H124" s="34"/>
      <c r="I124" s="37"/>
    </row>
    <row r="125" ht="22.5" customHeight="1">
      <c r="A125" s="30"/>
      <c r="B125" s="39"/>
      <c r="C125" s="32"/>
      <c r="D125" s="33"/>
      <c r="E125" s="34"/>
      <c r="F125" s="34"/>
      <c r="G125" s="35"/>
      <c r="H125" s="34"/>
      <c r="I125" s="37"/>
    </row>
    <row r="126" ht="22.5" customHeight="1">
      <c r="A126" s="30"/>
      <c r="B126" s="40"/>
      <c r="C126" s="32"/>
      <c r="D126" s="33"/>
      <c r="E126" s="34"/>
      <c r="F126" s="34"/>
      <c r="G126" s="35"/>
      <c r="H126" s="34"/>
      <c r="I126" s="37"/>
    </row>
    <row r="127" ht="22.5" customHeight="1">
      <c r="A127" s="30"/>
      <c r="B127" s="31"/>
      <c r="C127" s="32"/>
      <c r="D127" s="33"/>
      <c r="E127" s="34"/>
      <c r="F127" s="34"/>
      <c r="G127" s="35"/>
      <c r="H127" s="34"/>
      <c r="I127" s="37"/>
    </row>
    <row r="128" ht="22.5" customHeight="1">
      <c r="A128" s="30"/>
      <c r="B128" s="31"/>
      <c r="C128" s="32"/>
      <c r="D128" s="33"/>
      <c r="E128" s="34"/>
      <c r="F128" s="34"/>
      <c r="G128" s="35"/>
      <c r="H128" s="34"/>
      <c r="I128" s="37"/>
    </row>
    <row r="129" ht="22.5" customHeight="1">
      <c r="A129" s="30"/>
      <c r="B129" s="31"/>
      <c r="C129" s="32"/>
      <c r="D129" s="33"/>
      <c r="E129" s="34"/>
      <c r="F129" s="34"/>
      <c r="G129" s="35"/>
      <c r="H129" s="34"/>
      <c r="I129" s="37"/>
    </row>
    <row r="130" ht="22.5" customHeight="1">
      <c r="A130" s="30"/>
      <c r="B130" s="31"/>
      <c r="C130" s="32"/>
      <c r="D130" s="33"/>
      <c r="E130" s="34"/>
      <c r="F130" s="34"/>
      <c r="G130" s="35"/>
      <c r="H130" s="34"/>
      <c r="I130" s="37"/>
    </row>
    <row r="131" ht="22.5" customHeight="1">
      <c r="A131" s="30"/>
      <c r="B131" s="31"/>
      <c r="C131" s="32"/>
      <c r="D131" s="33"/>
      <c r="E131" s="34"/>
      <c r="F131" s="34"/>
      <c r="G131" s="35"/>
      <c r="H131" s="34"/>
      <c r="I131" s="37"/>
    </row>
    <row r="132" ht="22.5" customHeight="1">
      <c r="A132" s="30"/>
      <c r="B132" s="31"/>
      <c r="C132" s="32"/>
      <c r="D132" s="33"/>
      <c r="E132" s="34"/>
      <c r="F132" s="34"/>
      <c r="G132" s="35"/>
      <c r="H132" s="34"/>
      <c r="I132" s="37"/>
    </row>
    <row r="133" ht="22.5" customHeight="1">
      <c r="A133" s="30"/>
      <c r="B133" s="31"/>
      <c r="C133" s="32"/>
      <c r="D133" s="33"/>
      <c r="E133" s="34"/>
      <c r="F133" s="34"/>
      <c r="G133" s="35"/>
      <c r="H133" s="34"/>
      <c r="I133" s="37"/>
    </row>
    <row r="134" ht="22.5" customHeight="1">
      <c r="A134" s="30"/>
      <c r="B134" s="31"/>
      <c r="C134" s="32"/>
      <c r="D134" s="33"/>
      <c r="E134" s="34"/>
      <c r="F134" s="34"/>
      <c r="G134" s="35"/>
      <c r="H134" s="34"/>
      <c r="I134" s="37"/>
    </row>
    <row r="135" ht="22.5" customHeight="1">
      <c r="A135" s="30"/>
      <c r="B135" s="31"/>
      <c r="C135" s="32"/>
      <c r="D135" s="33"/>
      <c r="E135" s="34"/>
      <c r="F135" s="34"/>
      <c r="G135" s="35"/>
      <c r="H135" s="34"/>
      <c r="I135" s="37"/>
    </row>
    <row r="136" ht="22.5" customHeight="1">
      <c r="A136" s="30"/>
      <c r="B136" s="40"/>
      <c r="C136" s="32"/>
      <c r="D136" s="33"/>
      <c r="E136" s="34"/>
      <c r="F136" s="34"/>
      <c r="G136" s="35"/>
      <c r="H136" s="34"/>
      <c r="I136" s="37"/>
    </row>
    <row r="137" ht="22.5" customHeight="1">
      <c r="A137" s="30"/>
      <c r="B137" s="31"/>
      <c r="C137" s="32"/>
      <c r="D137" s="33"/>
      <c r="E137" s="34"/>
      <c r="F137" s="34"/>
      <c r="G137" s="35"/>
      <c r="H137" s="34"/>
      <c r="I137" s="37"/>
    </row>
    <row r="138" ht="22.5" customHeight="1">
      <c r="A138" s="30"/>
      <c r="B138" s="31"/>
      <c r="C138" s="32"/>
      <c r="D138" s="33"/>
      <c r="E138" s="34"/>
      <c r="F138" s="34"/>
      <c r="G138" s="35"/>
      <c r="H138" s="34"/>
      <c r="I138" s="37"/>
    </row>
    <row r="139" ht="22.5" customHeight="1">
      <c r="A139" s="30"/>
      <c r="B139" s="31"/>
      <c r="C139" s="32"/>
      <c r="D139" s="33"/>
      <c r="E139" s="34"/>
      <c r="F139" s="34"/>
      <c r="G139" s="35"/>
      <c r="H139" s="34"/>
      <c r="I139" s="37"/>
    </row>
    <row r="140" ht="22.5" customHeight="1">
      <c r="A140" s="30"/>
      <c r="B140" s="40"/>
      <c r="C140" s="32"/>
      <c r="D140" s="33"/>
      <c r="E140" s="34"/>
      <c r="F140" s="34"/>
      <c r="G140" s="35"/>
      <c r="H140" s="34"/>
      <c r="I140" s="37"/>
    </row>
    <row r="141" ht="22.5" customHeight="1">
      <c r="A141" s="30"/>
      <c r="B141" s="31"/>
      <c r="C141" s="32"/>
      <c r="D141" s="33"/>
      <c r="E141" s="34"/>
      <c r="F141" s="34"/>
      <c r="G141" s="35"/>
      <c r="H141" s="34"/>
      <c r="I141" s="37"/>
    </row>
    <row r="142" ht="22.5" customHeight="1">
      <c r="A142" s="30"/>
      <c r="B142" s="31"/>
      <c r="C142" s="32"/>
      <c r="D142" s="33"/>
      <c r="E142" s="34"/>
      <c r="F142" s="34"/>
      <c r="G142" s="35"/>
      <c r="H142" s="34"/>
      <c r="I142" s="37"/>
    </row>
    <row r="143" ht="22.5" customHeight="1">
      <c r="A143" s="30"/>
      <c r="B143" s="31"/>
      <c r="C143" s="32"/>
      <c r="D143" s="33"/>
      <c r="E143" s="34"/>
      <c r="F143" s="34"/>
      <c r="G143" s="35"/>
      <c r="H143" s="34"/>
      <c r="I143" s="37"/>
    </row>
    <row r="144" ht="22.5" customHeight="1">
      <c r="A144" s="30"/>
      <c r="B144" s="31"/>
      <c r="C144" s="32"/>
      <c r="D144" s="33"/>
      <c r="E144" s="34"/>
      <c r="F144" s="34"/>
      <c r="G144" s="35"/>
      <c r="H144" s="34"/>
      <c r="I144" s="37"/>
    </row>
    <row r="145" ht="22.5" customHeight="1">
      <c r="A145" s="30"/>
      <c r="B145" s="31"/>
      <c r="C145" s="32"/>
      <c r="D145" s="33"/>
      <c r="E145" s="34"/>
      <c r="F145" s="34"/>
      <c r="G145" s="35"/>
      <c r="H145" s="34"/>
      <c r="I145" s="37"/>
    </row>
    <row r="146" ht="22.5" customHeight="1">
      <c r="A146" s="30"/>
      <c r="B146" s="31"/>
      <c r="C146" s="32"/>
      <c r="D146" s="33"/>
      <c r="E146" s="34"/>
      <c r="F146" s="34"/>
      <c r="G146" s="35"/>
      <c r="H146" s="34"/>
      <c r="I146" s="37"/>
    </row>
    <row r="147" ht="22.5" customHeight="1">
      <c r="A147" s="30"/>
      <c r="B147" s="31"/>
      <c r="C147" s="32"/>
      <c r="D147" s="33"/>
      <c r="E147" s="34"/>
      <c r="F147" s="34"/>
      <c r="G147" s="35"/>
      <c r="H147" s="34"/>
      <c r="I147" s="37"/>
    </row>
    <row r="148" ht="22.5" customHeight="1">
      <c r="A148" s="30"/>
      <c r="B148" s="31"/>
      <c r="C148" s="32"/>
      <c r="D148" s="33"/>
      <c r="E148" s="34"/>
      <c r="F148" s="34"/>
      <c r="G148" s="35"/>
      <c r="H148" s="34"/>
      <c r="I148" s="37"/>
    </row>
    <row r="149" ht="22.5" customHeight="1">
      <c r="A149" s="30"/>
      <c r="B149" s="31"/>
      <c r="C149" s="32"/>
      <c r="D149" s="33"/>
      <c r="E149" s="34"/>
      <c r="F149" s="34"/>
      <c r="G149" s="35"/>
      <c r="H149" s="34"/>
      <c r="I149" s="37"/>
    </row>
    <row r="150" ht="22.5" customHeight="1">
      <c r="A150" s="30"/>
      <c r="B150" s="31"/>
      <c r="C150" s="32"/>
      <c r="D150" s="33"/>
      <c r="E150" s="34"/>
      <c r="F150" s="34"/>
      <c r="G150" s="35"/>
      <c r="H150" s="34"/>
      <c r="I150" s="37"/>
    </row>
    <row r="151" ht="22.5" customHeight="1">
      <c r="A151" s="30"/>
      <c r="B151" s="31"/>
      <c r="C151" s="32"/>
      <c r="D151" s="33"/>
      <c r="E151" s="34"/>
      <c r="F151" s="34"/>
      <c r="G151" s="35"/>
      <c r="H151" s="34"/>
      <c r="I151" s="37"/>
    </row>
    <row r="152" ht="22.5" customHeight="1">
      <c r="A152" s="30"/>
      <c r="B152" s="31"/>
      <c r="C152" s="32"/>
      <c r="D152" s="33"/>
      <c r="E152" s="34"/>
      <c r="F152" s="34"/>
      <c r="G152" s="35"/>
      <c r="H152" s="34"/>
      <c r="I152" s="37"/>
    </row>
    <row r="153" ht="22.5" customHeight="1">
      <c r="A153" s="30"/>
      <c r="B153" s="31"/>
      <c r="C153" s="32"/>
      <c r="D153" s="33"/>
      <c r="E153" s="34"/>
      <c r="F153" s="34"/>
      <c r="G153" s="35"/>
      <c r="H153" s="34"/>
      <c r="I153" s="37"/>
    </row>
    <row r="154" ht="22.5" customHeight="1">
      <c r="A154" s="30"/>
      <c r="B154" s="31"/>
      <c r="C154" s="32"/>
      <c r="D154" s="33"/>
      <c r="E154" s="34"/>
      <c r="F154" s="34"/>
      <c r="G154" s="35"/>
      <c r="H154" s="34"/>
      <c r="I154" s="37"/>
    </row>
    <row r="155" ht="22.5" customHeight="1">
      <c r="A155" s="30"/>
      <c r="B155" s="40"/>
      <c r="C155" s="32"/>
      <c r="D155" s="33"/>
      <c r="E155" s="34"/>
      <c r="F155" s="34"/>
      <c r="G155" s="35"/>
      <c r="H155" s="34"/>
      <c r="I155" s="37"/>
    </row>
    <row r="156" ht="22.5" customHeight="1">
      <c r="A156" s="30"/>
      <c r="B156" s="31"/>
      <c r="C156" s="32"/>
      <c r="D156" s="33"/>
      <c r="E156" s="34"/>
      <c r="F156" s="34"/>
      <c r="G156" s="35"/>
      <c r="H156" s="34"/>
      <c r="I156" s="37"/>
    </row>
    <row r="157" ht="22.5" customHeight="1">
      <c r="A157" s="30"/>
      <c r="B157" s="40"/>
      <c r="C157" s="32"/>
      <c r="D157" s="33"/>
      <c r="E157" s="34"/>
      <c r="F157" s="34"/>
      <c r="G157" s="35"/>
      <c r="H157" s="34"/>
      <c r="I157" s="37"/>
    </row>
    <row r="158" ht="22.5" customHeight="1">
      <c r="A158" s="30"/>
      <c r="B158" s="31"/>
      <c r="C158" s="32"/>
      <c r="D158" s="33"/>
      <c r="E158" s="34"/>
      <c r="F158" s="34"/>
      <c r="G158" s="35"/>
      <c r="H158" s="34"/>
      <c r="I158" s="37"/>
    </row>
    <row r="159" ht="22.5" customHeight="1">
      <c r="A159" s="30"/>
      <c r="B159" s="31"/>
      <c r="C159" s="32"/>
      <c r="D159" s="33"/>
      <c r="E159" s="34"/>
      <c r="F159" s="34"/>
      <c r="G159" s="35"/>
      <c r="H159" s="34"/>
      <c r="I159" s="37"/>
    </row>
    <row r="160" ht="22.5" customHeight="1">
      <c r="A160" s="30"/>
      <c r="B160" s="31"/>
      <c r="C160" s="32"/>
      <c r="D160" s="33"/>
      <c r="E160" s="34"/>
      <c r="F160" s="34"/>
      <c r="G160" s="35"/>
      <c r="H160" s="34"/>
      <c r="I160" s="37"/>
    </row>
    <row r="161" ht="22.5" customHeight="1">
      <c r="A161" s="30"/>
      <c r="B161" s="31"/>
      <c r="C161" s="32"/>
      <c r="D161" s="33"/>
      <c r="E161" s="34"/>
      <c r="F161" s="34"/>
      <c r="G161" s="35"/>
      <c r="H161" s="34"/>
      <c r="I161" s="37"/>
    </row>
    <row r="162" ht="22.5" customHeight="1">
      <c r="A162" s="30"/>
      <c r="B162" s="40"/>
      <c r="C162" s="32"/>
      <c r="D162" s="33"/>
      <c r="E162" s="34"/>
      <c r="F162" s="34"/>
      <c r="G162" s="35"/>
      <c r="H162" s="34"/>
      <c r="I162" s="37"/>
    </row>
    <row r="163" ht="22.5" customHeight="1">
      <c r="A163" s="30"/>
      <c r="B163" s="31"/>
      <c r="C163" s="32"/>
      <c r="D163" s="33"/>
      <c r="E163" s="34"/>
      <c r="F163" s="34"/>
      <c r="G163" s="35"/>
      <c r="H163" s="34"/>
      <c r="I163" s="37"/>
    </row>
    <row r="164" ht="22.5" customHeight="1">
      <c r="A164" s="30"/>
      <c r="B164" s="31"/>
      <c r="C164" s="32"/>
      <c r="D164" s="33"/>
      <c r="E164" s="34"/>
      <c r="F164" s="34"/>
      <c r="G164" s="35"/>
      <c r="H164" s="34"/>
      <c r="I164" s="37"/>
    </row>
    <row r="165" ht="22.5" customHeight="1">
      <c r="A165" s="30"/>
      <c r="B165" s="31"/>
      <c r="C165" s="32"/>
      <c r="D165" s="33"/>
      <c r="E165" s="34"/>
      <c r="F165" s="34"/>
      <c r="G165" s="35"/>
      <c r="H165" s="34"/>
      <c r="I165" s="37"/>
    </row>
    <row r="166" ht="22.5" customHeight="1">
      <c r="A166" s="30"/>
      <c r="B166" s="31"/>
      <c r="C166" s="32"/>
      <c r="D166" s="33"/>
      <c r="E166" s="34"/>
      <c r="F166" s="34"/>
      <c r="G166" s="35"/>
      <c r="H166" s="34"/>
      <c r="I166" s="37"/>
    </row>
    <row r="167" ht="22.5" customHeight="1">
      <c r="A167" s="30"/>
      <c r="B167" s="31"/>
      <c r="C167" s="32"/>
      <c r="D167" s="33"/>
      <c r="E167" s="34"/>
      <c r="F167" s="34"/>
      <c r="G167" s="35"/>
      <c r="H167" s="34"/>
      <c r="I167" s="37"/>
    </row>
    <row r="168" ht="22.5" customHeight="1">
      <c r="A168" s="30"/>
      <c r="B168" s="31"/>
      <c r="C168" s="32"/>
      <c r="D168" s="33"/>
      <c r="E168" s="34"/>
      <c r="F168" s="34"/>
      <c r="G168" s="35"/>
      <c r="H168" s="34"/>
      <c r="I168" s="37"/>
    </row>
    <row r="169" ht="22.5" customHeight="1">
      <c r="A169" s="30"/>
      <c r="B169" s="31"/>
      <c r="C169" s="32"/>
      <c r="D169" s="33"/>
      <c r="E169" s="34"/>
      <c r="F169" s="34"/>
      <c r="G169" s="35"/>
      <c r="H169" s="34"/>
      <c r="I169" s="37"/>
    </row>
    <row r="170" ht="22.5" customHeight="1">
      <c r="A170" s="30"/>
      <c r="B170" s="31"/>
      <c r="C170" s="32"/>
      <c r="D170" s="33"/>
      <c r="E170" s="34"/>
      <c r="F170" s="34"/>
      <c r="G170" s="35"/>
      <c r="H170" s="34"/>
      <c r="I170" s="37"/>
    </row>
    <row r="171" ht="22.5" customHeight="1">
      <c r="A171" s="30"/>
      <c r="B171" s="31"/>
      <c r="C171" s="32"/>
      <c r="D171" s="33"/>
      <c r="E171" s="34"/>
      <c r="F171" s="34"/>
      <c r="G171" s="35"/>
      <c r="H171" s="34"/>
      <c r="I171" s="37"/>
    </row>
    <row r="172" ht="22.5" customHeight="1">
      <c r="A172" s="30"/>
      <c r="B172" s="31"/>
      <c r="C172" s="32"/>
      <c r="D172" s="33"/>
      <c r="E172" s="34"/>
      <c r="F172" s="34"/>
      <c r="G172" s="35"/>
      <c r="H172" s="34"/>
      <c r="I172" s="37"/>
    </row>
    <row r="173" ht="22.5" customHeight="1">
      <c r="A173" s="30"/>
      <c r="B173" s="31"/>
      <c r="C173" s="32"/>
      <c r="D173" s="33"/>
      <c r="E173" s="34"/>
      <c r="F173" s="34"/>
      <c r="G173" s="35"/>
      <c r="H173" s="34"/>
      <c r="I173" s="37"/>
    </row>
    <row r="174" ht="22.5" customHeight="1">
      <c r="A174" s="30"/>
      <c r="B174" s="31"/>
      <c r="C174" s="32"/>
      <c r="D174" s="33"/>
      <c r="E174" s="34"/>
      <c r="F174" s="34"/>
      <c r="G174" s="35"/>
      <c r="H174" s="34"/>
      <c r="I174" s="37"/>
    </row>
    <row r="175" ht="22.5" customHeight="1">
      <c r="A175" s="30"/>
      <c r="B175" s="31"/>
      <c r="C175" s="32"/>
      <c r="D175" s="33"/>
      <c r="E175" s="34"/>
      <c r="F175" s="34"/>
      <c r="G175" s="35"/>
      <c r="H175" s="34"/>
      <c r="I175" s="37"/>
    </row>
    <row r="176" ht="22.5" customHeight="1">
      <c r="A176" s="30"/>
      <c r="B176" s="31"/>
      <c r="C176" s="32"/>
      <c r="D176" s="33"/>
      <c r="E176" s="34"/>
      <c r="F176" s="34"/>
      <c r="G176" s="35"/>
      <c r="H176" s="34"/>
      <c r="I176" s="37"/>
    </row>
    <row r="177" ht="22.5" customHeight="1">
      <c r="A177" s="30"/>
      <c r="B177" s="31"/>
      <c r="C177" s="32"/>
      <c r="D177" s="33"/>
      <c r="E177" s="34"/>
      <c r="F177" s="34"/>
      <c r="G177" s="35"/>
      <c r="H177" s="34"/>
      <c r="I177" s="37"/>
    </row>
    <row r="178" ht="22.5" customHeight="1">
      <c r="A178" s="30"/>
      <c r="B178" s="31"/>
      <c r="C178" s="32"/>
      <c r="D178" s="33"/>
      <c r="E178" s="34"/>
      <c r="F178" s="34"/>
      <c r="G178" s="35"/>
      <c r="H178" s="34"/>
      <c r="I178" s="37"/>
    </row>
    <row r="179" ht="22.5" customHeight="1">
      <c r="A179" s="30"/>
      <c r="B179" s="31"/>
      <c r="C179" s="32"/>
      <c r="D179" s="33"/>
      <c r="E179" s="34"/>
      <c r="F179" s="34"/>
      <c r="G179" s="35"/>
      <c r="H179" s="34"/>
      <c r="I179" s="37"/>
    </row>
    <row r="180" ht="22.5" customHeight="1">
      <c r="A180" s="30"/>
      <c r="B180" s="31"/>
      <c r="C180" s="32"/>
      <c r="D180" s="33"/>
      <c r="E180" s="34"/>
      <c r="F180" s="34"/>
      <c r="G180" s="35"/>
      <c r="H180" s="34"/>
      <c r="I180" s="37"/>
    </row>
    <row r="181" ht="22.5" customHeight="1">
      <c r="A181" s="30"/>
      <c r="B181" s="31"/>
      <c r="C181" s="32"/>
      <c r="D181" s="33"/>
      <c r="E181" s="34"/>
      <c r="F181" s="34"/>
      <c r="G181" s="35"/>
      <c r="H181" s="34"/>
      <c r="I181" s="37"/>
    </row>
    <row r="182" ht="22.5" customHeight="1">
      <c r="A182" s="30"/>
      <c r="B182" s="31"/>
      <c r="C182" s="32"/>
      <c r="D182" s="33"/>
      <c r="E182" s="34"/>
      <c r="F182" s="34"/>
      <c r="G182" s="35"/>
      <c r="H182" s="34"/>
      <c r="I182" s="37"/>
    </row>
    <row r="183" ht="22.5" customHeight="1">
      <c r="A183" s="30"/>
      <c r="B183" s="31"/>
      <c r="C183" s="32"/>
      <c r="D183" s="33"/>
      <c r="E183" s="34"/>
      <c r="F183" s="34"/>
      <c r="G183" s="35"/>
      <c r="H183" s="34"/>
      <c r="I183" s="37"/>
    </row>
    <row r="184" ht="22.5" customHeight="1">
      <c r="A184" s="30"/>
      <c r="B184" s="40"/>
      <c r="C184" s="32"/>
      <c r="D184" s="33"/>
      <c r="E184" s="34"/>
      <c r="F184" s="34"/>
      <c r="G184" s="35"/>
      <c r="H184" s="34"/>
      <c r="I184" s="37"/>
    </row>
    <row r="185" ht="22.5" customHeight="1">
      <c r="A185" s="30"/>
      <c r="B185" s="31"/>
      <c r="C185" s="32"/>
      <c r="D185" s="33"/>
      <c r="E185" s="34"/>
      <c r="F185" s="34"/>
      <c r="G185" s="35"/>
      <c r="H185" s="34"/>
      <c r="I185" s="37"/>
    </row>
    <row r="186" ht="22.5" customHeight="1">
      <c r="A186" s="30"/>
      <c r="B186" s="31"/>
      <c r="C186" s="32"/>
      <c r="D186" s="33"/>
      <c r="E186" s="34"/>
      <c r="F186" s="34"/>
      <c r="G186" s="35"/>
      <c r="H186" s="34"/>
      <c r="I186" s="37"/>
    </row>
    <row r="187" ht="22.5" customHeight="1">
      <c r="A187" s="30"/>
      <c r="B187" s="31"/>
      <c r="C187" s="32"/>
      <c r="D187" s="33"/>
      <c r="E187" s="34"/>
      <c r="F187" s="34"/>
      <c r="G187" s="35"/>
      <c r="H187" s="34"/>
      <c r="I187" s="37"/>
    </row>
    <row r="188" ht="22.5" customHeight="1">
      <c r="A188" s="30"/>
      <c r="B188" s="31"/>
      <c r="C188" s="32"/>
      <c r="D188" s="33"/>
      <c r="E188" s="34"/>
      <c r="F188" s="34"/>
      <c r="G188" s="35"/>
      <c r="H188" s="34"/>
      <c r="I188" s="38"/>
    </row>
    <row r="189" ht="22.5" customHeight="1">
      <c r="A189" s="30"/>
      <c r="B189" s="39"/>
      <c r="C189" s="32"/>
      <c r="D189" s="33"/>
      <c r="E189" s="34"/>
      <c r="F189" s="34"/>
      <c r="G189" s="35"/>
      <c r="H189" s="34"/>
      <c r="I189" s="37"/>
    </row>
    <row r="190" ht="22.5" customHeight="1">
      <c r="A190" s="30"/>
      <c r="B190" s="31"/>
      <c r="C190" s="32"/>
      <c r="D190" s="33"/>
      <c r="E190" s="34"/>
      <c r="F190" s="34"/>
      <c r="G190" s="35"/>
      <c r="H190" s="34"/>
      <c r="I190" s="37"/>
    </row>
    <row r="191" ht="22.5" customHeight="1">
      <c r="A191" s="30"/>
      <c r="B191" s="31"/>
      <c r="C191" s="32"/>
      <c r="D191" s="33"/>
      <c r="E191" s="34"/>
      <c r="F191" s="34"/>
      <c r="G191" s="35"/>
      <c r="H191" s="34"/>
      <c r="I191" s="37"/>
    </row>
    <row r="192" ht="22.5" customHeight="1">
      <c r="A192" s="30"/>
      <c r="B192" s="31"/>
      <c r="C192" s="32"/>
      <c r="D192" s="33"/>
      <c r="E192" s="34"/>
      <c r="F192" s="34"/>
      <c r="G192" s="35"/>
      <c r="H192" s="34"/>
      <c r="I192" s="37"/>
    </row>
    <row r="193" ht="22.5" customHeight="1">
      <c r="A193" s="30"/>
      <c r="B193" s="39"/>
      <c r="C193" s="32"/>
      <c r="D193" s="33"/>
      <c r="E193" s="34"/>
      <c r="F193" s="34"/>
      <c r="G193" s="35"/>
      <c r="H193" s="34"/>
      <c r="I193" s="37"/>
    </row>
    <row r="194" ht="22.5" customHeight="1">
      <c r="A194" s="30"/>
      <c r="B194" s="31"/>
      <c r="C194" s="32"/>
      <c r="D194" s="33"/>
      <c r="E194" s="34"/>
      <c r="F194" s="34"/>
      <c r="G194" s="35"/>
      <c r="H194" s="34"/>
      <c r="I194" s="37"/>
    </row>
    <row r="195" ht="22.5" customHeight="1">
      <c r="A195" s="30"/>
      <c r="B195" s="39"/>
      <c r="C195" s="32"/>
      <c r="D195" s="33"/>
      <c r="E195" s="34"/>
      <c r="F195" s="34"/>
      <c r="G195" s="35"/>
      <c r="H195" s="34"/>
      <c r="I195" s="37"/>
    </row>
    <row r="196" ht="22.5" customHeight="1">
      <c r="A196" s="30"/>
      <c r="B196" s="31"/>
      <c r="C196" s="32"/>
      <c r="D196" s="33"/>
      <c r="E196" s="34"/>
      <c r="F196" s="34"/>
      <c r="G196" s="35"/>
      <c r="H196" s="34"/>
      <c r="I196" s="37"/>
    </row>
    <row r="197" ht="22.5" customHeight="1">
      <c r="A197" s="30"/>
      <c r="B197" s="31"/>
      <c r="C197" s="32"/>
      <c r="D197" s="33"/>
      <c r="E197" s="34"/>
      <c r="F197" s="34"/>
      <c r="G197" s="35"/>
      <c r="H197" s="34"/>
      <c r="I197" s="37"/>
    </row>
    <row r="198" ht="22.5" customHeight="1">
      <c r="A198" s="30"/>
      <c r="B198" s="31"/>
      <c r="C198" s="32"/>
      <c r="D198" s="33"/>
      <c r="E198" s="34"/>
      <c r="F198" s="34"/>
      <c r="G198" s="35"/>
      <c r="H198" s="34"/>
      <c r="I198" s="37"/>
    </row>
    <row r="199" ht="22.5" customHeight="1">
      <c r="A199" s="30"/>
      <c r="B199" s="31"/>
      <c r="C199" s="32"/>
      <c r="D199" s="33"/>
      <c r="E199" s="34"/>
      <c r="F199" s="34"/>
      <c r="G199" s="35"/>
      <c r="H199" s="34"/>
      <c r="I199" s="37"/>
    </row>
    <row r="200" ht="22.5" customHeight="1">
      <c r="A200" s="30"/>
      <c r="B200" s="31"/>
      <c r="C200" s="32"/>
      <c r="D200" s="33"/>
      <c r="E200" s="34"/>
      <c r="F200" s="34"/>
      <c r="G200" s="35"/>
      <c r="H200" s="34"/>
      <c r="I200" s="37"/>
    </row>
    <row r="201" ht="22.5" customHeight="1">
      <c r="A201" s="30"/>
      <c r="B201" s="31"/>
      <c r="C201" s="32"/>
      <c r="D201" s="33"/>
      <c r="E201" s="34"/>
      <c r="F201" s="34"/>
      <c r="G201" s="35"/>
      <c r="H201" s="34"/>
      <c r="I201" s="37"/>
    </row>
    <row r="202" ht="22.5" customHeight="1">
      <c r="A202" s="30"/>
      <c r="B202" s="31"/>
      <c r="C202" s="32"/>
      <c r="D202" s="33"/>
      <c r="E202" s="34"/>
      <c r="F202" s="34"/>
      <c r="G202" s="35"/>
      <c r="H202" s="34"/>
      <c r="I202" s="37"/>
    </row>
    <row r="203" ht="22.5" customHeight="1">
      <c r="A203" s="30"/>
      <c r="B203" s="31"/>
      <c r="C203" s="32"/>
      <c r="D203" s="33"/>
      <c r="E203" s="34"/>
      <c r="F203" s="34"/>
      <c r="G203" s="35"/>
      <c r="H203" s="34"/>
      <c r="I203" s="37"/>
    </row>
    <row r="204" ht="22.5" customHeight="1">
      <c r="A204" s="30"/>
      <c r="B204" s="31"/>
      <c r="C204" s="32"/>
      <c r="D204" s="33"/>
      <c r="E204" s="34"/>
      <c r="F204" s="34"/>
      <c r="G204" s="35"/>
      <c r="H204" s="34"/>
      <c r="I204" s="37"/>
    </row>
    <row r="205" ht="22.5" customHeight="1">
      <c r="A205" s="30"/>
      <c r="B205" s="31"/>
      <c r="C205" s="32"/>
      <c r="D205" s="33"/>
      <c r="E205" s="34"/>
      <c r="F205" s="34"/>
      <c r="G205" s="35"/>
      <c r="H205" s="34"/>
      <c r="I205" s="37"/>
    </row>
    <row r="206" ht="22.5" customHeight="1">
      <c r="A206" s="30"/>
      <c r="B206" s="40"/>
      <c r="C206" s="32"/>
      <c r="D206" s="33"/>
      <c r="E206" s="34"/>
      <c r="F206" s="34"/>
      <c r="G206" s="35"/>
      <c r="H206" s="34"/>
      <c r="I206" s="37"/>
    </row>
    <row r="207" ht="22.5" customHeight="1">
      <c r="A207" s="30"/>
      <c r="B207" s="31"/>
      <c r="C207" s="32"/>
      <c r="D207" s="33"/>
      <c r="E207" s="34"/>
      <c r="F207" s="34"/>
      <c r="G207" s="35"/>
      <c r="H207" s="34"/>
      <c r="I207" s="37"/>
    </row>
    <row r="208" ht="22.5" customHeight="1">
      <c r="A208" s="30"/>
      <c r="B208" s="31"/>
      <c r="C208" s="32"/>
      <c r="D208" s="33"/>
      <c r="E208" s="34"/>
      <c r="F208" s="34"/>
      <c r="G208" s="35"/>
      <c r="H208" s="34"/>
      <c r="I208" s="37"/>
    </row>
    <row r="209" ht="22.5" customHeight="1">
      <c r="A209" s="30"/>
      <c r="B209" s="31"/>
      <c r="C209" s="32"/>
      <c r="D209" s="33"/>
      <c r="E209" s="34"/>
      <c r="F209" s="34"/>
      <c r="G209" s="35"/>
      <c r="H209" s="34"/>
      <c r="I209" s="37"/>
    </row>
    <row r="210" ht="22.5" customHeight="1">
      <c r="A210" s="30"/>
      <c r="B210" s="31"/>
      <c r="C210" s="32"/>
      <c r="D210" s="33"/>
      <c r="E210" s="34"/>
      <c r="F210" s="34"/>
      <c r="G210" s="35"/>
      <c r="H210" s="34"/>
      <c r="I210" s="37"/>
    </row>
    <row r="211" ht="22.5" customHeight="1">
      <c r="A211" s="30"/>
      <c r="B211" s="31"/>
      <c r="C211" s="32"/>
      <c r="D211" s="33"/>
      <c r="E211" s="34"/>
      <c r="F211" s="34"/>
      <c r="G211" s="35"/>
      <c r="H211" s="34"/>
      <c r="I211" s="37"/>
    </row>
    <row r="212" ht="22.5" customHeight="1">
      <c r="A212" s="30"/>
      <c r="B212" s="31"/>
      <c r="C212" s="32"/>
      <c r="D212" s="33"/>
      <c r="E212" s="34"/>
      <c r="F212" s="34"/>
      <c r="G212" s="35"/>
      <c r="H212" s="34"/>
      <c r="I212" s="37"/>
    </row>
    <row r="213" ht="22.5" customHeight="1">
      <c r="A213" s="30"/>
      <c r="B213" s="39"/>
      <c r="C213" s="32"/>
      <c r="D213" s="33"/>
      <c r="E213" s="34"/>
      <c r="F213" s="34"/>
      <c r="G213" s="35"/>
      <c r="H213" s="34"/>
      <c r="I213" s="37"/>
    </row>
    <row r="214" ht="22.5" customHeight="1">
      <c r="A214" s="30"/>
      <c r="B214" s="39"/>
      <c r="C214" s="32"/>
      <c r="D214" s="33"/>
      <c r="E214" s="34"/>
      <c r="F214" s="34"/>
      <c r="G214" s="35"/>
      <c r="H214" s="34"/>
      <c r="I214" s="37"/>
    </row>
    <row r="215" ht="22.5" customHeight="1">
      <c r="A215" s="30"/>
      <c r="B215" s="39"/>
      <c r="C215" s="32"/>
      <c r="D215" s="33"/>
      <c r="E215" s="34"/>
      <c r="F215" s="34"/>
      <c r="G215" s="35"/>
      <c r="H215" s="34"/>
      <c r="I215" s="37"/>
    </row>
    <row r="216" ht="22.5" customHeight="1">
      <c r="A216" s="30"/>
      <c r="B216" s="40"/>
      <c r="C216" s="32"/>
      <c r="D216" s="33"/>
      <c r="E216" s="34"/>
      <c r="F216" s="34"/>
      <c r="G216" s="35"/>
      <c r="H216" s="34"/>
      <c r="I216" s="37"/>
    </row>
    <row r="217" ht="22.5" customHeight="1">
      <c r="A217" s="30"/>
      <c r="B217" s="31"/>
      <c r="C217" s="32"/>
      <c r="D217" s="33"/>
      <c r="E217" s="34"/>
      <c r="F217" s="34"/>
      <c r="G217" s="35"/>
      <c r="H217" s="34"/>
      <c r="I217" s="37"/>
    </row>
    <row r="218" ht="22.5" customHeight="1">
      <c r="A218" s="30"/>
      <c r="B218" s="31"/>
      <c r="C218" s="32"/>
      <c r="D218" s="33"/>
      <c r="E218" s="34"/>
      <c r="F218" s="34"/>
      <c r="G218" s="35"/>
      <c r="H218" s="34"/>
      <c r="I218" s="37"/>
    </row>
    <row r="219" ht="22.5" customHeight="1">
      <c r="A219" s="30"/>
      <c r="B219" s="31"/>
      <c r="C219" s="32"/>
      <c r="D219" s="33"/>
      <c r="E219" s="34"/>
      <c r="F219" s="34"/>
      <c r="G219" s="35"/>
      <c r="H219" s="34"/>
      <c r="I219" s="37"/>
    </row>
    <row r="220" ht="22.5" customHeight="1">
      <c r="A220" s="30"/>
      <c r="B220" s="31"/>
      <c r="C220" s="32"/>
      <c r="D220" s="33"/>
      <c r="E220" s="34"/>
      <c r="F220" s="34"/>
      <c r="G220" s="35"/>
      <c r="H220" s="34"/>
      <c r="I220" s="37"/>
    </row>
    <row r="221" ht="22.5" customHeight="1">
      <c r="A221" s="30"/>
      <c r="B221" s="31"/>
      <c r="C221" s="32"/>
      <c r="D221" s="33"/>
      <c r="E221" s="34"/>
      <c r="F221" s="34"/>
      <c r="G221" s="35"/>
      <c r="H221" s="34"/>
      <c r="I221" s="37"/>
    </row>
    <row r="222" ht="22.5" customHeight="1">
      <c r="A222" s="30"/>
      <c r="B222" s="31"/>
      <c r="C222" s="32"/>
      <c r="D222" s="33"/>
      <c r="E222" s="34"/>
      <c r="F222" s="34"/>
      <c r="G222" s="35"/>
      <c r="H222" s="34"/>
      <c r="I222" s="37"/>
    </row>
    <row r="223" ht="22.5" customHeight="1">
      <c r="A223" s="30"/>
      <c r="B223" s="31"/>
      <c r="C223" s="32"/>
      <c r="D223" s="33"/>
      <c r="E223" s="34"/>
      <c r="F223" s="34"/>
      <c r="G223" s="35"/>
      <c r="H223" s="34"/>
      <c r="I223" s="37"/>
    </row>
    <row r="224" ht="22.5" customHeight="1">
      <c r="A224" s="30"/>
      <c r="B224" s="31"/>
      <c r="C224" s="32"/>
      <c r="D224" s="33"/>
      <c r="E224" s="34"/>
      <c r="F224" s="34"/>
      <c r="G224" s="35"/>
      <c r="H224" s="34"/>
      <c r="I224" s="37"/>
    </row>
    <row r="225" ht="22.5" customHeight="1">
      <c r="A225" s="30"/>
      <c r="B225" s="31"/>
      <c r="C225" s="32"/>
      <c r="D225" s="33"/>
      <c r="E225" s="34"/>
      <c r="F225" s="34"/>
      <c r="G225" s="35"/>
      <c r="H225" s="34"/>
      <c r="I225" s="37"/>
    </row>
    <row r="226" ht="22.5" customHeight="1">
      <c r="A226" s="30"/>
      <c r="B226" s="40"/>
      <c r="C226" s="32"/>
      <c r="D226" s="33"/>
      <c r="E226" s="34"/>
      <c r="F226" s="34"/>
      <c r="G226" s="35"/>
      <c r="H226" s="34"/>
      <c r="I226" s="37"/>
    </row>
    <row r="227" ht="22.5" customHeight="1">
      <c r="A227" s="30"/>
      <c r="B227" s="31"/>
      <c r="C227" s="32"/>
      <c r="D227" s="33"/>
      <c r="E227" s="34"/>
      <c r="F227" s="34"/>
      <c r="G227" s="35"/>
      <c r="H227" s="34"/>
      <c r="I227" s="37"/>
    </row>
    <row r="228" ht="22.5" customHeight="1">
      <c r="A228" s="30"/>
      <c r="B228" s="31"/>
      <c r="C228" s="32"/>
      <c r="D228" s="33"/>
      <c r="E228" s="34"/>
      <c r="F228" s="34"/>
      <c r="G228" s="35"/>
      <c r="H228" s="34"/>
      <c r="I228" s="37"/>
    </row>
    <row r="229" ht="22.5" customHeight="1">
      <c r="A229" s="30"/>
      <c r="B229" s="31"/>
      <c r="C229" s="32"/>
      <c r="D229" s="33"/>
      <c r="E229" s="34"/>
      <c r="F229" s="34"/>
      <c r="G229" s="35"/>
      <c r="H229" s="34"/>
      <c r="I229" s="37"/>
    </row>
    <row r="230" ht="22.5" customHeight="1">
      <c r="A230" s="30"/>
      <c r="B230" s="40"/>
      <c r="C230" s="32"/>
      <c r="D230" s="33"/>
      <c r="E230" s="34"/>
      <c r="F230" s="34"/>
      <c r="G230" s="35"/>
      <c r="H230" s="34"/>
      <c r="I230" s="37"/>
    </row>
    <row r="231" ht="22.5" customHeight="1">
      <c r="A231" s="30"/>
      <c r="B231" s="31"/>
      <c r="C231" s="32"/>
      <c r="D231" s="33"/>
      <c r="E231" s="34"/>
      <c r="F231" s="34"/>
      <c r="G231" s="35"/>
      <c r="H231" s="34"/>
      <c r="I231" s="37"/>
    </row>
    <row r="232" ht="22.5" customHeight="1">
      <c r="A232" s="30"/>
      <c r="B232" s="31"/>
      <c r="C232" s="32"/>
      <c r="D232" s="33"/>
      <c r="E232" s="34"/>
      <c r="F232" s="34"/>
      <c r="G232" s="35"/>
      <c r="H232" s="34"/>
      <c r="I232" s="37"/>
    </row>
    <row r="233" ht="22.5" customHeight="1">
      <c r="A233" s="30"/>
      <c r="B233" s="31"/>
      <c r="C233" s="32"/>
      <c r="D233" s="33"/>
      <c r="E233" s="34"/>
      <c r="F233" s="34"/>
      <c r="G233" s="35"/>
      <c r="H233" s="34"/>
      <c r="I233" s="37"/>
    </row>
    <row r="234" ht="22.5" customHeight="1">
      <c r="A234" s="30"/>
      <c r="B234" s="31"/>
      <c r="C234" s="32"/>
      <c r="D234" s="33"/>
      <c r="E234" s="34"/>
      <c r="F234" s="34"/>
      <c r="G234" s="35"/>
      <c r="H234" s="34"/>
      <c r="I234" s="37"/>
    </row>
    <row r="235" ht="22.5" customHeight="1">
      <c r="A235" s="30"/>
      <c r="B235" s="31"/>
      <c r="C235" s="32"/>
      <c r="D235" s="33"/>
      <c r="E235" s="34"/>
      <c r="F235" s="34"/>
      <c r="G235" s="35"/>
      <c r="H235" s="34"/>
      <c r="I235" s="37"/>
    </row>
    <row r="236" ht="22.5" customHeight="1">
      <c r="A236" s="30"/>
      <c r="B236" s="31"/>
      <c r="C236" s="32"/>
      <c r="D236" s="33"/>
      <c r="E236" s="34"/>
      <c r="F236" s="34"/>
      <c r="G236" s="35"/>
      <c r="H236" s="34"/>
      <c r="I236" s="37"/>
    </row>
    <row r="237" ht="22.5" customHeight="1">
      <c r="A237" s="30"/>
      <c r="B237" s="31"/>
      <c r="C237" s="32"/>
      <c r="D237" s="33"/>
      <c r="E237" s="34"/>
      <c r="F237" s="34"/>
      <c r="G237" s="35"/>
      <c r="H237" s="34"/>
      <c r="I237" s="37"/>
    </row>
    <row r="238" ht="22.5" customHeight="1">
      <c r="A238" s="30"/>
      <c r="B238" s="31"/>
      <c r="C238" s="32"/>
      <c r="D238" s="33"/>
      <c r="E238" s="34"/>
      <c r="F238" s="34"/>
      <c r="G238" s="35"/>
      <c r="H238" s="34"/>
      <c r="I238" s="37"/>
    </row>
    <row r="239" ht="22.5" customHeight="1">
      <c r="A239" s="30"/>
      <c r="B239" s="31"/>
      <c r="C239" s="32"/>
      <c r="D239" s="33"/>
      <c r="E239" s="34"/>
      <c r="F239" s="34"/>
      <c r="G239" s="35"/>
      <c r="H239" s="34"/>
      <c r="I239" s="37"/>
    </row>
    <row r="240" ht="22.5" customHeight="1">
      <c r="A240" s="30"/>
      <c r="B240" s="31"/>
      <c r="C240" s="32"/>
      <c r="D240" s="33"/>
      <c r="E240" s="34"/>
      <c r="F240" s="34"/>
      <c r="G240" s="35"/>
      <c r="H240" s="34"/>
      <c r="I240" s="37"/>
    </row>
    <row r="241" ht="22.5" customHeight="1">
      <c r="A241" s="30"/>
      <c r="B241" s="31"/>
      <c r="C241" s="32"/>
      <c r="D241" s="33"/>
      <c r="E241" s="34"/>
      <c r="F241" s="34"/>
      <c r="G241" s="35"/>
      <c r="H241" s="34"/>
      <c r="I241" s="37"/>
    </row>
    <row r="242" ht="22.5" customHeight="1">
      <c r="A242" s="30"/>
      <c r="B242" s="31"/>
      <c r="C242" s="32"/>
      <c r="D242" s="33"/>
      <c r="E242" s="34"/>
      <c r="F242" s="34"/>
      <c r="G242" s="35"/>
      <c r="H242" s="34"/>
      <c r="I242" s="37"/>
    </row>
    <row r="243" ht="22.5" customHeight="1">
      <c r="A243" s="30"/>
      <c r="B243" s="31"/>
      <c r="C243" s="32"/>
      <c r="D243" s="33"/>
      <c r="E243" s="34"/>
      <c r="F243" s="34"/>
      <c r="G243" s="35"/>
      <c r="H243" s="34"/>
      <c r="I243" s="37"/>
    </row>
    <row r="244" ht="22.5" customHeight="1">
      <c r="A244" s="30"/>
      <c r="B244" s="31"/>
      <c r="C244" s="32"/>
      <c r="D244" s="33"/>
      <c r="E244" s="34"/>
      <c r="F244" s="34"/>
      <c r="G244" s="35"/>
      <c r="H244" s="34"/>
      <c r="I244" s="37"/>
    </row>
    <row r="245" ht="22.5" customHeight="1">
      <c r="A245" s="30"/>
      <c r="B245" s="40"/>
      <c r="C245" s="32"/>
      <c r="D245" s="33"/>
      <c r="E245" s="34"/>
      <c r="F245" s="34"/>
      <c r="G245" s="35"/>
      <c r="H245" s="34"/>
      <c r="I245" s="37"/>
    </row>
    <row r="246" ht="22.5" customHeight="1">
      <c r="A246" s="30"/>
      <c r="B246" s="31"/>
      <c r="C246" s="32"/>
      <c r="D246" s="33"/>
      <c r="E246" s="34"/>
      <c r="F246" s="34"/>
      <c r="G246" s="35"/>
      <c r="H246" s="34"/>
      <c r="I246" s="37"/>
    </row>
    <row r="247" ht="22.5" customHeight="1">
      <c r="A247" s="30"/>
      <c r="B247" s="40"/>
      <c r="C247" s="32"/>
      <c r="D247" s="33"/>
      <c r="E247" s="34"/>
      <c r="F247" s="34"/>
      <c r="G247" s="35"/>
      <c r="H247" s="34"/>
      <c r="I247" s="37"/>
    </row>
    <row r="248" ht="22.5" customHeight="1">
      <c r="A248" s="30"/>
      <c r="B248" s="31"/>
      <c r="C248" s="32"/>
      <c r="D248" s="33"/>
      <c r="E248" s="34"/>
      <c r="F248" s="34"/>
      <c r="G248" s="35"/>
      <c r="H248" s="34"/>
      <c r="I248" s="37"/>
    </row>
    <row r="249" ht="22.5" customHeight="1">
      <c r="A249" s="30"/>
      <c r="B249" s="31"/>
      <c r="C249" s="32"/>
      <c r="D249" s="33"/>
      <c r="E249" s="34"/>
      <c r="F249" s="34"/>
      <c r="G249" s="35"/>
      <c r="H249" s="34"/>
      <c r="I249" s="37"/>
    </row>
    <row r="250" ht="22.5" customHeight="1">
      <c r="A250" s="30"/>
      <c r="B250" s="31"/>
      <c r="C250" s="32"/>
      <c r="D250" s="33"/>
      <c r="E250" s="34"/>
      <c r="F250" s="34"/>
      <c r="G250" s="35"/>
      <c r="H250" s="34"/>
      <c r="I250" s="37"/>
    </row>
    <row r="251" ht="22.5" customHeight="1">
      <c r="A251" s="30"/>
      <c r="B251" s="31"/>
      <c r="C251" s="32"/>
      <c r="D251" s="33"/>
      <c r="E251" s="34"/>
      <c r="F251" s="34"/>
      <c r="G251" s="35"/>
      <c r="H251" s="34"/>
      <c r="I251" s="37"/>
    </row>
    <row r="252" ht="22.5" customHeight="1">
      <c r="A252" s="30"/>
      <c r="B252" s="40"/>
      <c r="C252" s="32"/>
      <c r="D252" s="33"/>
      <c r="E252" s="34"/>
      <c r="F252" s="34"/>
      <c r="G252" s="35"/>
      <c r="H252" s="34"/>
      <c r="I252" s="37"/>
    </row>
    <row r="253" ht="22.5" customHeight="1">
      <c r="A253" s="30"/>
      <c r="B253" s="31"/>
      <c r="C253" s="32"/>
      <c r="D253" s="33"/>
      <c r="E253" s="34"/>
      <c r="F253" s="34"/>
      <c r="G253" s="35"/>
      <c r="H253" s="34"/>
      <c r="I253" s="37"/>
    </row>
    <row r="254" ht="22.5" customHeight="1">
      <c r="A254" s="30"/>
      <c r="B254" s="31"/>
      <c r="C254" s="32"/>
      <c r="D254" s="33"/>
      <c r="E254" s="34"/>
      <c r="F254" s="34"/>
      <c r="G254" s="35"/>
      <c r="H254" s="34"/>
      <c r="I254" s="37"/>
    </row>
    <row r="255" ht="22.5" customHeight="1">
      <c r="A255" s="30"/>
      <c r="B255" s="31"/>
      <c r="C255" s="32"/>
      <c r="D255" s="33"/>
      <c r="E255" s="34"/>
      <c r="F255" s="34"/>
      <c r="G255" s="35"/>
      <c r="H255" s="34"/>
      <c r="I255" s="37"/>
    </row>
    <row r="256" ht="22.5" customHeight="1">
      <c r="A256" s="30"/>
      <c r="B256" s="31"/>
      <c r="C256" s="32"/>
      <c r="D256" s="33"/>
      <c r="E256" s="34"/>
      <c r="F256" s="34"/>
      <c r="G256" s="35"/>
      <c r="H256" s="34"/>
      <c r="I256" s="37"/>
    </row>
    <row r="257" ht="22.5" customHeight="1">
      <c r="A257" s="30"/>
      <c r="B257" s="31"/>
      <c r="C257" s="32"/>
      <c r="D257" s="33"/>
      <c r="E257" s="34"/>
      <c r="F257" s="34"/>
      <c r="G257" s="35"/>
      <c r="H257" s="34"/>
      <c r="I257" s="37"/>
    </row>
    <row r="258" ht="22.5" customHeight="1">
      <c r="A258" s="30"/>
      <c r="B258" s="31"/>
      <c r="C258" s="32"/>
      <c r="D258" s="33"/>
      <c r="E258" s="34"/>
      <c r="F258" s="34"/>
      <c r="G258" s="35"/>
      <c r="H258" s="34"/>
      <c r="I258" s="37"/>
    </row>
    <row r="259" ht="22.5" customHeight="1">
      <c r="A259" s="30"/>
      <c r="B259" s="31"/>
      <c r="C259" s="32"/>
      <c r="D259" s="33"/>
      <c r="E259" s="34"/>
      <c r="F259" s="34"/>
      <c r="G259" s="35"/>
      <c r="H259" s="34"/>
      <c r="I259" s="37"/>
    </row>
    <row r="260" ht="22.5" customHeight="1">
      <c r="A260" s="30"/>
      <c r="B260" s="31"/>
      <c r="C260" s="32"/>
      <c r="D260" s="33"/>
      <c r="E260" s="34"/>
      <c r="F260" s="34"/>
      <c r="G260" s="35"/>
      <c r="H260" s="34"/>
      <c r="I260" s="37"/>
    </row>
    <row r="261" ht="22.5" customHeight="1">
      <c r="A261" s="30"/>
      <c r="B261" s="31"/>
      <c r="C261" s="32"/>
      <c r="D261" s="33"/>
      <c r="E261" s="34"/>
      <c r="F261" s="34"/>
      <c r="G261" s="35"/>
      <c r="H261" s="34"/>
      <c r="I261" s="37"/>
    </row>
    <row r="262" ht="22.5" customHeight="1">
      <c r="A262" s="30"/>
      <c r="B262" s="31"/>
      <c r="C262" s="32"/>
      <c r="D262" s="33"/>
      <c r="E262" s="34"/>
      <c r="F262" s="34"/>
      <c r="G262" s="35"/>
      <c r="H262" s="34"/>
      <c r="I262" s="37"/>
    </row>
    <row r="263" ht="22.5" customHeight="1">
      <c r="A263" s="30"/>
      <c r="B263" s="31"/>
      <c r="C263" s="32"/>
      <c r="D263" s="33"/>
      <c r="E263" s="34"/>
      <c r="F263" s="34"/>
      <c r="G263" s="35"/>
      <c r="H263" s="34"/>
      <c r="I263" s="37"/>
    </row>
    <row r="264" ht="22.5" customHeight="1">
      <c r="A264" s="30"/>
      <c r="B264" s="31"/>
      <c r="C264" s="32"/>
      <c r="D264" s="33"/>
      <c r="E264" s="34"/>
      <c r="F264" s="34"/>
      <c r="G264" s="35"/>
      <c r="H264" s="34"/>
      <c r="I264" s="37"/>
    </row>
    <row r="265" ht="22.5" customHeight="1">
      <c r="A265" s="30"/>
      <c r="B265" s="31"/>
      <c r="C265" s="32"/>
      <c r="D265" s="33"/>
      <c r="E265" s="34"/>
      <c r="F265" s="34"/>
      <c r="G265" s="35"/>
      <c r="H265" s="34"/>
      <c r="I265" s="37"/>
    </row>
    <row r="266" ht="22.5" customHeight="1">
      <c r="A266" s="30"/>
      <c r="B266" s="31"/>
      <c r="C266" s="32"/>
      <c r="D266" s="33"/>
      <c r="E266" s="34"/>
      <c r="F266" s="34"/>
      <c r="G266" s="35"/>
      <c r="H266" s="34"/>
      <c r="I266" s="37"/>
    </row>
    <row r="267" ht="22.5" customHeight="1">
      <c r="A267" s="30"/>
      <c r="B267" s="31"/>
      <c r="C267" s="32"/>
      <c r="D267" s="33"/>
      <c r="E267" s="34"/>
      <c r="F267" s="34"/>
      <c r="G267" s="35"/>
      <c r="H267" s="34"/>
      <c r="I267" s="37"/>
    </row>
    <row r="268" ht="22.5" customHeight="1">
      <c r="A268" s="30"/>
      <c r="B268" s="31"/>
      <c r="C268" s="32"/>
      <c r="D268" s="33"/>
      <c r="E268" s="34"/>
      <c r="F268" s="34"/>
      <c r="G268" s="35"/>
      <c r="H268" s="34"/>
      <c r="I268" s="37"/>
    </row>
    <row r="269" ht="22.5" customHeight="1">
      <c r="A269" s="30"/>
      <c r="B269" s="31"/>
      <c r="C269" s="32"/>
      <c r="D269" s="33"/>
      <c r="E269" s="34"/>
      <c r="F269" s="34"/>
      <c r="G269" s="35"/>
      <c r="H269" s="34"/>
      <c r="I269" s="37"/>
    </row>
    <row r="270" ht="22.5" customHeight="1">
      <c r="A270" s="30"/>
      <c r="B270" s="31"/>
      <c r="C270" s="32"/>
      <c r="D270" s="33"/>
      <c r="E270" s="34"/>
      <c r="F270" s="34"/>
      <c r="G270" s="35"/>
      <c r="H270" s="34"/>
      <c r="I270" s="37"/>
    </row>
    <row r="271" ht="22.5" customHeight="1">
      <c r="A271" s="30"/>
      <c r="B271" s="31"/>
      <c r="C271" s="32"/>
      <c r="D271" s="33"/>
      <c r="E271" s="34"/>
      <c r="F271" s="34"/>
      <c r="G271" s="35"/>
      <c r="H271" s="34"/>
      <c r="I271" s="37"/>
    </row>
    <row r="272" ht="22.5" customHeight="1">
      <c r="A272" s="30"/>
      <c r="B272" s="31"/>
      <c r="C272" s="32"/>
      <c r="D272" s="33"/>
      <c r="E272" s="34"/>
      <c r="F272" s="34"/>
      <c r="G272" s="35"/>
      <c r="H272" s="34"/>
      <c r="I272" s="37"/>
    </row>
    <row r="273" ht="22.5" customHeight="1">
      <c r="A273" s="30"/>
      <c r="B273" s="31"/>
      <c r="C273" s="32"/>
      <c r="D273" s="33"/>
      <c r="E273" s="34"/>
      <c r="F273" s="34"/>
      <c r="G273" s="35"/>
      <c r="H273" s="34"/>
      <c r="I273" s="37"/>
    </row>
    <row r="274" ht="22.5" customHeight="1">
      <c r="A274" s="30"/>
      <c r="B274" s="40"/>
      <c r="C274" s="32"/>
      <c r="D274" s="33"/>
      <c r="E274" s="34"/>
      <c r="F274" s="34"/>
      <c r="G274" s="35"/>
      <c r="H274" s="34"/>
      <c r="I274" s="37"/>
    </row>
    <row r="275" ht="22.5" customHeight="1">
      <c r="A275" s="30"/>
      <c r="B275" s="31"/>
      <c r="C275" s="32"/>
      <c r="D275" s="33"/>
      <c r="E275" s="34"/>
      <c r="F275" s="34"/>
      <c r="G275" s="35"/>
      <c r="H275" s="34"/>
      <c r="I275" s="37"/>
    </row>
    <row r="276" ht="22.5" customHeight="1">
      <c r="A276" s="30"/>
      <c r="B276" s="31"/>
      <c r="C276" s="32"/>
      <c r="D276" s="33"/>
      <c r="E276" s="34"/>
      <c r="F276" s="34"/>
      <c r="G276" s="35"/>
      <c r="H276" s="34"/>
      <c r="I276" s="37"/>
    </row>
    <row r="277" ht="22.5" customHeight="1">
      <c r="A277" s="30"/>
      <c r="B277" s="31"/>
      <c r="C277" s="32"/>
      <c r="D277" s="33"/>
      <c r="E277" s="34"/>
      <c r="F277" s="34"/>
      <c r="G277" s="35"/>
      <c r="H277" s="34"/>
      <c r="I277" s="37"/>
    </row>
    <row r="278" ht="22.5" customHeight="1">
      <c r="A278" s="30"/>
      <c r="B278" s="31"/>
      <c r="C278" s="32"/>
      <c r="D278" s="33"/>
      <c r="E278" s="34"/>
      <c r="F278" s="34"/>
      <c r="G278" s="35"/>
      <c r="H278" s="34"/>
      <c r="I278" s="38"/>
    </row>
    <row r="279" ht="22.5" customHeight="1">
      <c r="A279" s="30"/>
      <c r="B279" s="39"/>
      <c r="C279" s="32"/>
      <c r="D279" s="33"/>
      <c r="E279" s="34"/>
      <c r="F279" s="34"/>
      <c r="G279" s="35"/>
      <c r="H279" s="34"/>
      <c r="I279" s="37"/>
    </row>
    <row r="280" ht="22.5" customHeight="1">
      <c r="A280" s="30"/>
      <c r="B280" s="31"/>
      <c r="C280" s="32"/>
      <c r="D280" s="33"/>
      <c r="E280" s="34"/>
      <c r="F280" s="34"/>
      <c r="G280" s="35"/>
      <c r="H280" s="34"/>
      <c r="I280" s="37"/>
    </row>
    <row r="281" ht="22.5" customHeight="1">
      <c r="A281" s="30"/>
      <c r="B281" s="31"/>
      <c r="C281" s="32"/>
      <c r="D281" s="33"/>
      <c r="E281" s="34"/>
      <c r="F281" s="34"/>
      <c r="G281" s="35"/>
      <c r="H281" s="34"/>
      <c r="I281" s="37"/>
    </row>
    <row r="282" ht="22.5" customHeight="1">
      <c r="A282" s="30"/>
      <c r="B282" s="31"/>
      <c r="C282" s="32"/>
      <c r="D282" s="33"/>
      <c r="E282" s="34"/>
      <c r="F282" s="34"/>
      <c r="G282" s="35"/>
      <c r="H282" s="34"/>
      <c r="I282" s="37"/>
    </row>
    <row r="283" ht="22.5" customHeight="1">
      <c r="A283" s="30"/>
      <c r="B283" s="39"/>
      <c r="C283" s="32"/>
      <c r="D283" s="33"/>
      <c r="E283" s="34"/>
      <c r="F283" s="34"/>
      <c r="G283" s="35"/>
      <c r="H283" s="34"/>
      <c r="I283" s="37"/>
    </row>
    <row r="284" ht="22.5" customHeight="1">
      <c r="A284" s="30"/>
      <c r="B284" s="31"/>
      <c r="C284" s="32"/>
      <c r="D284" s="33"/>
      <c r="E284" s="34"/>
      <c r="F284" s="34"/>
      <c r="G284" s="35"/>
      <c r="H284" s="34"/>
      <c r="I284" s="37"/>
    </row>
    <row r="285" ht="22.5" customHeight="1">
      <c r="A285" s="30"/>
      <c r="B285" s="39"/>
      <c r="C285" s="32"/>
      <c r="D285" s="33"/>
      <c r="E285" s="34"/>
      <c r="F285" s="34"/>
      <c r="G285" s="35"/>
      <c r="H285" s="34"/>
      <c r="I285" s="37"/>
    </row>
    <row r="286" ht="22.5" customHeight="1">
      <c r="A286" s="30"/>
      <c r="B286" s="31"/>
      <c r="C286" s="32"/>
      <c r="D286" s="33"/>
      <c r="E286" s="34"/>
      <c r="F286" s="34"/>
      <c r="G286" s="35"/>
      <c r="H286" s="34"/>
      <c r="I286" s="37"/>
    </row>
    <row r="287" ht="22.5" customHeight="1">
      <c r="A287" s="30"/>
      <c r="B287" s="31"/>
      <c r="C287" s="32"/>
      <c r="D287" s="33"/>
      <c r="E287" s="34"/>
      <c r="F287" s="34"/>
      <c r="G287" s="35"/>
      <c r="H287" s="34"/>
      <c r="I287" s="37"/>
    </row>
    <row r="288" ht="22.5" customHeight="1">
      <c r="A288" s="30"/>
      <c r="B288" s="31"/>
      <c r="C288" s="32"/>
      <c r="D288" s="33"/>
      <c r="E288" s="34"/>
      <c r="F288" s="34"/>
      <c r="G288" s="35"/>
      <c r="H288" s="34"/>
      <c r="I288" s="37"/>
    </row>
    <row r="289" ht="22.5" customHeight="1">
      <c r="A289" s="30"/>
      <c r="B289" s="31"/>
      <c r="C289" s="32"/>
      <c r="D289" s="33"/>
      <c r="E289" s="34"/>
      <c r="F289" s="34"/>
      <c r="G289" s="35"/>
      <c r="H289" s="34"/>
      <c r="I289" s="37"/>
    </row>
    <row r="290" ht="22.5" customHeight="1">
      <c r="A290" s="30"/>
      <c r="B290" s="31"/>
      <c r="C290" s="32"/>
      <c r="D290" s="33"/>
      <c r="E290" s="34"/>
      <c r="F290" s="34"/>
      <c r="G290" s="35"/>
      <c r="H290" s="34"/>
      <c r="I290" s="37"/>
    </row>
    <row r="291" ht="22.5" customHeight="1">
      <c r="A291" s="30"/>
      <c r="B291" s="31"/>
      <c r="C291" s="32"/>
      <c r="D291" s="33"/>
      <c r="E291" s="34"/>
      <c r="F291" s="34"/>
      <c r="G291" s="35"/>
      <c r="H291" s="34"/>
      <c r="I291" s="37"/>
    </row>
    <row r="292" ht="22.5" customHeight="1">
      <c r="A292" s="30"/>
      <c r="B292" s="31"/>
      <c r="C292" s="32"/>
      <c r="D292" s="33"/>
      <c r="E292" s="34"/>
      <c r="F292" s="34"/>
      <c r="G292" s="35"/>
      <c r="H292" s="34"/>
      <c r="I292" s="37"/>
    </row>
    <row r="293" ht="22.5" customHeight="1">
      <c r="A293" s="30"/>
      <c r="B293" s="31"/>
      <c r="C293" s="32"/>
      <c r="D293" s="33"/>
      <c r="E293" s="34"/>
      <c r="F293" s="34"/>
      <c r="G293" s="35"/>
      <c r="H293" s="34"/>
      <c r="I293" s="37"/>
    </row>
    <row r="294" ht="22.5" customHeight="1">
      <c r="A294" s="30"/>
      <c r="B294" s="31"/>
      <c r="C294" s="32"/>
      <c r="D294" s="33"/>
      <c r="E294" s="34"/>
      <c r="F294" s="34"/>
      <c r="G294" s="35"/>
      <c r="H294" s="34"/>
      <c r="I294" s="37"/>
    </row>
    <row r="295" ht="22.5" customHeight="1">
      <c r="A295" s="30"/>
      <c r="B295" s="31"/>
      <c r="C295" s="32"/>
      <c r="D295" s="33"/>
      <c r="E295" s="34"/>
      <c r="F295" s="34"/>
      <c r="G295" s="35"/>
      <c r="H295" s="34"/>
      <c r="I295" s="37"/>
    </row>
    <row r="296" ht="22.5" customHeight="1">
      <c r="A296" s="30"/>
      <c r="B296" s="40"/>
      <c r="C296" s="32"/>
      <c r="D296" s="33"/>
      <c r="E296" s="34"/>
      <c r="F296" s="34"/>
      <c r="G296" s="35"/>
      <c r="H296" s="34"/>
      <c r="I296" s="37"/>
    </row>
    <row r="297" ht="22.5" customHeight="1">
      <c r="A297" s="30"/>
      <c r="B297" s="31"/>
      <c r="C297" s="32"/>
      <c r="D297" s="33"/>
      <c r="E297" s="34"/>
      <c r="F297" s="34"/>
      <c r="G297" s="35"/>
      <c r="H297" s="34"/>
      <c r="I297" s="37"/>
    </row>
    <row r="298" ht="22.5" customHeight="1">
      <c r="A298" s="30"/>
      <c r="B298" s="31"/>
      <c r="C298" s="32"/>
      <c r="D298" s="33"/>
      <c r="E298" s="34"/>
      <c r="F298" s="34"/>
      <c r="G298" s="35"/>
      <c r="H298" s="34"/>
      <c r="I298" s="37"/>
    </row>
    <row r="299" ht="22.5" customHeight="1">
      <c r="A299" s="30"/>
      <c r="B299" s="31"/>
      <c r="C299" s="32"/>
      <c r="D299" s="33"/>
      <c r="E299" s="34"/>
      <c r="F299" s="34"/>
      <c r="G299" s="35"/>
      <c r="H299" s="34"/>
      <c r="I299" s="37"/>
    </row>
    <row r="300" ht="22.5" customHeight="1">
      <c r="A300" s="30"/>
      <c r="B300" s="31"/>
      <c r="C300" s="32"/>
      <c r="D300" s="33"/>
      <c r="E300" s="34"/>
      <c r="F300" s="34"/>
      <c r="G300" s="35"/>
      <c r="H300" s="34"/>
      <c r="I300" s="37"/>
    </row>
    <row r="301" ht="22.5" customHeight="1">
      <c r="A301" s="30"/>
      <c r="B301" s="31"/>
      <c r="C301" s="32"/>
      <c r="D301" s="33"/>
      <c r="E301" s="34"/>
      <c r="F301" s="34"/>
      <c r="G301" s="35"/>
      <c r="H301" s="34"/>
      <c r="I301" s="37"/>
    </row>
    <row r="302" ht="22.5" customHeight="1">
      <c r="A302" s="30"/>
      <c r="B302" s="31"/>
      <c r="C302" s="32"/>
      <c r="D302" s="33"/>
      <c r="E302" s="34"/>
      <c r="F302" s="34"/>
      <c r="G302" s="35"/>
      <c r="H302" s="34"/>
      <c r="I302" s="37"/>
    </row>
    <row r="303" ht="22.5" customHeight="1">
      <c r="A303" s="30"/>
      <c r="B303" s="39"/>
      <c r="C303" s="32"/>
      <c r="D303" s="33"/>
      <c r="E303" s="34"/>
      <c r="F303" s="34"/>
      <c r="G303" s="35"/>
      <c r="H303" s="34"/>
      <c r="I303" s="37"/>
    </row>
    <row r="304" ht="22.5" customHeight="1">
      <c r="A304" s="30"/>
      <c r="B304" s="39"/>
      <c r="C304" s="32"/>
      <c r="D304" s="33"/>
      <c r="E304" s="34"/>
      <c r="F304" s="34"/>
      <c r="G304" s="35"/>
      <c r="H304" s="34"/>
      <c r="I304" s="37"/>
    </row>
    <row r="305" ht="22.5" customHeight="1">
      <c r="A305" s="30"/>
      <c r="B305" s="39"/>
      <c r="C305" s="32"/>
      <c r="D305" s="33"/>
      <c r="E305" s="34"/>
      <c r="F305" s="34"/>
      <c r="G305" s="35"/>
      <c r="H305" s="34"/>
      <c r="I305" s="37"/>
    </row>
    <row r="306" ht="22.5" customHeight="1">
      <c r="A306" s="30"/>
      <c r="B306" s="40"/>
      <c r="C306" s="32"/>
      <c r="D306" s="33"/>
      <c r="E306" s="34"/>
      <c r="F306" s="34"/>
      <c r="G306" s="35"/>
      <c r="H306" s="34"/>
      <c r="I306" s="37"/>
    </row>
    <row r="307" ht="22.5" customHeight="1">
      <c r="A307" s="30"/>
      <c r="B307" s="31"/>
      <c r="C307" s="32"/>
      <c r="D307" s="33"/>
      <c r="E307" s="34"/>
      <c r="F307" s="34"/>
      <c r="G307" s="35"/>
      <c r="H307" s="34"/>
      <c r="I307" s="37"/>
    </row>
    <row r="308" ht="22.5" customHeight="1">
      <c r="A308" s="30"/>
      <c r="B308" s="31"/>
      <c r="C308" s="32"/>
      <c r="D308" s="33"/>
      <c r="E308" s="34"/>
      <c r="F308" s="34"/>
      <c r="G308" s="35"/>
      <c r="H308" s="34"/>
      <c r="I308" s="37"/>
    </row>
    <row r="309" ht="22.5" customHeight="1">
      <c r="A309" s="30"/>
      <c r="B309" s="31"/>
      <c r="C309" s="32"/>
      <c r="D309" s="33"/>
      <c r="E309" s="34"/>
      <c r="F309" s="34"/>
      <c r="G309" s="35"/>
      <c r="H309" s="34"/>
      <c r="I309" s="37"/>
    </row>
    <row r="310" ht="22.5" customHeight="1">
      <c r="A310" s="30"/>
      <c r="B310" s="31"/>
      <c r="C310" s="32"/>
      <c r="D310" s="33"/>
      <c r="E310" s="34"/>
      <c r="F310" s="34"/>
      <c r="G310" s="35"/>
      <c r="H310" s="34"/>
      <c r="I310" s="37"/>
    </row>
    <row r="311" ht="22.5" customHeight="1">
      <c r="A311" s="30"/>
      <c r="B311" s="31"/>
      <c r="C311" s="32"/>
      <c r="D311" s="33"/>
      <c r="E311" s="34"/>
      <c r="F311" s="34"/>
      <c r="G311" s="35"/>
      <c r="H311" s="34"/>
      <c r="I311" s="37"/>
    </row>
    <row r="312" ht="22.5" customHeight="1">
      <c r="A312" s="30"/>
      <c r="B312" s="31"/>
      <c r="C312" s="32"/>
      <c r="D312" s="33"/>
      <c r="E312" s="34"/>
      <c r="F312" s="34"/>
      <c r="G312" s="35"/>
      <c r="H312" s="34"/>
      <c r="I312" s="37"/>
    </row>
    <row r="313" ht="22.5" customHeight="1">
      <c r="A313" s="30"/>
      <c r="B313" s="31"/>
      <c r="C313" s="32"/>
      <c r="D313" s="33"/>
      <c r="E313" s="34"/>
      <c r="F313" s="34"/>
      <c r="G313" s="35"/>
      <c r="H313" s="34"/>
      <c r="I313" s="37"/>
    </row>
    <row r="314" ht="22.5" customHeight="1">
      <c r="A314" s="30"/>
      <c r="B314" s="31"/>
      <c r="C314" s="32"/>
      <c r="D314" s="33"/>
      <c r="E314" s="34"/>
      <c r="F314" s="34"/>
      <c r="G314" s="35"/>
      <c r="H314" s="34"/>
      <c r="I314" s="37"/>
    </row>
    <row r="315" ht="22.5" customHeight="1">
      <c r="A315" s="30"/>
      <c r="B315" s="31"/>
      <c r="C315" s="32"/>
      <c r="D315" s="33"/>
      <c r="E315" s="34"/>
      <c r="F315" s="34"/>
      <c r="G315" s="35"/>
      <c r="H315" s="34"/>
      <c r="I315" s="37"/>
    </row>
    <row r="316" ht="22.5" customHeight="1">
      <c r="A316" s="30"/>
      <c r="B316" s="40"/>
      <c r="C316" s="32"/>
      <c r="D316" s="33"/>
      <c r="E316" s="34"/>
      <c r="F316" s="34"/>
      <c r="G316" s="35"/>
      <c r="H316" s="34"/>
      <c r="I316" s="37"/>
    </row>
    <row r="317" ht="22.5" customHeight="1">
      <c r="A317" s="30"/>
      <c r="B317" s="31"/>
      <c r="C317" s="32"/>
      <c r="D317" s="33"/>
      <c r="E317" s="34"/>
      <c r="F317" s="34"/>
      <c r="G317" s="35"/>
      <c r="H317" s="34"/>
      <c r="I317" s="37"/>
    </row>
    <row r="318" ht="22.5" customHeight="1">
      <c r="A318" s="30"/>
      <c r="B318" s="31"/>
      <c r="C318" s="32"/>
      <c r="D318" s="33"/>
      <c r="E318" s="34"/>
      <c r="F318" s="34"/>
      <c r="G318" s="35"/>
      <c r="H318" s="34"/>
      <c r="I318" s="37"/>
    </row>
    <row r="319" ht="22.5" customHeight="1">
      <c r="A319" s="30"/>
      <c r="B319" s="31"/>
      <c r="C319" s="32"/>
      <c r="D319" s="33"/>
      <c r="E319" s="34"/>
      <c r="F319" s="34"/>
      <c r="G319" s="35"/>
      <c r="H319" s="34"/>
      <c r="I319" s="37"/>
    </row>
    <row r="320" ht="22.5" customHeight="1">
      <c r="A320" s="30"/>
      <c r="B320" s="40"/>
      <c r="C320" s="32"/>
      <c r="D320" s="33"/>
      <c r="E320" s="34"/>
      <c r="F320" s="34"/>
      <c r="G320" s="35"/>
      <c r="H320" s="34"/>
      <c r="I320" s="37"/>
    </row>
    <row r="321" ht="22.5" customHeight="1">
      <c r="A321" s="30"/>
      <c r="B321" s="31"/>
      <c r="C321" s="32"/>
      <c r="D321" s="33"/>
      <c r="E321" s="34"/>
      <c r="F321" s="34"/>
      <c r="G321" s="35"/>
      <c r="H321" s="34"/>
      <c r="I321" s="37"/>
    </row>
    <row r="322" ht="22.5" customHeight="1">
      <c r="A322" s="30"/>
      <c r="B322" s="31"/>
      <c r="C322" s="32"/>
      <c r="D322" s="33"/>
      <c r="E322" s="34"/>
      <c r="F322" s="34"/>
      <c r="G322" s="35"/>
      <c r="H322" s="34"/>
      <c r="I322" s="37"/>
    </row>
    <row r="323" ht="22.5" customHeight="1">
      <c r="A323" s="30"/>
      <c r="B323" s="31"/>
      <c r="C323" s="32"/>
      <c r="D323" s="33"/>
      <c r="E323" s="34"/>
      <c r="F323" s="34"/>
      <c r="G323" s="35"/>
      <c r="H323" s="34"/>
      <c r="I323" s="37"/>
    </row>
    <row r="324" ht="22.5" customHeight="1">
      <c r="A324" s="30"/>
      <c r="B324" s="31"/>
      <c r="C324" s="32"/>
      <c r="D324" s="33"/>
      <c r="E324" s="34"/>
      <c r="F324" s="34"/>
      <c r="G324" s="35"/>
      <c r="H324" s="34"/>
      <c r="I324" s="37"/>
    </row>
    <row r="325" ht="22.5" customHeight="1">
      <c r="A325" s="30"/>
      <c r="B325" s="31"/>
      <c r="C325" s="32"/>
      <c r="D325" s="33"/>
      <c r="E325" s="34"/>
      <c r="F325" s="34"/>
      <c r="G325" s="35"/>
      <c r="H325" s="34"/>
      <c r="I325" s="37"/>
    </row>
    <row r="326" ht="22.5" customHeight="1">
      <c r="A326" s="30"/>
      <c r="B326" s="31"/>
      <c r="C326" s="32"/>
      <c r="D326" s="33"/>
      <c r="E326" s="34"/>
      <c r="F326" s="34"/>
      <c r="G326" s="35"/>
      <c r="H326" s="34"/>
      <c r="I326" s="37"/>
    </row>
    <row r="327" ht="22.5" customHeight="1">
      <c r="A327" s="30"/>
      <c r="B327" s="31"/>
      <c r="C327" s="32"/>
      <c r="D327" s="33"/>
      <c r="E327" s="34"/>
      <c r="F327" s="34"/>
      <c r="G327" s="35"/>
      <c r="H327" s="34"/>
      <c r="I327" s="37"/>
    </row>
    <row r="328" ht="22.5" customHeight="1">
      <c r="A328" s="30"/>
      <c r="B328" s="31"/>
      <c r="C328" s="32"/>
      <c r="D328" s="33"/>
      <c r="E328" s="34"/>
      <c r="F328" s="34"/>
      <c r="G328" s="35"/>
      <c r="H328" s="34"/>
      <c r="I328" s="37"/>
    </row>
    <row r="329" ht="22.5" customHeight="1">
      <c r="A329" s="30"/>
      <c r="B329" s="31"/>
      <c r="C329" s="32"/>
      <c r="D329" s="33"/>
      <c r="E329" s="34"/>
      <c r="F329" s="34"/>
      <c r="G329" s="35"/>
      <c r="H329" s="34"/>
      <c r="I329" s="37"/>
    </row>
    <row r="330" ht="22.5" customHeight="1">
      <c r="A330" s="30"/>
      <c r="B330" s="31"/>
      <c r="C330" s="32"/>
      <c r="D330" s="33"/>
      <c r="E330" s="34"/>
      <c r="F330" s="34"/>
      <c r="G330" s="35"/>
      <c r="H330" s="34"/>
      <c r="I330" s="37"/>
    </row>
    <row r="331" ht="22.5" customHeight="1">
      <c r="A331" s="30"/>
      <c r="B331" s="31"/>
      <c r="C331" s="32"/>
      <c r="D331" s="33"/>
      <c r="E331" s="34"/>
      <c r="F331" s="34"/>
      <c r="G331" s="35"/>
      <c r="H331" s="34"/>
      <c r="I331" s="37"/>
    </row>
    <row r="332" ht="22.5" customHeight="1">
      <c r="A332" s="30"/>
      <c r="B332" s="31"/>
      <c r="C332" s="32"/>
      <c r="D332" s="33"/>
      <c r="E332" s="34"/>
      <c r="F332" s="34"/>
      <c r="G332" s="35"/>
      <c r="H332" s="34"/>
      <c r="I332" s="37"/>
    </row>
    <row r="333" ht="22.5" customHeight="1">
      <c r="A333" s="30"/>
      <c r="B333" s="31"/>
      <c r="C333" s="32"/>
      <c r="D333" s="33"/>
      <c r="E333" s="34"/>
      <c r="F333" s="34"/>
      <c r="G333" s="35"/>
      <c r="H333" s="34"/>
      <c r="I333" s="37"/>
    </row>
    <row r="334" ht="22.5" customHeight="1">
      <c r="A334" s="30"/>
      <c r="B334" s="31"/>
      <c r="C334" s="32"/>
      <c r="D334" s="33"/>
      <c r="E334" s="34"/>
      <c r="F334" s="34"/>
      <c r="G334" s="35"/>
      <c r="H334" s="34"/>
      <c r="I334" s="37"/>
    </row>
    <row r="335" ht="22.5" customHeight="1">
      <c r="A335" s="30"/>
      <c r="B335" s="40"/>
      <c r="C335" s="32"/>
      <c r="D335" s="33"/>
      <c r="E335" s="34"/>
      <c r="F335" s="34"/>
      <c r="G335" s="35"/>
      <c r="H335" s="34"/>
      <c r="I335" s="37"/>
    </row>
    <row r="336" ht="22.5" customHeight="1">
      <c r="A336" s="30"/>
      <c r="B336" s="31"/>
      <c r="C336" s="32"/>
      <c r="D336" s="33"/>
      <c r="E336" s="34"/>
      <c r="F336" s="34"/>
      <c r="G336" s="35"/>
      <c r="H336" s="34"/>
      <c r="I336" s="37"/>
    </row>
    <row r="337" ht="22.5" customHeight="1">
      <c r="A337" s="30"/>
      <c r="B337" s="40"/>
      <c r="C337" s="32"/>
      <c r="D337" s="33"/>
      <c r="E337" s="34"/>
      <c r="F337" s="34"/>
      <c r="G337" s="35"/>
      <c r="H337" s="34"/>
      <c r="I337" s="37"/>
    </row>
    <row r="338" ht="22.5" customHeight="1">
      <c r="A338" s="30"/>
      <c r="B338" s="31"/>
      <c r="C338" s="32"/>
      <c r="D338" s="33"/>
      <c r="E338" s="34"/>
      <c r="F338" s="34"/>
      <c r="G338" s="35"/>
      <c r="H338" s="34"/>
      <c r="I338" s="37"/>
    </row>
    <row r="339" ht="22.5" customHeight="1">
      <c r="A339" s="30"/>
      <c r="B339" s="31"/>
      <c r="C339" s="32"/>
      <c r="D339" s="33"/>
      <c r="E339" s="34"/>
      <c r="F339" s="34"/>
      <c r="G339" s="35"/>
      <c r="H339" s="34"/>
      <c r="I339" s="37"/>
    </row>
    <row r="340" ht="22.5" customHeight="1">
      <c r="A340" s="30"/>
      <c r="B340" s="31"/>
      <c r="C340" s="32"/>
      <c r="D340" s="33"/>
      <c r="E340" s="34"/>
      <c r="F340" s="34"/>
      <c r="G340" s="35"/>
      <c r="H340" s="34"/>
      <c r="I340" s="37"/>
    </row>
    <row r="341" ht="22.5" customHeight="1">
      <c r="A341" s="30"/>
      <c r="B341" s="31"/>
      <c r="C341" s="32"/>
      <c r="D341" s="33"/>
      <c r="E341" s="34"/>
      <c r="F341" s="34"/>
      <c r="G341" s="35"/>
      <c r="H341" s="34"/>
      <c r="I341" s="37"/>
    </row>
    <row r="342" ht="22.5" customHeight="1">
      <c r="A342" s="30"/>
      <c r="B342" s="40"/>
      <c r="C342" s="32"/>
      <c r="D342" s="33"/>
      <c r="E342" s="34"/>
      <c r="F342" s="34"/>
      <c r="G342" s="35"/>
      <c r="H342" s="34"/>
      <c r="I342" s="37"/>
    </row>
    <row r="343" ht="22.5" customHeight="1">
      <c r="A343" s="30"/>
      <c r="B343" s="31"/>
      <c r="C343" s="32"/>
      <c r="D343" s="33"/>
      <c r="E343" s="34"/>
      <c r="F343" s="34"/>
      <c r="G343" s="35"/>
      <c r="H343" s="34"/>
      <c r="I343" s="37"/>
    </row>
    <row r="344" ht="22.5" customHeight="1">
      <c r="A344" s="30"/>
      <c r="B344" s="31"/>
      <c r="C344" s="32"/>
      <c r="D344" s="33"/>
      <c r="E344" s="34"/>
      <c r="F344" s="34"/>
      <c r="G344" s="35"/>
      <c r="H344" s="34"/>
      <c r="I344" s="37"/>
    </row>
    <row r="345" ht="22.5" customHeight="1">
      <c r="A345" s="30"/>
      <c r="B345" s="31"/>
      <c r="C345" s="32"/>
      <c r="D345" s="33"/>
      <c r="E345" s="34"/>
      <c r="F345" s="34"/>
      <c r="G345" s="35"/>
      <c r="H345" s="34"/>
      <c r="I345" s="37"/>
    </row>
    <row r="346" ht="22.5" customHeight="1">
      <c r="A346" s="30"/>
      <c r="B346" s="31"/>
      <c r="C346" s="32"/>
      <c r="D346" s="33"/>
      <c r="E346" s="34"/>
      <c r="F346" s="34"/>
      <c r="G346" s="35"/>
      <c r="H346" s="34"/>
      <c r="I346" s="37"/>
    </row>
    <row r="347" ht="22.5" customHeight="1">
      <c r="A347" s="30"/>
      <c r="B347" s="31"/>
      <c r="C347" s="32"/>
      <c r="D347" s="33"/>
      <c r="E347" s="34"/>
      <c r="F347" s="34"/>
      <c r="G347" s="35"/>
      <c r="H347" s="34"/>
      <c r="I347" s="37"/>
    </row>
    <row r="348" ht="22.5" customHeight="1">
      <c r="A348" s="30"/>
      <c r="B348" s="31"/>
      <c r="C348" s="32"/>
      <c r="D348" s="33"/>
      <c r="E348" s="34"/>
      <c r="F348" s="34"/>
      <c r="G348" s="35"/>
      <c r="H348" s="34"/>
      <c r="I348" s="37"/>
    </row>
    <row r="349" ht="22.5" customHeight="1">
      <c r="A349" s="30"/>
      <c r="B349" s="31"/>
      <c r="C349" s="32"/>
      <c r="D349" s="33"/>
      <c r="E349" s="34"/>
      <c r="F349" s="34"/>
      <c r="G349" s="35"/>
      <c r="H349" s="34"/>
      <c r="I349" s="37"/>
    </row>
    <row r="350" ht="22.5" customHeight="1">
      <c r="A350" s="30"/>
      <c r="B350" s="31"/>
      <c r="C350" s="32"/>
      <c r="D350" s="33"/>
      <c r="E350" s="34"/>
      <c r="F350" s="34"/>
      <c r="G350" s="35"/>
      <c r="H350" s="34"/>
      <c r="I350" s="37"/>
    </row>
    <row r="351" ht="22.5" customHeight="1">
      <c r="A351" s="30"/>
      <c r="B351" s="31"/>
      <c r="C351" s="32"/>
      <c r="D351" s="33"/>
      <c r="E351" s="34"/>
      <c r="F351" s="34"/>
      <c r="G351" s="35"/>
      <c r="H351" s="34"/>
      <c r="I351" s="37"/>
    </row>
    <row r="352" ht="22.5" customHeight="1">
      <c r="A352" s="30"/>
      <c r="B352" s="31"/>
      <c r="C352" s="32"/>
      <c r="D352" s="33"/>
      <c r="E352" s="34"/>
      <c r="F352" s="34"/>
      <c r="G352" s="35"/>
      <c r="H352" s="34"/>
      <c r="I352" s="37"/>
    </row>
    <row r="353" ht="22.5" customHeight="1">
      <c r="A353" s="30"/>
      <c r="B353" s="31"/>
      <c r="C353" s="32"/>
      <c r="D353" s="33"/>
      <c r="E353" s="34"/>
      <c r="F353" s="34"/>
      <c r="G353" s="35"/>
      <c r="H353" s="34"/>
      <c r="I353" s="37"/>
    </row>
    <row r="354" ht="22.5" customHeight="1">
      <c r="A354" s="30"/>
      <c r="B354" s="31"/>
      <c r="C354" s="32"/>
      <c r="D354" s="33"/>
      <c r="E354" s="34"/>
      <c r="F354" s="34"/>
      <c r="G354" s="35"/>
      <c r="H354" s="34"/>
      <c r="I354" s="37"/>
    </row>
    <row r="355" ht="22.5" customHeight="1">
      <c r="A355" s="30"/>
      <c r="B355" s="31"/>
      <c r="C355" s="32"/>
      <c r="D355" s="33"/>
      <c r="E355" s="34"/>
      <c r="F355" s="34"/>
      <c r="G355" s="35"/>
      <c r="H355" s="34"/>
      <c r="I355" s="37"/>
    </row>
    <row r="356" ht="22.5" customHeight="1">
      <c r="A356" s="30"/>
      <c r="B356" s="31"/>
      <c r="C356" s="32"/>
      <c r="D356" s="33"/>
      <c r="E356" s="34"/>
      <c r="F356" s="34"/>
      <c r="G356" s="35"/>
      <c r="H356" s="34"/>
      <c r="I356" s="37"/>
    </row>
    <row r="357" ht="22.5" customHeight="1">
      <c r="A357" s="30"/>
      <c r="B357" s="31"/>
      <c r="C357" s="32"/>
      <c r="D357" s="33"/>
      <c r="E357" s="34"/>
      <c r="F357" s="34"/>
      <c r="G357" s="35"/>
      <c r="H357" s="34"/>
      <c r="I357" s="37"/>
    </row>
    <row r="358" ht="22.5" customHeight="1">
      <c r="A358" s="30"/>
      <c r="B358" s="31"/>
      <c r="C358" s="32"/>
      <c r="D358" s="33"/>
      <c r="E358" s="34"/>
      <c r="F358" s="34"/>
      <c r="G358" s="35"/>
      <c r="H358" s="34"/>
      <c r="I358" s="37"/>
    </row>
    <row r="359" ht="22.5" customHeight="1">
      <c r="A359" s="30"/>
      <c r="B359" s="31"/>
      <c r="C359" s="32"/>
      <c r="D359" s="33"/>
      <c r="E359" s="34"/>
      <c r="F359" s="34"/>
      <c r="G359" s="35"/>
      <c r="H359" s="34"/>
      <c r="I359" s="37"/>
    </row>
    <row r="360" ht="22.5" customHeight="1">
      <c r="A360" s="30"/>
      <c r="B360" s="31"/>
      <c r="C360" s="32"/>
      <c r="D360" s="33"/>
      <c r="E360" s="34"/>
      <c r="F360" s="34"/>
      <c r="G360" s="35"/>
      <c r="H360" s="34"/>
      <c r="I360" s="37"/>
    </row>
    <row r="361" ht="22.5" customHeight="1">
      <c r="A361" s="30"/>
      <c r="B361" s="31"/>
      <c r="C361" s="32"/>
      <c r="D361" s="33"/>
      <c r="E361" s="34"/>
      <c r="F361" s="34"/>
      <c r="G361" s="35"/>
      <c r="H361" s="34"/>
      <c r="I361" s="37"/>
    </row>
    <row r="362" ht="22.5" customHeight="1">
      <c r="A362" s="30"/>
      <c r="B362" s="31"/>
      <c r="C362" s="32"/>
      <c r="D362" s="33"/>
      <c r="E362" s="34"/>
      <c r="F362" s="34"/>
      <c r="G362" s="35"/>
      <c r="H362" s="34"/>
      <c r="I362" s="37"/>
    </row>
    <row r="363" ht="22.5" customHeight="1">
      <c r="A363" s="30"/>
      <c r="B363" s="31"/>
      <c r="C363" s="32"/>
      <c r="D363" s="33"/>
      <c r="E363" s="34"/>
      <c r="F363" s="34"/>
      <c r="G363" s="35"/>
      <c r="H363" s="34"/>
      <c r="I363" s="37"/>
    </row>
    <row r="364" ht="22.5" customHeight="1">
      <c r="A364" s="30"/>
      <c r="B364" s="40"/>
      <c r="C364" s="32"/>
      <c r="D364" s="33"/>
      <c r="E364" s="34"/>
      <c r="F364" s="34"/>
      <c r="G364" s="35"/>
      <c r="H364" s="34"/>
      <c r="I364" s="37"/>
    </row>
    <row r="365" ht="22.5" customHeight="1">
      <c r="A365" s="30"/>
      <c r="B365" s="31"/>
      <c r="C365" s="32"/>
      <c r="D365" s="33"/>
      <c r="E365" s="34"/>
      <c r="F365" s="34"/>
      <c r="G365" s="35"/>
      <c r="H365" s="34"/>
      <c r="I365" s="37"/>
    </row>
    <row r="366" ht="22.5" customHeight="1">
      <c r="A366" s="30"/>
      <c r="B366" s="31"/>
      <c r="C366" s="32"/>
      <c r="D366" s="33"/>
      <c r="E366" s="34"/>
      <c r="F366" s="34"/>
      <c r="G366" s="35"/>
      <c r="H366" s="34"/>
      <c r="I366" s="37"/>
    </row>
    <row r="367" ht="22.5" customHeight="1">
      <c r="A367" s="30"/>
      <c r="B367" s="31"/>
      <c r="C367" s="32"/>
      <c r="D367" s="33"/>
      <c r="E367" s="34"/>
      <c r="F367" s="34"/>
      <c r="G367" s="35"/>
      <c r="H367" s="34"/>
      <c r="I367" s="37"/>
    </row>
    <row r="368" ht="22.5" customHeight="1">
      <c r="A368" s="30"/>
      <c r="B368" s="31"/>
      <c r="C368" s="32"/>
      <c r="D368" s="33"/>
      <c r="E368" s="34"/>
      <c r="F368" s="34"/>
      <c r="G368" s="35"/>
      <c r="H368" s="34"/>
      <c r="I368" s="38"/>
    </row>
    <row r="369" ht="22.5" customHeight="1">
      <c r="A369" s="30"/>
      <c r="B369" s="39"/>
      <c r="C369" s="32"/>
      <c r="D369" s="33"/>
      <c r="E369" s="34"/>
      <c r="F369" s="34"/>
      <c r="G369" s="35"/>
      <c r="H369" s="34"/>
      <c r="I369" s="37"/>
    </row>
    <row r="370" ht="22.5" customHeight="1">
      <c r="A370" s="30"/>
      <c r="B370" s="31"/>
      <c r="C370" s="32"/>
      <c r="D370" s="33"/>
      <c r="E370" s="34"/>
      <c r="F370" s="34"/>
      <c r="G370" s="35"/>
      <c r="H370" s="34"/>
      <c r="I370" s="37"/>
    </row>
    <row r="371" ht="22.5" customHeight="1">
      <c r="A371" s="30"/>
      <c r="B371" s="31"/>
      <c r="C371" s="32"/>
      <c r="D371" s="33"/>
      <c r="E371" s="34"/>
      <c r="F371" s="34"/>
      <c r="G371" s="35"/>
      <c r="H371" s="34"/>
      <c r="I371" s="37"/>
    </row>
    <row r="372" ht="22.5" customHeight="1">
      <c r="A372" s="30"/>
      <c r="B372" s="31"/>
      <c r="C372" s="32"/>
      <c r="D372" s="33"/>
      <c r="E372" s="34"/>
      <c r="F372" s="34"/>
      <c r="G372" s="35"/>
      <c r="H372" s="34"/>
      <c r="I372" s="37"/>
    </row>
    <row r="373" ht="22.5" customHeight="1">
      <c r="A373" s="30"/>
      <c r="B373" s="39"/>
      <c r="C373" s="32"/>
      <c r="D373" s="33"/>
      <c r="E373" s="34"/>
      <c r="F373" s="34"/>
      <c r="G373" s="35"/>
      <c r="H373" s="34"/>
      <c r="I373" s="37"/>
    </row>
    <row r="374" ht="22.5" customHeight="1">
      <c r="A374" s="30"/>
      <c r="B374" s="31"/>
      <c r="C374" s="32"/>
      <c r="D374" s="33"/>
      <c r="E374" s="34"/>
      <c r="F374" s="34"/>
      <c r="G374" s="35"/>
      <c r="H374" s="34"/>
      <c r="I374" s="37"/>
    </row>
    <row r="375" ht="22.5" customHeight="1">
      <c r="A375" s="30"/>
      <c r="B375" s="39"/>
      <c r="C375" s="32"/>
      <c r="D375" s="33"/>
      <c r="E375" s="34"/>
      <c r="F375" s="34"/>
      <c r="G375" s="35"/>
      <c r="H375" s="34"/>
      <c r="I375" s="37"/>
    </row>
    <row r="376" ht="22.5" customHeight="1">
      <c r="A376" s="30"/>
      <c r="B376" s="31"/>
      <c r="C376" s="32"/>
      <c r="D376" s="33"/>
      <c r="E376" s="34"/>
      <c r="F376" s="34"/>
      <c r="G376" s="35"/>
      <c r="H376" s="34"/>
      <c r="I376" s="37"/>
    </row>
    <row r="377" ht="22.5" customHeight="1">
      <c r="A377" s="30"/>
      <c r="B377" s="31"/>
      <c r="C377" s="32"/>
      <c r="D377" s="33"/>
      <c r="E377" s="34"/>
      <c r="F377" s="34"/>
      <c r="G377" s="35"/>
      <c r="H377" s="34"/>
      <c r="I377" s="37"/>
    </row>
    <row r="378" ht="22.5" customHeight="1">
      <c r="A378" s="30"/>
      <c r="B378" s="31"/>
      <c r="C378" s="32"/>
      <c r="D378" s="33"/>
      <c r="E378" s="34"/>
      <c r="F378" s="34"/>
      <c r="G378" s="35"/>
      <c r="H378" s="34"/>
      <c r="I378" s="37"/>
    </row>
    <row r="379" ht="22.5" customHeight="1">
      <c r="A379" s="30"/>
      <c r="B379" s="31"/>
      <c r="C379" s="32"/>
      <c r="D379" s="33"/>
      <c r="E379" s="34"/>
      <c r="F379" s="34"/>
      <c r="G379" s="35"/>
      <c r="H379" s="34"/>
      <c r="I379" s="37"/>
    </row>
    <row r="380" ht="22.5" customHeight="1">
      <c r="A380" s="30"/>
      <c r="B380" s="31"/>
      <c r="C380" s="32"/>
      <c r="D380" s="33"/>
      <c r="E380" s="34"/>
      <c r="F380" s="34"/>
      <c r="G380" s="35"/>
      <c r="H380" s="34"/>
      <c r="I380" s="37"/>
    </row>
    <row r="381" ht="22.5" customHeight="1">
      <c r="A381" s="30"/>
      <c r="B381" s="31"/>
      <c r="C381" s="32"/>
      <c r="D381" s="33"/>
      <c r="E381" s="34"/>
      <c r="F381" s="34"/>
      <c r="G381" s="35"/>
      <c r="H381" s="34"/>
      <c r="I381" s="37"/>
    </row>
    <row r="382" ht="22.5" customHeight="1">
      <c r="A382" s="30"/>
      <c r="B382" s="31"/>
      <c r="C382" s="32"/>
      <c r="D382" s="33"/>
      <c r="E382" s="34"/>
      <c r="F382" s="34"/>
      <c r="G382" s="35"/>
      <c r="H382" s="34"/>
      <c r="I382" s="37"/>
    </row>
    <row r="383" ht="22.5" customHeight="1">
      <c r="A383" s="30"/>
      <c r="B383" s="31"/>
      <c r="C383" s="32"/>
      <c r="D383" s="33"/>
      <c r="E383" s="34"/>
      <c r="F383" s="34"/>
      <c r="G383" s="35"/>
      <c r="H383" s="34"/>
      <c r="I383" s="37"/>
    </row>
    <row r="384" ht="22.5" customHeight="1">
      <c r="A384" s="30"/>
      <c r="B384" s="31"/>
      <c r="C384" s="32"/>
      <c r="D384" s="33"/>
      <c r="E384" s="34"/>
      <c r="F384" s="34"/>
      <c r="G384" s="35"/>
      <c r="H384" s="34"/>
      <c r="I384" s="37"/>
    </row>
    <row r="385" ht="22.5" customHeight="1">
      <c r="A385" s="30"/>
      <c r="B385" s="31"/>
      <c r="C385" s="32"/>
      <c r="D385" s="33"/>
      <c r="E385" s="34"/>
      <c r="F385" s="34"/>
      <c r="G385" s="35"/>
      <c r="H385" s="34"/>
      <c r="I385" s="37"/>
    </row>
    <row r="386" ht="22.5" customHeight="1">
      <c r="A386" s="30"/>
      <c r="B386" s="40"/>
      <c r="C386" s="32"/>
      <c r="D386" s="33"/>
      <c r="E386" s="34"/>
      <c r="F386" s="34"/>
      <c r="G386" s="35"/>
      <c r="H386" s="34"/>
      <c r="I386" s="37"/>
    </row>
    <row r="387" ht="22.5" customHeight="1">
      <c r="A387" s="30"/>
      <c r="B387" s="31"/>
      <c r="C387" s="32"/>
      <c r="D387" s="33"/>
      <c r="E387" s="34"/>
      <c r="F387" s="34"/>
      <c r="G387" s="35"/>
      <c r="H387" s="34"/>
      <c r="I387" s="37"/>
    </row>
    <row r="388" ht="22.5" customHeight="1">
      <c r="A388" s="30"/>
      <c r="B388" s="31"/>
      <c r="C388" s="32"/>
      <c r="D388" s="33"/>
      <c r="E388" s="34"/>
      <c r="F388" s="34"/>
      <c r="G388" s="35"/>
      <c r="H388" s="34"/>
      <c r="I388" s="37"/>
    </row>
    <row r="389" ht="22.5" customHeight="1">
      <c r="A389" s="30"/>
      <c r="B389" s="31"/>
      <c r="C389" s="32"/>
      <c r="D389" s="33"/>
      <c r="E389" s="34"/>
      <c r="F389" s="34"/>
      <c r="G389" s="35"/>
      <c r="H389" s="34"/>
      <c r="I389" s="37"/>
    </row>
    <row r="390" ht="22.5" customHeight="1">
      <c r="A390" s="30"/>
      <c r="B390" s="31"/>
      <c r="C390" s="32"/>
      <c r="D390" s="33"/>
      <c r="E390" s="34"/>
      <c r="F390" s="34"/>
      <c r="G390" s="35"/>
      <c r="H390" s="34"/>
      <c r="I390" s="37"/>
    </row>
    <row r="391" ht="22.5" customHeight="1">
      <c r="A391" s="30"/>
      <c r="B391" s="31"/>
      <c r="C391" s="32"/>
      <c r="D391" s="33"/>
      <c r="E391" s="34"/>
      <c r="F391" s="34"/>
      <c r="G391" s="35"/>
      <c r="H391" s="34"/>
      <c r="I391" s="37"/>
    </row>
    <row r="392" ht="22.5" customHeight="1">
      <c r="A392" s="30"/>
      <c r="B392" s="31"/>
      <c r="C392" s="32"/>
      <c r="D392" s="33"/>
      <c r="E392" s="34"/>
      <c r="F392" s="34"/>
      <c r="G392" s="35"/>
      <c r="H392" s="34"/>
      <c r="I392" s="37"/>
    </row>
    <row r="393" ht="22.5" customHeight="1">
      <c r="A393" s="30"/>
      <c r="B393" s="39"/>
      <c r="C393" s="32"/>
      <c r="D393" s="33"/>
      <c r="E393" s="34"/>
      <c r="F393" s="34"/>
      <c r="G393" s="35"/>
      <c r="H393" s="34"/>
      <c r="I393" s="37"/>
    </row>
    <row r="394" ht="22.5" customHeight="1">
      <c r="A394" s="30"/>
      <c r="B394" s="39"/>
      <c r="C394" s="32"/>
      <c r="D394" s="33"/>
      <c r="E394" s="34"/>
      <c r="F394" s="34"/>
      <c r="G394" s="35"/>
      <c r="H394" s="34"/>
      <c r="I394" s="37"/>
    </row>
    <row r="395" ht="22.5" customHeight="1">
      <c r="A395" s="30"/>
      <c r="B395" s="39"/>
      <c r="C395" s="32"/>
      <c r="D395" s="33"/>
      <c r="E395" s="34"/>
      <c r="F395" s="34"/>
      <c r="G395" s="35"/>
      <c r="H395" s="34"/>
      <c r="I395" s="37"/>
    </row>
    <row r="396" ht="22.5" customHeight="1">
      <c r="A396" s="30"/>
      <c r="B396" s="40"/>
      <c r="C396" s="32"/>
      <c r="D396" s="33"/>
      <c r="E396" s="34"/>
      <c r="F396" s="34"/>
      <c r="G396" s="35"/>
      <c r="H396" s="34"/>
      <c r="I396" s="37"/>
    </row>
    <row r="397" ht="22.5" customHeight="1">
      <c r="A397" s="30"/>
      <c r="B397" s="31"/>
      <c r="C397" s="32"/>
      <c r="D397" s="33"/>
      <c r="E397" s="34"/>
      <c r="F397" s="34"/>
      <c r="G397" s="35"/>
      <c r="H397" s="34"/>
      <c r="I397" s="37"/>
    </row>
    <row r="398" ht="22.5" customHeight="1">
      <c r="A398" s="30"/>
      <c r="B398" s="31"/>
      <c r="C398" s="32"/>
      <c r="D398" s="33"/>
      <c r="E398" s="34"/>
      <c r="F398" s="34"/>
      <c r="G398" s="35"/>
      <c r="H398" s="34"/>
      <c r="I398" s="37"/>
    </row>
    <row r="399" ht="22.5" customHeight="1">
      <c r="A399" s="30"/>
      <c r="B399" s="31"/>
      <c r="C399" s="32"/>
      <c r="D399" s="33"/>
      <c r="E399" s="34"/>
      <c r="F399" s="34"/>
      <c r="G399" s="35"/>
      <c r="H399" s="34"/>
      <c r="I399" s="37"/>
    </row>
    <row r="400" ht="22.5" customHeight="1">
      <c r="A400" s="30"/>
      <c r="B400" s="31"/>
      <c r="C400" s="32"/>
      <c r="D400" s="33"/>
      <c r="E400" s="34"/>
      <c r="F400" s="34"/>
      <c r="G400" s="35"/>
      <c r="H400" s="34"/>
      <c r="I400" s="37"/>
    </row>
    <row r="401" ht="22.5" customHeight="1">
      <c r="A401" s="30"/>
      <c r="B401" s="31"/>
      <c r="C401" s="32"/>
      <c r="D401" s="33"/>
      <c r="E401" s="34"/>
      <c r="F401" s="34"/>
      <c r="G401" s="35"/>
      <c r="H401" s="34"/>
      <c r="I401" s="37"/>
    </row>
    <row r="402" ht="22.5" customHeight="1">
      <c r="A402" s="30"/>
      <c r="B402" s="31"/>
      <c r="C402" s="32"/>
      <c r="D402" s="33"/>
      <c r="E402" s="34"/>
      <c r="F402" s="34"/>
      <c r="G402" s="35"/>
      <c r="H402" s="34"/>
      <c r="I402" s="37"/>
    </row>
    <row r="403" ht="22.5" customHeight="1">
      <c r="A403" s="30"/>
      <c r="B403" s="31"/>
      <c r="C403" s="32"/>
      <c r="D403" s="33"/>
      <c r="E403" s="34"/>
      <c r="F403" s="34"/>
      <c r="G403" s="35"/>
      <c r="H403" s="34"/>
      <c r="I403" s="37"/>
    </row>
    <row r="404" ht="22.5" customHeight="1">
      <c r="A404" s="30"/>
      <c r="B404" s="31"/>
      <c r="C404" s="32"/>
      <c r="D404" s="33"/>
      <c r="E404" s="34"/>
      <c r="F404" s="34"/>
      <c r="G404" s="35"/>
      <c r="H404" s="34"/>
      <c r="I404" s="37"/>
    </row>
    <row r="405" ht="22.5" customHeight="1">
      <c r="A405" s="30"/>
      <c r="B405" s="31"/>
      <c r="C405" s="32"/>
      <c r="D405" s="33"/>
      <c r="E405" s="34"/>
      <c r="F405" s="34"/>
      <c r="G405" s="35"/>
      <c r="H405" s="34"/>
      <c r="I405" s="37"/>
    </row>
    <row r="406" ht="22.5" customHeight="1">
      <c r="A406" s="30"/>
      <c r="B406" s="40"/>
      <c r="C406" s="32"/>
      <c r="D406" s="33"/>
      <c r="E406" s="34"/>
      <c r="F406" s="34"/>
      <c r="G406" s="35"/>
      <c r="H406" s="34"/>
      <c r="I406" s="37"/>
    </row>
    <row r="407" ht="22.5" customHeight="1">
      <c r="A407" s="30"/>
      <c r="B407" s="31"/>
      <c r="C407" s="32"/>
      <c r="D407" s="33"/>
      <c r="E407" s="34"/>
      <c r="F407" s="34"/>
      <c r="G407" s="35"/>
      <c r="H407" s="34"/>
      <c r="I407" s="37"/>
    </row>
    <row r="408" ht="22.5" customHeight="1">
      <c r="A408" s="30"/>
      <c r="B408" s="31"/>
      <c r="C408" s="32"/>
      <c r="D408" s="33"/>
      <c r="E408" s="34"/>
      <c r="F408" s="34"/>
      <c r="G408" s="35"/>
      <c r="H408" s="34"/>
      <c r="I408" s="37"/>
    </row>
    <row r="409" ht="22.5" customHeight="1">
      <c r="A409" s="30"/>
      <c r="B409" s="31"/>
      <c r="C409" s="32"/>
      <c r="D409" s="33"/>
      <c r="E409" s="34"/>
      <c r="F409" s="34"/>
      <c r="G409" s="35"/>
      <c r="H409" s="34"/>
      <c r="I409" s="37"/>
    </row>
    <row r="410" ht="22.5" customHeight="1">
      <c r="A410" s="30"/>
      <c r="B410" s="40"/>
      <c r="C410" s="32"/>
      <c r="D410" s="33"/>
      <c r="E410" s="34"/>
      <c r="F410" s="34"/>
      <c r="G410" s="35"/>
      <c r="H410" s="34"/>
      <c r="I410" s="37"/>
    </row>
    <row r="411" ht="22.5" customHeight="1">
      <c r="A411" s="30"/>
      <c r="B411" s="31"/>
      <c r="C411" s="32"/>
      <c r="D411" s="33"/>
      <c r="E411" s="34"/>
      <c r="F411" s="34"/>
      <c r="G411" s="35"/>
      <c r="H411" s="34"/>
      <c r="I411" s="37"/>
    </row>
    <row r="412" ht="22.5" customHeight="1">
      <c r="A412" s="30"/>
      <c r="B412" s="31"/>
      <c r="C412" s="32"/>
      <c r="D412" s="33"/>
      <c r="E412" s="34"/>
      <c r="F412" s="34"/>
      <c r="G412" s="35"/>
      <c r="H412" s="34"/>
      <c r="I412" s="37"/>
    </row>
    <row r="413" ht="22.5" customHeight="1">
      <c r="A413" s="30"/>
      <c r="B413" s="31"/>
      <c r="C413" s="32"/>
      <c r="D413" s="33"/>
      <c r="E413" s="34"/>
      <c r="F413" s="34"/>
      <c r="G413" s="35"/>
      <c r="H413" s="34"/>
      <c r="I413" s="37"/>
    </row>
    <row r="414" ht="22.5" customHeight="1">
      <c r="A414" s="30"/>
      <c r="B414" s="31"/>
      <c r="C414" s="32"/>
      <c r="D414" s="33"/>
      <c r="E414" s="34"/>
      <c r="F414" s="34"/>
      <c r="G414" s="35"/>
      <c r="H414" s="34"/>
      <c r="I414" s="37"/>
    </row>
    <row r="415" ht="22.5" customHeight="1">
      <c r="A415" s="30"/>
      <c r="B415" s="31"/>
      <c r="C415" s="32"/>
      <c r="D415" s="33"/>
      <c r="E415" s="34"/>
      <c r="F415" s="34"/>
      <c r="G415" s="35"/>
      <c r="H415" s="34"/>
      <c r="I415" s="37"/>
    </row>
    <row r="416" ht="22.5" customHeight="1">
      <c r="A416" s="30"/>
      <c r="B416" s="31"/>
      <c r="C416" s="32"/>
      <c r="D416" s="33"/>
      <c r="E416" s="34"/>
      <c r="F416" s="34"/>
      <c r="G416" s="35"/>
      <c r="H416" s="34"/>
      <c r="I416" s="37"/>
    </row>
    <row r="417" ht="22.5" customHeight="1">
      <c r="A417" s="30"/>
      <c r="B417" s="31"/>
      <c r="C417" s="32"/>
      <c r="D417" s="33"/>
      <c r="E417" s="34"/>
      <c r="F417" s="34"/>
      <c r="G417" s="35"/>
      <c r="H417" s="34"/>
      <c r="I417" s="37"/>
    </row>
    <row r="418" ht="22.5" customHeight="1">
      <c r="A418" s="30"/>
      <c r="B418" s="31"/>
      <c r="C418" s="32"/>
      <c r="D418" s="33"/>
      <c r="E418" s="34"/>
      <c r="F418" s="34"/>
      <c r="G418" s="35"/>
      <c r="H418" s="34"/>
      <c r="I418" s="37"/>
    </row>
    <row r="419" ht="22.5" customHeight="1">
      <c r="A419" s="30"/>
      <c r="B419" s="31"/>
      <c r="C419" s="32"/>
      <c r="D419" s="33"/>
      <c r="E419" s="34"/>
      <c r="F419" s="34"/>
      <c r="G419" s="35"/>
      <c r="H419" s="34"/>
      <c r="I419" s="37"/>
    </row>
    <row r="420" ht="22.5" customHeight="1">
      <c r="A420" s="30"/>
      <c r="B420" s="31"/>
      <c r="C420" s="32"/>
      <c r="D420" s="33"/>
      <c r="E420" s="34"/>
      <c r="F420" s="34"/>
      <c r="G420" s="35"/>
      <c r="H420" s="34"/>
      <c r="I420" s="37"/>
    </row>
    <row r="421" ht="22.5" customHeight="1">
      <c r="A421" s="30"/>
      <c r="B421" s="31"/>
      <c r="C421" s="32"/>
      <c r="D421" s="33"/>
      <c r="E421" s="34"/>
      <c r="F421" s="34"/>
      <c r="G421" s="35"/>
      <c r="H421" s="34"/>
      <c r="I421" s="37"/>
    </row>
    <row r="422" ht="22.5" customHeight="1">
      <c r="A422" s="30"/>
      <c r="B422" s="31"/>
      <c r="C422" s="32"/>
      <c r="D422" s="33"/>
      <c r="E422" s="34"/>
      <c r="F422" s="34"/>
      <c r="G422" s="35"/>
      <c r="H422" s="34"/>
      <c r="I422" s="37"/>
    </row>
    <row r="423" ht="22.5" customHeight="1">
      <c r="A423" s="30"/>
      <c r="B423" s="31"/>
      <c r="C423" s="32"/>
      <c r="D423" s="33"/>
      <c r="E423" s="34"/>
      <c r="F423" s="34"/>
      <c r="G423" s="35"/>
      <c r="H423" s="34"/>
      <c r="I423" s="37"/>
    </row>
    <row r="424" ht="22.5" customHeight="1">
      <c r="A424" s="30"/>
      <c r="B424" s="31"/>
      <c r="C424" s="32"/>
      <c r="D424" s="33"/>
      <c r="E424" s="34"/>
      <c r="F424" s="34"/>
      <c r="G424" s="35"/>
      <c r="H424" s="34"/>
      <c r="I424" s="37"/>
    </row>
    <row r="425" ht="22.5" customHeight="1">
      <c r="A425" s="30"/>
      <c r="B425" s="40"/>
      <c r="C425" s="32"/>
      <c r="D425" s="33"/>
      <c r="E425" s="34"/>
      <c r="F425" s="34"/>
      <c r="G425" s="35"/>
      <c r="H425" s="34"/>
      <c r="I425" s="37"/>
    </row>
    <row r="426" ht="22.5" customHeight="1">
      <c r="A426" s="30"/>
      <c r="B426" s="31"/>
      <c r="C426" s="32"/>
      <c r="D426" s="33"/>
      <c r="E426" s="34"/>
      <c r="F426" s="34"/>
      <c r="G426" s="35"/>
      <c r="H426" s="34"/>
      <c r="I426" s="37"/>
    </row>
    <row r="427" ht="22.5" customHeight="1">
      <c r="A427" s="30"/>
      <c r="B427" s="40"/>
      <c r="C427" s="32"/>
      <c r="D427" s="33"/>
      <c r="E427" s="34"/>
      <c r="F427" s="34"/>
      <c r="G427" s="35"/>
      <c r="H427" s="34"/>
      <c r="I427" s="37"/>
    </row>
    <row r="428" ht="22.5" customHeight="1">
      <c r="A428" s="30"/>
      <c r="B428" s="31"/>
      <c r="C428" s="32"/>
      <c r="D428" s="33"/>
      <c r="E428" s="34"/>
      <c r="F428" s="34"/>
      <c r="G428" s="35"/>
      <c r="H428" s="34"/>
      <c r="I428" s="37"/>
    </row>
    <row r="429" ht="22.5" customHeight="1">
      <c r="A429" s="30"/>
      <c r="B429" s="31"/>
      <c r="C429" s="32"/>
      <c r="D429" s="33"/>
      <c r="E429" s="34"/>
      <c r="F429" s="34"/>
      <c r="G429" s="35"/>
      <c r="H429" s="34"/>
      <c r="I429" s="37"/>
    </row>
    <row r="430" ht="22.5" customHeight="1">
      <c r="A430" s="30"/>
      <c r="B430" s="31"/>
      <c r="C430" s="32"/>
      <c r="D430" s="33"/>
      <c r="E430" s="34"/>
      <c r="F430" s="34"/>
      <c r="G430" s="35"/>
      <c r="H430" s="34"/>
      <c r="I430" s="37"/>
    </row>
    <row r="431" ht="22.5" customHeight="1">
      <c r="A431" s="30"/>
      <c r="B431" s="31"/>
      <c r="C431" s="32"/>
      <c r="D431" s="33"/>
      <c r="E431" s="34"/>
      <c r="F431" s="34"/>
      <c r="G431" s="35"/>
      <c r="H431" s="34"/>
      <c r="I431" s="37"/>
    </row>
    <row r="432" ht="22.5" customHeight="1">
      <c r="A432" s="30"/>
      <c r="B432" s="40"/>
      <c r="C432" s="32"/>
      <c r="D432" s="33"/>
      <c r="E432" s="34"/>
      <c r="F432" s="34"/>
      <c r="G432" s="35"/>
      <c r="H432" s="34"/>
      <c r="I432" s="37"/>
    </row>
    <row r="433" ht="22.5" customHeight="1">
      <c r="A433" s="30"/>
      <c r="B433" s="31"/>
      <c r="C433" s="32"/>
      <c r="D433" s="33"/>
      <c r="E433" s="34"/>
      <c r="F433" s="34"/>
      <c r="G433" s="35"/>
      <c r="H433" s="34"/>
      <c r="I433" s="37"/>
    </row>
    <row r="434" ht="22.5" customHeight="1">
      <c r="A434" s="30"/>
      <c r="B434" s="31"/>
      <c r="C434" s="32"/>
      <c r="D434" s="33"/>
      <c r="E434" s="34"/>
      <c r="F434" s="34"/>
      <c r="G434" s="35"/>
      <c r="H434" s="34"/>
      <c r="I434" s="37"/>
    </row>
    <row r="435" ht="22.5" customHeight="1">
      <c r="A435" s="30"/>
      <c r="B435" s="31"/>
      <c r="C435" s="32"/>
      <c r="D435" s="33"/>
      <c r="E435" s="34"/>
      <c r="F435" s="34"/>
      <c r="G435" s="35"/>
      <c r="H435" s="34"/>
      <c r="I435" s="37"/>
    </row>
    <row r="436" ht="22.5" customHeight="1">
      <c r="A436" s="30"/>
      <c r="B436" s="31"/>
      <c r="C436" s="32"/>
      <c r="D436" s="33"/>
      <c r="E436" s="34"/>
      <c r="F436" s="34"/>
      <c r="G436" s="35"/>
      <c r="H436" s="34"/>
      <c r="I436" s="37"/>
    </row>
    <row r="437" ht="22.5" customHeight="1">
      <c r="A437" s="30"/>
      <c r="B437" s="31"/>
      <c r="C437" s="32"/>
      <c r="D437" s="33"/>
      <c r="E437" s="34"/>
      <c r="F437" s="34"/>
      <c r="G437" s="35"/>
      <c r="H437" s="34"/>
      <c r="I437" s="37"/>
    </row>
    <row r="438" ht="22.5" customHeight="1">
      <c r="A438" s="30"/>
      <c r="B438" s="31"/>
      <c r="C438" s="32"/>
      <c r="D438" s="33"/>
      <c r="E438" s="34"/>
      <c r="F438" s="34"/>
      <c r="G438" s="35"/>
      <c r="H438" s="34"/>
      <c r="I438" s="37"/>
    </row>
    <row r="439" ht="22.5" customHeight="1">
      <c r="A439" s="30"/>
      <c r="B439" s="31"/>
      <c r="C439" s="32"/>
      <c r="D439" s="33"/>
      <c r="E439" s="34"/>
      <c r="F439" s="34"/>
      <c r="G439" s="35"/>
      <c r="H439" s="34"/>
      <c r="I439" s="37"/>
    </row>
    <row r="440" ht="22.5" customHeight="1">
      <c r="A440" s="30"/>
      <c r="B440" s="31"/>
      <c r="C440" s="32"/>
      <c r="D440" s="33"/>
      <c r="E440" s="34"/>
      <c r="F440" s="34"/>
      <c r="G440" s="35"/>
      <c r="H440" s="34"/>
      <c r="I440" s="37"/>
    </row>
    <row r="441" ht="22.5" customHeight="1">
      <c r="A441" s="30"/>
      <c r="B441" s="31"/>
      <c r="C441" s="32"/>
      <c r="D441" s="33"/>
      <c r="E441" s="34"/>
      <c r="F441" s="34"/>
      <c r="G441" s="35"/>
      <c r="H441" s="34"/>
      <c r="I441" s="37"/>
    </row>
    <row r="442" ht="22.5" customHeight="1">
      <c r="A442" s="30"/>
      <c r="B442" s="31"/>
      <c r="C442" s="32"/>
      <c r="D442" s="33"/>
      <c r="E442" s="34"/>
      <c r="F442" s="34"/>
      <c r="G442" s="35"/>
      <c r="H442" s="34"/>
      <c r="I442" s="37"/>
    </row>
    <row r="443" ht="22.5" customHeight="1">
      <c r="A443" s="30"/>
      <c r="B443" s="31"/>
      <c r="C443" s="32"/>
      <c r="D443" s="33"/>
      <c r="E443" s="34"/>
      <c r="F443" s="34"/>
      <c r="G443" s="35"/>
      <c r="H443" s="34"/>
      <c r="I443" s="37"/>
    </row>
    <row r="444" ht="22.5" customHeight="1">
      <c r="A444" s="30"/>
      <c r="B444" s="31"/>
      <c r="C444" s="32"/>
      <c r="D444" s="33"/>
      <c r="E444" s="34"/>
      <c r="F444" s="34"/>
      <c r="G444" s="35"/>
      <c r="H444" s="34"/>
      <c r="I444" s="37"/>
    </row>
    <row r="445" ht="22.5" customHeight="1">
      <c r="A445" s="30"/>
      <c r="B445" s="31"/>
      <c r="C445" s="32"/>
      <c r="D445" s="33"/>
      <c r="E445" s="34"/>
      <c r="F445" s="34"/>
      <c r="G445" s="35"/>
      <c r="H445" s="34"/>
      <c r="I445" s="37"/>
    </row>
    <row r="446" ht="22.5" customHeight="1">
      <c r="A446" s="30"/>
      <c r="B446" s="31"/>
      <c r="C446" s="32"/>
      <c r="D446" s="33"/>
      <c r="E446" s="34"/>
      <c r="F446" s="34"/>
      <c r="G446" s="35"/>
      <c r="H446" s="34"/>
      <c r="I446" s="37"/>
    </row>
    <row r="447" ht="22.5" customHeight="1">
      <c r="A447" s="30"/>
      <c r="B447" s="31"/>
      <c r="C447" s="32"/>
      <c r="D447" s="33"/>
      <c r="E447" s="34"/>
      <c r="F447" s="34"/>
      <c r="G447" s="35"/>
      <c r="H447" s="34"/>
      <c r="I447" s="37"/>
    </row>
    <row r="448" ht="22.5" customHeight="1">
      <c r="A448" s="30"/>
      <c r="B448" s="31"/>
      <c r="C448" s="32"/>
      <c r="D448" s="33"/>
      <c r="E448" s="34"/>
      <c r="F448" s="34"/>
      <c r="G448" s="35"/>
      <c r="H448" s="34"/>
      <c r="I448" s="37"/>
    </row>
    <row r="449" ht="22.5" customHeight="1">
      <c r="A449" s="30"/>
      <c r="B449" s="31"/>
      <c r="C449" s="32"/>
      <c r="D449" s="33"/>
      <c r="E449" s="34"/>
      <c r="F449" s="34"/>
      <c r="G449" s="35"/>
      <c r="H449" s="34"/>
      <c r="I449" s="37"/>
    </row>
    <row r="450" ht="22.5" customHeight="1">
      <c r="A450" s="30"/>
      <c r="B450" s="31"/>
      <c r="C450" s="32"/>
      <c r="D450" s="33"/>
      <c r="E450" s="34"/>
      <c r="F450" s="34"/>
      <c r="G450" s="35"/>
      <c r="H450" s="34"/>
      <c r="I450" s="37"/>
    </row>
    <row r="451" ht="22.5" customHeight="1">
      <c r="A451" s="30"/>
      <c r="B451" s="31"/>
      <c r="C451" s="32"/>
      <c r="D451" s="33"/>
      <c r="E451" s="34"/>
      <c r="F451" s="34"/>
      <c r="G451" s="35"/>
      <c r="H451" s="34"/>
      <c r="I451" s="37"/>
    </row>
    <row r="452" ht="22.5" customHeight="1">
      <c r="A452" s="30"/>
      <c r="B452" s="31"/>
      <c r="C452" s="32"/>
      <c r="D452" s="33"/>
      <c r="E452" s="34"/>
      <c r="F452" s="34"/>
      <c r="G452" s="35"/>
      <c r="H452" s="34"/>
      <c r="I452" s="37"/>
    </row>
    <row r="453" ht="22.5" customHeight="1">
      <c r="A453" s="30"/>
      <c r="B453" s="31"/>
      <c r="C453" s="32"/>
      <c r="D453" s="33"/>
      <c r="E453" s="34"/>
      <c r="F453" s="34"/>
      <c r="G453" s="35"/>
      <c r="H453" s="34"/>
      <c r="I453" s="37"/>
    </row>
    <row r="454" ht="22.5" customHeight="1">
      <c r="A454" s="30"/>
      <c r="B454" s="40"/>
      <c r="C454" s="32"/>
      <c r="D454" s="33"/>
      <c r="E454" s="34"/>
      <c r="F454" s="34"/>
      <c r="G454" s="35"/>
      <c r="H454" s="34"/>
      <c r="I454" s="37"/>
    </row>
    <row r="455" ht="22.5" customHeight="1">
      <c r="A455" s="30"/>
      <c r="B455" s="31"/>
      <c r="C455" s="32"/>
      <c r="D455" s="33"/>
      <c r="E455" s="34"/>
      <c r="F455" s="34"/>
      <c r="G455" s="35"/>
      <c r="H455" s="34"/>
      <c r="I455" s="37"/>
    </row>
    <row r="456" ht="22.5" customHeight="1">
      <c r="A456" s="30"/>
      <c r="B456" s="31"/>
      <c r="C456" s="32"/>
      <c r="D456" s="33"/>
      <c r="E456" s="34"/>
      <c r="F456" s="34"/>
      <c r="G456" s="35"/>
      <c r="H456" s="34"/>
      <c r="I456" s="37"/>
    </row>
    <row r="457" ht="22.5" customHeight="1">
      <c r="A457" s="30"/>
      <c r="B457" s="31"/>
      <c r="C457" s="32"/>
      <c r="D457" s="33"/>
      <c r="E457" s="34"/>
      <c r="F457" s="34"/>
      <c r="G457" s="35"/>
      <c r="H457" s="34"/>
      <c r="I457" s="37"/>
    </row>
    <row r="458" ht="22.5" customHeight="1">
      <c r="A458" s="30"/>
      <c r="B458" s="31"/>
      <c r="C458" s="32"/>
      <c r="D458" s="33"/>
      <c r="E458" s="34"/>
      <c r="F458" s="34"/>
      <c r="G458" s="35"/>
      <c r="H458" s="34"/>
      <c r="I458" s="38"/>
    </row>
    <row r="459" ht="22.5" customHeight="1">
      <c r="A459" s="30"/>
      <c r="B459" s="39"/>
      <c r="C459" s="32"/>
      <c r="D459" s="33"/>
      <c r="E459" s="34"/>
      <c r="F459" s="34"/>
      <c r="G459" s="35"/>
      <c r="H459" s="34"/>
      <c r="I459" s="37"/>
    </row>
    <row r="460" ht="22.5" customHeight="1">
      <c r="A460" s="30"/>
      <c r="B460" s="31"/>
      <c r="C460" s="32"/>
      <c r="D460" s="33"/>
      <c r="E460" s="34"/>
      <c r="F460" s="34"/>
      <c r="G460" s="35"/>
      <c r="H460" s="34"/>
      <c r="I460" s="37"/>
    </row>
    <row r="461" ht="22.5" customHeight="1">
      <c r="A461" s="30"/>
      <c r="B461" s="31"/>
      <c r="C461" s="32"/>
      <c r="D461" s="33"/>
      <c r="E461" s="34"/>
      <c r="F461" s="34"/>
      <c r="G461" s="35"/>
      <c r="H461" s="34"/>
      <c r="I461" s="37"/>
    </row>
    <row r="462" ht="22.5" customHeight="1">
      <c r="A462" s="30"/>
      <c r="B462" s="31"/>
      <c r="C462" s="32"/>
      <c r="D462" s="33"/>
      <c r="E462" s="34"/>
      <c r="F462" s="34"/>
      <c r="G462" s="35"/>
      <c r="H462" s="34"/>
      <c r="I462" s="37"/>
    </row>
    <row r="463" ht="22.5" customHeight="1">
      <c r="A463" s="30"/>
      <c r="B463" s="39"/>
      <c r="C463" s="32"/>
      <c r="D463" s="33"/>
      <c r="E463" s="34"/>
      <c r="F463" s="34"/>
      <c r="G463" s="35"/>
      <c r="H463" s="34"/>
      <c r="I463" s="37"/>
    </row>
    <row r="464" ht="22.5" customHeight="1">
      <c r="A464" s="30"/>
      <c r="B464" s="31"/>
      <c r="C464" s="32"/>
      <c r="D464" s="33"/>
      <c r="E464" s="34"/>
      <c r="F464" s="34"/>
      <c r="G464" s="35"/>
      <c r="H464" s="34"/>
      <c r="I464" s="37"/>
    </row>
    <row r="465" ht="22.5" customHeight="1">
      <c r="A465" s="30"/>
      <c r="B465" s="39"/>
      <c r="C465" s="32"/>
      <c r="D465" s="33"/>
      <c r="E465" s="34"/>
      <c r="F465" s="34"/>
      <c r="G465" s="35"/>
      <c r="H465" s="34"/>
      <c r="I465" s="37"/>
    </row>
    <row r="466" ht="22.5" customHeight="1">
      <c r="A466" s="30"/>
      <c r="B466" s="31"/>
      <c r="C466" s="32"/>
      <c r="D466" s="33"/>
      <c r="E466" s="34"/>
      <c r="F466" s="34"/>
      <c r="G466" s="35"/>
      <c r="H466" s="34"/>
      <c r="I466" s="37"/>
    </row>
    <row r="467" ht="22.5" customHeight="1">
      <c r="A467" s="30"/>
      <c r="B467" s="31"/>
      <c r="C467" s="32"/>
      <c r="D467" s="33"/>
      <c r="E467" s="34"/>
      <c r="F467" s="34"/>
      <c r="G467" s="35"/>
      <c r="H467" s="34"/>
      <c r="I467" s="37"/>
    </row>
    <row r="468" ht="22.5" customHeight="1">
      <c r="A468" s="30"/>
      <c r="B468" s="31"/>
      <c r="C468" s="32"/>
      <c r="D468" s="33"/>
      <c r="E468" s="34"/>
      <c r="F468" s="34"/>
      <c r="G468" s="35"/>
      <c r="H468" s="34"/>
      <c r="I468" s="37"/>
    </row>
    <row r="469" ht="22.5" customHeight="1">
      <c r="A469" s="30"/>
      <c r="B469" s="31"/>
      <c r="C469" s="32"/>
      <c r="D469" s="33"/>
      <c r="E469" s="34"/>
      <c r="F469" s="34"/>
      <c r="G469" s="35"/>
      <c r="H469" s="34"/>
      <c r="I469" s="37"/>
    </row>
    <row r="470" ht="22.5" customHeight="1">
      <c r="A470" s="30"/>
      <c r="B470" s="31"/>
      <c r="C470" s="32"/>
      <c r="D470" s="33"/>
      <c r="E470" s="34"/>
      <c r="F470" s="34"/>
      <c r="G470" s="35"/>
      <c r="H470" s="34"/>
      <c r="I470" s="37"/>
    </row>
    <row r="471" ht="22.5" customHeight="1">
      <c r="A471" s="30"/>
      <c r="B471" s="31"/>
      <c r="C471" s="32"/>
      <c r="D471" s="33"/>
      <c r="E471" s="34"/>
      <c r="F471" s="34"/>
      <c r="G471" s="35"/>
      <c r="H471" s="34"/>
      <c r="I471" s="37"/>
    </row>
    <row r="472" ht="22.5" customHeight="1">
      <c r="A472" s="30"/>
      <c r="B472" s="31"/>
      <c r="C472" s="32"/>
      <c r="D472" s="33"/>
      <c r="E472" s="34"/>
      <c r="F472" s="34"/>
      <c r="G472" s="35"/>
      <c r="H472" s="34"/>
      <c r="I472" s="37"/>
    </row>
    <row r="473" ht="22.5" customHeight="1">
      <c r="A473" s="30"/>
      <c r="B473" s="31"/>
      <c r="C473" s="32"/>
      <c r="D473" s="33"/>
      <c r="E473" s="34"/>
      <c r="F473" s="34"/>
      <c r="G473" s="35"/>
      <c r="H473" s="34"/>
      <c r="I473" s="37"/>
    </row>
    <row r="474" ht="22.5" customHeight="1">
      <c r="A474" s="30"/>
      <c r="B474" s="31"/>
      <c r="C474" s="32"/>
      <c r="D474" s="33"/>
      <c r="E474" s="34"/>
      <c r="F474" s="34"/>
      <c r="G474" s="35"/>
      <c r="H474" s="34"/>
      <c r="I474" s="37"/>
    </row>
    <row r="475" ht="22.5" customHeight="1">
      <c r="A475" s="30"/>
      <c r="B475" s="31"/>
      <c r="C475" s="32"/>
      <c r="D475" s="33"/>
      <c r="E475" s="34"/>
      <c r="F475" s="34"/>
      <c r="G475" s="35"/>
      <c r="H475" s="34"/>
      <c r="I475" s="37"/>
    </row>
    <row r="476" ht="22.5" customHeight="1">
      <c r="A476" s="30"/>
      <c r="B476" s="40"/>
      <c r="C476" s="32"/>
      <c r="D476" s="33"/>
      <c r="E476" s="34"/>
      <c r="F476" s="34"/>
      <c r="G476" s="35"/>
      <c r="H476" s="34"/>
      <c r="I476" s="37"/>
    </row>
    <row r="477" ht="22.5" customHeight="1">
      <c r="A477" s="30"/>
      <c r="B477" s="31"/>
      <c r="C477" s="32"/>
      <c r="D477" s="33"/>
      <c r="E477" s="34"/>
      <c r="F477" s="34"/>
      <c r="G477" s="35"/>
      <c r="H477" s="34"/>
      <c r="I477" s="37"/>
    </row>
    <row r="478" ht="22.5" customHeight="1">
      <c r="A478" s="30"/>
      <c r="B478" s="31"/>
      <c r="C478" s="32"/>
      <c r="D478" s="33"/>
      <c r="E478" s="34"/>
      <c r="F478" s="34"/>
      <c r="G478" s="35"/>
      <c r="H478" s="34"/>
      <c r="I478" s="37"/>
    </row>
    <row r="479" ht="22.5" customHeight="1">
      <c r="A479" s="30"/>
      <c r="B479" s="31"/>
      <c r="C479" s="32"/>
      <c r="D479" s="33"/>
      <c r="E479" s="34"/>
      <c r="F479" s="34"/>
      <c r="G479" s="35"/>
      <c r="H479" s="34"/>
      <c r="I479" s="37"/>
    </row>
    <row r="480" ht="22.5" customHeight="1">
      <c r="A480" s="30"/>
      <c r="B480" s="31"/>
      <c r="C480" s="32"/>
      <c r="D480" s="33"/>
      <c r="E480" s="34"/>
      <c r="F480" s="34"/>
      <c r="G480" s="35"/>
      <c r="H480" s="34"/>
      <c r="I480" s="37"/>
    </row>
    <row r="481" ht="22.5" customHeight="1">
      <c r="A481" s="30"/>
      <c r="B481" s="31"/>
      <c r="C481" s="32"/>
      <c r="D481" s="33"/>
      <c r="E481" s="34"/>
      <c r="F481" s="34"/>
      <c r="G481" s="35"/>
      <c r="H481" s="34"/>
      <c r="I481" s="37"/>
    </row>
    <row r="482" ht="22.5" customHeight="1">
      <c r="A482" s="30"/>
      <c r="B482" s="31"/>
      <c r="C482" s="32"/>
      <c r="D482" s="33"/>
      <c r="E482" s="34"/>
      <c r="F482" s="34"/>
      <c r="G482" s="35"/>
      <c r="H482" s="34"/>
      <c r="I482" s="37"/>
    </row>
    <row r="483" ht="22.5" customHeight="1">
      <c r="A483" s="30"/>
      <c r="B483" s="39"/>
      <c r="C483" s="32"/>
      <c r="D483" s="33"/>
      <c r="E483" s="34"/>
      <c r="F483" s="34"/>
      <c r="G483" s="35"/>
      <c r="H483" s="34"/>
      <c r="I483" s="37"/>
    </row>
    <row r="484" ht="22.5" customHeight="1">
      <c r="A484" s="30"/>
      <c r="B484" s="39"/>
      <c r="C484" s="32"/>
      <c r="D484" s="33"/>
      <c r="E484" s="34"/>
      <c r="F484" s="34"/>
      <c r="G484" s="35"/>
      <c r="H484" s="34"/>
      <c r="I484" s="37"/>
    </row>
    <row r="485" ht="22.5" customHeight="1">
      <c r="A485" s="30"/>
      <c r="B485" s="39"/>
      <c r="C485" s="32"/>
      <c r="D485" s="33"/>
      <c r="E485" s="34"/>
      <c r="F485" s="34"/>
      <c r="G485" s="35"/>
      <c r="H485" s="34"/>
      <c r="I485" s="37"/>
    </row>
    <row r="486" ht="22.5" customHeight="1">
      <c r="A486" s="30"/>
      <c r="B486" s="40"/>
      <c r="C486" s="32"/>
      <c r="D486" s="33"/>
      <c r="E486" s="34"/>
      <c r="F486" s="34"/>
      <c r="G486" s="35"/>
      <c r="H486" s="34"/>
      <c r="I486" s="37"/>
    </row>
    <row r="487" ht="22.5" customHeight="1">
      <c r="A487" s="30"/>
      <c r="B487" s="31"/>
      <c r="C487" s="32"/>
      <c r="D487" s="33"/>
      <c r="E487" s="34"/>
      <c r="F487" s="34"/>
      <c r="G487" s="35"/>
      <c r="H487" s="34"/>
      <c r="I487" s="37"/>
    </row>
    <row r="488" ht="22.5" customHeight="1">
      <c r="A488" s="30"/>
      <c r="B488" s="31"/>
      <c r="C488" s="32"/>
      <c r="D488" s="33"/>
      <c r="E488" s="34"/>
      <c r="F488" s="34"/>
      <c r="G488" s="35"/>
      <c r="H488" s="34"/>
      <c r="I488" s="37"/>
    </row>
    <row r="489" ht="22.5" customHeight="1">
      <c r="A489" s="30"/>
      <c r="B489" s="31"/>
      <c r="C489" s="32"/>
      <c r="D489" s="33"/>
      <c r="E489" s="34"/>
      <c r="F489" s="34"/>
      <c r="G489" s="35"/>
      <c r="H489" s="34"/>
      <c r="I489" s="37"/>
    </row>
    <row r="490" ht="22.5" customHeight="1">
      <c r="A490" s="30"/>
      <c r="B490" s="31"/>
      <c r="C490" s="32"/>
      <c r="D490" s="33"/>
      <c r="E490" s="34"/>
      <c r="F490" s="34"/>
      <c r="G490" s="35"/>
      <c r="H490" s="34"/>
      <c r="I490" s="37"/>
    </row>
    <row r="491" ht="22.5" customHeight="1">
      <c r="A491" s="30"/>
      <c r="B491" s="31"/>
      <c r="C491" s="32"/>
      <c r="D491" s="33"/>
      <c r="E491" s="34"/>
      <c r="F491" s="34"/>
      <c r="G491" s="35"/>
      <c r="H491" s="34"/>
      <c r="I491" s="37"/>
    </row>
    <row r="492" ht="22.5" customHeight="1">
      <c r="A492" s="30"/>
      <c r="B492" s="31"/>
      <c r="C492" s="32"/>
      <c r="D492" s="33"/>
      <c r="E492" s="34"/>
      <c r="F492" s="34"/>
      <c r="G492" s="35"/>
      <c r="H492" s="34"/>
      <c r="I492" s="37"/>
    </row>
    <row r="493" ht="22.5" customHeight="1">
      <c r="A493" s="30"/>
      <c r="B493" s="31"/>
      <c r="C493" s="32"/>
      <c r="D493" s="33"/>
      <c r="E493" s="34"/>
      <c r="F493" s="34"/>
      <c r="G493" s="35"/>
      <c r="H493" s="34"/>
      <c r="I493" s="37"/>
    </row>
    <row r="494" ht="22.5" customHeight="1">
      <c r="A494" s="30"/>
      <c r="B494" s="31"/>
      <c r="C494" s="32"/>
      <c r="D494" s="33"/>
      <c r="E494" s="34"/>
      <c r="F494" s="34"/>
      <c r="G494" s="35"/>
      <c r="H494" s="34"/>
      <c r="I494" s="37"/>
    </row>
    <row r="495" ht="22.5" customHeight="1">
      <c r="A495" s="30"/>
      <c r="B495" s="31"/>
      <c r="C495" s="32"/>
      <c r="D495" s="33"/>
      <c r="E495" s="34"/>
      <c r="F495" s="34"/>
      <c r="G495" s="35"/>
      <c r="H495" s="34"/>
      <c r="I495" s="37"/>
    </row>
    <row r="496" ht="22.5" customHeight="1">
      <c r="A496" s="30"/>
      <c r="B496" s="40"/>
      <c r="C496" s="32"/>
      <c r="D496" s="33"/>
      <c r="E496" s="34"/>
      <c r="F496" s="34"/>
      <c r="G496" s="35"/>
      <c r="H496" s="34"/>
      <c r="I496" s="37"/>
    </row>
    <row r="497" ht="22.5" customHeight="1">
      <c r="A497" s="30"/>
      <c r="B497" s="31"/>
      <c r="C497" s="32"/>
      <c r="D497" s="33"/>
      <c r="E497" s="34"/>
      <c r="F497" s="34"/>
      <c r="G497" s="35"/>
      <c r="H497" s="34"/>
      <c r="I497" s="37"/>
    </row>
    <row r="498" ht="22.5" customHeight="1">
      <c r="A498" s="30"/>
      <c r="B498" s="31"/>
      <c r="C498" s="32"/>
      <c r="D498" s="33"/>
      <c r="E498" s="34"/>
      <c r="F498" s="34"/>
      <c r="G498" s="35"/>
      <c r="H498" s="34"/>
      <c r="I498" s="37"/>
    </row>
    <row r="499" ht="22.5" customHeight="1">
      <c r="A499" s="30"/>
      <c r="B499" s="31"/>
      <c r="C499" s="32"/>
      <c r="D499" s="33"/>
      <c r="E499" s="34"/>
      <c r="F499" s="34"/>
      <c r="G499" s="35"/>
      <c r="H499" s="34"/>
      <c r="I499" s="37"/>
    </row>
    <row r="500" ht="22.5" customHeight="1">
      <c r="A500" s="30"/>
      <c r="B500" s="40"/>
      <c r="C500" s="32"/>
      <c r="D500" s="33"/>
      <c r="E500" s="34"/>
      <c r="F500" s="34"/>
      <c r="G500" s="35"/>
      <c r="H500" s="34"/>
      <c r="I500" s="37"/>
    </row>
    <row r="501" ht="22.5" customHeight="1">
      <c r="A501" s="30"/>
      <c r="B501" s="31"/>
      <c r="C501" s="32"/>
      <c r="D501" s="33"/>
      <c r="E501" s="34"/>
      <c r="F501" s="34"/>
      <c r="G501" s="35"/>
      <c r="H501" s="34"/>
      <c r="I501" s="37"/>
    </row>
    <row r="502" ht="22.5" customHeight="1">
      <c r="A502" s="30"/>
      <c r="B502" s="31"/>
      <c r="C502" s="32"/>
      <c r="D502" s="33"/>
      <c r="E502" s="34"/>
      <c r="F502" s="34"/>
      <c r="G502" s="35"/>
      <c r="H502" s="34"/>
      <c r="I502" s="37"/>
    </row>
    <row r="503" ht="22.5" customHeight="1">
      <c r="A503" s="30"/>
      <c r="B503" s="31"/>
      <c r="C503" s="32"/>
      <c r="D503" s="33"/>
      <c r="E503" s="34"/>
      <c r="F503" s="34"/>
      <c r="G503" s="35"/>
      <c r="H503" s="34"/>
      <c r="I503" s="37"/>
    </row>
    <row r="504" ht="22.5" customHeight="1">
      <c r="A504" s="30"/>
      <c r="B504" s="31"/>
      <c r="C504" s="32"/>
      <c r="D504" s="33"/>
      <c r="E504" s="34"/>
      <c r="F504" s="34"/>
      <c r="G504" s="35"/>
      <c r="H504" s="34"/>
      <c r="I504" s="37"/>
    </row>
    <row r="505" ht="22.5" customHeight="1">
      <c r="A505" s="30"/>
      <c r="B505" s="31"/>
      <c r="C505" s="32"/>
      <c r="D505" s="33"/>
      <c r="E505" s="34"/>
      <c r="F505" s="34"/>
      <c r="G505" s="35"/>
      <c r="H505" s="34"/>
      <c r="I505" s="37"/>
    </row>
    <row r="506" ht="22.5" customHeight="1">
      <c r="A506" s="30"/>
      <c r="B506" s="31"/>
      <c r="C506" s="32"/>
      <c r="D506" s="33"/>
      <c r="E506" s="34"/>
      <c r="F506" s="34"/>
      <c r="G506" s="35"/>
      <c r="H506" s="34"/>
      <c r="I506" s="37"/>
    </row>
    <row r="507" ht="22.5" customHeight="1">
      <c r="A507" s="30"/>
      <c r="B507" s="31"/>
      <c r="C507" s="32"/>
      <c r="D507" s="33"/>
      <c r="E507" s="34"/>
      <c r="F507" s="34"/>
      <c r="G507" s="35"/>
      <c r="H507" s="34"/>
      <c r="I507" s="37"/>
    </row>
    <row r="508" ht="22.5" customHeight="1">
      <c r="A508" s="30"/>
      <c r="B508" s="31"/>
      <c r="C508" s="32"/>
      <c r="D508" s="33"/>
      <c r="E508" s="34"/>
      <c r="F508" s="34"/>
      <c r="G508" s="35"/>
      <c r="H508" s="34"/>
      <c r="I508" s="37"/>
    </row>
    <row r="509" ht="22.5" customHeight="1">
      <c r="A509" s="30"/>
      <c r="B509" s="31"/>
      <c r="C509" s="32"/>
      <c r="D509" s="33"/>
      <c r="E509" s="34"/>
      <c r="F509" s="34"/>
      <c r="G509" s="35"/>
      <c r="H509" s="34"/>
      <c r="I509" s="37"/>
    </row>
    <row r="510" ht="22.5" customHeight="1">
      <c r="A510" s="30"/>
      <c r="B510" s="31"/>
      <c r="C510" s="32"/>
      <c r="D510" s="33"/>
      <c r="E510" s="34"/>
      <c r="F510" s="34"/>
      <c r="G510" s="35"/>
      <c r="H510" s="34"/>
      <c r="I510" s="37"/>
    </row>
    <row r="511" ht="22.5" customHeight="1">
      <c r="A511" s="30"/>
      <c r="B511" s="31"/>
      <c r="C511" s="32"/>
      <c r="D511" s="33"/>
      <c r="E511" s="34"/>
      <c r="F511" s="34"/>
      <c r="G511" s="35"/>
      <c r="H511" s="34"/>
      <c r="I511" s="37"/>
    </row>
    <row r="512" ht="22.5" customHeight="1">
      <c r="A512" s="30"/>
      <c r="B512" s="31"/>
      <c r="C512" s="32"/>
      <c r="D512" s="33"/>
      <c r="E512" s="34"/>
      <c r="F512" s="34"/>
      <c r="G512" s="35"/>
      <c r="H512" s="34"/>
      <c r="I512" s="37"/>
    </row>
    <row r="513" ht="22.5" customHeight="1">
      <c r="A513" s="30"/>
      <c r="B513" s="31"/>
      <c r="C513" s="32"/>
      <c r="D513" s="33"/>
      <c r="E513" s="34"/>
      <c r="F513" s="34"/>
      <c r="G513" s="35"/>
      <c r="H513" s="34"/>
      <c r="I513" s="37"/>
    </row>
    <row r="514" ht="22.5" customHeight="1">
      <c r="A514" s="30"/>
      <c r="B514" s="31"/>
      <c r="C514" s="32"/>
      <c r="D514" s="33"/>
      <c r="E514" s="34"/>
      <c r="F514" s="34"/>
      <c r="G514" s="35"/>
      <c r="H514" s="34"/>
      <c r="I514" s="37"/>
    </row>
    <row r="515" ht="22.5" customHeight="1">
      <c r="A515" s="30"/>
      <c r="B515" s="40"/>
      <c r="C515" s="32"/>
      <c r="D515" s="33"/>
      <c r="E515" s="34"/>
      <c r="F515" s="34"/>
      <c r="G515" s="35"/>
      <c r="H515" s="34"/>
      <c r="I515" s="37"/>
    </row>
    <row r="516" ht="22.5" customHeight="1">
      <c r="A516" s="30"/>
      <c r="B516" s="31"/>
      <c r="C516" s="32"/>
      <c r="D516" s="33"/>
      <c r="E516" s="34"/>
      <c r="F516" s="34"/>
      <c r="G516" s="35"/>
      <c r="H516" s="34"/>
      <c r="I516" s="37"/>
    </row>
    <row r="517" ht="22.5" customHeight="1">
      <c r="A517" s="30"/>
      <c r="B517" s="40"/>
      <c r="C517" s="32"/>
      <c r="D517" s="33"/>
      <c r="E517" s="34"/>
      <c r="F517" s="34"/>
      <c r="G517" s="35"/>
      <c r="H517" s="34"/>
      <c r="I517" s="37"/>
    </row>
    <row r="518" ht="22.5" customHeight="1">
      <c r="A518" s="30"/>
      <c r="B518" s="31"/>
      <c r="C518" s="32"/>
      <c r="D518" s="33"/>
      <c r="E518" s="34"/>
      <c r="F518" s="34"/>
      <c r="G518" s="35"/>
      <c r="H518" s="34"/>
      <c r="I518" s="37"/>
    </row>
    <row r="519" ht="22.5" customHeight="1">
      <c r="A519" s="30"/>
      <c r="B519" s="31"/>
      <c r="C519" s="32"/>
      <c r="D519" s="33"/>
      <c r="E519" s="34"/>
      <c r="F519" s="34"/>
      <c r="G519" s="35"/>
      <c r="H519" s="34"/>
      <c r="I519" s="37"/>
    </row>
    <row r="520" ht="22.5" customHeight="1">
      <c r="A520" s="30"/>
      <c r="B520" s="31"/>
      <c r="C520" s="32"/>
      <c r="D520" s="33"/>
      <c r="E520" s="34"/>
      <c r="F520" s="34"/>
      <c r="G520" s="35"/>
      <c r="H520" s="34"/>
      <c r="I520" s="37"/>
    </row>
    <row r="521" ht="22.5" customHeight="1">
      <c r="A521" s="30"/>
      <c r="B521" s="31"/>
      <c r="C521" s="32"/>
      <c r="D521" s="33"/>
      <c r="E521" s="34"/>
      <c r="F521" s="34"/>
      <c r="G521" s="35"/>
      <c r="H521" s="34"/>
      <c r="I521" s="37"/>
    </row>
    <row r="522" ht="22.5" customHeight="1">
      <c r="A522" s="30"/>
      <c r="B522" s="40"/>
      <c r="C522" s="32"/>
      <c r="D522" s="33"/>
      <c r="E522" s="34"/>
      <c r="F522" s="34"/>
      <c r="G522" s="35"/>
      <c r="H522" s="34"/>
      <c r="I522" s="37"/>
    </row>
    <row r="523" ht="22.5" customHeight="1">
      <c r="A523" s="30"/>
      <c r="B523" s="31"/>
      <c r="C523" s="32"/>
      <c r="D523" s="33"/>
      <c r="E523" s="34"/>
      <c r="F523" s="34"/>
      <c r="G523" s="35"/>
      <c r="H523" s="34"/>
      <c r="I523" s="37"/>
    </row>
    <row r="524" ht="22.5" customHeight="1">
      <c r="A524" s="30"/>
      <c r="B524" s="31"/>
      <c r="C524" s="32"/>
      <c r="D524" s="33"/>
      <c r="E524" s="34"/>
      <c r="F524" s="34"/>
      <c r="G524" s="35"/>
      <c r="H524" s="34"/>
      <c r="I524" s="37"/>
    </row>
    <row r="525" ht="22.5" customHeight="1">
      <c r="A525" s="30"/>
      <c r="B525" s="31"/>
      <c r="C525" s="32"/>
      <c r="D525" s="33"/>
      <c r="E525" s="34"/>
      <c r="F525" s="34"/>
      <c r="G525" s="35"/>
      <c r="H525" s="34"/>
      <c r="I525" s="37"/>
    </row>
    <row r="526" ht="22.5" customHeight="1">
      <c r="A526" s="30"/>
      <c r="B526" s="31"/>
      <c r="C526" s="32"/>
      <c r="D526" s="33"/>
      <c r="E526" s="34"/>
      <c r="F526" s="34"/>
      <c r="G526" s="35"/>
      <c r="H526" s="34"/>
      <c r="I526" s="37"/>
    </row>
    <row r="527" ht="22.5" customHeight="1">
      <c r="A527" s="30"/>
      <c r="B527" s="31"/>
      <c r="C527" s="32"/>
      <c r="D527" s="33"/>
      <c r="E527" s="34"/>
      <c r="F527" s="34"/>
      <c r="G527" s="35"/>
      <c r="H527" s="34"/>
      <c r="I527" s="37"/>
    </row>
    <row r="528" ht="22.5" customHeight="1">
      <c r="A528" s="30"/>
      <c r="B528" s="31"/>
      <c r="C528" s="32"/>
      <c r="D528" s="33"/>
      <c r="E528" s="34"/>
      <c r="F528" s="34"/>
      <c r="G528" s="35"/>
      <c r="H528" s="34"/>
      <c r="I528" s="37"/>
    </row>
    <row r="529" ht="22.5" customHeight="1">
      <c r="A529" s="30"/>
      <c r="B529" s="31"/>
      <c r="C529" s="32"/>
      <c r="D529" s="33"/>
      <c r="E529" s="34"/>
      <c r="F529" s="34"/>
      <c r="G529" s="35"/>
      <c r="H529" s="34"/>
      <c r="I529" s="37"/>
    </row>
    <row r="530" ht="22.5" customHeight="1">
      <c r="A530" s="30"/>
      <c r="B530" s="31"/>
      <c r="C530" s="32"/>
      <c r="D530" s="33"/>
      <c r="E530" s="34"/>
      <c r="F530" s="34"/>
      <c r="G530" s="35"/>
      <c r="H530" s="34"/>
      <c r="I530" s="37"/>
    </row>
    <row r="531" ht="22.5" customHeight="1">
      <c r="A531" s="30"/>
      <c r="B531" s="31"/>
      <c r="C531" s="32"/>
      <c r="D531" s="33"/>
      <c r="E531" s="34"/>
      <c r="F531" s="34"/>
      <c r="G531" s="35"/>
      <c r="H531" s="34"/>
      <c r="I531" s="37"/>
    </row>
    <row r="532" ht="22.5" customHeight="1">
      <c r="A532" s="30"/>
      <c r="B532" s="31"/>
      <c r="C532" s="32"/>
      <c r="D532" s="33"/>
      <c r="E532" s="34"/>
      <c r="F532" s="34"/>
      <c r="G532" s="35"/>
      <c r="H532" s="34"/>
      <c r="I532" s="37"/>
    </row>
    <row r="533" ht="22.5" customHeight="1">
      <c r="A533" s="30"/>
      <c r="B533" s="31"/>
      <c r="C533" s="32"/>
      <c r="D533" s="33"/>
      <c r="E533" s="34"/>
      <c r="F533" s="34"/>
      <c r="G533" s="35"/>
      <c r="H533" s="34"/>
      <c r="I533" s="37"/>
    </row>
    <row r="534" ht="22.5" customHeight="1">
      <c r="A534" s="30"/>
      <c r="B534" s="31"/>
      <c r="C534" s="32"/>
      <c r="D534" s="33"/>
      <c r="E534" s="34"/>
      <c r="F534" s="34"/>
      <c r="G534" s="35"/>
      <c r="H534" s="34"/>
      <c r="I534" s="37"/>
    </row>
    <row r="535" ht="22.5" customHeight="1">
      <c r="A535" s="30"/>
      <c r="B535" s="31"/>
      <c r="C535" s="32"/>
      <c r="D535" s="33"/>
      <c r="E535" s="34"/>
      <c r="F535" s="34"/>
      <c r="G535" s="35"/>
      <c r="H535" s="34"/>
      <c r="I535" s="37"/>
    </row>
    <row r="536" ht="22.5" customHeight="1">
      <c r="A536" s="30"/>
      <c r="B536" s="31"/>
      <c r="C536" s="32"/>
      <c r="D536" s="33"/>
      <c r="E536" s="34"/>
      <c r="F536" s="34"/>
      <c r="G536" s="35"/>
      <c r="H536" s="34"/>
      <c r="I536" s="37"/>
    </row>
    <row r="537" ht="22.5" customHeight="1">
      <c r="A537" s="30"/>
      <c r="B537" s="31"/>
      <c r="C537" s="32"/>
      <c r="D537" s="33"/>
      <c r="E537" s="34"/>
      <c r="F537" s="34"/>
      <c r="G537" s="35"/>
      <c r="H537" s="34"/>
      <c r="I537" s="37"/>
    </row>
    <row r="538" ht="22.5" customHeight="1">
      <c r="A538" s="30"/>
      <c r="B538" s="31"/>
      <c r="C538" s="32"/>
      <c r="D538" s="33"/>
      <c r="E538" s="34"/>
      <c r="F538" s="34"/>
      <c r="G538" s="35"/>
      <c r="H538" s="34"/>
      <c r="I538" s="37"/>
    </row>
    <row r="539" ht="22.5" customHeight="1">
      <c r="A539" s="30"/>
      <c r="B539" s="31"/>
      <c r="C539" s="32"/>
      <c r="D539" s="33"/>
      <c r="E539" s="34"/>
      <c r="F539" s="34"/>
      <c r="G539" s="35"/>
      <c r="H539" s="34"/>
      <c r="I539" s="37"/>
    </row>
    <row r="540" ht="22.5" customHeight="1">
      <c r="A540" s="30"/>
      <c r="B540" s="31"/>
      <c r="C540" s="32"/>
      <c r="D540" s="33"/>
      <c r="E540" s="34"/>
      <c r="F540" s="34"/>
      <c r="G540" s="35"/>
      <c r="H540" s="34"/>
      <c r="I540" s="37"/>
    </row>
    <row r="541" ht="22.5" customHeight="1">
      <c r="A541" s="30"/>
      <c r="B541" s="31"/>
      <c r="C541" s="32"/>
      <c r="D541" s="33"/>
      <c r="E541" s="34"/>
      <c r="F541" s="34"/>
      <c r="G541" s="35"/>
      <c r="H541" s="34"/>
      <c r="I541" s="37"/>
    </row>
    <row r="542" ht="22.5" customHeight="1">
      <c r="A542" s="30"/>
      <c r="B542" s="31"/>
      <c r="C542" s="32"/>
      <c r="D542" s="33"/>
      <c r="E542" s="34"/>
      <c r="F542" s="34"/>
      <c r="G542" s="35"/>
      <c r="H542" s="34"/>
      <c r="I542" s="37"/>
    </row>
    <row r="543" ht="22.5" customHeight="1">
      <c r="A543" s="30"/>
      <c r="B543" s="31"/>
      <c r="C543" s="32"/>
      <c r="D543" s="33"/>
      <c r="E543" s="34"/>
      <c r="F543" s="34"/>
      <c r="G543" s="35"/>
      <c r="H543" s="34"/>
      <c r="I543" s="37"/>
    </row>
    <row r="544" ht="22.5" customHeight="1">
      <c r="A544" s="30"/>
      <c r="B544" s="40"/>
      <c r="C544" s="32"/>
      <c r="D544" s="33"/>
      <c r="E544" s="34"/>
      <c r="F544" s="34"/>
      <c r="G544" s="35"/>
      <c r="H544" s="34"/>
      <c r="I544" s="37"/>
    </row>
    <row r="545" ht="22.5" customHeight="1">
      <c r="A545" s="30"/>
      <c r="B545" s="31"/>
      <c r="C545" s="32"/>
      <c r="D545" s="33"/>
      <c r="E545" s="34"/>
      <c r="F545" s="34"/>
      <c r="G545" s="35"/>
      <c r="H545" s="34"/>
      <c r="I545" s="37"/>
    </row>
    <row r="546" ht="22.5" customHeight="1">
      <c r="A546" s="30"/>
      <c r="B546" s="31"/>
      <c r="C546" s="32"/>
      <c r="D546" s="33"/>
      <c r="E546" s="34"/>
      <c r="F546" s="34"/>
      <c r="G546" s="35"/>
      <c r="H546" s="34"/>
      <c r="I546" s="37"/>
    </row>
    <row r="547" ht="22.5" customHeight="1">
      <c r="A547" s="30"/>
      <c r="B547" s="31"/>
      <c r="C547" s="32"/>
      <c r="D547" s="33"/>
      <c r="E547" s="34"/>
      <c r="F547" s="34"/>
      <c r="G547" s="35"/>
      <c r="H547" s="34"/>
      <c r="I547" s="37"/>
    </row>
    <row r="548" ht="22.5" customHeight="1">
      <c r="A548" s="30"/>
      <c r="B548" s="31"/>
      <c r="C548" s="32"/>
      <c r="D548" s="33"/>
      <c r="E548" s="34"/>
      <c r="F548" s="34"/>
      <c r="G548" s="35"/>
      <c r="H548" s="34"/>
      <c r="I548" s="38"/>
    </row>
    <row r="549" ht="22.5" customHeight="1">
      <c r="A549" s="30"/>
      <c r="B549" s="39"/>
      <c r="C549" s="32"/>
      <c r="D549" s="33"/>
      <c r="E549" s="34"/>
      <c r="F549" s="34"/>
      <c r="G549" s="35"/>
      <c r="H549" s="34"/>
      <c r="I549" s="37"/>
    </row>
    <row r="550" ht="22.5" customHeight="1">
      <c r="A550" s="30"/>
      <c r="B550" s="31"/>
      <c r="C550" s="32"/>
      <c r="D550" s="33"/>
      <c r="E550" s="34"/>
      <c r="F550" s="34"/>
      <c r="G550" s="35"/>
      <c r="H550" s="34"/>
      <c r="I550" s="37"/>
    </row>
    <row r="551" ht="22.5" customHeight="1">
      <c r="A551" s="30"/>
      <c r="B551" s="31"/>
      <c r="C551" s="32"/>
      <c r="D551" s="33"/>
      <c r="E551" s="34"/>
      <c r="F551" s="34"/>
      <c r="G551" s="35"/>
      <c r="H551" s="34"/>
      <c r="I551" s="37"/>
    </row>
    <row r="552" ht="22.5" customHeight="1">
      <c r="A552" s="30"/>
      <c r="B552" s="31"/>
      <c r="C552" s="32"/>
      <c r="D552" s="33"/>
      <c r="E552" s="34"/>
      <c r="F552" s="34"/>
      <c r="G552" s="35"/>
      <c r="H552" s="34"/>
      <c r="I552" s="37"/>
    </row>
    <row r="553" ht="22.5" customHeight="1">
      <c r="A553" s="30"/>
      <c r="B553" s="39"/>
      <c r="C553" s="32"/>
      <c r="D553" s="33"/>
      <c r="E553" s="34"/>
      <c r="F553" s="34"/>
      <c r="G553" s="35"/>
      <c r="H553" s="34"/>
      <c r="I553" s="37"/>
    </row>
    <row r="554" ht="22.5" customHeight="1">
      <c r="A554" s="30"/>
      <c r="B554" s="31"/>
      <c r="C554" s="32"/>
      <c r="D554" s="33"/>
      <c r="E554" s="34"/>
      <c r="F554" s="34"/>
      <c r="G554" s="35"/>
      <c r="H554" s="34"/>
      <c r="I554" s="37"/>
    </row>
    <row r="555" ht="22.5" customHeight="1">
      <c r="A555" s="30"/>
      <c r="B555" s="39"/>
      <c r="C555" s="32"/>
      <c r="D555" s="33"/>
      <c r="E555" s="34"/>
      <c r="F555" s="34"/>
      <c r="G555" s="35"/>
      <c r="H555" s="34"/>
      <c r="I555" s="37"/>
    </row>
    <row r="556" ht="22.5" customHeight="1">
      <c r="A556" s="30"/>
      <c r="B556" s="31"/>
      <c r="C556" s="32"/>
      <c r="D556" s="33"/>
      <c r="E556" s="34"/>
      <c r="F556" s="34"/>
      <c r="G556" s="35"/>
      <c r="H556" s="34"/>
      <c r="I556" s="37"/>
    </row>
    <row r="557" ht="22.5" customHeight="1">
      <c r="A557" s="30"/>
      <c r="B557" s="31"/>
      <c r="C557" s="32"/>
      <c r="D557" s="33"/>
      <c r="E557" s="34"/>
      <c r="F557" s="34"/>
      <c r="G557" s="35"/>
      <c r="H557" s="34"/>
      <c r="I557" s="37"/>
    </row>
    <row r="558" ht="22.5" customHeight="1">
      <c r="A558" s="30"/>
      <c r="B558" s="31"/>
      <c r="C558" s="32"/>
      <c r="D558" s="33"/>
      <c r="E558" s="34"/>
      <c r="F558" s="34"/>
      <c r="G558" s="35"/>
      <c r="H558" s="34"/>
      <c r="I558" s="37"/>
    </row>
    <row r="559" ht="22.5" customHeight="1">
      <c r="A559" s="30"/>
      <c r="B559" s="31"/>
      <c r="C559" s="32"/>
      <c r="D559" s="33"/>
      <c r="E559" s="34"/>
      <c r="F559" s="34"/>
      <c r="G559" s="35"/>
      <c r="H559" s="34"/>
      <c r="I559" s="37"/>
    </row>
    <row r="560" ht="22.5" customHeight="1">
      <c r="A560" s="30"/>
      <c r="B560" s="31"/>
      <c r="C560" s="32"/>
      <c r="D560" s="33"/>
      <c r="E560" s="34"/>
      <c r="F560" s="34"/>
      <c r="G560" s="35"/>
      <c r="H560" s="34"/>
      <c r="I560" s="37"/>
    </row>
    <row r="561" ht="22.5" customHeight="1">
      <c r="A561" s="30"/>
      <c r="B561" s="31"/>
      <c r="C561" s="32"/>
      <c r="D561" s="33"/>
      <c r="E561" s="34"/>
      <c r="F561" s="34"/>
      <c r="G561" s="35"/>
      <c r="H561" s="34"/>
      <c r="I561" s="37"/>
    </row>
    <row r="562" ht="22.5" customHeight="1">
      <c r="A562" s="30"/>
      <c r="B562" s="31"/>
      <c r="C562" s="32"/>
      <c r="D562" s="33"/>
      <c r="E562" s="34"/>
      <c r="F562" s="34"/>
      <c r="G562" s="35"/>
      <c r="H562" s="34"/>
      <c r="I562" s="37"/>
    </row>
    <row r="563" ht="22.5" customHeight="1">
      <c r="A563" s="30"/>
      <c r="B563" s="31"/>
      <c r="C563" s="32"/>
      <c r="D563" s="33"/>
      <c r="E563" s="34"/>
      <c r="F563" s="34"/>
      <c r="G563" s="35"/>
      <c r="H563" s="34"/>
      <c r="I563" s="37"/>
    </row>
    <row r="564" ht="22.5" customHeight="1">
      <c r="A564" s="30"/>
      <c r="B564" s="31"/>
      <c r="C564" s="32"/>
      <c r="D564" s="33"/>
      <c r="E564" s="34"/>
      <c r="F564" s="34"/>
      <c r="G564" s="35"/>
      <c r="H564" s="34"/>
      <c r="I564" s="37"/>
    </row>
    <row r="565" ht="22.5" customHeight="1">
      <c r="A565" s="30"/>
      <c r="B565" s="31"/>
      <c r="C565" s="32"/>
      <c r="D565" s="33"/>
      <c r="E565" s="34"/>
      <c r="F565" s="34"/>
      <c r="G565" s="35"/>
      <c r="H565" s="34"/>
      <c r="I565" s="37"/>
    </row>
    <row r="566" ht="22.5" customHeight="1">
      <c r="A566" s="30"/>
      <c r="B566" s="40"/>
      <c r="C566" s="32"/>
      <c r="D566" s="33"/>
      <c r="E566" s="34"/>
      <c r="F566" s="34"/>
      <c r="G566" s="35"/>
      <c r="H566" s="34"/>
      <c r="I566" s="37"/>
    </row>
    <row r="567" ht="22.5" customHeight="1">
      <c r="A567" s="30"/>
      <c r="B567" s="31"/>
      <c r="C567" s="32"/>
      <c r="D567" s="33"/>
      <c r="E567" s="34"/>
      <c r="F567" s="34"/>
      <c r="G567" s="35"/>
      <c r="H567" s="34"/>
      <c r="I567" s="37"/>
    </row>
    <row r="568" ht="22.5" customHeight="1">
      <c r="A568" s="30"/>
      <c r="B568" s="31"/>
      <c r="C568" s="32"/>
      <c r="D568" s="33"/>
      <c r="E568" s="34"/>
      <c r="F568" s="34"/>
      <c r="G568" s="35"/>
      <c r="H568" s="34"/>
      <c r="I568" s="37"/>
    </row>
    <row r="569" ht="22.5" customHeight="1">
      <c r="A569" s="30"/>
      <c r="B569" s="31"/>
      <c r="C569" s="32"/>
      <c r="D569" s="33"/>
      <c r="E569" s="34"/>
      <c r="F569" s="34"/>
      <c r="G569" s="35"/>
      <c r="H569" s="34"/>
      <c r="I569" s="37"/>
    </row>
    <row r="570" ht="22.5" customHeight="1">
      <c r="A570" s="30"/>
      <c r="B570" s="31"/>
      <c r="C570" s="32"/>
      <c r="D570" s="33"/>
      <c r="E570" s="34"/>
      <c r="F570" s="34"/>
      <c r="G570" s="35"/>
      <c r="H570" s="34"/>
      <c r="I570" s="37"/>
    </row>
    <row r="571" ht="22.5" customHeight="1">
      <c r="A571" s="30"/>
      <c r="B571" s="31"/>
      <c r="C571" s="32"/>
      <c r="D571" s="33"/>
      <c r="E571" s="34"/>
      <c r="F571" s="34"/>
      <c r="G571" s="35"/>
      <c r="H571" s="34"/>
      <c r="I571" s="37"/>
    </row>
    <row r="572" ht="22.5" customHeight="1">
      <c r="A572" s="30"/>
      <c r="B572" s="31"/>
      <c r="C572" s="32"/>
      <c r="D572" s="33"/>
      <c r="E572" s="34"/>
      <c r="F572" s="34"/>
      <c r="G572" s="35"/>
      <c r="H572" s="34"/>
      <c r="I572" s="37"/>
    </row>
    <row r="573" ht="22.5" customHeight="1">
      <c r="A573" s="30"/>
      <c r="B573" s="39"/>
      <c r="C573" s="32"/>
      <c r="D573" s="33"/>
      <c r="E573" s="34"/>
      <c r="F573" s="34"/>
      <c r="G573" s="35"/>
      <c r="H573" s="34"/>
      <c r="I573" s="37"/>
    </row>
    <row r="574" ht="22.5" customHeight="1">
      <c r="A574" s="30"/>
      <c r="B574" s="39"/>
      <c r="C574" s="32"/>
      <c r="D574" s="33"/>
      <c r="E574" s="34"/>
      <c r="F574" s="34"/>
      <c r="G574" s="35"/>
      <c r="H574" s="34"/>
      <c r="I574" s="37"/>
    </row>
    <row r="575" ht="22.5" customHeight="1">
      <c r="A575" s="30"/>
      <c r="B575" s="39"/>
      <c r="C575" s="32"/>
      <c r="D575" s="33"/>
      <c r="E575" s="34"/>
      <c r="F575" s="34"/>
      <c r="G575" s="35"/>
      <c r="H575" s="34"/>
      <c r="I575" s="37"/>
    </row>
    <row r="576" ht="22.5" customHeight="1">
      <c r="A576" s="30"/>
      <c r="B576" s="40"/>
      <c r="C576" s="32"/>
      <c r="D576" s="33"/>
      <c r="E576" s="34"/>
      <c r="F576" s="34"/>
      <c r="G576" s="35"/>
      <c r="H576" s="34"/>
      <c r="I576" s="37"/>
    </row>
    <row r="577" ht="22.5" customHeight="1">
      <c r="A577" s="30"/>
      <c r="B577" s="31"/>
      <c r="C577" s="32"/>
      <c r="D577" s="33"/>
      <c r="E577" s="34"/>
      <c r="F577" s="34"/>
      <c r="G577" s="35"/>
      <c r="H577" s="34"/>
      <c r="I577" s="37"/>
    </row>
    <row r="578" ht="22.5" customHeight="1">
      <c r="A578" s="30"/>
      <c r="B578" s="31"/>
      <c r="C578" s="32"/>
      <c r="D578" s="33"/>
      <c r="E578" s="34"/>
      <c r="F578" s="34"/>
      <c r="G578" s="35"/>
      <c r="H578" s="34"/>
      <c r="I578" s="37"/>
    </row>
    <row r="579" ht="22.5" customHeight="1">
      <c r="A579" s="30"/>
      <c r="B579" s="31"/>
      <c r="C579" s="32"/>
      <c r="D579" s="33"/>
      <c r="E579" s="34"/>
      <c r="F579" s="34"/>
      <c r="G579" s="35"/>
      <c r="H579" s="34"/>
      <c r="I579" s="37"/>
    </row>
    <row r="580" ht="22.5" customHeight="1">
      <c r="A580" s="30"/>
      <c r="B580" s="31"/>
      <c r="C580" s="32"/>
      <c r="D580" s="33"/>
      <c r="E580" s="34"/>
      <c r="F580" s="34"/>
      <c r="G580" s="35"/>
      <c r="H580" s="34"/>
      <c r="I580" s="37"/>
    </row>
    <row r="581" ht="22.5" customHeight="1">
      <c r="A581" s="30"/>
      <c r="B581" s="31"/>
      <c r="C581" s="32"/>
      <c r="D581" s="33"/>
      <c r="E581" s="34"/>
      <c r="F581" s="34"/>
      <c r="G581" s="35"/>
      <c r="H581" s="34"/>
      <c r="I581" s="37"/>
    </row>
    <row r="582" ht="22.5" customHeight="1">
      <c r="A582" s="30"/>
      <c r="B582" s="31"/>
      <c r="C582" s="32"/>
      <c r="D582" s="33"/>
      <c r="E582" s="34"/>
      <c r="F582" s="34"/>
      <c r="G582" s="35"/>
      <c r="H582" s="34"/>
      <c r="I582" s="37"/>
    </row>
    <row r="583" ht="22.5" customHeight="1">
      <c r="A583" s="30"/>
      <c r="B583" s="31"/>
      <c r="C583" s="32"/>
      <c r="D583" s="33"/>
      <c r="E583" s="34"/>
      <c r="F583" s="34"/>
      <c r="G583" s="35"/>
      <c r="H583" s="34"/>
      <c r="I583" s="37"/>
    </row>
    <row r="584" ht="22.5" customHeight="1">
      <c r="A584" s="30"/>
      <c r="B584" s="31"/>
      <c r="C584" s="32"/>
      <c r="D584" s="33"/>
      <c r="E584" s="34"/>
      <c r="F584" s="34"/>
      <c r="G584" s="35"/>
      <c r="H584" s="34"/>
      <c r="I584" s="37"/>
    </row>
    <row r="585" ht="22.5" customHeight="1">
      <c r="A585" s="30"/>
      <c r="B585" s="31"/>
      <c r="C585" s="32"/>
      <c r="D585" s="33"/>
      <c r="E585" s="34"/>
      <c r="F585" s="34"/>
      <c r="G585" s="35"/>
      <c r="H585" s="34"/>
      <c r="I585" s="37"/>
    </row>
    <row r="586" ht="22.5" customHeight="1">
      <c r="A586" s="30"/>
      <c r="B586" s="40"/>
      <c r="C586" s="32"/>
      <c r="D586" s="33"/>
      <c r="E586" s="34"/>
      <c r="F586" s="34"/>
      <c r="G586" s="35"/>
      <c r="H586" s="34"/>
      <c r="I586" s="37"/>
    </row>
    <row r="587" ht="22.5" customHeight="1">
      <c r="A587" s="30"/>
      <c r="B587" s="31"/>
      <c r="C587" s="32"/>
      <c r="D587" s="33"/>
      <c r="E587" s="34"/>
      <c r="F587" s="34"/>
      <c r="G587" s="35"/>
      <c r="H587" s="34"/>
      <c r="I587" s="37"/>
    </row>
    <row r="588" ht="22.5" customHeight="1">
      <c r="A588" s="30"/>
      <c r="B588" s="31"/>
      <c r="C588" s="32"/>
      <c r="D588" s="33"/>
      <c r="E588" s="34"/>
      <c r="F588" s="34"/>
      <c r="G588" s="35"/>
      <c r="H588" s="34"/>
      <c r="I588" s="37"/>
    </row>
    <row r="589" ht="22.5" customHeight="1">
      <c r="A589" s="30"/>
      <c r="B589" s="31"/>
      <c r="C589" s="32"/>
      <c r="D589" s="33"/>
      <c r="E589" s="34"/>
      <c r="F589" s="34"/>
      <c r="G589" s="35"/>
      <c r="H589" s="34"/>
      <c r="I589" s="37"/>
    </row>
    <row r="590" ht="22.5" customHeight="1">
      <c r="A590" s="30"/>
      <c r="B590" s="40"/>
      <c r="C590" s="32"/>
      <c r="D590" s="33"/>
      <c r="E590" s="34"/>
      <c r="F590" s="34"/>
      <c r="G590" s="35"/>
      <c r="H590" s="34"/>
      <c r="I590" s="37"/>
    </row>
    <row r="591" ht="22.5" customHeight="1">
      <c r="A591" s="30"/>
      <c r="B591" s="31"/>
      <c r="C591" s="32"/>
      <c r="D591" s="33"/>
      <c r="E591" s="34"/>
      <c r="F591" s="34"/>
      <c r="G591" s="35"/>
      <c r="H591" s="34"/>
      <c r="I591" s="37"/>
    </row>
    <row r="592" ht="22.5" customHeight="1">
      <c r="A592" s="30"/>
      <c r="B592" s="31"/>
      <c r="C592" s="32"/>
      <c r="D592" s="33"/>
      <c r="E592" s="34"/>
      <c r="F592" s="34"/>
      <c r="G592" s="35"/>
      <c r="H592" s="34"/>
      <c r="I592" s="37"/>
    </row>
    <row r="593" ht="22.5" customHeight="1">
      <c r="A593" s="30"/>
      <c r="B593" s="31"/>
      <c r="C593" s="32"/>
      <c r="D593" s="33"/>
      <c r="E593" s="34"/>
      <c r="F593" s="34"/>
      <c r="G593" s="35"/>
      <c r="H593" s="34"/>
      <c r="I593" s="37"/>
    </row>
    <row r="594" ht="22.5" customHeight="1">
      <c r="A594" s="30"/>
      <c r="B594" s="31"/>
      <c r="C594" s="32"/>
      <c r="D594" s="33"/>
      <c r="E594" s="34"/>
      <c r="F594" s="34"/>
      <c r="G594" s="35"/>
      <c r="H594" s="34"/>
      <c r="I594" s="37"/>
    </row>
    <row r="595" ht="22.5" customHeight="1">
      <c r="A595" s="30"/>
      <c r="B595" s="31"/>
      <c r="C595" s="32"/>
      <c r="D595" s="33"/>
      <c r="E595" s="34"/>
      <c r="F595" s="34"/>
      <c r="G595" s="35"/>
      <c r="H595" s="34"/>
      <c r="I595" s="37"/>
    </row>
    <row r="596" ht="22.5" customHeight="1">
      <c r="A596" s="30"/>
      <c r="B596" s="31"/>
      <c r="C596" s="32"/>
      <c r="D596" s="33"/>
      <c r="E596" s="34"/>
      <c r="F596" s="34"/>
      <c r="G596" s="35"/>
      <c r="H596" s="34"/>
      <c r="I596" s="37"/>
    </row>
    <row r="597" ht="22.5" customHeight="1">
      <c r="A597" s="30"/>
      <c r="B597" s="31"/>
      <c r="C597" s="32"/>
      <c r="D597" s="33"/>
      <c r="E597" s="34"/>
      <c r="F597" s="34"/>
      <c r="G597" s="35"/>
      <c r="H597" s="34"/>
      <c r="I597" s="37"/>
    </row>
    <row r="598" ht="22.5" customHeight="1">
      <c r="A598" s="30"/>
      <c r="B598" s="31"/>
      <c r="C598" s="32"/>
      <c r="D598" s="33"/>
      <c r="E598" s="34"/>
      <c r="F598" s="34"/>
      <c r="G598" s="35"/>
      <c r="H598" s="34"/>
      <c r="I598" s="37"/>
    </row>
    <row r="599" ht="22.5" customHeight="1">
      <c r="A599" s="30"/>
      <c r="B599" s="31"/>
      <c r="C599" s="32"/>
      <c r="D599" s="33"/>
      <c r="E599" s="34"/>
      <c r="F599" s="34"/>
      <c r="G599" s="35"/>
      <c r="H599" s="34"/>
      <c r="I599" s="37"/>
    </row>
    <row r="600" ht="22.5" customHeight="1">
      <c r="A600" s="30"/>
      <c r="B600" s="31"/>
      <c r="C600" s="32"/>
      <c r="D600" s="33"/>
      <c r="E600" s="34"/>
      <c r="F600" s="34"/>
      <c r="G600" s="35"/>
      <c r="H600" s="34"/>
      <c r="I600" s="37"/>
    </row>
    <row r="601" ht="22.5" customHeight="1">
      <c r="A601" s="30"/>
      <c r="B601" s="31"/>
      <c r="C601" s="32"/>
      <c r="D601" s="33"/>
      <c r="E601" s="34"/>
      <c r="F601" s="34"/>
      <c r="G601" s="35"/>
      <c r="H601" s="34"/>
      <c r="I601" s="37"/>
    </row>
    <row r="602" ht="22.5" customHeight="1">
      <c r="A602" s="30"/>
      <c r="B602" s="31"/>
      <c r="C602" s="32"/>
      <c r="D602" s="33"/>
      <c r="E602" s="34"/>
      <c r="F602" s="34"/>
      <c r="G602" s="35"/>
      <c r="H602" s="34"/>
      <c r="I602" s="37"/>
    </row>
    <row r="603" ht="22.5" customHeight="1">
      <c r="A603" s="30"/>
      <c r="B603" s="31"/>
      <c r="C603" s="32"/>
      <c r="D603" s="33"/>
      <c r="E603" s="34"/>
      <c r="F603" s="34"/>
      <c r="G603" s="35"/>
      <c r="H603" s="34"/>
      <c r="I603" s="37"/>
    </row>
    <row r="604" ht="22.5" customHeight="1">
      <c r="A604" s="30"/>
      <c r="B604" s="31"/>
      <c r="C604" s="32"/>
      <c r="D604" s="33"/>
      <c r="E604" s="34"/>
      <c r="F604" s="34"/>
      <c r="G604" s="35"/>
      <c r="H604" s="34"/>
      <c r="I604" s="37"/>
    </row>
    <row r="605" ht="22.5" customHeight="1">
      <c r="A605" s="30"/>
      <c r="B605" s="40"/>
      <c r="C605" s="32"/>
      <c r="D605" s="33"/>
      <c r="E605" s="34"/>
      <c r="F605" s="34"/>
      <c r="G605" s="35"/>
      <c r="H605" s="34"/>
      <c r="I605" s="37"/>
    </row>
    <row r="606" ht="22.5" customHeight="1">
      <c r="A606" s="30"/>
      <c r="B606" s="31"/>
      <c r="C606" s="32"/>
      <c r="D606" s="33"/>
      <c r="E606" s="34"/>
      <c r="F606" s="34"/>
      <c r="G606" s="35"/>
      <c r="H606" s="34"/>
      <c r="I606" s="37"/>
    </row>
    <row r="607" ht="22.5" customHeight="1">
      <c r="A607" s="30"/>
      <c r="B607" s="40"/>
      <c r="C607" s="32"/>
      <c r="D607" s="33"/>
      <c r="E607" s="34"/>
      <c r="F607" s="34"/>
      <c r="G607" s="35"/>
      <c r="H607" s="34"/>
      <c r="I607" s="37"/>
    </row>
    <row r="608" ht="22.5" customHeight="1">
      <c r="A608" s="30"/>
      <c r="B608" s="31"/>
      <c r="C608" s="32"/>
      <c r="D608" s="33"/>
      <c r="E608" s="34"/>
      <c r="F608" s="34"/>
      <c r="G608" s="35"/>
      <c r="H608" s="34"/>
      <c r="I608" s="37"/>
    </row>
    <row r="609" ht="22.5" customHeight="1">
      <c r="A609" s="30"/>
      <c r="B609" s="31"/>
      <c r="C609" s="32"/>
      <c r="D609" s="33"/>
      <c r="E609" s="34"/>
      <c r="F609" s="34"/>
      <c r="G609" s="35"/>
      <c r="H609" s="34"/>
      <c r="I609" s="37"/>
    </row>
    <row r="610" ht="22.5" customHeight="1">
      <c r="A610" s="30"/>
      <c r="B610" s="31"/>
      <c r="C610" s="32"/>
      <c r="D610" s="33"/>
      <c r="E610" s="34"/>
      <c r="F610" s="34"/>
      <c r="G610" s="35"/>
      <c r="H610" s="34"/>
      <c r="I610" s="37"/>
    </row>
    <row r="611" ht="22.5" customHeight="1">
      <c r="A611" s="30"/>
      <c r="B611" s="31"/>
      <c r="C611" s="32"/>
      <c r="D611" s="33"/>
      <c r="E611" s="34"/>
      <c r="F611" s="34"/>
      <c r="G611" s="35"/>
      <c r="H611" s="34"/>
      <c r="I611" s="37"/>
    </row>
    <row r="612" ht="22.5" customHeight="1">
      <c r="A612" s="30"/>
      <c r="B612" s="40"/>
      <c r="C612" s="32"/>
      <c r="D612" s="33"/>
      <c r="E612" s="34"/>
      <c r="F612" s="34"/>
      <c r="G612" s="35"/>
      <c r="H612" s="34"/>
      <c r="I612" s="37"/>
    </row>
    <row r="613" ht="22.5" customHeight="1">
      <c r="A613" s="30"/>
      <c r="B613" s="31"/>
      <c r="C613" s="32"/>
      <c r="D613" s="33"/>
      <c r="E613" s="34"/>
      <c r="F613" s="34"/>
      <c r="G613" s="35"/>
      <c r="H613" s="34"/>
      <c r="I613" s="37"/>
    </row>
    <row r="614" ht="22.5" customHeight="1">
      <c r="A614" s="30"/>
      <c r="B614" s="31"/>
      <c r="C614" s="32"/>
      <c r="D614" s="33"/>
      <c r="E614" s="34"/>
      <c r="F614" s="34"/>
      <c r="G614" s="35"/>
      <c r="H614" s="34"/>
      <c r="I614" s="37"/>
    </row>
    <row r="615" ht="22.5" customHeight="1">
      <c r="A615" s="30"/>
      <c r="B615" s="31"/>
      <c r="C615" s="32"/>
      <c r="D615" s="33"/>
      <c r="E615" s="34"/>
      <c r="F615" s="34"/>
      <c r="G615" s="35"/>
      <c r="H615" s="34"/>
      <c r="I615" s="37"/>
    </row>
    <row r="616" ht="22.5" customHeight="1">
      <c r="A616" s="30"/>
      <c r="B616" s="31"/>
      <c r="C616" s="32"/>
      <c r="D616" s="33"/>
      <c r="E616" s="34"/>
      <c r="F616" s="34"/>
      <c r="G616" s="35"/>
      <c r="H616" s="34"/>
      <c r="I616" s="37"/>
    </row>
    <row r="617" ht="22.5" customHeight="1">
      <c r="A617" s="30"/>
      <c r="B617" s="31"/>
      <c r="C617" s="32"/>
      <c r="D617" s="33"/>
      <c r="E617" s="34"/>
      <c r="F617" s="34"/>
      <c r="G617" s="35"/>
      <c r="H617" s="34"/>
      <c r="I617" s="37"/>
    </row>
    <row r="618" ht="22.5" customHeight="1">
      <c r="A618" s="30"/>
      <c r="B618" s="31"/>
      <c r="C618" s="32"/>
      <c r="D618" s="33"/>
      <c r="E618" s="34"/>
      <c r="F618" s="34"/>
      <c r="G618" s="35"/>
      <c r="H618" s="34"/>
      <c r="I618" s="37"/>
    </row>
    <row r="619" ht="22.5" customHeight="1">
      <c r="A619" s="30"/>
      <c r="B619" s="31"/>
      <c r="C619" s="32"/>
      <c r="D619" s="33"/>
      <c r="E619" s="34"/>
      <c r="F619" s="34"/>
      <c r="G619" s="35"/>
      <c r="H619" s="34"/>
      <c r="I619" s="37"/>
    </row>
    <row r="620" ht="22.5" customHeight="1">
      <c r="A620" s="30"/>
      <c r="B620" s="31"/>
      <c r="C620" s="32"/>
      <c r="D620" s="33"/>
      <c r="E620" s="34"/>
      <c r="F620" s="34"/>
      <c r="G620" s="35"/>
      <c r="H620" s="34"/>
      <c r="I620" s="37"/>
    </row>
    <row r="621" ht="22.5" customHeight="1">
      <c r="A621" s="30"/>
      <c r="B621" s="31"/>
      <c r="C621" s="32"/>
      <c r="D621" s="33"/>
      <c r="E621" s="34"/>
      <c r="F621" s="34"/>
      <c r="G621" s="35"/>
      <c r="H621" s="34"/>
      <c r="I621" s="37"/>
    </row>
    <row r="622" ht="22.5" customHeight="1">
      <c r="A622" s="30"/>
      <c r="B622" s="31"/>
      <c r="C622" s="32"/>
      <c r="D622" s="33"/>
      <c r="E622" s="34"/>
      <c r="F622" s="34"/>
      <c r="G622" s="35"/>
      <c r="H622" s="34"/>
      <c r="I622" s="37"/>
    </row>
    <row r="623" ht="22.5" customHeight="1">
      <c r="A623" s="30"/>
      <c r="B623" s="31"/>
      <c r="C623" s="32"/>
      <c r="D623" s="33"/>
      <c r="E623" s="34"/>
      <c r="F623" s="34"/>
      <c r="G623" s="35"/>
      <c r="H623" s="34"/>
      <c r="I623" s="37"/>
    </row>
    <row r="624" ht="22.5" customHeight="1">
      <c r="A624" s="30"/>
      <c r="B624" s="31"/>
      <c r="C624" s="32"/>
      <c r="D624" s="33"/>
      <c r="E624" s="34"/>
      <c r="F624" s="34"/>
      <c r="G624" s="35"/>
      <c r="H624" s="34"/>
      <c r="I624" s="37"/>
    </row>
    <row r="625" ht="22.5" customHeight="1">
      <c r="A625" s="30"/>
      <c r="B625" s="31"/>
      <c r="C625" s="32"/>
      <c r="D625" s="33"/>
      <c r="E625" s="34"/>
      <c r="F625" s="34"/>
      <c r="G625" s="35"/>
      <c r="H625" s="34"/>
      <c r="I625" s="37"/>
    </row>
    <row r="626" ht="22.5" customHeight="1">
      <c r="A626" s="30"/>
      <c r="B626" s="31"/>
      <c r="C626" s="32"/>
      <c r="D626" s="33"/>
      <c r="E626" s="34"/>
      <c r="F626" s="34"/>
      <c r="G626" s="35"/>
      <c r="H626" s="34"/>
      <c r="I626" s="37"/>
    </row>
    <row r="627" ht="22.5" customHeight="1">
      <c r="A627" s="30"/>
      <c r="B627" s="31"/>
      <c r="C627" s="32"/>
      <c r="D627" s="33"/>
      <c r="E627" s="34"/>
      <c r="F627" s="34"/>
      <c r="G627" s="35"/>
      <c r="H627" s="34"/>
      <c r="I627" s="37"/>
    </row>
    <row r="628" ht="22.5" customHeight="1">
      <c r="A628" s="30"/>
      <c r="B628" s="31"/>
      <c r="C628" s="32"/>
      <c r="D628" s="33"/>
      <c r="E628" s="34"/>
      <c r="F628" s="34"/>
      <c r="G628" s="35"/>
      <c r="H628" s="34"/>
      <c r="I628" s="37"/>
    </row>
    <row r="629" ht="22.5" customHeight="1">
      <c r="A629" s="30"/>
      <c r="B629" s="31"/>
      <c r="C629" s="32"/>
      <c r="D629" s="33"/>
      <c r="E629" s="34"/>
      <c r="F629" s="34"/>
      <c r="G629" s="35"/>
      <c r="H629" s="34"/>
      <c r="I629" s="37"/>
    </row>
    <row r="630" ht="22.5" customHeight="1">
      <c r="A630" s="30"/>
      <c r="B630" s="31"/>
      <c r="C630" s="32"/>
      <c r="D630" s="33"/>
      <c r="E630" s="34"/>
      <c r="F630" s="34"/>
      <c r="G630" s="35"/>
      <c r="H630" s="34"/>
      <c r="I630" s="37"/>
    </row>
    <row r="631" ht="22.5" customHeight="1">
      <c r="A631" s="30"/>
      <c r="B631" s="31"/>
      <c r="C631" s="32"/>
      <c r="D631" s="33"/>
      <c r="E631" s="34"/>
      <c r="F631" s="34"/>
      <c r="G631" s="35"/>
      <c r="H631" s="34"/>
      <c r="I631" s="37"/>
    </row>
    <row r="632" ht="22.5" customHeight="1">
      <c r="A632" s="30"/>
      <c r="B632" s="31"/>
      <c r="C632" s="32"/>
      <c r="D632" s="33"/>
      <c r="E632" s="34"/>
      <c r="F632" s="34"/>
      <c r="G632" s="35"/>
      <c r="H632" s="34"/>
      <c r="I632" s="37"/>
    </row>
    <row r="633" ht="22.5" customHeight="1">
      <c r="A633" s="30"/>
      <c r="B633" s="31"/>
      <c r="C633" s="32"/>
      <c r="D633" s="33"/>
      <c r="E633" s="34"/>
      <c r="F633" s="34"/>
      <c r="G633" s="35"/>
      <c r="H633" s="34"/>
      <c r="I633" s="37"/>
    </row>
    <row r="634" ht="22.5" customHeight="1">
      <c r="A634" s="30"/>
      <c r="B634" s="40"/>
      <c r="C634" s="32"/>
      <c r="D634" s="33"/>
      <c r="E634" s="34"/>
      <c r="F634" s="34"/>
      <c r="G634" s="35"/>
      <c r="H634" s="34"/>
      <c r="I634" s="37"/>
    </row>
    <row r="635" ht="22.5" customHeight="1">
      <c r="A635" s="30"/>
      <c r="B635" s="31"/>
      <c r="C635" s="32"/>
      <c r="D635" s="33"/>
      <c r="E635" s="34"/>
      <c r="F635" s="34"/>
      <c r="G635" s="35"/>
      <c r="H635" s="34"/>
      <c r="I635" s="37"/>
    </row>
    <row r="636" ht="22.5" customHeight="1">
      <c r="A636" s="30"/>
      <c r="B636" s="31"/>
      <c r="C636" s="32"/>
      <c r="D636" s="33"/>
      <c r="E636" s="34"/>
      <c r="F636" s="34"/>
      <c r="G636" s="35"/>
      <c r="H636" s="34"/>
      <c r="I636" s="37"/>
    </row>
    <row r="637" ht="22.5" customHeight="1">
      <c r="A637" s="30"/>
      <c r="B637" s="31"/>
      <c r="C637" s="32"/>
      <c r="D637" s="33"/>
      <c r="E637" s="34"/>
      <c r="F637" s="34"/>
      <c r="G637" s="35"/>
      <c r="H637" s="34"/>
      <c r="I637" s="37"/>
    </row>
    <row r="638" ht="22.5" customHeight="1">
      <c r="A638" s="30"/>
      <c r="B638" s="31"/>
      <c r="C638" s="32"/>
      <c r="D638" s="33"/>
      <c r="E638" s="34"/>
      <c r="F638" s="34"/>
      <c r="G638" s="35"/>
      <c r="H638" s="34"/>
      <c r="I638" s="38"/>
    </row>
    <row r="639" ht="22.5" customHeight="1">
      <c r="A639" s="30"/>
      <c r="B639" s="39"/>
      <c r="C639" s="32"/>
      <c r="D639" s="33"/>
      <c r="E639" s="34"/>
      <c r="F639" s="34"/>
      <c r="G639" s="35"/>
      <c r="H639" s="34"/>
      <c r="I639" s="37"/>
    </row>
    <row r="640" ht="22.5" customHeight="1">
      <c r="A640" s="30"/>
      <c r="B640" s="31"/>
      <c r="C640" s="32"/>
      <c r="D640" s="33"/>
      <c r="E640" s="34"/>
      <c r="F640" s="34"/>
      <c r="G640" s="35"/>
      <c r="H640" s="34"/>
      <c r="I640" s="37"/>
    </row>
    <row r="641" ht="22.5" customHeight="1">
      <c r="A641" s="30"/>
      <c r="B641" s="31"/>
      <c r="C641" s="32"/>
      <c r="D641" s="33"/>
      <c r="E641" s="34"/>
      <c r="F641" s="34"/>
      <c r="G641" s="35"/>
      <c r="H641" s="34"/>
      <c r="I641" s="37"/>
    </row>
    <row r="642" ht="22.5" customHeight="1">
      <c r="A642" s="30"/>
      <c r="B642" s="31"/>
      <c r="C642" s="32"/>
      <c r="D642" s="33"/>
      <c r="E642" s="34"/>
      <c r="F642" s="34"/>
      <c r="G642" s="35"/>
      <c r="H642" s="34"/>
      <c r="I642" s="37"/>
    </row>
    <row r="643" ht="22.5" customHeight="1">
      <c r="A643" s="30"/>
      <c r="B643" s="39"/>
      <c r="C643" s="32"/>
      <c r="D643" s="33"/>
      <c r="E643" s="34"/>
      <c r="F643" s="34"/>
      <c r="G643" s="35"/>
      <c r="H643" s="34"/>
      <c r="I643" s="37"/>
    </row>
    <row r="644" ht="22.5" customHeight="1">
      <c r="A644" s="30"/>
      <c r="B644" s="31"/>
      <c r="C644" s="32"/>
      <c r="D644" s="33"/>
      <c r="E644" s="34"/>
      <c r="F644" s="34"/>
      <c r="G644" s="35"/>
      <c r="H644" s="34"/>
      <c r="I644" s="37"/>
    </row>
    <row r="645" ht="22.5" customHeight="1">
      <c r="A645" s="30"/>
      <c r="B645" s="39"/>
      <c r="C645" s="32"/>
      <c r="D645" s="33"/>
      <c r="E645" s="34"/>
      <c r="F645" s="34"/>
      <c r="G645" s="35"/>
      <c r="H645" s="34"/>
      <c r="I645" s="37"/>
    </row>
    <row r="646" ht="22.5" customHeight="1">
      <c r="A646" s="30"/>
      <c r="B646" s="31"/>
      <c r="C646" s="32"/>
      <c r="D646" s="33"/>
      <c r="E646" s="34"/>
      <c r="F646" s="34"/>
      <c r="G646" s="35"/>
      <c r="H646" s="34"/>
      <c r="I646" s="37"/>
    </row>
    <row r="647" ht="22.5" customHeight="1">
      <c r="A647" s="30"/>
      <c r="B647" s="31"/>
      <c r="C647" s="32"/>
      <c r="D647" s="33"/>
      <c r="E647" s="34"/>
      <c r="F647" s="34"/>
      <c r="G647" s="35"/>
      <c r="H647" s="34"/>
      <c r="I647" s="37"/>
    </row>
    <row r="648" ht="22.5" customHeight="1">
      <c r="A648" s="30"/>
      <c r="B648" s="31"/>
      <c r="C648" s="32"/>
      <c r="D648" s="33"/>
      <c r="E648" s="34"/>
      <c r="F648" s="34"/>
      <c r="G648" s="35"/>
      <c r="H648" s="34"/>
      <c r="I648" s="37"/>
    </row>
    <row r="649" ht="22.5" customHeight="1">
      <c r="A649" s="30"/>
      <c r="B649" s="31"/>
      <c r="C649" s="32"/>
      <c r="D649" s="33"/>
      <c r="E649" s="34"/>
      <c r="F649" s="34"/>
      <c r="G649" s="35"/>
      <c r="H649" s="34"/>
      <c r="I649" s="37"/>
    </row>
    <row r="650" ht="22.5" customHeight="1">
      <c r="A650" s="30"/>
      <c r="B650" s="31"/>
      <c r="C650" s="32"/>
      <c r="D650" s="33"/>
      <c r="E650" s="34"/>
      <c r="F650" s="34"/>
      <c r="G650" s="35"/>
      <c r="H650" s="34"/>
      <c r="I650" s="37"/>
    </row>
    <row r="651" ht="22.5" customHeight="1">
      <c r="A651" s="30"/>
      <c r="B651" s="31"/>
      <c r="C651" s="32"/>
      <c r="D651" s="33"/>
      <c r="E651" s="34"/>
      <c r="F651" s="34"/>
      <c r="G651" s="35"/>
      <c r="H651" s="34"/>
      <c r="I651" s="37"/>
    </row>
    <row r="652" ht="22.5" customHeight="1">
      <c r="A652" s="30"/>
      <c r="B652" s="31"/>
      <c r="C652" s="32"/>
      <c r="D652" s="33"/>
      <c r="E652" s="34"/>
      <c r="F652" s="34"/>
      <c r="G652" s="35"/>
      <c r="H652" s="34"/>
      <c r="I652" s="37"/>
    </row>
    <row r="653" ht="22.5" customHeight="1">
      <c r="A653" s="30"/>
      <c r="B653" s="31"/>
      <c r="C653" s="32"/>
      <c r="D653" s="33"/>
      <c r="E653" s="34"/>
      <c r="F653" s="34"/>
      <c r="G653" s="35"/>
      <c r="H653" s="34"/>
      <c r="I653" s="37"/>
    </row>
    <row r="654" ht="22.5" customHeight="1">
      <c r="A654" s="30"/>
      <c r="B654" s="31"/>
      <c r="C654" s="32"/>
      <c r="D654" s="33"/>
      <c r="E654" s="34"/>
      <c r="F654" s="34"/>
      <c r="G654" s="35"/>
      <c r="H654" s="34"/>
      <c r="I654" s="37"/>
    </row>
    <row r="655" ht="22.5" customHeight="1">
      <c r="A655" s="30"/>
      <c r="B655" s="31"/>
      <c r="C655" s="32"/>
      <c r="D655" s="33"/>
      <c r="E655" s="34"/>
      <c r="F655" s="34"/>
      <c r="G655" s="35"/>
      <c r="H655" s="34"/>
      <c r="I655" s="37"/>
    </row>
    <row r="656" ht="22.5" customHeight="1">
      <c r="A656" s="30"/>
      <c r="B656" s="40"/>
      <c r="C656" s="32"/>
      <c r="D656" s="33"/>
      <c r="E656" s="34"/>
      <c r="F656" s="34"/>
      <c r="G656" s="35"/>
      <c r="H656" s="34"/>
      <c r="I656" s="37"/>
    </row>
    <row r="657" ht="22.5" customHeight="1">
      <c r="A657" s="30"/>
      <c r="B657" s="31"/>
      <c r="C657" s="32"/>
      <c r="D657" s="33"/>
      <c r="E657" s="34"/>
      <c r="F657" s="34"/>
      <c r="G657" s="35"/>
      <c r="H657" s="34"/>
      <c r="I657" s="37"/>
    </row>
    <row r="658" ht="22.5" customHeight="1">
      <c r="A658" s="30"/>
      <c r="B658" s="31"/>
      <c r="C658" s="32"/>
      <c r="D658" s="33"/>
      <c r="E658" s="34"/>
      <c r="F658" s="34"/>
      <c r="G658" s="35"/>
      <c r="H658" s="34"/>
      <c r="I658" s="37"/>
    </row>
    <row r="659" ht="22.5" customHeight="1">
      <c r="A659" s="30"/>
      <c r="B659" s="31"/>
      <c r="C659" s="32"/>
      <c r="D659" s="33"/>
      <c r="E659" s="34"/>
      <c r="F659" s="34"/>
      <c r="G659" s="35"/>
      <c r="H659" s="34"/>
      <c r="I659" s="37"/>
    </row>
    <row r="660" ht="22.5" customHeight="1">
      <c r="A660" s="30"/>
      <c r="B660" s="31"/>
      <c r="C660" s="32"/>
      <c r="D660" s="33"/>
      <c r="E660" s="34"/>
      <c r="F660" s="34"/>
      <c r="G660" s="35"/>
      <c r="H660" s="34"/>
      <c r="I660" s="37"/>
    </row>
    <row r="661" ht="22.5" customHeight="1">
      <c r="A661" s="30"/>
      <c r="B661" s="31"/>
      <c r="C661" s="32"/>
      <c r="D661" s="33"/>
      <c r="E661" s="34"/>
      <c r="F661" s="34"/>
      <c r="G661" s="35"/>
      <c r="H661" s="34"/>
      <c r="I661" s="37"/>
    </row>
    <row r="662" ht="22.5" customHeight="1">
      <c r="A662" s="30"/>
      <c r="B662" s="31"/>
      <c r="C662" s="32"/>
      <c r="D662" s="33"/>
      <c r="E662" s="34"/>
      <c r="F662" s="34"/>
      <c r="G662" s="35"/>
      <c r="H662" s="34"/>
      <c r="I662" s="37"/>
    </row>
    <row r="663" ht="22.5" customHeight="1">
      <c r="A663" s="30"/>
      <c r="B663" s="39"/>
      <c r="C663" s="32"/>
      <c r="D663" s="33"/>
      <c r="E663" s="34"/>
      <c r="F663" s="34"/>
      <c r="G663" s="35"/>
      <c r="H663" s="34"/>
      <c r="I663" s="37"/>
    </row>
    <row r="664" ht="22.5" customHeight="1">
      <c r="A664" s="30"/>
      <c r="B664" s="39"/>
      <c r="C664" s="32"/>
      <c r="D664" s="33"/>
      <c r="E664" s="34"/>
      <c r="F664" s="34"/>
      <c r="G664" s="35"/>
      <c r="H664" s="34"/>
      <c r="I664" s="37"/>
    </row>
    <row r="665" ht="22.5" customHeight="1">
      <c r="A665" s="30"/>
      <c r="B665" s="39"/>
      <c r="C665" s="32"/>
      <c r="D665" s="33"/>
      <c r="E665" s="34"/>
      <c r="F665" s="34"/>
      <c r="G665" s="35"/>
      <c r="H665" s="34"/>
      <c r="I665" s="37"/>
    </row>
    <row r="666" ht="22.5" customHeight="1">
      <c r="A666" s="30"/>
      <c r="B666" s="40"/>
      <c r="C666" s="32"/>
      <c r="D666" s="33"/>
      <c r="E666" s="34"/>
      <c r="F666" s="34"/>
      <c r="G666" s="35"/>
      <c r="H666" s="34"/>
      <c r="I666" s="37"/>
    </row>
    <row r="667" ht="22.5" customHeight="1">
      <c r="A667" s="30"/>
      <c r="B667" s="31"/>
      <c r="C667" s="32"/>
      <c r="D667" s="33"/>
      <c r="E667" s="34"/>
      <c r="F667" s="34"/>
      <c r="G667" s="35"/>
      <c r="H667" s="34"/>
      <c r="I667" s="37"/>
    </row>
    <row r="668" ht="22.5" customHeight="1">
      <c r="A668" s="30"/>
      <c r="B668" s="31"/>
      <c r="C668" s="32"/>
      <c r="D668" s="33"/>
      <c r="E668" s="34"/>
      <c r="F668" s="34"/>
      <c r="G668" s="35"/>
      <c r="H668" s="34"/>
      <c r="I668" s="37"/>
    </row>
    <row r="669" ht="22.5" customHeight="1">
      <c r="A669" s="30"/>
      <c r="B669" s="31"/>
      <c r="C669" s="32"/>
      <c r="D669" s="33"/>
      <c r="E669" s="34"/>
      <c r="F669" s="34"/>
      <c r="G669" s="35"/>
      <c r="H669" s="34"/>
      <c r="I669" s="37"/>
    </row>
    <row r="670" ht="22.5" customHeight="1">
      <c r="A670" s="30"/>
      <c r="B670" s="31"/>
      <c r="C670" s="32"/>
      <c r="D670" s="33"/>
      <c r="E670" s="34"/>
      <c r="F670" s="34"/>
      <c r="G670" s="35"/>
      <c r="H670" s="34"/>
      <c r="I670" s="37"/>
    </row>
    <row r="671" ht="22.5" customHeight="1">
      <c r="A671" s="30"/>
      <c r="B671" s="31"/>
      <c r="C671" s="32"/>
      <c r="D671" s="33"/>
      <c r="E671" s="34"/>
      <c r="F671" s="34"/>
      <c r="G671" s="35"/>
      <c r="H671" s="34"/>
      <c r="I671" s="37"/>
    </row>
    <row r="672" ht="22.5" customHeight="1">
      <c r="A672" s="30"/>
      <c r="B672" s="31"/>
      <c r="C672" s="32"/>
      <c r="D672" s="33"/>
      <c r="E672" s="34"/>
      <c r="F672" s="34"/>
      <c r="G672" s="35"/>
      <c r="H672" s="34"/>
      <c r="I672" s="37"/>
    </row>
    <row r="673" ht="22.5" customHeight="1">
      <c r="A673" s="30"/>
      <c r="B673" s="31"/>
      <c r="C673" s="32"/>
      <c r="D673" s="33"/>
      <c r="E673" s="34"/>
      <c r="F673" s="34"/>
      <c r="G673" s="35"/>
      <c r="H673" s="34"/>
      <c r="I673" s="37"/>
    </row>
    <row r="674" ht="22.5" customHeight="1">
      <c r="A674" s="30"/>
      <c r="B674" s="31"/>
      <c r="C674" s="32"/>
      <c r="D674" s="33"/>
      <c r="E674" s="34"/>
      <c r="F674" s="34"/>
      <c r="G674" s="35"/>
      <c r="H674" s="34"/>
      <c r="I674" s="37"/>
    </row>
    <row r="675" ht="22.5" customHeight="1">
      <c r="A675" s="30"/>
      <c r="B675" s="31"/>
      <c r="C675" s="32"/>
      <c r="D675" s="33"/>
      <c r="E675" s="34"/>
      <c r="F675" s="34"/>
      <c r="G675" s="35"/>
      <c r="H675" s="34"/>
      <c r="I675" s="37"/>
    </row>
    <row r="676" ht="22.5" customHeight="1">
      <c r="A676" s="30"/>
      <c r="B676" s="40"/>
      <c r="C676" s="32"/>
      <c r="D676" s="33"/>
      <c r="E676" s="34"/>
      <c r="F676" s="34"/>
      <c r="G676" s="35"/>
      <c r="H676" s="34"/>
      <c r="I676" s="37"/>
    </row>
    <row r="677" ht="22.5" customHeight="1">
      <c r="A677" s="30"/>
      <c r="B677" s="31"/>
      <c r="C677" s="32"/>
      <c r="D677" s="33"/>
      <c r="E677" s="34"/>
      <c r="F677" s="34"/>
      <c r="G677" s="35"/>
      <c r="H677" s="34"/>
      <c r="I677" s="37"/>
    </row>
    <row r="678" ht="22.5" customHeight="1">
      <c r="A678" s="30"/>
      <c r="B678" s="31"/>
      <c r="C678" s="32"/>
      <c r="D678" s="33"/>
      <c r="E678" s="34"/>
      <c r="F678" s="34"/>
      <c r="G678" s="35"/>
      <c r="H678" s="34"/>
      <c r="I678" s="37"/>
    </row>
    <row r="679" ht="22.5" customHeight="1">
      <c r="A679" s="30"/>
      <c r="B679" s="31"/>
      <c r="C679" s="32"/>
      <c r="D679" s="33"/>
      <c r="E679" s="34"/>
      <c r="F679" s="34"/>
      <c r="G679" s="35"/>
      <c r="H679" s="34"/>
      <c r="I679" s="37"/>
    </row>
    <row r="680" ht="22.5" customHeight="1">
      <c r="A680" s="30"/>
      <c r="B680" s="40"/>
      <c r="C680" s="32"/>
      <c r="D680" s="33"/>
      <c r="E680" s="34"/>
      <c r="F680" s="34"/>
      <c r="G680" s="35"/>
      <c r="H680" s="34"/>
      <c r="I680" s="37"/>
    </row>
    <row r="681" ht="22.5" customHeight="1">
      <c r="A681" s="30"/>
      <c r="B681" s="31"/>
      <c r="C681" s="32"/>
      <c r="D681" s="33"/>
      <c r="E681" s="34"/>
      <c r="F681" s="34"/>
      <c r="G681" s="35"/>
      <c r="H681" s="34"/>
      <c r="I681" s="37"/>
    </row>
    <row r="682" ht="22.5" customHeight="1">
      <c r="A682" s="30"/>
      <c r="B682" s="31"/>
      <c r="C682" s="32"/>
      <c r="D682" s="33"/>
      <c r="E682" s="34"/>
      <c r="F682" s="34"/>
      <c r="G682" s="35"/>
      <c r="H682" s="34"/>
      <c r="I682" s="37"/>
    </row>
    <row r="683" ht="22.5" customHeight="1">
      <c r="A683" s="30"/>
      <c r="B683" s="31"/>
      <c r="C683" s="32"/>
      <c r="D683" s="33"/>
      <c r="E683" s="34"/>
      <c r="F683" s="34"/>
      <c r="G683" s="35"/>
      <c r="H683" s="34"/>
      <c r="I683" s="37"/>
    </row>
    <row r="684" ht="22.5" customHeight="1">
      <c r="A684" s="30"/>
      <c r="B684" s="31"/>
      <c r="C684" s="32"/>
      <c r="D684" s="33"/>
      <c r="E684" s="34"/>
      <c r="F684" s="34"/>
      <c r="G684" s="35"/>
      <c r="H684" s="34"/>
      <c r="I684" s="37"/>
    </row>
    <row r="685" ht="22.5" customHeight="1">
      <c r="A685" s="30"/>
      <c r="B685" s="31"/>
      <c r="C685" s="32"/>
      <c r="D685" s="33"/>
      <c r="E685" s="34"/>
      <c r="F685" s="34"/>
      <c r="G685" s="35"/>
      <c r="H685" s="34"/>
      <c r="I685" s="37"/>
    </row>
    <row r="686" ht="22.5" customHeight="1">
      <c r="A686" s="30"/>
      <c r="B686" s="31"/>
      <c r="C686" s="32"/>
      <c r="D686" s="33"/>
      <c r="E686" s="34"/>
      <c r="F686" s="34"/>
      <c r="G686" s="35"/>
      <c r="H686" s="34"/>
      <c r="I686" s="37"/>
    </row>
    <row r="687" ht="22.5" customHeight="1">
      <c r="A687" s="30"/>
      <c r="B687" s="31"/>
      <c r="C687" s="32"/>
      <c r="D687" s="33"/>
      <c r="E687" s="34"/>
      <c r="F687" s="34"/>
      <c r="G687" s="35"/>
      <c r="H687" s="34"/>
      <c r="I687" s="37"/>
    </row>
    <row r="688" ht="22.5" customHeight="1">
      <c r="A688" s="30"/>
      <c r="B688" s="31"/>
      <c r="C688" s="32"/>
      <c r="D688" s="33"/>
      <c r="E688" s="34"/>
      <c r="F688" s="34"/>
      <c r="G688" s="35"/>
      <c r="H688" s="34"/>
      <c r="I688" s="37"/>
    </row>
    <row r="689" ht="22.5" customHeight="1">
      <c r="A689" s="30"/>
      <c r="B689" s="31"/>
      <c r="C689" s="32"/>
      <c r="D689" s="33"/>
      <c r="E689" s="34"/>
      <c r="F689" s="34"/>
      <c r="G689" s="35"/>
      <c r="H689" s="34"/>
      <c r="I689" s="37"/>
    </row>
    <row r="690" ht="22.5" customHeight="1">
      <c r="A690" s="30"/>
      <c r="B690" s="31"/>
      <c r="C690" s="32"/>
      <c r="D690" s="33"/>
      <c r="E690" s="34"/>
      <c r="F690" s="34"/>
      <c r="G690" s="35"/>
      <c r="H690" s="34"/>
      <c r="I690" s="37"/>
    </row>
    <row r="691" ht="22.5" customHeight="1">
      <c r="A691" s="30"/>
      <c r="B691" s="31"/>
      <c r="C691" s="32"/>
      <c r="D691" s="33"/>
      <c r="E691" s="34"/>
      <c r="F691" s="34"/>
      <c r="G691" s="35"/>
      <c r="H691" s="34"/>
      <c r="I691" s="37"/>
    </row>
    <row r="692" ht="22.5" customHeight="1">
      <c r="A692" s="30"/>
      <c r="B692" s="31"/>
      <c r="C692" s="32"/>
      <c r="D692" s="33"/>
      <c r="E692" s="34"/>
      <c r="F692" s="34"/>
      <c r="G692" s="35"/>
      <c r="H692" s="34"/>
      <c r="I692" s="37"/>
    </row>
    <row r="693" ht="22.5" customHeight="1">
      <c r="A693" s="30"/>
      <c r="B693" s="31"/>
      <c r="C693" s="32"/>
      <c r="D693" s="33"/>
      <c r="E693" s="34"/>
      <c r="F693" s="34"/>
      <c r="G693" s="35"/>
      <c r="H693" s="34"/>
      <c r="I693" s="37"/>
    </row>
    <row r="694" ht="22.5" customHeight="1">
      <c r="A694" s="30"/>
      <c r="B694" s="31"/>
      <c r="C694" s="32"/>
      <c r="D694" s="33"/>
      <c r="E694" s="34"/>
      <c r="F694" s="34"/>
      <c r="G694" s="35"/>
      <c r="H694" s="34"/>
      <c r="I694" s="37"/>
    </row>
    <row r="695" ht="22.5" customHeight="1">
      <c r="A695" s="30"/>
      <c r="B695" s="40"/>
      <c r="C695" s="32"/>
      <c r="D695" s="33"/>
      <c r="E695" s="34"/>
      <c r="F695" s="34"/>
      <c r="G695" s="35"/>
      <c r="H695" s="34"/>
      <c r="I695" s="37"/>
    </row>
    <row r="696" ht="22.5" customHeight="1">
      <c r="A696" s="30"/>
      <c r="B696" s="31"/>
      <c r="C696" s="32"/>
      <c r="D696" s="33"/>
      <c r="E696" s="34"/>
      <c r="F696" s="34"/>
      <c r="G696" s="35"/>
      <c r="H696" s="34"/>
      <c r="I696" s="37"/>
    </row>
    <row r="697" ht="22.5" customHeight="1">
      <c r="A697" s="30"/>
      <c r="B697" s="40"/>
      <c r="C697" s="32"/>
      <c r="D697" s="33"/>
      <c r="E697" s="34"/>
      <c r="F697" s="34"/>
      <c r="G697" s="35"/>
      <c r="H697" s="34"/>
      <c r="I697" s="37"/>
    </row>
    <row r="698" ht="22.5" customHeight="1">
      <c r="A698" s="30"/>
      <c r="B698" s="31"/>
      <c r="C698" s="32"/>
      <c r="D698" s="33"/>
      <c r="E698" s="34"/>
      <c r="F698" s="34"/>
      <c r="G698" s="35"/>
      <c r="H698" s="34"/>
      <c r="I698" s="37"/>
    </row>
    <row r="699" ht="22.5" customHeight="1">
      <c r="A699" s="30"/>
      <c r="B699" s="31"/>
      <c r="C699" s="32"/>
      <c r="D699" s="33"/>
      <c r="E699" s="34"/>
      <c r="F699" s="34"/>
      <c r="G699" s="35"/>
      <c r="H699" s="34"/>
      <c r="I699" s="37"/>
    </row>
    <row r="700" ht="22.5" customHeight="1">
      <c r="A700" s="30"/>
      <c r="B700" s="31"/>
      <c r="C700" s="32"/>
      <c r="D700" s="33"/>
      <c r="E700" s="34"/>
      <c r="F700" s="34"/>
      <c r="G700" s="35"/>
      <c r="H700" s="34"/>
      <c r="I700" s="37"/>
    </row>
    <row r="701" ht="22.5" customHeight="1">
      <c r="A701" s="30"/>
      <c r="B701" s="31"/>
      <c r="C701" s="32"/>
      <c r="D701" s="33"/>
      <c r="E701" s="34"/>
      <c r="F701" s="34"/>
      <c r="G701" s="35"/>
      <c r="H701" s="34"/>
      <c r="I701" s="37"/>
    </row>
    <row r="702" ht="22.5" customHeight="1">
      <c r="A702" s="30"/>
      <c r="B702" s="40"/>
      <c r="C702" s="32"/>
      <c r="D702" s="33"/>
      <c r="E702" s="34"/>
      <c r="F702" s="34"/>
      <c r="G702" s="35"/>
      <c r="H702" s="34"/>
      <c r="I702" s="37"/>
    </row>
    <row r="703" ht="22.5" customHeight="1">
      <c r="A703" s="30"/>
      <c r="B703" s="31"/>
      <c r="C703" s="32"/>
      <c r="D703" s="33"/>
      <c r="E703" s="34"/>
      <c r="F703" s="34"/>
      <c r="G703" s="35"/>
      <c r="H703" s="34"/>
      <c r="I703" s="37"/>
    </row>
    <row r="704" ht="22.5" customHeight="1">
      <c r="A704" s="30"/>
      <c r="B704" s="31"/>
      <c r="C704" s="32"/>
      <c r="D704" s="33"/>
      <c r="E704" s="34"/>
      <c r="F704" s="34"/>
      <c r="G704" s="35"/>
      <c r="H704" s="34"/>
      <c r="I704" s="37"/>
    </row>
    <row r="705" ht="22.5" customHeight="1">
      <c r="A705" s="30"/>
      <c r="B705" s="31"/>
      <c r="C705" s="32"/>
      <c r="D705" s="33"/>
      <c r="E705" s="34"/>
      <c r="F705" s="34"/>
      <c r="G705" s="35"/>
      <c r="H705" s="34"/>
      <c r="I705" s="37"/>
    </row>
    <row r="706" ht="22.5" customHeight="1">
      <c r="A706" s="30"/>
      <c r="B706" s="31"/>
      <c r="C706" s="32"/>
      <c r="D706" s="33"/>
      <c r="E706" s="34"/>
      <c r="F706" s="34"/>
      <c r="G706" s="35"/>
      <c r="H706" s="34"/>
      <c r="I706" s="37"/>
    </row>
    <row r="707" ht="22.5" customHeight="1">
      <c r="A707" s="30"/>
      <c r="B707" s="31"/>
      <c r="C707" s="32"/>
      <c r="D707" s="33"/>
      <c r="E707" s="34"/>
      <c r="F707" s="34"/>
      <c r="G707" s="35"/>
      <c r="H707" s="34"/>
      <c r="I707" s="37"/>
    </row>
    <row r="708" ht="22.5" customHeight="1">
      <c r="A708" s="30"/>
      <c r="B708" s="31"/>
      <c r="C708" s="32"/>
      <c r="D708" s="33"/>
      <c r="E708" s="34"/>
      <c r="F708" s="34"/>
      <c r="G708" s="35"/>
      <c r="H708" s="34"/>
      <c r="I708" s="37"/>
    </row>
    <row r="709" ht="22.5" customHeight="1">
      <c r="A709" s="30"/>
      <c r="B709" s="31"/>
      <c r="C709" s="32"/>
      <c r="D709" s="33"/>
      <c r="E709" s="34"/>
      <c r="F709" s="34"/>
      <c r="G709" s="35"/>
      <c r="H709" s="34"/>
      <c r="I709" s="37"/>
    </row>
    <row r="710" ht="22.5" customHeight="1">
      <c r="A710" s="30"/>
      <c r="B710" s="31"/>
      <c r="C710" s="32"/>
      <c r="D710" s="33"/>
      <c r="E710" s="34"/>
      <c r="F710" s="34"/>
      <c r="G710" s="35"/>
      <c r="H710" s="34"/>
      <c r="I710" s="37"/>
    </row>
    <row r="711" ht="22.5" customHeight="1">
      <c r="A711" s="30"/>
      <c r="B711" s="31"/>
      <c r="C711" s="32"/>
      <c r="D711" s="33"/>
      <c r="E711" s="34"/>
      <c r="F711" s="34"/>
      <c r="G711" s="35"/>
      <c r="H711" s="34"/>
      <c r="I711" s="37"/>
    </row>
    <row r="712" ht="22.5" customHeight="1">
      <c r="A712" s="30"/>
      <c r="B712" s="31"/>
      <c r="C712" s="32"/>
      <c r="D712" s="33"/>
      <c r="E712" s="34"/>
      <c r="F712" s="34"/>
      <c r="G712" s="35"/>
      <c r="H712" s="34"/>
      <c r="I712" s="37"/>
    </row>
    <row r="713" ht="22.5" customHeight="1">
      <c r="A713" s="30"/>
      <c r="B713" s="31"/>
      <c r="C713" s="32"/>
      <c r="D713" s="33"/>
      <c r="E713" s="34"/>
      <c r="F713" s="34"/>
      <c r="G713" s="35"/>
      <c r="H713" s="34"/>
      <c r="I713" s="37"/>
    </row>
    <row r="714" ht="22.5" customHeight="1">
      <c r="A714" s="30"/>
      <c r="B714" s="31"/>
      <c r="C714" s="32"/>
      <c r="D714" s="33"/>
      <c r="E714" s="34"/>
      <c r="F714" s="34"/>
      <c r="G714" s="35"/>
      <c r="H714" s="34"/>
      <c r="I714" s="37"/>
    </row>
    <row r="715" ht="22.5" customHeight="1">
      <c r="A715" s="30"/>
      <c r="B715" s="31"/>
      <c r="C715" s="32"/>
      <c r="D715" s="33"/>
      <c r="E715" s="34"/>
      <c r="F715" s="34"/>
      <c r="G715" s="35"/>
      <c r="H715" s="34"/>
      <c r="I715" s="37"/>
    </row>
    <row r="716" ht="22.5" customHeight="1">
      <c r="A716" s="30"/>
      <c r="B716" s="31"/>
      <c r="C716" s="32"/>
      <c r="D716" s="33"/>
      <c r="E716" s="34"/>
      <c r="F716" s="34"/>
      <c r="G716" s="35"/>
      <c r="H716" s="34"/>
      <c r="I716" s="37"/>
    </row>
    <row r="717" ht="22.5" customHeight="1">
      <c r="A717" s="30"/>
      <c r="B717" s="31"/>
      <c r="C717" s="32"/>
      <c r="D717" s="33"/>
      <c r="E717" s="34"/>
      <c r="F717" s="34"/>
      <c r="G717" s="35"/>
      <c r="H717" s="34"/>
      <c r="I717" s="37"/>
    </row>
    <row r="718" ht="22.5" customHeight="1">
      <c r="A718" s="30"/>
      <c r="B718" s="31"/>
      <c r="C718" s="32"/>
      <c r="D718" s="33"/>
      <c r="E718" s="34"/>
      <c r="F718" s="34"/>
      <c r="G718" s="35"/>
      <c r="H718" s="34"/>
      <c r="I718" s="37"/>
    </row>
    <row r="719" ht="22.5" customHeight="1">
      <c r="A719" s="30"/>
      <c r="B719" s="31"/>
      <c r="C719" s="32"/>
      <c r="D719" s="33"/>
      <c r="E719" s="34"/>
      <c r="F719" s="34"/>
      <c r="G719" s="35"/>
      <c r="H719" s="34"/>
      <c r="I719" s="37"/>
    </row>
    <row r="720" ht="22.5" customHeight="1">
      <c r="A720" s="30"/>
      <c r="B720" s="31"/>
      <c r="C720" s="32"/>
      <c r="D720" s="33"/>
      <c r="E720" s="34"/>
      <c r="F720" s="34"/>
      <c r="G720" s="35"/>
      <c r="H720" s="34"/>
      <c r="I720" s="37"/>
    </row>
    <row r="721" ht="22.5" customHeight="1">
      <c r="A721" s="30"/>
      <c r="B721" s="31"/>
      <c r="C721" s="32"/>
      <c r="D721" s="33"/>
      <c r="E721" s="34"/>
      <c r="F721" s="34"/>
      <c r="G721" s="35"/>
      <c r="H721" s="34"/>
      <c r="I721" s="37"/>
    </row>
    <row r="722" ht="22.5" customHeight="1">
      <c r="A722" s="30"/>
      <c r="B722" s="31"/>
      <c r="C722" s="32"/>
      <c r="D722" s="33"/>
      <c r="E722" s="34"/>
      <c r="F722" s="34"/>
      <c r="G722" s="35"/>
      <c r="H722" s="34"/>
      <c r="I722" s="37"/>
    </row>
    <row r="723" ht="22.5" customHeight="1">
      <c r="A723" s="30"/>
      <c r="B723" s="31"/>
      <c r="C723" s="32"/>
      <c r="D723" s="33"/>
      <c r="E723" s="34"/>
      <c r="F723" s="34"/>
      <c r="G723" s="35"/>
      <c r="H723" s="34"/>
      <c r="I723" s="37"/>
    </row>
    <row r="724" ht="22.5" customHeight="1">
      <c r="A724" s="30"/>
      <c r="B724" s="40"/>
      <c r="C724" s="32"/>
      <c r="D724" s="33"/>
      <c r="E724" s="34"/>
      <c r="F724" s="34"/>
      <c r="G724" s="35"/>
      <c r="H724" s="34"/>
      <c r="I724" s="37"/>
    </row>
    <row r="725" ht="22.5" customHeight="1">
      <c r="A725" s="30"/>
      <c r="B725" s="31"/>
      <c r="C725" s="32"/>
      <c r="D725" s="33"/>
      <c r="E725" s="34"/>
      <c r="F725" s="34"/>
      <c r="G725" s="35"/>
      <c r="H725" s="34"/>
      <c r="I725" s="37"/>
    </row>
    <row r="726" ht="22.5" customHeight="1">
      <c r="A726" s="30"/>
      <c r="B726" s="31"/>
      <c r="C726" s="32"/>
      <c r="D726" s="33"/>
      <c r="E726" s="34"/>
      <c r="F726" s="34"/>
      <c r="G726" s="35"/>
      <c r="H726" s="34"/>
      <c r="I726" s="37"/>
    </row>
    <row r="727" ht="22.5" customHeight="1">
      <c r="A727" s="30"/>
      <c r="B727" s="31"/>
      <c r="C727" s="32"/>
      <c r="D727" s="33"/>
      <c r="E727" s="34"/>
      <c r="F727" s="34"/>
      <c r="G727" s="35"/>
      <c r="H727" s="34"/>
      <c r="I727" s="37"/>
    </row>
    <row r="728" ht="22.5" customHeight="1">
      <c r="A728" s="30"/>
      <c r="B728" s="31"/>
      <c r="C728" s="32"/>
      <c r="D728" s="33"/>
      <c r="E728" s="34"/>
      <c r="F728" s="34"/>
      <c r="G728" s="35"/>
      <c r="H728" s="34"/>
      <c r="I728" s="38"/>
    </row>
    <row r="729" ht="22.5" customHeight="1">
      <c r="A729" s="30"/>
      <c r="B729" s="39"/>
      <c r="C729" s="32"/>
      <c r="D729" s="33"/>
      <c r="E729" s="34"/>
      <c r="F729" s="34"/>
      <c r="G729" s="35"/>
      <c r="H729" s="34"/>
      <c r="I729" s="37"/>
    </row>
    <row r="730" ht="22.5" customHeight="1">
      <c r="A730" s="30"/>
      <c r="B730" s="31"/>
      <c r="C730" s="32"/>
      <c r="D730" s="33"/>
      <c r="E730" s="34"/>
      <c r="F730" s="34"/>
      <c r="G730" s="35"/>
      <c r="H730" s="34"/>
      <c r="I730" s="37"/>
    </row>
    <row r="731" ht="22.5" customHeight="1">
      <c r="A731" s="30"/>
      <c r="B731" s="31"/>
      <c r="C731" s="32"/>
      <c r="D731" s="33"/>
      <c r="E731" s="34"/>
      <c r="F731" s="34"/>
      <c r="G731" s="35"/>
      <c r="H731" s="34"/>
      <c r="I731" s="37"/>
    </row>
    <row r="732" ht="22.5" customHeight="1">
      <c r="A732" s="30"/>
      <c r="B732" s="31"/>
      <c r="C732" s="32"/>
      <c r="D732" s="33"/>
      <c r="E732" s="34"/>
      <c r="F732" s="34"/>
      <c r="G732" s="35"/>
      <c r="H732" s="34"/>
      <c r="I732" s="37"/>
    </row>
    <row r="733" ht="22.5" customHeight="1">
      <c r="A733" s="30"/>
      <c r="B733" s="39"/>
      <c r="C733" s="32"/>
      <c r="D733" s="33"/>
      <c r="E733" s="34"/>
      <c r="F733" s="34"/>
      <c r="G733" s="35"/>
      <c r="H733" s="34"/>
      <c r="I733" s="37"/>
    </row>
    <row r="734" ht="22.5" customHeight="1">
      <c r="A734" s="30"/>
      <c r="B734" s="31"/>
      <c r="C734" s="32"/>
      <c r="D734" s="33"/>
      <c r="E734" s="34"/>
      <c r="F734" s="34"/>
      <c r="G734" s="35"/>
      <c r="H734" s="34"/>
      <c r="I734" s="37"/>
    </row>
    <row r="735" ht="22.5" customHeight="1">
      <c r="A735" s="30"/>
      <c r="B735" s="39"/>
      <c r="C735" s="32"/>
      <c r="D735" s="33"/>
      <c r="E735" s="34"/>
      <c r="F735" s="34"/>
      <c r="G735" s="35"/>
      <c r="H735" s="34"/>
      <c r="I735" s="37"/>
    </row>
    <row r="736" ht="22.5" customHeight="1">
      <c r="A736" s="30"/>
      <c r="B736" s="31"/>
      <c r="C736" s="32"/>
      <c r="D736" s="33"/>
      <c r="E736" s="34"/>
      <c r="F736" s="34"/>
      <c r="G736" s="35"/>
      <c r="H736" s="34"/>
      <c r="I736" s="37"/>
    </row>
    <row r="737" ht="22.5" customHeight="1">
      <c r="A737" s="30"/>
      <c r="B737" s="31"/>
      <c r="C737" s="32"/>
      <c r="D737" s="33"/>
      <c r="E737" s="34"/>
      <c r="F737" s="34"/>
      <c r="G737" s="35"/>
      <c r="H737" s="34"/>
      <c r="I737" s="37"/>
    </row>
    <row r="738" ht="22.5" customHeight="1">
      <c r="A738" s="30"/>
      <c r="B738" s="31"/>
      <c r="C738" s="32"/>
      <c r="D738" s="33"/>
      <c r="E738" s="34"/>
      <c r="F738" s="34"/>
      <c r="G738" s="35"/>
      <c r="H738" s="34"/>
      <c r="I738" s="37"/>
    </row>
    <row r="739" ht="22.5" customHeight="1">
      <c r="A739" s="30"/>
      <c r="B739" s="31"/>
      <c r="C739" s="32"/>
      <c r="D739" s="33"/>
      <c r="E739" s="34"/>
      <c r="F739" s="34"/>
      <c r="G739" s="35"/>
      <c r="H739" s="34"/>
      <c r="I739" s="37"/>
    </row>
    <row r="740" ht="22.5" customHeight="1">
      <c r="A740" s="30"/>
      <c r="B740" s="31"/>
      <c r="C740" s="32"/>
      <c r="D740" s="33"/>
      <c r="E740" s="34"/>
      <c r="F740" s="34"/>
      <c r="G740" s="35"/>
      <c r="H740" s="34"/>
      <c r="I740" s="37"/>
    </row>
    <row r="741" ht="22.5" customHeight="1">
      <c r="A741" s="30"/>
      <c r="B741" s="31"/>
      <c r="C741" s="32"/>
      <c r="D741" s="33"/>
      <c r="E741" s="34"/>
      <c r="F741" s="34"/>
      <c r="G741" s="35"/>
      <c r="H741" s="34"/>
      <c r="I741" s="37"/>
    </row>
    <row r="742" ht="22.5" customHeight="1">
      <c r="A742" s="30"/>
      <c r="B742" s="31"/>
      <c r="C742" s="32"/>
      <c r="D742" s="33"/>
      <c r="E742" s="34"/>
      <c r="F742" s="34"/>
      <c r="G742" s="35"/>
      <c r="H742" s="34"/>
      <c r="I742" s="37"/>
    </row>
    <row r="743" ht="22.5" customHeight="1">
      <c r="A743" s="30"/>
      <c r="B743" s="31"/>
      <c r="C743" s="32"/>
      <c r="D743" s="33"/>
      <c r="E743" s="34"/>
      <c r="F743" s="34"/>
      <c r="G743" s="35"/>
      <c r="H743" s="34"/>
      <c r="I743" s="37"/>
    </row>
    <row r="744" ht="22.5" customHeight="1">
      <c r="A744" s="30"/>
      <c r="B744" s="31"/>
      <c r="C744" s="32"/>
      <c r="D744" s="33"/>
      <c r="E744" s="34"/>
      <c r="F744" s="34"/>
      <c r="G744" s="35"/>
      <c r="H744" s="34"/>
      <c r="I744" s="37"/>
    </row>
    <row r="745" ht="22.5" customHeight="1">
      <c r="A745" s="30"/>
      <c r="B745" s="31"/>
      <c r="C745" s="32"/>
      <c r="D745" s="33"/>
      <c r="E745" s="34"/>
      <c r="F745" s="34"/>
      <c r="G745" s="35"/>
      <c r="H745" s="34"/>
      <c r="I745" s="37"/>
    </row>
    <row r="746" ht="22.5" customHeight="1">
      <c r="A746" s="30"/>
      <c r="B746" s="40"/>
      <c r="C746" s="32"/>
      <c r="D746" s="33"/>
      <c r="E746" s="34"/>
      <c r="F746" s="34"/>
      <c r="G746" s="35"/>
      <c r="H746" s="34"/>
      <c r="I746" s="37"/>
    </row>
    <row r="747" ht="22.5" customHeight="1">
      <c r="A747" s="30"/>
      <c r="B747" s="31"/>
      <c r="C747" s="32"/>
      <c r="D747" s="33"/>
      <c r="E747" s="34"/>
      <c r="F747" s="34"/>
      <c r="G747" s="35"/>
      <c r="H747" s="34"/>
      <c r="I747" s="37"/>
    </row>
    <row r="748" ht="22.5" customHeight="1">
      <c r="A748" s="30"/>
      <c r="B748" s="31"/>
      <c r="C748" s="32"/>
      <c r="D748" s="33"/>
      <c r="E748" s="34"/>
      <c r="F748" s="34"/>
      <c r="G748" s="35"/>
      <c r="H748" s="34"/>
      <c r="I748" s="37"/>
    </row>
    <row r="749" ht="22.5" customHeight="1">
      <c r="A749" s="30"/>
      <c r="B749" s="31"/>
      <c r="C749" s="32"/>
      <c r="D749" s="33"/>
      <c r="E749" s="34"/>
      <c r="F749" s="34"/>
      <c r="G749" s="35"/>
      <c r="H749" s="34"/>
      <c r="I749" s="37"/>
    </row>
    <row r="750" ht="22.5" customHeight="1">
      <c r="A750" s="30"/>
      <c r="B750" s="31"/>
      <c r="C750" s="32"/>
      <c r="D750" s="33"/>
      <c r="E750" s="34"/>
      <c r="F750" s="34"/>
      <c r="G750" s="35"/>
      <c r="H750" s="34"/>
      <c r="I750" s="37"/>
    </row>
    <row r="751" ht="22.5" customHeight="1">
      <c r="A751" s="30"/>
      <c r="B751" s="31"/>
      <c r="C751" s="32"/>
      <c r="D751" s="33"/>
      <c r="E751" s="34"/>
      <c r="F751" s="34"/>
      <c r="G751" s="35"/>
      <c r="H751" s="34"/>
      <c r="I751" s="37"/>
    </row>
    <row r="752" ht="22.5" customHeight="1">
      <c r="A752" s="30"/>
      <c r="B752" s="31"/>
      <c r="C752" s="32"/>
      <c r="D752" s="33"/>
      <c r="E752" s="34"/>
      <c r="F752" s="34"/>
      <c r="G752" s="35"/>
      <c r="H752" s="34"/>
      <c r="I752" s="37"/>
    </row>
    <row r="753" ht="22.5" customHeight="1">
      <c r="A753" s="30"/>
      <c r="B753" s="39"/>
      <c r="C753" s="32"/>
      <c r="D753" s="33"/>
      <c r="E753" s="34"/>
      <c r="F753" s="34"/>
      <c r="G753" s="35"/>
      <c r="H753" s="34"/>
      <c r="I753" s="37"/>
    </row>
    <row r="754" ht="22.5" customHeight="1">
      <c r="A754" s="30"/>
      <c r="B754" s="39"/>
      <c r="C754" s="32"/>
      <c r="D754" s="33"/>
      <c r="E754" s="34"/>
      <c r="F754" s="34"/>
      <c r="G754" s="35"/>
      <c r="H754" s="34"/>
      <c r="I754" s="37"/>
    </row>
    <row r="755" ht="22.5" customHeight="1">
      <c r="A755" s="30"/>
      <c r="B755" s="39"/>
      <c r="C755" s="32"/>
      <c r="D755" s="33"/>
      <c r="E755" s="34"/>
      <c r="F755" s="34"/>
      <c r="G755" s="35"/>
      <c r="H755" s="34"/>
      <c r="I755" s="37"/>
    </row>
    <row r="756" ht="22.5" customHeight="1">
      <c r="A756" s="30"/>
      <c r="B756" s="40"/>
      <c r="C756" s="32"/>
      <c r="D756" s="33"/>
      <c r="E756" s="34"/>
      <c r="F756" s="34"/>
      <c r="G756" s="35"/>
      <c r="H756" s="34"/>
      <c r="I756" s="37"/>
    </row>
    <row r="757" ht="22.5" customHeight="1">
      <c r="A757" s="30"/>
      <c r="B757" s="31"/>
      <c r="C757" s="32"/>
      <c r="D757" s="33"/>
      <c r="E757" s="34"/>
      <c r="F757" s="34"/>
      <c r="G757" s="35"/>
      <c r="H757" s="34"/>
      <c r="I757" s="37"/>
    </row>
    <row r="758" ht="22.5" customHeight="1">
      <c r="A758" s="30"/>
      <c r="B758" s="31"/>
      <c r="C758" s="32"/>
      <c r="D758" s="33"/>
      <c r="E758" s="34"/>
      <c r="F758" s="34"/>
      <c r="G758" s="35"/>
      <c r="H758" s="34"/>
      <c r="I758" s="37"/>
    </row>
    <row r="759" ht="22.5" customHeight="1">
      <c r="A759" s="30"/>
      <c r="B759" s="31"/>
      <c r="C759" s="32"/>
      <c r="D759" s="33"/>
      <c r="E759" s="34"/>
      <c r="F759" s="34"/>
      <c r="G759" s="35"/>
      <c r="H759" s="34"/>
      <c r="I759" s="37"/>
    </row>
    <row r="760" ht="22.5" customHeight="1">
      <c r="A760" s="30"/>
      <c r="B760" s="31"/>
      <c r="C760" s="32"/>
      <c r="D760" s="33"/>
      <c r="E760" s="34"/>
      <c r="F760" s="34"/>
      <c r="G760" s="35"/>
      <c r="H760" s="34"/>
      <c r="I760" s="37"/>
    </row>
    <row r="761" ht="22.5" customHeight="1">
      <c r="A761" s="30"/>
      <c r="B761" s="31"/>
      <c r="C761" s="32"/>
      <c r="D761" s="33"/>
      <c r="E761" s="34"/>
      <c r="F761" s="34"/>
      <c r="G761" s="35"/>
      <c r="H761" s="34"/>
      <c r="I761" s="37"/>
    </row>
    <row r="762" ht="22.5" customHeight="1">
      <c r="A762" s="30"/>
      <c r="B762" s="31"/>
      <c r="C762" s="32"/>
      <c r="D762" s="33"/>
      <c r="E762" s="34"/>
      <c r="F762" s="34"/>
      <c r="G762" s="35"/>
      <c r="H762" s="34"/>
      <c r="I762" s="37"/>
    </row>
    <row r="763" ht="22.5" customHeight="1">
      <c r="A763" s="30"/>
      <c r="B763" s="31"/>
      <c r="C763" s="32"/>
      <c r="D763" s="33"/>
      <c r="E763" s="34"/>
      <c r="F763" s="34"/>
      <c r="G763" s="35"/>
      <c r="H763" s="34"/>
      <c r="I763" s="37"/>
    </row>
    <row r="764" ht="22.5" customHeight="1">
      <c r="A764" s="30"/>
      <c r="B764" s="31"/>
      <c r="C764" s="32"/>
      <c r="D764" s="33"/>
      <c r="E764" s="34"/>
      <c r="F764" s="34"/>
      <c r="G764" s="35"/>
      <c r="H764" s="34"/>
      <c r="I764" s="37"/>
    </row>
    <row r="765" ht="22.5" customHeight="1">
      <c r="A765" s="30"/>
      <c r="B765" s="31"/>
      <c r="C765" s="32"/>
      <c r="D765" s="33"/>
      <c r="E765" s="34"/>
      <c r="F765" s="34"/>
      <c r="G765" s="35"/>
      <c r="H765" s="34"/>
      <c r="I765" s="37"/>
    </row>
    <row r="766" ht="22.5" customHeight="1">
      <c r="A766" s="30"/>
      <c r="B766" s="40"/>
      <c r="C766" s="32"/>
      <c r="D766" s="33"/>
      <c r="E766" s="34"/>
      <c r="F766" s="34"/>
      <c r="G766" s="35"/>
      <c r="H766" s="34"/>
      <c r="I766" s="37"/>
    </row>
    <row r="767" ht="22.5" customHeight="1">
      <c r="A767" s="30"/>
      <c r="B767" s="31"/>
      <c r="C767" s="32"/>
      <c r="D767" s="33"/>
      <c r="E767" s="34"/>
      <c r="F767" s="34"/>
      <c r="G767" s="35"/>
      <c r="H767" s="34"/>
      <c r="I767" s="37"/>
    </row>
    <row r="768" ht="22.5" customHeight="1">
      <c r="A768" s="30"/>
      <c r="B768" s="31"/>
      <c r="C768" s="32"/>
      <c r="D768" s="33"/>
      <c r="E768" s="34"/>
      <c r="F768" s="34"/>
      <c r="G768" s="35"/>
      <c r="H768" s="34"/>
      <c r="I768" s="37"/>
    </row>
    <row r="769" ht="22.5" customHeight="1">
      <c r="A769" s="30"/>
      <c r="B769" s="31"/>
      <c r="C769" s="32"/>
      <c r="D769" s="33"/>
      <c r="E769" s="34"/>
      <c r="F769" s="34"/>
      <c r="G769" s="35"/>
      <c r="H769" s="34"/>
      <c r="I769" s="37"/>
    </row>
    <row r="770" ht="22.5" customHeight="1">
      <c r="A770" s="30"/>
      <c r="B770" s="40"/>
      <c r="C770" s="32"/>
      <c r="D770" s="33"/>
      <c r="E770" s="34"/>
      <c r="F770" s="34"/>
      <c r="G770" s="35"/>
      <c r="H770" s="34"/>
      <c r="I770" s="37"/>
    </row>
    <row r="771" ht="22.5" customHeight="1">
      <c r="A771" s="30"/>
      <c r="B771" s="31"/>
      <c r="C771" s="32"/>
      <c r="D771" s="33"/>
      <c r="E771" s="34"/>
      <c r="F771" s="34"/>
      <c r="G771" s="35"/>
      <c r="H771" s="34"/>
      <c r="I771" s="37"/>
    </row>
    <row r="772" ht="22.5" customHeight="1">
      <c r="A772" s="30"/>
      <c r="B772" s="31"/>
      <c r="C772" s="32"/>
      <c r="D772" s="33"/>
      <c r="E772" s="34"/>
      <c r="F772" s="34"/>
      <c r="G772" s="35"/>
      <c r="H772" s="34"/>
      <c r="I772" s="37"/>
    </row>
    <row r="773" ht="22.5" customHeight="1">
      <c r="A773" s="30"/>
      <c r="B773" s="31"/>
      <c r="C773" s="32"/>
      <c r="D773" s="33"/>
      <c r="E773" s="34"/>
      <c r="F773" s="34"/>
      <c r="G773" s="35"/>
      <c r="H773" s="34"/>
      <c r="I773" s="37"/>
    </row>
    <row r="774" ht="22.5" customHeight="1">
      <c r="A774" s="30"/>
      <c r="B774" s="31"/>
      <c r="C774" s="32"/>
      <c r="D774" s="33"/>
      <c r="E774" s="34"/>
      <c r="F774" s="34"/>
      <c r="G774" s="35"/>
      <c r="H774" s="34"/>
      <c r="I774" s="37"/>
    </row>
    <row r="775" ht="22.5" customHeight="1">
      <c r="A775" s="30"/>
      <c r="B775" s="31"/>
      <c r="C775" s="32"/>
      <c r="D775" s="33"/>
      <c r="E775" s="34"/>
      <c r="F775" s="34"/>
      <c r="G775" s="35"/>
      <c r="H775" s="34"/>
      <c r="I775" s="37"/>
    </row>
    <row r="776" ht="22.5" customHeight="1">
      <c r="A776" s="30"/>
      <c r="B776" s="31"/>
      <c r="C776" s="32"/>
      <c r="D776" s="33"/>
      <c r="E776" s="34"/>
      <c r="F776" s="34"/>
      <c r="G776" s="35"/>
      <c r="H776" s="34"/>
      <c r="I776" s="37"/>
    </row>
    <row r="777" ht="22.5" customHeight="1">
      <c r="A777" s="30"/>
      <c r="B777" s="31"/>
      <c r="C777" s="32"/>
      <c r="D777" s="33"/>
      <c r="E777" s="34"/>
      <c r="F777" s="34"/>
      <c r="G777" s="35"/>
      <c r="H777" s="34"/>
      <c r="I777" s="37"/>
    </row>
    <row r="778" ht="22.5" customHeight="1">
      <c r="A778" s="30"/>
      <c r="B778" s="31"/>
      <c r="C778" s="32"/>
      <c r="D778" s="33"/>
      <c r="E778" s="34"/>
      <c r="F778" s="34"/>
      <c r="G778" s="35"/>
      <c r="H778" s="34"/>
      <c r="I778" s="37"/>
    </row>
    <row r="779" ht="22.5" customHeight="1">
      <c r="A779" s="30"/>
      <c r="B779" s="31"/>
      <c r="C779" s="32"/>
      <c r="D779" s="33"/>
      <c r="E779" s="34"/>
      <c r="F779" s="34"/>
      <c r="G779" s="35"/>
      <c r="H779" s="34"/>
      <c r="I779" s="37"/>
    </row>
    <row r="780" ht="22.5" customHeight="1">
      <c r="A780" s="30"/>
      <c r="B780" s="31"/>
      <c r="C780" s="32"/>
      <c r="D780" s="33"/>
      <c r="E780" s="34"/>
      <c r="F780" s="34"/>
      <c r="G780" s="35"/>
      <c r="H780" s="34"/>
      <c r="I780" s="37"/>
    </row>
    <row r="781" ht="22.5" customHeight="1">
      <c r="A781" s="30"/>
      <c r="B781" s="31"/>
      <c r="C781" s="32"/>
      <c r="D781" s="33"/>
      <c r="E781" s="34"/>
      <c r="F781" s="34"/>
      <c r="G781" s="35"/>
      <c r="H781" s="34"/>
      <c r="I781" s="37"/>
    </row>
    <row r="782" ht="22.5" customHeight="1">
      <c r="A782" s="30"/>
      <c r="B782" s="31"/>
      <c r="C782" s="32"/>
      <c r="D782" s="33"/>
      <c r="E782" s="34"/>
      <c r="F782" s="34"/>
      <c r="G782" s="35"/>
      <c r="H782" s="34"/>
      <c r="I782" s="37"/>
    </row>
    <row r="783" ht="22.5" customHeight="1">
      <c r="A783" s="30"/>
      <c r="B783" s="31"/>
      <c r="C783" s="32"/>
      <c r="D783" s="33"/>
      <c r="E783" s="34"/>
      <c r="F783" s="34"/>
      <c r="G783" s="35"/>
      <c r="H783" s="34"/>
      <c r="I783" s="37"/>
    </row>
    <row r="784" ht="22.5" customHeight="1">
      <c r="A784" s="30"/>
      <c r="B784" s="31"/>
      <c r="C784" s="32"/>
      <c r="D784" s="33"/>
      <c r="E784" s="34"/>
      <c r="F784" s="34"/>
      <c r="G784" s="35"/>
      <c r="H784" s="34"/>
      <c r="I784" s="37"/>
    </row>
    <row r="785" ht="22.5" customHeight="1">
      <c r="A785" s="30"/>
      <c r="B785" s="40"/>
      <c r="C785" s="32"/>
      <c r="D785" s="33"/>
      <c r="E785" s="34"/>
      <c r="F785" s="34"/>
      <c r="G785" s="35"/>
      <c r="H785" s="34"/>
      <c r="I785" s="37"/>
    </row>
    <row r="786" ht="22.5" customHeight="1">
      <c r="A786" s="30"/>
      <c r="B786" s="31"/>
      <c r="C786" s="32"/>
      <c r="D786" s="33"/>
      <c r="E786" s="34"/>
      <c r="F786" s="34"/>
      <c r="G786" s="35"/>
      <c r="H786" s="34"/>
      <c r="I786" s="37"/>
    </row>
    <row r="787" ht="22.5" customHeight="1">
      <c r="A787" s="30"/>
      <c r="B787" s="40"/>
      <c r="C787" s="32"/>
      <c r="D787" s="33"/>
      <c r="E787" s="34"/>
      <c r="F787" s="34"/>
      <c r="G787" s="35"/>
      <c r="H787" s="34"/>
      <c r="I787" s="37"/>
    </row>
    <row r="788" ht="22.5" customHeight="1">
      <c r="A788" s="30"/>
      <c r="B788" s="31"/>
      <c r="C788" s="32"/>
      <c r="D788" s="33"/>
      <c r="E788" s="34"/>
      <c r="F788" s="34"/>
      <c r="G788" s="35"/>
      <c r="H788" s="34"/>
      <c r="I788" s="37"/>
    </row>
    <row r="789" ht="22.5" customHeight="1">
      <c r="A789" s="30"/>
      <c r="B789" s="31"/>
      <c r="C789" s="32"/>
      <c r="D789" s="33"/>
      <c r="E789" s="34"/>
      <c r="F789" s="34"/>
      <c r="G789" s="35"/>
      <c r="H789" s="34"/>
      <c r="I789" s="37"/>
    </row>
    <row r="790" ht="22.5" customHeight="1">
      <c r="A790" s="30"/>
      <c r="B790" s="31"/>
      <c r="C790" s="32"/>
      <c r="D790" s="33"/>
      <c r="E790" s="34"/>
      <c r="F790" s="34"/>
      <c r="G790" s="35"/>
      <c r="H790" s="34"/>
      <c r="I790" s="37"/>
    </row>
    <row r="791" ht="22.5" customHeight="1">
      <c r="A791" s="30"/>
      <c r="B791" s="31"/>
      <c r="C791" s="32"/>
      <c r="D791" s="33"/>
      <c r="E791" s="34"/>
      <c r="F791" s="34"/>
      <c r="G791" s="35"/>
      <c r="H791" s="34"/>
      <c r="I791" s="37"/>
    </row>
    <row r="792" ht="22.5" customHeight="1">
      <c r="A792" s="30"/>
      <c r="B792" s="40"/>
      <c r="C792" s="32"/>
      <c r="D792" s="33"/>
      <c r="E792" s="34"/>
      <c r="F792" s="34"/>
      <c r="G792" s="35"/>
      <c r="H792" s="34"/>
      <c r="I792" s="37"/>
    </row>
    <row r="793" ht="22.5" customHeight="1">
      <c r="A793" s="30"/>
      <c r="B793" s="31"/>
      <c r="C793" s="32"/>
      <c r="D793" s="33"/>
      <c r="E793" s="34"/>
      <c r="F793" s="34"/>
      <c r="G793" s="35"/>
      <c r="H793" s="34"/>
      <c r="I793" s="37"/>
    </row>
    <row r="794" ht="22.5" customHeight="1">
      <c r="A794" s="30"/>
      <c r="B794" s="31"/>
      <c r="C794" s="32"/>
      <c r="D794" s="33"/>
      <c r="E794" s="34"/>
      <c r="F794" s="34"/>
      <c r="G794" s="35"/>
      <c r="H794" s="34"/>
      <c r="I794" s="37"/>
    </row>
    <row r="795" ht="22.5" customHeight="1">
      <c r="A795" s="30"/>
      <c r="B795" s="31"/>
      <c r="C795" s="32"/>
      <c r="D795" s="33"/>
      <c r="E795" s="34"/>
      <c r="F795" s="34"/>
      <c r="G795" s="35"/>
      <c r="H795" s="34"/>
      <c r="I795" s="37"/>
    </row>
    <row r="796" ht="22.5" customHeight="1">
      <c r="A796" s="30"/>
      <c r="B796" s="31"/>
      <c r="C796" s="32"/>
      <c r="D796" s="33"/>
      <c r="E796" s="34"/>
      <c r="F796" s="34"/>
      <c r="G796" s="35"/>
      <c r="H796" s="34"/>
      <c r="I796" s="37"/>
    </row>
    <row r="797" ht="22.5" customHeight="1">
      <c r="A797" s="30"/>
      <c r="B797" s="31"/>
      <c r="C797" s="32"/>
      <c r="D797" s="33"/>
      <c r="E797" s="34"/>
      <c r="F797" s="34"/>
      <c r="G797" s="35"/>
      <c r="H797" s="34"/>
      <c r="I797" s="37"/>
    </row>
    <row r="798" ht="22.5" customHeight="1">
      <c r="A798" s="30"/>
      <c r="B798" s="31"/>
      <c r="C798" s="32"/>
      <c r="D798" s="33"/>
      <c r="E798" s="34"/>
      <c r="F798" s="34"/>
      <c r="G798" s="35"/>
      <c r="H798" s="34"/>
      <c r="I798" s="37"/>
    </row>
    <row r="799" ht="22.5" customHeight="1">
      <c r="A799" s="30"/>
      <c r="B799" s="31"/>
      <c r="C799" s="32"/>
      <c r="D799" s="33"/>
      <c r="E799" s="34"/>
      <c r="F799" s="34"/>
      <c r="G799" s="35"/>
      <c r="H799" s="34"/>
      <c r="I799" s="37"/>
    </row>
    <row r="800" ht="22.5" customHeight="1">
      <c r="A800" s="30"/>
      <c r="B800" s="31"/>
      <c r="C800" s="32"/>
      <c r="D800" s="33"/>
      <c r="E800" s="34"/>
      <c r="F800" s="34"/>
      <c r="G800" s="35"/>
      <c r="H800" s="34"/>
      <c r="I800" s="37"/>
    </row>
    <row r="801" ht="22.5" customHeight="1">
      <c r="A801" s="30"/>
      <c r="B801" s="31"/>
      <c r="C801" s="32"/>
      <c r="D801" s="33"/>
      <c r="E801" s="34"/>
      <c r="F801" s="34"/>
      <c r="G801" s="35"/>
      <c r="H801" s="34"/>
      <c r="I801" s="37"/>
    </row>
    <row r="802" ht="22.5" customHeight="1">
      <c r="A802" s="30"/>
      <c r="B802" s="31"/>
      <c r="C802" s="32"/>
      <c r="D802" s="33"/>
      <c r="E802" s="34"/>
      <c r="F802" s="34"/>
      <c r="G802" s="35"/>
      <c r="H802" s="34"/>
      <c r="I802" s="37"/>
    </row>
    <row r="803" ht="22.5" customHeight="1">
      <c r="A803" s="30"/>
      <c r="B803" s="31"/>
      <c r="C803" s="32"/>
      <c r="D803" s="33"/>
      <c r="E803" s="34"/>
      <c r="F803" s="34"/>
      <c r="G803" s="35"/>
      <c r="H803" s="34"/>
      <c r="I803" s="37"/>
    </row>
    <row r="804" ht="22.5" customHeight="1">
      <c r="A804" s="30"/>
      <c r="B804" s="31"/>
      <c r="C804" s="32"/>
      <c r="D804" s="33"/>
      <c r="E804" s="34"/>
      <c r="F804" s="34"/>
      <c r="G804" s="35"/>
      <c r="H804" s="34"/>
      <c r="I804" s="37"/>
    </row>
    <row r="805" ht="22.5" customHeight="1">
      <c r="A805" s="30"/>
      <c r="B805" s="31"/>
      <c r="C805" s="32"/>
      <c r="D805" s="33"/>
      <c r="E805" s="34"/>
      <c r="F805" s="34"/>
      <c r="G805" s="35"/>
      <c r="H805" s="34"/>
      <c r="I805" s="37"/>
    </row>
    <row r="806" ht="22.5" customHeight="1">
      <c r="A806" s="30"/>
      <c r="B806" s="31"/>
      <c r="C806" s="32"/>
      <c r="D806" s="33"/>
      <c r="E806" s="34"/>
      <c r="F806" s="34"/>
      <c r="G806" s="35"/>
      <c r="H806" s="34"/>
      <c r="I806" s="37"/>
    </row>
    <row r="807" ht="22.5" customHeight="1">
      <c r="A807" s="30"/>
      <c r="B807" s="31"/>
      <c r="C807" s="32"/>
      <c r="D807" s="33"/>
      <c r="E807" s="34"/>
      <c r="F807" s="34"/>
      <c r="G807" s="35"/>
      <c r="H807" s="34"/>
      <c r="I807" s="37"/>
    </row>
    <row r="808" ht="22.5" customHeight="1">
      <c r="A808" s="30"/>
      <c r="B808" s="31"/>
      <c r="C808" s="32"/>
      <c r="D808" s="33"/>
      <c r="E808" s="34"/>
      <c r="F808" s="34"/>
      <c r="G808" s="35"/>
      <c r="H808" s="34"/>
      <c r="I808" s="37"/>
    </row>
    <row r="809" ht="22.5" customHeight="1">
      <c r="A809" s="30"/>
      <c r="B809" s="31"/>
      <c r="C809" s="32"/>
      <c r="D809" s="33"/>
      <c r="E809" s="34"/>
      <c r="F809" s="34"/>
      <c r="G809" s="35"/>
      <c r="H809" s="34"/>
      <c r="I809" s="37"/>
    </row>
    <row r="810" ht="22.5" customHeight="1">
      <c r="A810" s="30"/>
      <c r="B810" s="31"/>
      <c r="C810" s="32"/>
      <c r="D810" s="33"/>
      <c r="E810" s="34"/>
      <c r="F810" s="34"/>
      <c r="G810" s="35"/>
      <c r="H810" s="34"/>
      <c r="I810" s="37"/>
    </row>
    <row r="811" ht="22.5" customHeight="1">
      <c r="A811" s="30"/>
      <c r="B811" s="31"/>
      <c r="C811" s="32"/>
      <c r="D811" s="33"/>
      <c r="E811" s="34"/>
      <c r="F811" s="34"/>
      <c r="G811" s="35"/>
      <c r="H811" s="34"/>
      <c r="I811" s="37"/>
    </row>
    <row r="812" ht="22.5" customHeight="1">
      <c r="A812" s="30"/>
      <c r="B812" s="31"/>
      <c r="C812" s="32"/>
      <c r="D812" s="33"/>
      <c r="E812" s="34"/>
      <c r="F812" s="34"/>
      <c r="G812" s="35"/>
      <c r="H812" s="34"/>
      <c r="I812" s="37"/>
    </row>
    <row r="813" ht="22.5" customHeight="1">
      <c r="A813" s="30"/>
      <c r="B813" s="31"/>
      <c r="C813" s="32"/>
      <c r="D813" s="33"/>
      <c r="E813" s="34"/>
      <c r="F813" s="34"/>
      <c r="G813" s="35"/>
      <c r="H813" s="34"/>
      <c r="I813" s="37"/>
    </row>
    <row r="814" ht="22.5" customHeight="1">
      <c r="A814" s="30"/>
      <c r="B814" s="40"/>
      <c r="C814" s="32"/>
      <c r="D814" s="33"/>
      <c r="E814" s="34"/>
      <c r="F814" s="34"/>
      <c r="G814" s="35"/>
      <c r="H814" s="34"/>
      <c r="I814" s="37"/>
    </row>
    <row r="815" ht="22.5" customHeight="1">
      <c r="A815" s="30"/>
      <c r="B815" s="31"/>
      <c r="C815" s="32"/>
      <c r="D815" s="33"/>
      <c r="E815" s="34"/>
      <c r="F815" s="34"/>
      <c r="G815" s="35"/>
      <c r="H815" s="34"/>
      <c r="I815" s="37"/>
    </row>
    <row r="816" ht="22.5" customHeight="1">
      <c r="A816" s="30"/>
      <c r="B816" s="31"/>
      <c r="C816" s="32"/>
      <c r="D816" s="33"/>
      <c r="E816" s="34"/>
      <c r="F816" s="34"/>
      <c r="G816" s="35"/>
      <c r="H816" s="34"/>
      <c r="I816" s="37"/>
    </row>
    <row r="817" ht="22.5" customHeight="1">
      <c r="A817" s="30"/>
      <c r="B817" s="31"/>
      <c r="C817" s="32"/>
      <c r="D817" s="33"/>
      <c r="E817" s="34"/>
      <c r="F817" s="34"/>
      <c r="G817" s="35"/>
      <c r="H817" s="34"/>
      <c r="I817" s="37"/>
    </row>
    <row r="818" ht="22.5" customHeight="1">
      <c r="A818" s="30"/>
      <c r="B818" s="31"/>
      <c r="C818" s="32"/>
      <c r="D818" s="33"/>
      <c r="E818" s="34"/>
      <c r="F818" s="34"/>
      <c r="G818" s="35"/>
      <c r="H818" s="34"/>
      <c r="I818" s="38"/>
    </row>
    <row r="819" ht="22.5" customHeight="1">
      <c r="A819" s="30"/>
      <c r="B819" s="39"/>
      <c r="C819" s="32"/>
      <c r="D819" s="33"/>
      <c r="E819" s="34"/>
      <c r="F819" s="34"/>
      <c r="G819" s="35"/>
      <c r="H819" s="34"/>
      <c r="I819" s="37"/>
    </row>
    <row r="820" ht="22.5" customHeight="1">
      <c r="A820" s="30"/>
      <c r="B820" s="31"/>
      <c r="C820" s="32"/>
      <c r="D820" s="33"/>
      <c r="E820" s="34"/>
      <c r="F820" s="34"/>
      <c r="G820" s="35"/>
      <c r="H820" s="34"/>
      <c r="I820" s="37"/>
    </row>
    <row r="821" ht="22.5" customHeight="1">
      <c r="A821" s="30"/>
      <c r="B821" s="31"/>
      <c r="C821" s="32"/>
      <c r="D821" s="33"/>
      <c r="E821" s="34"/>
      <c r="F821" s="34"/>
      <c r="G821" s="35"/>
      <c r="H821" s="34"/>
      <c r="I821" s="37"/>
    </row>
    <row r="822" ht="22.5" customHeight="1">
      <c r="A822" s="30"/>
      <c r="B822" s="31"/>
      <c r="C822" s="32"/>
      <c r="D822" s="33"/>
      <c r="E822" s="34"/>
      <c r="F822" s="34"/>
      <c r="G822" s="35"/>
      <c r="H822" s="34"/>
      <c r="I822" s="37"/>
    </row>
    <row r="823" ht="22.5" customHeight="1">
      <c r="A823" s="30"/>
      <c r="B823" s="39"/>
      <c r="C823" s="32"/>
      <c r="D823" s="33"/>
      <c r="E823" s="34"/>
      <c r="F823" s="34"/>
      <c r="G823" s="35"/>
      <c r="H823" s="34"/>
      <c r="I823" s="37"/>
    </row>
    <row r="824" ht="22.5" customHeight="1">
      <c r="A824" s="30"/>
      <c r="B824" s="31"/>
      <c r="C824" s="32"/>
      <c r="D824" s="33"/>
      <c r="E824" s="34"/>
      <c r="F824" s="34"/>
      <c r="G824" s="35"/>
      <c r="H824" s="34"/>
      <c r="I824" s="37"/>
    </row>
    <row r="825" ht="22.5" customHeight="1">
      <c r="A825" s="30"/>
      <c r="B825" s="39"/>
      <c r="C825" s="32"/>
      <c r="D825" s="33"/>
      <c r="E825" s="34"/>
      <c r="F825" s="34"/>
      <c r="G825" s="35"/>
      <c r="H825" s="34"/>
      <c r="I825" s="37"/>
    </row>
    <row r="826" ht="22.5" customHeight="1">
      <c r="A826" s="30"/>
      <c r="B826" s="31"/>
      <c r="C826" s="32"/>
      <c r="D826" s="33"/>
      <c r="E826" s="34"/>
      <c r="F826" s="34"/>
      <c r="G826" s="35"/>
      <c r="H826" s="34"/>
      <c r="I826" s="37"/>
    </row>
    <row r="827" ht="22.5" customHeight="1">
      <c r="A827" s="30"/>
      <c r="B827" s="31"/>
      <c r="C827" s="32"/>
      <c r="D827" s="33"/>
      <c r="E827" s="34"/>
      <c r="F827" s="34"/>
      <c r="G827" s="35"/>
      <c r="H827" s="34"/>
      <c r="I827" s="37"/>
    </row>
    <row r="828" ht="22.5" customHeight="1">
      <c r="A828" s="30"/>
      <c r="B828" s="31"/>
      <c r="C828" s="32"/>
      <c r="D828" s="33"/>
      <c r="E828" s="34"/>
      <c r="F828" s="34"/>
      <c r="G828" s="35"/>
      <c r="H828" s="34"/>
      <c r="I828" s="37"/>
    </row>
    <row r="829" ht="22.5" customHeight="1">
      <c r="A829" s="30"/>
      <c r="B829" s="31"/>
      <c r="C829" s="32"/>
      <c r="D829" s="33"/>
      <c r="E829" s="34"/>
      <c r="F829" s="34"/>
      <c r="G829" s="35"/>
      <c r="H829" s="34"/>
      <c r="I829" s="37"/>
    </row>
    <row r="830" ht="22.5" customHeight="1">
      <c r="A830" s="30"/>
      <c r="B830" s="31"/>
      <c r="C830" s="32"/>
      <c r="D830" s="33"/>
      <c r="E830" s="34"/>
      <c r="F830" s="34"/>
      <c r="G830" s="35"/>
      <c r="H830" s="34"/>
      <c r="I830" s="37"/>
    </row>
    <row r="831" ht="22.5" customHeight="1">
      <c r="A831" s="30"/>
      <c r="B831" s="31"/>
      <c r="C831" s="32"/>
      <c r="D831" s="33"/>
      <c r="E831" s="34"/>
      <c r="F831" s="34"/>
      <c r="G831" s="35"/>
      <c r="H831" s="34"/>
      <c r="I831" s="37"/>
    </row>
    <row r="832" ht="22.5" customHeight="1">
      <c r="A832" s="30"/>
      <c r="B832" s="31"/>
      <c r="C832" s="32"/>
      <c r="D832" s="33"/>
      <c r="E832" s="34"/>
      <c r="F832" s="34"/>
      <c r="G832" s="35"/>
      <c r="H832" s="34"/>
      <c r="I832" s="37"/>
    </row>
    <row r="833" ht="22.5" customHeight="1">
      <c r="A833" s="30"/>
      <c r="B833" s="31"/>
      <c r="C833" s="32"/>
      <c r="D833" s="33"/>
      <c r="E833" s="34"/>
      <c r="F833" s="34"/>
      <c r="G833" s="35"/>
      <c r="H833" s="34"/>
      <c r="I833" s="37"/>
    </row>
    <row r="834" ht="22.5" customHeight="1">
      <c r="A834" s="30"/>
      <c r="B834" s="31"/>
      <c r="C834" s="32"/>
      <c r="D834" s="33"/>
      <c r="E834" s="34"/>
      <c r="F834" s="34"/>
      <c r="G834" s="35"/>
      <c r="H834" s="34"/>
      <c r="I834" s="37"/>
    </row>
    <row r="835" ht="22.5" customHeight="1">
      <c r="A835" s="30"/>
      <c r="B835" s="31"/>
      <c r="C835" s="32"/>
      <c r="D835" s="33"/>
      <c r="E835" s="34"/>
      <c r="F835" s="34"/>
      <c r="G835" s="35"/>
      <c r="H835" s="34"/>
      <c r="I835" s="37"/>
    </row>
    <row r="836" ht="22.5" customHeight="1">
      <c r="A836" s="30"/>
      <c r="B836" s="40"/>
      <c r="C836" s="32"/>
      <c r="D836" s="33"/>
      <c r="E836" s="34"/>
      <c r="F836" s="34"/>
      <c r="G836" s="35"/>
      <c r="H836" s="34"/>
      <c r="I836" s="37"/>
    </row>
    <row r="837" ht="22.5" customHeight="1">
      <c r="A837" s="30"/>
      <c r="B837" s="31"/>
      <c r="C837" s="32"/>
      <c r="D837" s="33"/>
      <c r="E837" s="34"/>
      <c r="F837" s="34"/>
      <c r="G837" s="35"/>
      <c r="H837" s="34"/>
      <c r="I837" s="37"/>
    </row>
    <row r="838" ht="22.5" customHeight="1">
      <c r="A838" s="30"/>
      <c r="B838" s="31"/>
      <c r="C838" s="32"/>
      <c r="D838" s="33"/>
      <c r="E838" s="34"/>
      <c r="F838" s="34"/>
      <c r="G838" s="35"/>
      <c r="H838" s="34"/>
      <c r="I838" s="37"/>
    </row>
    <row r="839" ht="22.5" customHeight="1">
      <c r="A839" s="30"/>
      <c r="B839" s="31"/>
      <c r="C839" s="32"/>
      <c r="D839" s="33"/>
      <c r="E839" s="34"/>
      <c r="F839" s="34"/>
      <c r="G839" s="35"/>
      <c r="H839" s="34"/>
      <c r="I839" s="37"/>
    </row>
    <row r="840" ht="22.5" customHeight="1">
      <c r="A840" s="30"/>
      <c r="B840" s="31"/>
      <c r="C840" s="32"/>
      <c r="D840" s="33"/>
      <c r="E840" s="34"/>
      <c r="F840" s="34"/>
      <c r="G840" s="35"/>
      <c r="H840" s="34"/>
      <c r="I840" s="37"/>
    </row>
    <row r="841" ht="22.5" customHeight="1">
      <c r="A841" s="30"/>
      <c r="B841" s="31"/>
      <c r="C841" s="32"/>
      <c r="D841" s="33"/>
      <c r="E841" s="34"/>
      <c r="F841" s="34"/>
      <c r="G841" s="35"/>
      <c r="H841" s="34"/>
      <c r="I841" s="37"/>
    </row>
    <row r="842" ht="22.5" customHeight="1">
      <c r="A842" s="30"/>
      <c r="B842" s="31"/>
      <c r="C842" s="32"/>
      <c r="D842" s="33"/>
      <c r="E842" s="34"/>
      <c r="F842" s="34"/>
      <c r="G842" s="35"/>
      <c r="H842" s="34"/>
      <c r="I842" s="37"/>
    </row>
    <row r="843" ht="22.5" customHeight="1">
      <c r="A843" s="30"/>
      <c r="B843" s="39"/>
      <c r="C843" s="32"/>
      <c r="D843" s="33"/>
      <c r="E843" s="34"/>
      <c r="F843" s="34"/>
      <c r="G843" s="35"/>
      <c r="H843" s="34"/>
      <c r="I843" s="37"/>
    </row>
    <row r="844" ht="22.5" customHeight="1">
      <c r="A844" s="30"/>
      <c r="B844" s="39"/>
      <c r="C844" s="32"/>
      <c r="D844" s="33"/>
      <c r="E844" s="34"/>
      <c r="F844" s="34"/>
      <c r="G844" s="35"/>
      <c r="H844" s="34"/>
      <c r="I844" s="37"/>
    </row>
    <row r="845" ht="22.5" customHeight="1">
      <c r="A845" s="30"/>
      <c r="B845" s="39"/>
      <c r="C845" s="32"/>
      <c r="D845" s="33"/>
      <c r="E845" s="34"/>
      <c r="F845" s="34"/>
      <c r="G845" s="35"/>
      <c r="H845" s="34"/>
      <c r="I845" s="37"/>
    </row>
    <row r="846" ht="22.5" customHeight="1">
      <c r="A846" s="30"/>
      <c r="B846" s="40"/>
      <c r="C846" s="32"/>
      <c r="D846" s="33"/>
      <c r="E846" s="34"/>
      <c r="F846" s="34"/>
      <c r="G846" s="35"/>
      <c r="H846" s="34"/>
      <c r="I846" s="37"/>
    </row>
    <row r="847" ht="22.5" customHeight="1">
      <c r="A847" s="30"/>
      <c r="B847" s="31"/>
      <c r="C847" s="32"/>
      <c r="D847" s="33"/>
      <c r="E847" s="34"/>
      <c r="F847" s="34"/>
      <c r="G847" s="35"/>
      <c r="H847" s="34"/>
      <c r="I847" s="37"/>
    </row>
    <row r="848" ht="22.5" customHeight="1">
      <c r="A848" s="30"/>
      <c r="B848" s="31"/>
      <c r="C848" s="32"/>
      <c r="D848" s="33"/>
      <c r="E848" s="34"/>
      <c r="F848" s="34"/>
      <c r="G848" s="35"/>
      <c r="H848" s="34"/>
      <c r="I848" s="37"/>
    </row>
    <row r="849" ht="22.5" customHeight="1">
      <c r="A849" s="30"/>
      <c r="B849" s="31"/>
      <c r="C849" s="32"/>
      <c r="D849" s="33"/>
      <c r="E849" s="34"/>
      <c r="F849" s="34"/>
      <c r="G849" s="35"/>
      <c r="H849" s="34"/>
      <c r="I849" s="37"/>
    </row>
    <row r="850" ht="22.5" customHeight="1">
      <c r="A850" s="30"/>
      <c r="B850" s="31"/>
      <c r="C850" s="32"/>
      <c r="D850" s="33"/>
      <c r="E850" s="34"/>
      <c r="F850" s="34"/>
      <c r="G850" s="35"/>
      <c r="H850" s="34"/>
      <c r="I850" s="37"/>
    </row>
    <row r="851" ht="22.5" customHeight="1">
      <c r="A851" s="30"/>
      <c r="B851" s="31"/>
      <c r="C851" s="32"/>
      <c r="D851" s="33"/>
      <c r="E851" s="34"/>
      <c r="F851" s="34"/>
      <c r="G851" s="35"/>
      <c r="H851" s="34"/>
      <c r="I851" s="37"/>
    </row>
    <row r="852" ht="22.5" customHeight="1">
      <c r="A852" s="30"/>
      <c r="B852" s="31"/>
      <c r="C852" s="32"/>
      <c r="D852" s="33"/>
      <c r="E852" s="34"/>
      <c r="F852" s="34"/>
      <c r="G852" s="35"/>
      <c r="H852" s="34"/>
      <c r="I852" s="37"/>
    </row>
    <row r="853" ht="22.5" customHeight="1">
      <c r="A853" s="30"/>
      <c r="B853" s="31"/>
      <c r="C853" s="32"/>
      <c r="D853" s="33"/>
      <c r="E853" s="34"/>
      <c r="F853" s="34"/>
      <c r="G853" s="35"/>
      <c r="H853" s="34"/>
      <c r="I853" s="37"/>
    </row>
    <row r="854" ht="22.5" customHeight="1">
      <c r="A854" s="30"/>
      <c r="B854" s="31"/>
      <c r="C854" s="32"/>
      <c r="D854" s="33"/>
      <c r="E854" s="34"/>
      <c r="F854" s="34"/>
      <c r="G854" s="35"/>
      <c r="H854" s="34"/>
      <c r="I854" s="37"/>
    </row>
    <row r="855" ht="22.5" customHeight="1">
      <c r="A855" s="30"/>
      <c r="B855" s="31"/>
      <c r="C855" s="32"/>
      <c r="D855" s="33"/>
      <c r="E855" s="34"/>
      <c r="F855" s="34"/>
      <c r="G855" s="35"/>
      <c r="H855" s="34"/>
      <c r="I855" s="37"/>
    </row>
    <row r="856" ht="22.5" customHeight="1">
      <c r="A856" s="30"/>
      <c r="B856" s="40"/>
      <c r="C856" s="32"/>
      <c r="D856" s="33"/>
      <c r="E856" s="34"/>
      <c r="F856" s="34"/>
      <c r="G856" s="35"/>
      <c r="H856" s="34"/>
      <c r="I856" s="37"/>
    </row>
    <row r="857" ht="22.5" customHeight="1">
      <c r="A857" s="30"/>
      <c r="B857" s="31"/>
      <c r="C857" s="32"/>
      <c r="D857" s="33"/>
      <c r="E857" s="34"/>
      <c r="F857" s="34"/>
      <c r="G857" s="35"/>
      <c r="H857" s="34"/>
      <c r="I857" s="37"/>
    </row>
    <row r="858" ht="22.5" customHeight="1">
      <c r="A858" s="30"/>
      <c r="B858" s="31"/>
      <c r="C858" s="32"/>
      <c r="D858" s="33"/>
      <c r="E858" s="34"/>
      <c r="F858" s="34"/>
      <c r="G858" s="35"/>
      <c r="H858" s="34"/>
      <c r="I858" s="37"/>
    </row>
    <row r="859" ht="22.5" customHeight="1">
      <c r="A859" s="30"/>
      <c r="B859" s="31"/>
      <c r="C859" s="32"/>
      <c r="D859" s="33"/>
      <c r="E859" s="34"/>
      <c r="F859" s="34"/>
      <c r="G859" s="35"/>
      <c r="H859" s="34"/>
      <c r="I859" s="37"/>
    </row>
    <row r="860" ht="22.5" customHeight="1">
      <c r="A860" s="30"/>
      <c r="B860" s="40"/>
      <c r="C860" s="32"/>
      <c r="D860" s="33"/>
      <c r="E860" s="34"/>
      <c r="F860" s="34"/>
      <c r="G860" s="35"/>
      <c r="H860" s="34"/>
      <c r="I860" s="37"/>
    </row>
    <row r="861" ht="22.5" customHeight="1">
      <c r="A861" s="30"/>
      <c r="B861" s="31"/>
      <c r="C861" s="32"/>
      <c r="D861" s="33"/>
      <c r="E861" s="34"/>
      <c r="F861" s="34"/>
      <c r="G861" s="35"/>
      <c r="H861" s="34"/>
      <c r="I861" s="37"/>
    </row>
    <row r="862" ht="22.5" customHeight="1">
      <c r="A862" s="30"/>
      <c r="B862" s="31"/>
      <c r="C862" s="32"/>
      <c r="D862" s="33"/>
      <c r="E862" s="34"/>
      <c r="F862" s="34"/>
      <c r="G862" s="35"/>
      <c r="H862" s="34"/>
      <c r="I862" s="37"/>
    </row>
    <row r="863" ht="22.5" customHeight="1">
      <c r="A863" s="30"/>
      <c r="B863" s="31"/>
      <c r="C863" s="32"/>
      <c r="D863" s="33"/>
      <c r="E863" s="34"/>
      <c r="F863" s="34"/>
      <c r="G863" s="35"/>
      <c r="H863" s="34"/>
      <c r="I863" s="37"/>
    </row>
    <row r="864" ht="22.5" customHeight="1">
      <c r="A864" s="30"/>
      <c r="B864" s="31"/>
      <c r="C864" s="32"/>
      <c r="D864" s="33"/>
      <c r="E864" s="34"/>
      <c r="F864" s="34"/>
      <c r="G864" s="35"/>
      <c r="H864" s="34"/>
      <c r="I864" s="37"/>
    </row>
    <row r="865" ht="22.5" customHeight="1">
      <c r="A865" s="30"/>
      <c r="B865" s="31"/>
      <c r="C865" s="32"/>
      <c r="D865" s="33"/>
      <c r="E865" s="34"/>
      <c r="F865" s="34"/>
      <c r="G865" s="35"/>
      <c r="H865" s="34"/>
      <c r="I865" s="37"/>
    </row>
    <row r="866" ht="22.5" customHeight="1">
      <c r="A866" s="30"/>
      <c r="B866" s="31"/>
      <c r="C866" s="32"/>
      <c r="D866" s="33"/>
      <c r="E866" s="34"/>
      <c r="F866" s="34"/>
      <c r="G866" s="35"/>
      <c r="H866" s="34"/>
      <c r="I866" s="37"/>
    </row>
    <row r="867" ht="22.5" customHeight="1">
      <c r="A867" s="30"/>
      <c r="B867" s="31"/>
      <c r="C867" s="32"/>
      <c r="D867" s="33"/>
      <c r="E867" s="34"/>
      <c r="F867" s="34"/>
      <c r="G867" s="35"/>
      <c r="H867" s="34"/>
      <c r="I867" s="37"/>
    </row>
    <row r="868" ht="22.5" customHeight="1">
      <c r="A868" s="30"/>
      <c r="B868" s="31"/>
      <c r="C868" s="32"/>
      <c r="D868" s="33"/>
      <c r="E868" s="34"/>
      <c r="F868" s="34"/>
      <c r="G868" s="35"/>
      <c r="H868" s="34"/>
      <c r="I868" s="37"/>
    </row>
    <row r="869" ht="22.5" customHeight="1">
      <c r="A869" s="30"/>
      <c r="B869" s="31"/>
      <c r="C869" s="32"/>
      <c r="D869" s="33"/>
      <c r="E869" s="34"/>
      <c r="F869" s="34"/>
      <c r="G869" s="35"/>
      <c r="H869" s="34"/>
      <c r="I869" s="37"/>
    </row>
    <row r="870" ht="22.5" customHeight="1">
      <c r="A870" s="30"/>
      <c r="B870" s="31"/>
      <c r="C870" s="32"/>
      <c r="D870" s="33"/>
      <c r="E870" s="34"/>
      <c r="F870" s="34"/>
      <c r="G870" s="35"/>
      <c r="H870" s="34"/>
      <c r="I870" s="37"/>
    </row>
    <row r="871" ht="22.5" customHeight="1">
      <c r="A871" s="30"/>
      <c r="B871" s="31"/>
      <c r="C871" s="32"/>
      <c r="D871" s="33"/>
      <c r="E871" s="34"/>
      <c r="F871" s="34"/>
      <c r="G871" s="35"/>
      <c r="H871" s="34"/>
      <c r="I871" s="37"/>
    </row>
    <row r="872" ht="22.5" customHeight="1">
      <c r="A872" s="30"/>
      <c r="B872" s="31"/>
      <c r="C872" s="32"/>
      <c r="D872" s="33"/>
      <c r="E872" s="34"/>
      <c r="F872" s="34"/>
      <c r="G872" s="35"/>
      <c r="H872" s="34"/>
      <c r="I872" s="37"/>
    </row>
    <row r="873" ht="22.5" customHeight="1">
      <c r="A873" s="30"/>
      <c r="B873" s="31"/>
      <c r="C873" s="32"/>
      <c r="D873" s="33"/>
      <c r="E873" s="34"/>
      <c r="F873" s="34"/>
      <c r="G873" s="35"/>
      <c r="H873" s="34"/>
      <c r="I873" s="37"/>
    </row>
    <row r="874" ht="22.5" customHeight="1">
      <c r="A874" s="30"/>
      <c r="B874" s="31"/>
      <c r="C874" s="32"/>
      <c r="D874" s="33"/>
      <c r="E874" s="34"/>
      <c r="F874" s="34"/>
      <c r="G874" s="35"/>
      <c r="H874" s="34"/>
      <c r="I874" s="37"/>
    </row>
    <row r="875" ht="22.5" customHeight="1">
      <c r="A875" s="30"/>
      <c r="B875" s="40"/>
      <c r="C875" s="32"/>
      <c r="D875" s="33"/>
      <c r="E875" s="34"/>
      <c r="F875" s="34"/>
      <c r="G875" s="35"/>
      <c r="H875" s="34"/>
      <c r="I875" s="37"/>
    </row>
    <row r="876" ht="22.5" customHeight="1">
      <c r="A876" s="30"/>
      <c r="B876" s="31"/>
      <c r="C876" s="32"/>
      <c r="D876" s="33"/>
      <c r="E876" s="34"/>
      <c r="F876" s="34"/>
      <c r="G876" s="35"/>
      <c r="H876" s="34"/>
      <c r="I876" s="37"/>
    </row>
    <row r="877" ht="22.5" customHeight="1">
      <c r="A877" s="30"/>
      <c r="B877" s="40"/>
      <c r="C877" s="32"/>
      <c r="D877" s="33"/>
      <c r="E877" s="34"/>
      <c r="F877" s="34"/>
      <c r="G877" s="35"/>
      <c r="H877" s="34"/>
      <c r="I877" s="37"/>
    </row>
    <row r="878" ht="22.5" customHeight="1">
      <c r="A878" s="30"/>
      <c r="B878" s="31"/>
      <c r="C878" s="32"/>
      <c r="D878" s="33"/>
      <c r="E878" s="34"/>
      <c r="F878" s="34"/>
      <c r="G878" s="35"/>
      <c r="H878" s="34"/>
      <c r="I878" s="37"/>
    </row>
    <row r="879" ht="22.5" customHeight="1">
      <c r="A879" s="30"/>
      <c r="B879" s="31"/>
      <c r="C879" s="32"/>
      <c r="D879" s="33"/>
      <c r="E879" s="34"/>
      <c r="F879" s="34"/>
      <c r="G879" s="35"/>
      <c r="H879" s="34"/>
      <c r="I879" s="37"/>
    </row>
    <row r="880" ht="22.5" customHeight="1">
      <c r="A880" s="30"/>
      <c r="B880" s="31"/>
      <c r="C880" s="32"/>
      <c r="D880" s="33"/>
      <c r="E880" s="34"/>
      <c r="F880" s="34"/>
      <c r="G880" s="35"/>
      <c r="H880" s="34"/>
      <c r="I880" s="37"/>
    </row>
    <row r="881" ht="22.5" customHeight="1">
      <c r="A881" s="30"/>
      <c r="B881" s="31"/>
      <c r="C881" s="32"/>
      <c r="D881" s="33"/>
      <c r="E881" s="34"/>
      <c r="F881" s="34"/>
      <c r="G881" s="35"/>
      <c r="H881" s="34"/>
      <c r="I881" s="37"/>
    </row>
    <row r="882" ht="22.5" customHeight="1">
      <c r="A882" s="30"/>
      <c r="B882" s="40"/>
      <c r="C882" s="32"/>
      <c r="D882" s="33"/>
      <c r="E882" s="34"/>
      <c r="F882" s="34"/>
      <c r="G882" s="35"/>
      <c r="H882" s="34"/>
      <c r="I882" s="37"/>
    </row>
    <row r="883" ht="22.5" customHeight="1">
      <c r="A883" s="30"/>
      <c r="B883" s="31"/>
      <c r="C883" s="32"/>
      <c r="D883" s="33"/>
      <c r="E883" s="34"/>
      <c r="F883" s="34"/>
      <c r="G883" s="35"/>
      <c r="H883" s="34"/>
      <c r="I883" s="37"/>
    </row>
    <row r="884" ht="22.5" customHeight="1">
      <c r="A884" s="30"/>
      <c r="B884" s="31"/>
      <c r="C884" s="32"/>
      <c r="D884" s="33"/>
      <c r="E884" s="34"/>
      <c r="F884" s="34"/>
      <c r="G884" s="35"/>
      <c r="H884" s="34"/>
      <c r="I884" s="37"/>
    </row>
    <row r="885" ht="22.5" customHeight="1">
      <c r="A885" s="30"/>
      <c r="B885" s="31"/>
      <c r="C885" s="32"/>
      <c r="D885" s="33"/>
      <c r="E885" s="34"/>
      <c r="F885" s="34"/>
      <c r="G885" s="35"/>
      <c r="H885" s="34"/>
      <c r="I885" s="37"/>
    </row>
    <row r="886" ht="22.5" customHeight="1">
      <c r="A886" s="30"/>
      <c r="B886" s="31"/>
      <c r="C886" s="32"/>
      <c r="D886" s="33"/>
      <c r="E886" s="34"/>
      <c r="F886" s="34"/>
      <c r="G886" s="35"/>
      <c r="H886" s="34"/>
      <c r="I886" s="37"/>
    </row>
    <row r="887" ht="22.5" customHeight="1">
      <c r="A887" s="30"/>
      <c r="B887" s="31"/>
      <c r="C887" s="32"/>
      <c r="D887" s="33"/>
      <c r="E887" s="34"/>
      <c r="F887" s="34"/>
      <c r="G887" s="35"/>
      <c r="H887" s="34"/>
      <c r="I887" s="37"/>
    </row>
    <row r="888" ht="22.5" customHeight="1">
      <c r="A888" s="30"/>
      <c r="B888" s="31"/>
      <c r="C888" s="32"/>
      <c r="D888" s="33"/>
      <c r="E888" s="34"/>
      <c r="F888" s="34"/>
      <c r="G888" s="35"/>
      <c r="H888" s="34"/>
      <c r="I888" s="37"/>
    </row>
    <row r="889" ht="22.5" customHeight="1">
      <c r="A889" s="30"/>
      <c r="B889" s="31"/>
      <c r="C889" s="32"/>
      <c r="D889" s="33"/>
      <c r="E889" s="34"/>
      <c r="F889" s="34"/>
      <c r="G889" s="35"/>
      <c r="H889" s="34"/>
      <c r="I889" s="37"/>
    </row>
    <row r="890" ht="22.5" customHeight="1">
      <c r="A890" s="30"/>
      <c r="B890" s="31"/>
      <c r="C890" s="32"/>
      <c r="D890" s="33"/>
      <c r="E890" s="34"/>
      <c r="F890" s="34"/>
      <c r="G890" s="35"/>
      <c r="H890" s="34"/>
      <c r="I890" s="37"/>
    </row>
    <row r="891" ht="22.5" customHeight="1">
      <c r="A891" s="30"/>
      <c r="B891" s="31"/>
      <c r="C891" s="32"/>
      <c r="D891" s="33"/>
      <c r="E891" s="34"/>
      <c r="F891" s="34"/>
      <c r="G891" s="35"/>
      <c r="H891" s="34"/>
      <c r="I891" s="37"/>
    </row>
    <row r="892" ht="22.5" customHeight="1">
      <c r="A892" s="30"/>
      <c r="B892" s="31"/>
      <c r="C892" s="32"/>
      <c r="D892" s="33"/>
      <c r="E892" s="34"/>
      <c r="F892" s="34"/>
      <c r="G892" s="35"/>
      <c r="H892" s="34"/>
      <c r="I892" s="37"/>
    </row>
    <row r="893" ht="22.5" customHeight="1">
      <c r="A893" s="30"/>
      <c r="B893" s="31"/>
      <c r="C893" s="32"/>
      <c r="D893" s="33"/>
      <c r="E893" s="34"/>
      <c r="F893" s="34"/>
      <c r="G893" s="35"/>
      <c r="H893" s="34"/>
      <c r="I893" s="37"/>
    </row>
    <row r="894" ht="22.5" customHeight="1">
      <c r="A894" s="30"/>
      <c r="B894" s="31"/>
      <c r="C894" s="32"/>
      <c r="D894" s="33"/>
      <c r="E894" s="34"/>
      <c r="F894" s="34"/>
      <c r="G894" s="35"/>
      <c r="H894" s="34"/>
      <c r="I894" s="37"/>
    </row>
    <row r="895" ht="22.5" customHeight="1">
      <c r="A895" s="30"/>
      <c r="B895" s="31"/>
      <c r="C895" s="32"/>
      <c r="D895" s="33"/>
      <c r="E895" s="34"/>
      <c r="F895" s="34"/>
      <c r="G895" s="35"/>
      <c r="H895" s="34"/>
      <c r="I895" s="37"/>
    </row>
    <row r="896" ht="22.5" customHeight="1">
      <c r="A896" s="30"/>
      <c r="B896" s="31"/>
      <c r="C896" s="32"/>
      <c r="D896" s="33"/>
      <c r="E896" s="34"/>
      <c r="F896" s="34"/>
      <c r="G896" s="35"/>
      <c r="H896" s="34"/>
      <c r="I896" s="37"/>
    </row>
    <row r="897" ht="22.5" customHeight="1">
      <c r="A897" s="30"/>
      <c r="B897" s="31"/>
      <c r="C897" s="32"/>
      <c r="D897" s="33"/>
      <c r="E897" s="34"/>
      <c r="F897" s="34"/>
      <c r="G897" s="35"/>
      <c r="H897" s="34"/>
      <c r="I897" s="37"/>
    </row>
    <row r="898" ht="22.5" customHeight="1">
      <c r="A898" s="30"/>
      <c r="B898" s="31"/>
      <c r="C898" s="32"/>
      <c r="D898" s="33"/>
      <c r="E898" s="34"/>
      <c r="F898" s="34"/>
      <c r="G898" s="35"/>
      <c r="H898" s="34"/>
      <c r="I898" s="37"/>
    </row>
    <row r="899" ht="22.5" customHeight="1">
      <c r="A899" s="30"/>
      <c r="B899" s="31"/>
      <c r="C899" s="32"/>
      <c r="D899" s="33"/>
      <c r="E899" s="34"/>
      <c r="F899" s="34"/>
      <c r="G899" s="35"/>
      <c r="H899" s="34"/>
      <c r="I899" s="37"/>
    </row>
    <row r="900" ht="22.5" customHeight="1">
      <c r="A900" s="30"/>
      <c r="B900" s="31"/>
      <c r="C900" s="32"/>
      <c r="D900" s="33"/>
      <c r="E900" s="34"/>
      <c r="F900" s="34"/>
      <c r="G900" s="35"/>
      <c r="H900" s="34"/>
      <c r="I900" s="37"/>
    </row>
    <row r="901" ht="22.5" customHeight="1">
      <c r="A901" s="30"/>
      <c r="B901" s="31"/>
      <c r="C901" s="32"/>
      <c r="D901" s="33"/>
      <c r="E901" s="34"/>
      <c r="F901" s="34"/>
      <c r="G901" s="35"/>
      <c r="H901" s="34"/>
      <c r="I901" s="37"/>
    </row>
    <row r="902" ht="22.5" customHeight="1">
      <c r="A902" s="30"/>
      <c r="B902" s="31"/>
      <c r="C902" s="32"/>
      <c r="D902" s="33"/>
      <c r="E902" s="34"/>
      <c r="F902" s="34"/>
      <c r="G902" s="35"/>
      <c r="H902" s="34"/>
      <c r="I902" s="37"/>
    </row>
    <row r="903" ht="22.5" customHeight="1">
      <c r="A903" s="30"/>
      <c r="B903" s="31"/>
      <c r="C903" s="32"/>
      <c r="D903" s="33"/>
      <c r="E903" s="34"/>
      <c r="F903" s="34"/>
      <c r="G903" s="35"/>
      <c r="H903" s="34"/>
      <c r="I903" s="37"/>
    </row>
    <row r="904" ht="22.5" customHeight="1">
      <c r="A904" s="30"/>
      <c r="B904" s="40"/>
      <c r="C904" s="32"/>
      <c r="D904" s="33"/>
      <c r="E904" s="34"/>
      <c r="F904" s="34"/>
      <c r="G904" s="35"/>
      <c r="H904" s="34"/>
      <c r="I904" s="37"/>
    </row>
    <row r="905" ht="22.5" customHeight="1">
      <c r="A905" s="30"/>
      <c r="B905" s="31"/>
      <c r="C905" s="32"/>
      <c r="D905" s="33"/>
      <c r="E905" s="34"/>
      <c r="F905" s="34"/>
      <c r="G905" s="35"/>
      <c r="H905" s="34"/>
      <c r="I905" s="37"/>
    </row>
    <row r="906" ht="22.5" customHeight="1">
      <c r="A906" s="30"/>
      <c r="B906" s="31"/>
      <c r="C906" s="32"/>
      <c r="D906" s="33"/>
      <c r="E906" s="34"/>
      <c r="F906" s="34"/>
      <c r="G906" s="35"/>
      <c r="H906" s="34"/>
      <c r="I906" s="37"/>
    </row>
    <row r="907" ht="22.5" customHeight="1">
      <c r="A907" s="30"/>
      <c r="B907" s="31"/>
      <c r="C907" s="32"/>
      <c r="D907" s="33"/>
      <c r="E907" s="34"/>
      <c r="F907" s="34"/>
      <c r="G907" s="35"/>
      <c r="H907" s="34"/>
      <c r="I907" s="37"/>
    </row>
    <row r="908" ht="22.5" customHeight="1">
      <c r="A908" s="30"/>
      <c r="B908" s="31"/>
      <c r="C908" s="32"/>
      <c r="D908" s="33"/>
      <c r="E908" s="34"/>
      <c r="F908" s="34"/>
      <c r="G908" s="35"/>
      <c r="H908" s="34"/>
      <c r="I908" s="38"/>
    </row>
    <row r="909" ht="22.5" customHeight="1">
      <c r="A909" s="30"/>
      <c r="B909" s="39"/>
      <c r="C909" s="32"/>
      <c r="D909" s="33"/>
      <c r="E909" s="34"/>
      <c r="F909" s="34"/>
      <c r="G909" s="35"/>
      <c r="H909" s="34"/>
      <c r="I909" s="37"/>
    </row>
    <row r="910" ht="22.5" customHeight="1">
      <c r="A910" s="30"/>
      <c r="B910" s="31"/>
      <c r="C910" s="32"/>
      <c r="D910" s="33"/>
      <c r="E910" s="34"/>
      <c r="F910" s="34"/>
      <c r="G910" s="35"/>
      <c r="H910" s="34"/>
      <c r="I910" s="37"/>
    </row>
    <row r="911" ht="22.5" customHeight="1">
      <c r="A911" s="30"/>
      <c r="B911" s="31"/>
      <c r="C911" s="32"/>
      <c r="D911" s="33"/>
      <c r="E911" s="34"/>
      <c r="F911" s="34"/>
      <c r="G911" s="35"/>
      <c r="H911" s="34"/>
      <c r="I911" s="37"/>
    </row>
    <row r="912" ht="22.5" customHeight="1">
      <c r="A912" s="30"/>
      <c r="B912" s="31"/>
      <c r="C912" s="32"/>
      <c r="D912" s="33"/>
      <c r="E912" s="34"/>
      <c r="F912" s="34"/>
      <c r="G912" s="35"/>
      <c r="H912" s="34"/>
      <c r="I912" s="37"/>
    </row>
    <row r="913" ht="22.5" customHeight="1">
      <c r="A913" s="30"/>
      <c r="B913" s="39"/>
      <c r="C913" s="32"/>
      <c r="D913" s="33"/>
      <c r="E913" s="34"/>
      <c r="F913" s="34"/>
      <c r="G913" s="35"/>
      <c r="H913" s="34"/>
      <c r="I913" s="37"/>
    </row>
    <row r="914" ht="22.5" customHeight="1">
      <c r="A914" s="30"/>
      <c r="B914" s="31"/>
      <c r="C914" s="32"/>
      <c r="D914" s="33"/>
      <c r="E914" s="34"/>
      <c r="F914" s="34"/>
      <c r="G914" s="35"/>
      <c r="H914" s="34"/>
      <c r="I914" s="37"/>
    </row>
    <row r="915" ht="22.5" customHeight="1">
      <c r="A915" s="30"/>
      <c r="B915" s="39"/>
      <c r="C915" s="32"/>
      <c r="D915" s="33"/>
      <c r="E915" s="34"/>
      <c r="F915" s="34"/>
      <c r="G915" s="35"/>
      <c r="H915" s="34"/>
      <c r="I915" s="37"/>
    </row>
    <row r="916" ht="22.5" customHeight="1">
      <c r="A916" s="30"/>
      <c r="B916" s="31"/>
      <c r="C916" s="32"/>
      <c r="D916" s="33"/>
      <c r="E916" s="34"/>
      <c r="F916" s="34"/>
      <c r="G916" s="35"/>
      <c r="H916" s="34"/>
      <c r="I916" s="37"/>
    </row>
    <row r="917" ht="22.5" customHeight="1">
      <c r="A917" s="30"/>
      <c r="B917" s="31"/>
      <c r="C917" s="32"/>
      <c r="D917" s="33"/>
      <c r="E917" s="34"/>
      <c r="F917" s="34"/>
      <c r="G917" s="35"/>
      <c r="H917" s="34"/>
      <c r="I917" s="37"/>
    </row>
    <row r="918" ht="22.5" customHeight="1">
      <c r="A918" s="30"/>
      <c r="B918" s="31"/>
      <c r="C918" s="32"/>
      <c r="D918" s="33"/>
      <c r="E918" s="34"/>
      <c r="F918" s="34"/>
      <c r="G918" s="35"/>
      <c r="H918" s="34"/>
      <c r="I918" s="37"/>
    </row>
    <row r="919" ht="22.5" customHeight="1">
      <c r="A919" s="30"/>
      <c r="B919" s="31"/>
      <c r="C919" s="32"/>
      <c r="D919" s="33"/>
      <c r="E919" s="34"/>
      <c r="F919" s="34"/>
      <c r="G919" s="35"/>
      <c r="H919" s="34"/>
      <c r="I919" s="37"/>
    </row>
    <row r="920" ht="22.5" customHeight="1">
      <c r="A920" s="30"/>
      <c r="B920" s="31"/>
      <c r="C920" s="32"/>
      <c r="D920" s="33"/>
      <c r="E920" s="34"/>
      <c r="F920" s="34"/>
      <c r="G920" s="35"/>
      <c r="H920" s="34"/>
      <c r="I920" s="37"/>
    </row>
    <row r="921" ht="22.5" customHeight="1">
      <c r="A921" s="30"/>
      <c r="B921" s="31"/>
      <c r="C921" s="32"/>
      <c r="D921" s="33"/>
      <c r="E921" s="34"/>
      <c r="F921" s="34"/>
      <c r="G921" s="35"/>
      <c r="H921" s="34"/>
      <c r="I921" s="37"/>
    </row>
    <row r="922" ht="22.5" customHeight="1">
      <c r="A922" s="30"/>
      <c r="B922" s="31"/>
      <c r="C922" s="32"/>
      <c r="D922" s="33"/>
      <c r="E922" s="34"/>
      <c r="F922" s="34"/>
      <c r="G922" s="35"/>
      <c r="H922" s="34"/>
      <c r="I922" s="37"/>
    </row>
    <row r="923" ht="22.5" customHeight="1">
      <c r="A923" s="30"/>
      <c r="B923" s="31"/>
      <c r="C923" s="32"/>
      <c r="D923" s="33"/>
      <c r="E923" s="34"/>
      <c r="F923" s="34"/>
      <c r="G923" s="35"/>
      <c r="H923" s="34"/>
      <c r="I923" s="37"/>
    </row>
    <row r="924" ht="22.5" customHeight="1">
      <c r="A924" s="30"/>
      <c r="B924" s="31"/>
      <c r="C924" s="32"/>
      <c r="D924" s="33"/>
      <c r="E924" s="34"/>
      <c r="F924" s="34"/>
      <c r="G924" s="35"/>
      <c r="H924" s="34"/>
      <c r="I924" s="37"/>
    </row>
    <row r="925" ht="22.5" customHeight="1">
      <c r="A925" s="30"/>
      <c r="B925" s="31"/>
      <c r="C925" s="32"/>
      <c r="D925" s="33"/>
      <c r="E925" s="34"/>
      <c r="F925" s="34"/>
      <c r="G925" s="35"/>
      <c r="H925" s="34"/>
      <c r="I925" s="37"/>
    </row>
    <row r="926" ht="22.5" customHeight="1">
      <c r="A926" s="30"/>
      <c r="B926" s="40"/>
      <c r="C926" s="32"/>
      <c r="D926" s="33"/>
      <c r="E926" s="34"/>
      <c r="F926" s="34"/>
      <c r="G926" s="35"/>
      <c r="H926" s="34"/>
      <c r="I926" s="37"/>
    </row>
    <row r="927" ht="22.5" customHeight="1">
      <c r="A927" s="30"/>
      <c r="B927" s="31"/>
      <c r="C927" s="32"/>
      <c r="D927" s="33"/>
      <c r="E927" s="34"/>
      <c r="F927" s="34"/>
      <c r="G927" s="35"/>
      <c r="H927" s="34"/>
      <c r="I927" s="37"/>
    </row>
    <row r="928" ht="22.5" customHeight="1">
      <c r="A928" s="30"/>
      <c r="B928" s="31"/>
      <c r="C928" s="32"/>
      <c r="D928" s="33"/>
      <c r="E928" s="34"/>
      <c r="F928" s="34"/>
      <c r="G928" s="35"/>
      <c r="H928" s="34"/>
      <c r="I928" s="37"/>
    </row>
    <row r="929" ht="22.5" customHeight="1">
      <c r="A929" s="30"/>
      <c r="B929" s="31"/>
      <c r="C929" s="32"/>
      <c r="D929" s="33"/>
      <c r="E929" s="34"/>
      <c r="F929" s="34"/>
      <c r="G929" s="35"/>
      <c r="H929" s="34"/>
      <c r="I929" s="37"/>
    </row>
    <row r="930" ht="22.5" customHeight="1">
      <c r="A930" s="30"/>
      <c r="B930" s="31"/>
      <c r="C930" s="32"/>
      <c r="D930" s="33"/>
      <c r="E930" s="34"/>
      <c r="F930" s="34"/>
      <c r="G930" s="35"/>
      <c r="H930" s="34"/>
      <c r="I930" s="37"/>
    </row>
    <row r="931" ht="22.5" customHeight="1">
      <c r="A931" s="30"/>
      <c r="B931" s="31"/>
      <c r="C931" s="32"/>
      <c r="D931" s="33"/>
      <c r="E931" s="34"/>
      <c r="F931" s="34"/>
      <c r="G931" s="35"/>
      <c r="H931" s="34"/>
      <c r="I931" s="37"/>
    </row>
    <row r="932" ht="22.5" customHeight="1">
      <c r="A932" s="30"/>
      <c r="B932" s="31"/>
      <c r="C932" s="32"/>
      <c r="D932" s="33"/>
      <c r="E932" s="34"/>
      <c r="F932" s="34"/>
      <c r="G932" s="35"/>
      <c r="H932" s="34"/>
      <c r="I932" s="37"/>
    </row>
    <row r="933" ht="22.5" customHeight="1">
      <c r="A933" s="30"/>
      <c r="B933" s="39"/>
      <c r="C933" s="32"/>
      <c r="D933" s="33"/>
      <c r="E933" s="34"/>
      <c r="F933" s="34"/>
      <c r="G933" s="35"/>
      <c r="H933" s="34"/>
      <c r="I933" s="37"/>
    </row>
    <row r="934" ht="22.5" customHeight="1">
      <c r="A934" s="30"/>
      <c r="B934" s="39"/>
      <c r="C934" s="32"/>
      <c r="D934" s="33"/>
      <c r="E934" s="34"/>
      <c r="F934" s="34"/>
      <c r="G934" s="35"/>
      <c r="H934" s="34"/>
      <c r="I934" s="37"/>
    </row>
    <row r="935" ht="22.5" customHeight="1">
      <c r="A935" s="30"/>
      <c r="B935" s="39"/>
      <c r="C935" s="32"/>
      <c r="D935" s="33"/>
      <c r="E935" s="34"/>
      <c r="F935" s="34"/>
      <c r="G935" s="35"/>
      <c r="H935" s="34"/>
      <c r="I935" s="37"/>
    </row>
    <row r="936" ht="22.5" customHeight="1">
      <c r="A936" s="30"/>
      <c r="B936" s="40"/>
      <c r="C936" s="32"/>
      <c r="D936" s="33"/>
      <c r="E936" s="34"/>
      <c r="F936" s="34"/>
      <c r="G936" s="35"/>
      <c r="H936" s="34"/>
      <c r="I936" s="37"/>
    </row>
    <row r="937" ht="22.5" customHeight="1">
      <c r="A937" s="30"/>
      <c r="B937" s="31"/>
      <c r="C937" s="32"/>
      <c r="D937" s="33"/>
      <c r="E937" s="34"/>
      <c r="F937" s="34"/>
      <c r="G937" s="35"/>
      <c r="H937" s="34"/>
      <c r="I937" s="37"/>
    </row>
    <row r="938" ht="22.5" customHeight="1">
      <c r="A938" s="30"/>
      <c r="B938" s="31"/>
      <c r="C938" s="32"/>
      <c r="D938" s="33"/>
      <c r="E938" s="34"/>
      <c r="F938" s="34"/>
      <c r="G938" s="35"/>
      <c r="H938" s="34"/>
      <c r="I938" s="37"/>
    </row>
    <row r="939" ht="22.5" customHeight="1">
      <c r="A939" s="30"/>
      <c r="B939" s="31"/>
      <c r="C939" s="32"/>
      <c r="D939" s="33"/>
      <c r="E939" s="34"/>
      <c r="F939" s="34"/>
      <c r="G939" s="35"/>
      <c r="H939" s="34"/>
      <c r="I939" s="37"/>
    </row>
    <row r="940" ht="22.5" customHeight="1">
      <c r="A940" s="30"/>
      <c r="B940" s="31"/>
      <c r="C940" s="32"/>
      <c r="D940" s="33"/>
      <c r="E940" s="34"/>
      <c r="F940" s="34"/>
      <c r="G940" s="35"/>
      <c r="H940" s="34"/>
      <c r="I940" s="37"/>
    </row>
    <row r="941" ht="22.5" customHeight="1">
      <c r="A941" s="30"/>
      <c r="B941" s="31"/>
      <c r="C941" s="32"/>
      <c r="D941" s="33"/>
      <c r="E941" s="34"/>
      <c r="F941" s="34"/>
      <c r="G941" s="35"/>
      <c r="H941" s="34"/>
      <c r="I941" s="37"/>
    </row>
    <row r="942" ht="22.5" customHeight="1">
      <c r="A942" s="30"/>
      <c r="B942" s="31"/>
      <c r="C942" s="32"/>
      <c r="D942" s="33"/>
      <c r="E942" s="34"/>
      <c r="F942" s="34"/>
      <c r="G942" s="35"/>
      <c r="H942" s="34"/>
      <c r="I942" s="37"/>
    </row>
    <row r="943" ht="22.5" customHeight="1">
      <c r="A943" s="30"/>
      <c r="B943" s="31"/>
      <c r="C943" s="32"/>
      <c r="D943" s="33"/>
      <c r="E943" s="34"/>
      <c r="F943" s="34"/>
      <c r="G943" s="35"/>
      <c r="H943" s="34"/>
      <c r="I943" s="37"/>
    </row>
    <row r="944" ht="22.5" customHeight="1">
      <c r="A944" s="30"/>
      <c r="B944" s="31"/>
      <c r="C944" s="32"/>
      <c r="D944" s="33"/>
      <c r="E944" s="34"/>
      <c r="F944" s="34"/>
      <c r="G944" s="35"/>
      <c r="H944" s="34"/>
      <c r="I944" s="37"/>
    </row>
    <row r="945" ht="22.5" customHeight="1">
      <c r="A945" s="30"/>
      <c r="B945" s="31"/>
      <c r="C945" s="32"/>
      <c r="D945" s="33"/>
      <c r="E945" s="34"/>
      <c r="F945" s="34"/>
      <c r="G945" s="35"/>
      <c r="H945" s="34"/>
      <c r="I945" s="37"/>
    </row>
    <row r="946" ht="22.5" customHeight="1">
      <c r="A946" s="30"/>
      <c r="B946" s="40"/>
      <c r="C946" s="32"/>
      <c r="D946" s="33"/>
      <c r="E946" s="34"/>
      <c r="F946" s="34"/>
      <c r="G946" s="35"/>
      <c r="H946" s="34"/>
      <c r="I946" s="37"/>
    </row>
    <row r="947" ht="22.5" customHeight="1">
      <c r="A947" s="30"/>
      <c r="B947" s="31"/>
      <c r="C947" s="32"/>
      <c r="D947" s="33"/>
      <c r="E947" s="34"/>
      <c r="F947" s="34"/>
      <c r="G947" s="35"/>
      <c r="H947" s="34"/>
      <c r="I947" s="37"/>
    </row>
    <row r="948" ht="22.5" customHeight="1">
      <c r="A948" s="30"/>
      <c r="B948" s="31"/>
      <c r="C948" s="32"/>
      <c r="D948" s="33"/>
      <c r="E948" s="34"/>
      <c r="F948" s="34"/>
      <c r="G948" s="35"/>
      <c r="H948" s="34"/>
      <c r="I948" s="37"/>
    </row>
    <row r="949" ht="22.5" customHeight="1">
      <c r="A949" s="30"/>
      <c r="B949" s="31"/>
      <c r="C949" s="32"/>
      <c r="D949" s="33"/>
      <c r="E949" s="34"/>
      <c r="F949" s="34"/>
      <c r="G949" s="35"/>
      <c r="H949" s="34"/>
      <c r="I949" s="37"/>
    </row>
    <row r="950" ht="22.5" customHeight="1">
      <c r="A950" s="30"/>
      <c r="B950" s="40"/>
      <c r="C950" s="32"/>
      <c r="D950" s="33"/>
      <c r="E950" s="34"/>
      <c r="F950" s="34"/>
      <c r="G950" s="35"/>
      <c r="H950" s="34"/>
      <c r="I950" s="37"/>
    </row>
    <row r="951" ht="22.5" customHeight="1">
      <c r="A951" s="30"/>
      <c r="B951" s="31"/>
      <c r="C951" s="32"/>
      <c r="D951" s="33"/>
      <c r="E951" s="34"/>
      <c r="F951" s="34"/>
      <c r="G951" s="35"/>
      <c r="H951" s="34"/>
      <c r="I951" s="37"/>
    </row>
    <row r="952" ht="22.5" customHeight="1">
      <c r="A952" s="30"/>
      <c r="B952" s="31"/>
      <c r="C952" s="32"/>
      <c r="D952" s="33"/>
      <c r="E952" s="34"/>
      <c r="F952" s="34"/>
      <c r="G952" s="35"/>
      <c r="H952" s="34"/>
      <c r="I952" s="37"/>
    </row>
    <row r="953" ht="22.5" customHeight="1">
      <c r="A953" s="30"/>
      <c r="B953" s="31"/>
      <c r="C953" s="32"/>
      <c r="D953" s="33"/>
      <c r="E953" s="34"/>
      <c r="F953" s="34"/>
      <c r="G953" s="35"/>
      <c r="H953" s="34"/>
      <c r="I953" s="37"/>
    </row>
    <row r="954" ht="22.5" customHeight="1">
      <c r="A954" s="30"/>
      <c r="B954" s="31"/>
      <c r="C954" s="32"/>
      <c r="D954" s="33"/>
      <c r="E954" s="34"/>
      <c r="F954" s="34"/>
      <c r="G954" s="35"/>
      <c r="H954" s="34"/>
      <c r="I954" s="37"/>
    </row>
    <row r="955" ht="22.5" customHeight="1">
      <c r="A955" s="30"/>
      <c r="B955" s="31"/>
      <c r="C955" s="32"/>
      <c r="D955" s="33"/>
      <c r="E955" s="34"/>
      <c r="F955" s="34"/>
      <c r="G955" s="35"/>
      <c r="H955" s="34"/>
      <c r="I955" s="37"/>
    </row>
    <row r="956" ht="22.5" customHeight="1">
      <c r="A956" s="30"/>
      <c r="B956" s="31"/>
      <c r="C956" s="32"/>
      <c r="D956" s="33"/>
      <c r="E956" s="34"/>
      <c r="F956" s="34"/>
      <c r="G956" s="35"/>
      <c r="H956" s="34"/>
      <c r="I956" s="37"/>
    </row>
    <row r="957" ht="22.5" customHeight="1">
      <c r="A957" s="30"/>
      <c r="B957" s="31"/>
      <c r="C957" s="32"/>
      <c r="D957" s="33"/>
      <c r="E957" s="34"/>
      <c r="F957" s="34"/>
      <c r="G957" s="35"/>
      <c r="H957" s="34"/>
      <c r="I957" s="37"/>
    </row>
    <row r="958" ht="22.5" customHeight="1">
      <c r="A958" s="30"/>
      <c r="B958" s="31"/>
      <c r="C958" s="32"/>
      <c r="D958" s="33"/>
      <c r="E958" s="34"/>
      <c r="F958" s="34"/>
      <c r="G958" s="35"/>
      <c r="H958" s="34"/>
      <c r="I958" s="37"/>
    </row>
    <row r="959" ht="22.5" customHeight="1">
      <c r="A959" s="30"/>
      <c r="B959" s="31"/>
      <c r="C959" s="32"/>
      <c r="D959" s="33"/>
      <c r="E959" s="34"/>
      <c r="F959" s="34"/>
      <c r="G959" s="35"/>
      <c r="H959" s="34"/>
      <c r="I959" s="37"/>
    </row>
    <row r="960" ht="22.5" customHeight="1">
      <c r="A960" s="30"/>
      <c r="B960" s="31"/>
      <c r="C960" s="32"/>
      <c r="D960" s="33"/>
      <c r="E960" s="34"/>
      <c r="F960" s="34"/>
      <c r="G960" s="35"/>
      <c r="H960" s="34"/>
      <c r="I960" s="37"/>
    </row>
    <row r="961" ht="22.5" customHeight="1">
      <c r="A961" s="30"/>
      <c r="B961" s="31"/>
      <c r="C961" s="32"/>
      <c r="D961" s="33"/>
      <c r="E961" s="34"/>
      <c r="F961" s="34"/>
      <c r="G961" s="35"/>
      <c r="H961" s="34"/>
      <c r="I961" s="37"/>
    </row>
    <row r="962" ht="22.5" customHeight="1">
      <c r="A962" s="30"/>
      <c r="B962" s="31"/>
      <c r="C962" s="32"/>
      <c r="D962" s="33"/>
      <c r="E962" s="34"/>
      <c r="F962" s="34"/>
      <c r="G962" s="35"/>
      <c r="H962" s="34"/>
      <c r="I962" s="37"/>
    </row>
    <row r="963" ht="22.5" customHeight="1">
      <c r="A963" s="30"/>
      <c r="B963" s="31"/>
      <c r="C963" s="32"/>
      <c r="D963" s="33"/>
      <c r="E963" s="34"/>
      <c r="F963" s="34"/>
      <c r="G963" s="35"/>
      <c r="H963" s="34"/>
      <c r="I963" s="37"/>
    </row>
    <row r="964" ht="22.5" customHeight="1">
      <c r="A964" s="30"/>
      <c r="B964" s="31"/>
      <c r="C964" s="32"/>
      <c r="D964" s="33"/>
      <c r="E964" s="34"/>
      <c r="F964" s="34"/>
      <c r="G964" s="35"/>
      <c r="H964" s="34"/>
      <c r="I964" s="37"/>
    </row>
    <row r="965" ht="22.5" customHeight="1">
      <c r="A965" s="30"/>
      <c r="B965" s="40"/>
      <c r="C965" s="32"/>
      <c r="D965" s="33"/>
      <c r="E965" s="34"/>
      <c r="F965" s="34"/>
      <c r="G965" s="35"/>
      <c r="H965" s="34"/>
      <c r="I965" s="37"/>
    </row>
    <row r="966" ht="22.5" customHeight="1">
      <c r="A966" s="30"/>
      <c r="B966" s="31"/>
      <c r="C966" s="32"/>
      <c r="D966" s="33"/>
      <c r="E966" s="34"/>
      <c r="F966" s="34"/>
      <c r="G966" s="35"/>
      <c r="H966" s="34"/>
      <c r="I966" s="37"/>
    </row>
    <row r="967" ht="22.5" customHeight="1">
      <c r="A967" s="30"/>
      <c r="B967" s="40"/>
      <c r="C967" s="32"/>
      <c r="D967" s="33"/>
      <c r="E967" s="34"/>
      <c r="F967" s="34"/>
      <c r="G967" s="35"/>
      <c r="H967" s="34"/>
      <c r="I967" s="37"/>
    </row>
    <row r="968" ht="22.5" customHeight="1">
      <c r="A968" s="30"/>
      <c r="B968" s="31"/>
      <c r="C968" s="32"/>
      <c r="D968" s="33"/>
      <c r="E968" s="34"/>
      <c r="F968" s="34"/>
      <c r="G968" s="35"/>
      <c r="H968" s="34"/>
      <c r="I968" s="37"/>
    </row>
    <row r="969" ht="22.5" customHeight="1">
      <c r="A969" s="30"/>
      <c r="B969" s="31"/>
      <c r="C969" s="32"/>
      <c r="D969" s="33"/>
      <c r="E969" s="34"/>
      <c r="F969" s="34"/>
      <c r="G969" s="35"/>
      <c r="H969" s="34"/>
      <c r="I969" s="37"/>
    </row>
    <row r="970" ht="22.5" customHeight="1">
      <c r="A970" s="30"/>
      <c r="B970" s="31"/>
      <c r="C970" s="32"/>
      <c r="D970" s="33"/>
      <c r="E970" s="34"/>
      <c r="F970" s="34"/>
      <c r="G970" s="35"/>
      <c r="H970" s="34"/>
      <c r="I970" s="37"/>
    </row>
    <row r="971" ht="22.5" customHeight="1">
      <c r="A971" s="30"/>
      <c r="B971" s="31"/>
      <c r="C971" s="32"/>
      <c r="D971" s="33"/>
      <c r="E971" s="34"/>
      <c r="F971" s="34"/>
      <c r="G971" s="35"/>
      <c r="H971" s="34"/>
      <c r="I971" s="37"/>
    </row>
    <row r="972" ht="22.5" customHeight="1">
      <c r="A972" s="30"/>
      <c r="B972" s="40"/>
      <c r="C972" s="32"/>
      <c r="D972" s="33"/>
      <c r="E972" s="34"/>
      <c r="F972" s="34"/>
      <c r="G972" s="35"/>
      <c r="H972" s="34"/>
      <c r="I972" s="37"/>
    </row>
    <row r="973" ht="22.5" customHeight="1">
      <c r="A973" s="30"/>
      <c r="B973" s="31"/>
      <c r="C973" s="32"/>
      <c r="D973" s="33"/>
      <c r="E973" s="34"/>
      <c r="F973" s="34"/>
      <c r="G973" s="35"/>
      <c r="H973" s="34"/>
      <c r="I973" s="37"/>
    </row>
    <row r="974" ht="22.5" customHeight="1">
      <c r="A974" s="30"/>
      <c r="B974" s="31"/>
      <c r="C974" s="32"/>
      <c r="D974" s="33"/>
      <c r="E974" s="34"/>
      <c r="F974" s="34"/>
      <c r="G974" s="35"/>
      <c r="H974" s="34"/>
      <c r="I974" s="37"/>
    </row>
    <row r="975" ht="22.5" customHeight="1">
      <c r="A975" s="30"/>
      <c r="B975" s="31"/>
      <c r="C975" s="32"/>
      <c r="D975" s="33"/>
      <c r="E975" s="34"/>
      <c r="F975" s="34"/>
      <c r="G975" s="35"/>
      <c r="H975" s="34"/>
      <c r="I975" s="37"/>
    </row>
    <row r="976" ht="22.5" customHeight="1">
      <c r="A976" s="30"/>
      <c r="B976" s="31"/>
      <c r="C976" s="32"/>
      <c r="D976" s="33"/>
      <c r="E976" s="34"/>
      <c r="F976" s="34"/>
      <c r="G976" s="35"/>
      <c r="H976" s="34"/>
      <c r="I976" s="37"/>
    </row>
    <row r="977" ht="22.5" customHeight="1">
      <c r="A977" s="30"/>
      <c r="B977" s="31"/>
      <c r="C977" s="32"/>
      <c r="D977" s="33"/>
      <c r="E977" s="34"/>
      <c r="F977" s="34"/>
      <c r="G977" s="35"/>
      <c r="H977" s="34"/>
      <c r="I977" s="37"/>
    </row>
    <row r="978" ht="22.5" customHeight="1">
      <c r="A978" s="30"/>
      <c r="B978" s="31"/>
      <c r="C978" s="32"/>
      <c r="D978" s="33"/>
      <c r="E978" s="34"/>
      <c r="F978" s="34"/>
      <c r="G978" s="35"/>
      <c r="H978" s="34"/>
      <c r="I978" s="37"/>
    </row>
    <row r="979" ht="22.5" customHeight="1">
      <c r="A979" s="30"/>
      <c r="B979" s="31"/>
      <c r="C979" s="32"/>
      <c r="D979" s="33"/>
      <c r="E979" s="34"/>
      <c r="F979" s="34"/>
      <c r="G979" s="35"/>
      <c r="H979" s="34"/>
      <c r="I979" s="37"/>
    </row>
    <row r="980" ht="22.5" customHeight="1">
      <c r="A980" s="30"/>
      <c r="B980" s="31"/>
      <c r="C980" s="32"/>
      <c r="D980" s="33"/>
      <c r="E980" s="34"/>
      <c r="F980" s="34"/>
      <c r="G980" s="35"/>
      <c r="H980" s="34"/>
      <c r="I980" s="37"/>
    </row>
    <row r="981" ht="22.5" customHeight="1">
      <c r="A981" s="30"/>
      <c r="B981" s="31"/>
      <c r="C981" s="32"/>
      <c r="D981" s="33"/>
      <c r="E981" s="34"/>
      <c r="F981" s="34"/>
      <c r="G981" s="35"/>
      <c r="H981" s="34"/>
      <c r="I981" s="37"/>
    </row>
    <row r="982" ht="22.5" customHeight="1">
      <c r="A982" s="30"/>
      <c r="B982" s="31"/>
      <c r="C982" s="32"/>
      <c r="D982" s="33"/>
      <c r="E982" s="34"/>
      <c r="F982" s="34"/>
      <c r="G982" s="35"/>
      <c r="H982" s="34"/>
      <c r="I982" s="37"/>
    </row>
    <row r="983" ht="22.5" customHeight="1">
      <c r="A983" s="30"/>
      <c r="B983" s="31"/>
      <c r="C983" s="32"/>
      <c r="D983" s="33"/>
      <c r="E983" s="34"/>
      <c r="F983" s="34"/>
      <c r="G983" s="35"/>
      <c r="H983" s="34"/>
      <c r="I983" s="37"/>
    </row>
    <row r="984" ht="22.5" customHeight="1">
      <c r="A984" s="30"/>
      <c r="B984" s="31"/>
      <c r="C984" s="32"/>
      <c r="D984" s="33"/>
      <c r="E984" s="34"/>
      <c r="F984" s="34"/>
      <c r="G984" s="35"/>
      <c r="H984" s="34"/>
      <c r="I984" s="37"/>
    </row>
    <row r="985" ht="22.5" customHeight="1">
      <c r="A985" s="30"/>
      <c r="B985" s="31"/>
      <c r="C985" s="32"/>
      <c r="D985" s="33"/>
      <c r="E985" s="34"/>
      <c r="F985" s="34"/>
      <c r="G985" s="35"/>
      <c r="H985" s="34"/>
      <c r="I985" s="37"/>
    </row>
    <row r="986" ht="22.5" customHeight="1">
      <c r="A986" s="30"/>
      <c r="B986" s="31"/>
      <c r="C986" s="32"/>
      <c r="D986" s="33"/>
      <c r="E986" s="34"/>
      <c r="F986" s="34"/>
      <c r="G986" s="35"/>
      <c r="H986" s="34"/>
      <c r="I986" s="37"/>
    </row>
    <row r="987" ht="22.5" customHeight="1">
      <c r="A987" s="30"/>
      <c r="B987" s="31"/>
      <c r="C987" s="32"/>
      <c r="D987" s="33"/>
      <c r="E987" s="34"/>
      <c r="F987" s="34"/>
      <c r="G987" s="35"/>
      <c r="H987" s="34"/>
      <c r="I987" s="37"/>
    </row>
    <row r="988" ht="22.5" customHeight="1">
      <c r="A988" s="30"/>
      <c r="B988" s="31"/>
      <c r="C988" s="32"/>
      <c r="D988" s="33"/>
      <c r="E988" s="34"/>
      <c r="F988" s="34"/>
      <c r="G988" s="35"/>
      <c r="H988" s="34"/>
      <c r="I988" s="37"/>
    </row>
    <row r="989" ht="22.5" customHeight="1">
      <c r="A989" s="30"/>
      <c r="B989" s="31"/>
      <c r="C989" s="32"/>
      <c r="D989" s="33"/>
      <c r="E989" s="34"/>
      <c r="F989" s="34"/>
      <c r="G989" s="35"/>
      <c r="H989" s="34"/>
      <c r="I989" s="37"/>
    </row>
    <row r="990" ht="22.5" customHeight="1">
      <c r="A990" s="30"/>
      <c r="B990" s="31"/>
      <c r="C990" s="32"/>
      <c r="D990" s="33"/>
      <c r="E990" s="34"/>
      <c r="F990" s="34"/>
      <c r="G990" s="35"/>
      <c r="H990" s="34"/>
      <c r="I990" s="37"/>
    </row>
    <row r="991" ht="22.5" customHeight="1">
      <c r="A991" s="30"/>
      <c r="B991" s="31"/>
      <c r="C991" s="32"/>
      <c r="D991" s="33"/>
      <c r="E991" s="34"/>
      <c r="F991" s="34"/>
      <c r="G991" s="35"/>
      <c r="H991" s="34"/>
      <c r="I991" s="37"/>
    </row>
    <row r="992" ht="22.5" customHeight="1">
      <c r="A992" s="30"/>
      <c r="B992" s="31"/>
      <c r="C992" s="32"/>
      <c r="D992" s="33"/>
      <c r="E992" s="34"/>
      <c r="F992" s="34"/>
      <c r="G992" s="35"/>
      <c r="H992" s="34"/>
      <c r="I992" s="37"/>
    </row>
    <row r="993" ht="22.5" customHeight="1">
      <c r="A993" s="30"/>
      <c r="B993" s="31"/>
      <c r="C993" s="32"/>
      <c r="D993" s="33"/>
      <c r="E993" s="34"/>
      <c r="F993" s="34"/>
      <c r="G993" s="35"/>
      <c r="H993" s="34"/>
      <c r="I993" s="37"/>
    </row>
    <row r="994" ht="22.5" customHeight="1">
      <c r="A994" s="30"/>
      <c r="B994" s="40"/>
      <c r="C994" s="32"/>
      <c r="D994" s="33"/>
      <c r="E994" s="34"/>
      <c r="F994" s="34"/>
      <c r="G994" s="35"/>
      <c r="H994" s="34"/>
      <c r="I994" s="37"/>
    </row>
    <row r="995" ht="22.5" customHeight="1">
      <c r="A995" s="30"/>
      <c r="B995" s="31"/>
      <c r="C995" s="32"/>
      <c r="D995" s="33"/>
      <c r="E995" s="34"/>
      <c r="F995" s="34"/>
      <c r="G995" s="35"/>
      <c r="H995" s="34"/>
      <c r="I995" s="37"/>
    </row>
    <row r="996" ht="22.5" customHeight="1">
      <c r="A996" s="30"/>
      <c r="B996" s="31"/>
      <c r="C996" s="32"/>
      <c r="D996" s="33"/>
      <c r="E996" s="34"/>
      <c r="F996" s="34"/>
      <c r="G996" s="35"/>
      <c r="H996" s="34"/>
      <c r="I996" s="37"/>
    </row>
    <row r="997" ht="22.5" customHeight="1">
      <c r="A997" s="30"/>
      <c r="B997" s="31"/>
      <c r="C997" s="32"/>
      <c r="D997" s="33"/>
      <c r="E997" s="34"/>
      <c r="F997" s="34"/>
      <c r="G997" s="35"/>
      <c r="H997" s="34"/>
      <c r="I997" s="37"/>
    </row>
    <row r="998" ht="22.5" customHeight="1">
      <c r="A998" s="30"/>
      <c r="B998" s="31"/>
      <c r="C998" s="32"/>
      <c r="D998" s="33"/>
      <c r="E998" s="34"/>
      <c r="F998" s="34"/>
      <c r="G998" s="35"/>
      <c r="H998" s="34"/>
      <c r="I998" s="38"/>
    </row>
    <row r="999" ht="22.5" customHeight="1">
      <c r="A999" s="30"/>
      <c r="B999" s="39"/>
      <c r="C999" s="32"/>
      <c r="D999" s="33"/>
      <c r="E999" s="34"/>
      <c r="F999" s="34"/>
      <c r="G999" s="35"/>
      <c r="H999" s="34"/>
      <c r="I999" s="37"/>
    </row>
    <row r="1000" ht="22.5" customHeight="1">
      <c r="A1000" s="30"/>
      <c r="B1000" s="31"/>
      <c r="C1000" s="32"/>
      <c r="D1000" s="33"/>
      <c r="E1000" s="34"/>
      <c r="F1000" s="34"/>
      <c r="G1000" s="35"/>
      <c r="H1000" s="34"/>
      <c r="I1000" s="37"/>
    </row>
    <row r="1001" ht="22.5" customHeight="1">
      <c r="A1001" s="30"/>
      <c r="B1001" s="31"/>
      <c r="C1001" s="32"/>
      <c r="D1001" s="33"/>
      <c r="E1001" s="34"/>
      <c r="F1001" s="34"/>
      <c r="G1001" s="35"/>
      <c r="H1001" s="34"/>
      <c r="I1001" s="37"/>
    </row>
    <row r="1002" ht="22.5" customHeight="1">
      <c r="A1002" s="30"/>
      <c r="B1002" s="31"/>
      <c r="C1002" s="32"/>
      <c r="D1002" s="33"/>
      <c r="E1002" s="34"/>
      <c r="F1002" s="34"/>
      <c r="G1002" s="35"/>
      <c r="H1002" s="34"/>
      <c r="I1002" s="37"/>
    </row>
    <row r="1003" ht="22.5" customHeight="1">
      <c r="A1003" s="30"/>
      <c r="B1003" s="39"/>
      <c r="C1003" s="32"/>
      <c r="D1003" s="33"/>
      <c r="E1003" s="34"/>
      <c r="F1003" s="34"/>
      <c r="G1003" s="35"/>
      <c r="H1003" s="34"/>
      <c r="I1003" s="37"/>
    </row>
    <row r="1004" ht="22.5" customHeight="1">
      <c r="A1004" s="30"/>
      <c r="B1004" s="31"/>
      <c r="C1004" s="32"/>
      <c r="D1004" s="33"/>
      <c r="E1004" s="34"/>
      <c r="F1004" s="34"/>
      <c r="G1004" s="35"/>
      <c r="H1004" s="34"/>
      <c r="I1004" s="37"/>
    </row>
    <row r="1005" ht="22.5" customHeight="1">
      <c r="A1005" s="30"/>
      <c r="B1005" s="39"/>
      <c r="C1005" s="32"/>
      <c r="D1005" s="33"/>
      <c r="E1005" s="34"/>
      <c r="F1005" s="34"/>
      <c r="G1005" s="35"/>
      <c r="H1005" s="34"/>
      <c r="I1005" s="37"/>
    </row>
    <row r="1006" ht="22.5" customHeight="1">
      <c r="A1006" s="30"/>
      <c r="B1006" s="31"/>
      <c r="C1006" s="32"/>
      <c r="D1006" s="33"/>
      <c r="E1006" s="34"/>
      <c r="F1006" s="34"/>
      <c r="G1006" s="35"/>
      <c r="H1006" s="34"/>
      <c r="I1006" s="37"/>
    </row>
    <row r="1007" ht="22.5" customHeight="1">
      <c r="A1007" s="30"/>
      <c r="B1007" s="31"/>
      <c r="C1007" s="32"/>
      <c r="D1007" s="33"/>
      <c r="E1007" s="34"/>
      <c r="F1007" s="34"/>
      <c r="G1007" s="35"/>
      <c r="H1007" s="34"/>
      <c r="I1007" s="37"/>
    </row>
    <row r="1008" ht="22.5" customHeight="1">
      <c r="A1008" s="30"/>
      <c r="B1008" s="31"/>
      <c r="C1008" s="32"/>
      <c r="D1008" s="33"/>
      <c r="E1008" s="34"/>
      <c r="F1008" s="34"/>
      <c r="G1008" s="35"/>
      <c r="H1008" s="34"/>
      <c r="I1008" s="37"/>
    </row>
    <row r="1009" ht="22.5" customHeight="1">
      <c r="A1009" s="30"/>
      <c r="B1009" s="31"/>
      <c r="C1009" s="32"/>
      <c r="D1009" s="33"/>
      <c r="E1009" s="34"/>
      <c r="F1009" s="34"/>
      <c r="G1009" s="35"/>
      <c r="H1009" s="34"/>
      <c r="I1009" s="37"/>
    </row>
    <row r="1010" ht="22.5" customHeight="1">
      <c r="A1010" s="30"/>
      <c r="B1010" s="31"/>
      <c r="C1010" s="32"/>
      <c r="D1010" s="33"/>
      <c r="E1010" s="34"/>
      <c r="F1010" s="34"/>
      <c r="G1010" s="35"/>
      <c r="H1010" s="34"/>
      <c r="I1010" s="37"/>
    </row>
    <row r="1011" ht="22.5" customHeight="1">
      <c r="A1011" s="30"/>
      <c r="B1011" s="31"/>
      <c r="C1011" s="32"/>
      <c r="D1011" s="33"/>
      <c r="E1011" s="34"/>
      <c r="F1011" s="34"/>
      <c r="G1011" s="35"/>
      <c r="H1011" s="34"/>
      <c r="I1011" s="37"/>
    </row>
    <row r="1012" ht="22.5" customHeight="1">
      <c r="A1012" s="30"/>
      <c r="B1012" s="31"/>
      <c r="C1012" s="32"/>
      <c r="D1012" s="33"/>
      <c r="E1012" s="34"/>
      <c r="F1012" s="34"/>
      <c r="G1012" s="35"/>
      <c r="H1012" s="34"/>
      <c r="I1012" s="37"/>
    </row>
    <row r="1013" ht="22.5" customHeight="1">
      <c r="A1013" s="30"/>
      <c r="B1013" s="31"/>
      <c r="C1013" s="32"/>
      <c r="D1013" s="33"/>
      <c r="E1013" s="34"/>
      <c r="F1013" s="34"/>
      <c r="G1013" s="35"/>
      <c r="H1013" s="34"/>
      <c r="I1013" s="37"/>
    </row>
    <row r="1014" ht="22.5" customHeight="1">
      <c r="A1014" s="30"/>
      <c r="B1014" s="31"/>
      <c r="C1014" s="32"/>
      <c r="D1014" s="33"/>
      <c r="E1014" s="34"/>
      <c r="F1014" s="34"/>
      <c r="G1014" s="35"/>
      <c r="H1014" s="34"/>
      <c r="I1014" s="37"/>
    </row>
    <row r="1015" ht="22.5" customHeight="1">
      <c r="A1015" s="30"/>
      <c r="B1015" s="31"/>
      <c r="C1015" s="32"/>
      <c r="D1015" s="33"/>
      <c r="E1015" s="34"/>
      <c r="F1015" s="34"/>
      <c r="G1015" s="35"/>
      <c r="H1015" s="34"/>
      <c r="I1015" s="37"/>
    </row>
    <row r="1016" ht="22.5" customHeight="1">
      <c r="A1016" s="30"/>
      <c r="B1016" s="40"/>
      <c r="C1016" s="32"/>
      <c r="D1016" s="33"/>
      <c r="E1016" s="34"/>
      <c r="F1016" s="34"/>
      <c r="G1016" s="35"/>
      <c r="H1016" s="34"/>
      <c r="I1016" s="37"/>
    </row>
    <row r="1017" ht="22.5" customHeight="1">
      <c r="A1017" s="30"/>
      <c r="B1017" s="31"/>
      <c r="C1017" s="32"/>
      <c r="D1017" s="33"/>
      <c r="E1017" s="34"/>
      <c r="F1017" s="34"/>
      <c r="G1017" s="35"/>
      <c r="H1017" s="34"/>
      <c r="I1017" s="37"/>
    </row>
    <row r="1018" ht="22.5" customHeight="1">
      <c r="A1018" s="30"/>
      <c r="B1018" s="31"/>
      <c r="C1018" s="32"/>
      <c r="D1018" s="33"/>
      <c r="E1018" s="34"/>
      <c r="F1018" s="34"/>
      <c r="G1018" s="35"/>
      <c r="H1018" s="34"/>
      <c r="I1018" s="37"/>
    </row>
    <row r="1019" ht="22.5" customHeight="1">
      <c r="A1019" s="30"/>
      <c r="B1019" s="31"/>
      <c r="C1019" s="32"/>
      <c r="D1019" s="33"/>
      <c r="E1019" s="34"/>
      <c r="F1019" s="34"/>
      <c r="G1019" s="35"/>
      <c r="H1019" s="34"/>
      <c r="I1019" s="37"/>
    </row>
    <row r="1020" ht="22.5" customHeight="1">
      <c r="A1020" s="30"/>
      <c r="B1020" s="31"/>
      <c r="C1020" s="32"/>
      <c r="D1020" s="33"/>
      <c r="E1020" s="34"/>
      <c r="F1020" s="34"/>
      <c r="G1020" s="35"/>
      <c r="H1020" s="34"/>
      <c r="I1020" s="37"/>
    </row>
    <row r="1021" ht="22.5" customHeight="1">
      <c r="A1021" s="30"/>
      <c r="B1021" s="31"/>
      <c r="C1021" s="32"/>
      <c r="D1021" s="33"/>
      <c r="E1021" s="34"/>
      <c r="F1021" s="34"/>
      <c r="G1021" s="35"/>
      <c r="H1021" s="34"/>
      <c r="I1021" s="37"/>
    </row>
    <row r="1022" ht="22.5" customHeight="1">
      <c r="A1022" s="30"/>
      <c r="B1022" s="31"/>
      <c r="C1022" s="32"/>
      <c r="D1022" s="33"/>
      <c r="E1022" s="34"/>
      <c r="F1022" s="34"/>
      <c r="G1022" s="35"/>
      <c r="H1022" s="34"/>
      <c r="I1022" s="37"/>
    </row>
    <row r="1023" ht="22.5" customHeight="1">
      <c r="A1023" s="30"/>
      <c r="B1023" s="39"/>
      <c r="C1023" s="32"/>
      <c r="D1023" s="33"/>
      <c r="E1023" s="34"/>
      <c r="F1023" s="34"/>
      <c r="G1023" s="35"/>
      <c r="H1023" s="34"/>
      <c r="I1023" s="37"/>
    </row>
    <row r="1024" ht="22.5" customHeight="1">
      <c r="A1024" s="30"/>
      <c r="B1024" s="39"/>
      <c r="C1024" s="32"/>
      <c r="D1024" s="33"/>
      <c r="E1024" s="34"/>
      <c r="F1024" s="34"/>
      <c r="G1024" s="35"/>
      <c r="H1024" s="34"/>
      <c r="I1024" s="37"/>
    </row>
    <row r="1025" ht="22.5" customHeight="1">
      <c r="A1025" s="30"/>
      <c r="B1025" s="39"/>
      <c r="C1025" s="32"/>
      <c r="D1025" s="33"/>
      <c r="E1025" s="34"/>
      <c r="F1025" s="34"/>
      <c r="G1025" s="35"/>
      <c r="H1025" s="34"/>
      <c r="I1025" s="37"/>
    </row>
    <row r="1026" ht="22.5" customHeight="1">
      <c r="A1026" s="30"/>
      <c r="B1026" s="40"/>
      <c r="C1026" s="32"/>
      <c r="D1026" s="33"/>
      <c r="E1026" s="34"/>
      <c r="F1026" s="34"/>
      <c r="G1026" s="35"/>
      <c r="H1026" s="34"/>
      <c r="I1026" s="37"/>
    </row>
    <row r="1027" ht="22.5" customHeight="1">
      <c r="A1027" s="30"/>
      <c r="B1027" s="31"/>
      <c r="C1027" s="32"/>
      <c r="D1027" s="33"/>
      <c r="E1027" s="34"/>
      <c r="F1027" s="34"/>
      <c r="G1027" s="35"/>
      <c r="H1027" s="34"/>
      <c r="I1027" s="37"/>
    </row>
    <row r="1028" ht="22.5" customHeight="1">
      <c r="A1028" s="30"/>
      <c r="B1028" s="31"/>
      <c r="C1028" s="32"/>
      <c r="D1028" s="33"/>
      <c r="E1028" s="34"/>
      <c r="F1028" s="34"/>
      <c r="G1028" s="35"/>
      <c r="H1028" s="34"/>
      <c r="I1028" s="37"/>
    </row>
    <row r="1029" ht="22.5" customHeight="1">
      <c r="A1029" s="30"/>
      <c r="B1029" s="31"/>
      <c r="C1029" s="32"/>
      <c r="D1029" s="33"/>
      <c r="E1029" s="34"/>
      <c r="F1029" s="34"/>
      <c r="G1029" s="35"/>
      <c r="H1029" s="34"/>
      <c r="I1029" s="37"/>
    </row>
    <row r="1030" ht="22.5" customHeight="1">
      <c r="A1030" s="30"/>
      <c r="B1030" s="31"/>
      <c r="C1030" s="32"/>
      <c r="D1030" s="33"/>
      <c r="E1030" s="34"/>
      <c r="F1030" s="34"/>
      <c r="G1030" s="35"/>
      <c r="H1030" s="34"/>
      <c r="I1030" s="37"/>
    </row>
    <row r="1031" ht="22.5" customHeight="1">
      <c r="A1031" s="30"/>
      <c r="B1031" s="31"/>
      <c r="C1031" s="32"/>
      <c r="D1031" s="33"/>
      <c r="E1031" s="34"/>
      <c r="F1031" s="34"/>
      <c r="G1031" s="35"/>
      <c r="H1031" s="34"/>
      <c r="I1031" s="37"/>
    </row>
    <row r="1032" ht="22.5" customHeight="1">
      <c r="A1032" s="30"/>
      <c r="B1032" s="31"/>
      <c r="C1032" s="32"/>
      <c r="D1032" s="33"/>
      <c r="E1032" s="34"/>
      <c r="F1032" s="34"/>
      <c r="G1032" s="35"/>
      <c r="H1032" s="34"/>
      <c r="I1032" s="37"/>
    </row>
    <row r="1033" ht="22.5" customHeight="1">
      <c r="A1033" s="30"/>
      <c r="B1033" s="31"/>
      <c r="C1033" s="32"/>
      <c r="D1033" s="33"/>
      <c r="E1033" s="34"/>
      <c r="F1033" s="34"/>
      <c r="G1033" s="35"/>
      <c r="H1033" s="34"/>
      <c r="I1033" s="37"/>
    </row>
    <row r="1034" ht="22.5" customHeight="1">
      <c r="A1034" s="30"/>
      <c r="B1034" s="31"/>
      <c r="C1034" s="32"/>
      <c r="D1034" s="33"/>
      <c r="E1034" s="34"/>
      <c r="F1034" s="34"/>
      <c r="G1034" s="35"/>
      <c r="H1034" s="34"/>
      <c r="I1034" s="37"/>
    </row>
    <row r="1035" ht="22.5" customHeight="1">
      <c r="A1035" s="30"/>
      <c r="B1035" s="31"/>
      <c r="C1035" s="32"/>
      <c r="D1035" s="33"/>
      <c r="E1035" s="34"/>
      <c r="F1035" s="34"/>
      <c r="G1035" s="35"/>
      <c r="H1035" s="34"/>
      <c r="I1035" s="37"/>
    </row>
    <row r="1036" ht="22.5" customHeight="1">
      <c r="A1036" s="30"/>
      <c r="B1036" s="40"/>
      <c r="C1036" s="32"/>
      <c r="D1036" s="33"/>
      <c r="E1036" s="34"/>
      <c r="F1036" s="34"/>
      <c r="G1036" s="35"/>
      <c r="H1036" s="34"/>
      <c r="I1036" s="37"/>
    </row>
    <row r="1037" ht="22.5" customHeight="1">
      <c r="A1037" s="30"/>
      <c r="B1037" s="31"/>
      <c r="C1037" s="32"/>
      <c r="D1037" s="33"/>
      <c r="E1037" s="34"/>
      <c r="F1037" s="34"/>
      <c r="G1037" s="35"/>
      <c r="H1037" s="34"/>
      <c r="I1037" s="37"/>
    </row>
    <row r="1038" ht="22.5" customHeight="1">
      <c r="A1038" s="30"/>
      <c r="B1038" s="31"/>
      <c r="C1038" s="32"/>
      <c r="D1038" s="33"/>
      <c r="E1038" s="34"/>
      <c r="F1038" s="34"/>
      <c r="G1038" s="35"/>
      <c r="H1038" s="34"/>
      <c r="I1038" s="37"/>
    </row>
    <row r="1039" ht="22.5" customHeight="1">
      <c r="A1039" s="30"/>
      <c r="B1039" s="31"/>
      <c r="C1039" s="32"/>
      <c r="D1039" s="33"/>
      <c r="E1039" s="34"/>
      <c r="F1039" s="34"/>
      <c r="G1039" s="35"/>
      <c r="H1039" s="34"/>
      <c r="I1039" s="37"/>
    </row>
    <row r="1040" ht="22.5" customHeight="1">
      <c r="A1040" s="30"/>
      <c r="B1040" s="40"/>
      <c r="C1040" s="32"/>
      <c r="D1040" s="33"/>
      <c r="E1040" s="34"/>
      <c r="F1040" s="34"/>
      <c r="G1040" s="35"/>
      <c r="H1040" s="34"/>
      <c r="I1040" s="37"/>
    </row>
    <row r="1041" ht="22.5" customHeight="1">
      <c r="A1041" s="30"/>
      <c r="B1041" s="31"/>
      <c r="C1041" s="32"/>
      <c r="D1041" s="33"/>
      <c r="E1041" s="34"/>
      <c r="F1041" s="34"/>
      <c r="G1041" s="35"/>
      <c r="H1041" s="34"/>
      <c r="I1041" s="37"/>
    </row>
    <row r="1042" ht="22.5" customHeight="1">
      <c r="A1042" s="30"/>
      <c r="B1042" s="31"/>
      <c r="C1042" s="32"/>
      <c r="D1042" s="33"/>
      <c r="E1042" s="34"/>
      <c r="F1042" s="34"/>
      <c r="G1042" s="35"/>
      <c r="H1042" s="34"/>
      <c r="I1042" s="37"/>
    </row>
    <row r="1043" ht="22.5" customHeight="1">
      <c r="A1043" s="30"/>
      <c r="B1043" s="31"/>
      <c r="C1043" s="32"/>
      <c r="D1043" s="33"/>
      <c r="E1043" s="34"/>
      <c r="F1043" s="34"/>
      <c r="G1043" s="35"/>
      <c r="H1043" s="34"/>
      <c r="I1043" s="37"/>
    </row>
    <row r="1044" ht="22.5" customHeight="1">
      <c r="A1044" s="30"/>
      <c r="B1044" s="31"/>
      <c r="C1044" s="32"/>
      <c r="D1044" s="33"/>
      <c r="E1044" s="34"/>
      <c r="F1044" s="34"/>
      <c r="G1044" s="35"/>
      <c r="H1044" s="34"/>
      <c r="I1044" s="37"/>
    </row>
    <row r="1045" ht="22.5" customHeight="1">
      <c r="A1045" s="30"/>
      <c r="B1045" s="31"/>
      <c r="C1045" s="32"/>
      <c r="D1045" s="33"/>
      <c r="E1045" s="34"/>
      <c r="F1045" s="34"/>
      <c r="G1045" s="35"/>
      <c r="H1045" s="34"/>
      <c r="I1045" s="37"/>
    </row>
    <row r="1046" ht="22.5" customHeight="1">
      <c r="A1046" s="30"/>
      <c r="B1046" s="31"/>
      <c r="C1046" s="32"/>
      <c r="D1046" s="33"/>
      <c r="E1046" s="34"/>
      <c r="F1046" s="34"/>
      <c r="G1046" s="35"/>
      <c r="H1046" s="34"/>
      <c r="I1046" s="37"/>
    </row>
    <row r="1047" ht="22.5" customHeight="1">
      <c r="A1047" s="30"/>
      <c r="B1047" s="31"/>
      <c r="C1047" s="32"/>
      <c r="D1047" s="33"/>
      <c r="E1047" s="34"/>
      <c r="F1047" s="34"/>
      <c r="G1047" s="35"/>
      <c r="H1047" s="34"/>
      <c r="I1047" s="37"/>
    </row>
    <row r="1048" ht="22.5" customHeight="1">
      <c r="A1048" s="30"/>
      <c r="B1048" s="31"/>
      <c r="C1048" s="32"/>
      <c r="D1048" s="33"/>
      <c r="E1048" s="34"/>
      <c r="F1048" s="34"/>
      <c r="G1048" s="35"/>
      <c r="H1048" s="34"/>
      <c r="I1048" s="37"/>
    </row>
    <row r="1049" ht="22.5" customHeight="1">
      <c r="A1049" s="30"/>
      <c r="B1049" s="31"/>
      <c r="C1049" s="32"/>
      <c r="D1049" s="33"/>
      <c r="E1049" s="34"/>
      <c r="F1049" s="34"/>
      <c r="G1049" s="35"/>
      <c r="H1049" s="34"/>
      <c r="I1049" s="37"/>
    </row>
    <row r="1050" ht="22.5" customHeight="1">
      <c r="A1050" s="30"/>
      <c r="B1050" s="31"/>
      <c r="C1050" s="32"/>
      <c r="D1050" s="33"/>
      <c r="E1050" s="34"/>
      <c r="F1050" s="34"/>
      <c r="G1050" s="35"/>
      <c r="H1050" s="34"/>
      <c r="I1050" s="37"/>
    </row>
    <row r="1051" ht="22.5" customHeight="1">
      <c r="A1051" s="30"/>
      <c r="B1051" s="31"/>
      <c r="C1051" s="32"/>
      <c r="D1051" s="33"/>
      <c r="E1051" s="34"/>
      <c r="F1051" s="34"/>
      <c r="G1051" s="35"/>
      <c r="H1051" s="34"/>
      <c r="I1051" s="37"/>
    </row>
    <row r="1052" ht="22.5" customHeight="1">
      <c r="A1052" s="30"/>
      <c r="B1052" s="31"/>
      <c r="C1052" s="32"/>
      <c r="D1052" s="33"/>
      <c r="E1052" s="34"/>
      <c r="F1052" s="34"/>
      <c r="G1052" s="35"/>
      <c r="H1052" s="34"/>
      <c r="I1052" s="37"/>
    </row>
    <row r="1053" ht="22.5" customHeight="1">
      <c r="A1053" s="30"/>
      <c r="B1053" s="31"/>
      <c r="C1053" s="32"/>
      <c r="D1053" s="33"/>
      <c r="E1053" s="34"/>
      <c r="F1053" s="34"/>
      <c r="G1053" s="35"/>
      <c r="H1053" s="34"/>
      <c r="I1053" s="37"/>
    </row>
    <row r="1054" ht="22.5" customHeight="1">
      <c r="A1054" s="30"/>
      <c r="B1054" s="31"/>
      <c r="C1054" s="32"/>
      <c r="D1054" s="33"/>
      <c r="E1054" s="34"/>
      <c r="F1054" s="34"/>
      <c r="G1054" s="35"/>
      <c r="H1054" s="34"/>
      <c r="I1054" s="37"/>
    </row>
    <row r="1055" ht="22.5" customHeight="1">
      <c r="A1055" s="30"/>
      <c r="B1055" s="40"/>
      <c r="C1055" s="32"/>
      <c r="D1055" s="33"/>
      <c r="E1055" s="34"/>
      <c r="F1055" s="34"/>
      <c r="G1055" s="35"/>
      <c r="H1055" s="34"/>
      <c r="I1055" s="37"/>
    </row>
    <row r="1056" ht="22.5" customHeight="1">
      <c r="A1056" s="30"/>
      <c r="B1056" s="31"/>
      <c r="C1056" s="32"/>
      <c r="D1056" s="33"/>
      <c r="E1056" s="34"/>
      <c r="F1056" s="34"/>
      <c r="G1056" s="35"/>
      <c r="H1056" s="34"/>
      <c r="I1056" s="37"/>
    </row>
    <row r="1057" ht="22.5" customHeight="1">
      <c r="A1057" s="30"/>
      <c r="B1057" s="40"/>
      <c r="C1057" s="32"/>
      <c r="D1057" s="33"/>
      <c r="E1057" s="34"/>
      <c r="F1057" s="34"/>
      <c r="G1057" s="35"/>
      <c r="H1057" s="34"/>
      <c r="I1057" s="37"/>
    </row>
    <row r="1058" ht="22.5" customHeight="1">
      <c r="A1058" s="30"/>
      <c r="B1058" s="31"/>
      <c r="C1058" s="32"/>
      <c r="D1058" s="33"/>
      <c r="E1058" s="34"/>
      <c r="F1058" s="34"/>
      <c r="G1058" s="35"/>
      <c r="H1058" s="34"/>
      <c r="I1058" s="37"/>
    </row>
    <row r="1059" ht="22.5" customHeight="1">
      <c r="A1059" s="30"/>
      <c r="B1059" s="31"/>
      <c r="C1059" s="32"/>
      <c r="D1059" s="33"/>
      <c r="E1059" s="34"/>
      <c r="F1059" s="34"/>
      <c r="G1059" s="35"/>
      <c r="H1059" s="34"/>
      <c r="I1059" s="37"/>
    </row>
    <row r="1060" ht="22.5" customHeight="1">
      <c r="A1060" s="30"/>
      <c r="B1060" s="31"/>
      <c r="C1060" s="32"/>
      <c r="D1060" s="33"/>
      <c r="E1060" s="34"/>
      <c r="F1060" s="34"/>
      <c r="G1060" s="35"/>
      <c r="H1060" s="34"/>
      <c r="I1060" s="37"/>
    </row>
    <row r="1061" ht="22.5" customHeight="1">
      <c r="A1061" s="30"/>
      <c r="B1061" s="31"/>
      <c r="C1061" s="32"/>
      <c r="D1061" s="33"/>
      <c r="E1061" s="34"/>
      <c r="F1061" s="34"/>
      <c r="G1061" s="35"/>
      <c r="H1061" s="34"/>
      <c r="I1061" s="37"/>
    </row>
    <row r="1062" ht="22.5" customHeight="1">
      <c r="A1062" s="30"/>
      <c r="B1062" s="40"/>
      <c r="C1062" s="32"/>
      <c r="D1062" s="33"/>
      <c r="E1062" s="34"/>
      <c r="F1062" s="34"/>
      <c r="G1062" s="35"/>
      <c r="H1062" s="34"/>
      <c r="I1062" s="37"/>
    </row>
    <row r="1063" ht="22.5" customHeight="1">
      <c r="A1063" s="30"/>
      <c r="B1063" s="31"/>
      <c r="C1063" s="32"/>
      <c r="D1063" s="33"/>
      <c r="E1063" s="34"/>
      <c r="F1063" s="34"/>
      <c r="G1063" s="35"/>
      <c r="H1063" s="34"/>
      <c r="I1063" s="37"/>
    </row>
    <row r="1064" ht="22.5" customHeight="1">
      <c r="A1064" s="30"/>
      <c r="B1064" s="31"/>
      <c r="C1064" s="32"/>
      <c r="D1064" s="33"/>
      <c r="E1064" s="34"/>
      <c r="F1064" s="34"/>
      <c r="G1064" s="35"/>
      <c r="H1064" s="34"/>
      <c r="I1064" s="37"/>
    </row>
    <row r="1065" ht="22.5" customHeight="1">
      <c r="A1065" s="30"/>
      <c r="B1065" s="31"/>
      <c r="C1065" s="32"/>
      <c r="D1065" s="33"/>
      <c r="E1065" s="34"/>
      <c r="F1065" s="34"/>
      <c r="G1065" s="35"/>
      <c r="H1065" s="34"/>
      <c r="I1065" s="37"/>
    </row>
    <row r="1066" ht="22.5" customHeight="1">
      <c r="A1066" s="30"/>
      <c r="B1066" s="31"/>
      <c r="C1066" s="32"/>
      <c r="D1066" s="33"/>
      <c r="E1066" s="34"/>
      <c r="F1066" s="34"/>
      <c r="G1066" s="35"/>
      <c r="H1066" s="34"/>
      <c r="I1066" s="37"/>
    </row>
    <row r="1067" ht="22.5" customHeight="1">
      <c r="A1067" s="30"/>
      <c r="B1067" s="31"/>
      <c r="C1067" s="32"/>
      <c r="D1067" s="33"/>
      <c r="E1067" s="34"/>
      <c r="F1067" s="34"/>
      <c r="G1067" s="35"/>
      <c r="H1067" s="34"/>
      <c r="I1067" s="37"/>
    </row>
    <row r="1068" ht="22.5" customHeight="1">
      <c r="A1068" s="30"/>
      <c r="B1068" s="31"/>
      <c r="C1068" s="32"/>
      <c r="D1068" s="33"/>
      <c r="E1068" s="34"/>
      <c r="F1068" s="34"/>
      <c r="G1068" s="35"/>
      <c r="H1068" s="34"/>
      <c r="I1068" s="37"/>
    </row>
    <row r="1069" ht="22.5" customHeight="1">
      <c r="A1069" s="30"/>
      <c r="B1069" s="31"/>
      <c r="C1069" s="32"/>
      <c r="D1069" s="33"/>
      <c r="E1069" s="34"/>
      <c r="F1069" s="34"/>
      <c r="G1069" s="35"/>
      <c r="H1069" s="34"/>
      <c r="I1069" s="37"/>
    </row>
    <row r="1070" ht="22.5" customHeight="1">
      <c r="A1070" s="30"/>
      <c r="B1070" s="31"/>
      <c r="C1070" s="32"/>
      <c r="D1070" s="33"/>
      <c r="E1070" s="34"/>
      <c r="F1070" s="34"/>
      <c r="G1070" s="35"/>
      <c r="H1070" s="34"/>
      <c r="I1070" s="37"/>
    </row>
    <row r="1071" ht="22.5" customHeight="1">
      <c r="A1071" s="30"/>
      <c r="B1071" s="31"/>
      <c r="C1071" s="32"/>
      <c r="D1071" s="33"/>
      <c r="E1071" s="34"/>
      <c r="F1071" s="34"/>
      <c r="G1071" s="35"/>
      <c r="H1071" s="34"/>
      <c r="I1071" s="37"/>
    </row>
    <row r="1072" ht="22.5" customHeight="1">
      <c r="A1072" s="30"/>
      <c r="B1072" s="31"/>
      <c r="C1072" s="32"/>
      <c r="D1072" s="33"/>
      <c r="E1072" s="34"/>
      <c r="F1072" s="34"/>
      <c r="G1072" s="35"/>
      <c r="H1072" s="34"/>
      <c r="I1072" s="37"/>
    </row>
    <row r="1073" ht="22.5" customHeight="1">
      <c r="A1073" s="30"/>
      <c r="B1073" s="31"/>
      <c r="C1073" s="32"/>
      <c r="D1073" s="33"/>
      <c r="E1073" s="34"/>
      <c r="F1073" s="34"/>
      <c r="G1073" s="35"/>
      <c r="H1073" s="34"/>
      <c r="I1073" s="37"/>
    </row>
    <row r="1074" ht="22.5" customHeight="1">
      <c r="A1074" s="30"/>
      <c r="B1074" s="31"/>
      <c r="C1074" s="32"/>
      <c r="D1074" s="33"/>
      <c r="E1074" s="34"/>
      <c r="F1074" s="34"/>
      <c r="G1074" s="35"/>
      <c r="H1074" s="34"/>
      <c r="I1074" s="37"/>
    </row>
    <row r="1075" ht="22.5" customHeight="1">
      <c r="A1075" s="30"/>
      <c r="B1075" s="31"/>
      <c r="C1075" s="32"/>
      <c r="D1075" s="33"/>
      <c r="E1075" s="34"/>
      <c r="F1075" s="34"/>
      <c r="G1075" s="35"/>
      <c r="H1075" s="34"/>
      <c r="I1075" s="37"/>
    </row>
    <row r="1076" ht="22.5" customHeight="1">
      <c r="A1076" s="30"/>
      <c r="B1076" s="31"/>
      <c r="C1076" s="32"/>
      <c r="D1076" s="33"/>
      <c r="E1076" s="34"/>
      <c r="F1076" s="34"/>
      <c r="G1076" s="35"/>
      <c r="H1076" s="34"/>
      <c r="I1076" s="37"/>
    </row>
    <row r="1077" ht="22.5" customHeight="1">
      <c r="A1077" s="30"/>
      <c r="B1077" s="31"/>
      <c r="C1077" s="32"/>
      <c r="D1077" s="33"/>
      <c r="E1077" s="34"/>
      <c r="F1077" s="34"/>
      <c r="G1077" s="35"/>
      <c r="H1077" s="34"/>
      <c r="I1077" s="37"/>
    </row>
    <row r="1078" ht="22.5" customHeight="1">
      <c r="A1078" s="30"/>
      <c r="B1078" s="31"/>
      <c r="C1078" s="32"/>
      <c r="D1078" s="33"/>
      <c r="E1078" s="34"/>
      <c r="F1078" s="34"/>
      <c r="G1078" s="35"/>
      <c r="H1078" s="34"/>
      <c r="I1078" s="37"/>
    </row>
    <row r="1079" ht="22.5" customHeight="1">
      <c r="A1079" s="30"/>
      <c r="B1079" s="31"/>
      <c r="C1079" s="32"/>
      <c r="D1079" s="33"/>
      <c r="E1079" s="34"/>
      <c r="F1079" s="34"/>
      <c r="G1079" s="35"/>
      <c r="H1079" s="34"/>
      <c r="I1079" s="37"/>
    </row>
    <row r="1080" ht="22.5" customHeight="1">
      <c r="A1080" s="30"/>
      <c r="B1080" s="31"/>
      <c r="C1080" s="32"/>
      <c r="D1080" s="33"/>
      <c r="E1080" s="34"/>
      <c r="F1080" s="34"/>
      <c r="G1080" s="35"/>
      <c r="H1080" s="34"/>
      <c r="I1080" s="37"/>
    </row>
    <row r="1081" ht="22.5" customHeight="1">
      <c r="A1081" s="30"/>
      <c r="B1081" s="31"/>
      <c r="C1081" s="32"/>
      <c r="D1081" s="33"/>
      <c r="E1081" s="34"/>
      <c r="F1081" s="34"/>
      <c r="G1081" s="35"/>
      <c r="H1081" s="34"/>
      <c r="I1081" s="37"/>
    </row>
    <row r="1082" ht="22.5" customHeight="1">
      <c r="A1082" s="30"/>
      <c r="B1082" s="31"/>
      <c r="C1082" s="32"/>
      <c r="D1082" s="33"/>
      <c r="E1082" s="34"/>
      <c r="F1082" s="34"/>
      <c r="G1082" s="35"/>
      <c r="H1082" s="34"/>
      <c r="I1082" s="37"/>
    </row>
    <row r="1083" ht="22.5" customHeight="1">
      <c r="A1083" s="30"/>
      <c r="B1083" s="31"/>
      <c r="C1083" s="32"/>
      <c r="D1083" s="33"/>
      <c r="E1083" s="34"/>
      <c r="F1083" s="34"/>
      <c r="G1083" s="35"/>
      <c r="H1083" s="34"/>
      <c r="I1083" s="37"/>
    </row>
    <row r="1084" ht="22.5" customHeight="1">
      <c r="A1084" s="30"/>
      <c r="B1084" s="40"/>
      <c r="C1084" s="32"/>
      <c r="D1084" s="33"/>
      <c r="E1084" s="34"/>
      <c r="F1084" s="34"/>
      <c r="G1084" s="35"/>
      <c r="H1084" s="34"/>
      <c r="I1084" s="37"/>
    </row>
    <row r="1085" ht="22.5" customHeight="1">
      <c r="A1085" s="30"/>
      <c r="B1085" s="31"/>
      <c r="C1085" s="32"/>
      <c r="D1085" s="33"/>
      <c r="E1085" s="34"/>
      <c r="F1085" s="34"/>
      <c r="G1085" s="35"/>
      <c r="H1085" s="34"/>
      <c r="I1085" s="37"/>
    </row>
    <row r="1086" ht="22.5" customHeight="1">
      <c r="A1086" s="30"/>
      <c r="B1086" s="31"/>
      <c r="C1086" s="32"/>
      <c r="D1086" s="33"/>
      <c r="E1086" s="34"/>
      <c r="F1086" s="34"/>
      <c r="G1086" s="35"/>
      <c r="H1086" s="34"/>
      <c r="I1086" s="37"/>
    </row>
    <row r="1087" ht="22.5" customHeight="1">
      <c r="A1087" s="30"/>
      <c r="B1087" s="31"/>
      <c r="C1087" s="32"/>
      <c r="D1087" s="33"/>
      <c r="E1087" s="34"/>
      <c r="F1087" s="34"/>
      <c r="G1087" s="35"/>
      <c r="H1087" s="34"/>
      <c r="I1087" s="37"/>
    </row>
    <row r="1088" ht="22.5" customHeight="1">
      <c r="A1088" s="30"/>
      <c r="B1088" s="31"/>
      <c r="C1088" s="32"/>
      <c r="D1088" s="33"/>
      <c r="E1088" s="34"/>
      <c r="F1088" s="34"/>
      <c r="G1088" s="35"/>
      <c r="H1088" s="34"/>
      <c r="I1088" s="38"/>
    </row>
    <row r="1089" ht="22.5" customHeight="1">
      <c r="A1089" s="30"/>
      <c r="B1089" s="39"/>
      <c r="C1089" s="32"/>
      <c r="D1089" s="33"/>
      <c r="E1089" s="34"/>
      <c r="F1089" s="34"/>
      <c r="G1089" s="35"/>
      <c r="H1089" s="34"/>
      <c r="I1089" s="37"/>
    </row>
    <row r="1090" ht="22.5" customHeight="1">
      <c r="A1090" s="30"/>
      <c r="B1090" s="31"/>
      <c r="C1090" s="32"/>
      <c r="D1090" s="33"/>
      <c r="E1090" s="34"/>
      <c r="F1090" s="34"/>
      <c r="G1090" s="35"/>
      <c r="H1090" s="34"/>
      <c r="I1090" s="37"/>
    </row>
    <row r="1091" ht="22.5" customHeight="1">
      <c r="A1091" s="30"/>
      <c r="B1091" s="31"/>
      <c r="C1091" s="32"/>
      <c r="D1091" s="33"/>
      <c r="E1091" s="34"/>
      <c r="F1091" s="34"/>
      <c r="G1091" s="35"/>
      <c r="H1091" s="34"/>
      <c r="I1091" s="37"/>
    </row>
    <row r="1092" ht="22.5" customHeight="1">
      <c r="A1092" s="30"/>
      <c r="B1092" s="31"/>
      <c r="C1092" s="32"/>
      <c r="D1092" s="33"/>
      <c r="E1092" s="34"/>
      <c r="F1092" s="34"/>
      <c r="G1092" s="35"/>
      <c r="H1092" s="34"/>
      <c r="I1092" s="37"/>
    </row>
    <row r="1093" ht="22.5" customHeight="1">
      <c r="A1093" s="30"/>
      <c r="B1093" s="39"/>
      <c r="C1093" s="32"/>
      <c r="D1093" s="33"/>
      <c r="E1093" s="34"/>
      <c r="F1093" s="34"/>
      <c r="G1093" s="35"/>
      <c r="H1093" s="34"/>
      <c r="I1093" s="37"/>
    </row>
    <row r="1094" ht="22.5" customHeight="1">
      <c r="A1094" s="30"/>
      <c r="B1094" s="31"/>
      <c r="C1094" s="32"/>
      <c r="D1094" s="33"/>
      <c r="E1094" s="34"/>
      <c r="F1094" s="34"/>
      <c r="G1094" s="35"/>
      <c r="H1094" s="34"/>
      <c r="I1094" s="37"/>
    </row>
    <row r="1095" ht="22.5" customHeight="1">
      <c r="A1095" s="30"/>
      <c r="B1095" s="39"/>
      <c r="C1095" s="32"/>
      <c r="D1095" s="33"/>
      <c r="E1095" s="34"/>
      <c r="F1095" s="34"/>
      <c r="G1095" s="35"/>
      <c r="H1095" s="34"/>
      <c r="I1095" s="37"/>
    </row>
    <row r="1096" ht="22.5" customHeight="1">
      <c r="A1096" s="30"/>
      <c r="B1096" s="31"/>
      <c r="C1096" s="32"/>
      <c r="D1096" s="33"/>
      <c r="E1096" s="34"/>
      <c r="F1096" s="34"/>
      <c r="G1096" s="35"/>
      <c r="H1096" s="34"/>
      <c r="I1096" s="37"/>
    </row>
    <row r="1097" ht="22.5" customHeight="1">
      <c r="A1097" s="30"/>
      <c r="B1097" s="31"/>
      <c r="C1097" s="32"/>
      <c r="D1097" s="33"/>
      <c r="E1097" s="34"/>
      <c r="F1097" s="34"/>
      <c r="G1097" s="35"/>
      <c r="H1097" s="34"/>
      <c r="I1097" s="37"/>
    </row>
    <row r="1098" ht="22.5" customHeight="1">
      <c r="A1098" s="30"/>
      <c r="B1098" s="31"/>
      <c r="C1098" s="32"/>
      <c r="D1098" s="33"/>
      <c r="E1098" s="34"/>
      <c r="F1098" s="34"/>
      <c r="G1098" s="35"/>
      <c r="H1098" s="34"/>
      <c r="I1098" s="37"/>
    </row>
    <row r="1099" ht="22.5" customHeight="1">
      <c r="A1099" s="30"/>
      <c r="B1099" s="31"/>
      <c r="C1099" s="32"/>
      <c r="D1099" s="33"/>
      <c r="E1099" s="34"/>
      <c r="F1099" s="34"/>
      <c r="G1099" s="35"/>
      <c r="H1099" s="34"/>
      <c r="I1099" s="37"/>
    </row>
    <row r="1100" ht="22.5" customHeight="1">
      <c r="A1100" s="30"/>
      <c r="B1100" s="31"/>
      <c r="C1100" s="32"/>
      <c r="D1100" s="33"/>
      <c r="E1100" s="34"/>
      <c r="F1100" s="34"/>
      <c r="G1100" s="35"/>
      <c r="H1100" s="34"/>
      <c r="I1100" s="37"/>
    </row>
    <row r="1101" ht="22.5" customHeight="1">
      <c r="A1101" s="30"/>
      <c r="B1101" s="31"/>
      <c r="C1101" s="32"/>
      <c r="D1101" s="33"/>
      <c r="E1101" s="34"/>
      <c r="F1101" s="34"/>
      <c r="G1101" s="35"/>
      <c r="H1101" s="34"/>
      <c r="I1101" s="37"/>
    </row>
    <row r="1102" ht="22.5" customHeight="1">
      <c r="A1102" s="30"/>
      <c r="B1102" s="31"/>
      <c r="C1102" s="32"/>
      <c r="D1102" s="33"/>
      <c r="E1102" s="34"/>
      <c r="F1102" s="34"/>
      <c r="G1102" s="35"/>
      <c r="H1102" s="34"/>
      <c r="I1102" s="37"/>
    </row>
    <row r="1103" ht="22.5" customHeight="1">
      <c r="A1103" s="30"/>
      <c r="B1103" s="31"/>
      <c r="C1103" s="32"/>
      <c r="D1103" s="33"/>
      <c r="E1103" s="34"/>
      <c r="F1103" s="34"/>
      <c r="G1103" s="35"/>
      <c r="H1103" s="34"/>
      <c r="I1103" s="37"/>
    </row>
    <row r="1104" ht="22.5" customHeight="1">
      <c r="A1104" s="30"/>
      <c r="B1104" s="31"/>
      <c r="C1104" s="32"/>
      <c r="D1104" s="33"/>
      <c r="E1104" s="34"/>
      <c r="F1104" s="34"/>
      <c r="G1104" s="35"/>
      <c r="H1104" s="34"/>
      <c r="I1104" s="37"/>
    </row>
    <row r="1105" ht="22.5" customHeight="1">
      <c r="A1105" s="30"/>
      <c r="B1105" s="31"/>
      <c r="C1105" s="32"/>
      <c r="D1105" s="33"/>
      <c r="E1105" s="34"/>
      <c r="F1105" s="34"/>
      <c r="G1105" s="35"/>
      <c r="H1105" s="34"/>
      <c r="I1105" s="37"/>
    </row>
    <row r="1106" ht="22.5" customHeight="1">
      <c r="A1106" s="30"/>
      <c r="B1106" s="40"/>
      <c r="C1106" s="32"/>
      <c r="D1106" s="33"/>
      <c r="E1106" s="34"/>
      <c r="F1106" s="34"/>
      <c r="G1106" s="35"/>
      <c r="H1106" s="34"/>
      <c r="I1106" s="37"/>
    </row>
    <row r="1107" ht="22.5" customHeight="1">
      <c r="A1107" s="30"/>
      <c r="B1107" s="31"/>
      <c r="C1107" s="32"/>
      <c r="D1107" s="33"/>
      <c r="E1107" s="34"/>
      <c r="F1107" s="34"/>
      <c r="G1107" s="35"/>
      <c r="H1107" s="34"/>
      <c r="I1107" s="37"/>
    </row>
    <row r="1108" ht="22.5" customHeight="1">
      <c r="A1108" s="30"/>
      <c r="B1108" s="31"/>
      <c r="C1108" s="32"/>
      <c r="D1108" s="33"/>
      <c r="E1108" s="34"/>
      <c r="F1108" s="34"/>
      <c r="G1108" s="35"/>
      <c r="H1108" s="34"/>
      <c r="I1108" s="37"/>
    </row>
    <row r="1109" ht="22.5" customHeight="1">
      <c r="A1109" s="30"/>
      <c r="B1109" s="31"/>
      <c r="C1109" s="32"/>
      <c r="D1109" s="33"/>
      <c r="E1109" s="34"/>
      <c r="F1109" s="34"/>
      <c r="G1109" s="35"/>
      <c r="H1109" s="34"/>
      <c r="I1109" s="37"/>
    </row>
    <row r="1110" ht="22.5" customHeight="1">
      <c r="A1110" s="30"/>
      <c r="B1110" s="31"/>
      <c r="C1110" s="32"/>
      <c r="D1110" s="33"/>
      <c r="E1110" s="34"/>
      <c r="F1110" s="34"/>
      <c r="G1110" s="35"/>
      <c r="H1110" s="34"/>
      <c r="I1110" s="37"/>
    </row>
    <row r="1111" ht="22.5" customHeight="1">
      <c r="A1111" s="30"/>
      <c r="B1111" s="31"/>
      <c r="C1111" s="32"/>
      <c r="D1111" s="33"/>
      <c r="E1111" s="34"/>
      <c r="F1111" s="34"/>
      <c r="G1111" s="35"/>
      <c r="H1111" s="34"/>
      <c r="I1111" s="37"/>
    </row>
    <row r="1112" ht="22.5" customHeight="1">
      <c r="A1112" s="30"/>
      <c r="B1112" s="31"/>
      <c r="C1112" s="32"/>
      <c r="D1112" s="33"/>
      <c r="E1112" s="34"/>
      <c r="F1112" s="34"/>
      <c r="G1112" s="35"/>
      <c r="H1112" s="34"/>
      <c r="I1112" s="37"/>
    </row>
    <row r="1113" ht="22.5" customHeight="1">
      <c r="A1113" s="30"/>
      <c r="B1113" s="39"/>
      <c r="C1113" s="32"/>
      <c r="D1113" s="33"/>
      <c r="E1113" s="34"/>
      <c r="F1113" s="34"/>
      <c r="G1113" s="35"/>
      <c r="H1113" s="34"/>
      <c r="I1113" s="37"/>
    </row>
    <row r="1114" ht="22.5" customHeight="1">
      <c r="A1114" s="30"/>
      <c r="B1114" s="39"/>
      <c r="C1114" s="32"/>
      <c r="D1114" s="33"/>
      <c r="E1114" s="34"/>
      <c r="F1114" s="34"/>
      <c r="G1114" s="35"/>
      <c r="H1114" s="34"/>
      <c r="I1114" s="37"/>
    </row>
    <row r="1115" ht="22.5" customHeight="1">
      <c r="A1115" s="30"/>
      <c r="B1115" s="39"/>
      <c r="C1115" s="32"/>
      <c r="D1115" s="33"/>
      <c r="E1115" s="34"/>
      <c r="F1115" s="34"/>
      <c r="G1115" s="35"/>
      <c r="H1115" s="34"/>
      <c r="I1115" s="37"/>
    </row>
    <row r="1116" ht="22.5" customHeight="1">
      <c r="A1116" s="30"/>
      <c r="B1116" s="40"/>
      <c r="C1116" s="32"/>
      <c r="D1116" s="33"/>
      <c r="E1116" s="34"/>
      <c r="F1116" s="34"/>
      <c r="G1116" s="35"/>
      <c r="H1116" s="34"/>
      <c r="I1116" s="37"/>
    </row>
    <row r="1117" ht="22.5" customHeight="1">
      <c r="A1117" s="30"/>
      <c r="B1117" s="31"/>
      <c r="C1117" s="32"/>
      <c r="D1117" s="33"/>
      <c r="E1117" s="34"/>
      <c r="F1117" s="34"/>
      <c r="G1117" s="35"/>
      <c r="H1117" s="34"/>
      <c r="I1117" s="37"/>
    </row>
    <row r="1118" ht="22.5" customHeight="1">
      <c r="A1118" s="30"/>
      <c r="B1118" s="31"/>
      <c r="C1118" s="32"/>
      <c r="D1118" s="33"/>
      <c r="E1118" s="34"/>
      <c r="F1118" s="34"/>
      <c r="G1118" s="35"/>
      <c r="H1118" s="34"/>
      <c r="I1118" s="37"/>
    </row>
    <row r="1119" ht="22.5" customHeight="1">
      <c r="A1119" s="30"/>
      <c r="B1119" s="31"/>
      <c r="C1119" s="32"/>
      <c r="D1119" s="33"/>
      <c r="E1119" s="34"/>
      <c r="F1119" s="34"/>
      <c r="G1119" s="35"/>
      <c r="H1119" s="34"/>
      <c r="I1119" s="37"/>
    </row>
    <row r="1120" ht="22.5" customHeight="1">
      <c r="A1120" s="30"/>
      <c r="B1120" s="31"/>
      <c r="C1120" s="32"/>
      <c r="D1120" s="33"/>
      <c r="E1120" s="34"/>
      <c r="F1120" s="34"/>
      <c r="G1120" s="35"/>
      <c r="H1120" s="34"/>
      <c r="I1120" s="37"/>
    </row>
    <row r="1121" ht="22.5" customHeight="1">
      <c r="A1121" s="30"/>
      <c r="B1121" s="31"/>
      <c r="C1121" s="32"/>
      <c r="D1121" s="33"/>
      <c r="E1121" s="34"/>
      <c r="F1121" s="34"/>
      <c r="G1121" s="35"/>
      <c r="H1121" s="34"/>
      <c r="I1121" s="37"/>
    </row>
    <row r="1122" ht="22.5" customHeight="1">
      <c r="A1122" s="30"/>
      <c r="B1122" s="31"/>
      <c r="C1122" s="32"/>
      <c r="D1122" s="33"/>
      <c r="E1122" s="34"/>
      <c r="F1122" s="34"/>
      <c r="G1122" s="35"/>
      <c r="H1122" s="34"/>
      <c r="I1122" s="37"/>
    </row>
    <row r="1123" ht="22.5" customHeight="1">
      <c r="A1123" s="30"/>
      <c r="B1123" s="31"/>
      <c r="C1123" s="32"/>
      <c r="D1123" s="33"/>
      <c r="E1123" s="34"/>
      <c r="F1123" s="34"/>
      <c r="G1123" s="35"/>
      <c r="H1123" s="34"/>
      <c r="I1123" s="37"/>
    </row>
    <row r="1124" ht="22.5" customHeight="1">
      <c r="A1124" s="30"/>
      <c r="B1124" s="31"/>
      <c r="C1124" s="32"/>
      <c r="D1124" s="33"/>
      <c r="E1124" s="34"/>
      <c r="F1124" s="34"/>
      <c r="G1124" s="35"/>
      <c r="H1124" s="34"/>
      <c r="I1124" s="37"/>
    </row>
    <row r="1125" ht="22.5" customHeight="1">
      <c r="A1125" s="30"/>
      <c r="B1125" s="31"/>
      <c r="C1125" s="32"/>
      <c r="D1125" s="33"/>
      <c r="E1125" s="34"/>
      <c r="F1125" s="34"/>
      <c r="G1125" s="35"/>
      <c r="H1125" s="34"/>
      <c r="I1125" s="37"/>
    </row>
    <row r="1126" ht="22.5" customHeight="1">
      <c r="A1126" s="30"/>
      <c r="B1126" s="40"/>
      <c r="C1126" s="32"/>
      <c r="D1126" s="33"/>
      <c r="E1126" s="34"/>
      <c r="F1126" s="34"/>
      <c r="G1126" s="35"/>
      <c r="H1126" s="34"/>
      <c r="I1126" s="37"/>
    </row>
    <row r="1127" ht="22.5" customHeight="1">
      <c r="A1127" s="30"/>
      <c r="B1127" s="31"/>
      <c r="C1127" s="32"/>
      <c r="D1127" s="33"/>
      <c r="E1127" s="34"/>
      <c r="F1127" s="34"/>
      <c r="G1127" s="35"/>
      <c r="H1127" s="34"/>
      <c r="I1127" s="37"/>
    </row>
    <row r="1128" ht="22.5" customHeight="1">
      <c r="A1128" s="30"/>
      <c r="B1128" s="31"/>
      <c r="C1128" s="32"/>
      <c r="D1128" s="33"/>
      <c r="E1128" s="34"/>
      <c r="F1128" s="34"/>
      <c r="G1128" s="35"/>
      <c r="H1128" s="34"/>
      <c r="I1128" s="37"/>
    </row>
    <row r="1129" ht="22.5" customHeight="1">
      <c r="A1129" s="30"/>
      <c r="B1129" s="31"/>
      <c r="C1129" s="32"/>
      <c r="D1129" s="33"/>
      <c r="E1129" s="34"/>
      <c r="F1129" s="34"/>
      <c r="G1129" s="35"/>
      <c r="H1129" s="34"/>
      <c r="I1129" s="37"/>
    </row>
    <row r="1130" ht="22.5" customHeight="1">
      <c r="A1130" s="30"/>
      <c r="B1130" s="40"/>
      <c r="C1130" s="32"/>
      <c r="D1130" s="33"/>
      <c r="E1130" s="34"/>
      <c r="F1130" s="34"/>
      <c r="G1130" s="35"/>
      <c r="H1130" s="34"/>
      <c r="I1130" s="37"/>
    </row>
    <row r="1131" ht="22.5" customHeight="1">
      <c r="A1131" s="30"/>
      <c r="B1131" s="31"/>
      <c r="C1131" s="32"/>
      <c r="D1131" s="33"/>
      <c r="E1131" s="34"/>
      <c r="F1131" s="34"/>
      <c r="G1131" s="35"/>
      <c r="H1131" s="34"/>
      <c r="I1131" s="37"/>
    </row>
    <row r="1132" ht="22.5" customHeight="1">
      <c r="A1132" s="30"/>
      <c r="B1132" s="31"/>
      <c r="C1132" s="32"/>
      <c r="D1132" s="33"/>
      <c r="E1132" s="34"/>
      <c r="F1132" s="34"/>
      <c r="G1132" s="35"/>
      <c r="H1132" s="34"/>
      <c r="I1132" s="37"/>
    </row>
    <row r="1133" ht="22.5" customHeight="1">
      <c r="A1133" s="30"/>
      <c r="B1133" s="31"/>
      <c r="C1133" s="32"/>
      <c r="D1133" s="33"/>
      <c r="E1133" s="34"/>
      <c r="F1133" s="34"/>
      <c r="G1133" s="35"/>
      <c r="H1133" s="34"/>
      <c r="I1133" s="37"/>
    </row>
    <row r="1134" ht="22.5" customHeight="1">
      <c r="A1134" s="30"/>
      <c r="B1134" s="31"/>
      <c r="C1134" s="32"/>
      <c r="D1134" s="33"/>
      <c r="E1134" s="34"/>
      <c r="F1134" s="34"/>
      <c r="G1134" s="35"/>
      <c r="H1134" s="34"/>
      <c r="I1134" s="37"/>
    </row>
    <row r="1135" ht="22.5" customHeight="1">
      <c r="A1135" s="30"/>
      <c r="B1135" s="31"/>
      <c r="C1135" s="32"/>
      <c r="D1135" s="33"/>
      <c r="E1135" s="34"/>
      <c r="F1135" s="34"/>
      <c r="G1135" s="35"/>
      <c r="H1135" s="34"/>
      <c r="I1135" s="37"/>
    </row>
    <row r="1136" ht="22.5" customHeight="1">
      <c r="A1136" s="30"/>
      <c r="B1136" s="31"/>
      <c r="C1136" s="32"/>
      <c r="D1136" s="33"/>
      <c r="E1136" s="34"/>
      <c r="F1136" s="34"/>
      <c r="G1136" s="35"/>
      <c r="H1136" s="34"/>
      <c r="I1136" s="37"/>
    </row>
    <row r="1137" ht="22.5" customHeight="1">
      <c r="A1137" s="30"/>
      <c r="B1137" s="31"/>
      <c r="C1137" s="32"/>
      <c r="D1137" s="33"/>
      <c r="E1137" s="34"/>
      <c r="F1137" s="34"/>
      <c r="G1137" s="35"/>
      <c r="H1137" s="34"/>
      <c r="I1137" s="37"/>
    </row>
    <row r="1138" ht="22.5" customHeight="1">
      <c r="A1138" s="30"/>
      <c r="B1138" s="31"/>
      <c r="C1138" s="32"/>
      <c r="D1138" s="33"/>
      <c r="E1138" s="34"/>
      <c r="F1138" s="34"/>
      <c r="G1138" s="35"/>
      <c r="H1138" s="34"/>
      <c r="I1138" s="37"/>
    </row>
    <row r="1139" ht="22.5" customHeight="1">
      <c r="A1139" s="30"/>
      <c r="B1139" s="31"/>
      <c r="C1139" s="32"/>
      <c r="D1139" s="33"/>
      <c r="E1139" s="34"/>
      <c r="F1139" s="34"/>
      <c r="G1139" s="35"/>
      <c r="H1139" s="34"/>
      <c r="I1139" s="37"/>
    </row>
    <row r="1140" ht="22.5" customHeight="1">
      <c r="A1140" s="30"/>
      <c r="B1140" s="31"/>
      <c r="C1140" s="32"/>
      <c r="D1140" s="33"/>
      <c r="E1140" s="34"/>
      <c r="F1140" s="34"/>
      <c r="G1140" s="35"/>
      <c r="H1140" s="34"/>
      <c r="I1140" s="37"/>
    </row>
    <row r="1141" ht="22.5" customHeight="1">
      <c r="A1141" s="30"/>
      <c r="B1141" s="31"/>
      <c r="C1141" s="32"/>
      <c r="D1141" s="33"/>
      <c r="E1141" s="34"/>
      <c r="F1141" s="34"/>
      <c r="G1141" s="35"/>
      <c r="H1141" s="34"/>
      <c r="I1141" s="37"/>
    </row>
    <row r="1142" ht="22.5" customHeight="1">
      <c r="A1142" s="30"/>
      <c r="B1142" s="31"/>
      <c r="C1142" s="32"/>
      <c r="D1142" s="33"/>
      <c r="E1142" s="34"/>
      <c r="F1142" s="34"/>
      <c r="G1142" s="35"/>
      <c r="H1142" s="34"/>
      <c r="I1142" s="37"/>
    </row>
    <row r="1143" ht="22.5" customHeight="1">
      <c r="A1143" s="30"/>
      <c r="B1143" s="31"/>
      <c r="C1143" s="32"/>
      <c r="D1143" s="33"/>
      <c r="E1143" s="34"/>
      <c r="F1143" s="34"/>
      <c r="G1143" s="35"/>
      <c r="H1143" s="34"/>
      <c r="I1143" s="37"/>
    </row>
    <row r="1144" ht="22.5" customHeight="1">
      <c r="A1144" s="30"/>
      <c r="B1144" s="31"/>
      <c r="C1144" s="32"/>
      <c r="D1144" s="33"/>
      <c r="E1144" s="34"/>
      <c r="F1144" s="34"/>
      <c r="G1144" s="35"/>
      <c r="H1144" s="34"/>
      <c r="I1144" s="37"/>
    </row>
    <row r="1145" ht="22.5" customHeight="1">
      <c r="A1145" s="30"/>
      <c r="B1145" s="40"/>
      <c r="C1145" s="32"/>
      <c r="D1145" s="33"/>
      <c r="E1145" s="34"/>
      <c r="F1145" s="34"/>
      <c r="G1145" s="35"/>
      <c r="H1145" s="34"/>
      <c r="I1145" s="37"/>
    </row>
    <row r="1146" ht="22.5" customHeight="1">
      <c r="A1146" s="30"/>
      <c r="B1146" s="31"/>
      <c r="C1146" s="32"/>
      <c r="D1146" s="33"/>
      <c r="E1146" s="34"/>
      <c r="F1146" s="34"/>
      <c r="G1146" s="35"/>
      <c r="H1146" s="34"/>
      <c r="I1146" s="37"/>
    </row>
    <row r="1147" ht="22.5" customHeight="1">
      <c r="A1147" s="30"/>
      <c r="B1147" s="40"/>
      <c r="C1147" s="32"/>
      <c r="D1147" s="33"/>
      <c r="E1147" s="34"/>
      <c r="F1147" s="34"/>
      <c r="G1147" s="35"/>
      <c r="H1147" s="34"/>
      <c r="I1147" s="37"/>
    </row>
    <row r="1148" ht="22.5" customHeight="1">
      <c r="A1148" s="30"/>
      <c r="B1148" s="31"/>
      <c r="C1148" s="32"/>
      <c r="D1148" s="33"/>
      <c r="E1148" s="34"/>
      <c r="F1148" s="34"/>
      <c r="G1148" s="35"/>
      <c r="H1148" s="34"/>
      <c r="I1148" s="37"/>
    </row>
    <row r="1149" ht="22.5" customHeight="1">
      <c r="A1149" s="30"/>
      <c r="B1149" s="31"/>
      <c r="C1149" s="32"/>
      <c r="D1149" s="33"/>
      <c r="E1149" s="34"/>
      <c r="F1149" s="34"/>
      <c r="G1149" s="35"/>
      <c r="H1149" s="34"/>
      <c r="I1149" s="37"/>
    </row>
    <row r="1150" ht="22.5" customHeight="1">
      <c r="A1150" s="30"/>
      <c r="B1150" s="31"/>
      <c r="C1150" s="32"/>
      <c r="D1150" s="33"/>
      <c r="E1150" s="34"/>
      <c r="F1150" s="34"/>
      <c r="G1150" s="35"/>
      <c r="H1150" s="34"/>
      <c r="I1150" s="37"/>
    </row>
    <row r="1151" ht="22.5" customHeight="1">
      <c r="A1151" s="30"/>
      <c r="B1151" s="31"/>
      <c r="C1151" s="32"/>
      <c r="D1151" s="33"/>
      <c r="E1151" s="34"/>
      <c r="F1151" s="34"/>
      <c r="G1151" s="35"/>
      <c r="H1151" s="34"/>
      <c r="I1151" s="37"/>
    </row>
    <row r="1152" ht="22.5" customHeight="1">
      <c r="A1152" s="30"/>
      <c r="B1152" s="40"/>
      <c r="C1152" s="32"/>
      <c r="D1152" s="33"/>
      <c r="E1152" s="34"/>
      <c r="F1152" s="34"/>
      <c r="G1152" s="35"/>
      <c r="H1152" s="34"/>
      <c r="I1152" s="37"/>
    </row>
    <row r="1153" ht="22.5" customHeight="1">
      <c r="A1153" s="30"/>
      <c r="B1153" s="31"/>
      <c r="C1153" s="32"/>
      <c r="D1153" s="33"/>
      <c r="E1153" s="34"/>
      <c r="F1153" s="34"/>
      <c r="G1153" s="35"/>
      <c r="H1153" s="34"/>
      <c r="I1153" s="37"/>
    </row>
    <row r="1154" ht="22.5" customHeight="1">
      <c r="A1154" s="30"/>
      <c r="B1154" s="31"/>
      <c r="C1154" s="32"/>
      <c r="D1154" s="33"/>
      <c r="E1154" s="34"/>
      <c r="F1154" s="34"/>
      <c r="G1154" s="35"/>
      <c r="H1154" s="34"/>
      <c r="I1154" s="37"/>
    </row>
    <row r="1155" ht="22.5" customHeight="1">
      <c r="A1155" s="30"/>
      <c r="B1155" s="31"/>
      <c r="C1155" s="32"/>
      <c r="D1155" s="33"/>
      <c r="E1155" s="34"/>
      <c r="F1155" s="34"/>
      <c r="G1155" s="35"/>
      <c r="H1155" s="34"/>
      <c r="I1155" s="37"/>
    </row>
    <row r="1156" ht="22.5" customHeight="1">
      <c r="A1156" s="30"/>
      <c r="B1156" s="31"/>
      <c r="C1156" s="32"/>
      <c r="D1156" s="33"/>
      <c r="E1156" s="34"/>
      <c r="F1156" s="34"/>
      <c r="G1156" s="35"/>
      <c r="H1156" s="34"/>
      <c r="I1156" s="37"/>
    </row>
    <row r="1157" ht="22.5" customHeight="1">
      <c r="A1157" s="30"/>
      <c r="B1157" s="31"/>
      <c r="C1157" s="32"/>
      <c r="D1157" s="33"/>
      <c r="E1157" s="34"/>
      <c r="F1157" s="34"/>
      <c r="G1157" s="35"/>
      <c r="H1157" s="34"/>
      <c r="I1157" s="37"/>
    </row>
    <row r="1158" ht="22.5" customHeight="1">
      <c r="A1158" s="30"/>
      <c r="B1158" s="31"/>
      <c r="C1158" s="32"/>
      <c r="D1158" s="33"/>
      <c r="E1158" s="34"/>
      <c r="F1158" s="34"/>
      <c r="G1158" s="35"/>
      <c r="H1158" s="34"/>
      <c r="I1158" s="37"/>
    </row>
    <row r="1159" ht="22.5" customHeight="1">
      <c r="A1159" s="30"/>
      <c r="B1159" s="31"/>
      <c r="C1159" s="32"/>
      <c r="D1159" s="33"/>
      <c r="E1159" s="34"/>
      <c r="F1159" s="34"/>
      <c r="G1159" s="35"/>
      <c r="H1159" s="34"/>
      <c r="I1159" s="37"/>
    </row>
    <row r="1160" ht="22.5" customHeight="1">
      <c r="A1160" s="30"/>
      <c r="B1160" s="31"/>
      <c r="C1160" s="32"/>
      <c r="D1160" s="33"/>
      <c r="E1160" s="34"/>
      <c r="F1160" s="34"/>
      <c r="G1160" s="35"/>
      <c r="H1160" s="34"/>
      <c r="I1160" s="37"/>
    </row>
    <row r="1161" ht="22.5" customHeight="1">
      <c r="A1161" s="30"/>
      <c r="B1161" s="31"/>
      <c r="C1161" s="32"/>
      <c r="D1161" s="33"/>
      <c r="E1161" s="34"/>
      <c r="F1161" s="34"/>
      <c r="G1161" s="35"/>
      <c r="H1161" s="34"/>
      <c r="I1161" s="37"/>
    </row>
    <row r="1162" ht="22.5" customHeight="1">
      <c r="A1162" s="30"/>
      <c r="B1162" s="31"/>
      <c r="C1162" s="32"/>
      <c r="D1162" s="33"/>
      <c r="E1162" s="34"/>
      <c r="F1162" s="34"/>
      <c r="G1162" s="35"/>
      <c r="H1162" s="34"/>
      <c r="I1162" s="37"/>
    </row>
    <row r="1163" ht="22.5" customHeight="1">
      <c r="A1163" s="30"/>
      <c r="B1163" s="31"/>
      <c r="C1163" s="32"/>
      <c r="D1163" s="33"/>
      <c r="E1163" s="34"/>
      <c r="F1163" s="34"/>
      <c r="G1163" s="35"/>
      <c r="H1163" s="34"/>
      <c r="I1163" s="37"/>
    </row>
    <row r="1164" ht="22.5" customHeight="1">
      <c r="A1164" s="30"/>
      <c r="B1164" s="31"/>
      <c r="C1164" s="32"/>
      <c r="D1164" s="33"/>
      <c r="E1164" s="34"/>
      <c r="F1164" s="34"/>
      <c r="G1164" s="35"/>
      <c r="H1164" s="34"/>
      <c r="I1164" s="37"/>
    </row>
    <row r="1165" ht="22.5" customHeight="1">
      <c r="A1165" s="30"/>
      <c r="B1165" s="31"/>
      <c r="C1165" s="32"/>
      <c r="D1165" s="33"/>
      <c r="E1165" s="34"/>
      <c r="F1165" s="34"/>
      <c r="G1165" s="35"/>
      <c r="H1165" s="34"/>
      <c r="I1165" s="37"/>
    </row>
    <row r="1166" ht="22.5" customHeight="1">
      <c r="A1166" s="30"/>
      <c r="B1166" s="31"/>
      <c r="C1166" s="32"/>
      <c r="D1166" s="33"/>
      <c r="E1166" s="34"/>
      <c r="F1166" s="34"/>
      <c r="G1166" s="35"/>
      <c r="H1166" s="34"/>
      <c r="I1166" s="37"/>
    </row>
    <row r="1167" ht="22.5" customHeight="1">
      <c r="A1167" s="30"/>
      <c r="B1167" s="31"/>
      <c r="C1167" s="32"/>
      <c r="D1167" s="33"/>
      <c r="E1167" s="34"/>
      <c r="F1167" s="34"/>
      <c r="G1167" s="35"/>
      <c r="H1167" s="34"/>
      <c r="I1167" s="37"/>
    </row>
    <row r="1168" ht="22.5" customHeight="1">
      <c r="A1168" s="30"/>
      <c r="B1168" s="31"/>
      <c r="C1168" s="32"/>
      <c r="D1168" s="33"/>
      <c r="E1168" s="34"/>
      <c r="F1168" s="34"/>
      <c r="G1168" s="35"/>
      <c r="H1168" s="34"/>
      <c r="I1168" s="37"/>
    </row>
    <row r="1169" ht="22.5" customHeight="1">
      <c r="A1169" s="30"/>
      <c r="B1169" s="31"/>
      <c r="C1169" s="32"/>
      <c r="D1169" s="33"/>
      <c r="E1169" s="34"/>
      <c r="F1169" s="34"/>
      <c r="G1169" s="35"/>
      <c r="H1169" s="34"/>
      <c r="I1169" s="37"/>
    </row>
    <row r="1170" ht="22.5" customHeight="1">
      <c r="A1170" s="30"/>
      <c r="B1170" s="31"/>
      <c r="C1170" s="32"/>
      <c r="D1170" s="33"/>
      <c r="E1170" s="34"/>
      <c r="F1170" s="34"/>
      <c r="G1170" s="35"/>
      <c r="H1170" s="34"/>
      <c r="I1170" s="37"/>
    </row>
    <row r="1171" ht="22.5" customHeight="1">
      <c r="A1171" s="30"/>
      <c r="B1171" s="31"/>
      <c r="C1171" s="32"/>
      <c r="D1171" s="33"/>
      <c r="E1171" s="34"/>
      <c r="F1171" s="34"/>
      <c r="G1171" s="35"/>
      <c r="H1171" s="34"/>
      <c r="I1171" s="37"/>
    </row>
    <row r="1172" ht="22.5" customHeight="1">
      <c r="A1172" s="30"/>
      <c r="B1172" s="31"/>
      <c r="C1172" s="32"/>
      <c r="D1172" s="33"/>
      <c r="E1172" s="34"/>
      <c r="F1172" s="34"/>
      <c r="G1172" s="35"/>
      <c r="H1172" s="34"/>
      <c r="I1172" s="37"/>
    </row>
    <row r="1173" ht="22.5" customHeight="1">
      <c r="A1173" s="30"/>
      <c r="B1173" s="31"/>
      <c r="C1173" s="32"/>
      <c r="D1173" s="33"/>
      <c r="E1173" s="34"/>
      <c r="F1173" s="34"/>
      <c r="G1173" s="35"/>
      <c r="H1173" s="34"/>
      <c r="I1173" s="37"/>
    </row>
    <row r="1174" ht="22.5" customHeight="1">
      <c r="A1174" s="30"/>
      <c r="B1174" s="40"/>
      <c r="C1174" s="32"/>
      <c r="D1174" s="33"/>
      <c r="E1174" s="34"/>
      <c r="F1174" s="34"/>
      <c r="G1174" s="35"/>
      <c r="H1174" s="34"/>
      <c r="I1174" s="37"/>
    </row>
    <row r="1175" ht="22.5" customHeight="1">
      <c r="A1175" s="30"/>
      <c r="B1175" s="31"/>
      <c r="C1175" s="32"/>
      <c r="D1175" s="33"/>
      <c r="E1175" s="34"/>
      <c r="F1175" s="34"/>
      <c r="G1175" s="35"/>
      <c r="H1175" s="34"/>
      <c r="I1175" s="37"/>
    </row>
    <row r="1176" ht="22.5" customHeight="1">
      <c r="A1176" s="30"/>
      <c r="B1176" s="31"/>
      <c r="C1176" s="32"/>
      <c r="D1176" s="33"/>
      <c r="E1176" s="34"/>
      <c r="F1176" s="34"/>
      <c r="G1176" s="35"/>
      <c r="H1176" s="34"/>
      <c r="I1176" s="37"/>
    </row>
    <row r="1177" ht="22.5" customHeight="1">
      <c r="A1177" s="30"/>
      <c r="B1177" s="31"/>
      <c r="C1177" s="32"/>
      <c r="D1177" s="33"/>
      <c r="E1177" s="34"/>
      <c r="F1177" s="34"/>
      <c r="G1177" s="35"/>
      <c r="H1177" s="34"/>
      <c r="I1177" s="37"/>
    </row>
    <row r="1178" ht="22.5" customHeight="1">
      <c r="A1178" s="30"/>
      <c r="B1178" s="31"/>
      <c r="C1178" s="32"/>
      <c r="D1178" s="33"/>
      <c r="E1178" s="34"/>
      <c r="F1178" s="34"/>
      <c r="G1178" s="35"/>
      <c r="H1178" s="34"/>
      <c r="I1178" s="38"/>
    </row>
    <row r="1179" ht="22.5" customHeight="1">
      <c r="A1179" s="30"/>
      <c r="B1179" s="39"/>
      <c r="C1179" s="32"/>
      <c r="D1179" s="33"/>
      <c r="E1179" s="34"/>
      <c r="F1179" s="34"/>
      <c r="G1179" s="35"/>
      <c r="H1179" s="34"/>
      <c r="I1179" s="37"/>
    </row>
    <row r="1180" ht="22.5" customHeight="1">
      <c r="A1180" s="30"/>
      <c r="B1180" s="31"/>
      <c r="C1180" s="32"/>
      <c r="D1180" s="33"/>
      <c r="E1180" s="34"/>
      <c r="F1180" s="34"/>
      <c r="G1180" s="35"/>
      <c r="H1180" s="34"/>
      <c r="I1180" s="37"/>
    </row>
    <row r="1181" ht="22.5" customHeight="1">
      <c r="A1181" s="30"/>
      <c r="B1181" s="31"/>
      <c r="C1181" s="32"/>
      <c r="D1181" s="33"/>
      <c r="E1181" s="34"/>
      <c r="F1181" s="34"/>
      <c r="G1181" s="35"/>
      <c r="H1181" s="34"/>
      <c r="I1181" s="37"/>
    </row>
    <row r="1182" ht="22.5" customHeight="1">
      <c r="A1182" s="30"/>
      <c r="B1182" s="31"/>
      <c r="C1182" s="32"/>
      <c r="D1182" s="33"/>
      <c r="E1182" s="34"/>
      <c r="F1182" s="34"/>
      <c r="G1182" s="35"/>
      <c r="H1182" s="34"/>
      <c r="I1182" s="37"/>
    </row>
    <row r="1183" ht="22.5" customHeight="1">
      <c r="A1183" s="30"/>
      <c r="B1183" s="39"/>
      <c r="C1183" s="32"/>
      <c r="D1183" s="33"/>
      <c r="E1183" s="34"/>
      <c r="F1183" s="34"/>
      <c r="G1183" s="35"/>
      <c r="H1183" s="34"/>
      <c r="I1183" s="37"/>
    </row>
    <row r="1184" ht="22.5" customHeight="1">
      <c r="A1184" s="30"/>
      <c r="B1184" s="31"/>
      <c r="C1184" s="32"/>
      <c r="D1184" s="33"/>
      <c r="E1184" s="34"/>
      <c r="F1184" s="34"/>
      <c r="G1184" s="35"/>
      <c r="H1184" s="34"/>
      <c r="I1184" s="37"/>
    </row>
    <row r="1185" ht="22.5" customHeight="1">
      <c r="A1185" s="30"/>
      <c r="B1185" s="39"/>
      <c r="C1185" s="32"/>
      <c r="D1185" s="33"/>
      <c r="E1185" s="34"/>
      <c r="F1185" s="34"/>
      <c r="G1185" s="35"/>
      <c r="H1185" s="34"/>
      <c r="I1185" s="37"/>
    </row>
    <row r="1186" ht="22.5" customHeight="1">
      <c r="A1186" s="30"/>
      <c r="B1186" s="31"/>
      <c r="C1186" s="32"/>
      <c r="D1186" s="33"/>
      <c r="E1186" s="34"/>
      <c r="F1186" s="34"/>
      <c r="G1186" s="35"/>
      <c r="H1186" s="34"/>
      <c r="I1186" s="37"/>
    </row>
    <row r="1187" ht="22.5" customHeight="1">
      <c r="A1187" s="30"/>
      <c r="B1187" s="31"/>
      <c r="C1187" s="32"/>
      <c r="D1187" s="33"/>
      <c r="E1187" s="34"/>
      <c r="F1187" s="34"/>
      <c r="G1187" s="35"/>
      <c r="H1187" s="34"/>
      <c r="I1187" s="37"/>
    </row>
    <row r="1188" ht="22.5" customHeight="1">
      <c r="A1188" s="30"/>
      <c r="B1188" s="31"/>
      <c r="C1188" s="32"/>
      <c r="D1188" s="33"/>
      <c r="E1188" s="34"/>
      <c r="F1188" s="34"/>
      <c r="G1188" s="35"/>
      <c r="H1188" s="34"/>
      <c r="I1188" s="37"/>
    </row>
    <row r="1189" ht="22.5" customHeight="1">
      <c r="A1189" s="30"/>
      <c r="B1189" s="31"/>
      <c r="C1189" s="32"/>
      <c r="D1189" s="33"/>
      <c r="E1189" s="34"/>
      <c r="F1189" s="34"/>
      <c r="G1189" s="35"/>
      <c r="H1189" s="34"/>
      <c r="I1189" s="37"/>
    </row>
    <row r="1190" ht="22.5" customHeight="1">
      <c r="A1190" s="30"/>
      <c r="B1190" s="31"/>
      <c r="C1190" s="32"/>
      <c r="D1190" s="33"/>
      <c r="E1190" s="34"/>
      <c r="F1190" s="34"/>
      <c r="G1190" s="35"/>
      <c r="H1190" s="34"/>
      <c r="I1190" s="37"/>
    </row>
    <row r="1191" ht="22.5" customHeight="1">
      <c r="A1191" s="30"/>
      <c r="B1191" s="31"/>
      <c r="C1191" s="32"/>
      <c r="D1191" s="33"/>
      <c r="E1191" s="34"/>
      <c r="F1191" s="34"/>
      <c r="G1191" s="35"/>
      <c r="H1191" s="34"/>
      <c r="I1191" s="37"/>
    </row>
    <row r="1192" ht="22.5" customHeight="1">
      <c r="A1192" s="30"/>
      <c r="B1192" s="31"/>
      <c r="C1192" s="32"/>
      <c r="D1192" s="33"/>
      <c r="E1192" s="34"/>
      <c r="F1192" s="34"/>
      <c r="G1192" s="35"/>
      <c r="H1192" s="34"/>
      <c r="I1192" s="37"/>
    </row>
    <row r="1193" ht="22.5" customHeight="1">
      <c r="A1193" s="30"/>
      <c r="B1193" s="31"/>
      <c r="C1193" s="32"/>
      <c r="D1193" s="33"/>
      <c r="E1193" s="34"/>
      <c r="F1193" s="34"/>
      <c r="G1193" s="35"/>
      <c r="H1193" s="34"/>
      <c r="I1193" s="37"/>
    </row>
    <row r="1194" ht="22.5" customHeight="1">
      <c r="A1194" s="30"/>
      <c r="B1194" s="31"/>
      <c r="C1194" s="32"/>
      <c r="D1194" s="33"/>
      <c r="E1194" s="34"/>
      <c r="F1194" s="34"/>
      <c r="G1194" s="35"/>
      <c r="H1194" s="34"/>
      <c r="I1194" s="37"/>
    </row>
    <row r="1195" ht="22.5" customHeight="1">
      <c r="A1195" s="30"/>
      <c r="B1195" s="31"/>
      <c r="C1195" s="32"/>
      <c r="D1195" s="33"/>
      <c r="E1195" s="34"/>
      <c r="F1195" s="34"/>
      <c r="G1195" s="35"/>
      <c r="H1195" s="34"/>
      <c r="I1195" s="37"/>
    </row>
    <row r="1196" ht="22.5" customHeight="1">
      <c r="A1196" s="30"/>
      <c r="B1196" s="40"/>
      <c r="C1196" s="32"/>
      <c r="D1196" s="33"/>
      <c r="E1196" s="34"/>
      <c r="F1196" s="34"/>
      <c r="G1196" s="35"/>
      <c r="H1196" s="34"/>
      <c r="I1196" s="37"/>
    </row>
    <row r="1197" ht="22.5" customHeight="1">
      <c r="A1197" s="30"/>
      <c r="B1197" s="31"/>
      <c r="C1197" s="32"/>
      <c r="D1197" s="33"/>
      <c r="E1197" s="34"/>
      <c r="F1197" s="34"/>
      <c r="G1197" s="35"/>
      <c r="H1197" s="34"/>
      <c r="I1197" s="37"/>
    </row>
    <row r="1198" ht="22.5" customHeight="1">
      <c r="A1198" s="30"/>
      <c r="B1198" s="31"/>
      <c r="C1198" s="32"/>
      <c r="D1198" s="33"/>
      <c r="E1198" s="34"/>
      <c r="F1198" s="34"/>
      <c r="G1198" s="35"/>
      <c r="H1198" s="34"/>
      <c r="I1198" s="37"/>
    </row>
    <row r="1199" ht="22.5" customHeight="1">
      <c r="A1199" s="30"/>
      <c r="B1199" s="31"/>
      <c r="C1199" s="32"/>
      <c r="D1199" s="33"/>
      <c r="E1199" s="34"/>
      <c r="F1199" s="34"/>
      <c r="G1199" s="35"/>
      <c r="H1199" s="34"/>
      <c r="I1199" s="37"/>
    </row>
    <row r="1200" ht="22.5" customHeight="1">
      <c r="A1200" s="30"/>
      <c r="B1200" s="31"/>
      <c r="C1200" s="32"/>
      <c r="D1200" s="33"/>
      <c r="E1200" s="34"/>
      <c r="F1200" s="34"/>
      <c r="G1200" s="35"/>
      <c r="H1200" s="34"/>
      <c r="I1200" s="37"/>
    </row>
    <row r="1201" ht="22.5" customHeight="1">
      <c r="A1201" s="30"/>
      <c r="B1201" s="31"/>
      <c r="C1201" s="32"/>
      <c r="D1201" s="33"/>
      <c r="E1201" s="34"/>
      <c r="F1201" s="34"/>
      <c r="G1201" s="35"/>
      <c r="H1201" s="34"/>
      <c r="I1201" s="37"/>
    </row>
    <row r="1202" ht="22.5" customHeight="1">
      <c r="A1202" s="30"/>
      <c r="B1202" s="31"/>
      <c r="C1202" s="32"/>
      <c r="D1202" s="33"/>
      <c r="E1202" s="34"/>
      <c r="F1202" s="34"/>
      <c r="G1202" s="35"/>
      <c r="H1202" s="34"/>
      <c r="I1202" s="37"/>
    </row>
    <row r="1203" ht="22.5" customHeight="1">
      <c r="A1203" s="30"/>
      <c r="B1203" s="39"/>
      <c r="C1203" s="32"/>
      <c r="D1203" s="33"/>
      <c r="E1203" s="34"/>
      <c r="F1203" s="34"/>
      <c r="G1203" s="35"/>
      <c r="H1203" s="34"/>
      <c r="I1203" s="37"/>
    </row>
    <row r="1204" ht="22.5" customHeight="1">
      <c r="A1204" s="30"/>
      <c r="B1204" s="39"/>
      <c r="C1204" s="32"/>
      <c r="D1204" s="33"/>
      <c r="E1204" s="34"/>
      <c r="F1204" s="34"/>
      <c r="G1204" s="35"/>
      <c r="H1204" s="34"/>
      <c r="I1204" s="37"/>
    </row>
    <row r="1205" ht="22.5" customHeight="1">
      <c r="A1205" s="30"/>
      <c r="B1205" s="39"/>
      <c r="C1205" s="32"/>
      <c r="D1205" s="33"/>
      <c r="E1205" s="34"/>
      <c r="F1205" s="34"/>
      <c r="G1205" s="35"/>
      <c r="H1205" s="34"/>
      <c r="I1205" s="37"/>
    </row>
    <row r="1206" ht="22.5" customHeight="1">
      <c r="A1206" s="30"/>
      <c r="B1206" s="40"/>
      <c r="C1206" s="32"/>
      <c r="D1206" s="33"/>
      <c r="E1206" s="34"/>
      <c r="F1206" s="34"/>
      <c r="G1206" s="35"/>
      <c r="H1206" s="34"/>
      <c r="I1206" s="37"/>
    </row>
    <row r="1207" ht="22.5" customHeight="1">
      <c r="A1207" s="30"/>
      <c r="B1207" s="31"/>
      <c r="C1207" s="32"/>
      <c r="D1207" s="33"/>
      <c r="E1207" s="34"/>
      <c r="F1207" s="34"/>
      <c r="G1207" s="35"/>
      <c r="H1207" s="34"/>
      <c r="I1207" s="37"/>
    </row>
    <row r="1208" ht="22.5" customHeight="1">
      <c r="A1208" s="30"/>
      <c r="B1208" s="31"/>
      <c r="C1208" s="32"/>
      <c r="D1208" s="33"/>
      <c r="E1208" s="34"/>
      <c r="F1208" s="34"/>
      <c r="G1208" s="35"/>
      <c r="H1208" s="34"/>
      <c r="I1208" s="37"/>
    </row>
    <row r="1209" ht="22.5" customHeight="1">
      <c r="A1209" s="30"/>
      <c r="B1209" s="31"/>
      <c r="C1209" s="32"/>
      <c r="D1209" s="33"/>
      <c r="E1209" s="34"/>
      <c r="F1209" s="34"/>
      <c r="G1209" s="35"/>
      <c r="H1209" s="34"/>
      <c r="I1209" s="37"/>
    </row>
    <row r="1210" ht="22.5" customHeight="1">
      <c r="A1210" s="30"/>
      <c r="B1210" s="31"/>
      <c r="C1210" s="32"/>
      <c r="D1210" s="33"/>
      <c r="E1210" s="34"/>
      <c r="F1210" s="34"/>
      <c r="G1210" s="35"/>
      <c r="H1210" s="34"/>
      <c r="I1210" s="37"/>
    </row>
    <row r="1211" ht="22.5" customHeight="1">
      <c r="A1211" s="30"/>
      <c r="B1211" s="31"/>
      <c r="C1211" s="32"/>
      <c r="D1211" s="33"/>
      <c r="E1211" s="34"/>
      <c r="F1211" s="34"/>
      <c r="G1211" s="35"/>
      <c r="H1211" s="34"/>
      <c r="I1211" s="37"/>
    </row>
    <row r="1212" ht="22.5" customHeight="1">
      <c r="A1212" s="30"/>
      <c r="B1212" s="31"/>
      <c r="C1212" s="32"/>
      <c r="D1212" s="33"/>
      <c r="E1212" s="34"/>
      <c r="F1212" s="34"/>
      <c r="G1212" s="35"/>
      <c r="H1212" s="34"/>
      <c r="I1212" s="37"/>
    </row>
    <row r="1213" ht="22.5" customHeight="1">
      <c r="A1213" s="30"/>
      <c r="B1213" s="31"/>
      <c r="C1213" s="32"/>
      <c r="D1213" s="33"/>
      <c r="E1213" s="34"/>
      <c r="F1213" s="34"/>
      <c r="G1213" s="35"/>
      <c r="H1213" s="34"/>
      <c r="I1213" s="37"/>
    </row>
    <row r="1214" ht="22.5" customHeight="1">
      <c r="A1214" s="30"/>
      <c r="B1214" s="31"/>
      <c r="C1214" s="32"/>
      <c r="D1214" s="33"/>
      <c r="E1214" s="34"/>
      <c r="F1214" s="34"/>
      <c r="G1214" s="35"/>
      <c r="H1214" s="34"/>
      <c r="I1214" s="37"/>
    </row>
    <row r="1215" ht="22.5" customHeight="1">
      <c r="A1215" s="30"/>
      <c r="B1215" s="31"/>
      <c r="C1215" s="32"/>
      <c r="D1215" s="33"/>
      <c r="E1215" s="34"/>
      <c r="F1215" s="34"/>
      <c r="G1215" s="35"/>
      <c r="H1215" s="34"/>
      <c r="I1215" s="37"/>
    </row>
    <row r="1216" ht="22.5" customHeight="1">
      <c r="A1216" s="30"/>
      <c r="B1216" s="40"/>
      <c r="C1216" s="32"/>
      <c r="D1216" s="33"/>
      <c r="E1216" s="34"/>
      <c r="F1216" s="34"/>
      <c r="G1216" s="35"/>
      <c r="H1216" s="34"/>
      <c r="I1216" s="37"/>
    </row>
    <row r="1217" ht="22.5" customHeight="1">
      <c r="A1217" s="30"/>
      <c r="B1217" s="31"/>
      <c r="C1217" s="32"/>
      <c r="D1217" s="33"/>
      <c r="E1217" s="34"/>
      <c r="F1217" s="34"/>
      <c r="G1217" s="35"/>
      <c r="H1217" s="34"/>
      <c r="I1217" s="37"/>
    </row>
    <row r="1218" ht="22.5" customHeight="1">
      <c r="A1218" s="30"/>
      <c r="B1218" s="31"/>
      <c r="C1218" s="32"/>
      <c r="D1218" s="33"/>
      <c r="E1218" s="34"/>
      <c r="F1218" s="34"/>
      <c r="G1218" s="35"/>
      <c r="H1218" s="34"/>
      <c r="I1218" s="37"/>
    </row>
    <row r="1219" ht="22.5" customHeight="1">
      <c r="A1219" s="30"/>
      <c r="B1219" s="31"/>
      <c r="C1219" s="32"/>
      <c r="D1219" s="33"/>
      <c r="E1219" s="34"/>
      <c r="F1219" s="34"/>
      <c r="G1219" s="35"/>
      <c r="H1219" s="34"/>
      <c r="I1219" s="37"/>
    </row>
    <row r="1220" ht="22.5" customHeight="1">
      <c r="A1220" s="30"/>
      <c r="B1220" s="40"/>
      <c r="C1220" s="32"/>
      <c r="D1220" s="33"/>
      <c r="E1220" s="34"/>
      <c r="F1220" s="34"/>
      <c r="G1220" s="35"/>
      <c r="H1220" s="34"/>
      <c r="I1220" s="37"/>
    </row>
    <row r="1221" ht="22.5" customHeight="1">
      <c r="A1221" s="30"/>
      <c r="B1221" s="31"/>
      <c r="C1221" s="32"/>
      <c r="D1221" s="33"/>
      <c r="E1221" s="34"/>
      <c r="F1221" s="34"/>
      <c r="G1221" s="35"/>
      <c r="H1221" s="34"/>
      <c r="I1221" s="37"/>
    </row>
    <row r="1222" ht="22.5" customHeight="1">
      <c r="A1222" s="30"/>
      <c r="B1222" s="31"/>
      <c r="C1222" s="32"/>
      <c r="D1222" s="33"/>
      <c r="E1222" s="34"/>
      <c r="F1222" s="34"/>
      <c r="G1222" s="35"/>
      <c r="H1222" s="34"/>
      <c r="I1222" s="37"/>
    </row>
    <row r="1223" ht="22.5" customHeight="1">
      <c r="A1223" s="30"/>
      <c r="B1223" s="31"/>
      <c r="C1223" s="32"/>
      <c r="D1223" s="33"/>
      <c r="E1223" s="34"/>
      <c r="F1223" s="34"/>
      <c r="G1223" s="35"/>
      <c r="H1223" s="34"/>
      <c r="I1223" s="37"/>
    </row>
    <row r="1224" ht="22.5" customHeight="1">
      <c r="A1224" s="30"/>
      <c r="B1224" s="31"/>
      <c r="C1224" s="32"/>
      <c r="D1224" s="33"/>
      <c r="E1224" s="34"/>
      <c r="F1224" s="34"/>
      <c r="G1224" s="35"/>
      <c r="H1224" s="34"/>
      <c r="I1224" s="37"/>
    </row>
    <row r="1225" ht="22.5" customHeight="1">
      <c r="A1225" s="30"/>
      <c r="B1225" s="31"/>
      <c r="C1225" s="32"/>
      <c r="D1225" s="33"/>
      <c r="E1225" s="34"/>
      <c r="F1225" s="34"/>
      <c r="G1225" s="35"/>
      <c r="H1225" s="34"/>
      <c r="I1225" s="37"/>
    </row>
    <row r="1226" ht="22.5" customHeight="1">
      <c r="A1226" s="30"/>
      <c r="B1226" s="31"/>
      <c r="C1226" s="32"/>
      <c r="D1226" s="33"/>
      <c r="E1226" s="34"/>
      <c r="F1226" s="34"/>
      <c r="G1226" s="35"/>
      <c r="H1226" s="34"/>
      <c r="I1226" s="37"/>
    </row>
    <row r="1227" ht="22.5" customHeight="1">
      <c r="A1227" s="30"/>
      <c r="B1227" s="31"/>
      <c r="C1227" s="32"/>
      <c r="D1227" s="33"/>
      <c r="E1227" s="34"/>
      <c r="F1227" s="34"/>
      <c r="G1227" s="35"/>
      <c r="H1227" s="34"/>
      <c r="I1227" s="37"/>
    </row>
    <row r="1228" ht="22.5" customHeight="1">
      <c r="A1228" s="30"/>
      <c r="B1228" s="31"/>
      <c r="C1228" s="32"/>
      <c r="D1228" s="33"/>
      <c r="E1228" s="34"/>
      <c r="F1228" s="34"/>
      <c r="G1228" s="35"/>
      <c r="H1228" s="34"/>
      <c r="I1228" s="37"/>
    </row>
    <row r="1229" ht="22.5" customHeight="1">
      <c r="A1229" s="30"/>
      <c r="B1229" s="31"/>
      <c r="C1229" s="32"/>
      <c r="D1229" s="33"/>
      <c r="E1229" s="34"/>
      <c r="F1229" s="34"/>
      <c r="G1229" s="35"/>
      <c r="H1229" s="34"/>
      <c r="I1229" s="37"/>
    </row>
    <row r="1230" ht="22.5" customHeight="1">
      <c r="A1230" s="30"/>
      <c r="B1230" s="31"/>
      <c r="C1230" s="32"/>
      <c r="D1230" s="33"/>
      <c r="E1230" s="34"/>
      <c r="F1230" s="34"/>
      <c r="G1230" s="35"/>
      <c r="H1230" s="34"/>
      <c r="I1230" s="37"/>
    </row>
    <row r="1231" ht="22.5" customHeight="1">
      <c r="A1231" s="30"/>
      <c r="B1231" s="31"/>
      <c r="C1231" s="32"/>
      <c r="D1231" s="33"/>
      <c r="E1231" s="34"/>
      <c r="F1231" s="34"/>
      <c r="G1231" s="35"/>
      <c r="H1231" s="34"/>
      <c r="I1231" s="37"/>
    </row>
    <row r="1232" ht="22.5" customHeight="1">
      <c r="A1232" s="30"/>
      <c r="B1232" s="31"/>
      <c r="C1232" s="32"/>
      <c r="D1232" s="33"/>
      <c r="E1232" s="34"/>
      <c r="F1232" s="34"/>
      <c r="G1232" s="35"/>
      <c r="H1232" s="34"/>
      <c r="I1232" s="37"/>
    </row>
    <row r="1233" ht="22.5" customHeight="1">
      <c r="A1233" s="30"/>
      <c r="B1233" s="31"/>
      <c r="C1233" s="32"/>
      <c r="D1233" s="33"/>
      <c r="E1233" s="34"/>
      <c r="F1233" s="34"/>
      <c r="G1233" s="35"/>
      <c r="H1233" s="34"/>
      <c r="I1233" s="37"/>
    </row>
    <row r="1234" ht="22.5" customHeight="1">
      <c r="A1234" s="30"/>
      <c r="B1234" s="31"/>
      <c r="C1234" s="32"/>
      <c r="D1234" s="33"/>
      <c r="E1234" s="34"/>
      <c r="F1234" s="34"/>
      <c r="G1234" s="35"/>
      <c r="H1234" s="34"/>
      <c r="I1234" s="37"/>
    </row>
    <row r="1235" ht="22.5" customHeight="1">
      <c r="A1235" s="30"/>
      <c r="B1235" s="40"/>
      <c r="C1235" s="32"/>
      <c r="D1235" s="33"/>
      <c r="E1235" s="34"/>
      <c r="F1235" s="34"/>
      <c r="G1235" s="35"/>
      <c r="H1235" s="34"/>
      <c r="I1235" s="37"/>
    </row>
    <row r="1236" ht="22.5" customHeight="1">
      <c r="A1236" s="30"/>
      <c r="B1236" s="31"/>
      <c r="C1236" s="32"/>
      <c r="D1236" s="33"/>
      <c r="E1236" s="34"/>
      <c r="F1236" s="34"/>
      <c r="G1236" s="35"/>
      <c r="H1236" s="34"/>
      <c r="I1236" s="37"/>
    </row>
    <row r="1237" ht="22.5" customHeight="1">
      <c r="A1237" s="30"/>
      <c r="B1237" s="40"/>
      <c r="C1237" s="32"/>
      <c r="D1237" s="33"/>
      <c r="E1237" s="34"/>
      <c r="F1237" s="34"/>
      <c r="G1237" s="35"/>
      <c r="H1237" s="34"/>
      <c r="I1237" s="37"/>
    </row>
    <row r="1238" ht="22.5" customHeight="1">
      <c r="A1238" s="30"/>
      <c r="B1238" s="31"/>
      <c r="C1238" s="32"/>
      <c r="D1238" s="33"/>
      <c r="E1238" s="34"/>
      <c r="F1238" s="34"/>
      <c r="G1238" s="35"/>
      <c r="H1238" s="34"/>
      <c r="I1238" s="37"/>
    </row>
    <row r="1239" ht="22.5" customHeight="1">
      <c r="A1239" s="30"/>
      <c r="B1239" s="31"/>
      <c r="C1239" s="32"/>
      <c r="D1239" s="33"/>
      <c r="E1239" s="34"/>
      <c r="F1239" s="34"/>
      <c r="G1239" s="35"/>
      <c r="H1239" s="34"/>
      <c r="I1239" s="37"/>
    </row>
    <row r="1240" ht="22.5" customHeight="1">
      <c r="A1240" s="30"/>
      <c r="B1240" s="31"/>
      <c r="C1240" s="32"/>
      <c r="D1240" s="33"/>
      <c r="E1240" s="34"/>
      <c r="F1240" s="34"/>
      <c r="G1240" s="35"/>
      <c r="H1240" s="34"/>
      <c r="I1240" s="37"/>
    </row>
    <row r="1241" ht="22.5" customHeight="1">
      <c r="A1241" s="30"/>
      <c r="B1241" s="31"/>
      <c r="C1241" s="32"/>
      <c r="D1241" s="33"/>
      <c r="E1241" s="34"/>
      <c r="F1241" s="34"/>
      <c r="G1241" s="35"/>
      <c r="H1241" s="34"/>
      <c r="I1241" s="37"/>
    </row>
    <row r="1242" ht="22.5" customHeight="1">
      <c r="A1242" s="30"/>
      <c r="B1242" s="40"/>
      <c r="C1242" s="32"/>
      <c r="D1242" s="33"/>
      <c r="E1242" s="34"/>
      <c r="F1242" s="34"/>
      <c r="G1242" s="35"/>
      <c r="H1242" s="34"/>
      <c r="I1242" s="37"/>
    </row>
    <row r="1243" ht="22.5" customHeight="1">
      <c r="A1243" s="30"/>
      <c r="B1243" s="31"/>
      <c r="C1243" s="32"/>
      <c r="D1243" s="33"/>
      <c r="E1243" s="34"/>
      <c r="F1243" s="34"/>
      <c r="G1243" s="35"/>
      <c r="H1243" s="34"/>
      <c r="I1243" s="37"/>
    </row>
    <row r="1244" ht="22.5" customHeight="1">
      <c r="A1244" s="30"/>
      <c r="B1244" s="31"/>
      <c r="C1244" s="32"/>
      <c r="D1244" s="33"/>
      <c r="E1244" s="34"/>
      <c r="F1244" s="34"/>
      <c r="G1244" s="35"/>
      <c r="H1244" s="34"/>
      <c r="I1244" s="37"/>
    </row>
    <row r="1245" ht="22.5" customHeight="1">
      <c r="A1245" s="30"/>
      <c r="B1245" s="31"/>
      <c r="C1245" s="32"/>
      <c r="D1245" s="33"/>
      <c r="E1245" s="34"/>
      <c r="F1245" s="34"/>
      <c r="G1245" s="35"/>
      <c r="H1245" s="34"/>
      <c r="I1245" s="37"/>
    </row>
    <row r="1246" ht="22.5" customHeight="1">
      <c r="A1246" s="30"/>
      <c r="B1246" s="31"/>
      <c r="C1246" s="32"/>
      <c r="D1246" s="33"/>
      <c r="E1246" s="34"/>
      <c r="F1246" s="34"/>
      <c r="G1246" s="35"/>
      <c r="H1246" s="34"/>
      <c r="I1246" s="37"/>
    </row>
    <row r="1247" ht="22.5" customHeight="1">
      <c r="A1247" s="30"/>
      <c r="B1247" s="31"/>
      <c r="C1247" s="32"/>
      <c r="D1247" s="33"/>
      <c r="E1247" s="34"/>
      <c r="F1247" s="34"/>
      <c r="G1247" s="35"/>
      <c r="H1247" s="34"/>
      <c r="I1247" s="37"/>
    </row>
    <row r="1248" ht="22.5" customHeight="1">
      <c r="A1248" s="30"/>
      <c r="B1248" s="31"/>
      <c r="C1248" s="32"/>
      <c r="D1248" s="33"/>
      <c r="E1248" s="34"/>
      <c r="F1248" s="34"/>
      <c r="G1248" s="35"/>
      <c r="H1248" s="34"/>
      <c r="I1248" s="37"/>
    </row>
    <row r="1249" ht="22.5" customHeight="1">
      <c r="A1249" s="30"/>
      <c r="B1249" s="31"/>
      <c r="C1249" s="32"/>
      <c r="D1249" s="33"/>
      <c r="E1249" s="34"/>
      <c r="F1249" s="34"/>
      <c r="G1249" s="35"/>
      <c r="H1249" s="34"/>
      <c r="I1249" s="37"/>
    </row>
    <row r="1250" ht="22.5" customHeight="1">
      <c r="A1250" s="30"/>
      <c r="B1250" s="31"/>
      <c r="C1250" s="32"/>
      <c r="D1250" s="33"/>
      <c r="E1250" s="34"/>
      <c r="F1250" s="34"/>
      <c r="G1250" s="35"/>
      <c r="H1250" s="34"/>
      <c r="I1250" s="37"/>
    </row>
    <row r="1251" ht="22.5" customHeight="1">
      <c r="A1251" s="30"/>
      <c r="B1251" s="31"/>
      <c r="C1251" s="32"/>
      <c r="D1251" s="33"/>
      <c r="E1251" s="34"/>
      <c r="F1251" s="34"/>
      <c r="G1251" s="35"/>
      <c r="H1251" s="34"/>
      <c r="I1251" s="37"/>
    </row>
    <row r="1252" ht="22.5" customHeight="1">
      <c r="A1252" s="30"/>
      <c r="B1252" s="31"/>
      <c r="C1252" s="32"/>
      <c r="D1252" s="33"/>
      <c r="E1252" s="34"/>
      <c r="F1252" s="34"/>
      <c r="G1252" s="35"/>
      <c r="H1252" s="34"/>
      <c r="I1252" s="37"/>
    </row>
    <row r="1253" ht="22.5" customHeight="1">
      <c r="A1253" s="30"/>
      <c r="B1253" s="31"/>
      <c r="C1253" s="32"/>
      <c r="D1253" s="33"/>
      <c r="E1253" s="34"/>
      <c r="F1253" s="34"/>
      <c r="G1253" s="35"/>
      <c r="H1253" s="34"/>
      <c r="I1253" s="37"/>
    </row>
    <row r="1254" ht="22.5" customHeight="1">
      <c r="A1254" s="30"/>
      <c r="B1254" s="31"/>
      <c r="C1254" s="32"/>
      <c r="D1254" s="33"/>
      <c r="E1254" s="34"/>
      <c r="F1254" s="34"/>
      <c r="G1254" s="35"/>
      <c r="H1254" s="34"/>
      <c r="I1254" s="37"/>
    </row>
    <row r="1255" ht="22.5" customHeight="1">
      <c r="A1255" s="30"/>
      <c r="B1255" s="31"/>
      <c r="C1255" s="32"/>
      <c r="D1255" s="33"/>
      <c r="E1255" s="34"/>
      <c r="F1255" s="34"/>
      <c r="G1255" s="35"/>
      <c r="H1255" s="34"/>
      <c r="I1255" s="37"/>
    </row>
    <row r="1256" ht="22.5" customHeight="1">
      <c r="A1256" s="30"/>
      <c r="B1256" s="31"/>
      <c r="C1256" s="32"/>
      <c r="D1256" s="33"/>
      <c r="E1256" s="34"/>
      <c r="F1256" s="34"/>
      <c r="G1256" s="35"/>
      <c r="H1256" s="34"/>
      <c r="I1256" s="37"/>
    </row>
    <row r="1257" ht="22.5" customHeight="1">
      <c r="A1257" s="30"/>
      <c r="B1257" s="31"/>
      <c r="C1257" s="32"/>
      <c r="D1257" s="33"/>
      <c r="E1257" s="34"/>
      <c r="F1257" s="34"/>
      <c r="G1257" s="35"/>
      <c r="H1257" s="34"/>
      <c r="I1257" s="37"/>
    </row>
    <row r="1258" ht="22.5" customHeight="1">
      <c r="A1258" s="30"/>
      <c r="B1258" s="31"/>
      <c r="C1258" s="32"/>
      <c r="D1258" s="33"/>
      <c r="E1258" s="34"/>
      <c r="F1258" s="34"/>
      <c r="G1258" s="35"/>
      <c r="H1258" s="34"/>
      <c r="I1258" s="37"/>
    </row>
    <row r="1259" ht="22.5" customHeight="1">
      <c r="A1259" s="30"/>
      <c r="B1259" s="31"/>
      <c r="C1259" s="32"/>
      <c r="D1259" s="33"/>
      <c r="E1259" s="34"/>
      <c r="F1259" s="34"/>
      <c r="G1259" s="35"/>
      <c r="H1259" s="34"/>
      <c r="I1259" s="37"/>
    </row>
    <row r="1260" ht="22.5" customHeight="1">
      <c r="A1260" s="30"/>
      <c r="B1260" s="31"/>
      <c r="C1260" s="32"/>
      <c r="D1260" s="33"/>
      <c r="E1260" s="34"/>
      <c r="F1260" s="34"/>
      <c r="G1260" s="35"/>
      <c r="H1260" s="34"/>
      <c r="I1260" s="37"/>
    </row>
    <row r="1261" ht="22.5" customHeight="1">
      <c r="A1261" s="30"/>
      <c r="B1261" s="31"/>
      <c r="C1261" s="32"/>
      <c r="D1261" s="33"/>
      <c r="E1261" s="34"/>
      <c r="F1261" s="34"/>
      <c r="G1261" s="35"/>
      <c r="H1261" s="34"/>
      <c r="I1261" s="37"/>
    </row>
    <row r="1262" ht="22.5" customHeight="1">
      <c r="A1262" s="30"/>
      <c r="B1262" s="31"/>
      <c r="C1262" s="32"/>
      <c r="D1262" s="33"/>
      <c r="E1262" s="34"/>
      <c r="F1262" s="34"/>
      <c r="G1262" s="35"/>
      <c r="H1262" s="34"/>
      <c r="I1262" s="37"/>
    </row>
    <row r="1263" ht="22.5" customHeight="1">
      <c r="A1263" s="30"/>
      <c r="B1263" s="31"/>
      <c r="C1263" s="32"/>
      <c r="D1263" s="33"/>
      <c r="E1263" s="34"/>
      <c r="F1263" s="34"/>
      <c r="G1263" s="35"/>
      <c r="H1263" s="34"/>
      <c r="I1263" s="37"/>
    </row>
    <row r="1264" ht="22.5" customHeight="1">
      <c r="A1264" s="30"/>
      <c r="B1264" s="40"/>
      <c r="C1264" s="32"/>
      <c r="D1264" s="33"/>
      <c r="E1264" s="34"/>
      <c r="F1264" s="34"/>
      <c r="G1264" s="35"/>
      <c r="H1264" s="34"/>
      <c r="I1264" s="37"/>
    </row>
    <row r="1265" ht="22.5" customHeight="1">
      <c r="A1265" s="30"/>
      <c r="B1265" s="31"/>
      <c r="C1265" s="32"/>
      <c r="D1265" s="33"/>
      <c r="E1265" s="34"/>
      <c r="F1265" s="34"/>
      <c r="G1265" s="35"/>
      <c r="H1265" s="34"/>
      <c r="I1265" s="37"/>
    </row>
    <row r="1266" ht="22.5" customHeight="1">
      <c r="A1266" s="30"/>
      <c r="B1266" s="31"/>
      <c r="C1266" s="32"/>
      <c r="D1266" s="33"/>
      <c r="E1266" s="34"/>
      <c r="F1266" s="34"/>
      <c r="G1266" s="35"/>
      <c r="H1266" s="34"/>
      <c r="I1266" s="37"/>
    </row>
    <row r="1267" ht="22.5" customHeight="1">
      <c r="A1267" s="30"/>
      <c r="B1267" s="31"/>
      <c r="C1267" s="32"/>
      <c r="D1267" s="33"/>
      <c r="E1267" s="34"/>
      <c r="F1267" s="34"/>
      <c r="G1267" s="35"/>
      <c r="H1267" s="34"/>
      <c r="I1267" s="37"/>
    </row>
    <row r="1268" ht="22.5" customHeight="1">
      <c r="A1268" s="30"/>
      <c r="B1268" s="31"/>
      <c r="C1268" s="32"/>
      <c r="D1268" s="33"/>
      <c r="E1268" s="34"/>
      <c r="F1268" s="34"/>
      <c r="G1268" s="35"/>
      <c r="H1268" s="34"/>
      <c r="I1268" s="38"/>
    </row>
    <row r="1269" ht="22.5" customHeight="1">
      <c r="A1269" s="30"/>
      <c r="B1269" s="39"/>
      <c r="C1269" s="32"/>
      <c r="D1269" s="33"/>
      <c r="E1269" s="34"/>
      <c r="F1269" s="34"/>
      <c r="G1269" s="35"/>
      <c r="H1269" s="34"/>
      <c r="I1269" s="37"/>
    </row>
    <row r="1270" ht="22.5" customHeight="1">
      <c r="A1270" s="30"/>
      <c r="B1270" s="31"/>
      <c r="C1270" s="32"/>
      <c r="D1270" s="33"/>
      <c r="E1270" s="34"/>
      <c r="F1270" s="34"/>
      <c r="G1270" s="35"/>
      <c r="H1270" s="34"/>
      <c r="I1270" s="37"/>
    </row>
    <row r="1271" ht="22.5" customHeight="1">
      <c r="A1271" s="30"/>
      <c r="B1271" s="31"/>
      <c r="C1271" s="32"/>
      <c r="D1271" s="33"/>
      <c r="E1271" s="34"/>
      <c r="F1271" s="34"/>
      <c r="G1271" s="35"/>
      <c r="H1271" s="34"/>
      <c r="I1271" s="37"/>
    </row>
    <row r="1272" ht="22.5" customHeight="1">
      <c r="A1272" s="30"/>
      <c r="B1272" s="31"/>
      <c r="C1272" s="32"/>
      <c r="D1272" s="33"/>
      <c r="E1272" s="34"/>
      <c r="F1272" s="34"/>
      <c r="G1272" s="35"/>
      <c r="H1272" s="34"/>
      <c r="I1272" s="37"/>
    </row>
    <row r="1273" ht="22.5" customHeight="1">
      <c r="A1273" s="30"/>
      <c r="B1273" s="39"/>
      <c r="C1273" s="32"/>
      <c r="D1273" s="33"/>
      <c r="E1273" s="34"/>
      <c r="F1273" s="34"/>
      <c r="G1273" s="35"/>
      <c r="H1273" s="34"/>
      <c r="I1273" s="37"/>
    </row>
    <row r="1274" ht="22.5" customHeight="1">
      <c r="A1274" s="30"/>
      <c r="B1274" s="31"/>
      <c r="C1274" s="32"/>
      <c r="D1274" s="33"/>
      <c r="E1274" s="34"/>
      <c r="F1274" s="34"/>
      <c r="G1274" s="35"/>
      <c r="H1274" s="34"/>
      <c r="I1274" s="37"/>
    </row>
    <row r="1275" ht="22.5" customHeight="1">
      <c r="A1275" s="30"/>
      <c r="B1275" s="39"/>
      <c r="C1275" s="32"/>
      <c r="D1275" s="33"/>
      <c r="E1275" s="34"/>
      <c r="F1275" s="34"/>
      <c r="G1275" s="35"/>
      <c r="H1275" s="34"/>
      <c r="I1275" s="37"/>
    </row>
    <row r="1276" ht="22.5" customHeight="1">
      <c r="A1276" s="30"/>
      <c r="B1276" s="31"/>
      <c r="C1276" s="32"/>
      <c r="D1276" s="33"/>
      <c r="E1276" s="34"/>
      <c r="F1276" s="34"/>
      <c r="G1276" s="35"/>
      <c r="H1276" s="34"/>
      <c r="I1276" s="37"/>
    </row>
    <row r="1277" ht="22.5" customHeight="1">
      <c r="A1277" s="30"/>
      <c r="B1277" s="31"/>
      <c r="C1277" s="32"/>
      <c r="D1277" s="33"/>
      <c r="E1277" s="34"/>
      <c r="F1277" s="34"/>
      <c r="G1277" s="35"/>
      <c r="H1277" s="34"/>
      <c r="I1277" s="37"/>
    </row>
    <row r="1278" ht="22.5" customHeight="1">
      <c r="A1278" s="30"/>
      <c r="B1278" s="31"/>
      <c r="C1278" s="32"/>
      <c r="D1278" s="33"/>
      <c r="E1278" s="34"/>
      <c r="F1278" s="34"/>
      <c r="G1278" s="35"/>
      <c r="H1278" s="34"/>
      <c r="I1278" s="37"/>
    </row>
    <row r="1279" ht="22.5" customHeight="1">
      <c r="A1279" s="30"/>
      <c r="B1279" s="31"/>
      <c r="C1279" s="32"/>
      <c r="D1279" s="33"/>
      <c r="E1279" s="34"/>
      <c r="F1279" s="34"/>
      <c r="G1279" s="35"/>
      <c r="H1279" s="34"/>
      <c r="I1279" s="37"/>
    </row>
    <row r="1280" ht="22.5" customHeight="1">
      <c r="A1280" s="30"/>
      <c r="B1280" s="31"/>
      <c r="C1280" s="32"/>
      <c r="D1280" s="33"/>
      <c r="E1280" s="34"/>
      <c r="F1280" s="34"/>
      <c r="G1280" s="35"/>
      <c r="H1280" s="34"/>
      <c r="I1280" s="37"/>
    </row>
    <row r="1281" ht="22.5" customHeight="1">
      <c r="A1281" s="30"/>
      <c r="B1281" s="31"/>
      <c r="C1281" s="32"/>
      <c r="D1281" s="33"/>
      <c r="E1281" s="34"/>
      <c r="F1281" s="34"/>
      <c r="G1281" s="35"/>
      <c r="H1281" s="34"/>
      <c r="I1281" s="37"/>
    </row>
    <row r="1282" ht="22.5" customHeight="1">
      <c r="A1282" s="30"/>
      <c r="B1282" s="31"/>
      <c r="C1282" s="32"/>
      <c r="D1282" s="33"/>
      <c r="E1282" s="34"/>
      <c r="F1282" s="34"/>
      <c r="G1282" s="35"/>
      <c r="H1282" s="34"/>
      <c r="I1282" s="37"/>
    </row>
    <row r="1283" ht="22.5" customHeight="1">
      <c r="A1283" s="30"/>
      <c r="B1283" s="31"/>
      <c r="C1283" s="32"/>
      <c r="D1283" s="33"/>
      <c r="E1283" s="34"/>
      <c r="F1283" s="34"/>
      <c r="G1283" s="35"/>
      <c r="H1283" s="34"/>
      <c r="I1283" s="37"/>
    </row>
    <row r="1284" ht="22.5" customHeight="1">
      <c r="A1284" s="30"/>
      <c r="B1284" s="31"/>
      <c r="C1284" s="32"/>
      <c r="D1284" s="33"/>
      <c r="E1284" s="34"/>
      <c r="F1284" s="34"/>
      <c r="G1284" s="35"/>
      <c r="H1284" s="34"/>
      <c r="I1284" s="37"/>
    </row>
    <row r="1285" ht="22.5" customHeight="1">
      <c r="A1285" s="30"/>
      <c r="B1285" s="31"/>
      <c r="C1285" s="32"/>
      <c r="D1285" s="33"/>
      <c r="E1285" s="34"/>
      <c r="F1285" s="34"/>
      <c r="G1285" s="35"/>
      <c r="H1285" s="34"/>
      <c r="I1285" s="37"/>
    </row>
    <row r="1286" ht="22.5" customHeight="1">
      <c r="A1286" s="30"/>
      <c r="B1286" s="40"/>
      <c r="C1286" s="32"/>
      <c r="D1286" s="33"/>
      <c r="E1286" s="34"/>
      <c r="F1286" s="34"/>
      <c r="G1286" s="35"/>
      <c r="H1286" s="34"/>
      <c r="I1286" s="37"/>
    </row>
    <row r="1287" ht="22.5" customHeight="1">
      <c r="A1287" s="30"/>
      <c r="B1287" s="31"/>
      <c r="C1287" s="32"/>
      <c r="D1287" s="33"/>
      <c r="E1287" s="34"/>
      <c r="F1287" s="34"/>
      <c r="G1287" s="35"/>
      <c r="H1287" s="34"/>
      <c r="I1287" s="37"/>
    </row>
    <row r="1288" ht="22.5" customHeight="1">
      <c r="A1288" s="30"/>
      <c r="B1288" s="31"/>
      <c r="C1288" s="32"/>
      <c r="D1288" s="33"/>
      <c r="E1288" s="34"/>
      <c r="F1288" s="34"/>
      <c r="G1288" s="35"/>
      <c r="H1288" s="34"/>
      <c r="I1288" s="37"/>
    </row>
    <row r="1289" ht="22.5" customHeight="1">
      <c r="A1289" s="30"/>
      <c r="B1289" s="31"/>
      <c r="C1289" s="32"/>
      <c r="D1289" s="33"/>
      <c r="E1289" s="34"/>
      <c r="F1289" s="34"/>
      <c r="G1289" s="35"/>
      <c r="H1289" s="34"/>
      <c r="I1289" s="37"/>
    </row>
    <row r="1290" ht="22.5" customHeight="1">
      <c r="A1290" s="30"/>
      <c r="B1290" s="31"/>
      <c r="C1290" s="32"/>
      <c r="D1290" s="33"/>
      <c r="E1290" s="34"/>
      <c r="F1290" s="34"/>
      <c r="G1290" s="35"/>
      <c r="H1290" s="34"/>
      <c r="I1290" s="37"/>
    </row>
    <row r="1291" ht="22.5" customHeight="1">
      <c r="A1291" s="30"/>
      <c r="B1291" s="31"/>
      <c r="C1291" s="32"/>
      <c r="D1291" s="33"/>
      <c r="E1291" s="34"/>
      <c r="F1291" s="34"/>
      <c r="G1291" s="35"/>
      <c r="H1291" s="34"/>
      <c r="I1291" s="37"/>
    </row>
    <row r="1292" ht="22.5" customHeight="1">
      <c r="A1292" s="30"/>
      <c r="B1292" s="31"/>
      <c r="C1292" s="32"/>
      <c r="D1292" s="33"/>
      <c r="E1292" s="34"/>
      <c r="F1292" s="34"/>
      <c r="G1292" s="35"/>
      <c r="H1292" s="34"/>
      <c r="I1292" s="37"/>
    </row>
    <row r="1293" ht="22.5" customHeight="1">
      <c r="A1293" s="30"/>
      <c r="B1293" s="39"/>
      <c r="C1293" s="32"/>
      <c r="D1293" s="33"/>
      <c r="E1293" s="34"/>
      <c r="F1293" s="34"/>
      <c r="G1293" s="35"/>
      <c r="H1293" s="34"/>
      <c r="I1293" s="37"/>
    </row>
    <row r="1294" ht="22.5" customHeight="1">
      <c r="A1294" s="30"/>
      <c r="B1294" s="39"/>
      <c r="C1294" s="32"/>
      <c r="D1294" s="33"/>
      <c r="E1294" s="34"/>
      <c r="F1294" s="34"/>
      <c r="G1294" s="35"/>
      <c r="H1294" s="34"/>
      <c r="I1294" s="37"/>
    </row>
    <row r="1295" ht="22.5" customHeight="1">
      <c r="A1295" s="30"/>
      <c r="B1295" s="39"/>
      <c r="C1295" s="32"/>
      <c r="D1295" s="33"/>
      <c r="E1295" s="34"/>
      <c r="F1295" s="34"/>
      <c r="G1295" s="35"/>
      <c r="H1295" s="34"/>
      <c r="I1295" s="37"/>
    </row>
    <row r="1296" ht="22.5" customHeight="1">
      <c r="A1296" s="30"/>
      <c r="B1296" s="40"/>
      <c r="C1296" s="32"/>
      <c r="D1296" s="33"/>
      <c r="E1296" s="34"/>
      <c r="F1296" s="34"/>
      <c r="G1296" s="35"/>
      <c r="H1296" s="34"/>
      <c r="I1296" s="37"/>
    </row>
    <row r="1297" ht="22.5" customHeight="1">
      <c r="A1297" s="30"/>
      <c r="B1297" s="31"/>
      <c r="C1297" s="32"/>
      <c r="D1297" s="33"/>
      <c r="E1297" s="34"/>
      <c r="F1297" s="34"/>
      <c r="G1297" s="35"/>
      <c r="H1297" s="34"/>
      <c r="I1297" s="37"/>
    </row>
    <row r="1298" ht="22.5" customHeight="1">
      <c r="A1298" s="30"/>
      <c r="B1298" s="31"/>
      <c r="C1298" s="32"/>
      <c r="D1298" s="33"/>
      <c r="E1298" s="34"/>
      <c r="F1298" s="34"/>
      <c r="G1298" s="35"/>
      <c r="H1298" s="34"/>
      <c r="I1298" s="37"/>
    </row>
    <row r="1299" ht="22.5" customHeight="1">
      <c r="A1299" s="30"/>
      <c r="B1299" s="31"/>
      <c r="C1299" s="32"/>
      <c r="D1299" s="33"/>
      <c r="E1299" s="34"/>
      <c r="F1299" s="34"/>
      <c r="G1299" s="35"/>
      <c r="H1299" s="34"/>
      <c r="I1299" s="37"/>
    </row>
    <row r="1300" ht="22.5" customHeight="1">
      <c r="A1300" s="30"/>
      <c r="B1300" s="31"/>
      <c r="C1300" s="32"/>
      <c r="D1300" s="33"/>
      <c r="E1300" s="34"/>
      <c r="F1300" s="34"/>
      <c r="G1300" s="35"/>
      <c r="H1300" s="34"/>
      <c r="I1300" s="37"/>
    </row>
    <row r="1301" ht="22.5" customHeight="1">
      <c r="A1301" s="30"/>
      <c r="B1301" s="31"/>
      <c r="C1301" s="32"/>
      <c r="D1301" s="33"/>
      <c r="E1301" s="34"/>
      <c r="F1301" s="34"/>
      <c r="G1301" s="35"/>
      <c r="H1301" s="34"/>
      <c r="I1301" s="37"/>
    </row>
    <row r="1302" ht="22.5" customHeight="1">
      <c r="A1302" s="30"/>
      <c r="B1302" s="31"/>
      <c r="C1302" s="32"/>
      <c r="D1302" s="33"/>
      <c r="E1302" s="34"/>
      <c r="F1302" s="34"/>
      <c r="G1302" s="35"/>
      <c r="H1302" s="34"/>
      <c r="I1302" s="37"/>
    </row>
    <row r="1303" ht="22.5" customHeight="1">
      <c r="A1303" s="30"/>
      <c r="B1303" s="31"/>
      <c r="C1303" s="32"/>
      <c r="D1303" s="33"/>
      <c r="E1303" s="34"/>
      <c r="F1303" s="34"/>
      <c r="G1303" s="35"/>
      <c r="H1303" s="34"/>
      <c r="I1303" s="37"/>
    </row>
    <row r="1304" ht="22.5" customHeight="1">
      <c r="A1304" s="30"/>
      <c r="B1304" s="31"/>
      <c r="C1304" s="32"/>
      <c r="D1304" s="33"/>
      <c r="E1304" s="34"/>
      <c r="F1304" s="34"/>
      <c r="G1304" s="35"/>
      <c r="H1304" s="34"/>
      <c r="I1304" s="37"/>
    </row>
    <row r="1305" ht="22.5" customHeight="1">
      <c r="A1305" s="30"/>
      <c r="B1305" s="31"/>
      <c r="C1305" s="32"/>
      <c r="D1305" s="33"/>
      <c r="E1305" s="34"/>
      <c r="F1305" s="34"/>
      <c r="G1305" s="35"/>
      <c r="H1305" s="34"/>
      <c r="I1305" s="37"/>
    </row>
    <row r="1306" ht="22.5" customHeight="1">
      <c r="A1306" s="30"/>
      <c r="B1306" s="40"/>
      <c r="C1306" s="32"/>
      <c r="D1306" s="33"/>
      <c r="E1306" s="34"/>
      <c r="F1306" s="34"/>
      <c r="G1306" s="35"/>
      <c r="H1306" s="34"/>
      <c r="I1306" s="37"/>
    </row>
    <row r="1307" ht="22.5" customHeight="1">
      <c r="A1307" s="30"/>
      <c r="B1307" s="31"/>
      <c r="C1307" s="32"/>
      <c r="D1307" s="33"/>
      <c r="E1307" s="34"/>
      <c r="F1307" s="34"/>
      <c r="G1307" s="35"/>
      <c r="H1307" s="34"/>
      <c r="I1307" s="37"/>
    </row>
    <row r="1308" ht="22.5" customHeight="1">
      <c r="A1308" s="30"/>
      <c r="B1308" s="31"/>
      <c r="C1308" s="32"/>
      <c r="D1308" s="33"/>
      <c r="E1308" s="34"/>
      <c r="F1308" s="34"/>
      <c r="G1308" s="35"/>
      <c r="H1308" s="34"/>
      <c r="I1308" s="37"/>
    </row>
    <row r="1309" ht="22.5" customHeight="1">
      <c r="A1309" s="30"/>
      <c r="B1309" s="31"/>
      <c r="C1309" s="32"/>
      <c r="D1309" s="33"/>
      <c r="E1309" s="34"/>
      <c r="F1309" s="34"/>
      <c r="G1309" s="35"/>
      <c r="H1309" s="34"/>
      <c r="I1309" s="37"/>
    </row>
    <row r="1310" ht="22.5" customHeight="1">
      <c r="A1310" s="30"/>
      <c r="B1310" s="40"/>
      <c r="C1310" s="32"/>
      <c r="D1310" s="33"/>
      <c r="E1310" s="34"/>
      <c r="F1310" s="34"/>
      <c r="G1310" s="35"/>
      <c r="H1310" s="34"/>
      <c r="I1310" s="37"/>
    </row>
    <row r="1311" ht="22.5" customHeight="1">
      <c r="A1311" s="30"/>
      <c r="B1311" s="31"/>
      <c r="C1311" s="32"/>
      <c r="D1311" s="33"/>
      <c r="E1311" s="34"/>
      <c r="F1311" s="34"/>
      <c r="G1311" s="35"/>
      <c r="H1311" s="34"/>
      <c r="I1311" s="37"/>
    </row>
    <row r="1312" ht="22.5" customHeight="1">
      <c r="A1312" s="30"/>
      <c r="B1312" s="31"/>
      <c r="C1312" s="32"/>
      <c r="D1312" s="33"/>
      <c r="E1312" s="34"/>
      <c r="F1312" s="34"/>
      <c r="G1312" s="35"/>
      <c r="H1312" s="34"/>
      <c r="I1312" s="37"/>
    </row>
    <row r="1313" ht="22.5" customHeight="1">
      <c r="A1313" s="30"/>
      <c r="B1313" s="31"/>
      <c r="C1313" s="32"/>
      <c r="D1313" s="33"/>
      <c r="E1313" s="34"/>
      <c r="F1313" s="34"/>
      <c r="G1313" s="35"/>
      <c r="H1313" s="34"/>
      <c r="I1313" s="37"/>
    </row>
    <row r="1314" ht="22.5" customHeight="1">
      <c r="A1314" s="30"/>
      <c r="B1314" s="31"/>
      <c r="C1314" s="32"/>
      <c r="D1314" s="33"/>
      <c r="E1314" s="34"/>
      <c r="F1314" s="34"/>
      <c r="G1314" s="35"/>
      <c r="H1314" s="34"/>
      <c r="I1314" s="37"/>
    </row>
    <row r="1315" ht="22.5" customHeight="1">
      <c r="A1315" s="30"/>
      <c r="B1315" s="31"/>
      <c r="C1315" s="32"/>
      <c r="D1315" s="33"/>
      <c r="E1315" s="34"/>
      <c r="F1315" s="34"/>
      <c r="G1315" s="35"/>
      <c r="H1315" s="34"/>
      <c r="I1315" s="37"/>
    </row>
    <row r="1316" ht="22.5" customHeight="1">
      <c r="A1316" s="30"/>
      <c r="B1316" s="31"/>
      <c r="C1316" s="32"/>
      <c r="D1316" s="33"/>
      <c r="E1316" s="34"/>
      <c r="F1316" s="34"/>
      <c r="G1316" s="35"/>
      <c r="H1316" s="34"/>
      <c r="I1316" s="37"/>
    </row>
    <row r="1317" ht="22.5" customHeight="1">
      <c r="A1317" s="30"/>
      <c r="B1317" s="31"/>
      <c r="C1317" s="32"/>
      <c r="D1317" s="33"/>
      <c r="E1317" s="34"/>
      <c r="F1317" s="34"/>
      <c r="G1317" s="35"/>
      <c r="H1317" s="34"/>
      <c r="I1317" s="37"/>
    </row>
    <row r="1318" ht="22.5" customHeight="1">
      <c r="A1318" s="30"/>
      <c r="B1318" s="31"/>
      <c r="C1318" s="32"/>
      <c r="D1318" s="33"/>
      <c r="E1318" s="34"/>
      <c r="F1318" s="34"/>
      <c r="G1318" s="35"/>
      <c r="H1318" s="34"/>
      <c r="I1318" s="37"/>
    </row>
    <row r="1319" ht="22.5" customHeight="1">
      <c r="A1319" s="30"/>
      <c r="B1319" s="31"/>
      <c r="C1319" s="32"/>
      <c r="D1319" s="33"/>
      <c r="E1319" s="34"/>
      <c r="F1319" s="34"/>
      <c r="G1319" s="35"/>
      <c r="H1319" s="34"/>
      <c r="I1319" s="37"/>
    </row>
    <row r="1320" ht="22.5" customHeight="1">
      <c r="A1320" s="30"/>
      <c r="B1320" s="31"/>
      <c r="C1320" s="32"/>
      <c r="D1320" s="33"/>
      <c r="E1320" s="34"/>
      <c r="F1320" s="34"/>
      <c r="G1320" s="35"/>
      <c r="H1320" s="34"/>
      <c r="I1320" s="37"/>
    </row>
    <row r="1321" ht="22.5" customHeight="1">
      <c r="A1321" s="30"/>
      <c r="B1321" s="31"/>
      <c r="C1321" s="32"/>
      <c r="D1321" s="33"/>
      <c r="E1321" s="34"/>
      <c r="F1321" s="34"/>
      <c r="G1321" s="35"/>
      <c r="H1321" s="34"/>
      <c r="I1321" s="37"/>
    </row>
    <row r="1322" ht="22.5" customHeight="1">
      <c r="A1322" s="30"/>
      <c r="B1322" s="31"/>
      <c r="C1322" s="32"/>
      <c r="D1322" s="33"/>
      <c r="E1322" s="34"/>
      <c r="F1322" s="34"/>
      <c r="G1322" s="35"/>
      <c r="H1322" s="34"/>
      <c r="I1322" s="37"/>
    </row>
    <row r="1323" ht="22.5" customHeight="1">
      <c r="A1323" s="30"/>
      <c r="B1323" s="31"/>
      <c r="C1323" s="32"/>
      <c r="D1323" s="33"/>
      <c r="E1323" s="34"/>
      <c r="F1323" s="34"/>
      <c r="G1323" s="35"/>
      <c r="H1323" s="34"/>
      <c r="I1323" s="37"/>
    </row>
    <row r="1324" ht="22.5" customHeight="1">
      <c r="A1324" s="30"/>
      <c r="B1324" s="31"/>
      <c r="C1324" s="32"/>
      <c r="D1324" s="33"/>
      <c r="E1324" s="34"/>
      <c r="F1324" s="34"/>
      <c r="G1324" s="35"/>
      <c r="H1324" s="34"/>
      <c r="I1324" s="37"/>
    </row>
    <row r="1325" ht="22.5" customHeight="1">
      <c r="A1325" s="30"/>
      <c r="B1325" s="40"/>
      <c r="C1325" s="32"/>
      <c r="D1325" s="33"/>
      <c r="E1325" s="34"/>
      <c r="F1325" s="34"/>
      <c r="G1325" s="35"/>
      <c r="H1325" s="34"/>
      <c r="I1325" s="37"/>
    </row>
    <row r="1326" ht="22.5" customHeight="1">
      <c r="A1326" s="30"/>
      <c r="B1326" s="31"/>
      <c r="C1326" s="32"/>
      <c r="D1326" s="33"/>
      <c r="E1326" s="34"/>
      <c r="F1326" s="34"/>
      <c r="G1326" s="35"/>
      <c r="H1326" s="34"/>
      <c r="I1326" s="37"/>
    </row>
    <row r="1327" ht="22.5" customHeight="1">
      <c r="A1327" s="30"/>
      <c r="B1327" s="40"/>
      <c r="C1327" s="32"/>
      <c r="D1327" s="33"/>
      <c r="E1327" s="34"/>
      <c r="F1327" s="34"/>
      <c r="G1327" s="35"/>
      <c r="H1327" s="34"/>
      <c r="I1327" s="37"/>
    </row>
    <row r="1328" ht="22.5" customHeight="1">
      <c r="A1328" s="30"/>
      <c r="B1328" s="31"/>
      <c r="C1328" s="32"/>
      <c r="D1328" s="33"/>
      <c r="E1328" s="34"/>
      <c r="F1328" s="34"/>
      <c r="G1328" s="35"/>
      <c r="H1328" s="34"/>
      <c r="I1328" s="37"/>
    </row>
    <row r="1329" ht="22.5" customHeight="1">
      <c r="A1329" s="30"/>
      <c r="B1329" s="31"/>
      <c r="C1329" s="32"/>
      <c r="D1329" s="33"/>
      <c r="E1329" s="34"/>
      <c r="F1329" s="34"/>
      <c r="G1329" s="35"/>
      <c r="H1329" s="34"/>
      <c r="I1329" s="37"/>
    </row>
    <row r="1330" ht="22.5" customHeight="1">
      <c r="A1330" s="30"/>
      <c r="B1330" s="31"/>
      <c r="C1330" s="32"/>
      <c r="D1330" s="33"/>
      <c r="E1330" s="34"/>
      <c r="F1330" s="34"/>
      <c r="G1330" s="35"/>
      <c r="H1330" s="34"/>
      <c r="I1330" s="37"/>
    </row>
    <row r="1331" ht="22.5" customHeight="1">
      <c r="A1331" s="30"/>
      <c r="B1331" s="31"/>
      <c r="C1331" s="32"/>
      <c r="D1331" s="33"/>
      <c r="E1331" s="34"/>
      <c r="F1331" s="34"/>
      <c r="G1331" s="35"/>
      <c r="H1331" s="34"/>
      <c r="I1331" s="37"/>
    </row>
    <row r="1332" ht="22.5" customHeight="1">
      <c r="A1332" s="30"/>
      <c r="B1332" s="40"/>
      <c r="C1332" s="32"/>
      <c r="D1332" s="33"/>
      <c r="E1332" s="34"/>
      <c r="F1332" s="34"/>
      <c r="G1332" s="35"/>
      <c r="H1332" s="34"/>
      <c r="I1332" s="37"/>
    </row>
    <row r="1333" ht="22.5" customHeight="1">
      <c r="A1333" s="30"/>
      <c r="B1333" s="31"/>
      <c r="C1333" s="32"/>
      <c r="D1333" s="33"/>
      <c r="E1333" s="34"/>
      <c r="F1333" s="34"/>
      <c r="G1333" s="35"/>
      <c r="H1333" s="34"/>
      <c r="I1333" s="37"/>
    </row>
    <row r="1334" ht="22.5" customHeight="1">
      <c r="A1334" s="30"/>
      <c r="B1334" s="31"/>
      <c r="C1334" s="32"/>
      <c r="D1334" s="33"/>
      <c r="E1334" s="34"/>
      <c r="F1334" s="34"/>
      <c r="G1334" s="35"/>
      <c r="H1334" s="34"/>
      <c r="I1334" s="37"/>
    </row>
    <row r="1335" ht="22.5" customHeight="1">
      <c r="A1335" s="30"/>
      <c r="B1335" s="31"/>
      <c r="C1335" s="32"/>
      <c r="D1335" s="33"/>
      <c r="E1335" s="34"/>
      <c r="F1335" s="34"/>
      <c r="G1335" s="35"/>
      <c r="H1335" s="34"/>
      <c r="I1335" s="37"/>
    </row>
    <row r="1336" ht="22.5" customHeight="1">
      <c r="A1336" s="30"/>
      <c r="B1336" s="31"/>
      <c r="C1336" s="32"/>
      <c r="D1336" s="33"/>
      <c r="E1336" s="34"/>
      <c r="F1336" s="34"/>
      <c r="G1336" s="35"/>
      <c r="H1336" s="34"/>
      <c r="I1336" s="37"/>
    </row>
    <row r="1337" ht="22.5" customHeight="1">
      <c r="A1337" s="30"/>
      <c r="B1337" s="31"/>
      <c r="C1337" s="32"/>
      <c r="D1337" s="33"/>
      <c r="E1337" s="34"/>
      <c r="F1337" s="34"/>
      <c r="G1337" s="35"/>
      <c r="H1337" s="34"/>
      <c r="I1337" s="37"/>
    </row>
    <row r="1338" ht="22.5" customHeight="1">
      <c r="A1338" s="30"/>
      <c r="B1338" s="31"/>
      <c r="C1338" s="32"/>
      <c r="D1338" s="33"/>
      <c r="E1338" s="34"/>
      <c r="F1338" s="34"/>
      <c r="G1338" s="35"/>
      <c r="H1338" s="34"/>
      <c r="I1338" s="37"/>
    </row>
    <row r="1339" ht="22.5" customHeight="1">
      <c r="A1339" s="30"/>
      <c r="B1339" s="31"/>
      <c r="C1339" s="32"/>
      <c r="D1339" s="33"/>
      <c r="E1339" s="34"/>
      <c r="F1339" s="34"/>
      <c r="G1339" s="35"/>
      <c r="H1339" s="34"/>
      <c r="I1339" s="37"/>
    </row>
    <row r="1340" ht="22.5" customHeight="1">
      <c r="A1340" s="30"/>
      <c r="B1340" s="31"/>
      <c r="C1340" s="32"/>
      <c r="D1340" s="33"/>
      <c r="E1340" s="34"/>
      <c r="F1340" s="34"/>
      <c r="G1340" s="35"/>
      <c r="H1340" s="34"/>
      <c r="I1340" s="37"/>
    </row>
    <row r="1341" ht="22.5" customHeight="1">
      <c r="A1341" s="30"/>
      <c r="B1341" s="31"/>
      <c r="C1341" s="32"/>
      <c r="D1341" s="33"/>
      <c r="E1341" s="34"/>
      <c r="F1341" s="34"/>
      <c r="G1341" s="35"/>
      <c r="H1341" s="34"/>
      <c r="I1341" s="37"/>
    </row>
    <row r="1342" ht="22.5" customHeight="1">
      <c r="A1342" s="30"/>
      <c r="B1342" s="31"/>
      <c r="C1342" s="32"/>
      <c r="D1342" s="33"/>
      <c r="E1342" s="34"/>
      <c r="F1342" s="34"/>
      <c r="G1342" s="35"/>
      <c r="H1342" s="34"/>
      <c r="I1342" s="37"/>
    </row>
    <row r="1343" ht="22.5" customHeight="1">
      <c r="A1343" s="30"/>
      <c r="B1343" s="31"/>
      <c r="C1343" s="32"/>
      <c r="D1343" s="33"/>
      <c r="E1343" s="34"/>
      <c r="F1343" s="34"/>
      <c r="G1343" s="35"/>
      <c r="H1343" s="34"/>
      <c r="I1343" s="37"/>
    </row>
    <row r="1344" ht="22.5" customHeight="1">
      <c r="A1344" s="30"/>
      <c r="B1344" s="31"/>
      <c r="C1344" s="32"/>
      <c r="D1344" s="33"/>
      <c r="E1344" s="34"/>
      <c r="F1344" s="34"/>
      <c r="G1344" s="35"/>
      <c r="H1344" s="34"/>
      <c r="I1344" s="37"/>
    </row>
    <row r="1345" ht="22.5" customHeight="1">
      <c r="A1345" s="30"/>
      <c r="B1345" s="31"/>
      <c r="C1345" s="32"/>
      <c r="D1345" s="33"/>
      <c r="E1345" s="34"/>
      <c r="F1345" s="34"/>
      <c r="G1345" s="35"/>
      <c r="H1345" s="34"/>
      <c r="I1345" s="37"/>
    </row>
    <row r="1346" ht="22.5" customHeight="1">
      <c r="A1346" s="30"/>
      <c r="B1346" s="31"/>
      <c r="C1346" s="32"/>
      <c r="D1346" s="33"/>
      <c r="E1346" s="34"/>
      <c r="F1346" s="34"/>
      <c r="G1346" s="35"/>
      <c r="H1346" s="34"/>
      <c r="I1346" s="37"/>
    </row>
    <row r="1347" ht="22.5" customHeight="1">
      <c r="A1347" s="30"/>
      <c r="B1347" s="31"/>
      <c r="C1347" s="32"/>
      <c r="D1347" s="33"/>
      <c r="E1347" s="34"/>
      <c r="F1347" s="34"/>
      <c r="G1347" s="35"/>
      <c r="H1347" s="34"/>
      <c r="I1347" s="37"/>
    </row>
    <row r="1348" ht="22.5" customHeight="1">
      <c r="A1348" s="30"/>
      <c r="B1348" s="31"/>
      <c r="C1348" s="32"/>
      <c r="D1348" s="33"/>
      <c r="E1348" s="34"/>
      <c r="F1348" s="34"/>
      <c r="G1348" s="35"/>
      <c r="H1348" s="34"/>
      <c r="I1348" s="37"/>
    </row>
    <row r="1349" ht="22.5" customHeight="1">
      <c r="A1349" s="30"/>
      <c r="B1349" s="31"/>
      <c r="C1349" s="32"/>
      <c r="D1349" s="33"/>
      <c r="E1349" s="34"/>
      <c r="F1349" s="34"/>
      <c r="G1349" s="35"/>
      <c r="H1349" s="34"/>
      <c r="I1349" s="37"/>
    </row>
    <row r="1350" ht="22.5" customHeight="1">
      <c r="A1350" s="30"/>
      <c r="B1350" s="31"/>
      <c r="C1350" s="32"/>
      <c r="D1350" s="33"/>
      <c r="E1350" s="34"/>
      <c r="F1350" s="34"/>
      <c r="G1350" s="35"/>
      <c r="H1350" s="34"/>
      <c r="I1350" s="37"/>
    </row>
    <row r="1351" ht="22.5" customHeight="1">
      <c r="A1351" s="30"/>
      <c r="B1351" s="31"/>
      <c r="C1351" s="32"/>
      <c r="D1351" s="33"/>
      <c r="E1351" s="34"/>
      <c r="F1351" s="34"/>
      <c r="G1351" s="35"/>
      <c r="H1351" s="34"/>
      <c r="I1351" s="37"/>
    </row>
    <row r="1352" ht="22.5" customHeight="1">
      <c r="A1352" s="30"/>
      <c r="B1352" s="31"/>
      <c r="C1352" s="32"/>
      <c r="D1352" s="33"/>
      <c r="E1352" s="34"/>
      <c r="F1352" s="34"/>
      <c r="G1352" s="35"/>
      <c r="H1352" s="34"/>
      <c r="I1352" s="37"/>
    </row>
    <row r="1353" ht="22.5" customHeight="1">
      <c r="A1353" s="30"/>
      <c r="B1353" s="31"/>
      <c r="C1353" s="32"/>
      <c r="D1353" s="33"/>
      <c r="E1353" s="34"/>
      <c r="F1353" s="34"/>
      <c r="G1353" s="35"/>
      <c r="H1353" s="34"/>
      <c r="I1353" s="37"/>
    </row>
    <row r="1354" ht="22.5" customHeight="1">
      <c r="A1354" s="30"/>
      <c r="B1354" s="40"/>
      <c r="C1354" s="32"/>
      <c r="D1354" s="33"/>
      <c r="E1354" s="34"/>
      <c r="F1354" s="34"/>
      <c r="G1354" s="35"/>
      <c r="H1354" s="34"/>
      <c r="I1354" s="37"/>
    </row>
    <row r="1355" ht="22.5" customHeight="1">
      <c r="A1355" s="30"/>
      <c r="B1355" s="31"/>
      <c r="C1355" s="32"/>
      <c r="D1355" s="33"/>
      <c r="E1355" s="34"/>
      <c r="F1355" s="34"/>
      <c r="G1355" s="35"/>
      <c r="H1355" s="34"/>
      <c r="I1355" s="37"/>
    </row>
    <row r="1356" ht="22.5" customHeight="1">
      <c r="A1356" s="30"/>
      <c r="B1356" s="31"/>
      <c r="C1356" s="32"/>
      <c r="D1356" s="33"/>
      <c r="E1356" s="34"/>
      <c r="F1356" s="34"/>
      <c r="G1356" s="35"/>
      <c r="H1356" s="34"/>
      <c r="I1356" s="37"/>
    </row>
    <row r="1357" ht="22.5" customHeight="1">
      <c r="A1357" s="30"/>
      <c r="B1357" s="31"/>
      <c r="C1357" s="32"/>
      <c r="D1357" s="33"/>
      <c r="E1357" s="34"/>
      <c r="F1357" s="34"/>
      <c r="G1357" s="35"/>
      <c r="H1357" s="34"/>
      <c r="I1357" s="37"/>
    </row>
    <row r="1358" ht="22.5" customHeight="1">
      <c r="A1358" s="30"/>
      <c r="B1358" s="31"/>
      <c r="C1358" s="32"/>
      <c r="D1358" s="33"/>
      <c r="E1358" s="34"/>
      <c r="F1358" s="34"/>
      <c r="G1358" s="35"/>
      <c r="H1358" s="34"/>
      <c r="I1358" s="38"/>
    </row>
    <row r="1359" ht="22.5" customHeight="1">
      <c r="A1359" s="30"/>
      <c r="B1359" s="39"/>
      <c r="C1359" s="32"/>
      <c r="D1359" s="33"/>
      <c r="E1359" s="34"/>
      <c r="F1359" s="34"/>
      <c r="G1359" s="35"/>
      <c r="H1359" s="34"/>
      <c r="I1359" s="37"/>
    </row>
    <row r="1360" ht="22.5" customHeight="1">
      <c r="A1360" s="30"/>
      <c r="B1360" s="31"/>
      <c r="C1360" s="32"/>
      <c r="D1360" s="33"/>
      <c r="E1360" s="34"/>
      <c r="F1360" s="34"/>
      <c r="G1360" s="35"/>
      <c r="H1360" s="34"/>
      <c r="I1360" s="37"/>
    </row>
    <row r="1361" ht="22.5" customHeight="1">
      <c r="A1361" s="30"/>
      <c r="B1361" s="31"/>
      <c r="C1361" s="32"/>
      <c r="D1361" s="33"/>
      <c r="E1361" s="34"/>
      <c r="F1361" s="34"/>
      <c r="G1361" s="35"/>
      <c r="H1361" s="34"/>
      <c r="I1361" s="37"/>
    </row>
    <row r="1362" ht="22.5" customHeight="1">
      <c r="A1362" s="30"/>
      <c r="B1362" s="31"/>
      <c r="C1362" s="32"/>
      <c r="D1362" s="33"/>
      <c r="E1362" s="34"/>
      <c r="F1362" s="34"/>
      <c r="G1362" s="35"/>
      <c r="H1362" s="34"/>
      <c r="I1362" s="37"/>
    </row>
    <row r="1363" ht="22.5" customHeight="1">
      <c r="A1363" s="30"/>
      <c r="B1363" s="39"/>
      <c r="C1363" s="32"/>
      <c r="D1363" s="33"/>
      <c r="E1363" s="34"/>
      <c r="F1363" s="34"/>
      <c r="G1363" s="35"/>
      <c r="H1363" s="34"/>
      <c r="I1363" s="37"/>
    </row>
    <row r="1364" ht="22.5" customHeight="1">
      <c r="A1364" s="30"/>
      <c r="B1364" s="31"/>
      <c r="C1364" s="32"/>
      <c r="D1364" s="33"/>
      <c r="E1364" s="34"/>
      <c r="F1364" s="34"/>
      <c r="G1364" s="35"/>
      <c r="H1364" s="34"/>
      <c r="I1364" s="37"/>
    </row>
    <row r="1365" ht="22.5" customHeight="1">
      <c r="A1365" s="30"/>
      <c r="B1365" s="39"/>
      <c r="C1365" s="32"/>
      <c r="D1365" s="33"/>
      <c r="E1365" s="34"/>
      <c r="F1365" s="34"/>
      <c r="G1365" s="35"/>
      <c r="H1365" s="34"/>
      <c r="I1365" s="37"/>
    </row>
    <row r="1366" ht="22.5" customHeight="1">
      <c r="A1366" s="30"/>
      <c r="B1366" s="31"/>
      <c r="C1366" s="32"/>
      <c r="D1366" s="33"/>
      <c r="E1366" s="34"/>
      <c r="F1366" s="34"/>
      <c r="G1366" s="35"/>
      <c r="H1366" s="34"/>
      <c r="I1366" s="37"/>
    </row>
    <row r="1367" ht="22.5" customHeight="1">
      <c r="A1367" s="30"/>
      <c r="B1367" s="31"/>
      <c r="C1367" s="32"/>
      <c r="D1367" s="33"/>
      <c r="E1367" s="34"/>
      <c r="F1367" s="34"/>
      <c r="G1367" s="35"/>
      <c r="H1367" s="34"/>
      <c r="I1367" s="37"/>
    </row>
    <row r="1368" ht="22.5" customHeight="1">
      <c r="A1368" s="30"/>
      <c r="B1368" s="31"/>
      <c r="C1368" s="32"/>
      <c r="D1368" s="33"/>
      <c r="E1368" s="34"/>
      <c r="F1368" s="34"/>
      <c r="G1368" s="35"/>
      <c r="H1368" s="34"/>
      <c r="I1368" s="37"/>
    </row>
    <row r="1369" ht="22.5" customHeight="1">
      <c r="A1369" s="30"/>
      <c r="B1369" s="31"/>
      <c r="C1369" s="32"/>
      <c r="D1369" s="33"/>
      <c r="E1369" s="34"/>
      <c r="F1369" s="34"/>
      <c r="G1369" s="35"/>
      <c r="H1369" s="34"/>
      <c r="I1369" s="37"/>
    </row>
    <row r="1370" ht="22.5" customHeight="1">
      <c r="A1370" s="30"/>
      <c r="B1370" s="31"/>
      <c r="C1370" s="32"/>
      <c r="D1370" s="33"/>
      <c r="E1370" s="34"/>
      <c r="F1370" s="34"/>
      <c r="G1370" s="35"/>
      <c r="H1370" s="34"/>
      <c r="I1370" s="37"/>
    </row>
    <row r="1371" ht="22.5" customHeight="1">
      <c r="A1371" s="30"/>
      <c r="B1371" s="31"/>
      <c r="C1371" s="32"/>
      <c r="D1371" s="33"/>
      <c r="E1371" s="34"/>
      <c r="F1371" s="34"/>
      <c r="G1371" s="35"/>
      <c r="H1371" s="34"/>
      <c r="I1371" s="37"/>
    </row>
    <row r="1372" ht="22.5" customHeight="1">
      <c r="A1372" s="30"/>
      <c r="B1372" s="31"/>
      <c r="C1372" s="32"/>
      <c r="D1372" s="33"/>
      <c r="E1372" s="34"/>
      <c r="F1372" s="34"/>
      <c r="G1372" s="35"/>
      <c r="H1372" s="34"/>
      <c r="I1372" s="37"/>
    </row>
    <row r="1373" ht="22.5" customHeight="1">
      <c r="A1373" s="30"/>
      <c r="B1373" s="31"/>
      <c r="C1373" s="32"/>
      <c r="D1373" s="33"/>
      <c r="E1373" s="34"/>
      <c r="F1373" s="34"/>
      <c r="G1373" s="35"/>
      <c r="H1373" s="34"/>
      <c r="I1373" s="37"/>
    </row>
    <row r="1374" ht="22.5" customHeight="1">
      <c r="A1374" s="30"/>
      <c r="B1374" s="31"/>
      <c r="C1374" s="32"/>
      <c r="D1374" s="33"/>
      <c r="E1374" s="34"/>
      <c r="F1374" s="34"/>
      <c r="G1374" s="35"/>
      <c r="H1374" s="34"/>
      <c r="I1374" s="37"/>
    </row>
    <row r="1375" ht="22.5" customHeight="1">
      <c r="A1375" s="30"/>
      <c r="B1375" s="31"/>
      <c r="C1375" s="32"/>
      <c r="D1375" s="33"/>
      <c r="E1375" s="34"/>
      <c r="F1375" s="34"/>
      <c r="G1375" s="35"/>
      <c r="H1375" s="34"/>
      <c r="I1375" s="37"/>
    </row>
    <row r="1376" ht="22.5" customHeight="1">
      <c r="A1376" s="30"/>
      <c r="B1376" s="40"/>
      <c r="C1376" s="32"/>
      <c r="D1376" s="33"/>
      <c r="E1376" s="34"/>
      <c r="F1376" s="34"/>
      <c r="G1376" s="35"/>
      <c r="H1376" s="34"/>
      <c r="I1376" s="37"/>
    </row>
    <row r="1377" ht="22.5" customHeight="1">
      <c r="A1377" s="30"/>
      <c r="B1377" s="31"/>
      <c r="C1377" s="32"/>
      <c r="D1377" s="33"/>
      <c r="E1377" s="34"/>
      <c r="F1377" s="34"/>
      <c r="G1377" s="35"/>
      <c r="H1377" s="34"/>
      <c r="I1377" s="37"/>
    </row>
    <row r="1378" ht="22.5" customHeight="1">
      <c r="A1378" s="30"/>
      <c r="B1378" s="31"/>
      <c r="C1378" s="32"/>
      <c r="D1378" s="33"/>
      <c r="E1378" s="34"/>
      <c r="F1378" s="34"/>
      <c r="G1378" s="35"/>
      <c r="H1378" s="34"/>
      <c r="I1378" s="37"/>
    </row>
    <row r="1379" ht="22.5" customHeight="1">
      <c r="A1379" s="30"/>
      <c r="B1379" s="31"/>
      <c r="C1379" s="32"/>
      <c r="D1379" s="33"/>
      <c r="E1379" s="34"/>
      <c r="F1379" s="34"/>
      <c r="G1379" s="35"/>
      <c r="H1379" s="34"/>
      <c r="I1379" s="37"/>
    </row>
    <row r="1380" ht="22.5" customHeight="1">
      <c r="A1380" s="30"/>
      <c r="B1380" s="31"/>
      <c r="C1380" s="32"/>
      <c r="D1380" s="33"/>
      <c r="E1380" s="34"/>
      <c r="F1380" s="34"/>
      <c r="G1380" s="35"/>
      <c r="H1380" s="34"/>
      <c r="I1380" s="37"/>
    </row>
    <row r="1381" ht="22.5" customHeight="1">
      <c r="A1381" s="30"/>
      <c r="B1381" s="31"/>
      <c r="C1381" s="32"/>
      <c r="D1381" s="33"/>
      <c r="E1381" s="34"/>
      <c r="F1381" s="34"/>
      <c r="G1381" s="35"/>
      <c r="H1381" s="34"/>
      <c r="I1381" s="37"/>
    </row>
    <row r="1382" ht="22.5" customHeight="1">
      <c r="A1382" s="30"/>
      <c r="B1382" s="31"/>
      <c r="C1382" s="32"/>
      <c r="D1382" s="33"/>
      <c r="E1382" s="34"/>
      <c r="F1382" s="34"/>
      <c r="G1382" s="35"/>
      <c r="H1382" s="34"/>
      <c r="I1382" s="37"/>
    </row>
    <row r="1383" ht="22.5" customHeight="1">
      <c r="A1383" s="30"/>
      <c r="B1383" s="39"/>
      <c r="C1383" s="32"/>
      <c r="D1383" s="33"/>
      <c r="E1383" s="34"/>
      <c r="F1383" s="34"/>
      <c r="G1383" s="35"/>
      <c r="H1383" s="34"/>
      <c r="I1383" s="37"/>
    </row>
    <row r="1384" ht="22.5" customHeight="1">
      <c r="A1384" s="30"/>
      <c r="B1384" s="39"/>
      <c r="C1384" s="32"/>
      <c r="D1384" s="33"/>
      <c r="E1384" s="34"/>
      <c r="F1384" s="34"/>
      <c r="G1384" s="35"/>
      <c r="H1384" s="34"/>
      <c r="I1384" s="37"/>
    </row>
    <row r="1385" ht="22.5" customHeight="1">
      <c r="A1385" s="30"/>
      <c r="B1385" s="39"/>
      <c r="C1385" s="32"/>
      <c r="D1385" s="33"/>
      <c r="E1385" s="34"/>
      <c r="F1385" s="34"/>
      <c r="G1385" s="35"/>
      <c r="H1385" s="34"/>
      <c r="I1385" s="37"/>
    </row>
    <row r="1386" ht="22.5" customHeight="1">
      <c r="A1386" s="30"/>
      <c r="B1386" s="40"/>
      <c r="C1386" s="32"/>
      <c r="D1386" s="33"/>
      <c r="E1386" s="34"/>
      <c r="F1386" s="34"/>
      <c r="G1386" s="35"/>
      <c r="H1386" s="34"/>
      <c r="I1386" s="37"/>
    </row>
    <row r="1387" ht="22.5" customHeight="1">
      <c r="A1387" s="30"/>
      <c r="B1387" s="31"/>
      <c r="C1387" s="32"/>
      <c r="D1387" s="33"/>
      <c r="E1387" s="34"/>
      <c r="F1387" s="34"/>
      <c r="G1387" s="35"/>
      <c r="H1387" s="34"/>
      <c r="I1387" s="37"/>
    </row>
    <row r="1388" ht="22.5" customHeight="1">
      <c r="A1388" s="30"/>
      <c r="B1388" s="31"/>
      <c r="C1388" s="32"/>
      <c r="D1388" s="33"/>
      <c r="E1388" s="34"/>
      <c r="F1388" s="34"/>
      <c r="G1388" s="35"/>
      <c r="H1388" s="34"/>
      <c r="I1388" s="37"/>
    </row>
    <row r="1389" ht="22.5" customHeight="1">
      <c r="A1389" s="30"/>
      <c r="B1389" s="31"/>
      <c r="C1389" s="32"/>
      <c r="D1389" s="33"/>
      <c r="E1389" s="34"/>
      <c r="F1389" s="34"/>
      <c r="G1389" s="35"/>
      <c r="H1389" s="34"/>
      <c r="I1389" s="37"/>
    </row>
    <row r="1390" ht="22.5" customHeight="1">
      <c r="A1390" s="30"/>
      <c r="B1390" s="31"/>
      <c r="C1390" s="32"/>
      <c r="D1390" s="33"/>
      <c r="E1390" s="34"/>
      <c r="F1390" s="34"/>
      <c r="G1390" s="35"/>
      <c r="H1390" s="34"/>
      <c r="I1390" s="37"/>
    </row>
    <row r="1391" ht="22.5" customHeight="1">
      <c r="A1391" s="30"/>
      <c r="B1391" s="31"/>
      <c r="C1391" s="32"/>
      <c r="D1391" s="33"/>
      <c r="E1391" s="34"/>
      <c r="F1391" s="34"/>
      <c r="G1391" s="35"/>
      <c r="H1391" s="34"/>
      <c r="I1391" s="37"/>
    </row>
    <row r="1392" ht="22.5" customHeight="1">
      <c r="A1392" s="30"/>
      <c r="B1392" s="31"/>
      <c r="C1392" s="32"/>
      <c r="D1392" s="33"/>
      <c r="E1392" s="34"/>
      <c r="F1392" s="34"/>
      <c r="G1392" s="35"/>
      <c r="H1392" s="34"/>
      <c r="I1392" s="37"/>
    </row>
    <row r="1393" ht="22.5" customHeight="1">
      <c r="A1393" s="30"/>
      <c r="B1393" s="31"/>
      <c r="C1393" s="32"/>
      <c r="D1393" s="33"/>
      <c r="E1393" s="34"/>
      <c r="F1393" s="34"/>
      <c r="G1393" s="35"/>
      <c r="H1393" s="34"/>
      <c r="I1393" s="37"/>
    </row>
    <row r="1394" ht="22.5" customHeight="1">
      <c r="A1394" s="30"/>
      <c r="B1394" s="31"/>
      <c r="C1394" s="32"/>
      <c r="D1394" s="33"/>
      <c r="E1394" s="34"/>
      <c r="F1394" s="34"/>
      <c r="G1394" s="35"/>
      <c r="H1394" s="34"/>
      <c r="I1394" s="37"/>
    </row>
    <row r="1395" ht="22.5" customHeight="1">
      <c r="A1395" s="30"/>
      <c r="B1395" s="31"/>
      <c r="C1395" s="32"/>
      <c r="D1395" s="33"/>
      <c r="E1395" s="34"/>
      <c r="F1395" s="34"/>
      <c r="G1395" s="35"/>
      <c r="H1395" s="34"/>
      <c r="I1395" s="37"/>
    </row>
    <row r="1396" ht="22.5" customHeight="1">
      <c r="A1396" s="30"/>
      <c r="B1396" s="40"/>
      <c r="C1396" s="32"/>
      <c r="D1396" s="33"/>
      <c r="E1396" s="34"/>
      <c r="F1396" s="34"/>
      <c r="G1396" s="35"/>
      <c r="H1396" s="34"/>
      <c r="I1396" s="37"/>
    </row>
    <row r="1397" ht="22.5" customHeight="1">
      <c r="A1397" s="30"/>
      <c r="B1397" s="31"/>
      <c r="C1397" s="32"/>
      <c r="D1397" s="33"/>
      <c r="E1397" s="34"/>
      <c r="F1397" s="34"/>
      <c r="G1397" s="35"/>
      <c r="H1397" s="34"/>
      <c r="I1397" s="37"/>
    </row>
    <row r="1398" ht="22.5" customHeight="1">
      <c r="A1398" s="30"/>
      <c r="B1398" s="31"/>
      <c r="C1398" s="32"/>
      <c r="D1398" s="33"/>
      <c r="E1398" s="34"/>
      <c r="F1398" s="34"/>
      <c r="G1398" s="35"/>
      <c r="H1398" s="34"/>
      <c r="I1398" s="37"/>
    </row>
    <row r="1399" ht="22.5" customHeight="1">
      <c r="A1399" s="30"/>
      <c r="B1399" s="31"/>
      <c r="C1399" s="32"/>
      <c r="D1399" s="33"/>
      <c r="E1399" s="34"/>
      <c r="F1399" s="34"/>
      <c r="G1399" s="35"/>
      <c r="H1399" s="34"/>
      <c r="I1399" s="37"/>
    </row>
    <row r="1400" ht="22.5" customHeight="1">
      <c r="A1400" s="30"/>
      <c r="B1400" s="40"/>
      <c r="C1400" s="32"/>
      <c r="D1400" s="33"/>
      <c r="E1400" s="34"/>
      <c r="F1400" s="34"/>
      <c r="G1400" s="35"/>
      <c r="H1400" s="34"/>
      <c r="I1400" s="37"/>
    </row>
    <row r="1401" ht="22.5" customHeight="1">
      <c r="A1401" s="30"/>
      <c r="B1401" s="31"/>
      <c r="C1401" s="32"/>
      <c r="D1401" s="33"/>
      <c r="E1401" s="34"/>
      <c r="F1401" s="34"/>
      <c r="G1401" s="35"/>
      <c r="H1401" s="34"/>
      <c r="I1401" s="37"/>
    </row>
    <row r="1402" ht="22.5" customHeight="1">
      <c r="A1402" s="30"/>
      <c r="B1402" s="31"/>
      <c r="C1402" s="32"/>
      <c r="D1402" s="33"/>
      <c r="E1402" s="34"/>
      <c r="F1402" s="34"/>
      <c r="G1402" s="35"/>
      <c r="H1402" s="34"/>
      <c r="I1402" s="37"/>
    </row>
    <row r="1403" ht="22.5" customHeight="1">
      <c r="A1403" s="30"/>
      <c r="B1403" s="31"/>
      <c r="C1403" s="32"/>
      <c r="D1403" s="33"/>
      <c r="E1403" s="34"/>
      <c r="F1403" s="34"/>
      <c r="G1403" s="35"/>
      <c r="H1403" s="34"/>
      <c r="I1403" s="37"/>
    </row>
    <row r="1404" ht="22.5" customHeight="1">
      <c r="A1404" s="30"/>
      <c r="B1404" s="31"/>
      <c r="C1404" s="32"/>
      <c r="D1404" s="33"/>
      <c r="E1404" s="34"/>
      <c r="F1404" s="34"/>
      <c r="G1404" s="35"/>
      <c r="H1404" s="34"/>
      <c r="I1404" s="37"/>
    </row>
    <row r="1405" ht="22.5" customHeight="1">
      <c r="A1405" s="30"/>
      <c r="B1405" s="31"/>
      <c r="C1405" s="32"/>
      <c r="D1405" s="33"/>
      <c r="E1405" s="34"/>
      <c r="F1405" s="34"/>
      <c r="G1405" s="35"/>
      <c r="H1405" s="34"/>
      <c r="I1405" s="37"/>
    </row>
    <row r="1406" ht="22.5" customHeight="1">
      <c r="A1406" s="30"/>
      <c r="B1406" s="31"/>
      <c r="C1406" s="32"/>
      <c r="D1406" s="33"/>
      <c r="E1406" s="34"/>
      <c r="F1406" s="34"/>
      <c r="G1406" s="35"/>
      <c r="H1406" s="34"/>
      <c r="I1406" s="37"/>
    </row>
    <row r="1407" ht="22.5" customHeight="1">
      <c r="A1407" s="30"/>
      <c r="B1407" s="31"/>
      <c r="C1407" s="32"/>
      <c r="D1407" s="33"/>
      <c r="E1407" s="34"/>
      <c r="F1407" s="34"/>
      <c r="G1407" s="35"/>
      <c r="H1407" s="34"/>
      <c r="I1407" s="37"/>
    </row>
    <row r="1408" ht="22.5" customHeight="1">
      <c r="A1408" s="30"/>
      <c r="B1408" s="31"/>
      <c r="C1408" s="32"/>
      <c r="D1408" s="33"/>
      <c r="E1408" s="34"/>
      <c r="F1408" s="34"/>
      <c r="G1408" s="35"/>
      <c r="H1408" s="34"/>
      <c r="I1408" s="37"/>
    </row>
    <row r="1409" ht="22.5" customHeight="1">
      <c r="A1409" s="30"/>
      <c r="B1409" s="31"/>
      <c r="C1409" s="32"/>
      <c r="D1409" s="33"/>
      <c r="E1409" s="34"/>
      <c r="F1409" s="34"/>
      <c r="G1409" s="35"/>
      <c r="H1409" s="34"/>
      <c r="I1409" s="37"/>
    </row>
    <row r="1410" ht="22.5" customHeight="1">
      <c r="A1410" s="30"/>
      <c r="B1410" s="31"/>
      <c r="C1410" s="32"/>
      <c r="D1410" s="33"/>
      <c r="E1410" s="34"/>
      <c r="F1410" s="34"/>
      <c r="G1410" s="35"/>
      <c r="H1410" s="34"/>
      <c r="I1410" s="37"/>
    </row>
    <row r="1411" ht="22.5" customHeight="1">
      <c r="A1411" s="30"/>
      <c r="B1411" s="31"/>
      <c r="C1411" s="32"/>
      <c r="D1411" s="33"/>
      <c r="E1411" s="34"/>
      <c r="F1411" s="34"/>
      <c r="G1411" s="35"/>
      <c r="H1411" s="34"/>
      <c r="I1411" s="37"/>
    </row>
    <row r="1412" ht="22.5" customHeight="1">
      <c r="A1412" s="30"/>
      <c r="B1412" s="31"/>
      <c r="C1412" s="32"/>
      <c r="D1412" s="33"/>
      <c r="E1412" s="34"/>
      <c r="F1412" s="34"/>
      <c r="G1412" s="35"/>
      <c r="H1412" s="34"/>
      <c r="I1412" s="37"/>
    </row>
    <row r="1413" ht="22.5" customHeight="1">
      <c r="A1413" s="30"/>
      <c r="B1413" s="31"/>
      <c r="C1413" s="32"/>
      <c r="D1413" s="33"/>
      <c r="E1413" s="34"/>
      <c r="F1413" s="34"/>
      <c r="G1413" s="35"/>
      <c r="H1413" s="34"/>
      <c r="I1413" s="37"/>
    </row>
    <row r="1414" ht="22.5" customHeight="1">
      <c r="A1414" s="30"/>
      <c r="B1414" s="31"/>
      <c r="C1414" s="32"/>
      <c r="D1414" s="33"/>
      <c r="E1414" s="34"/>
      <c r="F1414" s="34"/>
      <c r="G1414" s="35"/>
      <c r="H1414" s="34"/>
      <c r="I1414" s="37"/>
    </row>
    <row r="1415" ht="22.5" customHeight="1">
      <c r="A1415" s="30"/>
      <c r="B1415" s="40"/>
      <c r="C1415" s="32"/>
      <c r="D1415" s="33"/>
      <c r="E1415" s="34"/>
      <c r="F1415" s="34"/>
      <c r="G1415" s="35"/>
      <c r="H1415" s="34"/>
      <c r="I1415" s="37"/>
    </row>
    <row r="1416" ht="22.5" customHeight="1">
      <c r="A1416" s="30"/>
      <c r="B1416" s="31"/>
      <c r="C1416" s="32"/>
      <c r="D1416" s="33"/>
      <c r="E1416" s="34"/>
      <c r="F1416" s="34"/>
      <c r="G1416" s="35"/>
      <c r="H1416" s="34"/>
      <c r="I1416" s="37"/>
    </row>
    <row r="1417" ht="22.5" customHeight="1">
      <c r="A1417" s="30"/>
      <c r="B1417" s="40"/>
      <c r="C1417" s="32"/>
      <c r="D1417" s="33"/>
      <c r="E1417" s="34"/>
      <c r="F1417" s="34"/>
      <c r="G1417" s="35"/>
      <c r="H1417" s="34"/>
      <c r="I1417" s="37"/>
    </row>
    <row r="1418" ht="22.5" customHeight="1">
      <c r="A1418" s="30"/>
      <c r="B1418" s="31"/>
      <c r="C1418" s="32"/>
      <c r="D1418" s="33"/>
      <c r="E1418" s="34"/>
      <c r="F1418" s="34"/>
      <c r="G1418" s="35"/>
      <c r="H1418" s="34"/>
      <c r="I1418" s="37"/>
    </row>
    <row r="1419" ht="22.5" customHeight="1">
      <c r="A1419" s="30"/>
      <c r="B1419" s="31"/>
      <c r="C1419" s="32"/>
      <c r="D1419" s="33"/>
      <c r="E1419" s="34"/>
      <c r="F1419" s="34"/>
      <c r="G1419" s="35"/>
      <c r="H1419" s="34"/>
      <c r="I1419" s="37"/>
    </row>
    <row r="1420" ht="22.5" customHeight="1">
      <c r="A1420" s="30"/>
      <c r="B1420" s="31"/>
      <c r="C1420" s="32"/>
      <c r="D1420" s="33"/>
      <c r="E1420" s="34"/>
      <c r="F1420" s="34"/>
      <c r="G1420" s="35"/>
      <c r="H1420" s="34"/>
      <c r="I1420" s="37"/>
    </row>
    <row r="1421" ht="22.5" customHeight="1">
      <c r="A1421" s="30"/>
      <c r="B1421" s="31"/>
      <c r="C1421" s="32"/>
      <c r="D1421" s="33"/>
      <c r="E1421" s="34"/>
      <c r="F1421" s="34"/>
      <c r="G1421" s="35"/>
      <c r="H1421" s="34"/>
      <c r="I1421" s="37"/>
    </row>
    <row r="1422" ht="22.5" customHeight="1">
      <c r="A1422" s="30"/>
      <c r="B1422" s="40"/>
      <c r="C1422" s="32"/>
      <c r="D1422" s="33"/>
      <c r="E1422" s="34"/>
      <c r="F1422" s="34"/>
      <c r="G1422" s="35"/>
      <c r="H1422" s="34"/>
      <c r="I1422" s="37"/>
    </row>
    <row r="1423" ht="22.5" customHeight="1">
      <c r="A1423" s="30"/>
      <c r="B1423" s="31"/>
      <c r="C1423" s="32"/>
      <c r="D1423" s="33"/>
      <c r="E1423" s="34"/>
      <c r="F1423" s="34"/>
      <c r="G1423" s="35"/>
      <c r="H1423" s="34"/>
      <c r="I1423" s="37"/>
    </row>
    <row r="1424" ht="22.5" customHeight="1">
      <c r="A1424" s="30"/>
      <c r="B1424" s="31"/>
      <c r="C1424" s="32"/>
      <c r="D1424" s="33"/>
      <c r="E1424" s="34"/>
      <c r="F1424" s="34"/>
      <c r="G1424" s="35"/>
      <c r="H1424" s="34"/>
      <c r="I1424" s="37"/>
    </row>
    <row r="1425" ht="22.5" customHeight="1">
      <c r="A1425" s="30"/>
      <c r="B1425" s="31"/>
      <c r="C1425" s="32"/>
      <c r="D1425" s="33"/>
      <c r="E1425" s="34"/>
      <c r="F1425" s="34"/>
      <c r="G1425" s="35"/>
      <c r="H1425" s="34"/>
      <c r="I1425" s="37"/>
    </row>
    <row r="1426" ht="22.5" customHeight="1">
      <c r="A1426" s="30"/>
      <c r="B1426" s="31"/>
      <c r="C1426" s="32"/>
      <c r="D1426" s="33"/>
      <c r="E1426" s="34"/>
      <c r="F1426" s="34"/>
      <c r="G1426" s="35"/>
      <c r="H1426" s="34"/>
      <c r="I1426" s="37"/>
    </row>
    <row r="1427" ht="22.5" customHeight="1">
      <c r="A1427" s="30"/>
      <c r="B1427" s="31"/>
      <c r="C1427" s="32"/>
      <c r="D1427" s="33"/>
      <c r="E1427" s="34"/>
      <c r="F1427" s="34"/>
      <c r="G1427" s="35"/>
      <c r="H1427" s="34"/>
      <c r="I1427" s="37"/>
    </row>
    <row r="1428" ht="22.5" customHeight="1">
      <c r="A1428" s="30"/>
      <c r="B1428" s="31"/>
      <c r="C1428" s="32"/>
      <c r="D1428" s="33"/>
      <c r="E1428" s="34"/>
      <c r="F1428" s="34"/>
      <c r="G1428" s="35"/>
      <c r="H1428" s="34"/>
      <c r="I1428" s="37"/>
    </row>
    <row r="1429" ht="22.5" customHeight="1">
      <c r="A1429" s="30"/>
      <c r="B1429" s="31"/>
      <c r="C1429" s="32"/>
      <c r="D1429" s="33"/>
      <c r="E1429" s="34"/>
      <c r="F1429" s="34"/>
      <c r="G1429" s="35"/>
      <c r="H1429" s="34"/>
      <c r="I1429" s="37"/>
    </row>
    <row r="1430" ht="22.5" customHeight="1">
      <c r="A1430" s="30"/>
      <c r="B1430" s="31"/>
      <c r="C1430" s="32"/>
      <c r="D1430" s="33"/>
      <c r="E1430" s="34"/>
      <c r="F1430" s="34"/>
      <c r="G1430" s="35"/>
      <c r="H1430" s="34"/>
      <c r="I1430" s="37"/>
    </row>
    <row r="1431" ht="22.5" customHeight="1">
      <c r="A1431" s="30"/>
      <c r="B1431" s="31"/>
      <c r="C1431" s="32"/>
      <c r="D1431" s="33"/>
      <c r="E1431" s="34"/>
      <c r="F1431" s="34"/>
      <c r="G1431" s="35"/>
      <c r="H1431" s="34"/>
      <c r="I1431" s="37"/>
    </row>
    <row r="1432" ht="22.5" customHeight="1">
      <c r="A1432" s="30"/>
      <c r="B1432" s="31"/>
      <c r="C1432" s="32"/>
      <c r="D1432" s="33"/>
      <c r="E1432" s="34"/>
      <c r="F1432" s="34"/>
      <c r="G1432" s="35"/>
      <c r="H1432" s="34"/>
      <c r="I1432" s="37"/>
    </row>
    <row r="1433" ht="22.5" customHeight="1">
      <c r="A1433" s="30"/>
      <c r="B1433" s="31"/>
      <c r="C1433" s="32"/>
      <c r="D1433" s="33"/>
      <c r="E1433" s="34"/>
      <c r="F1433" s="34"/>
      <c r="G1433" s="35"/>
      <c r="H1433" s="34"/>
      <c r="I1433" s="37"/>
    </row>
    <row r="1434" ht="22.5" customHeight="1">
      <c r="A1434" s="30"/>
      <c r="B1434" s="31"/>
      <c r="C1434" s="32"/>
      <c r="D1434" s="33"/>
      <c r="E1434" s="34"/>
      <c r="F1434" s="34"/>
      <c r="G1434" s="35"/>
      <c r="H1434" s="34"/>
      <c r="I1434" s="37"/>
    </row>
    <row r="1435" ht="22.5" customHeight="1">
      <c r="A1435" s="30"/>
      <c r="B1435" s="31"/>
      <c r="C1435" s="32"/>
      <c r="D1435" s="33"/>
      <c r="E1435" s="34"/>
      <c r="F1435" s="34"/>
      <c r="G1435" s="35"/>
      <c r="H1435" s="34"/>
      <c r="I1435" s="37"/>
    </row>
    <row r="1436" ht="22.5" customHeight="1">
      <c r="A1436" s="30"/>
      <c r="B1436" s="31"/>
      <c r="C1436" s="32"/>
      <c r="D1436" s="33"/>
      <c r="E1436" s="34"/>
      <c r="F1436" s="34"/>
      <c r="G1436" s="35"/>
      <c r="H1436" s="34"/>
      <c r="I1436" s="37"/>
    </row>
    <row r="1437" ht="22.5" customHeight="1">
      <c r="A1437" s="30"/>
      <c r="B1437" s="31"/>
      <c r="C1437" s="32"/>
      <c r="D1437" s="33"/>
      <c r="E1437" s="34"/>
      <c r="F1437" s="34"/>
      <c r="G1437" s="35"/>
      <c r="H1437" s="34"/>
      <c r="I1437" s="37"/>
    </row>
    <row r="1438" ht="22.5" customHeight="1">
      <c r="A1438" s="30"/>
      <c r="B1438" s="31"/>
      <c r="C1438" s="32"/>
      <c r="D1438" s="33"/>
      <c r="E1438" s="34"/>
      <c r="F1438" s="34"/>
      <c r="G1438" s="35"/>
      <c r="H1438" s="34"/>
      <c r="I1438" s="37"/>
    </row>
    <row r="1439" ht="22.5" customHeight="1">
      <c r="A1439" s="30"/>
      <c r="B1439" s="31"/>
      <c r="C1439" s="32"/>
      <c r="D1439" s="33"/>
      <c r="E1439" s="34"/>
      <c r="F1439" s="34"/>
      <c r="G1439" s="35"/>
      <c r="H1439" s="34"/>
      <c r="I1439" s="37"/>
    </row>
    <row r="1440" ht="22.5" customHeight="1">
      <c r="A1440" s="30"/>
      <c r="B1440" s="31"/>
      <c r="C1440" s="32"/>
      <c r="D1440" s="33"/>
      <c r="E1440" s="34"/>
      <c r="F1440" s="34"/>
      <c r="G1440" s="35"/>
      <c r="H1440" s="34"/>
      <c r="I1440" s="37"/>
    </row>
    <row r="1441" ht="22.5" customHeight="1">
      <c r="A1441" s="30"/>
      <c r="B1441" s="31"/>
      <c r="C1441" s="32"/>
      <c r="D1441" s="33"/>
      <c r="E1441" s="34"/>
      <c r="F1441" s="34"/>
      <c r="G1441" s="35"/>
      <c r="H1441" s="34"/>
      <c r="I1441" s="37"/>
    </row>
    <row r="1442" ht="22.5" customHeight="1">
      <c r="A1442" s="30"/>
      <c r="B1442" s="31"/>
      <c r="C1442" s="32"/>
      <c r="D1442" s="33"/>
      <c r="E1442" s="34"/>
      <c r="F1442" s="34"/>
      <c r="G1442" s="35"/>
      <c r="H1442" s="34"/>
      <c r="I1442" s="37"/>
    </row>
    <row r="1443" ht="22.5" customHeight="1">
      <c r="A1443" s="30"/>
      <c r="B1443" s="31"/>
      <c r="C1443" s="32"/>
      <c r="D1443" s="33"/>
      <c r="E1443" s="34"/>
      <c r="F1443" s="34"/>
      <c r="G1443" s="35"/>
      <c r="H1443" s="34"/>
      <c r="I1443" s="37"/>
    </row>
    <row r="1444" ht="22.5" customHeight="1">
      <c r="A1444" s="30"/>
      <c r="B1444" s="40"/>
      <c r="C1444" s="32"/>
      <c r="D1444" s="33"/>
      <c r="E1444" s="34"/>
      <c r="F1444" s="34"/>
      <c r="G1444" s="35"/>
      <c r="H1444" s="34"/>
      <c r="I1444" s="37"/>
    </row>
    <row r="1445" ht="22.5" customHeight="1">
      <c r="A1445" s="30"/>
      <c r="B1445" s="31"/>
      <c r="C1445" s="32"/>
      <c r="D1445" s="33"/>
      <c r="E1445" s="34"/>
      <c r="F1445" s="34"/>
      <c r="G1445" s="35"/>
      <c r="H1445" s="34"/>
      <c r="I1445" s="37"/>
    </row>
    <row r="1446" ht="22.5" customHeight="1">
      <c r="A1446" s="30"/>
      <c r="B1446" s="31"/>
      <c r="C1446" s="32"/>
      <c r="D1446" s="33"/>
      <c r="E1446" s="34"/>
      <c r="F1446" s="34"/>
      <c r="G1446" s="35"/>
      <c r="H1446" s="34"/>
      <c r="I1446" s="37"/>
    </row>
    <row r="1447" ht="22.5" customHeight="1">
      <c r="A1447" s="30"/>
      <c r="B1447" s="31"/>
      <c r="C1447" s="32"/>
      <c r="D1447" s="33"/>
      <c r="E1447" s="34"/>
      <c r="F1447" s="34"/>
      <c r="G1447" s="35"/>
      <c r="H1447" s="34"/>
      <c r="I1447" s="37"/>
    </row>
    <row r="1448" ht="22.5" customHeight="1">
      <c r="A1448" s="30"/>
      <c r="B1448" s="31"/>
      <c r="C1448" s="32"/>
      <c r="D1448" s="33"/>
      <c r="E1448" s="34"/>
      <c r="F1448" s="34"/>
      <c r="G1448" s="35"/>
      <c r="H1448" s="34"/>
      <c r="I1448" s="38"/>
    </row>
    <row r="1449" ht="22.5" customHeight="1">
      <c r="A1449" s="30"/>
      <c r="B1449" s="39"/>
      <c r="C1449" s="32"/>
      <c r="D1449" s="33"/>
      <c r="E1449" s="34"/>
      <c r="F1449" s="34"/>
      <c r="G1449" s="35"/>
      <c r="H1449" s="34"/>
      <c r="I1449" s="37"/>
    </row>
    <row r="1450" ht="22.5" customHeight="1">
      <c r="A1450" s="30"/>
      <c r="B1450" s="31"/>
      <c r="C1450" s="32"/>
      <c r="D1450" s="33"/>
      <c r="E1450" s="34"/>
      <c r="F1450" s="34"/>
      <c r="G1450" s="35"/>
      <c r="H1450" s="34"/>
      <c r="I1450" s="37"/>
    </row>
    <row r="1451" ht="22.5" customHeight="1">
      <c r="A1451" s="30"/>
      <c r="B1451" s="31"/>
      <c r="C1451" s="32"/>
      <c r="D1451" s="33"/>
      <c r="E1451" s="34"/>
      <c r="F1451" s="34"/>
      <c r="G1451" s="35"/>
      <c r="H1451" s="34"/>
      <c r="I1451" s="37"/>
    </row>
    <row r="1452" ht="22.5" customHeight="1">
      <c r="A1452" s="30"/>
      <c r="B1452" s="31"/>
      <c r="C1452" s="32"/>
      <c r="D1452" s="33"/>
      <c r="E1452" s="34"/>
      <c r="F1452" s="34"/>
      <c r="G1452" s="35"/>
      <c r="H1452" s="34"/>
      <c r="I1452" s="37"/>
    </row>
    <row r="1453" ht="22.5" customHeight="1">
      <c r="A1453" s="30"/>
      <c r="B1453" s="39"/>
      <c r="C1453" s="32"/>
      <c r="D1453" s="33"/>
      <c r="E1453" s="34"/>
      <c r="F1453" s="34"/>
      <c r="G1453" s="35"/>
      <c r="H1453" s="34"/>
      <c r="I1453" s="37"/>
    </row>
    <row r="1454" ht="22.5" customHeight="1">
      <c r="A1454" s="30"/>
      <c r="B1454" s="31"/>
      <c r="C1454" s="32"/>
      <c r="D1454" s="33"/>
      <c r="E1454" s="34"/>
      <c r="F1454" s="34"/>
      <c r="G1454" s="35"/>
      <c r="H1454" s="34"/>
      <c r="I1454" s="37"/>
    </row>
    <row r="1455" ht="22.5" customHeight="1">
      <c r="A1455" s="30"/>
      <c r="B1455" s="39"/>
      <c r="C1455" s="32"/>
      <c r="D1455" s="33"/>
      <c r="E1455" s="34"/>
      <c r="F1455" s="34"/>
      <c r="G1455" s="35"/>
      <c r="H1455" s="34"/>
      <c r="I1455" s="37"/>
    </row>
    <row r="1456" ht="22.5" customHeight="1">
      <c r="A1456" s="30"/>
      <c r="B1456" s="31"/>
      <c r="C1456" s="32"/>
      <c r="D1456" s="33"/>
      <c r="E1456" s="34"/>
      <c r="F1456" s="34"/>
      <c r="G1456" s="35"/>
      <c r="H1456" s="34"/>
      <c r="I1456" s="37"/>
    </row>
    <row r="1457" ht="22.5" customHeight="1">
      <c r="A1457" s="30"/>
      <c r="B1457" s="31"/>
      <c r="C1457" s="32"/>
      <c r="D1457" s="33"/>
      <c r="E1457" s="34"/>
      <c r="F1457" s="34"/>
      <c r="G1457" s="35"/>
      <c r="H1457" s="34"/>
      <c r="I1457" s="37"/>
    </row>
    <row r="1458" ht="22.5" customHeight="1">
      <c r="A1458" s="30"/>
      <c r="B1458" s="31"/>
      <c r="C1458" s="32"/>
      <c r="D1458" s="33"/>
      <c r="E1458" s="34"/>
      <c r="F1458" s="34"/>
      <c r="G1458" s="35"/>
      <c r="H1458" s="34"/>
      <c r="I1458" s="37"/>
    </row>
    <row r="1459" ht="22.5" customHeight="1">
      <c r="A1459" s="30"/>
      <c r="B1459" s="31"/>
      <c r="C1459" s="32"/>
      <c r="D1459" s="33"/>
      <c r="E1459" s="34"/>
      <c r="F1459" s="34"/>
      <c r="G1459" s="35"/>
      <c r="H1459" s="34"/>
      <c r="I1459" s="37"/>
    </row>
    <row r="1460" ht="22.5" customHeight="1">
      <c r="A1460" s="30"/>
      <c r="B1460" s="31"/>
      <c r="C1460" s="32"/>
      <c r="D1460" s="33"/>
      <c r="E1460" s="34"/>
      <c r="F1460" s="34"/>
      <c r="G1460" s="35"/>
      <c r="H1460" s="34"/>
      <c r="I1460" s="37"/>
    </row>
    <row r="1461" ht="22.5" customHeight="1">
      <c r="A1461" s="30"/>
      <c r="B1461" s="31"/>
      <c r="C1461" s="32"/>
      <c r="D1461" s="33"/>
      <c r="E1461" s="34"/>
      <c r="F1461" s="34"/>
      <c r="G1461" s="35"/>
      <c r="H1461" s="34"/>
      <c r="I1461" s="37"/>
    </row>
    <row r="1462" ht="22.5" customHeight="1">
      <c r="A1462" s="30"/>
      <c r="B1462" s="31"/>
      <c r="C1462" s="32"/>
      <c r="D1462" s="33"/>
      <c r="E1462" s="34"/>
      <c r="F1462" s="34"/>
      <c r="G1462" s="35"/>
      <c r="H1462" s="34"/>
      <c r="I1462" s="37"/>
    </row>
    <row r="1463" ht="22.5" customHeight="1">
      <c r="A1463" s="30"/>
      <c r="B1463" s="31"/>
      <c r="C1463" s="32"/>
      <c r="D1463" s="33"/>
      <c r="E1463" s="34"/>
      <c r="F1463" s="34"/>
      <c r="G1463" s="35"/>
      <c r="H1463" s="34"/>
      <c r="I1463" s="37"/>
    </row>
    <row r="1464" ht="22.5" customHeight="1">
      <c r="A1464" s="30"/>
      <c r="B1464" s="31"/>
      <c r="C1464" s="32"/>
      <c r="D1464" s="33"/>
      <c r="E1464" s="34"/>
      <c r="F1464" s="34"/>
      <c r="G1464" s="35"/>
      <c r="H1464" s="34"/>
      <c r="I1464" s="37"/>
    </row>
    <row r="1465" ht="22.5" customHeight="1">
      <c r="A1465" s="30"/>
      <c r="B1465" s="31"/>
      <c r="C1465" s="32"/>
      <c r="D1465" s="33"/>
      <c r="E1465" s="34"/>
      <c r="F1465" s="34"/>
      <c r="G1465" s="35"/>
      <c r="H1465" s="34"/>
      <c r="I1465" s="37"/>
    </row>
    <row r="1466" ht="22.5" customHeight="1">
      <c r="A1466" s="30"/>
      <c r="B1466" s="40"/>
      <c r="C1466" s="32"/>
      <c r="D1466" s="33"/>
      <c r="E1466" s="34"/>
      <c r="F1466" s="34"/>
      <c r="G1466" s="35"/>
      <c r="H1466" s="34"/>
      <c r="I1466" s="37"/>
    </row>
    <row r="1467" ht="22.5" customHeight="1">
      <c r="A1467" s="30"/>
      <c r="B1467" s="31"/>
      <c r="C1467" s="32"/>
      <c r="D1467" s="33"/>
      <c r="E1467" s="34"/>
      <c r="F1467" s="34"/>
      <c r="G1467" s="35"/>
      <c r="H1467" s="34"/>
      <c r="I1467" s="37"/>
    </row>
    <row r="1468" ht="22.5" customHeight="1">
      <c r="A1468" s="30"/>
      <c r="B1468" s="31"/>
      <c r="C1468" s="32"/>
      <c r="D1468" s="33"/>
      <c r="E1468" s="34"/>
      <c r="F1468" s="34"/>
      <c r="G1468" s="35"/>
      <c r="H1468" s="34"/>
      <c r="I1468" s="37"/>
    </row>
    <row r="1469" ht="22.5" customHeight="1">
      <c r="A1469" s="30"/>
      <c r="B1469" s="31"/>
      <c r="C1469" s="32"/>
      <c r="D1469" s="33"/>
      <c r="E1469" s="34"/>
      <c r="F1469" s="34"/>
      <c r="G1469" s="35"/>
      <c r="H1469" s="34"/>
      <c r="I1469" s="37"/>
    </row>
    <row r="1470" ht="22.5" customHeight="1">
      <c r="A1470" s="30"/>
      <c r="B1470" s="31"/>
      <c r="C1470" s="32"/>
      <c r="D1470" s="33"/>
      <c r="E1470" s="34"/>
      <c r="F1470" s="34"/>
      <c r="G1470" s="35"/>
      <c r="H1470" s="34"/>
      <c r="I1470" s="37"/>
    </row>
    <row r="1471" ht="22.5" customHeight="1">
      <c r="A1471" s="30"/>
      <c r="B1471" s="31"/>
      <c r="C1471" s="32"/>
      <c r="D1471" s="33"/>
      <c r="E1471" s="34"/>
      <c r="F1471" s="34"/>
      <c r="G1471" s="35"/>
      <c r="H1471" s="34"/>
      <c r="I1471" s="37"/>
    </row>
    <row r="1472" ht="22.5" customHeight="1">
      <c r="A1472" s="30"/>
      <c r="B1472" s="31"/>
      <c r="C1472" s="32"/>
      <c r="D1472" s="33"/>
      <c r="E1472" s="34"/>
      <c r="F1472" s="34"/>
      <c r="G1472" s="35"/>
      <c r="H1472" s="34"/>
      <c r="I1472" s="37"/>
    </row>
    <row r="1473" ht="22.5" customHeight="1">
      <c r="A1473" s="30"/>
      <c r="B1473" s="39"/>
      <c r="C1473" s="32"/>
      <c r="D1473" s="33"/>
      <c r="E1473" s="34"/>
      <c r="F1473" s="34"/>
      <c r="G1473" s="35"/>
      <c r="H1473" s="34"/>
      <c r="I1473" s="37"/>
    </row>
    <row r="1474" ht="22.5" customHeight="1">
      <c r="A1474" s="30"/>
      <c r="B1474" s="39"/>
      <c r="C1474" s="32"/>
      <c r="D1474" s="33"/>
      <c r="E1474" s="34"/>
      <c r="F1474" s="34"/>
      <c r="G1474" s="35"/>
      <c r="H1474" s="34"/>
      <c r="I1474" s="37"/>
    </row>
    <row r="1475" ht="22.5" customHeight="1">
      <c r="A1475" s="30"/>
      <c r="B1475" s="39"/>
      <c r="C1475" s="32"/>
      <c r="D1475" s="33"/>
      <c r="E1475" s="34"/>
      <c r="F1475" s="34"/>
      <c r="G1475" s="35"/>
      <c r="H1475" s="34"/>
      <c r="I1475" s="37"/>
    </row>
    <row r="1476" ht="22.5" customHeight="1">
      <c r="A1476" s="30"/>
      <c r="B1476" s="40"/>
      <c r="C1476" s="32"/>
      <c r="D1476" s="33"/>
      <c r="E1476" s="34"/>
      <c r="F1476" s="34"/>
      <c r="G1476" s="35"/>
      <c r="H1476" s="34"/>
      <c r="I1476" s="37"/>
    </row>
    <row r="1477" ht="22.5" customHeight="1">
      <c r="A1477" s="30"/>
      <c r="B1477" s="31"/>
      <c r="C1477" s="32"/>
      <c r="D1477" s="33"/>
      <c r="E1477" s="34"/>
      <c r="F1477" s="34"/>
      <c r="G1477" s="35"/>
      <c r="H1477" s="34"/>
      <c r="I1477" s="37"/>
    </row>
    <row r="1478" ht="22.5" customHeight="1">
      <c r="A1478" s="30"/>
      <c r="B1478" s="31"/>
      <c r="C1478" s="32"/>
      <c r="D1478" s="33"/>
      <c r="E1478" s="34"/>
      <c r="F1478" s="34"/>
      <c r="G1478" s="35"/>
      <c r="H1478" s="34"/>
      <c r="I1478" s="37"/>
    </row>
    <row r="1479" ht="22.5" customHeight="1">
      <c r="A1479" s="30"/>
      <c r="B1479" s="31"/>
      <c r="C1479" s="32"/>
      <c r="D1479" s="33"/>
      <c r="E1479" s="34"/>
      <c r="F1479" s="34"/>
      <c r="G1479" s="35"/>
      <c r="H1479" s="34"/>
      <c r="I1479" s="37"/>
    </row>
    <row r="1480" ht="22.5" customHeight="1">
      <c r="A1480" s="30"/>
      <c r="B1480" s="31"/>
      <c r="C1480" s="32"/>
      <c r="D1480" s="33"/>
      <c r="E1480" s="34"/>
      <c r="F1480" s="34"/>
      <c r="G1480" s="35"/>
      <c r="H1480" s="34"/>
      <c r="I1480" s="37"/>
    </row>
    <row r="1481" ht="22.5" customHeight="1">
      <c r="A1481" s="30"/>
      <c r="B1481" s="31"/>
      <c r="C1481" s="32"/>
      <c r="D1481" s="33"/>
      <c r="E1481" s="34"/>
      <c r="F1481" s="34"/>
      <c r="G1481" s="35"/>
      <c r="H1481" s="34"/>
      <c r="I1481" s="37"/>
    </row>
    <row r="1482" ht="22.5" customHeight="1">
      <c r="A1482" s="30"/>
      <c r="B1482" s="31"/>
      <c r="C1482" s="32"/>
      <c r="D1482" s="33"/>
      <c r="E1482" s="34"/>
      <c r="F1482" s="34"/>
      <c r="G1482" s="35"/>
      <c r="H1482" s="34"/>
      <c r="I1482" s="37"/>
    </row>
    <row r="1483" ht="22.5" customHeight="1">
      <c r="A1483" s="30"/>
      <c r="B1483" s="31"/>
      <c r="C1483" s="32"/>
      <c r="D1483" s="33"/>
      <c r="E1483" s="34"/>
      <c r="F1483" s="34"/>
      <c r="G1483" s="35"/>
      <c r="H1483" s="34"/>
      <c r="I1483" s="37"/>
    </row>
    <row r="1484" ht="22.5" customHeight="1">
      <c r="A1484" s="30"/>
      <c r="B1484" s="31"/>
      <c r="C1484" s="32"/>
      <c r="D1484" s="33"/>
      <c r="E1484" s="34"/>
      <c r="F1484" s="34"/>
      <c r="G1484" s="35"/>
      <c r="H1484" s="34"/>
      <c r="I1484" s="37"/>
    </row>
    <row r="1485" ht="22.5" customHeight="1">
      <c r="A1485" s="30"/>
      <c r="B1485" s="31"/>
      <c r="C1485" s="32"/>
      <c r="D1485" s="33"/>
      <c r="E1485" s="34"/>
      <c r="F1485" s="34"/>
      <c r="G1485" s="35"/>
      <c r="H1485" s="34"/>
      <c r="I1485" s="37"/>
    </row>
    <row r="1486" ht="22.5" customHeight="1">
      <c r="A1486" s="30"/>
      <c r="B1486" s="40"/>
      <c r="C1486" s="32"/>
      <c r="D1486" s="33"/>
      <c r="E1486" s="34"/>
      <c r="F1486" s="34"/>
      <c r="G1486" s="35"/>
      <c r="H1486" s="34"/>
      <c r="I1486" s="37"/>
    </row>
    <row r="1487" ht="22.5" customHeight="1">
      <c r="A1487" s="30"/>
      <c r="B1487" s="31"/>
      <c r="C1487" s="32"/>
      <c r="D1487" s="33"/>
      <c r="E1487" s="34"/>
      <c r="F1487" s="34"/>
      <c r="G1487" s="35"/>
      <c r="H1487" s="34"/>
      <c r="I1487" s="37"/>
    </row>
    <row r="1488" ht="22.5" customHeight="1">
      <c r="A1488" s="30"/>
      <c r="B1488" s="31"/>
      <c r="C1488" s="32"/>
      <c r="D1488" s="33"/>
      <c r="E1488" s="34"/>
      <c r="F1488" s="34"/>
      <c r="G1488" s="35"/>
      <c r="H1488" s="34"/>
      <c r="I1488" s="37"/>
    </row>
    <row r="1489" ht="22.5" customHeight="1">
      <c r="A1489" s="30"/>
      <c r="B1489" s="31"/>
      <c r="C1489" s="32"/>
      <c r="D1489" s="33"/>
      <c r="E1489" s="34"/>
      <c r="F1489" s="34"/>
      <c r="G1489" s="35"/>
      <c r="H1489" s="34"/>
      <c r="I1489" s="37"/>
    </row>
    <row r="1490" ht="22.5" customHeight="1">
      <c r="A1490" s="30"/>
      <c r="B1490" s="40"/>
      <c r="C1490" s="32"/>
      <c r="D1490" s="33"/>
      <c r="E1490" s="34"/>
      <c r="F1490" s="34"/>
      <c r="G1490" s="35"/>
      <c r="H1490" s="34"/>
      <c r="I1490" s="37"/>
    </row>
    <row r="1491" ht="22.5" customHeight="1">
      <c r="A1491" s="30"/>
      <c r="B1491" s="31"/>
      <c r="C1491" s="32"/>
      <c r="D1491" s="33"/>
      <c r="E1491" s="34"/>
      <c r="F1491" s="34"/>
      <c r="G1491" s="35"/>
      <c r="H1491" s="34"/>
      <c r="I1491" s="37"/>
    </row>
    <row r="1492" ht="22.5" customHeight="1">
      <c r="A1492" s="30"/>
      <c r="B1492" s="31"/>
      <c r="C1492" s="32"/>
      <c r="D1492" s="33"/>
      <c r="E1492" s="34"/>
      <c r="F1492" s="34"/>
      <c r="G1492" s="35"/>
      <c r="H1492" s="34"/>
      <c r="I1492" s="37"/>
    </row>
    <row r="1493" ht="22.5" customHeight="1">
      <c r="A1493" s="30"/>
      <c r="B1493" s="31"/>
      <c r="C1493" s="32"/>
      <c r="D1493" s="33"/>
      <c r="E1493" s="34"/>
      <c r="F1493" s="34"/>
      <c r="G1493" s="35"/>
      <c r="H1493" s="34"/>
      <c r="I1493" s="37"/>
    </row>
    <row r="1494" ht="22.5" customHeight="1">
      <c r="A1494" s="30"/>
      <c r="B1494" s="31"/>
      <c r="C1494" s="32"/>
      <c r="D1494" s="33"/>
      <c r="E1494" s="34"/>
      <c r="F1494" s="34"/>
      <c r="G1494" s="35"/>
      <c r="H1494" s="34"/>
      <c r="I1494" s="37"/>
    </row>
    <row r="1495" ht="22.5" customHeight="1">
      <c r="A1495" s="30"/>
      <c r="B1495" s="31"/>
      <c r="C1495" s="32"/>
      <c r="D1495" s="33"/>
      <c r="E1495" s="34"/>
      <c r="F1495" s="34"/>
      <c r="G1495" s="35"/>
      <c r="H1495" s="34"/>
      <c r="I1495" s="37"/>
    </row>
    <row r="1496" ht="22.5" customHeight="1">
      <c r="A1496" s="30"/>
      <c r="B1496" s="31"/>
      <c r="C1496" s="32"/>
      <c r="D1496" s="33"/>
      <c r="E1496" s="34"/>
      <c r="F1496" s="34"/>
      <c r="G1496" s="35"/>
      <c r="H1496" s="34"/>
      <c r="I1496" s="37"/>
    </row>
    <row r="1497" ht="22.5" customHeight="1">
      <c r="A1497" s="30"/>
      <c r="B1497" s="31"/>
      <c r="C1497" s="32"/>
      <c r="D1497" s="33"/>
      <c r="E1497" s="34"/>
      <c r="F1497" s="34"/>
      <c r="G1497" s="35"/>
      <c r="H1497" s="34"/>
      <c r="I1497" s="37"/>
    </row>
    <row r="1498" ht="22.5" customHeight="1">
      <c r="A1498" s="30"/>
      <c r="B1498" s="31"/>
      <c r="C1498" s="32"/>
      <c r="D1498" s="33"/>
      <c r="E1498" s="34"/>
      <c r="F1498" s="34"/>
      <c r="G1498" s="35"/>
      <c r="H1498" s="34"/>
      <c r="I1498" s="37"/>
    </row>
    <row r="1499" ht="22.5" customHeight="1">
      <c r="A1499" s="30"/>
      <c r="B1499" s="31"/>
      <c r="C1499" s="32"/>
      <c r="D1499" s="33"/>
      <c r="E1499" s="34"/>
      <c r="F1499" s="34"/>
      <c r="G1499" s="35"/>
      <c r="H1499" s="34"/>
      <c r="I1499" s="37"/>
    </row>
    <row r="1500" ht="22.5" customHeight="1">
      <c r="A1500" s="30"/>
      <c r="B1500" s="31"/>
      <c r="C1500" s="32"/>
      <c r="D1500" s="33"/>
      <c r="E1500" s="34"/>
      <c r="F1500" s="34"/>
      <c r="G1500" s="35"/>
      <c r="H1500" s="34"/>
      <c r="I1500" s="37"/>
    </row>
    <row r="1501" ht="22.5" customHeight="1">
      <c r="A1501" s="30"/>
      <c r="B1501" s="31"/>
      <c r="C1501" s="32"/>
      <c r="D1501" s="33"/>
      <c r="E1501" s="34"/>
      <c r="F1501" s="34"/>
      <c r="G1501" s="35"/>
      <c r="H1501" s="34"/>
      <c r="I1501" s="37"/>
    </row>
    <row r="1502" ht="22.5" customHeight="1">
      <c r="A1502" s="30"/>
      <c r="B1502" s="31"/>
      <c r="C1502" s="32"/>
      <c r="D1502" s="33"/>
      <c r="E1502" s="34"/>
      <c r="F1502" s="34"/>
      <c r="G1502" s="35"/>
      <c r="H1502" s="34"/>
      <c r="I1502" s="37"/>
    </row>
    <row r="1503" ht="22.5" customHeight="1">
      <c r="A1503" s="30"/>
      <c r="B1503" s="31"/>
      <c r="C1503" s="32"/>
      <c r="D1503" s="33"/>
      <c r="E1503" s="34"/>
      <c r="F1503" s="34"/>
      <c r="G1503" s="35"/>
      <c r="H1503" s="34"/>
      <c r="I1503" s="37"/>
    </row>
    <row r="1504" ht="22.5" customHeight="1">
      <c r="A1504" s="30"/>
      <c r="B1504" s="31"/>
      <c r="C1504" s="32"/>
      <c r="D1504" s="33"/>
      <c r="E1504" s="34"/>
      <c r="F1504" s="34"/>
      <c r="G1504" s="35"/>
      <c r="H1504" s="34"/>
      <c r="I1504" s="37"/>
    </row>
    <row r="1505" ht="22.5" customHeight="1">
      <c r="A1505" s="30"/>
      <c r="B1505" s="40"/>
      <c r="C1505" s="32"/>
      <c r="D1505" s="33"/>
      <c r="E1505" s="34"/>
      <c r="F1505" s="34"/>
      <c r="G1505" s="35"/>
      <c r="H1505" s="34"/>
      <c r="I1505" s="37"/>
    </row>
    <row r="1506" ht="22.5" customHeight="1">
      <c r="A1506" s="30"/>
      <c r="B1506" s="31"/>
      <c r="C1506" s="32"/>
      <c r="D1506" s="33"/>
      <c r="E1506" s="34"/>
      <c r="F1506" s="34"/>
      <c r="G1506" s="35"/>
      <c r="H1506" s="34"/>
      <c r="I1506" s="37"/>
    </row>
    <row r="1507" ht="22.5" customHeight="1">
      <c r="A1507" s="30"/>
      <c r="B1507" s="40"/>
      <c r="C1507" s="32"/>
      <c r="D1507" s="33"/>
      <c r="E1507" s="34"/>
      <c r="F1507" s="34"/>
      <c r="G1507" s="35"/>
      <c r="H1507" s="34"/>
      <c r="I1507" s="37"/>
    </row>
    <row r="1508" ht="22.5" customHeight="1">
      <c r="A1508" s="30"/>
      <c r="B1508" s="31"/>
      <c r="C1508" s="32"/>
      <c r="D1508" s="33"/>
      <c r="E1508" s="34"/>
      <c r="F1508" s="34"/>
      <c r="G1508" s="35"/>
      <c r="H1508" s="34"/>
      <c r="I1508" s="37"/>
    </row>
    <row r="1509" ht="22.5" customHeight="1">
      <c r="A1509" s="30"/>
      <c r="B1509" s="31"/>
      <c r="C1509" s="32"/>
      <c r="D1509" s="33"/>
      <c r="E1509" s="34"/>
      <c r="F1509" s="34"/>
      <c r="G1509" s="35"/>
      <c r="H1509" s="34"/>
      <c r="I1509" s="37"/>
    </row>
    <row r="1510" ht="22.5" customHeight="1">
      <c r="A1510" s="30"/>
      <c r="B1510" s="31"/>
      <c r="C1510" s="32"/>
      <c r="D1510" s="33"/>
      <c r="E1510" s="34"/>
      <c r="F1510" s="34"/>
      <c r="G1510" s="35"/>
      <c r="H1510" s="34"/>
      <c r="I1510" s="37"/>
    </row>
    <row r="1511" ht="22.5" customHeight="1">
      <c r="A1511" s="30"/>
      <c r="B1511" s="31"/>
      <c r="C1511" s="32"/>
      <c r="D1511" s="33"/>
      <c r="E1511" s="34"/>
      <c r="F1511" s="34"/>
      <c r="G1511" s="35"/>
      <c r="H1511" s="34"/>
      <c r="I1511" s="37"/>
    </row>
    <row r="1512" ht="22.5" customHeight="1">
      <c r="A1512" s="30"/>
      <c r="B1512" s="40"/>
      <c r="C1512" s="32"/>
      <c r="D1512" s="33"/>
      <c r="E1512" s="34"/>
      <c r="F1512" s="34"/>
      <c r="G1512" s="35"/>
      <c r="H1512" s="34"/>
      <c r="I1512" s="37"/>
    </row>
    <row r="1513" ht="22.5" customHeight="1">
      <c r="A1513" s="30"/>
      <c r="B1513" s="31"/>
      <c r="C1513" s="32"/>
      <c r="D1513" s="33"/>
      <c r="E1513" s="34"/>
      <c r="F1513" s="34"/>
      <c r="G1513" s="35"/>
      <c r="H1513" s="34"/>
      <c r="I1513" s="37"/>
    </row>
    <row r="1514" ht="22.5" customHeight="1">
      <c r="A1514" s="30"/>
      <c r="B1514" s="31"/>
      <c r="C1514" s="32"/>
      <c r="D1514" s="33"/>
      <c r="E1514" s="34"/>
      <c r="F1514" s="34"/>
      <c r="G1514" s="35"/>
      <c r="H1514" s="34"/>
      <c r="I1514" s="37"/>
    </row>
    <row r="1515" ht="22.5" customHeight="1">
      <c r="A1515" s="30"/>
      <c r="B1515" s="31"/>
      <c r="C1515" s="32"/>
      <c r="D1515" s="33"/>
      <c r="E1515" s="34"/>
      <c r="F1515" s="34"/>
      <c r="G1515" s="35"/>
      <c r="H1515" s="34"/>
      <c r="I1515" s="37"/>
    </row>
    <row r="1516" ht="22.5" customHeight="1">
      <c r="A1516" s="30"/>
      <c r="B1516" s="31"/>
      <c r="C1516" s="32"/>
      <c r="D1516" s="33"/>
      <c r="E1516" s="34"/>
      <c r="F1516" s="34"/>
      <c r="G1516" s="35"/>
      <c r="H1516" s="34"/>
      <c r="I1516" s="37"/>
    </row>
    <row r="1517" ht="22.5" customHeight="1">
      <c r="A1517" s="30"/>
      <c r="B1517" s="31"/>
      <c r="C1517" s="32"/>
      <c r="D1517" s="33"/>
      <c r="E1517" s="34"/>
      <c r="F1517" s="34"/>
      <c r="G1517" s="35"/>
      <c r="H1517" s="34"/>
      <c r="I1517" s="37"/>
    </row>
    <row r="1518" ht="22.5" customHeight="1">
      <c r="A1518" s="30"/>
      <c r="B1518" s="31"/>
      <c r="C1518" s="32"/>
      <c r="D1518" s="33"/>
      <c r="E1518" s="34"/>
      <c r="F1518" s="34"/>
      <c r="G1518" s="35"/>
      <c r="H1518" s="34"/>
      <c r="I1518" s="37"/>
    </row>
    <row r="1519" ht="22.5" customHeight="1">
      <c r="A1519" s="30"/>
      <c r="B1519" s="31"/>
      <c r="C1519" s="32"/>
      <c r="D1519" s="33"/>
      <c r="E1519" s="34"/>
      <c r="F1519" s="34"/>
      <c r="G1519" s="35"/>
      <c r="H1519" s="34"/>
      <c r="I1519" s="37"/>
    </row>
    <row r="1520" ht="22.5" customHeight="1">
      <c r="A1520" s="30"/>
      <c r="B1520" s="31"/>
      <c r="C1520" s="32"/>
      <c r="D1520" s="33"/>
      <c r="E1520" s="34"/>
      <c r="F1520" s="34"/>
      <c r="G1520" s="35"/>
      <c r="H1520" s="34"/>
      <c r="I1520" s="37"/>
    </row>
    <row r="1521" ht="22.5" customHeight="1">
      <c r="A1521" s="30"/>
      <c r="B1521" s="31"/>
      <c r="C1521" s="32"/>
      <c r="D1521" s="33"/>
      <c r="E1521" s="34"/>
      <c r="F1521" s="34"/>
      <c r="G1521" s="35"/>
      <c r="H1521" s="34"/>
      <c r="I1521" s="37"/>
    </row>
    <row r="1522" ht="22.5" customHeight="1">
      <c r="A1522" s="30"/>
      <c r="B1522" s="31"/>
      <c r="C1522" s="32"/>
      <c r="D1522" s="33"/>
      <c r="E1522" s="34"/>
      <c r="F1522" s="34"/>
      <c r="G1522" s="35"/>
      <c r="H1522" s="34"/>
      <c r="I1522" s="37"/>
    </row>
    <row r="1523" ht="22.5" customHeight="1">
      <c r="A1523" s="30"/>
      <c r="B1523" s="31"/>
      <c r="C1523" s="32"/>
      <c r="D1523" s="33"/>
      <c r="E1523" s="34"/>
      <c r="F1523" s="34"/>
      <c r="G1523" s="35"/>
      <c r="H1523" s="34"/>
      <c r="I1523" s="37"/>
    </row>
    <row r="1524" ht="22.5" customHeight="1">
      <c r="A1524" s="30"/>
      <c r="B1524" s="31"/>
      <c r="C1524" s="32"/>
      <c r="D1524" s="33"/>
      <c r="E1524" s="34"/>
      <c r="F1524" s="34"/>
      <c r="G1524" s="35"/>
      <c r="H1524" s="34"/>
      <c r="I1524" s="37"/>
    </row>
    <row r="1525" ht="22.5" customHeight="1">
      <c r="A1525" s="30"/>
      <c r="B1525" s="31"/>
      <c r="C1525" s="32"/>
      <c r="D1525" s="33"/>
      <c r="E1525" s="34"/>
      <c r="F1525" s="34"/>
      <c r="G1525" s="35"/>
      <c r="H1525" s="34"/>
      <c r="I1525" s="37"/>
    </row>
    <row r="1526" ht="22.5" customHeight="1">
      <c r="A1526" s="30"/>
      <c r="B1526" s="31"/>
      <c r="C1526" s="32"/>
      <c r="D1526" s="33"/>
      <c r="E1526" s="34"/>
      <c r="F1526" s="34"/>
      <c r="G1526" s="35"/>
      <c r="H1526" s="34"/>
      <c r="I1526" s="37"/>
    </row>
    <row r="1527" ht="22.5" customHeight="1">
      <c r="A1527" s="30"/>
      <c r="B1527" s="31"/>
      <c r="C1527" s="32"/>
      <c r="D1527" s="33"/>
      <c r="E1527" s="34"/>
      <c r="F1527" s="34"/>
      <c r="G1527" s="35"/>
      <c r="H1527" s="34"/>
      <c r="I1527" s="37"/>
    </row>
    <row r="1528" ht="22.5" customHeight="1">
      <c r="A1528" s="30"/>
      <c r="B1528" s="31"/>
      <c r="C1528" s="32"/>
      <c r="D1528" s="33"/>
      <c r="E1528" s="34"/>
      <c r="F1528" s="34"/>
      <c r="G1528" s="35"/>
      <c r="H1528" s="34"/>
      <c r="I1528" s="37"/>
    </row>
    <row r="1529" ht="22.5" customHeight="1">
      <c r="A1529" s="30"/>
      <c r="B1529" s="31"/>
      <c r="C1529" s="32"/>
      <c r="D1529" s="33"/>
      <c r="E1529" s="34"/>
      <c r="F1529" s="34"/>
      <c r="G1529" s="35"/>
      <c r="H1529" s="34"/>
      <c r="I1529" s="37"/>
    </row>
    <row r="1530" ht="22.5" customHeight="1">
      <c r="A1530" s="30"/>
      <c r="B1530" s="31"/>
      <c r="C1530" s="32"/>
      <c r="D1530" s="33"/>
      <c r="E1530" s="34"/>
      <c r="F1530" s="34"/>
      <c r="G1530" s="35"/>
      <c r="H1530" s="34"/>
      <c r="I1530" s="37"/>
    </row>
    <row r="1531" ht="22.5" customHeight="1">
      <c r="A1531" s="30"/>
      <c r="B1531" s="31"/>
      <c r="C1531" s="32"/>
      <c r="D1531" s="33"/>
      <c r="E1531" s="34"/>
      <c r="F1531" s="34"/>
      <c r="G1531" s="35"/>
      <c r="H1531" s="34"/>
      <c r="I1531" s="37"/>
    </row>
    <row r="1532" ht="22.5" customHeight="1">
      <c r="A1532" s="30"/>
      <c r="B1532" s="31"/>
      <c r="C1532" s="32"/>
      <c r="D1532" s="33"/>
      <c r="E1532" s="34"/>
      <c r="F1532" s="34"/>
      <c r="G1532" s="35"/>
      <c r="H1532" s="34"/>
      <c r="I1532" s="37"/>
    </row>
    <row r="1533" ht="22.5" customHeight="1">
      <c r="A1533" s="30"/>
      <c r="B1533" s="31"/>
      <c r="C1533" s="32"/>
      <c r="D1533" s="33"/>
      <c r="E1533" s="34"/>
      <c r="F1533" s="34"/>
      <c r="G1533" s="35"/>
      <c r="H1533" s="34"/>
      <c r="I1533" s="37"/>
    </row>
    <row r="1534" ht="22.5" customHeight="1">
      <c r="A1534" s="30"/>
      <c r="B1534" s="40"/>
      <c r="C1534" s="32"/>
      <c r="D1534" s="33"/>
      <c r="E1534" s="34"/>
      <c r="F1534" s="34"/>
      <c r="G1534" s="35"/>
      <c r="H1534" s="34"/>
      <c r="I1534" s="37"/>
    </row>
    <row r="1535" ht="22.5" customHeight="1">
      <c r="A1535" s="30"/>
      <c r="B1535" s="31"/>
      <c r="C1535" s="32"/>
      <c r="D1535" s="33"/>
      <c r="E1535" s="34"/>
      <c r="F1535" s="34"/>
      <c r="G1535" s="35"/>
      <c r="H1535" s="34"/>
      <c r="I1535" s="37"/>
    </row>
    <row r="1536" ht="22.5" customHeight="1">
      <c r="A1536" s="30"/>
      <c r="B1536" s="31"/>
      <c r="C1536" s="32"/>
      <c r="D1536" s="33"/>
      <c r="E1536" s="34"/>
      <c r="F1536" s="34"/>
      <c r="G1536" s="35"/>
      <c r="H1536" s="34"/>
      <c r="I1536" s="37"/>
    </row>
    <row r="1537" ht="22.5" customHeight="1">
      <c r="A1537" s="30"/>
      <c r="B1537" s="31"/>
      <c r="C1537" s="32"/>
      <c r="D1537" s="33"/>
      <c r="E1537" s="34"/>
      <c r="F1537" s="34"/>
      <c r="G1537" s="35"/>
      <c r="H1537" s="34"/>
      <c r="I1537" s="37"/>
    </row>
    <row r="1538" ht="22.5" customHeight="1">
      <c r="A1538" s="30"/>
      <c r="B1538" s="31"/>
      <c r="C1538" s="32"/>
      <c r="D1538" s="33"/>
      <c r="E1538" s="34"/>
      <c r="F1538" s="34"/>
      <c r="G1538" s="35"/>
      <c r="H1538" s="34"/>
      <c r="I1538" s="38"/>
    </row>
    <row r="1539" ht="22.5" customHeight="1">
      <c r="A1539" s="30"/>
      <c r="B1539" s="39"/>
      <c r="C1539" s="32"/>
      <c r="D1539" s="33"/>
      <c r="E1539" s="34"/>
      <c r="F1539" s="34"/>
      <c r="G1539" s="35"/>
      <c r="H1539" s="34"/>
      <c r="I1539" s="37"/>
    </row>
    <row r="1540" ht="22.5" customHeight="1">
      <c r="A1540" s="30"/>
      <c r="B1540" s="31"/>
      <c r="C1540" s="32"/>
      <c r="D1540" s="33"/>
      <c r="E1540" s="34"/>
      <c r="F1540" s="34"/>
      <c r="G1540" s="35"/>
      <c r="H1540" s="34"/>
      <c r="I1540" s="37"/>
    </row>
    <row r="1541" ht="22.5" customHeight="1">
      <c r="A1541" s="30"/>
      <c r="B1541" s="31"/>
      <c r="C1541" s="32"/>
      <c r="D1541" s="33"/>
      <c r="E1541" s="34"/>
      <c r="F1541" s="34"/>
      <c r="G1541" s="35"/>
      <c r="H1541" s="34"/>
      <c r="I1541" s="37"/>
    </row>
    <row r="1542" ht="22.5" customHeight="1">
      <c r="A1542" s="30"/>
      <c r="B1542" s="31"/>
      <c r="C1542" s="32"/>
      <c r="D1542" s="33"/>
      <c r="E1542" s="34"/>
      <c r="F1542" s="34"/>
      <c r="G1542" s="35"/>
      <c r="H1542" s="34"/>
      <c r="I1542" s="37"/>
    </row>
    <row r="1543" ht="22.5" customHeight="1">
      <c r="A1543" s="30"/>
      <c r="B1543" s="39"/>
      <c r="C1543" s="32"/>
      <c r="D1543" s="33"/>
      <c r="E1543" s="34"/>
      <c r="F1543" s="34"/>
      <c r="G1543" s="35"/>
      <c r="H1543" s="34"/>
      <c r="I1543" s="37"/>
    </row>
    <row r="1544" ht="22.5" customHeight="1">
      <c r="A1544" s="30"/>
      <c r="B1544" s="31"/>
      <c r="C1544" s="32"/>
      <c r="D1544" s="33"/>
      <c r="E1544" s="34"/>
      <c r="F1544" s="34"/>
      <c r="G1544" s="35"/>
      <c r="H1544" s="34"/>
      <c r="I1544" s="37"/>
    </row>
    <row r="1545" ht="22.5" customHeight="1">
      <c r="A1545" s="30"/>
      <c r="B1545" s="39"/>
      <c r="C1545" s="32"/>
      <c r="D1545" s="33"/>
      <c r="E1545" s="34"/>
      <c r="F1545" s="34"/>
      <c r="G1545" s="35"/>
      <c r="H1545" s="34"/>
      <c r="I1545" s="37"/>
    </row>
    <row r="1546" ht="22.5" customHeight="1">
      <c r="A1546" s="30"/>
      <c r="B1546" s="31"/>
      <c r="C1546" s="32"/>
      <c r="D1546" s="33"/>
      <c r="E1546" s="34"/>
      <c r="F1546" s="34"/>
      <c r="G1546" s="35"/>
      <c r="H1546" s="34"/>
      <c r="I1546" s="37"/>
    </row>
    <row r="1547" ht="22.5" customHeight="1">
      <c r="A1547" s="30"/>
      <c r="B1547" s="31"/>
      <c r="C1547" s="32"/>
      <c r="D1547" s="33"/>
      <c r="E1547" s="34"/>
      <c r="F1547" s="34"/>
      <c r="G1547" s="35"/>
      <c r="H1547" s="34"/>
      <c r="I1547" s="37"/>
    </row>
    <row r="1548" ht="22.5" customHeight="1">
      <c r="A1548" s="30"/>
      <c r="B1548" s="31"/>
      <c r="C1548" s="32"/>
      <c r="D1548" s="33"/>
      <c r="E1548" s="34"/>
      <c r="F1548" s="34"/>
      <c r="G1548" s="35"/>
      <c r="H1548" s="34"/>
      <c r="I1548" s="37"/>
    </row>
    <row r="1549" ht="22.5" customHeight="1">
      <c r="A1549" s="30"/>
      <c r="B1549" s="31"/>
      <c r="C1549" s="32"/>
      <c r="D1549" s="33"/>
      <c r="E1549" s="34"/>
      <c r="F1549" s="34"/>
      <c r="G1549" s="35"/>
      <c r="H1549" s="34"/>
      <c r="I1549" s="37"/>
    </row>
    <row r="1550" ht="22.5" customHeight="1">
      <c r="A1550" s="30"/>
      <c r="B1550" s="31"/>
      <c r="C1550" s="32"/>
      <c r="D1550" s="33"/>
      <c r="E1550" s="34"/>
      <c r="F1550" s="34"/>
      <c r="G1550" s="35"/>
      <c r="H1550" s="34"/>
      <c r="I1550" s="37"/>
    </row>
    <row r="1551" ht="22.5" customHeight="1">
      <c r="A1551" s="30"/>
      <c r="B1551" s="31"/>
      <c r="C1551" s="32"/>
      <c r="D1551" s="33"/>
      <c r="E1551" s="34"/>
      <c r="F1551" s="34"/>
      <c r="G1551" s="35"/>
      <c r="H1551" s="34"/>
      <c r="I1551" s="37"/>
    </row>
    <row r="1552" ht="22.5" customHeight="1">
      <c r="A1552" s="30"/>
      <c r="B1552" s="31"/>
      <c r="C1552" s="32"/>
      <c r="D1552" s="33"/>
      <c r="E1552" s="34"/>
      <c r="F1552" s="34"/>
      <c r="G1552" s="35"/>
      <c r="H1552" s="34"/>
      <c r="I1552" s="37"/>
    </row>
    <row r="1553" ht="22.5" customHeight="1">
      <c r="A1553" s="30"/>
      <c r="B1553" s="31"/>
      <c r="C1553" s="32"/>
      <c r="D1553" s="33"/>
      <c r="E1553" s="34"/>
      <c r="F1553" s="34"/>
      <c r="G1553" s="35"/>
      <c r="H1553" s="34"/>
      <c r="I1553" s="37"/>
    </row>
    <row r="1554" ht="22.5" customHeight="1">
      <c r="A1554" s="30"/>
      <c r="B1554" s="31"/>
      <c r="C1554" s="32"/>
      <c r="D1554" s="33"/>
      <c r="E1554" s="34"/>
      <c r="F1554" s="34"/>
      <c r="G1554" s="35"/>
      <c r="H1554" s="34"/>
      <c r="I1554" s="37"/>
    </row>
    <row r="1555" ht="22.5" customHeight="1">
      <c r="A1555" s="30"/>
      <c r="B1555" s="31"/>
      <c r="C1555" s="32"/>
      <c r="D1555" s="33"/>
      <c r="E1555" s="34"/>
      <c r="F1555" s="34"/>
      <c r="G1555" s="35"/>
      <c r="H1555" s="34"/>
      <c r="I1555" s="37"/>
    </row>
    <row r="1556" ht="22.5" customHeight="1">
      <c r="A1556" s="30"/>
      <c r="B1556" s="40"/>
      <c r="C1556" s="32"/>
      <c r="D1556" s="33"/>
      <c r="E1556" s="34"/>
      <c r="F1556" s="34"/>
      <c r="G1556" s="35"/>
      <c r="H1556" s="34"/>
      <c r="I1556" s="37"/>
    </row>
    <row r="1557" ht="22.5" customHeight="1">
      <c r="A1557" s="30"/>
      <c r="B1557" s="31"/>
      <c r="C1557" s="32"/>
      <c r="D1557" s="33"/>
      <c r="E1557" s="34"/>
      <c r="F1557" s="34"/>
      <c r="G1557" s="35"/>
      <c r="H1557" s="34"/>
      <c r="I1557" s="37"/>
    </row>
    <row r="1558" ht="22.5" customHeight="1">
      <c r="A1558" s="30"/>
      <c r="B1558" s="31"/>
      <c r="C1558" s="32"/>
      <c r="D1558" s="33"/>
      <c r="E1558" s="34"/>
      <c r="F1558" s="34"/>
      <c r="G1558" s="35"/>
      <c r="H1558" s="34"/>
      <c r="I1558" s="37"/>
    </row>
    <row r="1559" ht="22.5" customHeight="1">
      <c r="A1559" s="30"/>
      <c r="B1559" s="31"/>
      <c r="C1559" s="32"/>
      <c r="D1559" s="33"/>
      <c r="E1559" s="34"/>
      <c r="F1559" s="34"/>
      <c r="G1559" s="35"/>
      <c r="H1559" s="34"/>
      <c r="I1559" s="37"/>
    </row>
    <row r="1560" ht="22.5" customHeight="1">
      <c r="A1560" s="30"/>
      <c r="B1560" s="31"/>
      <c r="C1560" s="32"/>
      <c r="D1560" s="33"/>
      <c r="E1560" s="34"/>
      <c r="F1560" s="34"/>
      <c r="G1560" s="35"/>
      <c r="H1560" s="34"/>
      <c r="I1560" s="37"/>
    </row>
    <row r="1561" ht="22.5" customHeight="1">
      <c r="A1561" s="30"/>
      <c r="B1561" s="31"/>
      <c r="C1561" s="32"/>
      <c r="D1561" s="33"/>
      <c r="E1561" s="34"/>
      <c r="F1561" s="34"/>
      <c r="G1561" s="35"/>
      <c r="H1561" s="34"/>
      <c r="I1561" s="37"/>
    </row>
    <row r="1562" ht="22.5" customHeight="1">
      <c r="A1562" s="30"/>
      <c r="B1562" s="31"/>
      <c r="C1562" s="32"/>
      <c r="D1562" s="33"/>
      <c r="E1562" s="34"/>
      <c r="F1562" s="34"/>
      <c r="G1562" s="35"/>
      <c r="H1562" s="34"/>
      <c r="I1562" s="37"/>
    </row>
    <row r="1563" ht="22.5" customHeight="1">
      <c r="A1563" s="30"/>
      <c r="B1563" s="39"/>
      <c r="C1563" s="32"/>
      <c r="D1563" s="33"/>
      <c r="E1563" s="34"/>
      <c r="F1563" s="34"/>
      <c r="G1563" s="35"/>
      <c r="H1563" s="34"/>
      <c r="I1563" s="37"/>
    </row>
    <row r="1564" ht="22.5" customHeight="1">
      <c r="A1564" s="30"/>
      <c r="B1564" s="39"/>
      <c r="C1564" s="32"/>
      <c r="D1564" s="33"/>
      <c r="E1564" s="34"/>
      <c r="F1564" s="34"/>
      <c r="G1564" s="35"/>
      <c r="H1564" s="34"/>
      <c r="I1564" s="37"/>
    </row>
    <row r="1565" ht="22.5" customHeight="1">
      <c r="A1565" s="30"/>
      <c r="B1565" s="39"/>
      <c r="C1565" s="32"/>
      <c r="D1565" s="33"/>
      <c r="E1565" s="34"/>
      <c r="F1565" s="34"/>
      <c r="G1565" s="35"/>
      <c r="H1565" s="34"/>
      <c r="I1565" s="37"/>
    </row>
    <row r="1566" ht="22.5" customHeight="1">
      <c r="A1566" s="30"/>
      <c r="B1566" s="40"/>
      <c r="C1566" s="32"/>
      <c r="D1566" s="33"/>
      <c r="E1566" s="34"/>
      <c r="F1566" s="34"/>
      <c r="G1566" s="35"/>
      <c r="H1566" s="34"/>
      <c r="I1566" s="37"/>
    </row>
    <row r="1567" ht="22.5" customHeight="1">
      <c r="A1567" s="30"/>
      <c r="B1567" s="31"/>
      <c r="C1567" s="32"/>
      <c r="D1567" s="33"/>
      <c r="E1567" s="34"/>
      <c r="F1567" s="34"/>
      <c r="G1567" s="35"/>
      <c r="H1567" s="34"/>
      <c r="I1567" s="37"/>
    </row>
    <row r="1568" ht="22.5" customHeight="1">
      <c r="A1568" s="30"/>
      <c r="B1568" s="31"/>
      <c r="C1568" s="32"/>
      <c r="D1568" s="33"/>
      <c r="E1568" s="34"/>
      <c r="F1568" s="34"/>
      <c r="G1568" s="35"/>
      <c r="H1568" s="34"/>
      <c r="I1568" s="37"/>
    </row>
    <row r="1569" ht="22.5" customHeight="1">
      <c r="A1569" s="30"/>
      <c r="B1569" s="31"/>
      <c r="C1569" s="32"/>
      <c r="D1569" s="33"/>
      <c r="E1569" s="34"/>
      <c r="F1569" s="34"/>
      <c r="G1569" s="35"/>
      <c r="H1569" s="34"/>
      <c r="I1569" s="37"/>
    </row>
    <row r="1570" ht="22.5" customHeight="1">
      <c r="A1570" s="30"/>
      <c r="B1570" s="31"/>
      <c r="C1570" s="32"/>
      <c r="D1570" s="33"/>
      <c r="E1570" s="34"/>
      <c r="F1570" s="34"/>
      <c r="G1570" s="35"/>
      <c r="H1570" s="34"/>
      <c r="I1570" s="37"/>
    </row>
    <row r="1571" ht="22.5" customHeight="1">
      <c r="A1571" s="30"/>
      <c r="B1571" s="31"/>
      <c r="C1571" s="32"/>
      <c r="D1571" s="33"/>
      <c r="E1571" s="34"/>
      <c r="F1571" s="34"/>
      <c r="G1571" s="35"/>
      <c r="H1571" s="34"/>
      <c r="I1571" s="37"/>
    </row>
    <row r="1572" ht="22.5" customHeight="1">
      <c r="A1572" s="30"/>
      <c r="B1572" s="31"/>
      <c r="C1572" s="32"/>
      <c r="D1572" s="33"/>
      <c r="E1572" s="34"/>
      <c r="F1572" s="34"/>
      <c r="G1572" s="35"/>
      <c r="H1572" s="34"/>
      <c r="I1572" s="37"/>
    </row>
    <row r="1573" ht="22.5" customHeight="1">
      <c r="A1573" s="30"/>
      <c r="B1573" s="31"/>
      <c r="C1573" s="32"/>
      <c r="D1573" s="33"/>
      <c r="E1573" s="34"/>
      <c r="F1573" s="34"/>
      <c r="G1573" s="35"/>
      <c r="H1573" s="34"/>
      <c r="I1573" s="37"/>
    </row>
    <row r="1574" ht="22.5" customHeight="1">
      <c r="A1574" s="30"/>
      <c r="B1574" s="31"/>
      <c r="C1574" s="32"/>
      <c r="D1574" s="33"/>
      <c r="E1574" s="34"/>
      <c r="F1574" s="34"/>
      <c r="G1574" s="35"/>
      <c r="H1574" s="34"/>
      <c r="I1574" s="37"/>
    </row>
    <row r="1575" ht="22.5" customHeight="1">
      <c r="A1575" s="30"/>
      <c r="B1575" s="31"/>
      <c r="C1575" s="32"/>
      <c r="D1575" s="33"/>
      <c r="E1575" s="34"/>
      <c r="F1575" s="34"/>
      <c r="G1575" s="35"/>
      <c r="H1575" s="34"/>
      <c r="I1575" s="37"/>
    </row>
    <row r="1576" ht="22.5" customHeight="1">
      <c r="A1576" s="30"/>
      <c r="B1576" s="40"/>
      <c r="C1576" s="32"/>
      <c r="D1576" s="33"/>
      <c r="E1576" s="34"/>
      <c r="F1576" s="34"/>
      <c r="G1576" s="35"/>
      <c r="H1576" s="34"/>
      <c r="I1576" s="37"/>
    </row>
    <row r="1577" ht="22.5" customHeight="1">
      <c r="A1577" s="30"/>
      <c r="B1577" s="31"/>
      <c r="C1577" s="32"/>
      <c r="D1577" s="33"/>
      <c r="E1577" s="34"/>
      <c r="F1577" s="34"/>
      <c r="G1577" s="35"/>
      <c r="H1577" s="34"/>
      <c r="I1577" s="37"/>
    </row>
    <row r="1578" ht="22.5" customHeight="1">
      <c r="A1578" s="30"/>
      <c r="B1578" s="31"/>
      <c r="C1578" s="32"/>
      <c r="D1578" s="33"/>
      <c r="E1578" s="34"/>
      <c r="F1578" s="34"/>
      <c r="G1578" s="35"/>
      <c r="H1578" s="34"/>
      <c r="I1578" s="37"/>
    </row>
    <row r="1579" ht="22.5" customHeight="1">
      <c r="A1579" s="30"/>
      <c r="B1579" s="31"/>
      <c r="C1579" s="32"/>
      <c r="D1579" s="33"/>
      <c r="E1579" s="34"/>
      <c r="F1579" s="34"/>
      <c r="G1579" s="35"/>
      <c r="H1579" s="34"/>
      <c r="I1579" s="37"/>
    </row>
    <row r="1580" ht="22.5" customHeight="1">
      <c r="A1580" s="30"/>
      <c r="B1580" s="40"/>
      <c r="C1580" s="32"/>
      <c r="D1580" s="33"/>
      <c r="E1580" s="34"/>
      <c r="F1580" s="34"/>
      <c r="G1580" s="35"/>
      <c r="H1580" s="34"/>
      <c r="I1580" s="37"/>
    </row>
    <row r="1581" ht="22.5" customHeight="1">
      <c r="A1581" s="30"/>
      <c r="B1581" s="31"/>
      <c r="C1581" s="32"/>
      <c r="D1581" s="33"/>
      <c r="E1581" s="34"/>
      <c r="F1581" s="34"/>
      <c r="G1581" s="35"/>
      <c r="H1581" s="34"/>
      <c r="I1581" s="37"/>
    </row>
    <row r="1582" ht="22.5" customHeight="1">
      <c r="A1582" s="30"/>
      <c r="B1582" s="31"/>
      <c r="C1582" s="32"/>
      <c r="D1582" s="33"/>
      <c r="E1582" s="34"/>
      <c r="F1582" s="34"/>
      <c r="G1582" s="35"/>
      <c r="H1582" s="34"/>
      <c r="I1582" s="37"/>
    </row>
    <row r="1583" ht="22.5" customHeight="1">
      <c r="A1583" s="30"/>
      <c r="B1583" s="31"/>
      <c r="C1583" s="32"/>
      <c r="D1583" s="33"/>
      <c r="E1583" s="34"/>
      <c r="F1583" s="34"/>
      <c r="G1583" s="35"/>
      <c r="H1583" s="34"/>
      <c r="I1583" s="37"/>
    </row>
    <row r="1584" ht="22.5" customHeight="1">
      <c r="A1584" s="30"/>
      <c r="B1584" s="31"/>
      <c r="C1584" s="32"/>
      <c r="D1584" s="33"/>
      <c r="E1584" s="34"/>
      <c r="F1584" s="34"/>
      <c r="G1584" s="35"/>
      <c r="H1584" s="34"/>
      <c r="I1584" s="37"/>
    </row>
    <row r="1585" ht="22.5" customHeight="1">
      <c r="A1585" s="30"/>
      <c r="B1585" s="31"/>
      <c r="C1585" s="32"/>
      <c r="D1585" s="33"/>
      <c r="E1585" s="34"/>
      <c r="F1585" s="34"/>
      <c r="G1585" s="35"/>
      <c r="H1585" s="34"/>
      <c r="I1585" s="37"/>
    </row>
    <row r="1586" ht="22.5" customHeight="1">
      <c r="A1586" s="30"/>
      <c r="B1586" s="31"/>
      <c r="C1586" s="32"/>
      <c r="D1586" s="33"/>
      <c r="E1586" s="34"/>
      <c r="F1586" s="34"/>
      <c r="G1586" s="35"/>
      <c r="H1586" s="34"/>
      <c r="I1586" s="37"/>
    </row>
    <row r="1587" ht="22.5" customHeight="1">
      <c r="A1587" s="30"/>
      <c r="B1587" s="31"/>
      <c r="C1587" s="32"/>
      <c r="D1587" s="33"/>
      <c r="E1587" s="34"/>
      <c r="F1587" s="34"/>
      <c r="G1587" s="35"/>
      <c r="H1587" s="34"/>
      <c r="I1587" s="37"/>
    </row>
    <row r="1588" ht="22.5" customHeight="1">
      <c r="A1588" s="30"/>
      <c r="B1588" s="31"/>
      <c r="C1588" s="32"/>
      <c r="D1588" s="33"/>
      <c r="E1588" s="34"/>
      <c r="F1588" s="34"/>
      <c r="G1588" s="35"/>
      <c r="H1588" s="34"/>
      <c r="I1588" s="37"/>
    </row>
    <row r="1589" ht="22.5" customHeight="1">
      <c r="A1589" s="30"/>
      <c r="B1589" s="31"/>
      <c r="C1589" s="32"/>
      <c r="D1589" s="33"/>
      <c r="E1589" s="34"/>
      <c r="F1589" s="34"/>
      <c r="G1589" s="35"/>
      <c r="H1589" s="34"/>
      <c r="I1589" s="37"/>
    </row>
    <row r="1590" ht="22.5" customHeight="1">
      <c r="A1590" s="30"/>
      <c r="B1590" s="31"/>
      <c r="C1590" s="32"/>
      <c r="D1590" s="33"/>
      <c r="E1590" s="34"/>
      <c r="F1590" s="34"/>
      <c r="G1590" s="35"/>
      <c r="H1590" s="34"/>
      <c r="I1590" s="37"/>
    </row>
    <row r="1591" ht="22.5" customHeight="1">
      <c r="A1591" s="30"/>
      <c r="B1591" s="31"/>
      <c r="C1591" s="32"/>
      <c r="D1591" s="33"/>
      <c r="E1591" s="34"/>
      <c r="F1591" s="34"/>
      <c r="G1591" s="35"/>
      <c r="H1591" s="34"/>
      <c r="I1591" s="37"/>
    </row>
    <row r="1592" ht="22.5" customHeight="1">
      <c r="A1592" s="30"/>
      <c r="B1592" s="31"/>
      <c r="C1592" s="32"/>
      <c r="D1592" s="33"/>
      <c r="E1592" s="34"/>
      <c r="F1592" s="34"/>
      <c r="G1592" s="35"/>
      <c r="H1592" s="34"/>
      <c r="I1592" s="37"/>
    </row>
    <row r="1593" ht="22.5" customHeight="1">
      <c r="A1593" s="30"/>
      <c r="B1593" s="31"/>
      <c r="C1593" s="32"/>
      <c r="D1593" s="33"/>
      <c r="E1593" s="34"/>
      <c r="F1593" s="34"/>
      <c r="G1593" s="35"/>
      <c r="H1593" s="34"/>
      <c r="I1593" s="37"/>
    </row>
    <row r="1594" ht="22.5" customHeight="1">
      <c r="A1594" s="30"/>
      <c r="B1594" s="31"/>
      <c r="C1594" s="32"/>
      <c r="D1594" s="33"/>
      <c r="E1594" s="34"/>
      <c r="F1594" s="34"/>
      <c r="G1594" s="35"/>
      <c r="H1594" s="34"/>
      <c r="I1594" s="37"/>
    </row>
    <row r="1595" ht="22.5" customHeight="1">
      <c r="A1595" s="30"/>
      <c r="B1595" s="40"/>
      <c r="C1595" s="32"/>
      <c r="D1595" s="33"/>
      <c r="E1595" s="34"/>
      <c r="F1595" s="34"/>
      <c r="G1595" s="35"/>
      <c r="H1595" s="34"/>
      <c r="I1595" s="37"/>
    </row>
    <row r="1596" ht="22.5" customHeight="1">
      <c r="A1596" s="30"/>
      <c r="B1596" s="31"/>
      <c r="C1596" s="32"/>
      <c r="D1596" s="33"/>
      <c r="E1596" s="34"/>
      <c r="F1596" s="34"/>
      <c r="G1596" s="35"/>
      <c r="H1596" s="34"/>
      <c r="I1596" s="37"/>
    </row>
    <row r="1597" ht="22.5" customHeight="1">
      <c r="A1597" s="30"/>
      <c r="B1597" s="40"/>
      <c r="C1597" s="32"/>
      <c r="D1597" s="33"/>
      <c r="E1597" s="34"/>
      <c r="F1597" s="34"/>
      <c r="G1597" s="35"/>
      <c r="H1597" s="34"/>
      <c r="I1597" s="37"/>
    </row>
    <row r="1598" ht="22.5" customHeight="1">
      <c r="A1598" s="30"/>
      <c r="B1598" s="31"/>
      <c r="C1598" s="32"/>
      <c r="D1598" s="33"/>
      <c r="E1598" s="34"/>
      <c r="F1598" s="34"/>
      <c r="G1598" s="35"/>
      <c r="H1598" s="34"/>
      <c r="I1598" s="37"/>
    </row>
    <row r="1599" ht="22.5" customHeight="1">
      <c r="A1599" s="30"/>
      <c r="B1599" s="31"/>
      <c r="C1599" s="32"/>
      <c r="D1599" s="33"/>
      <c r="E1599" s="34"/>
      <c r="F1599" s="34"/>
      <c r="G1599" s="35"/>
      <c r="H1599" s="34"/>
      <c r="I1599" s="37"/>
    </row>
    <row r="1600" ht="22.5" customHeight="1">
      <c r="A1600" s="30"/>
      <c r="B1600" s="31"/>
      <c r="C1600" s="32"/>
      <c r="D1600" s="33"/>
      <c r="E1600" s="34"/>
      <c r="F1600" s="34"/>
      <c r="G1600" s="35"/>
      <c r="H1600" s="34"/>
      <c r="I1600" s="37"/>
    </row>
    <row r="1601" ht="22.5" customHeight="1">
      <c r="A1601" s="30"/>
      <c r="B1601" s="31"/>
      <c r="C1601" s="32"/>
      <c r="D1601" s="33"/>
      <c r="E1601" s="34"/>
      <c r="F1601" s="34"/>
      <c r="G1601" s="35"/>
      <c r="H1601" s="34"/>
      <c r="I1601" s="37"/>
    </row>
    <row r="1602" ht="22.5" customHeight="1">
      <c r="A1602" s="30"/>
      <c r="B1602" s="40"/>
      <c r="C1602" s="32"/>
      <c r="D1602" s="33"/>
      <c r="E1602" s="34"/>
      <c r="F1602" s="34"/>
      <c r="G1602" s="35"/>
      <c r="H1602" s="34"/>
      <c r="I1602" s="37"/>
    </row>
    <row r="1603" ht="22.5" customHeight="1">
      <c r="A1603" s="30"/>
      <c r="B1603" s="31"/>
      <c r="C1603" s="32"/>
      <c r="D1603" s="33"/>
      <c r="E1603" s="34"/>
      <c r="F1603" s="34"/>
      <c r="G1603" s="35"/>
      <c r="H1603" s="34"/>
      <c r="I1603" s="37"/>
    </row>
    <row r="1604" ht="22.5" customHeight="1">
      <c r="A1604" s="30"/>
      <c r="B1604" s="31"/>
      <c r="C1604" s="32"/>
      <c r="D1604" s="33"/>
      <c r="E1604" s="34"/>
      <c r="F1604" s="34"/>
      <c r="G1604" s="35"/>
      <c r="H1604" s="34"/>
      <c r="I1604" s="37"/>
    </row>
    <row r="1605" ht="22.5" customHeight="1">
      <c r="A1605" s="30"/>
      <c r="B1605" s="31"/>
      <c r="C1605" s="32"/>
      <c r="D1605" s="33"/>
      <c r="E1605" s="34"/>
      <c r="F1605" s="34"/>
      <c r="G1605" s="35"/>
      <c r="H1605" s="34"/>
      <c r="I1605" s="37"/>
    </row>
    <row r="1606" ht="22.5" customHeight="1">
      <c r="A1606" s="30"/>
      <c r="B1606" s="31"/>
      <c r="C1606" s="32"/>
      <c r="D1606" s="33"/>
      <c r="E1606" s="34"/>
      <c r="F1606" s="34"/>
      <c r="G1606" s="35"/>
      <c r="H1606" s="34"/>
      <c r="I1606" s="37"/>
    </row>
    <row r="1607" ht="22.5" customHeight="1">
      <c r="A1607" s="30"/>
      <c r="B1607" s="31"/>
      <c r="C1607" s="32"/>
      <c r="D1607" s="33"/>
      <c r="E1607" s="34"/>
      <c r="F1607" s="34"/>
      <c r="G1607" s="35"/>
      <c r="H1607" s="34"/>
      <c r="I1607" s="37"/>
    </row>
    <row r="1608" ht="22.5" customHeight="1">
      <c r="A1608" s="30"/>
      <c r="B1608" s="31"/>
      <c r="C1608" s="32"/>
      <c r="D1608" s="33"/>
      <c r="E1608" s="34"/>
      <c r="F1608" s="34"/>
      <c r="G1608" s="35"/>
      <c r="H1608" s="34"/>
      <c r="I1608" s="37"/>
    </row>
    <row r="1609" ht="22.5" customHeight="1">
      <c r="A1609" s="30"/>
      <c r="B1609" s="31"/>
      <c r="C1609" s="32"/>
      <c r="D1609" s="33"/>
      <c r="E1609" s="34"/>
      <c r="F1609" s="34"/>
      <c r="G1609" s="35"/>
      <c r="H1609" s="34"/>
      <c r="I1609" s="37"/>
    </row>
    <row r="1610" ht="22.5" customHeight="1">
      <c r="A1610" s="30"/>
      <c r="B1610" s="31"/>
      <c r="C1610" s="32"/>
      <c r="D1610" s="33"/>
      <c r="E1610" s="34"/>
      <c r="F1610" s="34"/>
      <c r="G1610" s="35"/>
      <c r="H1610" s="34"/>
      <c r="I1610" s="37"/>
    </row>
    <row r="1611" ht="22.5" customHeight="1">
      <c r="A1611" s="30"/>
      <c r="B1611" s="31"/>
      <c r="C1611" s="32"/>
      <c r="D1611" s="33"/>
      <c r="E1611" s="34"/>
      <c r="F1611" s="34"/>
      <c r="G1611" s="35"/>
      <c r="H1611" s="34"/>
      <c r="I1611" s="37"/>
    </row>
    <row r="1612" ht="22.5" customHeight="1">
      <c r="A1612" s="30"/>
      <c r="B1612" s="31"/>
      <c r="C1612" s="32"/>
      <c r="D1612" s="33"/>
      <c r="E1612" s="34"/>
      <c r="F1612" s="34"/>
      <c r="G1612" s="35"/>
      <c r="H1612" s="34"/>
      <c r="I1612" s="37"/>
    </row>
    <row r="1613" ht="22.5" customHeight="1">
      <c r="A1613" s="30"/>
      <c r="B1613" s="31"/>
      <c r="C1613" s="32"/>
      <c r="D1613" s="33"/>
      <c r="E1613" s="34"/>
      <c r="F1613" s="34"/>
      <c r="G1613" s="35"/>
      <c r="H1613" s="34"/>
      <c r="I1613" s="37"/>
    </row>
    <row r="1614" ht="22.5" customHeight="1">
      <c r="A1614" s="30"/>
      <c r="B1614" s="31"/>
      <c r="C1614" s="32"/>
      <c r="D1614" s="33"/>
      <c r="E1614" s="34"/>
      <c r="F1614" s="34"/>
      <c r="G1614" s="35"/>
      <c r="H1614" s="34"/>
      <c r="I1614" s="37"/>
    </row>
    <row r="1615" ht="22.5" customHeight="1">
      <c r="A1615" s="30"/>
      <c r="B1615" s="31"/>
      <c r="C1615" s="32"/>
      <c r="D1615" s="33"/>
      <c r="E1615" s="34"/>
      <c r="F1615" s="34"/>
      <c r="G1615" s="35"/>
      <c r="H1615" s="34"/>
      <c r="I1615" s="37"/>
    </row>
    <row r="1616" ht="22.5" customHeight="1">
      <c r="A1616" s="30"/>
      <c r="B1616" s="31"/>
      <c r="C1616" s="32"/>
      <c r="D1616" s="33"/>
      <c r="E1616" s="34"/>
      <c r="F1616" s="34"/>
      <c r="G1616" s="35"/>
      <c r="H1616" s="34"/>
      <c r="I1616" s="37"/>
    </row>
    <row r="1617" ht="22.5" customHeight="1">
      <c r="A1617" s="30"/>
      <c r="B1617" s="31"/>
      <c r="C1617" s="32"/>
      <c r="D1617" s="33"/>
      <c r="E1617" s="34"/>
      <c r="F1617" s="34"/>
      <c r="G1617" s="35"/>
      <c r="H1617" s="34"/>
      <c r="I1617" s="37"/>
    </row>
    <row r="1618" ht="22.5" customHeight="1">
      <c r="A1618" s="30"/>
      <c r="B1618" s="31"/>
      <c r="C1618" s="32"/>
      <c r="D1618" s="33"/>
      <c r="E1618" s="34"/>
      <c r="F1618" s="34"/>
      <c r="G1618" s="35"/>
      <c r="H1618" s="34"/>
      <c r="I1618" s="37"/>
    </row>
    <row r="1619" ht="22.5" customHeight="1">
      <c r="A1619" s="30"/>
      <c r="B1619" s="31"/>
      <c r="C1619" s="32"/>
      <c r="D1619" s="33"/>
      <c r="E1619" s="34"/>
      <c r="F1619" s="34"/>
      <c r="G1619" s="35"/>
      <c r="H1619" s="34"/>
      <c r="I1619" s="37"/>
    </row>
    <row r="1620" ht="22.5" customHeight="1">
      <c r="A1620" s="30"/>
      <c r="B1620" s="31"/>
      <c r="C1620" s="32"/>
      <c r="D1620" s="33"/>
      <c r="E1620" s="34"/>
      <c r="F1620" s="34"/>
      <c r="G1620" s="35"/>
      <c r="H1620" s="34"/>
      <c r="I1620" s="37"/>
    </row>
    <row r="1621" ht="22.5" customHeight="1">
      <c r="A1621" s="30"/>
      <c r="B1621" s="31"/>
      <c r="C1621" s="32"/>
      <c r="D1621" s="33"/>
      <c r="E1621" s="34"/>
      <c r="F1621" s="34"/>
      <c r="G1621" s="35"/>
      <c r="H1621" s="34"/>
      <c r="I1621" s="37"/>
    </row>
    <row r="1622" ht="22.5" customHeight="1">
      <c r="A1622" s="30"/>
      <c r="B1622" s="31"/>
      <c r="C1622" s="32"/>
      <c r="D1622" s="33"/>
      <c r="E1622" s="34"/>
      <c r="F1622" s="34"/>
      <c r="G1622" s="35"/>
      <c r="H1622" s="34"/>
      <c r="I1622" s="37"/>
    </row>
    <row r="1623" ht="22.5" customHeight="1">
      <c r="A1623" s="30"/>
      <c r="B1623" s="31"/>
      <c r="C1623" s="32"/>
      <c r="D1623" s="33"/>
      <c r="E1623" s="34"/>
      <c r="F1623" s="34"/>
      <c r="G1623" s="35"/>
      <c r="H1623" s="34"/>
      <c r="I1623" s="37"/>
    </row>
    <row r="1624" ht="22.5" customHeight="1">
      <c r="A1624" s="30"/>
      <c r="B1624" s="31"/>
      <c r="C1624" s="30"/>
      <c r="D1624" s="33"/>
      <c r="E1624" s="34"/>
      <c r="F1624" s="34"/>
      <c r="G1624" s="36"/>
      <c r="H1624" s="34"/>
      <c r="I1624" s="37"/>
    </row>
    <row r="1625" ht="22.5" customHeight="1">
      <c r="A1625" s="30"/>
      <c r="B1625" s="31"/>
      <c r="C1625" s="30"/>
      <c r="D1625" s="33"/>
      <c r="E1625" s="34"/>
      <c r="F1625" s="34"/>
      <c r="G1625" s="36"/>
      <c r="H1625" s="34"/>
      <c r="I1625" s="37"/>
    </row>
    <row r="1626" ht="22.5" customHeight="1">
      <c r="A1626" s="30"/>
      <c r="B1626" s="31"/>
      <c r="C1626" s="30"/>
      <c r="D1626" s="33"/>
      <c r="E1626" s="34"/>
      <c r="F1626" s="34"/>
      <c r="G1626" s="36"/>
      <c r="H1626" s="34"/>
      <c r="I1626" s="37"/>
    </row>
    <row r="1627" ht="22.5" customHeight="1">
      <c r="A1627" s="30"/>
      <c r="B1627" s="31"/>
      <c r="C1627" s="30"/>
      <c r="D1627" s="33"/>
      <c r="E1627" s="34"/>
      <c r="F1627" s="34"/>
      <c r="G1627" s="36"/>
      <c r="H1627" s="34"/>
      <c r="I1627" s="37"/>
    </row>
    <row r="1628" ht="22.5" customHeight="1">
      <c r="A1628" s="30"/>
      <c r="B1628" s="31"/>
      <c r="C1628" s="30"/>
      <c r="D1628" s="33"/>
      <c r="E1628" s="34"/>
      <c r="F1628" s="34"/>
      <c r="G1628" s="36"/>
      <c r="H1628" s="34"/>
      <c r="I1628" s="37"/>
    </row>
    <row r="1629" ht="22.5" customHeight="1">
      <c r="A1629" s="30"/>
      <c r="B1629" s="31"/>
      <c r="C1629" s="30"/>
      <c r="D1629" s="33"/>
      <c r="E1629" s="34"/>
      <c r="F1629" s="34"/>
      <c r="G1629" s="36"/>
      <c r="H1629" s="34"/>
      <c r="I1629" s="37"/>
    </row>
    <row r="1630" ht="22.5" customHeight="1">
      <c r="A1630" s="30"/>
      <c r="B1630" s="31"/>
      <c r="C1630" s="30"/>
      <c r="D1630" s="33"/>
      <c r="E1630" s="34"/>
      <c r="F1630" s="34"/>
      <c r="G1630" s="36"/>
      <c r="H1630" s="34"/>
      <c r="I1630" s="37"/>
    </row>
    <row r="1631" ht="22.5" customHeight="1">
      <c r="A1631" s="30"/>
      <c r="B1631" s="31"/>
      <c r="C1631" s="30"/>
      <c r="D1631" s="33"/>
      <c r="E1631" s="34"/>
      <c r="F1631" s="34"/>
      <c r="G1631" s="36"/>
      <c r="H1631" s="34"/>
      <c r="I1631" s="37"/>
    </row>
    <row r="1632" ht="22.5" customHeight="1">
      <c r="A1632" s="30"/>
      <c r="B1632" s="31"/>
      <c r="C1632" s="30"/>
      <c r="D1632" s="33"/>
      <c r="E1632" s="34"/>
      <c r="F1632" s="34"/>
      <c r="G1632" s="36"/>
      <c r="H1632" s="34"/>
      <c r="I1632" s="37"/>
    </row>
    <row r="1633" ht="22.5" customHeight="1">
      <c r="A1633" s="30"/>
      <c r="B1633" s="31"/>
      <c r="C1633" s="30"/>
      <c r="D1633" s="33"/>
      <c r="E1633" s="34"/>
      <c r="F1633" s="34"/>
      <c r="G1633" s="36"/>
      <c r="H1633" s="34"/>
      <c r="I1633" s="37"/>
    </row>
    <row r="1634" ht="22.5" customHeight="1">
      <c r="A1634" s="30"/>
      <c r="B1634" s="31"/>
      <c r="C1634" s="30"/>
      <c r="D1634" s="33"/>
      <c r="E1634" s="34"/>
      <c r="F1634" s="34"/>
      <c r="G1634" s="36"/>
      <c r="H1634" s="34"/>
      <c r="I1634" s="37"/>
    </row>
    <row r="1635" ht="22.5" customHeight="1">
      <c r="A1635" s="30"/>
      <c r="B1635" s="31"/>
      <c r="C1635" s="30"/>
      <c r="D1635" s="33"/>
      <c r="E1635" s="34"/>
      <c r="F1635" s="34"/>
      <c r="G1635" s="36"/>
      <c r="H1635" s="34"/>
      <c r="I1635" s="37"/>
    </row>
    <row r="1636" ht="22.5" customHeight="1">
      <c r="A1636" s="30"/>
      <c r="B1636" s="31"/>
      <c r="C1636" s="30"/>
      <c r="D1636" s="33"/>
      <c r="E1636" s="34"/>
      <c r="F1636" s="34"/>
      <c r="G1636" s="36"/>
      <c r="H1636" s="34"/>
      <c r="I1636" s="37"/>
    </row>
    <row r="1637" ht="22.5" customHeight="1">
      <c r="A1637" s="30"/>
      <c r="B1637" s="31"/>
      <c r="C1637" s="30"/>
      <c r="D1637" s="33"/>
      <c r="E1637" s="34"/>
      <c r="F1637" s="34"/>
      <c r="G1637" s="36"/>
      <c r="H1637" s="34"/>
      <c r="I1637" s="37"/>
    </row>
    <row r="1638" ht="22.5" customHeight="1">
      <c r="A1638" s="30"/>
      <c r="B1638" s="31"/>
      <c r="C1638" s="30"/>
      <c r="D1638" s="33"/>
      <c r="E1638" s="34"/>
      <c r="F1638" s="34"/>
      <c r="G1638" s="36"/>
      <c r="H1638" s="34"/>
      <c r="I1638" s="37"/>
    </row>
    <row r="1639" ht="22.5" customHeight="1">
      <c r="A1639" s="30"/>
      <c r="B1639" s="31"/>
      <c r="C1639" s="30"/>
      <c r="D1639" s="33"/>
      <c r="E1639" s="34"/>
      <c r="F1639" s="34"/>
      <c r="G1639" s="36"/>
      <c r="H1639" s="34"/>
      <c r="I1639" s="37"/>
    </row>
    <row r="1640" ht="22.5" customHeight="1">
      <c r="A1640" s="30"/>
      <c r="B1640" s="31"/>
      <c r="C1640" s="30"/>
      <c r="D1640" s="33"/>
      <c r="E1640" s="34"/>
      <c r="F1640" s="34"/>
      <c r="G1640" s="36"/>
      <c r="H1640" s="34"/>
      <c r="I1640" s="37"/>
    </row>
    <row r="1641" ht="22.5" customHeight="1">
      <c r="A1641" s="30"/>
      <c r="B1641" s="31"/>
      <c r="C1641" s="30"/>
      <c r="D1641" s="33"/>
      <c r="E1641" s="34"/>
      <c r="F1641" s="34"/>
      <c r="G1641" s="36"/>
      <c r="H1641" s="34"/>
      <c r="I1641" s="37"/>
    </row>
    <row r="1642" ht="22.5" customHeight="1">
      <c r="A1642" s="30"/>
      <c r="B1642" s="31"/>
      <c r="C1642" s="30"/>
      <c r="D1642" s="33"/>
      <c r="E1642" s="34"/>
      <c r="F1642" s="34"/>
      <c r="G1642" s="36"/>
      <c r="H1642" s="34"/>
      <c r="I1642" s="37"/>
    </row>
    <row r="1643" ht="22.5" customHeight="1">
      <c r="A1643" s="30"/>
      <c r="B1643" s="31"/>
      <c r="C1643" s="30"/>
      <c r="D1643" s="33"/>
      <c r="E1643" s="34"/>
      <c r="F1643" s="34"/>
      <c r="G1643" s="36"/>
      <c r="H1643" s="34"/>
      <c r="I1643" s="37"/>
    </row>
    <row r="1644" ht="22.5" customHeight="1">
      <c r="A1644" s="30"/>
      <c r="B1644" s="31"/>
      <c r="C1644" s="30"/>
      <c r="D1644" s="33"/>
      <c r="E1644" s="34"/>
      <c r="F1644" s="34"/>
      <c r="G1644" s="36"/>
      <c r="H1644" s="34"/>
      <c r="I1644" s="37"/>
    </row>
    <row r="1645" ht="22.5" customHeight="1">
      <c r="A1645" s="30"/>
      <c r="B1645" s="31"/>
      <c r="C1645" s="30"/>
      <c r="D1645" s="33"/>
      <c r="E1645" s="34"/>
      <c r="F1645" s="34"/>
      <c r="G1645" s="36"/>
      <c r="H1645" s="34"/>
      <c r="I1645" s="37"/>
    </row>
    <row r="1646" ht="22.5" customHeight="1">
      <c r="A1646" s="30"/>
      <c r="B1646" s="31"/>
      <c r="C1646" s="30"/>
      <c r="D1646" s="33"/>
      <c r="E1646" s="34"/>
      <c r="F1646" s="34"/>
      <c r="G1646" s="36"/>
      <c r="H1646" s="34"/>
      <c r="I1646" s="37"/>
    </row>
    <row r="1647" ht="22.5" customHeight="1">
      <c r="A1647" s="30"/>
      <c r="B1647" s="31"/>
      <c r="C1647" s="30"/>
      <c r="D1647" s="33"/>
      <c r="E1647" s="34"/>
      <c r="F1647" s="34"/>
      <c r="G1647" s="36"/>
      <c r="H1647" s="34"/>
      <c r="I1647" s="37"/>
    </row>
    <row r="1648" ht="22.5" customHeight="1">
      <c r="A1648" s="30"/>
      <c r="B1648" s="31"/>
      <c r="C1648" s="30"/>
      <c r="D1648" s="33"/>
      <c r="E1648" s="34"/>
      <c r="F1648" s="34"/>
      <c r="G1648" s="36"/>
      <c r="H1648" s="34"/>
      <c r="I1648" s="37"/>
    </row>
    <row r="1649" ht="22.5" customHeight="1">
      <c r="A1649" s="30"/>
      <c r="B1649" s="31"/>
      <c r="C1649" s="30"/>
      <c r="D1649" s="33"/>
      <c r="E1649" s="34"/>
      <c r="F1649" s="34"/>
      <c r="G1649" s="36"/>
      <c r="H1649" s="34"/>
      <c r="I1649" s="37"/>
    </row>
    <row r="1650" ht="22.5" customHeight="1">
      <c r="A1650" s="30"/>
      <c r="B1650" s="31"/>
      <c r="C1650" s="30"/>
      <c r="D1650" s="33"/>
      <c r="E1650" s="34"/>
      <c r="F1650" s="34"/>
      <c r="G1650" s="36"/>
      <c r="H1650" s="34"/>
      <c r="I1650" s="37"/>
    </row>
    <row r="1651" ht="22.5" customHeight="1">
      <c r="A1651" s="30"/>
      <c r="B1651" s="31"/>
      <c r="C1651" s="30"/>
      <c r="D1651" s="33"/>
      <c r="E1651" s="34"/>
      <c r="F1651" s="34"/>
      <c r="G1651" s="36"/>
      <c r="H1651" s="34"/>
      <c r="I1651" s="37"/>
    </row>
    <row r="1652" ht="22.5" customHeight="1">
      <c r="A1652" s="30"/>
      <c r="B1652" s="31"/>
      <c r="C1652" s="30"/>
      <c r="D1652" s="33"/>
      <c r="E1652" s="34"/>
      <c r="F1652" s="34"/>
      <c r="G1652" s="36"/>
      <c r="H1652" s="34"/>
      <c r="I1652" s="37"/>
    </row>
    <row r="1653" ht="22.5" customHeight="1">
      <c r="A1653" s="30"/>
      <c r="B1653" s="31"/>
      <c r="C1653" s="30"/>
      <c r="D1653" s="33"/>
      <c r="E1653" s="34"/>
      <c r="F1653" s="34"/>
      <c r="G1653" s="36"/>
      <c r="H1653" s="34"/>
      <c r="I1653" s="37"/>
    </row>
    <row r="1654" ht="22.5" customHeight="1">
      <c r="A1654" s="30"/>
      <c r="B1654" s="31"/>
      <c r="C1654" s="30"/>
      <c r="D1654" s="33"/>
      <c r="E1654" s="34"/>
      <c r="F1654" s="34"/>
      <c r="G1654" s="36"/>
      <c r="H1654" s="34"/>
      <c r="I1654" s="37"/>
    </row>
    <row r="1655" ht="22.5" customHeight="1">
      <c r="A1655" s="30"/>
      <c r="B1655" s="31"/>
      <c r="C1655" s="30"/>
      <c r="D1655" s="33"/>
      <c r="E1655" s="34"/>
      <c r="F1655" s="34"/>
      <c r="G1655" s="36"/>
      <c r="H1655" s="34"/>
      <c r="I1655" s="37"/>
    </row>
    <row r="1656" ht="22.5" customHeight="1">
      <c r="A1656" s="30"/>
      <c r="B1656" s="31"/>
      <c r="C1656" s="30"/>
      <c r="D1656" s="33"/>
      <c r="E1656" s="34"/>
      <c r="F1656" s="34"/>
      <c r="G1656" s="36"/>
      <c r="H1656" s="34"/>
      <c r="I1656" s="37"/>
    </row>
    <row r="1657" ht="22.5" customHeight="1">
      <c r="A1657" s="30"/>
      <c r="B1657" s="31"/>
      <c r="C1657" s="30"/>
      <c r="D1657" s="33"/>
      <c r="E1657" s="34"/>
      <c r="F1657" s="34"/>
      <c r="G1657" s="36"/>
      <c r="H1657" s="34"/>
      <c r="I1657" s="37"/>
    </row>
    <row r="1658" ht="22.5" customHeight="1">
      <c r="A1658" s="30"/>
      <c r="B1658" s="31"/>
      <c r="C1658" s="30"/>
      <c r="D1658" s="33"/>
      <c r="E1658" s="34"/>
      <c r="F1658" s="34"/>
      <c r="G1658" s="36"/>
      <c r="H1658" s="34"/>
      <c r="I1658" s="37"/>
    </row>
    <row r="1659" ht="22.5" customHeight="1">
      <c r="A1659" s="30"/>
      <c r="B1659" s="31"/>
      <c r="C1659" s="30"/>
      <c r="D1659" s="33"/>
      <c r="E1659" s="34"/>
      <c r="F1659" s="34"/>
      <c r="G1659" s="36"/>
      <c r="H1659" s="34"/>
      <c r="I1659" s="37"/>
    </row>
    <row r="1660" ht="22.5" customHeight="1">
      <c r="A1660" s="30"/>
      <c r="B1660" s="31"/>
      <c r="C1660" s="30"/>
      <c r="D1660" s="33"/>
      <c r="E1660" s="34"/>
      <c r="F1660" s="34"/>
      <c r="G1660" s="36"/>
      <c r="H1660" s="34"/>
      <c r="I1660" s="37"/>
    </row>
    <row r="1661" ht="22.5" customHeight="1">
      <c r="A1661" s="30"/>
      <c r="B1661" s="31"/>
      <c r="C1661" s="30"/>
      <c r="D1661" s="33"/>
      <c r="E1661" s="34"/>
      <c r="F1661" s="34"/>
      <c r="G1661" s="36"/>
      <c r="H1661" s="34"/>
      <c r="I1661" s="37"/>
    </row>
    <row r="1662" ht="22.5" customHeight="1">
      <c r="A1662" s="30"/>
      <c r="B1662" s="31"/>
      <c r="C1662" s="30"/>
      <c r="D1662" s="33"/>
      <c r="E1662" s="34"/>
      <c r="F1662" s="34"/>
      <c r="G1662" s="36"/>
      <c r="H1662" s="34"/>
      <c r="I1662" s="37"/>
    </row>
    <row r="1663" ht="22.5" customHeight="1">
      <c r="A1663" s="30"/>
      <c r="B1663" s="31"/>
      <c r="C1663" s="30"/>
      <c r="D1663" s="33"/>
      <c r="E1663" s="34"/>
      <c r="F1663" s="34"/>
      <c r="G1663" s="36"/>
      <c r="H1663" s="34"/>
      <c r="I1663" s="37"/>
    </row>
    <row r="1664" ht="22.5" customHeight="1">
      <c r="A1664" s="30"/>
      <c r="B1664" s="31"/>
      <c r="C1664" s="30"/>
      <c r="D1664" s="33"/>
      <c r="E1664" s="34"/>
      <c r="F1664" s="34"/>
      <c r="G1664" s="36"/>
      <c r="H1664" s="34"/>
      <c r="I1664" s="37"/>
    </row>
    <row r="1665" ht="22.5" customHeight="1">
      <c r="A1665" s="30"/>
      <c r="B1665" s="31"/>
      <c r="C1665" s="30"/>
      <c r="D1665" s="33"/>
      <c r="E1665" s="34"/>
      <c r="F1665" s="34"/>
      <c r="G1665" s="36"/>
      <c r="H1665" s="34"/>
      <c r="I1665" s="37"/>
    </row>
    <row r="1666" ht="22.5" customHeight="1">
      <c r="A1666" s="30"/>
      <c r="B1666" s="31"/>
      <c r="C1666" s="30"/>
      <c r="D1666" s="33"/>
      <c r="E1666" s="34"/>
      <c r="F1666" s="34"/>
      <c r="G1666" s="36"/>
      <c r="H1666" s="34"/>
      <c r="I1666" s="37"/>
    </row>
    <row r="1667" ht="22.5" customHeight="1">
      <c r="A1667" s="30"/>
      <c r="B1667" s="31"/>
      <c r="C1667" s="30"/>
      <c r="D1667" s="33"/>
      <c r="E1667" s="34"/>
      <c r="F1667" s="34"/>
      <c r="G1667" s="36"/>
      <c r="H1667" s="34"/>
      <c r="I1667" s="37"/>
    </row>
    <row r="1668" ht="22.5" customHeight="1">
      <c r="A1668" s="30"/>
      <c r="B1668" s="31"/>
      <c r="C1668" s="30"/>
      <c r="D1668" s="33"/>
      <c r="E1668" s="34"/>
      <c r="F1668" s="34"/>
      <c r="G1668" s="36"/>
      <c r="H1668" s="34"/>
      <c r="I1668" s="37"/>
    </row>
    <row r="1669" ht="22.5" customHeight="1">
      <c r="A1669" s="30"/>
      <c r="B1669" s="31"/>
      <c r="C1669" s="30"/>
      <c r="D1669" s="33"/>
      <c r="E1669" s="34"/>
      <c r="F1669" s="34"/>
      <c r="G1669" s="36"/>
      <c r="H1669" s="34"/>
      <c r="I1669" s="37"/>
    </row>
    <row r="1670" ht="22.5" customHeight="1">
      <c r="A1670" s="30"/>
      <c r="B1670" s="31"/>
      <c r="C1670" s="30"/>
      <c r="D1670" s="33"/>
      <c r="E1670" s="34"/>
      <c r="F1670" s="34"/>
      <c r="G1670" s="36"/>
      <c r="H1670" s="34"/>
      <c r="I1670" s="37"/>
    </row>
    <row r="1671" ht="22.5" customHeight="1">
      <c r="A1671" s="30"/>
      <c r="B1671" s="31"/>
      <c r="C1671" s="30"/>
      <c r="D1671" s="33"/>
      <c r="E1671" s="34"/>
      <c r="F1671" s="34"/>
      <c r="G1671" s="36"/>
      <c r="H1671" s="34"/>
      <c r="I1671" s="37"/>
    </row>
    <row r="1672" ht="22.5" customHeight="1">
      <c r="A1672" s="30"/>
      <c r="B1672" s="31"/>
      <c r="C1672" s="30"/>
      <c r="D1672" s="33"/>
      <c r="E1672" s="34"/>
      <c r="F1672" s="34"/>
      <c r="G1672" s="36"/>
      <c r="H1672" s="34"/>
      <c r="I1672" s="37"/>
    </row>
    <row r="1673" ht="22.5" customHeight="1">
      <c r="A1673" s="30"/>
      <c r="B1673" s="31"/>
      <c r="C1673" s="30"/>
      <c r="D1673" s="33"/>
      <c r="E1673" s="34"/>
      <c r="F1673" s="34"/>
      <c r="G1673" s="36"/>
      <c r="H1673" s="34"/>
      <c r="I1673" s="37"/>
    </row>
    <row r="1674" ht="22.5" customHeight="1">
      <c r="A1674" s="30"/>
      <c r="B1674" s="31"/>
      <c r="C1674" s="30"/>
      <c r="D1674" s="33"/>
      <c r="E1674" s="34"/>
      <c r="F1674" s="34"/>
      <c r="G1674" s="36"/>
      <c r="H1674" s="34"/>
      <c r="I1674" s="37"/>
    </row>
    <row r="1675" ht="22.5" customHeight="1">
      <c r="A1675" s="30"/>
      <c r="B1675" s="31"/>
      <c r="C1675" s="30"/>
      <c r="D1675" s="33"/>
      <c r="E1675" s="34"/>
      <c r="F1675" s="34"/>
      <c r="G1675" s="36"/>
      <c r="H1675" s="34"/>
      <c r="I1675" s="37"/>
    </row>
    <row r="1676" ht="22.5" customHeight="1">
      <c r="A1676" s="30"/>
      <c r="B1676" s="31"/>
      <c r="C1676" s="30"/>
      <c r="D1676" s="33"/>
      <c r="E1676" s="34"/>
      <c r="F1676" s="34"/>
      <c r="G1676" s="36"/>
      <c r="H1676" s="34"/>
      <c r="I1676" s="37"/>
    </row>
    <row r="1677" ht="22.5" customHeight="1">
      <c r="A1677" s="30"/>
      <c r="B1677" s="31"/>
      <c r="C1677" s="30"/>
      <c r="D1677" s="33"/>
      <c r="E1677" s="34"/>
      <c r="F1677" s="34"/>
      <c r="G1677" s="36"/>
      <c r="H1677" s="34"/>
      <c r="I1677" s="37"/>
    </row>
    <row r="1678" ht="22.5" customHeight="1">
      <c r="A1678" s="30"/>
      <c r="B1678" s="31"/>
      <c r="C1678" s="30"/>
      <c r="D1678" s="33"/>
      <c r="E1678" s="34"/>
      <c r="F1678" s="34"/>
      <c r="G1678" s="36"/>
      <c r="H1678" s="34"/>
      <c r="I1678" s="37"/>
    </row>
    <row r="1679" ht="22.5" customHeight="1">
      <c r="A1679" s="30"/>
      <c r="B1679" s="31"/>
      <c r="C1679" s="30"/>
      <c r="D1679" s="33"/>
      <c r="E1679" s="34"/>
      <c r="F1679" s="34"/>
      <c r="G1679" s="36"/>
      <c r="H1679" s="34"/>
      <c r="I1679" s="37"/>
    </row>
    <row r="1680" ht="22.5" customHeight="1">
      <c r="A1680" s="30"/>
      <c r="B1680" s="31"/>
      <c r="C1680" s="30"/>
      <c r="D1680" s="33"/>
      <c r="E1680" s="34"/>
      <c r="F1680" s="34"/>
      <c r="G1680" s="36"/>
      <c r="H1680" s="34"/>
      <c r="I1680" s="37"/>
    </row>
    <row r="1681" ht="22.5" customHeight="1">
      <c r="A1681" s="30"/>
      <c r="B1681" s="31"/>
      <c r="C1681" s="30"/>
      <c r="D1681" s="33"/>
      <c r="E1681" s="34"/>
      <c r="F1681" s="34"/>
      <c r="G1681" s="36"/>
      <c r="H1681" s="34"/>
      <c r="I1681" s="37"/>
    </row>
    <row r="1682" ht="22.5" customHeight="1">
      <c r="A1682" s="30"/>
      <c r="B1682" s="31"/>
      <c r="C1682" s="30"/>
      <c r="D1682" s="33"/>
      <c r="E1682" s="34"/>
      <c r="F1682" s="34"/>
      <c r="G1682" s="36"/>
      <c r="H1682" s="34"/>
      <c r="I1682" s="37"/>
    </row>
    <row r="1683" ht="22.5" customHeight="1">
      <c r="A1683" s="30"/>
      <c r="B1683" s="31"/>
      <c r="C1683" s="30"/>
      <c r="D1683" s="33"/>
      <c r="E1683" s="34"/>
      <c r="F1683" s="34"/>
      <c r="G1683" s="36"/>
      <c r="H1683" s="34"/>
      <c r="I1683" s="37"/>
    </row>
    <row r="1684" ht="22.5" customHeight="1">
      <c r="A1684" s="30"/>
      <c r="B1684" s="31"/>
      <c r="C1684" s="30"/>
      <c r="D1684" s="33"/>
      <c r="E1684" s="34"/>
      <c r="F1684" s="34"/>
      <c r="G1684" s="36"/>
      <c r="H1684" s="34"/>
      <c r="I1684" s="37"/>
    </row>
    <row r="1685" ht="22.5" customHeight="1">
      <c r="A1685" s="30"/>
      <c r="B1685" s="31"/>
      <c r="C1685" s="30"/>
      <c r="D1685" s="33"/>
      <c r="E1685" s="34"/>
      <c r="F1685" s="34"/>
      <c r="G1685" s="36"/>
      <c r="H1685" s="34"/>
      <c r="I1685" s="37"/>
    </row>
    <row r="1686" ht="22.5" customHeight="1">
      <c r="A1686" s="30"/>
      <c r="B1686" s="31"/>
      <c r="C1686" s="30"/>
      <c r="D1686" s="33"/>
      <c r="E1686" s="34"/>
      <c r="F1686" s="34"/>
      <c r="G1686" s="36"/>
      <c r="H1686" s="34"/>
      <c r="I1686" s="37"/>
    </row>
    <row r="1687" ht="22.5" customHeight="1">
      <c r="A1687" s="30"/>
      <c r="B1687" s="31"/>
      <c r="C1687" s="30"/>
      <c r="D1687" s="33"/>
      <c r="E1687" s="34"/>
      <c r="F1687" s="34"/>
      <c r="G1687" s="36"/>
      <c r="H1687" s="34"/>
      <c r="I1687" s="37"/>
    </row>
    <row r="1688" ht="22.5" customHeight="1">
      <c r="A1688" s="30"/>
      <c r="B1688" s="31"/>
      <c r="C1688" s="30"/>
      <c r="D1688" s="33"/>
      <c r="E1688" s="34"/>
      <c r="F1688" s="34"/>
      <c r="G1688" s="36"/>
      <c r="H1688" s="34"/>
      <c r="I1688" s="37"/>
    </row>
    <row r="1689" ht="22.5" customHeight="1">
      <c r="A1689" s="30"/>
      <c r="B1689" s="31"/>
      <c r="C1689" s="30"/>
      <c r="D1689" s="33"/>
      <c r="E1689" s="34"/>
      <c r="F1689" s="34"/>
      <c r="G1689" s="36"/>
      <c r="H1689" s="34"/>
      <c r="I1689" s="37"/>
    </row>
    <row r="1690" ht="22.5" customHeight="1">
      <c r="A1690" s="30"/>
      <c r="B1690" s="31"/>
      <c r="C1690" s="30"/>
      <c r="D1690" s="33"/>
      <c r="E1690" s="34"/>
      <c r="F1690" s="34"/>
      <c r="G1690" s="36"/>
      <c r="H1690" s="34"/>
      <c r="I1690" s="37"/>
    </row>
    <row r="1691" ht="22.5" customHeight="1">
      <c r="A1691" s="30"/>
      <c r="B1691" s="31"/>
      <c r="C1691" s="30"/>
      <c r="D1691" s="33"/>
      <c r="E1691" s="34"/>
      <c r="F1691" s="34"/>
      <c r="G1691" s="36"/>
      <c r="H1691" s="34"/>
      <c r="I1691" s="37"/>
    </row>
    <row r="1692" ht="22.5" customHeight="1">
      <c r="A1692" s="30"/>
      <c r="B1692" s="31"/>
      <c r="C1692" s="30"/>
      <c r="D1692" s="33"/>
      <c r="E1692" s="34"/>
      <c r="F1692" s="34"/>
      <c r="G1692" s="36"/>
      <c r="H1692" s="34"/>
      <c r="I1692" s="37"/>
    </row>
    <row r="1693" ht="22.5" customHeight="1">
      <c r="A1693" s="30"/>
      <c r="B1693" s="31"/>
      <c r="C1693" s="30"/>
      <c r="D1693" s="33"/>
      <c r="E1693" s="34"/>
      <c r="F1693" s="34"/>
      <c r="G1693" s="36"/>
      <c r="H1693" s="34"/>
      <c r="I1693" s="37"/>
    </row>
    <row r="1694" ht="22.5" customHeight="1">
      <c r="A1694" s="30"/>
      <c r="B1694" s="31"/>
      <c r="C1694" s="30"/>
      <c r="D1694" s="33"/>
      <c r="E1694" s="34"/>
      <c r="F1694" s="34"/>
      <c r="G1694" s="36"/>
      <c r="H1694" s="34"/>
      <c r="I1694" s="37"/>
    </row>
    <row r="1695" ht="22.5" customHeight="1">
      <c r="A1695" s="30"/>
      <c r="B1695" s="31"/>
      <c r="C1695" s="30"/>
      <c r="D1695" s="33"/>
      <c r="E1695" s="34"/>
      <c r="F1695" s="34"/>
      <c r="G1695" s="36"/>
      <c r="H1695" s="34"/>
      <c r="I1695" s="37"/>
    </row>
    <row r="1696" ht="22.5" customHeight="1">
      <c r="A1696" s="30"/>
      <c r="B1696" s="31"/>
      <c r="C1696" s="30"/>
      <c r="D1696" s="33"/>
      <c r="E1696" s="34"/>
      <c r="F1696" s="34"/>
      <c r="G1696" s="36"/>
      <c r="H1696" s="34"/>
      <c r="I1696" s="37"/>
    </row>
    <row r="1697" ht="22.5" customHeight="1">
      <c r="A1697" s="30"/>
      <c r="B1697" s="31"/>
      <c r="C1697" s="30"/>
      <c r="D1697" s="33"/>
      <c r="E1697" s="34"/>
      <c r="F1697" s="34"/>
      <c r="G1697" s="36"/>
      <c r="H1697" s="34"/>
      <c r="I1697" s="37"/>
    </row>
    <row r="1698" ht="22.5" customHeight="1">
      <c r="A1698" s="30"/>
      <c r="B1698" s="31"/>
      <c r="C1698" s="30"/>
      <c r="D1698" s="33"/>
      <c r="E1698" s="34"/>
      <c r="F1698" s="34"/>
      <c r="G1698" s="36"/>
      <c r="H1698" s="34"/>
      <c r="I1698" s="37"/>
    </row>
    <row r="1699" ht="22.5" customHeight="1">
      <c r="A1699" s="30"/>
      <c r="B1699" s="31"/>
      <c r="C1699" s="30"/>
      <c r="D1699" s="33"/>
      <c r="E1699" s="34"/>
      <c r="F1699" s="34"/>
      <c r="G1699" s="36"/>
      <c r="H1699" s="34"/>
      <c r="I1699" s="37"/>
    </row>
    <row r="1700" ht="22.5" customHeight="1">
      <c r="A1700" s="30"/>
      <c r="B1700" s="31"/>
      <c r="C1700" s="30"/>
      <c r="D1700" s="33"/>
      <c r="E1700" s="34"/>
      <c r="F1700" s="34"/>
      <c r="G1700" s="36"/>
      <c r="H1700" s="34"/>
      <c r="I1700" s="37"/>
    </row>
    <row r="1701" ht="22.5" customHeight="1">
      <c r="A1701" s="30"/>
      <c r="B1701" s="31"/>
      <c r="C1701" s="30"/>
      <c r="D1701" s="33"/>
      <c r="E1701" s="34"/>
      <c r="F1701" s="34"/>
      <c r="G1701" s="36"/>
      <c r="H1701" s="34"/>
      <c r="I1701" s="37"/>
    </row>
    <row r="1702" ht="22.5" customHeight="1">
      <c r="A1702" s="41"/>
      <c r="B1702" s="42"/>
      <c r="C1702" s="41"/>
      <c r="D1702" s="43"/>
      <c r="E1702" s="44"/>
      <c r="F1702" s="44"/>
      <c r="G1702" s="45"/>
      <c r="H1702" s="44"/>
      <c r="I1702" s="46"/>
    </row>
    <row r="1703" ht="22.5" customHeight="1">
      <c r="A1703" s="14"/>
      <c r="B1703" s="60"/>
      <c r="C1703" s="14"/>
      <c r="D1703" s="17"/>
      <c r="E1703" s="18"/>
      <c r="F1703" s="18"/>
      <c r="G1703" s="20"/>
      <c r="H1703" s="18"/>
      <c r="I1703" s="21"/>
    </row>
  </sheetData>
  <conditionalFormatting sqref="A5:I1702">
    <cfRule type="expression" dxfId="23" priority="1">
      <formula>$F5="BOLSA DE OXIGÊNIO"</formula>
    </cfRule>
  </conditionalFormatting>
  <conditionalFormatting sqref="A5:I1702">
    <cfRule type="expression" dxfId="17" priority="2">
      <formula>$F5="BOLSA DE SALV. ALTURA"</formula>
    </cfRule>
  </conditionalFormatting>
  <conditionalFormatting sqref="A5:I1702">
    <cfRule type="expression" dxfId="18" priority="3">
      <formula>$F5="BOLSA DE SALV ALTURA VERMELHA LACRADA"</formula>
    </cfRule>
  </conditionalFormatting>
  <conditionalFormatting sqref="A5:I1702">
    <cfRule type="expression" dxfId="19" priority="4">
      <formula>$F5="BOLSA DE SALV ALTURA CINZA LACRADA"</formula>
    </cfRule>
  </conditionalFormatting>
  <conditionalFormatting sqref="A5:I1702">
    <cfRule type="expression" dxfId="20" priority="5">
      <formula>$F5="BOX 06"</formula>
    </cfRule>
  </conditionalFormatting>
  <conditionalFormatting sqref="A5:I1702">
    <cfRule type="expression" dxfId="21" priority="6">
      <formula>$F5="BOX 07"</formula>
    </cfRule>
  </conditionalFormatting>
  <conditionalFormatting sqref="A5:I1702">
    <cfRule type="expression" dxfId="22" priority="7">
      <formula>$F5="BOX 08"</formula>
    </cfRule>
  </conditionalFormatting>
  <conditionalFormatting sqref="A5:I1624">
    <cfRule type="expression" dxfId="24" priority="8">
      <formula>$F5="BOX TRASEIRO"</formula>
    </cfRule>
  </conditionalFormatting>
  <conditionalFormatting sqref="A6:I77">
    <cfRule type="expression" dxfId="25" priority="9">
      <formula>$F6="BOLSA DE RESGATE"</formula>
    </cfRule>
  </conditionalFormatting>
  <conditionalFormatting sqref="A5:I1702">
    <cfRule type="expression" dxfId="6" priority="10">
      <formula>$F5="BOLSA SALV. ALTURA (MERET)"</formula>
    </cfRule>
  </conditionalFormatting>
  <conditionalFormatting sqref="A5:I1702">
    <cfRule type="expression" dxfId="7" priority="11">
      <formula>$F5="BOX 01"</formula>
    </cfRule>
  </conditionalFormatting>
  <conditionalFormatting sqref="A5:I1702">
    <cfRule type="expression" dxfId="8" priority="12">
      <formula>$F5="BOX 02"</formula>
    </cfRule>
  </conditionalFormatting>
  <conditionalFormatting sqref="A5:I1702">
    <cfRule type="expression" dxfId="9" priority="13">
      <formula>$F5="BOX 03"</formula>
    </cfRule>
  </conditionalFormatting>
  <conditionalFormatting sqref="A5:I1702">
    <cfRule type="expression" dxfId="10" priority="14">
      <formula>$F5="BOX 04"</formula>
    </cfRule>
  </conditionalFormatting>
  <conditionalFormatting sqref="A5:I1702">
    <cfRule type="expression" dxfId="11" priority="15">
      <formula>$F5="BOX 05"</formula>
    </cfRule>
  </conditionalFormatting>
  <conditionalFormatting sqref="A5:I1702">
    <cfRule type="expression" dxfId="12" priority="16">
      <formula>$F5="BOX CENTRAL"</formula>
    </cfRule>
  </conditionalFormatting>
  <conditionalFormatting sqref="A5:I1702">
    <cfRule type="expression" dxfId="13" priority="17">
      <formula>$F5="BOX SUPERIOR 01"</formula>
    </cfRule>
  </conditionalFormatting>
  <conditionalFormatting sqref="A5:I1702">
    <cfRule type="expression" dxfId="14" priority="18">
      <formula>$F5="CABINE"</formula>
    </cfRule>
  </conditionalFormatting>
  <conditionalFormatting sqref="A5:I1702">
    <cfRule type="expression" dxfId="15" priority="19">
      <formula>$F5="CARROCERIA"</formula>
    </cfRule>
  </conditionalFormatting>
  <conditionalFormatting sqref="A5:I1702">
    <cfRule type="expression" dxfId="16" priority="20">
      <formula>$F5="CAIXA DE FERRAMENTA"</formula>
    </cfRule>
  </conditionalFormatting>
  <dataValidations>
    <dataValidation type="list" allowBlank="1" sqref="B2">
      <formula1>'Cadastro Automático VTRSEÇÃOMIL'!$C$1:$C1703</formula1>
    </dataValidation>
    <dataValidation allowBlank="1" showDropDown="1" sqref="B5:B1703"/>
    <dataValidation type="list" allowBlank="1" sqref="B1">
      <formula1>'Cadastro Automático VTRSEÇÃOMIL'!$B$1:$B1703</formula1>
    </dataValidation>
  </dataValidations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1"/>
  <tableParts count="2">
    <tablePart r:id="rId4"/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20.38"/>
    <col customWidth="1" min="2" max="2" width="50.13"/>
    <col customWidth="1" min="3" max="3" width="9.5"/>
    <col customWidth="1" min="4" max="4" width="14.0"/>
    <col customWidth="1" min="5" max="5" width="17.75"/>
    <col customWidth="1" min="6" max="6" width="30.5"/>
    <col customWidth="1" min="7" max="7" width="14.25"/>
    <col customWidth="1" min="8" max="8" width="31.25"/>
    <col customWidth="1" min="9" max="9" width="81.38"/>
  </cols>
  <sheetData>
    <row r="1" ht="21.0" customHeight="1">
      <c r="A1" s="1" t="s">
        <v>0</v>
      </c>
      <c r="B1" s="2" t="s">
        <v>16</v>
      </c>
      <c r="C1" s="3"/>
      <c r="D1" s="3"/>
      <c r="E1" s="3"/>
      <c r="F1" s="3"/>
      <c r="G1" s="4"/>
      <c r="H1" s="61"/>
      <c r="I1" s="5"/>
    </row>
    <row r="2" ht="17.25" customHeight="1">
      <c r="A2" s="1" t="s">
        <v>2</v>
      </c>
      <c r="B2" s="2"/>
      <c r="C2" s="3"/>
      <c r="D2" s="3"/>
      <c r="E2" s="3"/>
      <c r="F2" s="3"/>
      <c r="G2" s="62"/>
      <c r="H2" s="63"/>
      <c r="I2" s="64"/>
    </row>
    <row r="3" ht="30.0" customHeight="1">
      <c r="A3" s="3"/>
      <c r="B3" s="48"/>
      <c r="C3" s="3"/>
      <c r="D3" s="3"/>
      <c r="E3" s="3"/>
      <c r="F3" s="3"/>
      <c r="G3" s="4"/>
      <c r="H3" s="63"/>
      <c r="I3" s="8"/>
    </row>
    <row r="4" ht="37.5" customHeight="1">
      <c r="A4" s="9" t="s">
        <v>14</v>
      </c>
      <c r="B4" s="10" t="s">
        <v>4</v>
      </c>
      <c r="C4" s="11" t="s">
        <v>5</v>
      </c>
      <c r="D4" s="12" t="s">
        <v>6</v>
      </c>
      <c r="E4" s="12" t="s">
        <v>0</v>
      </c>
      <c r="F4" s="12" t="s">
        <v>7</v>
      </c>
      <c r="G4" s="11" t="s">
        <v>8</v>
      </c>
      <c r="H4" s="50" t="s">
        <v>9</v>
      </c>
      <c r="I4" s="59" t="s">
        <v>15</v>
      </c>
    </row>
    <row r="5" ht="22.5" customHeight="1">
      <c r="A5" s="22"/>
      <c r="B5" s="23"/>
      <c r="C5" s="24"/>
      <c r="D5" s="25"/>
      <c r="E5" s="26"/>
      <c r="F5" s="26"/>
      <c r="G5" s="27"/>
      <c r="H5" s="26"/>
      <c r="I5" s="29"/>
    </row>
    <row r="6" ht="25.5" customHeight="1">
      <c r="A6" s="30">
        <f>IFERROR(__xludf.DUMMYFUNCTION("IF(B2&lt;&gt;"""",FILTER('Planilhas compilada ordem alfab'!A2:I1703,'Planilhas compilada ordem alfab'!E2:E1703=B1,'Planilhas compilada ordem alfab'!F2:F1703=B2),FILTER('Planilhas compilada ordem alfab'!A2:I1703,'Planilhas compilada ordem alfab'!E2:E1703=B1))"),375.0)</f>
        <v>375</v>
      </c>
      <c r="B6" s="31" t="str">
        <f>IFERROR(__xludf.DUMMYFUNCTION("""COMPUTED_VALUE"""),"CADEIRINHA BAUDRIER RAPEL - NÍVEL II")</f>
        <v>CADEIRINHA BAUDRIER RAPEL - NÍVEL II</v>
      </c>
      <c r="C6" s="32">
        <f>IFERROR(__xludf.DUMMYFUNCTION("""COMPUTED_VALUE"""),1.0)</f>
        <v>1</v>
      </c>
      <c r="D6" s="33" t="str">
        <f>IFERROR(__xludf.DUMMYFUNCTION("""COMPUTED_VALUE"""),"VIATURA")</f>
        <v>VIATURA</v>
      </c>
      <c r="E6" s="34" t="str">
        <f>IFERROR(__xludf.DUMMYFUNCTION("""COMPUTED_VALUE"""),"1 - UR3486")</f>
        <v>1 - UR3486</v>
      </c>
      <c r="F6" s="34" t="str">
        <f>IFERROR(__xludf.DUMMYFUNCTION("""COMPUTED_VALUE"""),"BANCO")</f>
        <v>BANCO</v>
      </c>
      <c r="G6" s="35">
        <f>IFERROR(__xludf.DUMMYFUNCTION("""COMPUTED_VALUE"""),45533.0)</f>
        <v>45533</v>
      </c>
      <c r="H6" s="34"/>
      <c r="I6" s="37"/>
    </row>
    <row r="7" ht="22.5" customHeight="1">
      <c r="A7" s="30">
        <f>IFERROR(__xludf.DUMMYFUNCTION("""COMPUTED_VALUE"""),404.0)</f>
        <v>404</v>
      </c>
      <c r="B7" s="31" t="str">
        <f>IFERROR(__xludf.DUMMYFUNCTION("""COMPUTED_VALUE"""),"CADEIRINHA BAUDRIER RAPEL - NÍVEL III")</f>
        <v>CADEIRINHA BAUDRIER RAPEL - NÍVEL III</v>
      </c>
      <c r="C7" s="32">
        <f>IFERROR(__xludf.DUMMYFUNCTION("""COMPUTED_VALUE"""),1.0)</f>
        <v>1</v>
      </c>
      <c r="D7" s="33" t="str">
        <f>IFERROR(__xludf.DUMMYFUNCTION("""COMPUTED_VALUE"""),"VIATURA")</f>
        <v>VIATURA</v>
      </c>
      <c r="E7" s="34" t="str">
        <f>IFERROR(__xludf.DUMMYFUNCTION("""COMPUTED_VALUE"""),"1 - UR3486")</f>
        <v>1 - UR3486</v>
      </c>
      <c r="F7" s="34" t="str">
        <f>IFERROR(__xludf.DUMMYFUNCTION("""COMPUTED_VALUE"""),"BANCO")</f>
        <v>BANCO</v>
      </c>
      <c r="G7" s="35">
        <f>IFERROR(__xludf.DUMMYFUNCTION("""COMPUTED_VALUE"""),45533.0)</f>
        <v>45533</v>
      </c>
      <c r="H7" s="34"/>
      <c r="I7" s="37"/>
    </row>
    <row r="8" ht="22.5" customHeight="1">
      <c r="A8" s="30">
        <f>IFERROR(__xludf.DUMMYFUNCTION("""COMPUTED_VALUE"""),958.0)</f>
        <v>958</v>
      </c>
      <c r="B8" s="31" t="str">
        <f>IFERROR(__xludf.DUMMYFUNCTION("""COMPUTED_VALUE"""),"CAPACETE DE SALVAMENTO E PROTECAO -")</f>
        <v>CAPACETE DE SALVAMENTO E PROTECAO -</v>
      </c>
      <c r="C8" s="32">
        <f>IFERROR(__xludf.DUMMYFUNCTION("""COMPUTED_VALUE"""),1.0)</f>
        <v>1</v>
      </c>
      <c r="D8" s="33" t="str">
        <f>IFERROR(__xludf.DUMMYFUNCTION("""COMPUTED_VALUE"""),"VIATURA")</f>
        <v>VIATURA</v>
      </c>
      <c r="E8" s="34" t="str">
        <f>IFERROR(__xludf.DUMMYFUNCTION("""COMPUTED_VALUE"""),"1 - UR3486")</f>
        <v>1 - UR3486</v>
      </c>
      <c r="F8" s="34" t="str">
        <f>IFERROR(__xludf.DUMMYFUNCTION("""COMPUTED_VALUE"""),"BANCO")</f>
        <v>BANCO</v>
      </c>
      <c r="G8" s="35">
        <f>IFERROR(__xludf.DUMMYFUNCTION("""COMPUTED_VALUE"""),7.6670244E7)</f>
        <v>76670244</v>
      </c>
      <c r="H8" s="34"/>
      <c r="I8" s="38" t="str">
        <f>IFERROR(__xludf.DUMMYFUNCTION("""COMPUTED_VALUE"""),"CAPACETE DE ALTURA VERMELHO")</f>
        <v>CAPACETE DE ALTURA VERMELHO</v>
      </c>
    </row>
    <row r="9" ht="22.5" customHeight="1">
      <c r="A9" s="30">
        <f>IFERROR(__xludf.DUMMYFUNCTION("""COMPUTED_VALUE"""),961.0)</f>
        <v>961</v>
      </c>
      <c r="B9" s="39" t="str">
        <f>IFERROR(__xludf.DUMMYFUNCTION("""COMPUTED_VALUE"""),"CAPACETE DE SALVAMENTO E PROTECAO -")</f>
        <v>CAPACETE DE SALVAMENTO E PROTECAO -</v>
      </c>
      <c r="C9" s="32">
        <f>IFERROR(__xludf.DUMMYFUNCTION("""COMPUTED_VALUE"""),1.0)</f>
        <v>1</v>
      </c>
      <c r="D9" s="33" t="str">
        <f>IFERROR(__xludf.DUMMYFUNCTION("""COMPUTED_VALUE"""),"VIATURA")</f>
        <v>VIATURA</v>
      </c>
      <c r="E9" s="34" t="str">
        <f>IFERROR(__xludf.DUMMYFUNCTION("""COMPUTED_VALUE"""),"1 - UR3486")</f>
        <v>1 - UR3486</v>
      </c>
      <c r="F9" s="34" t="str">
        <f>IFERROR(__xludf.DUMMYFUNCTION("""COMPUTED_VALUE"""),"BANCO")</f>
        <v>BANCO</v>
      </c>
      <c r="G9" s="35">
        <f>IFERROR(__xludf.DUMMYFUNCTION("""COMPUTED_VALUE"""),7.6670279E7)</f>
        <v>76670279</v>
      </c>
      <c r="H9" s="34"/>
      <c r="I9" s="37" t="str">
        <f>IFERROR(__xludf.DUMMYFUNCTION("""COMPUTED_VALUE"""),"CAPACETE DE ALTURA BRANCO")</f>
        <v>CAPACETE DE ALTURA BRANCO</v>
      </c>
    </row>
    <row r="10" ht="22.5" customHeight="1">
      <c r="A10" s="30">
        <f>IFERROR(__xludf.DUMMYFUNCTION("""COMPUTED_VALUE"""),382.0)</f>
        <v>382</v>
      </c>
      <c r="B10" s="31" t="str">
        <f>IFERROR(__xludf.DUMMYFUNCTION("""COMPUTED_VALUE"""),"CONE SINALEIRO")</f>
        <v>CONE SINALEIRO</v>
      </c>
      <c r="C10" s="32">
        <f>IFERROR(__xludf.DUMMYFUNCTION("""COMPUTED_VALUE"""),4.0)</f>
        <v>4</v>
      </c>
      <c r="D10" s="33" t="str">
        <f>IFERROR(__xludf.DUMMYFUNCTION("""COMPUTED_VALUE"""),"VIATURA")</f>
        <v>VIATURA</v>
      </c>
      <c r="E10" s="34" t="str">
        <f>IFERROR(__xludf.DUMMYFUNCTION("""COMPUTED_VALUE"""),"1 - UR3486")</f>
        <v>1 - UR3486</v>
      </c>
      <c r="F10" s="34" t="str">
        <f>IFERROR(__xludf.DUMMYFUNCTION("""COMPUTED_VALUE"""),"BANCO")</f>
        <v>BANCO</v>
      </c>
      <c r="G10" s="35">
        <f>IFERROR(__xludf.DUMMYFUNCTION("""COMPUTED_VALUE"""),45533.0)</f>
        <v>45533</v>
      </c>
      <c r="H10" s="34"/>
      <c r="I10" s="37"/>
    </row>
    <row r="11" ht="22.5" customHeight="1">
      <c r="A11" s="30">
        <f>IFERROR(__xludf.DUMMYFUNCTION("""COMPUTED_VALUE"""),381.0)</f>
        <v>381</v>
      </c>
      <c r="B11" s="31" t="str">
        <f>IFERROR(__xludf.DUMMYFUNCTION("""COMPUTED_VALUE"""),"CORDA PARA SALVAMENTO EM ALTURA - 30M")</f>
        <v>CORDA PARA SALVAMENTO EM ALTURA - 30M</v>
      </c>
      <c r="C11" s="32">
        <f>IFERROR(__xludf.DUMMYFUNCTION("""COMPUTED_VALUE"""),1.0)</f>
        <v>1</v>
      </c>
      <c r="D11" s="33" t="str">
        <f>IFERROR(__xludf.DUMMYFUNCTION("""COMPUTED_VALUE"""),"VIATURA")</f>
        <v>VIATURA</v>
      </c>
      <c r="E11" s="34" t="str">
        <f>IFERROR(__xludf.DUMMYFUNCTION("""COMPUTED_VALUE"""),"1 - UR3486")</f>
        <v>1 - UR3486</v>
      </c>
      <c r="F11" s="34" t="str">
        <f>IFERROR(__xludf.DUMMYFUNCTION("""COMPUTED_VALUE"""),"BANCO")</f>
        <v>BANCO</v>
      </c>
      <c r="G11" s="35">
        <f>IFERROR(__xludf.DUMMYFUNCTION("""COMPUTED_VALUE"""),45533.0)</f>
        <v>45533</v>
      </c>
      <c r="H11" s="34"/>
      <c r="I11" s="37"/>
    </row>
    <row r="12" ht="22.5" customHeight="1">
      <c r="A12" s="30">
        <f>IFERROR(__xludf.DUMMYFUNCTION("""COMPUTED_VALUE"""),380.0)</f>
        <v>380</v>
      </c>
      <c r="B12" s="31" t="str">
        <f>IFERROR(__xludf.DUMMYFUNCTION("""COMPUTED_VALUE"""),"CORDELETE")</f>
        <v>CORDELETE</v>
      </c>
      <c r="C12" s="32">
        <f>IFERROR(__xludf.DUMMYFUNCTION("""COMPUTED_VALUE"""),2.0)</f>
        <v>2</v>
      </c>
      <c r="D12" s="33" t="str">
        <f>IFERROR(__xludf.DUMMYFUNCTION("""COMPUTED_VALUE"""),"VIATURA")</f>
        <v>VIATURA</v>
      </c>
      <c r="E12" s="34" t="str">
        <f>IFERROR(__xludf.DUMMYFUNCTION("""COMPUTED_VALUE"""),"1 - UR3486")</f>
        <v>1 - UR3486</v>
      </c>
      <c r="F12" s="34" t="str">
        <f>IFERROR(__xludf.DUMMYFUNCTION("""COMPUTED_VALUE"""),"BANCO")</f>
        <v>BANCO</v>
      </c>
      <c r="G12" s="35">
        <f>IFERROR(__xludf.DUMMYFUNCTION("""COMPUTED_VALUE"""),45533.0)</f>
        <v>45533</v>
      </c>
      <c r="H12" s="34"/>
      <c r="I12" s="37"/>
    </row>
    <row r="13" ht="22.5" customHeight="1">
      <c r="A13" s="30">
        <f>IFERROR(__xludf.DUMMYFUNCTION("""COMPUTED_VALUE"""),379.0)</f>
        <v>379</v>
      </c>
      <c r="B13" s="39" t="str">
        <f>IFERROR(__xludf.DUMMYFUNCTION("""COMPUTED_VALUE"""),"FREIO OITO -")</f>
        <v>FREIO OITO -</v>
      </c>
      <c r="C13" s="32">
        <f>IFERROR(__xludf.DUMMYFUNCTION("""COMPUTED_VALUE"""),1.0)</f>
        <v>1</v>
      </c>
      <c r="D13" s="33" t="str">
        <f>IFERROR(__xludf.DUMMYFUNCTION("""COMPUTED_VALUE"""),"VIATURA")</f>
        <v>VIATURA</v>
      </c>
      <c r="E13" s="34" t="str">
        <f>IFERROR(__xludf.DUMMYFUNCTION("""COMPUTED_VALUE"""),"1 - UR3486")</f>
        <v>1 - UR3486</v>
      </c>
      <c r="F13" s="34" t="str">
        <f>IFERROR(__xludf.DUMMYFUNCTION("""COMPUTED_VALUE"""),"BANCO")</f>
        <v>BANCO</v>
      </c>
      <c r="G13" s="35">
        <f>IFERROR(__xludf.DUMMYFUNCTION("""COMPUTED_VALUE"""),45533.0)</f>
        <v>45533</v>
      </c>
      <c r="H13" s="34"/>
      <c r="I13" s="37"/>
    </row>
    <row r="14" ht="22.5" customHeight="1">
      <c r="A14" s="30">
        <f>IFERROR(__xludf.DUMMYFUNCTION("""COMPUTED_VALUE"""),369.0)</f>
        <v>369</v>
      </c>
      <c r="B14" s="31" t="str">
        <f>IFERROR(__xludf.DUMMYFUNCTION("""COMPUTED_VALUE"""),"KED AULTO")</f>
        <v>KED AULTO</v>
      </c>
      <c r="C14" s="32">
        <f>IFERROR(__xludf.DUMMYFUNCTION("""COMPUTED_VALUE"""),1.0)</f>
        <v>1</v>
      </c>
      <c r="D14" s="33" t="str">
        <f>IFERROR(__xludf.DUMMYFUNCTION("""COMPUTED_VALUE"""),"VIATURA")</f>
        <v>VIATURA</v>
      </c>
      <c r="E14" s="34" t="str">
        <f>IFERROR(__xludf.DUMMYFUNCTION("""COMPUTED_VALUE"""),"1 - UR3486")</f>
        <v>1 - UR3486</v>
      </c>
      <c r="F14" s="34" t="str">
        <f>IFERROR(__xludf.DUMMYFUNCTION("""COMPUTED_VALUE"""),"BANCO")</f>
        <v>BANCO</v>
      </c>
      <c r="G14" s="35">
        <f>IFERROR(__xludf.DUMMYFUNCTION("""COMPUTED_VALUE"""),45533.0)</f>
        <v>45533</v>
      </c>
      <c r="H14" s="34"/>
      <c r="I14" s="37"/>
    </row>
    <row r="15" ht="22.5" customHeight="1">
      <c r="A15" s="30">
        <f>IFERROR(__xludf.DUMMYFUNCTION("""COMPUTED_VALUE"""),403.0)</f>
        <v>403</v>
      </c>
      <c r="B15" s="39" t="str">
        <f>IFERROR(__xludf.DUMMYFUNCTION("""COMPUTED_VALUE"""),"LUVA DE VAQUETA")</f>
        <v>LUVA DE VAQUETA</v>
      </c>
      <c r="C15" s="32">
        <f>IFERROR(__xludf.DUMMYFUNCTION("""COMPUTED_VALUE"""),1.0)</f>
        <v>1</v>
      </c>
      <c r="D15" s="33" t="str">
        <f>IFERROR(__xludf.DUMMYFUNCTION("""COMPUTED_VALUE"""),"VIATURA")</f>
        <v>VIATURA</v>
      </c>
      <c r="E15" s="34" t="str">
        <f>IFERROR(__xludf.DUMMYFUNCTION("""COMPUTED_VALUE"""),"1 - UR3486")</f>
        <v>1 - UR3486</v>
      </c>
      <c r="F15" s="34" t="str">
        <f>IFERROR(__xludf.DUMMYFUNCTION("""COMPUTED_VALUE"""),"BANCO")</f>
        <v>BANCO</v>
      </c>
      <c r="G15" s="35">
        <f>IFERROR(__xludf.DUMMYFUNCTION("""COMPUTED_VALUE"""),45533.0)</f>
        <v>45533</v>
      </c>
      <c r="H15" s="34"/>
      <c r="I15" s="37" t="str">
        <f>IFERROR(__xludf.DUMMYFUNCTION("""COMPUTED_VALUE"""),"PAR")</f>
        <v>PAR</v>
      </c>
    </row>
    <row r="16" ht="22.5" customHeight="1">
      <c r="A16" s="30">
        <f>IFERROR(__xludf.DUMMYFUNCTION("""COMPUTED_VALUE"""),376.0)</f>
        <v>376</v>
      </c>
      <c r="B16" s="31" t="str">
        <f>IFERROR(__xludf.DUMMYFUNCTION("""COMPUTED_VALUE"""),"MOSQUETÃO DE AÇO")</f>
        <v>MOSQUETÃO DE AÇO</v>
      </c>
      <c r="C16" s="32">
        <f>IFERROR(__xludf.DUMMYFUNCTION("""COMPUTED_VALUE"""),4.0)</f>
        <v>4</v>
      </c>
      <c r="D16" s="33" t="str">
        <f>IFERROR(__xludf.DUMMYFUNCTION("""COMPUTED_VALUE"""),"VIATURA")</f>
        <v>VIATURA</v>
      </c>
      <c r="E16" s="34" t="str">
        <f>IFERROR(__xludf.DUMMYFUNCTION("""COMPUTED_VALUE"""),"1 - UR3486")</f>
        <v>1 - UR3486</v>
      </c>
      <c r="F16" s="34" t="str">
        <f>IFERROR(__xludf.DUMMYFUNCTION("""COMPUTED_VALUE"""),"BANCO")</f>
        <v>BANCO</v>
      </c>
      <c r="G16" s="35">
        <f>IFERROR(__xludf.DUMMYFUNCTION("""COMPUTED_VALUE"""),45533.0)</f>
        <v>45533</v>
      </c>
      <c r="H16" s="34"/>
      <c r="I16" s="37"/>
    </row>
    <row r="17" ht="22.5" customHeight="1">
      <c r="A17" s="30">
        <f>IFERROR(__xludf.DUMMYFUNCTION("""COMPUTED_VALUE"""),377.0)</f>
        <v>377</v>
      </c>
      <c r="B17" s="31" t="str">
        <f>IFERROR(__xludf.DUMMYFUNCTION("""COMPUTED_VALUE"""),"MOSQUETÃO DE ALUMÍNIO")</f>
        <v>MOSQUETÃO DE ALUMÍNIO</v>
      </c>
      <c r="C17" s="32">
        <f>IFERROR(__xludf.DUMMYFUNCTION("""COMPUTED_VALUE"""),1.0)</f>
        <v>1</v>
      </c>
      <c r="D17" s="33" t="str">
        <f>IFERROR(__xludf.DUMMYFUNCTION("""COMPUTED_VALUE"""),"VIATURA")</f>
        <v>VIATURA</v>
      </c>
      <c r="E17" s="34" t="str">
        <f>IFERROR(__xludf.DUMMYFUNCTION("""COMPUTED_VALUE"""),"1 - UR3486")</f>
        <v>1 - UR3486</v>
      </c>
      <c r="F17" s="34" t="str">
        <f>IFERROR(__xludf.DUMMYFUNCTION("""COMPUTED_VALUE"""),"BANCO")</f>
        <v>BANCO</v>
      </c>
      <c r="G17" s="35"/>
      <c r="H17" s="34"/>
      <c r="I17" s="37"/>
    </row>
    <row r="18" ht="22.5" customHeight="1">
      <c r="A18" s="30">
        <f>IFERROR(__xludf.DUMMYFUNCTION("""COMPUTED_VALUE"""),378.0)</f>
        <v>378</v>
      </c>
      <c r="B18" s="31" t="str">
        <f>IFERROR(__xludf.DUMMYFUNCTION("""COMPUTED_VALUE"""),"POLIA SIMPLES PLACA FIXA")</f>
        <v>POLIA SIMPLES PLACA FIXA</v>
      </c>
      <c r="C18" s="32">
        <f>IFERROR(__xludf.DUMMYFUNCTION("""COMPUTED_VALUE"""),2.0)</f>
        <v>2</v>
      </c>
      <c r="D18" s="33" t="str">
        <f>IFERROR(__xludf.DUMMYFUNCTION("""COMPUTED_VALUE"""),"VIATURA")</f>
        <v>VIATURA</v>
      </c>
      <c r="E18" s="34" t="str">
        <f>IFERROR(__xludf.DUMMYFUNCTION("""COMPUTED_VALUE"""),"1 - UR3486")</f>
        <v>1 - UR3486</v>
      </c>
      <c r="F18" s="34" t="str">
        <f>IFERROR(__xludf.DUMMYFUNCTION("""COMPUTED_VALUE"""),"BANCO")</f>
        <v>BANCO</v>
      </c>
      <c r="G18" s="35">
        <f>IFERROR(__xludf.DUMMYFUNCTION("""COMPUTED_VALUE"""),45533.0)</f>
        <v>45533</v>
      </c>
      <c r="H18" s="34"/>
      <c r="I18" s="37"/>
    </row>
    <row r="19" ht="22.5" customHeight="1">
      <c r="A19" s="30">
        <f>IFERROR(__xludf.DUMMYFUNCTION("""COMPUTED_VALUE"""),383.0)</f>
        <v>383</v>
      </c>
      <c r="B19" s="31" t="str">
        <f>IFERROR(__xludf.DUMMYFUNCTION("""COMPUTED_VALUE"""),"PRANCHA LONGA")</f>
        <v>PRANCHA LONGA</v>
      </c>
      <c r="C19" s="32">
        <f>IFERROR(__xludf.DUMMYFUNCTION("""COMPUTED_VALUE"""),2.0)</f>
        <v>2</v>
      </c>
      <c r="D19" s="33" t="str">
        <f>IFERROR(__xludf.DUMMYFUNCTION("""COMPUTED_VALUE"""),"VIATURA")</f>
        <v>VIATURA</v>
      </c>
      <c r="E19" s="34" t="str">
        <f>IFERROR(__xludf.DUMMYFUNCTION("""COMPUTED_VALUE"""),"1 - UR3486")</f>
        <v>1 - UR3486</v>
      </c>
      <c r="F19" s="34" t="str">
        <f>IFERROR(__xludf.DUMMYFUNCTION("""COMPUTED_VALUE"""),"BANCO")</f>
        <v>BANCO</v>
      </c>
      <c r="G19" s="35">
        <f>IFERROR(__xludf.DUMMYFUNCTION("""COMPUTED_VALUE"""),45533.0)</f>
        <v>45533</v>
      </c>
      <c r="H19" s="34"/>
      <c r="I19" s="37" t="str">
        <f>IFERROR(__xludf.DUMMYFUNCTION("""COMPUTED_VALUE"""),"COM ENCOSTO DE CABEÇA, TIRANTES DE CABEÇA, BACHAL E TIRANTE ARANHA")</f>
        <v>COM ENCOSTO DE CABEÇA, TIRANTES DE CABEÇA, BACHAL E TIRANTE ARANHA</v>
      </c>
    </row>
    <row r="20" ht="22.5" customHeight="1">
      <c r="A20" s="30">
        <f>IFERROR(__xludf.DUMMYFUNCTION("""COMPUTED_VALUE"""),367.0)</f>
        <v>367</v>
      </c>
      <c r="B20" s="31" t="str">
        <f>IFERROR(__xludf.DUMMYFUNCTION("""COMPUTED_VALUE"""),"CHAVE DE BOCA/ESTRIA")</f>
        <v>CHAVE DE BOCA/ESTRIA</v>
      </c>
      <c r="C20" s="32">
        <f>IFERROR(__xludf.DUMMYFUNCTION("""COMPUTED_VALUE"""),1.0)</f>
        <v>1</v>
      </c>
      <c r="D20" s="33" t="str">
        <f>IFERROR(__xludf.DUMMYFUNCTION("""COMPUTED_VALUE"""),"VIATURA")</f>
        <v>VIATURA</v>
      </c>
      <c r="E20" s="34" t="str">
        <f>IFERROR(__xludf.DUMMYFUNCTION("""COMPUTED_VALUE"""),"1 - UR3486")</f>
        <v>1 - UR3486</v>
      </c>
      <c r="F20" s="34" t="str">
        <f>IFERROR(__xludf.DUMMYFUNCTION("""COMPUTED_VALUE"""),"BOLSA DE OXIGÊNIO")</f>
        <v>BOLSA DE OXIGÊNIO</v>
      </c>
      <c r="G20" s="35">
        <f>IFERROR(__xludf.DUMMYFUNCTION("""COMPUTED_VALUE"""),45533.0)</f>
        <v>45533</v>
      </c>
      <c r="H20" s="34"/>
      <c r="I20" s="37"/>
    </row>
    <row r="21" ht="22.5" customHeight="1">
      <c r="A21" s="30">
        <f>IFERROR(__xludf.DUMMYFUNCTION("""COMPUTED_VALUE"""),368.0)</f>
        <v>368</v>
      </c>
      <c r="B21" s="31" t="str">
        <f>IFERROR(__xludf.DUMMYFUNCTION("""COMPUTED_VALUE"""),"MASCARA FACIAL PARA OXIGÊNIO")</f>
        <v>MASCARA FACIAL PARA OXIGÊNIO</v>
      </c>
      <c r="C21" s="32">
        <f>IFERROR(__xludf.DUMMYFUNCTION("""COMPUTED_VALUE"""),1.0)</f>
        <v>1</v>
      </c>
      <c r="D21" s="33" t="str">
        <f>IFERROR(__xludf.DUMMYFUNCTION("""COMPUTED_VALUE"""),"VIATURA")</f>
        <v>VIATURA</v>
      </c>
      <c r="E21" s="34" t="str">
        <f>IFERROR(__xludf.DUMMYFUNCTION("""COMPUTED_VALUE"""),"1 - UR3486")</f>
        <v>1 - UR3486</v>
      </c>
      <c r="F21" s="34" t="str">
        <f>IFERROR(__xludf.DUMMYFUNCTION("""COMPUTED_VALUE"""),"BOLSA DE OXIGÊNIO")</f>
        <v>BOLSA DE OXIGÊNIO</v>
      </c>
      <c r="G21" s="35">
        <f>IFERROR(__xludf.DUMMYFUNCTION("""COMPUTED_VALUE"""),45533.0)</f>
        <v>45533</v>
      </c>
      <c r="H21" s="34"/>
      <c r="I21" s="37"/>
    </row>
    <row r="22" ht="22.5" customHeight="1">
      <c r="A22" s="30">
        <f>IFERROR(__xludf.DUMMYFUNCTION("""COMPUTED_VALUE"""),950.0)</f>
        <v>950</v>
      </c>
      <c r="B22" s="31" t="str">
        <f>IFERROR(__xludf.DUMMYFUNCTION("""COMPUTED_VALUE"""),"SISTEMA PORTATIL OXIGENIO -")</f>
        <v>SISTEMA PORTATIL OXIGENIO -</v>
      </c>
      <c r="C22" s="32">
        <f>IFERROR(__xludf.DUMMYFUNCTION("""COMPUTED_VALUE"""),1.0)</f>
        <v>1</v>
      </c>
      <c r="D22" s="33" t="str">
        <f>IFERROR(__xludf.DUMMYFUNCTION("""COMPUTED_VALUE"""),"VIATURA")</f>
        <v>VIATURA</v>
      </c>
      <c r="E22" s="34" t="str">
        <f>IFERROR(__xludf.DUMMYFUNCTION("""COMPUTED_VALUE"""),"1 - UR3486")</f>
        <v>1 - UR3486</v>
      </c>
      <c r="F22" s="34" t="str">
        <f>IFERROR(__xludf.DUMMYFUNCTION("""COMPUTED_VALUE"""),"BOLSA DE OXIGÊNIO")</f>
        <v>BOLSA DE OXIGÊNIO</v>
      </c>
      <c r="G22" s="35">
        <f>IFERROR(__xludf.DUMMYFUNCTION("""COMPUTED_VALUE"""),7.6666778E7)</f>
        <v>76666778</v>
      </c>
      <c r="H22" s="34"/>
      <c r="I22" s="37"/>
    </row>
    <row r="23" ht="22.5" customHeight="1">
      <c r="A23" s="30">
        <f>IFERROR(__xludf.DUMMYFUNCTION("""COMPUTED_VALUE"""),396.0)</f>
        <v>396</v>
      </c>
      <c r="B23" s="31" t="str">
        <f>IFERROR(__xludf.DUMMYFUNCTION("""COMPUTED_VALUE"""),"ABRIDOR DE MANDÍBULA")</f>
        <v>ABRIDOR DE MANDÍBULA</v>
      </c>
      <c r="C23" s="32">
        <f>IFERROR(__xludf.DUMMYFUNCTION("""COMPUTED_VALUE"""),1.0)</f>
        <v>1</v>
      </c>
      <c r="D23" s="33" t="str">
        <f>IFERROR(__xludf.DUMMYFUNCTION("""COMPUTED_VALUE"""),"VIATURA")</f>
        <v>VIATURA</v>
      </c>
      <c r="E23" s="34" t="str">
        <f>IFERROR(__xludf.DUMMYFUNCTION("""COMPUTED_VALUE"""),"1 - UR3486")</f>
        <v>1 - UR3486</v>
      </c>
      <c r="F23" s="34" t="str">
        <f>IFERROR(__xludf.DUMMYFUNCTION("""COMPUTED_VALUE"""),"BOLSA DE RESGATE")</f>
        <v>BOLSA DE RESGATE</v>
      </c>
      <c r="G23" s="35">
        <f>IFERROR(__xludf.DUMMYFUNCTION("""COMPUTED_VALUE"""),45533.0)</f>
        <v>45533</v>
      </c>
      <c r="H23" s="34"/>
      <c r="I23" s="37"/>
    </row>
    <row r="24" ht="22.5" customHeight="1">
      <c r="A24" s="30">
        <f>IFERROR(__xludf.DUMMYFUNCTION("""COMPUTED_VALUE"""),397.0)</f>
        <v>397</v>
      </c>
      <c r="B24" s="31" t="str">
        <f>IFERROR(__xludf.DUMMYFUNCTION("""COMPUTED_VALUE"""),"AMBÚ  ADULTO")</f>
        <v>AMBÚ  ADULTO</v>
      </c>
      <c r="C24" s="32">
        <f>IFERROR(__xludf.DUMMYFUNCTION("""COMPUTED_VALUE"""),1.0)</f>
        <v>1</v>
      </c>
      <c r="D24" s="33" t="str">
        <f>IFERROR(__xludf.DUMMYFUNCTION("""COMPUTED_VALUE"""),"VIATURA")</f>
        <v>VIATURA</v>
      </c>
      <c r="E24" s="34" t="str">
        <f>IFERROR(__xludf.DUMMYFUNCTION("""COMPUTED_VALUE"""),"1 - UR3486")</f>
        <v>1 - UR3486</v>
      </c>
      <c r="F24" s="34" t="str">
        <f>IFERROR(__xludf.DUMMYFUNCTION("""COMPUTED_VALUE"""),"BOLSA DE RESGATE")</f>
        <v>BOLSA DE RESGATE</v>
      </c>
      <c r="G24" s="35">
        <f>IFERROR(__xludf.DUMMYFUNCTION("""COMPUTED_VALUE"""),45533.0)</f>
        <v>45533</v>
      </c>
      <c r="H24" s="34"/>
      <c r="I24" s="37"/>
    </row>
    <row r="25" ht="22.5" customHeight="1">
      <c r="A25" s="30">
        <f>IFERROR(__xludf.DUMMYFUNCTION("""COMPUTED_VALUE"""),398.0)</f>
        <v>398</v>
      </c>
      <c r="B25" s="31" t="str">
        <f>IFERROR(__xludf.DUMMYFUNCTION("""COMPUTED_VALUE"""),"AMBÚ INFANTIL")</f>
        <v>AMBÚ INFANTIL</v>
      </c>
      <c r="C25" s="32">
        <f>IFERROR(__xludf.DUMMYFUNCTION("""COMPUTED_VALUE"""),1.0)</f>
        <v>1</v>
      </c>
      <c r="D25" s="33" t="str">
        <f>IFERROR(__xludf.DUMMYFUNCTION("""COMPUTED_VALUE"""),"VIATURA")</f>
        <v>VIATURA</v>
      </c>
      <c r="E25" s="34" t="str">
        <f>IFERROR(__xludf.DUMMYFUNCTION("""COMPUTED_VALUE"""),"1 - UR3486")</f>
        <v>1 - UR3486</v>
      </c>
      <c r="F25" s="34" t="str">
        <f>IFERROR(__xludf.DUMMYFUNCTION("""COMPUTED_VALUE"""),"BOLSA DE RESGATE")</f>
        <v>BOLSA DE RESGATE</v>
      </c>
      <c r="G25" s="35">
        <f>IFERROR(__xludf.DUMMYFUNCTION("""COMPUTED_VALUE"""),45533.0)</f>
        <v>45533</v>
      </c>
      <c r="H25" s="34"/>
      <c r="I25" s="37"/>
    </row>
    <row r="26" ht="22.5" customHeight="1">
      <c r="A26" s="30">
        <f>IFERROR(__xludf.DUMMYFUNCTION("""COMPUTED_VALUE"""),400.0)</f>
        <v>400</v>
      </c>
      <c r="B26" s="40" t="str">
        <f>IFERROR(__xludf.DUMMYFUNCTION("""COMPUTED_VALUE"""),"ASPIRADOR DE SECREÇÃO MANUAL TIPO PERA")</f>
        <v>ASPIRADOR DE SECREÇÃO MANUAL TIPO PERA</v>
      </c>
      <c r="C26" s="32">
        <f>IFERROR(__xludf.DUMMYFUNCTION("""COMPUTED_VALUE"""),1.0)</f>
        <v>1</v>
      </c>
      <c r="D26" s="33" t="str">
        <f>IFERROR(__xludf.DUMMYFUNCTION("""COMPUTED_VALUE"""),"VIATURA")</f>
        <v>VIATURA</v>
      </c>
      <c r="E26" s="34" t="str">
        <f>IFERROR(__xludf.DUMMYFUNCTION("""COMPUTED_VALUE"""),"1 - UR3486")</f>
        <v>1 - UR3486</v>
      </c>
      <c r="F26" s="34" t="str">
        <f>IFERROR(__xludf.DUMMYFUNCTION("""COMPUTED_VALUE"""),"BOLSA DE RESGATE")</f>
        <v>BOLSA DE RESGATE</v>
      </c>
      <c r="G26" s="35">
        <f>IFERROR(__xludf.DUMMYFUNCTION("""COMPUTED_VALUE"""),45533.0)</f>
        <v>45533</v>
      </c>
      <c r="H26" s="34"/>
      <c r="I26" s="37"/>
    </row>
    <row r="27" ht="22.5" customHeight="1">
      <c r="A27" s="30">
        <f>IFERROR(__xludf.DUMMYFUNCTION("""COMPUTED_VALUE"""),395.0)</f>
        <v>395</v>
      </c>
      <c r="B27" s="31" t="str">
        <f>IFERROR(__xludf.DUMMYFUNCTION("""COMPUTED_VALUE"""),"CANIVETE MULTIUSO")</f>
        <v>CANIVETE MULTIUSO</v>
      </c>
      <c r="C27" s="32">
        <f>IFERROR(__xludf.DUMMYFUNCTION("""COMPUTED_VALUE"""),1.0)</f>
        <v>1</v>
      </c>
      <c r="D27" s="33" t="str">
        <f>IFERROR(__xludf.DUMMYFUNCTION("""COMPUTED_VALUE"""),"VIATURA")</f>
        <v>VIATURA</v>
      </c>
      <c r="E27" s="34" t="str">
        <f>IFERROR(__xludf.DUMMYFUNCTION("""COMPUTED_VALUE"""),"1 - UR3486")</f>
        <v>1 - UR3486</v>
      </c>
      <c r="F27" s="34" t="str">
        <f>IFERROR(__xludf.DUMMYFUNCTION("""COMPUTED_VALUE"""),"BOLSA DE RESGATE")</f>
        <v>BOLSA DE RESGATE</v>
      </c>
      <c r="G27" s="35">
        <f>IFERROR(__xludf.DUMMYFUNCTION("""COMPUTED_VALUE"""),45533.0)</f>
        <v>45533</v>
      </c>
      <c r="H27" s="34"/>
      <c r="I27" s="37"/>
    </row>
    <row r="28" ht="22.5" customHeight="1">
      <c r="A28" s="30">
        <f>IFERROR(__xludf.DUMMYFUNCTION("""COMPUTED_VALUE"""),390.0)</f>
        <v>390</v>
      </c>
      <c r="B28" s="31" t="str">
        <f>IFERROR(__xludf.DUMMYFUNCTION("""COMPUTED_VALUE"""),"CÂNULA DE GUEDEL")</f>
        <v>CÂNULA DE GUEDEL</v>
      </c>
      <c r="C28" s="32">
        <f>IFERROR(__xludf.DUMMYFUNCTION("""COMPUTED_VALUE"""),12.0)</f>
        <v>12</v>
      </c>
      <c r="D28" s="33" t="str">
        <f>IFERROR(__xludf.DUMMYFUNCTION("""COMPUTED_VALUE"""),"VIATURA")</f>
        <v>VIATURA</v>
      </c>
      <c r="E28" s="34" t="str">
        <f>IFERROR(__xludf.DUMMYFUNCTION("""COMPUTED_VALUE"""),"1 - UR3486")</f>
        <v>1 - UR3486</v>
      </c>
      <c r="F28" s="34" t="str">
        <f>IFERROR(__xludf.DUMMYFUNCTION("""COMPUTED_VALUE"""),"BOLSA DE RESGATE")</f>
        <v>BOLSA DE RESGATE</v>
      </c>
      <c r="G28" s="35">
        <f>IFERROR(__xludf.DUMMYFUNCTION("""COMPUTED_VALUE"""),45533.0)</f>
        <v>45533</v>
      </c>
      <c r="H28" s="34"/>
      <c r="I28" s="37"/>
    </row>
    <row r="29" ht="22.5" customHeight="1">
      <c r="A29" s="30">
        <f>IFERROR(__xludf.DUMMYFUNCTION("""COMPUTED_VALUE"""),394.0)</f>
        <v>394</v>
      </c>
      <c r="B29" s="31" t="str">
        <f>IFERROR(__xludf.DUMMYFUNCTION("""COMPUTED_VALUE"""),"CORTADOR DE ANEL MANUAL")</f>
        <v>CORTADOR DE ANEL MANUAL</v>
      </c>
      <c r="C29" s="32">
        <f>IFERROR(__xludf.DUMMYFUNCTION("""COMPUTED_VALUE"""),1.0)</f>
        <v>1</v>
      </c>
      <c r="D29" s="33" t="str">
        <f>IFERROR(__xludf.DUMMYFUNCTION("""COMPUTED_VALUE"""),"VIATURA")</f>
        <v>VIATURA</v>
      </c>
      <c r="E29" s="34" t="str">
        <f>IFERROR(__xludf.DUMMYFUNCTION("""COMPUTED_VALUE"""),"1 - UR3486")</f>
        <v>1 - UR3486</v>
      </c>
      <c r="F29" s="34" t="str">
        <f>IFERROR(__xludf.DUMMYFUNCTION("""COMPUTED_VALUE"""),"BOLSA DE RESGATE")</f>
        <v>BOLSA DE RESGATE</v>
      </c>
      <c r="G29" s="35"/>
      <c r="H29" s="34"/>
      <c r="I29" s="37"/>
    </row>
    <row r="30" ht="22.5" customHeight="1">
      <c r="A30" s="30">
        <f>IFERROR(__xludf.DUMMYFUNCTION("""COMPUTED_VALUE"""),1030.0)</f>
        <v>1030</v>
      </c>
      <c r="B30" s="31" t="str">
        <f>IFERROR(__xludf.DUMMYFUNCTION("""COMPUTED_VALUE"""),"ESFIGMOMANOMETRO -")</f>
        <v>ESFIGMOMANOMETRO -</v>
      </c>
      <c r="C30" s="32">
        <f>IFERROR(__xludf.DUMMYFUNCTION("""COMPUTED_VALUE"""),1.0)</f>
        <v>1</v>
      </c>
      <c r="D30" s="33" t="str">
        <f>IFERROR(__xludf.DUMMYFUNCTION("""COMPUTED_VALUE"""),"VIATURA")</f>
        <v>VIATURA</v>
      </c>
      <c r="E30" s="34" t="str">
        <f>IFERROR(__xludf.DUMMYFUNCTION("""COMPUTED_VALUE"""),"1 - UR3486")</f>
        <v>1 - UR3486</v>
      </c>
      <c r="F30" s="34" t="str">
        <f>IFERROR(__xludf.DUMMYFUNCTION("""COMPUTED_VALUE"""),"BOLSA DE RESGATE")</f>
        <v>BOLSA DE RESGATE</v>
      </c>
      <c r="G30" s="35">
        <f>IFERROR(__xludf.DUMMYFUNCTION("""COMPUTED_VALUE"""),7.6736067E7)</f>
        <v>76736067</v>
      </c>
      <c r="H30" s="34"/>
      <c r="I30" s="37" t="str">
        <f>IFERROR(__xludf.DUMMYFUNCTION("""COMPUTED_VALUE"""),"ADULTO")</f>
        <v>ADULTO</v>
      </c>
    </row>
    <row r="31" ht="22.5" customHeight="1">
      <c r="A31" s="30">
        <f>IFERROR(__xludf.DUMMYFUNCTION("""COMPUTED_VALUE"""),1033.0)</f>
        <v>1033</v>
      </c>
      <c r="B31" s="31" t="str">
        <f>IFERROR(__xludf.DUMMYFUNCTION("""COMPUTED_VALUE"""),"ESFIGMOMANOMETRO -")</f>
        <v>ESFIGMOMANOMETRO -</v>
      </c>
      <c r="C31" s="32">
        <f>IFERROR(__xludf.DUMMYFUNCTION("""COMPUTED_VALUE"""),1.0)</f>
        <v>1</v>
      </c>
      <c r="D31" s="33" t="str">
        <f>IFERROR(__xludf.DUMMYFUNCTION("""COMPUTED_VALUE"""),"VIATURA")</f>
        <v>VIATURA</v>
      </c>
      <c r="E31" s="34" t="str">
        <f>IFERROR(__xludf.DUMMYFUNCTION("""COMPUTED_VALUE"""),"1 - UR3486")</f>
        <v>1 - UR3486</v>
      </c>
      <c r="F31" s="34" t="str">
        <f>IFERROR(__xludf.DUMMYFUNCTION("""COMPUTED_VALUE"""),"BOLSA DE RESGATE")</f>
        <v>BOLSA DE RESGATE</v>
      </c>
      <c r="G31" s="35">
        <f>IFERROR(__xludf.DUMMYFUNCTION("""COMPUTED_VALUE"""),7.6737225E7)</f>
        <v>76737225</v>
      </c>
      <c r="H31" s="34"/>
      <c r="I31" s="37" t="str">
        <f>IFERROR(__xludf.DUMMYFUNCTION("""COMPUTED_VALUE"""),"INFANTIL")</f>
        <v>INFANTIL</v>
      </c>
    </row>
    <row r="32" ht="22.5" customHeight="1">
      <c r="A32" s="30">
        <f>IFERROR(__xludf.DUMMYFUNCTION("""COMPUTED_VALUE"""),1020.0)</f>
        <v>1020</v>
      </c>
      <c r="B32" s="31" t="str">
        <f>IFERROR(__xludf.DUMMYFUNCTION("""COMPUTED_VALUE"""),"ESTETOSCOPIO -")</f>
        <v>ESTETOSCOPIO -</v>
      </c>
      <c r="C32" s="32">
        <f>IFERROR(__xludf.DUMMYFUNCTION("""COMPUTED_VALUE"""),1.0)</f>
        <v>1</v>
      </c>
      <c r="D32" s="33" t="str">
        <f>IFERROR(__xludf.DUMMYFUNCTION("""COMPUTED_VALUE"""),"VIATURA")</f>
        <v>VIATURA</v>
      </c>
      <c r="E32" s="34" t="str">
        <f>IFERROR(__xludf.DUMMYFUNCTION("""COMPUTED_VALUE"""),"1 - UR3486")</f>
        <v>1 - UR3486</v>
      </c>
      <c r="F32" s="34" t="str">
        <f>IFERROR(__xludf.DUMMYFUNCTION("""COMPUTED_VALUE"""),"BOLSA DE RESGATE")</f>
        <v>BOLSA DE RESGATE</v>
      </c>
      <c r="G32" s="35">
        <f>IFERROR(__xludf.DUMMYFUNCTION("""COMPUTED_VALUE"""),7.6731693E7)</f>
        <v>76731693</v>
      </c>
      <c r="H32" s="34"/>
      <c r="I32" s="37"/>
    </row>
    <row r="33" ht="22.5" customHeight="1">
      <c r="A33" s="30">
        <f>IFERROR(__xludf.DUMMYFUNCTION("""COMPUTED_VALUE"""),406.0)</f>
        <v>406</v>
      </c>
      <c r="B33" s="39" t="str">
        <f>IFERROR(__xludf.DUMMYFUNCTION("""COMPUTED_VALUE"""),"LANTERNA DE PUPILA")</f>
        <v>LANTERNA DE PUPILA</v>
      </c>
      <c r="C33" s="32">
        <f>IFERROR(__xludf.DUMMYFUNCTION("""COMPUTED_VALUE"""),3.0)</f>
        <v>3</v>
      </c>
      <c r="D33" s="33" t="str">
        <f>IFERROR(__xludf.DUMMYFUNCTION("""COMPUTED_VALUE"""),"VIATURA")</f>
        <v>VIATURA</v>
      </c>
      <c r="E33" s="34" t="str">
        <f>IFERROR(__xludf.DUMMYFUNCTION("""COMPUTED_VALUE"""),"1 - UR3486")</f>
        <v>1 - UR3486</v>
      </c>
      <c r="F33" s="34" t="str">
        <f>IFERROR(__xludf.DUMMYFUNCTION("""COMPUTED_VALUE"""),"BOLSA DE RESGATE")</f>
        <v>BOLSA DE RESGATE</v>
      </c>
      <c r="G33" s="35">
        <f>IFERROR(__xludf.DUMMYFUNCTION("""COMPUTED_VALUE"""),45533.0)</f>
        <v>45533</v>
      </c>
      <c r="H33" s="34"/>
      <c r="I33" s="37"/>
    </row>
    <row r="34" ht="22.5" customHeight="1">
      <c r="A34" s="30">
        <f>IFERROR(__xludf.DUMMYFUNCTION("""COMPUTED_VALUE"""),401.0)</f>
        <v>401</v>
      </c>
      <c r="B34" s="39" t="str">
        <f>IFERROR(__xludf.DUMMYFUNCTION("""COMPUTED_VALUE"""),"MASCARA PARA PCR - POCKET MASK")</f>
        <v>MASCARA PARA PCR - POCKET MASK</v>
      </c>
      <c r="C34" s="32">
        <f>IFERROR(__xludf.DUMMYFUNCTION("""COMPUTED_VALUE"""),1.0)</f>
        <v>1</v>
      </c>
      <c r="D34" s="33" t="str">
        <f>IFERROR(__xludf.DUMMYFUNCTION("""COMPUTED_VALUE"""),"VIATURA")</f>
        <v>VIATURA</v>
      </c>
      <c r="E34" s="34" t="str">
        <f>IFERROR(__xludf.DUMMYFUNCTION("""COMPUTED_VALUE"""),"1 - UR3486")</f>
        <v>1 - UR3486</v>
      </c>
      <c r="F34" s="34" t="str">
        <f>IFERROR(__xludf.DUMMYFUNCTION("""COMPUTED_VALUE"""),"BOLSA DE RESGATE")</f>
        <v>BOLSA DE RESGATE</v>
      </c>
      <c r="G34" s="35">
        <f>IFERROR(__xludf.DUMMYFUNCTION("""COMPUTED_VALUE"""),45533.0)</f>
        <v>45533</v>
      </c>
      <c r="H34" s="34"/>
      <c r="I34" s="37"/>
    </row>
    <row r="35" ht="22.5" customHeight="1">
      <c r="A35" s="30">
        <f>IFERROR(__xludf.DUMMYFUNCTION("""COMPUTED_VALUE"""),389.0)</f>
        <v>389</v>
      </c>
      <c r="B35" s="39" t="str">
        <f>IFERROR(__xludf.DUMMYFUNCTION("""COMPUTED_VALUE"""),"OCULOS DE SEGURANCA -")</f>
        <v>OCULOS DE SEGURANCA -</v>
      </c>
      <c r="C35" s="32">
        <f>IFERROR(__xludf.DUMMYFUNCTION("""COMPUTED_VALUE"""),3.0)</f>
        <v>3</v>
      </c>
      <c r="D35" s="33" t="str">
        <f>IFERROR(__xludf.DUMMYFUNCTION("""COMPUTED_VALUE"""),"VIATURA")</f>
        <v>VIATURA</v>
      </c>
      <c r="E35" s="34" t="str">
        <f>IFERROR(__xludf.DUMMYFUNCTION("""COMPUTED_VALUE"""),"1 - UR3486")</f>
        <v>1 - UR3486</v>
      </c>
      <c r="F35" s="34" t="str">
        <f>IFERROR(__xludf.DUMMYFUNCTION("""COMPUTED_VALUE"""),"BOLSA DE RESGATE")</f>
        <v>BOLSA DE RESGATE</v>
      </c>
      <c r="G35" s="35">
        <f>IFERROR(__xludf.DUMMYFUNCTION("""COMPUTED_VALUE"""),45533.0)</f>
        <v>45533</v>
      </c>
      <c r="H35" s="34"/>
      <c r="I35" s="37"/>
    </row>
    <row r="36" ht="22.5" customHeight="1">
      <c r="A36" s="30">
        <f>IFERROR(__xludf.DUMMYFUNCTION("""COMPUTED_VALUE"""),388.0)</f>
        <v>388</v>
      </c>
      <c r="B36" s="40" t="str">
        <f>IFERROR(__xludf.DUMMYFUNCTION("""COMPUTED_VALUE"""),"OXÍMETRO")</f>
        <v>OXÍMETRO</v>
      </c>
      <c r="C36" s="32">
        <f>IFERROR(__xludf.DUMMYFUNCTION("""COMPUTED_VALUE"""),1.0)</f>
        <v>1</v>
      </c>
      <c r="D36" s="33" t="str">
        <f>IFERROR(__xludf.DUMMYFUNCTION("""COMPUTED_VALUE"""),"VIATURA")</f>
        <v>VIATURA</v>
      </c>
      <c r="E36" s="34" t="str">
        <f>IFERROR(__xludf.DUMMYFUNCTION("""COMPUTED_VALUE"""),"1 - UR3486")</f>
        <v>1 - UR3486</v>
      </c>
      <c r="F36" s="34" t="str">
        <f>IFERROR(__xludf.DUMMYFUNCTION("""COMPUTED_VALUE"""),"BOLSA DE RESGATE")</f>
        <v>BOLSA DE RESGATE</v>
      </c>
      <c r="G36" s="35">
        <f>IFERROR(__xludf.DUMMYFUNCTION("""COMPUTED_VALUE"""),45533.0)</f>
        <v>45533</v>
      </c>
      <c r="H36" s="34"/>
      <c r="I36" s="37"/>
    </row>
    <row r="37" ht="22.5" customHeight="1">
      <c r="A37" s="30">
        <f>IFERROR(__xludf.DUMMYFUNCTION("""COMPUTED_VALUE"""),393.0)</f>
        <v>393</v>
      </c>
      <c r="B37" s="31" t="str">
        <f>IFERROR(__xludf.DUMMYFUNCTION("""COMPUTED_VALUE"""),"PINÇA  ")</f>
        <v>PINÇA  </v>
      </c>
      <c r="C37" s="32">
        <f>IFERROR(__xludf.DUMMYFUNCTION("""COMPUTED_VALUE"""),1.0)</f>
        <v>1</v>
      </c>
      <c r="D37" s="33" t="str">
        <f>IFERROR(__xludf.DUMMYFUNCTION("""COMPUTED_VALUE"""),"VIATURA")</f>
        <v>VIATURA</v>
      </c>
      <c r="E37" s="34" t="str">
        <f>IFERROR(__xludf.DUMMYFUNCTION("""COMPUTED_VALUE"""),"1 - UR3486")</f>
        <v>1 - UR3486</v>
      </c>
      <c r="F37" s="34" t="str">
        <f>IFERROR(__xludf.DUMMYFUNCTION("""COMPUTED_VALUE"""),"BOLSA DE RESGATE")</f>
        <v>BOLSA DE RESGATE</v>
      </c>
      <c r="G37" s="35">
        <f>IFERROR(__xludf.DUMMYFUNCTION("""COMPUTED_VALUE"""),45533.0)</f>
        <v>45533</v>
      </c>
      <c r="H37" s="34"/>
      <c r="I37" s="37"/>
    </row>
    <row r="38" ht="22.5" customHeight="1">
      <c r="A38" s="30">
        <f>IFERROR(__xludf.DUMMYFUNCTION("""COMPUTED_VALUE"""),392.0)</f>
        <v>392</v>
      </c>
      <c r="B38" s="31" t="str">
        <f>IFERROR(__xludf.DUMMYFUNCTION("""COMPUTED_VALUE"""),"PINÇA TIPO TESOURA")</f>
        <v>PINÇA TIPO TESOURA</v>
      </c>
      <c r="C38" s="32">
        <f>IFERROR(__xludf.DUMMYFUNCTION("""COMPUTED_VALUE"""),1.0)</f>
        <v>1</v>
      </c>
      <c r="D38" s="33" t="str">
        <f>IFERROR(__xludf.DUMMYFUNCTION("""COMPUTED_VALUE"""),"VIATURA")</f>
        <v>VIATURA</v>
      </c>
      <c r="E38" s="34" t="str">
        <f>IFERROR(__xludf.DUMMYFUNCTION("""COMPUTED_VALUE"""),"1 - UR3486")</f>
        <v>1 - UR3486</v>
      </c>
      <c r="F38" s="34" t="str">
        <f>IFERROR(__xludf.DUMMYFUNCTION("""COMPUTED_VALUE"""),"BOLSA DE RESGATE")</f>
        <v>BOLSA DE RESGATE</v>
      </c>
      <c r="G38" s="35">
        <f>IFERROR(__xludf.DUMMYFUNCTION("""COMPUTED_VALUE"""),45533.0)</f>
        <v>45533</v>
      </c>
      <c r="H38" s="34"/>
      <c r="I38" s="37"/>
    </row>
    <row r="39" ht="22.5" customHeight="1">
      <c r="A39" s="30">
        <f>IFERROR(__xludf.DUMMYFUNCTION("""COMPUTED_VALUE"""),399.0)</f>
        <v>399</v>
      </c>
      <c r="B39" s="31" t="str">
        <f>IFERROR(__xludf.DUMMYFUNCTION("""COMPUTED_VALUE"""),"QUEBRA VIDRO")</f>
        <v>QUEBRA VIDRO</v>
      </c>
      <c r="C39" s="32">
        <f>IFERROR(__xludf.DUMMYFUNCTION("""COMPUTED_VALUE"""),1.0)</f>
        <v>1</v>
      </c>
      <c r="D39" s="33" t="str">
        <f>IFERROR(__xludf.DUMMYFUNCTION("""COMPUTED_VALUE"""),"VIATURA")</f>
        <v>VIATURA</v>
      </c>
      <c r="E39" s="34" t="str">
        <f>IFERROR(__xludf.DUMMYFUNCTION("""COMPUTED_VALUE"""),"1 - UR3486")</f>
        <v>1 - UR3486</v>
      </c>
      <c r="F39" s="34" t="str">
        <f>IFERROR(__xludf.DUMMYFUNCTION("""COMPUTED_VALUE"""),"BOLSA DE RESGATE")</f>
        <v>BOLSA DE RESGATE</v>
      </c>
      <c r="G39" s="35">
        <f>IFERROR(__xludf.DUMMYFUNCTION("""COMPUTED_VALUE"""),45533.0)</f>
        <v>45533</v>
      </c>
      <c r="H39" s="34"/>
      <c r="I39" s="37"/>
    </row>
    <row r="40" ht="22.5" customHeight="1">
      <c r="A40" s="30">
        <f>IFERROR(__xludf.DUMMYFUNCTION("""COMPUTED_VALUE"""),407.0)</f>
        <v>407</v>
      </c>
      <c r="B40" s="31" t="str">
        <f>IFERROR(__xludf.DUMMYFUNCTION("""COMPUTED_VALUE"""),"TERMÔMETRO A LASER")</f>
        <v>TERMÔMETRO A LASER</v>
      </c>
      <c r="C40" s="32">
        <f>IFERROR(__xludf.DUMMYFUNCTION("""COMPUTED_VALUE"""),1.0)</f>
        <v>1</v>
      </c>
      <c r="D40" s="33" t="str">
        <f>IFERROR(__xludf.DUMMYFUNCTION("""COMPUTED_VALUE"""),"VIATURA")</f>
        <v>VIATURA</v>
      </c>
      <c r="E40" s="34" t="str">
        <f>IFERROR(__xludf.DUMMYFUNCTION("""COMPUTED_VALUE"""),"1 - UR3486")</f>
        <v>1 - UR3486</v>
      </c>
      <c r="F40" s="34" t="str">
        <f>IFERROR(__xludf.DUMMYFUNCTION("""COMPUTED_VALUE"""),"BOLSA DE RESGATE")</f>
        <v>BOLSA DE RESGATE</v>
      </c>
      <c r="G40" s="35">
        <f>IFERROR(__xludf.DUMMYFUNCTION("""COMPUTED_VALUE"""),45533.0)</f>
        <v>45533</v>
      </c>
      <c r="H40" s="34"/>
      <c r="I40" s="37"/>
    </row>
    <row r="41" ht="22.5" customHeight="1">
      <c r="A41" s="30">
        <f>IFERROR(__xludf.DUMMYFUNCTION("""COMPUTED_VALUE"""),387.0)</f>
        <v>387</v>
      </c>
      <c r="B41" s="31" t="str">
        <f>IFERROR(__xludf.DUMMYFUNCTION("""COMPUTED_VALUE"""),"TERMÔMETRO DIGITAL")</f>
        <v>TERMÔMETRO DIGITAL</v>
      </c>
      <c r="C41" s="32">
        <f>IFERROR(__xludf.DUMMYFUNCTION("""COMPUTED_VALUE"""),2.0)</f>
        <v>2</v>
      </c>
      <c r="D41" s="33" t="str">
        <f>IFERROR(__xludf.DUMMYFUNCTION("""COMPUTED_VALUE"""),"VIATURA")</f>
        <v>VIATURA</v>
      </c>
      <c r="E41" s="34" t="str">
        <f>IFERROR(__xludf.DUMMYFUNCTION("""COMPUTED_VALUE"""),"1 - UR3486")</f>
        <v>1 - UR3486</v>
      </c>
      <c r="F41" s="34" t="str">
        <f>IFERROR(__xludf.DUMMYFUNCTION("""COMPUTED_VALUE"""),"BOLSA DE RESGATE")</f>
        <v>BOLSA DE RESGATE</v>
      </c>
      <c r="G41" s="35">
        <f>IFERROR(__xludf.DUMMYFUNCTION("""COMPUTED_VALUE"""),45533.0)</f>
        <v>45533</v>
      </c>
      <c r="H41" s="34"/>
      <c r="I41" s="37"/>
    </row>
    <row r="42" ht="22.5" customHeight="1">
      <c r="A42" s="30">
        <f>IFERROR(__xludf.DUMMYFUNCTION("""COMPUTED_VALUE"""),391.0)</f>
        <v>391</v>
      </c>
      <c r="B42" s="31" t="str">
        <f>IFERROR(__xludf.DUMMYFUNCTION("""COMPUTED_VALUE"""),"TESOURA -")</f>
        <v>TESOURA -</v>
      </c>
      <c r="C42" s="32">
        <f>IFERROR(__xludf.DUMMYFUNCTION("""COMPUTED_VALUE"""),1.0)</f>
        <v>1</v>
      </c>
      <c r="D42" s="33" t="str">
        <f>IFERROR(__xludf.DUMMYFUNCTION("""COMPUTED_VALUE"""),"VIATURA")</f>
        <v>VIATURA</v>
      </c>
      <c r="E42" s="34" t="str">
        <f>IFERROR(__xludf.DUMMYFUNCTION("""COMPUTED_VALUE"""),"1 - UR3486")</f>
        <v>1 - UR3486</v>
      </c>
      <c r="F42" s="34" t="str">
        <f>IFERROR(__xludf.DUMMYFUNCTION("""COMPUTED_VALUE"""),"BOLSA DE RESGATE")</f>
        <v>BOLSA DE RESGATE</v>
      </c>
      <c r="G42" s="35">
        <f>IFERROR(__xludf.DUMMYFUNCTION("""COMPUTED_VALUE"""),45533.0)</f>
        <v>45533</v>
      </c>
      <c r="H42" s="34"/>
      <c r="I42" s="37"/>
    </row>
    <row r="43" ht="22.5" customHeight="1">
      <c r="A43" s="30">
        <f>IFERROR(__xludf.DUMMYFUNCTION("""COMPUTED_VALUE"""),405.0)</f>
        <v>405</v>
      </c>
      <c r="B43" s="31" t="str">
        <f>IFERROR(__xludf.DUMMYFUNCTION("""COMPUTED_VALUE"""),"TORNIQUETE")</f>
        <v>TORNIQUETE</v>
      </c>
      <c r="C43" s="32">
        <f>IFERROR(__xludf.DUMMYFUNCTION("""COMPUTED_VALUE"""),1.0)</f>
        <v>1</v>
      </c>
      <c r="D43" s="33" t="str">
        <f>IFERROR(__xludf.DUMMYFUNCTION("""COMPUTED_VALUE"""),"VIATURA")</f>
        <v>VIATURA</v>
      </c>
      <c r="E43" s="34" t="str">
        <f>IFERROR(__xludf.DUMMYFUNCTION("""COMPUTED_VALUE"""),"1 - UR3486")</f>
        <v>1 - UR3486</v>
      </c>
      <c r="F43" s="34" t="str">
        <f>IFERROR(__xludf.DUMMYFUNCTION("""COMPUTED_VALUE"""),"BOLSA DE RESGATE")</f>
        <v>BOLSA DE RESGATE</v>
      </c>
      <c r="G43" s="35">
        <f>IFERROR(__xludf.DUMMYFUNCTION("""COMPUTED_VALUE"""),45533.0)</f>
        <v>45533</v>
      </c>
      <c r="H43" s="34"/>
      <c r="I43" s="37"/>
    </row>
    <row r="44" ht="22.5" customHeight="1">
      <c r="A44" s="30">
        <f>IFERROR(__xludf.DUMMYFUNCTION("""COMPUTED_VALUE"""),781.0)</f>
        <v>781</v>
      </c>
      <c r="B44" s="31" t="str">
        <f>IFERROR(__xludf.DUMMYFUNCTION("""COMPUTED_VALUE"""),"ÁGUA OXIGENADA")</f>
        <v>ÁGUA OXIGENADA</v>
      </c>
      <c r="C44" s="32"/>
      <c r="D44" s="33" t="str">
        <f>IFERROR(__xludf.DUMMYFUNCTION("""COMPUTED_VALUE"""),"VIATURA")</f>
        <v>VIATURA</v>
      </c>
      <c r="E44" s="34" t="str">
        <f>IFERROR(__xludf.DUMMYFUNCTION("""COMPUTED_VALUE"""),"1 - UR3486")</f>
        <v>1 - UR3486</v>
      </c>
      <c r="F44" s="34" t="str">
        <f>IFERROR(__xludf.DUMMYFUNCTION("""COMPUTED_VALUE"""),"MATERIAL DE CONSUMO")</f>
        <v>MATERIAL DE CONSUMO</v>
      </c>
      <c r="G44" s="35"/>
      <c r="H44" s="34"/>
      <c r="I44" s="37"/>
    </row>
    <row r="45" ht="22.5" customHeight="1">
      <c r="A45" s="30">
        <f>IFERROR(__xludf.DUMMYFUNCTION("""COMPUTED_VALUE"""),780.0)</f>
        <v>780</v>
      </c>
      <c r="B45" s="31" t="str">
        <f>IFERROR(__xludf.DUMMYFUNCTION("""COMPUTED_VALUE"""),"ÁLCOOL LÍQUIDO")</f>
        <v>ÁLCOOL LÍQUIDO</v>
      </c>
      <c r="C45" s="32"/>
      <c r="D45" s="33" t="str">
        <f>IFERROR(__xludf.DUMMYFUNCTION("""COMPUTED_VALUE"""),"VIATURA")</f>
        <v>VIATURA</v>
      </c>
      <c r="E45" s="34" t="str">
        <f>IFERROR(__xludf.DUMMYFUNCTION("""COMPUTED_VALUE"""),"1 - UR3486")</f>
        <v>1 - UR3486</v>
      </c>
      <c r="F45" s="34" t="str">
        <f>IFERROR(__xludf.DUMMYFUNCTION("""COMPUTED_VALUE"""),"MATERIAL DE CONSUMO")</f>
        <v>MATERIAL DE CONSUMO</v>
      </c>
      <c r="G45" s="35"/>
      <c r="H45" s="34"/>
      <c r="I45" s="37"/>
    </row>
    <row r="46" ht="22.5" customHeight="1">
      <c r="A46" s="30">
        <f>IFERROR(__xludf.DUMMYFUNCTION("""COMPUTED_VALUE"""),778.0)</f>
        <v>778</v>
      </c>
      <c r="B46" s="40" t="str">
        <f>IFERROR(__xludf.DUMMYFUNCTION("""COMPUTED_VALUE"""),"ATADURAS")</f>
        <v>ATADURAS</v>
      </c>
      <c r="C46" s="32"/>
      <c r="D46" s="33" t="str">
        <f>IFERROR(__xludf.DUMMYFUNCTION("""COMPUTED_VALUE"""),"VIATURA")</f>
        <v>VIATURA</v>
      </c>
      <c r="E46" s="34" t="str">
        <f>IFERROR(__xludf.DUMMYFUNCTION("""COMPUTED_VALUE"""),"1 - UR3486")</f>
        <v>1 - UR3486</v>
      </c>
      <c r="F46" s="34" t="str">
        <f>IFERROR(__xludf.DUMMYFUNCTION("""COMPUTED_VALUE"""),"MATERIAL DE CONSUMO")</f>
        <v>MATERIAL DE CONSUMO</v>
      </c>
      <c r="G46" s="35"/>
      <c r="H46" s="34"/>
      <c r="I46" s="37"/>
    </row>
    <row r="47" ht="22.5" customHeight="1">
      <c r="A47" s="30">
        <f>IFERROR(__xludf.DUMMYFUNCTION("""COMPUTED_VALUE"""),774.0)</f>
        <v>774</v>
      </c>
      <c r="B47" s="31" t="str">
        <f>IFERROR(__xludf.DUMMYFUNCTION("""COMPUTED_VALUE"""),"CAIXA DE LUVAS DESCARTÁVEIS M")</f>
        <v>CAIXA DE LUVAS DESCARTÁVEIS M</v>
      </c>
      <c r="C47" s="32">
        <f>IFERROR(__xludf.DUMMYFUNCTION("""COMPUTED_VALUE"""),5.0)</f>
        <v>5</v>
      </c>
      <c r="D47" s="33" t="str">
        <f>IFERROR(__xludf.DUMMYFUNCTION("""COMPUTED_VALUE"""),"VIATURA")</f>
        <v>VIATURA</v>
      </c>
      <c r="E47" s="34" t="str">
        <f>IFERROR(__xludf.DUMMYFUNCTION("""COMPUTED_VALUE"""),"1 - UR3486")</f>
        <v>1 - UR3486</v>
      </c>
      <c r="F47" s="34" t="str">
        <f>IFERROR(__xludf.DUMMYFUNCTION("""COMPUTED_VALUE"""),"MATERIAL DE CONSUMO")</f>
        <v>MATERIAL DE CONSUMO</v>
      </c>
      <c r="G47" s="35"/>
      <c r="H47" s="34"/>
      <c r="I47" s="37"/>
    </row>
    <row r="48" ht="22.5" customHeight="1">
      <c r="A48" s="30">
        <f>IFERROR(__xludf.DUMMYFUNCTION("""COMPUTED_VALUE"""),775.0)</f>
        <v>775</v>
      </c>
      <c r="B48" s="31" t="str">
        <f>IFERROR(__xludf.DUMMYFUNCTION("""COMPUTED_VALUE"""),"CAIXA DE MASCARAS TRIPLA DESCARTÁVEL")</f>
        <v>CAIXA DE MASCARAS TRIPLA DESCARTÁVEL</v>
      </c>
      <c r="C48" s="32"/>
      <c r="D48" s="33" t="str">
        <f>IFERROR(__xludf.DUMMYFUNCTION("""COMPUTED_VALUE"""),"VIATURA")</f>
        <v>VIATURA</v>
      </c>
      <c r="E48" s="34" t="str">
        <f>IFERROR(__xludf.DUMMYFUNCTION("""COMPUTED_VALUE"""),"1 - UR3486")</f>
        <v>1 - UR3486</v>
      </c>
      <c r="F48" s="34" t="str">
        <f>IFERROR(__xludf.DUMMYFUNCTION("""COMPUTED_VALUE"""),"MATERIAL DE CONSUMO")</f>
        <v>MATERIAL DE CONSUMO</v>
      </c>
      <c r="G48" s="35"/>
      <c r="H48" s="34"/>
      <c r="I48" s="37"/>
    </row>
    <row r="49" ht="22.5" customHeight="1">
      <c r="A49" s="30">
        <f>IFERROR(__xludf.DUMMYFUNCTION("""COMPUTED_VALUE"""),776.0)</f>
        <v>776</v>
      </c>
      <c r="B49" s="31" t="str">
        <f>IFERROR(__xludf.DUMMYFUNCTION("""COMPUTED_VALUE"""),"CAMPO OPERATÓRIO")</f>
        <v>CAMPO OPERATÓRIO</v>
      </c>
      <c r="C49" s="32"/>
      <c r="D49" s="33" t="str">
        <f>IFERROR(__xludf.DUMMYFUNCTION("""COMPUTED_VALUE"""),"VIATURA")</f>
        <v>VIATURA</v>
      </c>
      <c r="E49" s="34" t="str">
        <f>IFERROR(__xludf.DUMMYFUNCTION("""COMPUTED_VALUE"""),"1 - UR3486")</f>
        <v>1 - UR3486</v>
      </c>
      <c r="F49" s="34" t="str">
        <f>IFERROR(__xludf.DUMMYFUNCTION("""COMPUTED_VALUE"""),"MATERIAL DE CONSUMO")</f>
        <v>MATERIAL DE CONSUMO</v>
      </c>
      <c r="G49" s="35"/>
      <c r="H49" s="34"/>
      <c r="I49" s="37"/>
    </row>
    <row r="50" ht="22.5" customHeight="1">
      <c r="A50" s="30">
        <f>IFERROR(__xludf.DUMMYFUNCTION("""COMPUTED_VALUE"""),784.0)</f>
        <v>784</v>
      </c>
      <c r="B50" s="40" t="str">
        <f>IFERROR(__xludf.DUMMYFUNCTION("""COMPUTED_VALUE"""),"CLORO")</f>
        <v>CLORO</v>
      </c>
      <c r="C50" s="32"/>
      <c r="D50" s="33" t="str">
        <f>IFERROR(__xludf.DUMMYFUNCTION("""COMPUTED_VALUE"""),"VIATURA")</f>
        <v>VIATURA</v>
      </c>
      <c r="E50" s="34" t="str">
        <f>IFERROR(__xludf.DUMMYFUNCTION("""COMPUTED_VALUE"""),"1 - UR3486")</f>
        <v>1 - UR3486</v>
      </c>
      <c r="F50" s="34" t="str">
        <f>IFERROR(__xludf.DUMMYFUNCTION("""COMPUTED_VALUE"""),"MATERIAL DE CONSUMO")</f>
        <v>MATERIAL DE CONSUMO</v>
      </c>
      <c r="G50" s="35"/>
      <c r="H50" s="34"/>
      <c r="I50" s="37"/>
    </row>
    <row r="51" ht="22.5" customHeight="1">
      <c r="A51" s="30">
        <f>IFERROR(__xludf.DUMMYFUNCTION("""COMPUTED_VALUE"""),755.0)</f>
        <v>755</v>
      </c>
      <c r="B51" s="31" t="str">
        <f>IFERROR(__xludf.DUMMYFUNCTION("""COMPUTED_VALUE"""),"COLAR CERVICAL")</f>
        <v>COLAR CERVICAL</v>
      </c>
      <c r="C51" s="32"/>
      <c r="D51" s="33" t="str">
        <f>IFERROR(__xludf.DUMMYFUNCTION("""COMPUTED_VALUE"""),"VIATURA")</f>
        <v>VIATURA</v>
      </c>
      <c r="E51" s="34" t="str">
        <f>IFERROR(__xludf.DUMMYFUNCTION("""COMPUTED_VALUE"""),"1 - UR3486")</f>
        <v>1 - UR3486</v>
      </c>
      <c r="F51" s="34" t="str">
        <f>IFERROR(__xludf.DUMMYFUNCTION("""COMPUTED_VALUE"""),"MATERIAL DE CONSUMO")</f>
        <v>MATERIAL DE CONSUMO</v>
      </c>
      <c r="G51" s="35"/>
      <c r="H51" s="34"/>
      <c r="I51" s="37"/>
    </row>
    <row r="52" ht="22.5" customHeight="1">
      <c r="A52" s="30">
        <f>IFERROR(__xludf.DUMMYFUNCTION("""COMPUTED_VALUE"""),779.0)</f>
        <v>779</v>
      </c>
      <c r="B52" s="31" t="str">
        <f>IFERROR(__xludf.DUMMYFUNCTION("""COMPUTED_VALUE"""),"ESPARADRAPO")</f>
        <v>ESPARADRAPO</v>
      </c>
      <c r="C52" s="32"/>
      <c r="D52" s="33" t="str">
        <f>IFERROR(__xludf.DUMMYFUNCTION("""COMPUTED_VALUE"""),"VIATURA")</f>
        <v>VIATURA</v>
      </c>
      <c r="E52" s="34" t="str">
        <f>IFERROR(__xludf.DUMMYFUNCTION("""COMPUTED_VALUE"""),"1 - UR3486")</f>
        <v>1 - UR3486</v>
      </c>
      <c r="F52" s="34" t="str">
        <f>IFERROR(__xludf.DUMMYFUNCTION("""COMPUTED_VALUE"""),"MATERIAL DE CONSUMO")</f>
        <v>MATERIAL DE CONSUMO</v>
      </c>
      <c r="G52" s="35"/>
      <c r="H52" s="34"/>
      <c r="I52" s="37"/>
    </row>
    <row r="53" ht="22.5" customHeight="1">
      <c r="A53" s="30">
        <f>IFERROR(__xludf.DUMMYFUNCTION("""COMPUTED_VALUE"""),777.0)</f>
        <v>777</v>
      </c>
      <c r="B53" s="31" t="str">
        <f>IFERROR(__xludf.DUMMYFUNCTION("""COMPUTED_VALUE"""),"GAZE")</f>
        <v>GAZE</v>
      </c>
      <c r="C53" s="32"/>
      <c r="D53" s="33" t="str">
        <f>IFERROR(__xludf.DUMMYFUNCTION("""COMPUTED_VALUE"""),"VIATURA")</f>
        <v>VIATURA</v>
      </c>
      <c r="E53" s="34" t="str">
        <f>IFERROR(__xludf.DUMMYFUNCTION("""COMPUTED_VALUE"""),"1 - UR3486")</f>
        <v>1 - UR3486</v>
      </c>
      <c r="F53" s="34" t="str">
        <f>IFERROR(__xludf.DUMMYFUNCTION("""COMPUTED_VALUE"""),"MATERIAL DE CONSUMO")</f>
        <v>MATERIAL DE CONSUMO</v>
      </c>
      <c r="G53" s="35"/>
      <c r="H53" s="34"/>
      <c r="I53" s="37"/>
    </row>
    <row r="54" ht="22.5" customHeight="1">
      <c r="A54" s="30">
        <f>IFERROR(__xludf.DUMMYFUNCTION("""COMPUTED_VALUE"""),783.0)</f>
        <v>783</v>
      </c>
      <c r="B54" s="31" t="str">
        <f>IFERROR(__xludf.DUMMYFUNCTION("""COMPUTED_VALUE"""),"KIT PARA PARTO -")</f>
        <v>KIT PARA PARTO -</v>
      </c>
      <c r="C54" s="32"/>
      <c r="D54" s="33" t="str">
        <f>IFERROR(__xludf.DUMMYFUNCTION("""COMPUTED_VALUE"""),"VIATURA")</f>
        <v>VIATURA</v>
      </c>
      <c r="E54" s="34" t="str">
        <f>IFERROR(__xludf.DUMMYFUNCTION("""COMPUTED_VALUE"""),"1 - UR3486")</f>
        <v>1 - UR3486</v>
      </c>
      <c r="F54" s="34" t="str">
        <f>IFERROR(__xludf.DUMMYFUNCTION("""COMPUTED_VALUE"""),"MATERIAL DE CONSUMO")</f>
        <v>MATERIAL DE CONSUMO</v>
      </c>
      <c r="G54" s="35"/>
      <c r="H54" s="34"/>
      <c r="I54" s="37"/>
    </row>
    <row r="55" ht="22.5" customHeight="1">
      <c r="A55" s="30">
        <f>IFERROR(__xludf.DUMMYFUNCTION("""COMPUTED_VALUE"""),782.0)</f>
        <v>782</v>
      </c>
      <c r="B55" s="31" t="str">
        <f>IFERROR(__xludf.DUMMYFUNCTION("""COMPUTED_VALUE"""),"KIT QUEIMADURA")</f>
        <v>KIT QUEIMADURA</v>
      </c>
      <c r="C55" s="32"/>
      <c r="D55" s="33" t="str">
        <f>IFERROR(__xludf.DUMMYFUNCTION("""COMPUTED_VALUE"""),"VIATURA")</f>
        <v>VIATURA</v>
      </c>
      <c r="E55" s="34" t="str">
        <f>IFERROR(__xludf.DUMMYFUNCTION("""COMPUTED_VALUE"""),"1 - UR3486")</f>
        <v>1 - UR3486</v>
      </c>
      <c r="F55" s="34" t="str">
        <f>IFERROR(__xludf.DUMMYFUNCTION("""COMPUTED_VALUE"""),"MATERIAL DE CONSUMO")</f>
        <v>MATERIAL DE CONSUMO</v>
      </c>
      <c r="G55" s="35"/>
      <c r="H55" s="34"/>
      <c r="I55" s="37"/>
    </row>
    <row r="56" ht="22.5" customHeight="1">
      <c r="A56" s="30">
        <f>IFERROR(__xludf.DUMMYFUNCTION("""COMPUTED_VALUE"""),787.0)</f>
        <v>787</v>
      </c>
      <c r="B56" s="31" t="str">
        <f>IFERROR(__xludf.DUMMYFUNCTION("""COMPUTED_VALUE"""),"MANTA ALUMINIZADA -")</f>
        <v>MANTA ALUMINIZADA -</v>
      </c>
      <c r="C56" s="32"/>
      <c r="D56" s="33" t="str">
        <f>IFERROR(__xludf.DUMMYFUNCTION("""COMPUTED_VALUE"""),"VIATURA")</f>
        <v>VIATURA</v>
      </c>
      <c r="E56" s="34" t="str">
        <f>IFERROR(__xludf.DUMMYFUNCTION("""COMPUTED_VALUE"""),"1 - UR3486")</f>
        <v>1 - UR3486</v>
      </c>
      <c r="F56" s="34" t="str">
        <f>IFERROR(__xludf.DUMMYFUNCTION("""COMPUTED_VALUE"""),"MATERIAL DE CONSUMO")</f>
        <v>MATERIAL DE CONSUMO</v>
      </c>
      <c r="G56" s="35"/>
      <c r="H56" s="34"/>
      <c r="I56" s="37"/>
    </row>
    <row r="57" ht="22.5" customHeight="1">
      <c r="A57" s="30">
        <f>IFERROR(__xludf.DUMMYFUNCTION("""COMPUTED_VALUE"""),785.0)</f>
        <v>785</v>
      </c>
      <c r="B57" s="31" t="str">
        <f>IFERROR(__xludf.DUMMYFUNCTION("""COMPUTED_VALUE"""),"SACO PARA COLETA DE RESIDUOS DE SAUDE -")</f>
        <v>SACO PARA COLETA DE RESIDUOS DE SAUDE -</v>
      </c>
      <c r="C57" s="32"/>
      <c r="D57" s="33" t="str">
        <f>IFERROR(__xludf.DUMMYFUNCTION("""COMPUTED_VALUE"""),"VIATURA")</f>
        <v>VIATURA</v>
      </c>
      <c r="E57" s="34" t="str">
        <f>IFERROR(__xludf.DUMMYFUNCTION("""COMPUTED_VALUE"""),"1 - UR3486")</f>
        <v>1 - UR3486</v>
      </c>
      <c r="F57" s="34" t="str">
        <f>IFERROR(__xludf.DUMMYFUNCTION("""COMPUTED_VALUE"""),"MATERIAL DE CONSUMO")</f>
        <v>MATERIAL DE CONSUMO</v>
      </c>
      <c r="G57" s="35"/>
      <c r="H57" s="34"/>
      <c r="I57" s="37"/>
    </row>
    <row r="58" ht="22.5" customHeight="1">
      <c r="A58" s="30">
        <f>IFERROR(__xludf.DUMMYFUNCTION("""COMPUTED_VALUE"""),788.0)</f>
        <v>788</v>
      </c>
      <c r="B58" s="31" t="str">
        <f>IFERROR(__xludf.DUMMYFUNCTION("""COMPUTED_VALUE"""),"SORO FISIOLÓGICO")</f>
        <v>SORO FISIOLÓGICO</v>
      </c>
      <c r="C58" s="32"/>
      <c r="D58" s="33" t="str">
        <f>IFERROR(__xludf.DUMMYFUNCTION("""COMPUTED_VALUE"""),"VIATURA")</f>
        <v>VIATURA</v>
      </c>
      <c r="E58" s="34" t="str">
        <f>IFERROR(__xludf.DUMMYFUNCTION("""COMPUTED_VALUE"""),"1 - UR3486")</f>
        <v>1 - UR3486</v>
      </c>
      <c r="F58" s="34" t="str">
        <f>IFERROR(__xludf.DUMMYFUNCTION("""COMPUTED_VALUE"""),"MATERIAL DE CONSUMO")</f>
        <v>MATERIAL DE CONSUMO</v>
      </c>
      <c r="G58" s="35"/>
      <c r="H58" s="34"/>
      <c r="I58" s="37"/>
    </row>
    <row r="59" ht="22.5" customHeight="1">
      <c r="A59" s="30">
        <f>IFERROR(__xludf.DUMMYFUNCTION("""COMPUTED_VALUE"""),773.0)</f>
        <v>773</v>
      </c>
      <c r="B59" s="31" t="str">
        <f>IFERROR(__xludf.DUMMYFUNCTION("""COMPUTED_VALUE"""),"TALA MOLDÁVEL M")</f>
        <v>TALA MOLDÁVEL M</v>
      </c>
      <c r="C59" s="32"/>
      <c r="D59" s="33" t="str">
        <f>IFERROR(__xludf.DUMMYFUNCTION("""COMPUTED_VALUE"""),"VIATURA")</f>
        <v>VIATURA</v>
      </c>
      <c r="E59" s="34" t="str">
        <f>IFERROR(__xludf.DUMMYFUNCTION("""COMPUTED_VALUE"""),"1 - UR3486")</f>
        <v>1 - UR3486</v>
      </c>
      <c r="F59" s="34" t="str">
        <f>IFERROR(__xludf.DUMMYFUNCTION("""COMPUTED_VALUE"""),"MATERIAL DE CONSUMO")</f>
        <v>MATERIAL DE CONSUMO</v>
      </c>
      <c r="G59" s="35"/>
      <c r="H59" s="34"/>
      <c r="I59" s="37"/>
    </row>
    <row r="60" ht="22.5" customHeight="1">
      <c r="A60" s="30">
        <f>IFERROR(__xludf.DUMMYFUNCTION("""COMPUTED_VALUE"""),786.0)</f>
        <v>786</v>
      </c>
      <c r="B60" s="31" t="str">
        <f>IFERROR(__xludf.DUMMYFUNCTION("""COMPUTED_VALUE"""),"TOALHA DE PAPEL (SC) -")</f>
        <v>TOALHA DE PAPEL (SC) -</v>
      </c>
      <c r="C60" s="32"/>
      <c r="D60" s="33" t="str">
        <f>IFERROR(__xludf.DUMMYFUNCTION("""COMPUTED_VALUE"""),"VIATURA")</f>
        <v>VIATURA</v>
      </c>
      <c r="E60" s="34" t="str">
        <f>IFERROR(__xludf.DUMMYFUNCTION("""COMPUTED_VALUE"""),"1 - UR3486")</f>
        <v>1 - UR3486</v>
      </c>
      <c r="F60" s="34" t="str">
        <f>IFERROR(__xludf.DUMMYFUNCTION("""COMPUTED_VALUE"""),"MATERIAL DE CONSUMO")</f>
        <v>MATERIAL DE CONSUMO</v>
      </c>
      <c r="G60" s="35"/>
      <c r="H60" s="34"/>
      <c r="I60" s="37"/>
    </row>
    <row r="61" ht="22.5" customHeight="1">
      <c r="A61" s="30">
        <f>IFERROR(__xludf.DUMMYFUNCTION("""COMPUTED_VALUE"""),24.0)</f>
        <v>24</v>
      </c>
      <c r="B61" s="31" t="str">
        <f>IFERROR(__xludf.DUMMYFUNCTION("""COMPUTED_VALUE"""),"ASPIRADOR DE SECRECAO -")</f>
        <v>ASPIRADOR DE SECRECAO -</v>
      </c>
      <c r="C61" s="32">
        <f>IFERROR(__xludf.DUMMYFUNCTION("""COMPUTED_VALUE"""),1.0)</f>
        <v>1</v>
      </c>
      <c r="D61" s="33" t="str">
        <f>IFERROR(__xludf.DUMMYFUNCTION("""COMPUTED_VALUE"""),"VIATURA")</f>
        <v>VIATURA</v>
      </c>
      <c r="E61" s="34" t="str">
        <f>IFERROR(__xludf.DUMMYFUNCTION("""COMPUTED_VALUE"""),"1 - UR3486")</f>
        <v>1 - UR3486</v>
      </c>
      <c r="F61" s="34" t="str">
        <f>IFERROR(__xludf.DUMMYFUNCTION("""COMPUTED_VALUE"""),"PRATELEIRAS E GAVETAS")</f>
        <v>PRATELEIRAS E GAVETAS</v>
      </c>
      <c r="G61" s="35">
        <f>IFERROR(__xludf.DUMMYFUNCTION("""COMPUTED_VALUE"""),7.6740536E7)</f>
        <v>76740536</v>
      </c>
      <c r="H61" s="34"/>
      <c r="I61" s="37"/>
    </row>
    <row r="62" ht="22.5" customHeight="1">
      <c r="A62" s="30">
        <f>IFERROR(__xludf.DUMMYFUNCTION("""COMPUTED_VALUE"""),412.0)</f>
        <v>412</v>
      </c>
      <c r="B62" s="31" t="str">
        <f>IFERROR(__xludf.DUMMYFUNCTION("""COMPUTED_VALUE"""),"CINTA PARA ESTABILIZAÇÃO PÉLVICA")</f>
        <v>CINTA PARA ESTABILIZAÇÃO PÉLVICA</v>
      </c>
      <c r="C62" s="32">
        <f>IFERROR(__xludf.DUMMYFUNCTION("""COMPUTED_VALUE"""),1.0)</f>
        <v>1</v>
      </c>
      <c r="D62" s="33" t="str">
        <f>IFERROR(__xludf.DUMMYFUNCTION("""COMPUTED_VALUE"""),"VIATURA")</f>
        <v>VIATURA</v>
      </c>
      <c r="E62" s="34" t="str">
        <f>IFERROR(__xludf.DUMMYFUNCTION("""COMPUTED_VALUE"""),"1 - UR3486")</f>
        <v>1 - UR3486</v>
      </c>
      <c r="F62" s="34" t="str">
        <f>IFERROR(__xludf.DUMMYFUNCTION("""COMPUTED_VALUE"""),"PRATELEIRAS E GAVETAS")</f>
        <v>PRATELEIRAS E GAVETAS</v>
      </c>
      <c r="G62" s="35">
        <f>IFERROR(__xludf.DUMMYFUNCTION("""COMPUTED_VALUE"""),46062.0)</f>
        <v>46062</v>
      </c>
      <c r="H62" s="34"/>
      <c r="I62" s="37"/>
    </row>
    <row r="63" ht="22.5" customHeight="1">
      <c r="A63" s="30">
        <f>IFERROR(__xludf.DUMMYFUNCTION("""COMPUTED_VALUE"""),1037.0)</f>
        <v>1037</v>
      </c>
      <c r="B63" s="31" t="str">
        <f>IFERROR(__xludf.DUMMYFUNCTION("""COMPUTED_VALUE"""),"DESFIBRILADOR CARDIACO -")</f>
        <v>DESFIBRILADOR CARDIACO -</v>
      </c>
      <c r="C63" s="32">
        <f>IFERROR(__xludf.DUMMYFUNCTION("""COMPUTED_VALUE"""),1.0)</f>
        <v>1</v>
      </c>
      <c r="D63" s="33" t="str">
        <f>IFERROR(__xludf.DUMMYFUNCTION("""COMPUTED_VALUE"""),"VIATURA")</f>
        <v>VIATURA</v>
      </c>
      <c r="E63" s="34" t="str">
        <f>IFERROR(__xludf.DUMMYFUNCTION("""COMPUTED_VALUE"""),"1 - UR3486")</f>
        <v>1 - UR3486</v>
      </c>
      <c r="F63" s="34" t="str">
        <f>IFERROR(__xludf.DUMMYFUNCTION("""COMPUTED_VALUE"""),"PRATELEIRAS E GAVETAS")</f>
        <v>PRATELEIRAS E GAVETAS</v>
      </c>
      <c r="G63" s="35">
        <f>IFERROR(__xludf.DUMMYFUNCTION("""COMPUTED_VALUE"""),7.6750507E7)</f>
        <v>76750507</v>
      </c>
      <c r="H63" s="34" t="str">
        <f>IFERROR(__xludf.DUMMYFUNCTION("""COMPUTED_VALUE"""),"B20E-00854")</f>
        <v>B20E-00854</v>
      </c>
      <c r="I63" s="37" t="str">
        <f>IFERROR(__xludf.DUMMYFUNCTION("""COMPUTED_VALUE"""),"Philips HeartStart Mod.861304 n.sB20E-00932")</f>
        <v>Philips HeartStart Mod.861304 n.sB20E-00932</v>
      </c>
    </row>
    <row r="64" ht="22.5" customHeight="1">
      <c r="A64" s="30">
        <f>IFERROR(__xludf.DUMMYFUNCTION("""COMPUTED_VALUE"""),364.0)</f>
        <v>364</v>
      </c>
      <c r="B64" s="31" t="str">
        <f>IFERROR(__xludf.DUMMYFUNCTION("""COMPUTED_VALUE"""),"FLUXÔMETRO")</f>
        <v>FLUXÔMETRO</v>
      </c>
      <c r="C64" s="32">
        <f>IFERROR(__xludf.DUMMYFUNCTION("""COMPUTED_VALUE"""),1.0)</f>
        <v>1</v>
      </c>
      <c r="D64" s="33" t="str">
        <f>IFERROR(__xludf.DUMMYFUNCTION("""COMPUTED_VALUE"""),"VIATURA")</f>
        <v>VIATURA</v>
      </c>
      <c r="E64" s="34" t="str">
        <f>IFERROR(__xludf.DUMMYFUNCTION("""COMPUTED_VALUE"""),"1 - UR3486")</f>
        <v>1 - UR3486</v>
      </c>
      <c r="F64" s="34" t="str">
        <f>IFERROR(__xludf.DUMMYFUNCTION("""COMPUTED_VALUE"""),"PRATELEIRAS E GAVETAS")</f>
        <v>PRATELEIRAS E GAVETAS</v>
      </c>
      <c r="G64" s="35">
        <f>IFERROR(__xludf.DUMMYFUNCTION("""COMPUTED_VALUE"""),45533.0)</f>
        <v>45533</v>
      </c>
      <c r="H64" s="34"/>
      <c r="I64" s="37"/>
    </row>
    <row r="65" ht="22.5" customHeight="1">
      <c r="A65" s="30">
        <f>IFERROR(__xludf.DUMMYFUNCTION("""COMPUTED_VALUE"""),408.0)</f>
        <v>408</v>
      </c>
      <c r="B65" s="40" t="str">
        <f>IFERROR(__xludf.DUMMYFUNCTION("""COMPUTED_VALUE"""),"IMOBILIZADOR DE NUCA E CABECA -")</f>
        <v>IMOBILIZADOR DE NUCA E CABECA -</v>
      </c>
      <c r="C65" s="32">
        <f>IFERROR(__xludf.DUMMYFUNCTION("""COMPUTED_VALUE"""),1.0)</f>
        <v>1</v>
      </c>
      <c r="D65" s="33" t="str">
        <f>IFERROR(__xludf.DUMMYFUNCTION("""COMPUTED_VALUE"""),"VIATURA")</f>
        <v>VIATURA</v>
      </c>
      <c r="E65" s="34" t="str">
        <f>IFERROR(__xludf.DUMMYFUNCTION("""COMPUTED_VALUE"""),"1 - UR3486")</f>
        <v>1 - UR3486</v>
      </c>
      <c r="F65" s="34" t="str">
        <f>IFERROR(__xludf.DUMMYFUNCTION("""COMPUTED_VALUE"""),"PRATELEIRAS E GAVETAS")</f>
        <v>PRATELEIRAS E GAVETAS</v>
      </c>
      <c r="G65" s="35">
        <f>IFERROR(__xludf.DUMMYFUNCTION("""COMPUTED_VALUE"""),45533.0)</f>
        <v>45533</v>
      </c>
      <c r="H65" s="34"/>
      <c r="I65" s="37" t="str">
        <f>IFERROR(__xludf.DUMMYFUNCTION("""COMPUTED_VALUE"""),"IMOBILIZADOR RESERVA")</f>
        <v>IMOBILIZADOR RESERVA</v>
      </c>
    </row>
    <row r="66" ht="22.5" customHeight="1">
      <c r="A66" s="30">
        <f>IFERROR(__xludf.DUMMYFUNCTION("""COMPUTED_VALUE"""),365.0)</f>
        <v>365</v>
      </c>
      <c r="B66" s="31" t="str">
        <f>IFERROR(__xludf.DUMMYFUNCTION("""COMPUTED_VALUE"""),"UMIDIFICADOR")</f>
        <v>UMIDIFICADOR</v>
      </c>
      <c r="C66" s="32">
        <f>IFERROR(__xludf.DUMMYFUNCTION("""COMPUTED_VALUE"""),1.0)</f>
        <v>1</v>
      </c>
      <c r="D66" s="33" t="str">
        <f>IFERROR(__xludf.DUMMYFUNCTION("""COMPUTED_VALUE"""),"VIATURA")</f>
        <v>VIATURA</v>
      </c>
      <c r="E66" s="34" t="str">
        <f>IFERROR(__xludf.DUMMYFUNCTION("""COMPUTED_VALUE"""),"1 - UR3486")</f>
        <v>1 - UR3486</v>
      </c>
      <c r="F66" s="34" t="str">
        <f>IFERROR(__xludf.DUMMYFUNCTION("""COMPUTED_VALUE"""),"PRATELEIRAS E GAVETAS")</f>
        <v>PRATELEIRAS E GAVETAS</v>
      </c>
      <c r="G66" s="35">
        <f>IFERROR(__xludf.DUMMYFUNCTION("""COMPUTED_VALUE"""),45533.0)</f>
        <v>45533</v>
      </c>
      <c r="H66" s="34"/>
      <c r="I66" s="37"/>
    </row>
    <row r="67" ht="22.5" customHeight="1">
      <c r="A67" s="30">
        <f>IFERROR(__xludf.DUMMYFUNCTION("""COMPUTED_VALUE"""),384.0)</f>
        <v>384</v>
      </c>
      <c r="B67" s="40" t="str">
        <f>IFERROR(__xludf.DUMMYFUNCTION("""COMPUTED_VALUE"""),"PRANCHA LONGA (ESTOQUE)")</f>
        <v>PRANCHA LONGA (ESTOQUE)</v>
      </c>
      <c r="C67" s="32">
        <f>IFERROR(__xludf.DUMMYFUNCTION("""COMPUTED_VALUE"""),3.0)</f>
        <v>3</v>
      </c>
      <c r="D67" s="33" t="str">
        <f>IFERROR(__xludf.DUMMYFUNCTION("""COMPUTED_VALUE"""),"VIATURA")</f>
        <v>VIATURA</v>
      </c>
      <c r="E67" s="34" t="str">
        <f>IFERROR(__xludf.DUMMYFUNCTION("""COMPUTED_VALUE"""),"1 - UR3486")</f>
        <v>1 - UR3486</v>
      </c>
      <c r="F67" s="34" t="str">
        <f>IFERROR(__xludf.DUMMYFUNCTION("""COMPUTED_VALUE"""),"SALA DE ASSEPSIA")</f>
        <v>SALA DE ASSEPSIA</v>
      </c>
      <c r="G67" s="35">
        <f>IFERROR(__xludf.DUMMYFUNCTION("""COMPUTED_VALUE"""),45579.0)</f>
        <v>45579</v>
      </c>
      <c r="H67" s="34"/>
      <c r="I67" s="37" t="str">
        <f>IFERROR(__xludf.DUMMYFUNCTION("""COMPUTED_VALUE"""),"DE FIBRA (AMARELA)  ")</f>
        <v>DE FIBRA (AMARELA)  </v>
      </c>
    </row>
    <row r="68" ht="22.5" customHeight="1">
      <c r="A68" s="30">
        <f>IFERROR(__xludf.DUMMYFUNCTION("""COMPUTED_VALUE"""),410.0)</f>
        <v>410</v>
      </c>
      <c r="B68" s="31" t="str">
        <f>IFERROR(__xludf.DUMMYFUNCTION("""COMPUTED_VALUE"""),"ALMOTOLIA DE PLÁSTICO")</f>
        <v>ALMOTOLIA DE PLÁSTICO</v>
      </c>
      <c r="C68" s="32">
        <f>IFERROR(__xludf.DUMMYFUNCTION("""COMPUTED_VALUE"""),2.0)</f>
        <v>2</v>
      </c>
      <c r="D68" s="33" t="str">
        <f>IFERROR(__xludf.DUMMYFUNCTION("""COMPUTED_VALUE"""),"VIATURA")</f>
        <v>VIATURA</v>
      </c>
      <c r="E68" s="34" t="str">
        <f>IFERROR(__xludf.DUMMYFUNCTION("""COMPUTED_VALUE"""),"1 - UR3486")</f>
        <v>1 - UR3486</v>
      </c>
      <c r="F68" s="34" t="str">
        <f>IFERROR(__xludf.DUMMYFUNCTION("""COMPUTED_VALUE"""),"VIATURA")</f>
        <v>VIATURA</v>
      </c>
      <c r="G68" s="35">
        <f>IFERROR(__xludf.DUMMYFUNCTION("""COMPUTED_VALUE"""),45533.0)</f>
        <v>45533</v>
      </c>
      <c r="H68" s="34"/>
      <c r="I68" s="37"/>
    </row>
    <row r="69" ht="22.5" customHeight="1">
      <c r="A69" s="30">
        <f>IFERROR(__xludf.DUMMYFUNCTION("""COMPUTED_VALUE"""),1220.0)</f>
        <v>1220</v>
      </c>
      <c r="B69" s="31" t="str">
        <f>IFERROR(__xludf.DUMMYFUNCTION("""COMPUTED_VALUE"""),"AMBULANCIA -")</f>
        <v>AMBULANCIA -</v>
      </c>
      <c r="C69" s="32">
        <f>IFERROR(__xludf.DUMMYFUNCTION("""COMPUTED_VALUE"""),1.0)</f>
        <v>1</v>
      </c>
      <c r="D69" s="33" t="str">
        <f>IFERROR(__xludf.DUMMYFUNCTION("""COMPUTED_VALUE"""),"VIATURA")</f>
        <v>VIATURA</v>
      </c>
      <c r="E69" s="34" t="str">
        <f>IFERROR(__xludf.DUMMYFUNCTION("""COMPUTED_VALUE"""),"1 - UR3486")</f>
        <v>1 - UR3486</v>
      </c>
      <c r="F69" s="34" t="str">
        <f>IFERROR(__xludf.DUMMYFUNCTION("""COMPUTED_VALUE"""),"VIATURA")</f>
        <v>VIATURA</v>
      </c>
      <c r="G69" s="35">
        <f>IFERROR(__xludf.DUMMYFUNCTION("""COMPUTED_VALUE"""),7.6837521E7)</f>
        <v>76837521</v>
      </c>
      <c r="H69" s="34" t="str">
        <f>IFERROR(__xludf.DUMMYFUNCTION("""COMPUTED_VALUE"""),"8AC907643RE232244")</f>
        <v>8AC907643RE232244</v>
      </c>
      <c r="I69" s="37" t="str">
        <f>IFERROR(__xludf.DUMMYFUNCTION("""COMPUTED_VALUE"""),"UR      PLACA SJC3E86")</f>
        <v>UR      PLACA SJC3E86</v>
      </c>
    </row>
    <row r="70" ht="22.5" customHeight="1">
      <c r="A70" s="30">
        <f>IFERROR(__xludf.DUMMYFUNCTION("""COMPUTED_VALUE"""),386.0)</f>
        <v>386</v>
      </c>
      <c r="B70" s="31" t="str">
        <f>IFERROR(__xludf.DUMMYFUNCTION("""COMPUTED_VALUE"""),"CADEIRA ARTICULÁVEL")</f>
        <v>CADEIRA ARTICULÁVEL</v>
      </c>
      <c r="C70" s="32">
        <f>IFERROR(__xludf.DUMMYFUNCTION("""COMPUTED_VALUE"""),1.0)</f>
        <v>1</v>
      </c>
      <c r="D70" s="33" t="str">
        <f>IFERROR(__xludf.DUMMYFUNCTION("""COMPUTED_VALUE"""),"VIATURA")</f>
        <v>VIATURA</v>
      </c>
      <c r="E70" s="34" t="str">
        <f>IFERROR(__xludf.DUMMYFUNCTION("""COMPUTED_VALUE"""),"1 - UR3486")</f>
        <v>1 - UR3486</v>
      </c>
      <c r="F70" s="34" t="str">
        <f>IFERROR(__xludf.DUMMYFUNCTION("""COMPUTED_VALUE"""),"VIATURA")</f>
        <v>VIATURA</v>
      </c>
      <c r="G70" s="35"/>
      <c r="H70" s="34"/>
      <c r="I70" s="37"/>
    </row>
    <row r="71" ht="22.5" customHeight="1">
      <c r="A71" s="30">
        <f>IFERROR(__xludf.DUMMYFUNCTION("""COMPUTED_VALUE"""),366.0)</f>
        <v>366</v>
      </c>
      <c r="B71" s="31" t="str">
        <f>IFERROR(__xludf.DUMMYFUNCTION("""COMPUTED_VALUE"""),"FAROL DE MAEJO (LED)")</f>
        <v>FAROL DE MAEJO (LED)</v>
      </c>
      <c r="C71" s="32">
        <f>IFERROR(__xludf.DUMMYFUNCTION("""COMPUTED_VALUE"""),1.0)</f>
        <v>1</v>
      </c>
      <c r="D71" s="33" t="str">
        <f>IFERROR(__xludf.DUMMYFUNCTION("""COMPUTED_VALUE"""),"VIATURA")</f>
        <v>VIATURA</v>
      </c>
      <c r="E71" s="34" t="str">
        <f>IFERROR(__xludf.DUMMYFUNCTION("""COMPUTED_VALUE"""),"1 - UR3486")</f>
        <v>1 - UR3486</v>
      </c>
      <c r="F71" s="34" t="str">
        <f>IFERROR(__xludf.DUMMYFUNCTION("""COMPUTED_VALUE"""),"VIATURA")</f>
        <v>VIATURA</v>
      </c>
      <c r="G71" s="35">
        <f>IFERROR(__xludf.DUMMYFUNCTION("""COMPUTED_VALUE"""),45533.0)</f>
        <v>45533</v>
      </c>
      <c r="H71" s="34"/>
      <c r="I71" s="37"/>
    </row>
    <row r="72" ht="22.5" customHeight="1">
      <c r="A72" s="30">
        <f>IFERROR(__xludf.DUMMYFUNCTION("""COMPUTED_VALUE"""),411.0)</f>
        <v>411</v>
      </c>
      <c r="B72" s="40" t="str">
        <f>IFERROR(__xludf.DUMMYFUNCTION("""COMPUTED_VALUE"""),"KIT OBRIGATÓRIO VEÍCULAR")</f>
        <v>KIT OBRIGATÓRIO VEÍCULAR</v>
      </c>
      <c r="C72" s="32">
        <f>IFERROR(__xludf.DUMMYFUNCTION("""COMPUTED_VALUE"""),1.0)</f>
        <v>1</v>
      </c>
      <c r="D72" s="33" t="str">
        <f>IFERROR(__xludf.DUMMYFUNCTION("""COMPUTED_VALUE"""),"VIATURA")</f>
        <v>VIATURA</v>
      </c>
      <c r="E72" s="34" t="str">
        <f>IFERROR(__xludf.DUMMYFUNCTION("""COMPUTED_VALUE"""),"1 - UR3486")</f>
        <v>1 - UR3486</v>
      </c>
      <c r="F72" s="34" t="str">
        <f>IFERROR(__xludf.DUMMYFUNCTION("""COMPUTED_VALUE"""),"VIATURA")</f>
        <v>VIATURA</v>
      </c>
      <c r="G72" s="35">
        <f>IFERROR(__xludf.DUMMYFUNCTION("""COMPUTED_VALUE"""),45533.0)</f>
        <v>45533</v>
      </c>
      <c r="H72" s="34"/>
      <c r="I72" s="37" t="str">
        <f>IFERROR(__xludf.DUMMYFUNCTION("""COMPUTED_VALUE"""),"01- CHAVE DE RODA, 01 MACACO, 01 TRIÂNGULO")</f>
        <v>01- CHAVE DE RODA, 01 MACACO, 01 TRIÂNGULO</v>
      </c>
    </row>
    <row r="73" ht="22.5" customHeight="1">
      <c r="A73" s="30">
        <f>IFERROR(__xludf.DUMMYFUNCTION("""COMPUTED_VALUE"""),754.0)</f>
        <v>754</v>
      </c>
      <c r="B73" s="31" t="str">
        <f>IFERROR(__xludf.DUMMYFUNCTION("""COMPUTED_VALUE"""),"LANTERNA TÁTICA NIGHTSTICK")</f>
        <v>LANTERNA TÁTICA NIGHTSTICK</v>
      </c>
      <c r="C73" s="32">
        <f>IFERROR(__xludf.DUMMYFUNCTION("""COMPUTED_VALUE"""),1.0)</f>
        <v>1</v>
      </c>
      <c r="D73" s="33" t="str">
        <f>IFERROR(__xludf.DUMMYFUNCTION("""COMPUTED_VALUE"""),"VIATURA")</f>
        <v>VIATURA</v>
      </c>
      <c r="E73" s="34" t="str">
        <f>IFERROR(__xludf.DUMMYFUNCTION("""COMPUTED_VALUE"""),"1 - UR3486")</f>
        <v>1 - UR3486</v>
      </c>
      <c r="F73" s="34" t="str">
        <f>IFERROR(__xludf.DUMMYFUNCTION("""COMPUTED_VALUE"""),"VIATURA")</f>
        <v>VIATURA</v>
      </c>
      <c r="G73" s="35"/>
      <c r="H73" s="34"/>
      <c r="I73" s="37"/>
    </row>
    <row r="74" ht="22.5" customHeight="1">
      <c r="A74" s="30">
        <f>IFERROR(__xludf.DUMMYFUNCTION("""COMPUTED_VALUE"""),385.0)</f>
        <v>385</v>
      </c>
      <c r="B74" s="31" t="str">
        <f>IFERROR(__xludf.DUMMYFUNCTION("""COMPUTED_VALUE"""),"MACA ARTICULÁVEL ")</f>
        <v>MACA ARTICULÁVEL </v>
      </c>
      <c r="C74" s="32">
        <f>IFERROR(__xludf.DUMMYFUNCTION("""COMPUTED_VALUE"""),1.0)</f>
        <v>1</v>
      </c>
      <c r="D74" s="33" t="str">
        <f>IFERROR(__xludf.DUMMYFUNCTION("""COMPUTED_VALUE"""),"VIATURA")</f>
        <v>VIATURA</v>
      </c>
      <c r="E74" s="34" t="str">
        <f>IFERROR(__xludf.DUMMYFUNCTION("""COMPUTED_VALUE"""),"1 - UR3486")</f>
        <v>1 - UR3486</v>
      </c>
      <c r="F74" s="34" t="str">
        <f>IFERROR(__xludf.DUMMYFUNCTION("""COMPUTED_VALUE"""),"VIATURA")</f>
        <v>VIATURA</v>
      </c>
      <c r="G74" s="35"/>
      <c r="H74" s="34"/>
      <c r="I74" s="37"/>
    </row>
    <row r="75" ht="22.5" customHeight="1">
      <c r="A75" s="30">
        <f>IFERROR(__xludf.DUMMYFUNCTION("""COMPUTED_VALUE"""),668.0)</f>
        <v>668</v>
      </c>
      <c r="B75" s="31" t="str">
        <f>IFERROR(__xludf.DUMMYFUNCTION("""COMPUTED_VALUE"""),"RADIO TRANSCEPTOR -")</f>
        <v>RADIO TRANSCEPTOR -</v>
      </c>
      <c r="C75" s="32">
        <f>IFERROR(__xludf.DUMMYFUNCTION("""COMPUTED_VALUE"""),1.0)</f>
        <v>1</v>
      </c>
      <c r="D75" s="33" t="str">
        <f>IFERROR(__xludf.DUMMYFUNCTION("""COMPUTED_VALUE"""),"VIATURA")</f>
        <v>VIATURA</v>
      </c>
      <c r="E75" s="34" t="str">
        <f>IFERROR(__xludf.DUMMYFUNCTION("""COMPUTED_VALUE"""),"1 - UR3486")</f>
        <v>1 - UR3486</v>
      </c>
      <c r="F75" s="34" t="str">
        <f>IFERROR(__xludf.DUMMYFUNCTION("""COMPUTED_VALUE"""),"VIATURA")</f>
        <v>VIATURA</v>
      </c>
      <c r="G75" s="35">
        <f>IFERROR(__xludf.DUMMYFUNCTION("""COMPUTED_VALUE"""),4.0363899E7)</f>
        <v>40363899</v>
      </c>
      <c r="H75" s="34" t="str">
        <f>IFERROR(__xludf.DUMMYFUNCTION("""COMPUTED_VALUE"""),"N.S.511NRF00B0")</f>
        <v>N.S.511NRF00B0</v>
      </c>
      <c r="I75" s="37" t="str">
        <f>IFERROR(__xludf.DUMMYFUNCTION("""COMPUTED_VALUE"""),"NÚMERO DE SÉRIO NÃO CORRESPONDE. ")</f>
        <v>NÚMERO DE SÉRIO NÃO CORRESPONDE. </v>
      </c>
    </row>
    <row r="76" ht="22.5" customHeight="1">
      <c r="A76" s="30"/>
      <c r="B76" s="31"/>
      <c r="C76" s="32"/>
      <c r="D76" s="33"/>
      <c r="E76" s="34"/>
      <c r="F76" s="34"/>
      <c r="G76" s="35"/>
      <c r="H76" s="34"/>
      <c r="I76" s="37"/>
    </row>
    <row r="77" ht="22.5" customHeight="1">
      <c r="A77" s="30"/>
      <c r="B77" s="31"/>
      <c r="C77" s="32"/>
      <c r="D77" s="33"/>
      <c r="E77" s="34"/>
      <c r="F77" s="34"/>
      <c r="G77" s="35"/>
      <c r="H77" s="34"/>
      <c r="I77" s="37"/>
    </row>
    <row r="78" ht="22.5" customHeight="1">
      <c r="A78" s="30"/>
      <c r="B78" s="31"/>
      <c r="C78" s="32"/>
      <c r="D78" s="33"/>
      <c r="E78" s="34"/>
      <c r="F78" s="34"/>
      <c r="G78" s="35"/>
      <c r="H78" s="34"/>
      <c r="I78" s="37"/>
    </row>
    <row r="79" ht="22.5" customHeight="1">
      <c r="A79" s="30"/>
      <c r="B79" s="31"/>
      <c r="C79" s="32"/>
      <c r="D79" s="33"/>
      <c r="E79" s="34"/>
      <c r="F79" s="34"/>
      <c r="G79" s="35"/>
      <c r="H79" s="34"/>
      <c r="I79" s="37"/>
    </row>
    <row r="80" ht="22.5" customHeight="1">
      <c r="A80" s="30"/>
      <c r="B80" s="31"/>
      <c r="C80" s="32"/>
      <c r="D80" s="33"/>
      <c r="E80" s="34"/>
      <c r="F80" s="34"/>
      <c r="G80" s="35"/>
      <c r="H80" s="34"/>
      <c r="I80" s="37"/>
    </row>
    <row r="81" ht="22.5" customHeight="1">
      <c r="A81" s="30"/>
      <c r="B81" s="31"/>
      <c r="C81" s="32"/>
      <c r="D81" s="33"/>
      <c r="E81" s="34"/>
      <c r="F81" s="34"/>
      <c r="G81" s="35"/>
      <c r="H81" s="34"/>
      <c r="I81" s="37"/>
    </row>
    <row r="82" ht="22.5" customHeight="1">
      <c r="A82" s="30"/>
      <c r="B82" s="31"/>
      <c r="C82" s="32"/>
      <c r="D82" s="33"/>
      <c r="E82" s="34"/>
      <c r="F82" s="34"/>
      <c r="G82" s="35"/>
      <c r="H82" s="34"/>
      <c r="I82" s="37"/>
    </row>
    <row r="83" ht="22.5" customHeight="1">
      <c r="A83" s="30"/>
      <c r="B83" s="31"/>
      <c r="C83" s="32"/>
      <c r="D83" s="33"/>
      <c r="E83" s="34"/>
      <c r="F83" s="34"/>
      <c r="G83" s="35"/>
      <c r="H83" s="34"/>
      <c r="I83" s="37"/>
    </row>
    <row r="84" ht="22.5" customHeight="1">
      <c r="A84" s="30"/>
      <c r="B84" s="31"/>
      <c r="C84" s="32"/>
      <c r="D84" s="33"/>
      <c r="E84" s="34"/>
      <c r="F84" s="34"/>
      <c r="G84" s="35"/>
      <c r="H84" s="34"/>
      <c r="I84" s="37"/>
    </row>
    <row r="85" ht="22.5" customHeight="1">
      <c r="A85" s="30"/>
      <c r="B85" s="31"/>
      <c r="C85" s="32"/>
      <c r="D85" s="33"/>
      <c r="E85" s="34"/>
      <c r="F85" s="34"/>
      <c r="G85" s="35"/>
      <c r="H85" s="34"/>
      <c r="I85" s="37"/>
    </row>
    <row r="86" ht="22.5" customHeight="1">
      <c r="A86" s="30"/>
      <c r="B86" s="31"/>
      <c r="C86" s="32"/>
      <c r="D86" s="33"/>
      <c r="E86" s="34"/>
      <c r="F86" s="34"/>
      <c r="G86" s="35"/>
      <c r="H86" s="34"/>
      <c r="I86" s="37"/>
    </row>
    <row r="87" ht="22.5" customHeight="1">
      <c r="A87" s="30"/>
      <c r="B87" s="31"/>
      <c r="C87" s="32"/>
      <c r="D87" s="33"/>
      <c r="E87" s="34"/>
      <c r="F87" s="34"/>
      <c r="G87" s="35"/>
      <c r="H87" s="34"/>
      <c r="I87" s="37"/>
    </row>
    <row r="88" ht="22.5" customHeight="1">
      <c r="A88" s="30"/>
      <c r="B88" s="31"/>
      <c r="C88" s="32"/>
      <c r="D88" s="33"/>
      <c r="E88" s="34"/>
      <c r="F88" s="34"/>
      <c r="G88" s="35"/>
      <c r="H88" s="34"/>
      <c r="I88" s="37"/>
    </row>
    <row r="89" ht="22.5" customHeight="1">
      <c r="A89" s="30"/>
      <c r="B89" s="31"/>
      <c r="C89" s="32"/>
      <c r="D89" s="33"/>
      <c r="E89" s="34"/>
      <c r="F89" s="34"/>
      <c r="G89" s="35"/>
      <c r="H89" s="34"/>
      <c r="I89" s="37"/>
    </row>
    <row r="90" ht="22.5" customHeight="1">
      <c r="A90" s="30"/>
      <c r="B90" s="31"/>
      <c r="C90" s="32"/>
      <c r="D90" s="33"/>
      <c r="E90" s="34"/>
      <c r="F90" s="34"/>
      <c r="G90" s="35"/>
      <c r="H90" s="34"/>
      <c r="I90" s="37"/>
    </row>
    <row r="91" ht="22.5" customHeight="1">
      <c r="A91" s="30"/>
      <c r="B91" s="31"/>
      <c r="C91" s="32"/>
      <c r="D91" s="33"/>
      <c r="E91" s="34"/>
      <c r="F91" s="34"/>
      <c r="G91" s="35"/>
      <c r="H91" s="34"/>
      <c r="I91" s="37"/>
    </row>
    <row r="92" ht="22.5" customHeight="1">
      <c r="A92" s="30"/>
      <c r="B92" s="31"/>
      <c r="C92" s="32"/>
      <c r="D92" s="33"/>
      <c r="E92" s="34"/>
      <c r="F92" s="34"/>
      <c r="G92" s="35"/>
      <c r="H92" s="34"/>
      <c r="I92" s="37"/>
    </row>
    <row r="93" ht="22.5" customHeight="1">
      <c r="A93" s="30"/>
      <c r="B93" s="31"/>
      <c r="C93" s="32"/>
      <c r="D93" s="33"/>
      <c r="E93" s="34"/>
      <c r="F93" s="34"/>
      <c r="G93" s="35"/>
      <c r="H93" s="34"/>
      <c r="I93" s="37"/>
    </row>
    <row r="94" ht="22.5" customHeight="1">
      <c r="A94" s="30"/>
      <c r="B94" s="40"/>
      <c r="C94" s="32"/>
      <c r="D94" s="33"/>
      <c r="E94" s="34"/>
      <c r="F94" s="34"/>
      <c r="G94" s="35"/>
      <c r="H94" s="34"/>
      <c r="I94" s="37"/>
    </row>
    <row r="95" ht="22.5" customHeight="1">
      <c r="A95" s="30"/>
      <c r="B95" s="31"/>
      <c r="C95" s="32"/>
      <c r="D95" s="33"/>
      <c r="E95" s="34"/>
      <c r="F95" s="34"/>
      <c r="G95" s="35"/>
      <c r="H95" s="34"/>
      <c r="I95" s="37"/>
    </row>
    <row r="96" ht="22.5" customHeight="1">
      <c r="A96" s="30"/>
      <c r="B96" s="31"/>
      <c r="C96" s="32"/>
      <c r="D96" s="33"/>
      <c r="E96" s="34"/>
      <c r="F96" s="34"/>
      <c r="G96" s="35"/>
      <c r="H96" s="34"/>
      <c r="I96" s="37"/>
    </row>
    <row r="97" ht="22.5" customHeight="1">
      <c r="A97" s="30"/>
      <c r="B97" s="31"/>
      <c r="C97" s="32"/>
      <c r="D97" s="33"/>
      <c r="E97" s="34"/>
      <c r="F97" s="34"/>
      <c r="G97" s="35"/>
      <c r="H97" s="34"/>
      <c r="I97" s="37"/>
    </row>
    <row r="98" ht="22.5" customHeight="1">
      <c r="A98" s="30"/>
      <c r="B98" s="31"/>
      <c r="C98" s="32"/>
      <c r="D98" s="33"/>
      <c r="E98" s="34"/>
      <c r="F98" s="34"/>
      <c r="G98" s="35"/>
      <c r="H98" s="34"/>
      <c r="I98" s="38"/>
    </row>
    <row r="99" ht="22.5" customHeight="1">
      <c r="A99" s="30"/>
      <c r="B99" s="39"/>
      <c r="C99" s="32"/>
      <c r="D99" s="33"/>
      <c r="E99" s="34"/>
      <c r="F99" s="34"/>
      <c r="G99" s="35"/>
      <c r="H99" s="34"/>
      <c r="I99" s="37"/>
    </row>
    <row r="100" ht="22.5" customHeight="1">
      <c r="A100" s="30"/>
      <c r="B100" s="31"/>
      <c r="C100" s="32"/>
      <c r="D100" s="33"/>
      <c r="E100" s="34"/>
      <c r="F100" s="34"/>
      <c r="G100" s="35"/>
      <c r="H100" s="34"/>
      <c r="I100" s="37"/>
    </row>
    <row r="101" ht="22.5" customHeight="1">
      <c r="A101" s="30"/>
      <c r="B101" s="31"/>
      <c r="C101" s="32"/>
      <c r="D101" s="33"/>
      <c r="E101" s="34"/>
      <c r="F101" s="34"/>
      <c r="G101" s="35"/>
      <c r="H101" s="34"/>
      <c r="I101" s="37"/>
    </row>
    <row r="102" ht="22.5" customHeight="1">
      <c r="A102" s="30"/>
      <c r="B102" s="31"/>
      <c r="C102" s="32"/>
      <c r="D102" s="33"/>
      <c r="E102" s="34"/>
      <c r="F102" s="34"/>
      <c r="G102" s="35"/>
      <c r="H102" s="34"/>
      <c r="I102" s="37"/>
    </row>
    <row r="103" ht="22.5" customHeight="1">
      <c r="A103" s="30"/>
      <c r="B103" s="39"/>
      <c r="C103" s="32"/>
      <c r="D103" s="33"/>
      <c r="E103" s="34"/>
      <c r="F103" s="34"/>
      <c r="G103" s="35"/>
      <c r="H103" s="34"/>
      <c r="I103" s="37"/>
    </row>
    <row r="104" ht="22.5" customHeight="1">
      <c r="A104" s="30"/>
      <c r="B104" s="31"/>
      <c r="C104" s="32"/>
      <c r="D104" s="33"/>
      <c r="E104" s="34"/>
      <c r="F104" s="34"/>
      <c r="G104" s="35"/>
      <c r="H104" s="34"/>
      <c r="I104" s="37"/>
    </row>
    <row r="105" ht="22.5" customHeight="1">
      <c r="A105" s="30"/>
      <c r="B105" s="39"/>
      <c r="C105" s="32"/>
      <c r="D105" s="33"/>
      <c r="E105" s="34"/>
      <c r="F105" s="34"/>
      <c r="G105" s="35"/>
      <c r="H105" s="34"/>
      <c r="I105" s="37"/>
    </row>
    <row r="106" ht="22.5" customHeight="1">
      <c r="A106" s="30"/>
      <c r="B106" s="31"/>
      <c r="C106" s="32"/>
      <c r="D106" s="33"/>
      <c r="E106" s="34"/>
      <c r="F106" s="34"/>
      <c r="G106" s="35"/>
      <c r="H106" s="34"/>
      <c r="I106" s="37"/>
    </row>
    <row r="107" ht="22.5" customHeight="1">
      <c r="A107" s="30"/>
      <c r="B107" s="31"/>
      <c r="C107" s="32"/>
      <c r="D107" s="33"/>
      <c r="E107" s="34"/>
      <c r="F107" s="34"/>
      <c r="G107" s="35"/>
      <c r="H107" s="34"/>
      <c r="I107" s="37"/>
    </row>
    <row r="108" ht="22.5" customHeight="1">
      <c r="A108" s="30"/>
      <c r="B108" s="31"/>
      <c r="C108" s="32"/>
      <c r="D108" s="33"/>
      <c r="E108" s="34"/>
      <c r="F108" s="34"/>
      <c r="G108" s="35"/>
      <c r="H108" s="34"/>
      <c r="I108" s="37"/>
    </row>
    <row r="109" ht="22.5" customHeight="1">
      <c r="A109" s="30"/>
      <c r="B109" s="31"/>
      <c r="C109" s="32"/>
      <c r="D109" s="33"/>
      <c r="E109" s="34"/>
      <c r="F109" s="34"/>
      <c r="G109" s="35"/>
      <c r="H109" s="34"/>
      <c r="I109" s="37"/>
    </row>
    <row r="110" ht="22.5" customHeight="1">
      <c r="A110" s="30"/>
      <c r="B110" s="31"/>
      <c r="C110" s="32"/>
      <c r="D110" s="33"/>
      <c r="E110" s="34"/>
      <c r="F110" s="34"/>
      <c r="G110" s="35"/>
      <c r="H110" s="34"/>
      <c r="I110" s="37"/>
    </row>
    <row r="111" ht="22.5" customHeight="1">
      <c r="A111" s="30"/>
      <c r="B111" s="31"/>
      <c r="C111" s="32"/>
      <c r="D111" s="33"/>
      <c r="E111" s="34"/>
      <c r="F111" s="34"/>
      <c r="G111" s="35"/>
      <c r="H111" s="34"/>
      <c r="I111" s="37"/>
    </row>
    <row r="112" ht="22.5" customHeight="1">
      <c r="A112" s="30"/>
      <c r="B112" s="31"/>
      <c r="C112" s="32"/>
      <c r="D112" s="33"/>
      <c r="E112" s="34"/>
      <c r="F112" s="34"/>
      <c r="G112" s="35"/>
      <c r="H112" s="34"/>
      <c r="I112" s="37"/>
    </row>
    <row r="113" ht="22.5" customHeight="1">
      <c r="A113" s="30"/>
      <c r="B113" s="31"/>
      <c r="C113" s="32"/>
      <c r="D113" s="33"/>
      <c r="E113" s="34"/>
      <c r="F113" s="34"/>
      <c r="G113" s="35"/>
      <c r="H113" s="34"/>
      <c r="I113" s="37"/>
    </row>
    <row r="114" ht="22.5" customHeight="1">
      <c r="A114" s="30"/>
      <c r="B114" s="31"/>
      <c r="C114" s="32"/>
      <c r="D114" s="33"/>
      <c r="E114" s="34"/>
      <c r="F114" s="34"/>
      <c r="G114" s="35"/>
      <c r="H114" s="34"/>
      <c r="I114" s="37"/>
    </row>
    <row r="115" ht="22.5" customHeight="1">
      <c r="A115" s="30"/>
      <c r="B115" s="31"/>
      <c r="C115" s="32"/>
      <c r="D115" s="33"/>
      <c r="E115" s="34"/>
      <c r="F115" s="34"/>
      <c r="G115" s="35"/>
      <c r="H115" s="34"/>
      <c r="I115" s="37"/>
    </row>
    <row r="116" ht="22.5" customHeight="1">
      <c r="A116" s="30"/>
      <c r="B116" s="40"/>
      <c r="C116" s="32"/>
      <c r="D116" s="33"/>
      <c r="E116" s="34"/>
      <c r="F116" s="34"/>
      <c r="G116" s="35"/>
      <c r="H116" s="34"/>
      <c r="I116" s="37"/>
    </row>
    <row r="117" ht="22.5" customHeight="1">
      <c r="A117" s="30"/>
      <c r="B117" s="31"/>
      <c r="C117" s="32"/>
      <c r="D117" s="33"/>
      <c r="E117" s="34"/>
      <c r="F117" s="34"/>
      <c r="G117" s="35"/>
      <c r="H117" s="34"/>
      <c r="I117" s="37"/>
    </row>
    <row r="118" ht="22.5" customHeight="1">
      <c r="A118" s="30"/>
      <c r="B118" s="31"/>
      <c r="C118" s="32"/>
      <c r="D118" s="33"/>
      <c r="E118" s="34"/>
      <c r="F118" s="34"/>
      <c r="G118" s="35"/>
      <c r="H118" s="34"/>
      <c r="I118" s="37"/>
    </row>
    <row r="119" ht="22.5" customHeight="1">
      <c r="A119" s="30"/>
      <c r="B119" s="31"/>
      <c r="C119" s="32"/>
      <c r="D119" s="33"/>
      <c r="E119" s="34"/>
      <c r="F119" s="34"/>
      <c r="G119" s="35"/>
      <c r="H119" s="34"/>
      <c r="I119" s="37"/>
    </row>
    <row r="120" ht="22.5" customHeight="1">
      <c r="A120" s="30"/>
      <c r="B120" s="31"/>
      <c r="C120" s="32"/>
      <c r="D120" s="33"/>
      <c r="E120" s="34"/>
      <c r="F120" s="34"/>
      <c r="G120" s="35"/>
      <c r="H120" s="34"/>
      <c r="I120" s="37"/>
    </row>
    <row r="121" ht="22.5" customHeight="1">
      <c r="A121" s="30"/>
      <c r="B121" s="31"/>
      <c r="C121" s="32"/>
      <c r="D121" s="33"/>
      <c r="E121" s="34"/>
      <c r="F121" s="34"/>
      <c r="G121" s="35"/>
      <c r="H121" s="34"/>
      <c r="I121" s="37"/>
    </row>
    <row r="122" ht="22.5" customHeight="1">
      <c r="A122" s="30"/>
      <c r="B122" s="31"/>
      <c r="C122" s="32"/>
      <c r="D122" s="33"/>
      <c r="E122" s="34"/>
      <c r="F122" s="34"/>
      <c r="G122" s="35"/>
      <c r="H122" s="34"/>
      <c r="I122" s="37"/>
    </row>
    <row r="123" ht="22.5" customHeight="1">
      <c r="A123" s="30"/>
      <c r="B123" s="39"/>
      <c r="C123" s="32"/>
      <c r="D123" s="33"/>
      <c r="E123" s="34"/>
      <c r="F123" s="34"/>
      <c r="G123" s="35"/>
      <c r="H123" s="34"/>
      <c r="I123" s="37"/>
    </row>
    <row r="124" ht="22.5" customHeight="1">
      <c r="A124" s="30"/>
      <c r="B124" s="39"/>
      <c r="C124" s="32"/>
      <c r="D124" s="33"/>
      <c r="E124" s="34"/>
      <c r="F124" s="34"/>
      <c r="G124" s="35"/>
      <c r="H124" s="34"/>
      <c r="I124" s="37"/>
    </row>
    <row r="125" ht="22.5" customHeight="1">
      <c r="A125" s="30"/>
      <c r="B125" s="39"/>
      <c r="C125" s="32"/>
      <c r="D125" s="33"/>
      <c r="E125" s="34"/>
      <c r="F125" s="34"/>
      <c r="G125" s="35"/>
      <c r="H125" s="34"/>
      <c r="I125" s="37"/>
    </row>
    <row r="126" ht="22.5" customHeight="1">
      <c r="A126" s="30"/>
      <c r="B126" s="40"/>
      <c r="C126" s="32"/>
      <c r="D126" s="33"/>
      <c r="E126" s="34"/>
      <c r="F126" s="34"/>
      <c r="G126" s="35"/>
      <c r="H126" s="34"/>
      <c r="I126" s="37"/>
    </row>
    <row r="127" ht="22.5" customHeight="1">
      <c r="A127" s="30"/>
      <c r="B127" s="31"/>
      <c r="C127" s="32"/>
      <c r="D127" s="33"/>
      <c r="E127" s="34"/>
      <c r="F127" s="34"/>
      <c r="G127" s="35"/>
      <c r="H127" s="34"/>
      <c r="I127" s="37"/>
    </row>
    <row r="128" ht="22.5" customHeight="1">
      <c r="A128" s="30"/>
      <c r="B128" s="31"/>
      <c r="C128" s="32"/>
      <c r="D128" s="33"/>
      <c r="E128" s="34"/>
      <c r="F128" s="34"/>
      <c r="G128" s="35"/>
      <c r="H128" s="34"/>
      <c r="I128" s="37"/>
    </row>
    <row r="129" ht="22.5" customHeight="1">
      <c r="A129" s="30"/>
      <c r="B129" s="31"/>
      <c r="C129" s="32"/>
      <c r="D129" s="33"/>
      <c r="E129" s="34"/>
      <c r="F129" s="34"/>
      <c r="G129" s="35"/>
      <c r="H129" s="34"/>
      <c r="I129" s="37"/>
    </row>
    <row r="130" ht="22.5" customHeight="1">
      <c r="A130" s="30"/>
      <c r="B130" s="31"/>
      <c r="C130" s="32"/>
      <c r="D130" s="33"/>
      <c r="E130" s="34"/>
      <c r="F130" s="34"/>
      <c r="G130" s="35"/>
      <c r="H130" s="34"/>
      <c r="I130" s="37"/>
    </row>
    <row r="131" ht="22.5" customHeight="1">
      <c r="A131" s="30"/>
      <c r="B131" s="31"/>
      <c r="C131" s="32"/>
      <c r="D131" s="33"/>
      <c r="E131" s="34"/>
      <c r="F131" s="34"/>
      <c r="G131" s="35"/>
      <c r="H131" s="34"/>
      <c r="I131" s="37"/>
    </row>
    <row r="132" ht="22.5" customHeight="1">
      <c r="A132" s="30"/>
      <c r="B132" s="31"/>
      <c r="C132" s="32"/>
      <c r="D132" s="33"/>
      <c r="E132" s="34"/>
      <c r="F132" s="34"/>
      <c r="G132" s="35"/>
      <c r="H132" s="34"/>
      <c r="I132" s="37"/>
    </row>
    <row r="133" ht="22.5" customHeight="1">
      <c r="A133" s="30"/>
      <c r="B133" s="31"/>
      <c r="C133" s="32"/>
      <c r="D133" s="33"/>
      <c r="E133" s="34"/>
      <c r="F133" s="34"/>
      <c r="G133" s="35"/>
      <c r="H133" s="34"/>
      <c r="I133" s="37"/>
    </row>
    <row r="134" ht="22.5" customHeight="1">
      <c r="A134" s="30"/>
      <c r="B134" s="31"/>
      <c r="C134" s="32"/>
      <c r="D134" s="33"/>
      <c r="E134" s="34"/>
      <c r="F134" s="34"/>
      <c r="G134" s="35"/>
      <c r="H134" s="34"/>
      <c r="I134" s="37"/>
    </row>
    <row r="135" ht="22.5" customHeight="1">
      <c r="A135" s="30"/>
      <c r="B135" s="31"/>
      <c r="C135" s="32"/>
      <c r="D135" s="33"/>
      <c r="E135" s="34"/>
      <c r="F135" s="34"/>
      <c r="G135" s="35"/>
      <c r="H135" s="34"/>
      <c r="I135" s="37"/>
    </row>
    <row r="136" ht="22.5" customHeight="1">
      <c r="A136" s="30"/>
      <c r="B136" s="40"/>
      <c r="C136" s="32"/>
      <c r="D136" s="33"/>
      <c r="E136" s="34"/>
      <c r="F136" s="34"/>
      <c r="G136" s="35"/>
      <c r="H136" s="34"/>
      <c r="I136" s="37"/>
    </row>
    <row r="137" ht="22.5" customHeight="1">
      <c r="A137" s="30"/>
      <c r="B137" s="31"/>
      <c r="C137" s="32"/>
      <c r="D137" s="33"/>
      <c r="E137" s="34"/>
      <c r="F137" s="34"/>
      <c r="G137" s="35"/>
      <c r="H137" s="34"/>
      <c r="I137" s="37"/>
    </row>
    <row r="138" ht="22.5" customHeight="1">
      <c r="A138" s="30"/>
      <c r="B138" s="31"/>
      <c r="C138" s="32"/>
      <c r="D138" s="33"/>
      <c r="E138" s="34"/>
      <c r="F138" s="34"/>
      <c r="G138" s="35"/>
      <c r="H138" s="34"/>
      <c r="I138" s="37"/>
    </row>
    <row r="139" ht="22.5" customHeight="1">
      <c r="A139" s="30"/>
      <c r="B139" s="31"/>
      <c r="C139" s="32"/>
      <c r="D139" s="33"/>
      <c r="E139" s="34"/>
      <c r="F139" s="34"/>
      <c r="G139" s="35"/>
      <c r="H139" s="34"/>
      <c r="I139" s="37"/>
    </row>
    <row r="140" ht="22.5" customHeight="1">
      <c r="A140" s="30"/>
      <c r="B140" s="40"/>
      <c r="C140" s="32"/>
      <c r="D140" s="33"/>
      <c r="E140" s="34"/>
      <c r="F140" s="34"/>
      <c r="G140" s="35"/>
      <c r="H140" s="34"/>
      <c r="I140" s="37"/>
    </row>
    <row r="141" ht="22.5" customHeight="1">
      <c r="A141" s="30"/>
      <c r="B141" s="31"/>
      <c r="C141" s="32"/>
      <c r="D141" s="33"/>
      <c r="E141" s="34"/>
      <c r="F141" s="34"/>
      <c r="G141" s="35"/>
      <c r="H141" s="34"/>
      <c r="I141" s="37"/>
    </row>
    <row r="142" ht="22.5" customHeight="1">
      <c r="A142" s="30"/>
      <c r="B142" s="31"/>
      <c r="C142" s="32"/>
      <c r="D142" s="33"/>
      <c r="E142" s="34"/>
      <c r="F142" s="34"/>
      <c r="G142" s="35"/>
      <c r="H142" s="34"/>
      <c r="I142" s="37"/>
    </row>
    <row r="143" ht="22.5" customHeight="1">
      <c r="A143" s="30"/>
      <c r="B143" s="31"/>
      <c r="C143" s="32"/>
      <c r="D143" s="33"/>
      <c r="E143" s="34"/>
      <c r="F143" s="34"/>
      <c r="G143" s="35"/>
      <c r="H143" s="34"/>
      <c r="I143" s="37"/>
    </row>
    <row r="144" ht="22.5" customHeight="1">
      <c r="A144" s="30"/>
      <c r="B144" s="31"/>
      <c r="C144" s="32"/>
      <c r="D144" s="33"/>
      <c r="E144" s="34"/>
      <c r="F144" s="34"/>
      <c r="G144" s="35"/>
      <c r="H144" s="34"/>
      <c r="I144" s="37"/>
    </row>
    <row r="145" ht="22.5" customHeight="1">
      <c r="A145" s="30"/>
      <c r="B145" s="31"/>
      <c r="C145" s="32"/>
      <c r="D145" s="33"/>
      <c r="E145" s="34"/>
      <c r="F145" s="34"/>
      <c r="G145" s="35"/>
      <c r="H145" s="34"/>
      <c r="I145" s="37"/>
    </row>
    <row r="146" ht="22.5" customHeight="1">
      <c r="A146" s="30"/>
      <c r="B146" s="31"/>
      <c r="C146" s="32"/>
      <c r="D146" s="33"/>
      <c r="E146" s="34"/>
      <c r="F146" s="34"/>
      <c r="G146" s="35"/>
      <c r="H146" s="34"/>
      <c r="I146" s="37"/>
    </row>
    <row r="147" ht="22.5" customHeight="1">
      <c r="A147" s="30"/>
      <c r="B147" s="31"/>
      <c r="C147" s="32"/>
      <c r="D147" s="33"/>
      <c r="E147" s="34"/>
      <c r="F147" s="34"/>
      <c r="G147" s="35"/>
      <c r="H147" s="34"/>
      <c r="I147" s="37"/>
    </row>
    <row r="148" ht="22.5" customHeight="1">
      <c r="A148" s="30"/>
      <c r="B148" s="31"/>
      <c r="C148" s="32"/>
      <c r="D148" s="33"/>
      <c r="E148" s="34"/>
      <c r="F148" s="34"/>
      <c r="G148" s="35"/>
      <c r="H148" s="34"/>
      <c r="I148" s="37"/>
    </row>
    <row r="149" ht="22.5" customHeight="1">
      <c r="A149" s="30"/>
      <c r="B149" s="31"/>
      <c r="C149" s="32"/>
      <c r="D149" s="33"/>
      <c r="E149" s="34"/>
      <c r="F149" s="34"/>
      <c r="G149" s="35"/>
      <c r="H149" s="34"/>
      <c r="I149" s="37"/>
    </row>
    <row r="150" ht="22.5" customHeight="1">
      <c r="A150" s="30"/>
      <c r="B150" s="31"/>
      <c r="C150" s="32"/>
      <c r="D150" s="33"/>
      <c r="E150" s="34"/>
      <c r="F150" s="34"/>
      <c r="G150" s="35"/>
      <c r="H150" s="34"/>
      <c r="I150" s="37"/>
    </row>
    <row r="151" ht="22.5" customHeight="1">
      <c r="A151" s="30"/>
      <c r="B151" s="31"/>
      <c r="C151" s="32"/>
      <c r="D151" s="33"/>
      <c r="E151" s="34"/>
      <c r="F151" s="34"/>
      <c r="G151" s="35"/>
      <c r="H151" s="34"/>
      <c r="I151" s="37"/>
    </row>
    <row r="152" ht="22.5" customHeight="1">
      <c r="A152" s="30"/>
      <c r="B152" s="31"/>
      <c r="C152" s="32"/>
      <c r="D152" s="33"/>
      <c r="E152" s="34"/>
      <c r="F152" s="34"/>
      <c r="G152" s="35"/>
      <c r="H152" s="34"/>
      <c r="I152" s="37"/>
    </row>
    <row r="153" ht="22.5" customHeight="1">
      <c r="A153" s="30"/>
      <c r="B153" s="31"/>
      <c r="C153" s="32"/>
      <c r="D153" s="33"/>
      <c r="E153" s="34"/>
      <c r="F153" s="34"/>
      <c r="G153" s="35"/>
      <c r="H153" s="34"/>
      <c r="I153" s="37"/>
    </row>
    <row r="154" ht="22.5" customHeight="1">
      <c r="A154" s="30"/>
      <c r="B154" s="31"/>
      <c r="C154" s="32"/>
      <c r="D154" s="33"/>
      <c r="E154" s="34"/>
      <c r="F154" s="34"/>
      <c r="G154" s="35"/>
      <c r="H154" s="34"/>
      <c r="I154" s="37"/>
    </row>
    <row r="155" ht="22.5" customHeight="1">
      <c r="A155" s="30"/>
      <c r="B155" s="40"/>
      <c r="C155" s="32"/>
      <c r="D155" s="33"/>
      <c r="E155" s="34"/>
      <c r="F155" s="34"/>
      <c r="G155" s="35"/>
      <c r="H155" s="34"/>
      <c r="I155" s="37"/>
    </row>
    <row r="156" ht="22.5" customHeight="1">
      <c r="A156" s="30"/>
      <c r="B156" s="31"/>
      <c r="C156" s="32"/>
      <c r="D156" s="33"/>
      <c r="E156" s="34"/>
      <c r="F156" s="34"/>
      <c r="G156" s="35"/>
      <c r="H156" s="34"/>
      <c r="I156" s="37"/>
    </row>
    <row r="157" ht="22.5" customHeight="1">
      <c r="A157" s="30"/>
      <c r="B157" s="40"/>
      <c r="C157" s="32"/>
      <c r="D157" s="33"/>
      <c r="E157" s="34"/>
      <c r="F157" s="34"/>
      <c r="G157" s="35"/>
      <c r="H157" s="34"/>
      <c r="I157" s="37"/>
    </row>
    <row r="158" ht="22.5" customHeight="1">
      <c r="A158" s="30"/>
      <c r="B158" s="31"/>
      <c r="C158" s="32"/>
      <c r="D158" s="33"/>
      <c r="E158" s="34"/>
      <c r="F158" s="34"/>
      <c r="G158" s="35"/>
      <c r="H158" s="34"/>
      <c r="I158" s="37"/>
    </row>
    <row r="159" ht="22.5" customHeight="1">
      <c r="A159" s="30"/>
      <c r="B159" s="31"/>
      <c r="C159" s="32"/>
      <c r="D159" s="33"/>
      <c r="E159" s="34"/>
      <c r="F159" s="34"/>
      <c r="G159" s="35"/>
      <c r="H159" s="34"/>
      <c r="I159" s="37"/>
    </row>
    <row r="160" ht="22.5" customHeight="1">
      <c r="A160" s="30"/>
      <c r="B160" s="31"/>
      <c r="C160" s="32"/>
      <c r="D160" s="33"/>
      <c r="E160" s="34"/>
      <c r="F160" s="34"/>
      <c r="G160" s="35"/>
      <c r="H160" s="34"/>
      <c r="I160" s="37"/>
    </row>
    <row r="161" ht="22.5" customHeight="1">
      <c r="A161" s="30"/>
      <c r="B161" s="31"/>
      <c r="C161" s="32"/>
      <c r="D161" s="33"/>
      <c r="E161" s="34"/>
      <c r="F161" s="34"/>
      <c r="G161" s="35"/>
      <c r="H161" s="34"/>
      <c r="I161" s="37"/>
    </row>
    <row r="162" ht="22.5" customHeight="1">
      <c r="A162" s="30"/>
      <c r="B162" s="40"/>
      <c r="C162" s="32"/>
      <c r="D162" s="33"/>
      <c r="E162" s="34"/>
      <c r="F162" s="34"/>
      <c r="G162" s="35"/>
      <c r="H162" s="34"/>
      <c r="I162" s="37"/>
    </row>
    <row r="163" ht="22.5" customHeight="1">
      <c r="A163" s="30"/>
      <c r="B163" s="31"/>
      <c r="C163" s="32"/>
      <c r="D163" s="33"/>
      <c r="E163" s="34"/>
      <c r="F163" s="34"/>
      <c r="G163" s="35"/>
      <c r="H163" s="34"/>
      <c r="I163" s="37"/>
    </row>
    <row r="164" ht="22.5" customHeight="1">
      <c r="A164" s="30"/>
      <c r="B164" s="31"/>
      <c r="C164" s="32"/>
      <c r="D164" s="33"/>
      <c r="E164" s="34"/>
      <c r="F164" s="34"/>
      <c r="G164" s="35"/>
      <c r="H164" s="34"/>
      <c r="I164" s="37"/>
    </row>
    <row r="165" ht="22.5" customHeight="1">
      <c r="A165" s="30"/>
      <c r="B165" s="31"/>
      <c r="C165" s="32"/>
      <c r="D165" s="33"/>
      <c r="E165" s="34"/>
      <c r="F165" s="34"/>
      <c r="G165" s="35"/>
      <c r="H165" s="34"/>
      <c r="I165" s="37"/>
    </row>
    <row r="166" ht="22.5" customHeight="1">
      <c r="A166" s="30"/>
      <c r="B166" s="31"/>
      <c r="C166" s="32"/>
      <c r="D166" s="33"/>
      <c r="E166" s="34"/>
      <c r="F166" s="34"/>
      <c r="G166" s="35"/>
      <c r="H166" s="34"/>
      <c r="I166" s="37"/>
    </row>
    <row r="167" ht="22.5" customHeight="1">
      <c r="A167" s="30"/>
      <c r="B167" s="31"/>
      <c r="C167" s="32"/>
      <c r="D167" s="33"/>
      <c r="E167" s="34"/>
      <c r="F167" s="34"/>
      <c r="G167" s="35"/>
      <c r="H167" s="34"/>
      <c r="I167" s="37"/>
    </row>
    <row r="168" ht="22.5" customHeight="1">
      <c r="A168" s="30"/>
      <c r="B168" s="31"/>
      <c r="C168" s="32"/>
      <c r="D168" s="33"/>
      <c r="E168" s="34"/>
      <c r="F168" s="34"/>
      <c r="G168" s="35"/>
      <c r="H168" s="34"/>
      <c r="I168" s="37"/>
    </row>
    <row r="169" ht="22.5" customHeight="1">
      <c r="A169" s="30"/>
      <c r="B169" s="31"/>
      <c r="C169" s="32"/>
      <c r="D169" s="33"/>
      <c r="E169" s="34"/>
      <c r="F169" s="34"/>
      <c r="G169" s="35"/>
      <c r="H169" s="34"/>
      <c r="I169" s="37"/>
    </row>
    <row r="170" ht="22.5" customHeight="1">
      <c r="A170" s="30"/>
      <c r="B170" s="31"/>
      <c r="C170" s="32"/>
      <c r="D170" s="33"/>
      <c r="E170" s="34"/>
      <c r="F170" s="34"/>
      <c r="G170" s="35"/>
      <c r="H170" s="34"/>
      <c r="I170" s="37"/>
    </row>
    <row r="171" ht="22.5" customHeight="1">
      <c r="A171" s="30"/>
      <c r="B171" s="31"/>
      <c r="C171" s="32"/>
      <c r="D171" s="33"/>
      <c r="E171" s="34"/>
      <c r="F171" s="34"/>
      <c r="G171" s="35"/>
      <c r="H171" s="34"/>
      <c r="I171" s="37"/>
    </row>
    <row r="172" ht="22.5" customHeight="1">
      <c r="A172" s="30"/>
      <c r="B172" s="31"/>
      <c r="C172" s="32"/>
      <c r="D172" s="33"/>
      <c r="E172" s="34"/>
      <c r="F172" s="34"/>
      <c r="G172" s="35"/>
      <c r="H172" s="34"/>
      <c r="I172" s="37"/>
    </row>
    <row r="173" ht="22.5" customHeight="1">
      <c r="A173" s="30"/>
      <c r="B173" s="31"/>
      <c r="C173" s="32"/>
      <c r="D173" s="33"/>
      <c r="E173" s="34"/>
      <c r="F173" s="34"/>
      <c r="G173" s="35"/>
      <c r="H173" s="34"/>
      <c r="I173" s="37"/>
    </row>
    <row r="174" ht="22.5" customHeight="1">
      <c r="A174" s="30"/>
      <c r="B174" s="31"/>
      <c r="C174" s="32"/>
      <c r="D174" s="33"/>
      <c r="E174" s="34"/>
      <c r="F174" s="34"/>
      <c r="G174" s="35"/>
      <c r="H174" s="34"/>
      <c r="I174" s="37"/>
    </row>
    <row r="175" ht="22.5" customHeight="1">
      <c r="A175" s="30"/>
      <c r="B175" s="31"/>
      <c r="C175" s="32"/>
      <c r="D175" s="33"/>
      <c r="E175" s="34"/>
      <c r="F175" s="34"/>
      <c r="G175" s="35"/>
      <c r="H175" s="34"/>
      <c r="I175" s="37"/>
    </row>
    <row r="176" ht="22.5" customHeight="1">
      <c r="A176" s="30"/>
      <c r="B176" s="31"/>
      <c r="C176" s="32"/>
      <c r="D176" s="33"/>
      <c r="E176" s="34"/>
      <c r="F176" s="34"/>
      <c r="G176" s="35"/>
      <c r="H176" s="34"/>
      <c r="I176" s="37"/>
    </row>
    <row r="177" ht="22.5" customHeight="1">
      <c r="A177" s="30"/>
      <c r="B177" s="31"/>
      <c r="C177" s="32"/>
      <c r="D177" s="33"/>
      <c r="E177" s="34"/>
      <c r="F177" s="34"/>
      <c r="G177" s="35"/>
      <c r="H177" s="34"/>
      <c r="I177" s="37"/>
    </row>
    <row r="178" ht="22.5" customHeight="1">
      <c r="A178" s="30"/>
      <c r="B178" s="31"/>
      <c r="C178" s="32"/>
      <c r="D178" s="33"/>
      <c r="E178" s="34"/>
      <c r="F178" s="34"/>
      <c r="G178" s="35"/>
      <c r="H178" s="34"/>
      <c r="I178" s="37"/>
    </row>
    <row r="179" ht="22.5" customHeight="1">
      <c r="A179" s="30"/>
      <c r="B179" s="31"/>
      <c r="C179" s="32"/>
      <c r="D179" s="33"/>
      <c r="E179" s="34"/>
      <c r="F179" s="34"/>
      <c r="G179" s="35"/>
      <c r="H179" s="34"/>
      <c r="I179" s="37"/>
    </row>
    <row r="180" ht="22.5" customHeight="1">
      <c r="A180" s="30"/>
      <c r="B180" s="31"/>
      <c r="C180" s="32"/>
      <c r="D180" s="33"/>
      <c r="E180" s="34"/>
      <c r="F180" s="34"/>
      <c r="G180" s="35"/>
      <c r="H180" s="34"/>
      <c r="I180" s="37"/>
    </row>
    <row r="181" ht="22.5" customHeight="1">
      <c r="A181" s="30"/>
      <c r="B181" s="31"/>
      <c r="C181" s="32"/>
      <c r="D181" s="33"/>
      <c r="E181" s="34"/>
      <c r="F181" s="34"/>
      <c r="G181" s="35"/>
      <c r="H181" s="34"/>
      <c r="I181" s="37"/>
    </row>
    <row r="182" ht="22.5" customHeight="1">
      <c r="A182" s="30"/>
      <c r="B182" s="31"/>
      <c r="C182" s="32"/>
      <c r="D182" s="33"/>
      <c r="E182" s="34"/>
      <c r="F182" s="34"/>
      <c r="G182" s="35"/>
      <c r="H182" s="34"/>
      <c r="I182" s="37"/>
    </row>
    <row r="183" ht="22.5" customHeight="1">
      <c r="A183" s="30"/>
      <c r="B183" s="31"/>
      <c r="C183" s="32"/>
      <c r="D183" s="33"/>
      <c r="E183" s="34"/>
      <c r="F183" s="34"/>
      <c r="G183" s="35"/>
      <c r="H183" s="34"/>
      <c r="I183" s="37"/>
    </row>
    <row r="184" ht="22.5" customHeight="1">
      <c r="A184" s="30"/>
      <c r="B184" s="40"/>
      <c r="C184" s="32"/>
      <c r="D184" s="33"/>
      <c r="E184" s="34"/>
      <c r="F184" s="34"/>
      <c r="G184" s="35"/>
      <c r="H184" s="34"/>
      <c r="I184" s="37"/>
    </row>
    <row r="185" ht="22.5" customHeight="1">
      <c r="A185" s="30"/>
      <c r="B185" s="31"/>
      <c r="C185" s="32"/>
      <c r="D185" s="33"/>
      <c r="E185" s="34"/>
      <c r="F185" s="34"/>
      <c r="G185" s="35"/>
      <c r="H185" s="34"/>
      <c r="I185" s="37"/>
    </row>
    <row r="186" ht="22.5" customHeight="1">
      <c r="A186" s="30"/>
      <c r="B186" s="31"/>
      <c r="C186" s="32"/>
      <c r="D186" s="33"/>
      <c r="E186" s="34"/>
      <c r="F186" s="34"/>
      <c r="G186" s="35"/>
      <c r="H186" s="34"/>
      <c r="I186" s="37"/>
    </row>
    <row r="187" ht="22.5" customHeight="1">
      <c r="A187" s="30"/>
      <c r="B187" s="31"/>
      <c r="C187" s="32"/>
      <c r="D187" s="33"/>
      <c r="E187" s="34"/>
      <c r="F187" s="34"/>
      <c r="G187" s="35"/>
      <c r="H187" s="34"/>
      <c r="I187" s="37"/>
    </row>
    <row r="188" ht="22.5" customHeight="1">
      <c r="A188" s="30"/>
      <c r="B188" s="31"/>
      <c r="C188" s="32"/>
      <c r="D188" s="33"/>
      <c r="E188" s="34"/>
      <c r="F188" s="34"/>
      <c r="G188" s="35"/>
      <c r="H188" s="34"/>
      <c r="I188" s="38"/>
    </row>
    <row r="189" ht="22.5" customHeight="1">
      <c r="A189" s="30"/>
      <c r="B189" s="39"/>
      <c r="C189" s="32"/>
      <c r="D189" s="33"/>
      <c r="E189" s="34"/>
      <c r="F189" s="34"/>
      <c r="G189" s="35"/>
      <c r="H189" s="34"/>
      <c r="I189" s="37"/>
    </row>
    <row r="190" ht="22.5" customHeight="1">
      <c r="A190" s="30"/>
      <c r="B190" s="31"/>
      <c r="C190" s="32"/>
      <c r="D190" s="33"/>
      <c r="E190" s="34"/>
      <c r="F190" s="34"/>
      <c r="G190" s="35"/>
      <c r="H190" s="34"/>
      <c r="I190" s="37"/>
    </row>
    <row r="191" ht="22.5" customHeight="1">
      <c r="A191" s="30"/>
      <c r="B191" s="31"/>
      <c r="C191" s="32"/>
      <c r="D191" s="33"/>
      <c r="E191" s="34"/>
      <c r="F191" s="34"/>
      <c r="G191" s="35"/>
      <c r="H191" s="34"/>
      <c r="I191" s="37"/>
    </row>
    <row r="192" ht="22.5" customHeight="1">
      <c r="A192" s="30"/>
      <c r="B192" s="31"/>
      <c r="C192" s="32"/>
      <c r="D192" s="33"/>
      <c r="E192" s="34"/>
      <c r="F192" s="34"/>
      <c r="G192" s="35"/>
      <c r="H192" s="34"/>
      <c r="I192" s="37"/>
    </row>
    <row r="193" ht="22.5" customHeight="1">
      <c r="A193" s="30"/>
      <c r="B193" s="39"/>
      <c r="C193" s="32"/>
      <c r="D193" s="33"/>
      <c r="E193" s="34"/>
      <c r="F193" s="34"/>
      <c r="G193" s="35"/>
      <c r="H193" s="34"/>
      <c r="I193" s="37"/>
    </row>
    <row r="194" ht="22.5" customHeight="1">
      <c r="A194" s="30"/>
      <c r="B194" s="31"/>
      <c r="C194" s="32"/>
      <c r="D194" s="33"/>
      <c r="E194" s="34"/>
      <c r="F194" s="34"/>
      <c r="G194" s="35"/>
      <c r="H194" s="34"/>
      <c r="I194" s="37"/>
    </row>
    <row r="195" ht="22.5" customHeight="1">
      <c r="A195" s="30"/>
      <c r="B195" s="39"/>
      <c r="C195" s="32"/>
      <c r="D195" s="33"/>
      <c r="E195" s="34"/>
      <c r="F195" s="34"/>
      <c r="G195" s="35"/>
      <c r="H195" s="34"/>
      <c r="I195" s="37"/>
    </row>
    <row r="196" ht="22.5" customHeight="1">
      <c r="A196" s="30"/>
      <c r="B196" s="31"/>
      <c r="C196" s="32"/>
      <c r="D196" s="33"/>
      <c r="E196" s="34"/>
      <c r="F196" s="34"/>
      <c r="G196" s="35"/>
      <c r="H196" s="34"/>
      <c r="I196" s="37"/>
    </row>
    <row r="197" ht="22.5" customHeight="1">
      <c r="A197" s="30"/>
      <c r="B197" s="31"/>
      <c r="C197" s="32"/>
      <c r="D197" s="33"/>
      <c r="E197" s="34"/>
      <c r="F197" s="34"/>
      <c r="G197" s="35"/>
      <c r="H197" s="34"/>
      <c r="I197" s="37"/>
    </row>
    <row r="198" ht="22.5" customHeight="1">
      <c r="A198" s="30"/>
      <c r="B198" s="31"/>
      <c r="C198" s="32"/>
      <c r="D198" s="33"/>
      <c r="E198" s="34"/>
      <c r="F198" s="34"/>
      <c r="G198" s="35"/>
      <c r="H198" s="34"/>
      <c r="I198" s="37"/>
    </row>
    <row r="199" ht="22.5" customHeight="1">
      <c r="A199" s="30"/>
      <c r="B199" s="31"/>
      <c r="C199" s="32"/>
      <c r="D199" s="33"/>
      <c r="E199" s="34"/>
      <c r="F199" s="34"/>
      <c r="G199" s="35"/>
      <c r="H199" s="34"/>
      <c r="I199" s="37"/>
    </row>
    <row r="200" ht="22.5" customHeight="1">
      <c r="A200" s="30"/>
      <c r="B200" s="31"/>
      <c r="C200" s="32"/>
      <c r="D200" s="33"/>
      <c r="E200" s="34"/>
      <c r="F200" s="34"/>
      <c r="G200" s="35"/>
      <c r="H200" s="34"/>
      <c r="I200" s="37"/>
    </row>
    <row r="201" ht="22.5" customHeight="1">
      <c r="A201" s="30"/>
      <c r="B201" s="31"/>
      <c r="C201" s="32"/>
      <c r="D201" s="33"/>
      <c r="E201" s="34"/>
      <c r="F201" s="34"/>
      <c r="G201" s="35"/>
      <c r="H201" s="34"/>
      <c r="I201" s="37"/>
    </row>
    <row r="202" ht="22.5" customHeight="1">
      <c r="A202" s="30"/>
      <c r="B202" s="31"/>
      <c r="C202" s="32"/>
      <c r="D202" s="33"/>
      <c r="E202" s="34"/>
      <c r="F202" s="34"/>
      <c r="G202" s="35"/>
      <c r="H202" s="34"/>
      <c r="I202" s="37"/>
    </row>
    <row r="203" ht="22.5" customHeight="1">
      <c r="A203" s="30"/>
      <c r="B203" s="31"/>
      <c r="C203" s="32"/>
      <c r="D203" s="33"/>
      <c r="E203" s="34"/>
      <c r="F203" s="34"/>
      <c r="G203" s="35"/>
      <c r="H203" s="34"/>
      <c r="I203" s="37"/>
    </row>
    <row r="204" ht="22.5" customHeight="1">
      <c r="A204" s="30"/>
      <c r="B204" s="31"/>
      <c r="C204" s="32"/>
      <c r="D204" s="33"/>
      <c r="E204" s="34"/>
      <c r="F204" s="34"/>
      <c r="G204" s="35"/>
      <c r="H204" s="34"/>
      <c r="I204" s="37"/>
    </row>
    <row r="205" ht="22.5" customHeight="1">
      <c r="A205" s="30"/>
      <c r="B205" s="31"/>
      <c r="C205" s="32"/>
      <c r="D205" s="33"/>
      <c r="E205" s="34"/>
      <c r="F205" s="34"/>
      <c r="G205" s="35"/>
      <c r="H205" s="34"/>
      <c r="I205" s="37"/>
    </row>
    <row r="206" ht="22.5" customHeight="1">
      <c r="A206" s="30"/>
      <c r="B206" s="40"/>
      <c r="C206" s="32"/>
      <c r="D206" s="33"/>
      <c r="E206" s="34"/>
      <c r="F206" s="34"/>
      <c r="G206" s="35"/>
      <c r="H206" s="34"/>
      <c r="I206" s="37"/>
    </row>
    <row r="207" ht="22.5" customHeight="1">
      <c r="A207" s="30"/>
      <c r="B207" s="31"/>
      <c r="C207" s="32"/>
      <c r="D207" s="33"/>
      <c r="E207" s="34"/>
      <c r="F207" s="34"/>
      <c r="G207" s="35"/>
      <c r="H207" s="34"/>
      <c r="I207" s="37"/>
    </row>
    <row r="208" ht="22.5" customHeight="1">
      <c r="A208" s="30"/>
      <c r="B208" s="31"/>
      <c r="C208" s="32"/>
      <c r="D208" s="33"/>
      <c r="E208" s="34"/>
      <c r="F208" s="34"/>
      <c r="G208" s="35"/>
      <c r="H208" s="34"/>
      <c r="I208" s="37"/>
    </row>
    <row r="209" ht="22.5" customHeight="1">
      <c r="A209" s="30"/>
      <c r="B209" s="31"/>
      <c r="C209" s="32"/>
      <c r="D209" s="33"/>
      <c r="E209" s="34"/>
      <c r="F209" s="34"/>
      <c r="G209" s="35"/>
      <c r="H209" s="34"/>
      <c r="I209" s="37"/>
    </row>
    <row r="210" ht="22.5" customHeight="1">
      <c r="A210" s="30"/>
      <c r="B210" s="31"/>
      <c r="C210" s="32"/>
      <c r="D210" s="33"/>
      <c r="E210" s="34"/>
      <c r="F210" s="34"/>
      <c r="G210" s="35"/>
      <c r="H210" s="34"/>
      <c r="I210" s="37"/>
    </row>
    <row r="211" ht="22.5" customHeight="1">
      <c r="A211" s="30"/>
      <c r="B211" s="31"/>
      <c r="C211" s="32"/>
      <c r="D211" s="33"/>
      <c r="E211" s="34"/>
      <c r="F211" s="34"/>
      <c r="G211" s="35"/>
      <c r="H211" s="34"/>
      <c r="I211" s="37"/>
    </row>
    <row r="212" ht="22.5" customHeight="1">
      <c r="A212" s="30"/>
      <c r="B212" s="31"/>
      <c r="C212" s="32"/>
      <c r="D212" s="33"/>
      <c r="E212" s="34"/>
      <c r="F212" s="34"/>
      <c r="G212" s="35"/>
      <c r="H212" s="34"/>
      <c r="I212" s="37"/>
    </row>
    <row r="213" ht="22.5" customHeight="1">
      <c r="A213" s="30"/>
      <c r="B213" s="39"/>
      <c r="C213" s="32"/>
      <c r="D213" s="33"/>
      <c r="E213" s="34"/>
      <c r="F213" s="34"/>
      <c r="G213" s="35"/>
      <c r="H213" s="34"/>
      <c r="I213" s="37"/>
    </row>
    <row r="214" ht="22.5" customHeight="1">
      <c r="A214" s="30"/>
      <c r="B214" s="39"/>
      <c r="C214" s="32"/>
      <c r="D214" s="33"/>
      <c r="E214" s="34"/>
      <c r="F214" s="34"/>
      <c r="G214" s="35"/>
      <c r="H214" s="34"/>
      <c r="I214" s="37"/>
    </row>
    <row r="215" ht="22.5" customHeight="1">
      <c r="A215" s="30"/>
      <c r="B215" s="39"/>
      <c r="C215" s="32"/>
      <c r="D215" s="33"/>
      <c r="E215" s="34"/>
      <c r="F215" s="34"/>
      <c r="G215" s="35"/>
      <c r="H215" s="34"/>
      <c r="I215" s="37"/>
    </row>
    <row r="216" ht="22.5" customHeight="1">
      <c r="A216" s="30"/>
      <c r="B216" s="40"/>
      <c r="C216" s="32"/>
      <c r="D216" s="33"/>
      <c r="E216" s="34"/>
      <c r="F216" s="34"/>
      <c r="G216" s="35"/>
      <c r="H216" s="34"/>
      <c r="I216" s="37"/>
    </row>
    <row r="217" ht="22.5" customHeight="1">
      <c r="A217" s="30"/>
      <c r="B217" s="31"/>
      <c r="C217" s="32"/>
      <c r="D217" s="33"/>
      <c r="E217" s="34"/>
      <c r="F217" s="34"/>
      <c r="G217" s="35"/>
      <c r="H217" s="34"/>
      <c r="I217" s="37"/>
    </row>
    <row r="218" ht="22.5" customHeight="1">
      <c r="A218" s="30"/>
      <c r="B218" s="31"/>
      <c r="C218" s="32"/>
      <c r="D218" s="33"/>
      <c r="E218" s="34"/>
      <c r="F218" s="34"/>
      <c r="G218" s="35"/>
      <c r="H218" s="34"/>
      <c r="I218" s="37"/>
    </row>
    <row r="219" ht="22.5" customHeight="1">
      <c r="A219" s="30"/>
      <c r="B219" s="31"/>
      <c r="C219" s="32"/>
      <c r="D219" s="33"/>
      <c r="E219" s="34"/>
      <c r="F219" s="34"/>
      <c r="G219" s="35"/>
      <c r="H219" s="34"/>
      <c r="I219" s="37"/>
    </row>
    <row r="220" ht="22.5" customHeight="1">
      <c r="A220" s="30"/>
      <c r="B220" s="31"/>
      <c r="C220" s="32"/>
      <c r="D220" s="33"/>
      <c r="E220" s="34"/>
      <c r="F220" s="34"/>
      <c r="G220" s="35"/>
      <c r="H220" s="34"/>
      <c r="I220" s="37"/>
    </row>
    <row r="221" ht="22.5" customHeight="1">
      <c r="A221" s="30"/>
      <c r="B221" s="31"/>
      <c r="C221" s="32"/>
      <c r="D221" s="33"/>
      <c r="E221" s="34"/>
      <c r="F221" s="34"/>
      <c r="G221" s="35"/>
      <c r="H221" s="34"/>
      <c r="I221" s="37"/>
    </row>
    <row r="222" ht="22.5" customHeight="1">
      <c r="A222" s="30"/>
      <c r="B222" s="31"/>
      <c r="C222" s="32"/>
      <c r="D222" s="33"/>
      <c r="E222" s="34"/>
      <c r="F222" s="34"/>
      <c r="G222" s="35"/>
      <c r="H222" s="34"/>
      <c r="I222" s="37"/>
    </row>
    <row r="223" ht="22.5" customHeight="1">
      <c r="A223" s="30"/>
      <c r="B223" s="31"/>
      <c r="C223" s="32"/>
      <c r="D223" s="33"/>
      <c r="E223" s="34"/>
      <c r="F223" s="34"/>
      <c r="G223" s="35"/>
      <c r="H223" s="34"/>
      <c r="I223" s="37"/>
    </row>
    <row r="224" ht="22.5" customHeight="1">
      <c r="A224" s="30"/>
      <c r="B224" s="31"/>
      <c r="C224" s="32"/>
      <c r="D224" s="33"/>
      <c r="E224" s="34"/>
      <c r="F224" s="34"/>
      <c r="G224" s="35"/>
      <c r="H224" s="34"/>
      <c r="I224" s="37"/>
    </row>
    <row r="225" ht="22.5" customHeight="1">
      <c r="A225" s="30"/>
      <c r="B225" s="31"/>
      <c r="C225" s="32"/>
      <c r="D225" s="33"/>
      <c r="E225" s="34"/>
      <c r="F225" s="34"/>
      <c r="G225" s="35"/>
      <c r="H225" s="34"/>
      <c r="I225" s="37"/>
    </row>
    <row r="226" ht="22.5" customHeight="1">
      <c r="A226" s="30"/>
      <c r="B226" s="40"/>
      <c r="C226" s="32"/>
      <c r="D226" s="33"/>
      <c r="E226" s="34"/>
      <c r="F226" s="34"/>
      <c r="G226" s="35"/>
      <c r="H226" s="34"/>
      <c r="I226" s="37"/>
    </row>
    <row r="227" ht="22.5" customHeight="1">
      <c r="A227" s="30"/>
      <c r="B227" s="31"/>
      <c r="C227" s="32"/>
      <c r="D227" s="33"/>
      <c r="E227" s="34"/>
      <c r="F227" s="34"/>
      <c r="G227" s="35"/>
      <c r="H227" s="34"/>
      <c r="I227" s="37"/>
    </row>
    <row r="228" ht="22.5" customHeight="1">
      <c r="A228" s="30"/>
      <c r="B228" s="31"/>
      <c r="C228" s="32"/>
      <c r="D228" s="33"/>
      <c r="E228" s="34"/>
      <c r="F228" s="34"/>
      <c r="G228" s="35"/>
      <c r="H228" s="34"/>
      <c r="I228" s="37"/>
    </row>
    <row r="229" ht="22.5" customHeight="1">
      <c r="A229" s="30"/>
      <c r="B229" s="31"/>
      <c r="C229" s="32"/>
      <c r="D229" s="33"/>
      <c r="E229" s="34"/>
      <c r="F229" s="34"/>
      <c r="G229" s="35"/>
      <c r="H229" s="34"/>
      <c r="I229" s="37"/>
    </row>
    <row r="230" ht="22.5" customHeight="1">
      <c r="A230" s="30"/>
      <c r="B230" s="40"/>
      <c r="C230" s="32"/>
      <c r="D230" s="33"/>
      <c r="E230" s="34"/>
      <c r="F230" s="34"/>
      <c r="G230" s="35"/>
      <c r="H230" s="34"/>
      <c r="I230" s="37"/>
    </row>
    <row r="231" ht="22.5" customHeight="1">
      <c r="A231" s="30"/>
      <c r="B231" s="31"/>
      <c r="C231" s="32"/>
      <c r="D231" s="33"/>
      <c r="E231" s="34"/>
      <c r="F231" s="34"/>
      <c r="G231" s="35"/>
      <c r="H231" s="34"/>
      <c r="I231" s="37"/>
    </row>
    <row r="232" ht="22.5" customHeight="1">
      <c r="A232" s="30"/>
      <c r="B232" s="31"/>
      <c r="C232" s="32"/>
      <c r="D232" s="33"/>
      <c r="E232" s="34"/>
      <c r="F232" s="34"/>
      <c r="G232" s="35"/>
      <c r="H232" s="34"/>
      <c r="I232" s="37"/>
    </row>
    <row r="233" ht="22.5" customHeight="1">
      <c r="A233" s="30"/>
      <c r="B233" s="31"/>
      <c r="C233" s="32"/>
      <c r="D233" s="33"/>
      <c r="E233" s="34"/>
      <c r="F233" s="34"/>
      <c r="G233" s="35"/>
      <c r="H233" s="34"/>
      <c r="I233" s="37"/>
    </row>
    <row r="234" ht="22.5" customHeight="1">
      <c r="A234" s="30"/>
      <c r="B234" s="31"/>
      <c r="C234" s="32"/>
      <c r="D234" s="33"/>
      <c r="E234" s="34"/>
      <c r="F234" s="34"/>
      <c r="G234" s="35"/>
      <c r="H234" s="34"/>
      <c r="I234" s="37"/>
    </row>
    <row r="235" ht="22.5" customHeight="1">
      <c r="A235" s="30"/>
      <c r="B235" s="31"/>
      <c r="C235" s="32"/>
      <c r="D235" s="33"/>
      <c r="E235" s="34"/>
      <c r="F235" s="34"/>
      <c r="G235" s="35"/>
      <c r="H235" s="34"/>
      <c r="I235" s="37"/>
    </row>
    <row r="236" ht="22.5" customHeight="1">
      <c r="A236" s="30"/>
      <c r="B236" s="31"/>
      <c r="C236" s="32"/>
      <c r="D236" s="33"/>
      <c r="E236" s="34"/>
      <c r="F236" s="34"/>
      <c r="G236" s="35"/>
      <c r="H236" s="34"/>
      <c r="I236" s="37"/>
    </row>
    <row r="237" ht="22.5" customHeight="1">
      <c r="A237" s="30"/>
      <c r="B237" s="31"/>
      <c r="C237" s="32"/>
      <c r="D237" s="33"/>
      <c r="E237" s="34"/>
      <c r="F237" s="34"/>
      <c r="G237" s="35"/>
      <c r="H237" s="34"/>
      <c r="I237" s="37"/>
    </row>
    <row r="238" ht="22.5" customHeight="1">
      <c r="A238" s="30"/>
      <c r="B238" s="31"/>
      <c r="C238" s="32"/>
      <c r="D238" s="33"/>
      <c r="E238" s="34"/>
      <c r="F238" s="34"/>
      <c r="G238" s="35"/>
      <c r="H238" s="34"/>
      <c r="I238" s="37"/>
    </row>
    <row r="239" ht="22.5" customHeight="1">
      <c r="A239" s="30"/>
      <c r="B239" s="31"/>
      <c r="C239" s="32"/>
      <c r="D239" s="33"/>
      <c r="E239" s="34"/>
      <c r="F239" s="34"/>
      <c r="G239" s="35"/>
      <c r="H239" s="34"/>
      <c r="I239" s="37"/>
    </row>
    <row r="240" ht="22.5" customHeight="1">
      <c r="A240" s="30"/>
      <c r="B240" s="31"/>
      <c r="C240" s="32"/>
      <c r="D240" s="33"/>
      <c r="E240" s="34"/>
      <c r="F240" s="34"/>
      <c r="G240" s="35"/>
      <c r="H240" s="34"/>
      <c r="I240" s="37"/>
    </row>
    <row r="241" ht="22.5" customHeight="1">
      <c r="A241" s="30"/>
      <c r="B241" s="31"/>
      <c r="C241" s="32"/>
      <c r="D241" s="33"/>
      <c r="E241" s="34"/>
      <c r="F241" s="34"/>
      <c r="G241" s="35"/>
      <c r="H241" s="34"/>
      <c r="I241" s="37"/>
    </row>
    <row r="242" ht="22.5" customHeight="1">
      <c r="A242" s="30"/>
      <c r="B242" s="31"/>
      <c r="C242" s="32"/>
      <c r="D242" s="33"/>
      <c r="E242" s="34"/>
      <c r="F242" s="34"/>
      <c r="G242" s="35"/>
      <c r="H242" s="34"/>
      <c r="I242" s="37"/>
    </row>
    <row r="243" ht="22.5" customHeight="1">
      <c r="A243" s="30"/>
      <c r="B243" s="31"/>
      <c r="C243" s="32"/>
      <c r="D243" s="33"/>
      <c r="E243" s="34"/>
      <c r="F243" s="34"/>
      <c r="G243" s="35"/>
      <c r="H243" s="34"/>
      <c r="I243" s="37"/>
    </row>
    <row r="244" ht="22.5" customHeight="1">
      <c r="A244" s="30"/>
      <c r="B244" s="31"/>
      <c r="C244" s="32"/>
      <c r="D244" s="33"/>
      <c r="E244" s="34"/>
      <c r="F244" s="34"/>
      <c r="G244" s="35"/>
      <c r="H244" s="34"/>
      <c r="I244" s="37"/>
    </row>
    <row r="245" ht="22.5" customHeight="1">
      <c r="A245" s="30"/>
      <c r="B245" s="40"/>
      <c r="C245" s="32"/>
      <c r="D245" s="33"/>
      <c r="E245" s="34"/>
      <c r="F245" s="34"/>
      <c r="G245" s="35"/>
      <c r="H245" s="34"/>
      <c r="I245" s="37"/>
    </row>
    <row r="246" ht="22.5" customHeight="1">
      <c r="A246" s="30"/>
      <c r="B246" s="31"/>
      <c r="C246" s="32"/>
      <c r="D246" s="33"/>
      <c r="E246" s="34"/>
      <c r="F246" s="34"/>
      <c r="G246" s="35"/>
      <c r="H246" s="34"/>
      <c r="I246" s="37"/>
    </row>
    <row r="247" ht="22.5" customHeight="1">
      <c r="A247" s="30"/>
      <c r="B247" s="40"/>
      <c r="C247" s="32"/>
      <c r="D247" s="33"/>
      <c r="E247" s="34"/>
      <c r="F247" s="34"/>
      <c r="G247" s="35"/>
      <c r="H247" s="34"/>
      <c r="I247" s="37"/>
    </row>
    <row r="248" ht="22.5" customHeight="1">
      <c r="A248" s="30"/>
      <c r="B248" s="31"/>
      <c r="C248" s="32"/>
      <c r="D248" s="33"/>
      <c r="E248" s="34"/>
      <c r="F248" s="34"/>
      <c r="G248" s="35"/>
      <c r="H248" s="34"/>
      <c r="I248" s="37"/>
    </row>
    <row r="249" ht="22.5" customHeight="1">
      <c r="A249" s="30"/>
      <c r="B249" s="31"/>
      <c r="C249" s="32"/>
      <c r="D249" s="33"/>
      <c r="E249" s="34"/>
      <c r="F249" s="34"/>
      <c r="G249" s="35"/>
      <c r="H249" s="34"/>
      <c r="I249" s="37"/>
    </row>
    <row r="250" ht="22.5" customHeight="1">
      <c r="A250" s="30"/>
      <c r="B250" s="31"/>
      <c r="C250" s="32"/>
      <c r="D250" s="33"/>
      <c r="E250" s="34"/>
      <c r="F250" s="34"/>
      <c r="G250" s="35"/>
      <c r="H250" s="34"/>
      <c r="I250" s="37"/>
    </row>
    <row r="251" ht="22.5" customHeight="1">
      <c r="A251" s="30"/>
      <c r="B251" s="31"/>
      <c r="C251" s="32"/>
      <c r="D251" s="33"/>
      <c r="E251" s="34"/>
      <c r="F251" s="34"/>
      <c r="G251" s="35"/>
      <c r="H251" s="34"/>
      <c r="I251" s="37"/>
    </row>
    <row r="252" ht="22.5" customHeight="1">
      <c r="A252" s="30"/>
      <c r="B252" s="40"/>
      <c r="C252" s="32"/>
      <c r="D252" s="33"/>
      <c r="E252" s="34"/>
      <c r="F252" s="34"/>
      <c r="G252" s="35"/>
      <c r="H252" s="34"/>
      <c r="I252" s="37"/>
    </row>
    <row r="253" ht="22.5" customHeight="1">
      <c r="A253" s="30"/>
      <c r="B253" s="31"/>
      <c r="C253" s="32"/>
      <c r="D253" s="33"/>
      <c r="E253" s="34"/>
      <c r="F253" s="34"/>
      <c r="G253" s="35"/>
      <c r="H253" s="34"/>
      <c r="I253" s="37"/>
    </row>
    <row r="254" ht="22.5" customHeight="1">
      <c r="A254" s="30"/>
      <c r="B254" s="31"/>
      <c r="C254" s="32"/>
      <c r="D254" s="33"/>
      <c r="E254" s="34"/>
      <c r="F254" s="34"/>
      <c r="G254" s="35"/>
      <c r="H254" s="34"/>
      <c r="I254" s="37"/>
    </row>
    <row r="255" ht="22.5" customHeight="1">
      <c r="A255" s="30"/>
      <c r="B255" s="31"/>
      <c r="C255" s="32"/>
      <c r="D255" s="33"/>
      <c r="E255" s="34"/>
      <c r="F255" s="34"/>
      <c r="G255" s="35"/>
      <c r="H255" s="34"/>
      <c r="I255" s="37"/>
    </row>
    <row r="256" ht="22.5" customHeight="1">
      <c r="A256" s="30"/>
      <c r="B256" s="31"/>
      <c r="C256" s="32"/>
      <c r="D256" s="33"/>
      <c r="E256" s="34"/>
      <c r="F256" s="34"/>
      <c r="G256" s="35"/>
      <c r="H256" s="34"/>
      <c r="I256" s="37"/>
    </row>
    <row r="257" ht="22.5" customHeight="1">
      <c r="A257" s="30"/>
      <c r="B257" s="31"/>
      <c r="C257" s="32"/>
      <c r="D257" s="33"/>
      <c r="E257" s="34"/>
      <c r="F257" s="34"/>
      <c r="G257" s="35"/>
      <c r="H257" s="34"/>
      <c r="I257" s="37"/>
    </row>
    <row r="258" ht="22.5" customHeight="1">
      <c r="A258" s="30"/>
      <c r="B258" s="31"/>
      <c r="C258" s="32"/>
      <c r="D258" s="33"/>
      <c r="E258" s="34"/>
      <c r="F258" s="34"/>
      <c r="G258" s="35"/>
      <c r="H258" s="34"/>
      <c r="I258" s="37"/>
    </row>
    <row r="259" ht="22.5" customHeight="1">
      <c r="A259" s="30"/>
      <c r="B259" s="31"/>
      <c r="C259" s="32"/>
      <c r="D259" s="33"/>
      <c r="E259" s="34"/>
      <c r="F259" s="34"/>
      <c r="G259" s="35"/>
      <c r="H259" s="34"/>
      <c r="I259" s="37"/>
    </row>
    <row r="260" ht="22.5" customHeight="1">
      <c r="A260" s="30"/>
      <c r="B260" s="31"/>
      <c r="C260" s="32"/>
      <c r="D260" s="33"/>
      <c r="E260" s="34"/>
      <c r="F260" s="34"/>
      <c r="G260" s="35"/>
      <c r="H260" s="34"/>
      <c r="I260" s="37"/>
    </row>
    <row r="261" ht="22.5" customHeight="1">
      <c r="A261" s="30"/>
      <c r="B261" s="31"/>
      <c r="C261" s="32"/>
      <c r="D261" s="33"/>
      <c r="E261" s="34"/>
      <c r="F261" s="34"/>
      <c r="G261" s="35"/>
      <c r="H261" s="34"/>
      <c r="I261" s="37"/>
    </row>
    <row r="262" ht="22.5" customHeight="1">
      <c r="A262" s="30"/>
      <c r="B262" s="31"/>
      <c r="C262" s="32"/>
      <c r="D262" s="33"/>
      <c r="E262" s="34"/>
      <c r="F262" s="34"/>
      <c r="G262" s="35"/>
      <c r="H262" s="34"/>
      <c r="I262" s="37"/>
    </row>
    <row r="263" ht="22.5" customHeight="1">
      <c r="A263" s="30"/>
      <c r="B263" s="31"/>
      <c r="C263" s="32"/>
      <c r="D263" s="33"/>
      <c r="E263" s="34"/>
      <c r="F263" s="34"/>
      <c r="G263" s="35"/>
      <c r="H263" s="34"/>
      <c r="I263" s="37"/>
    </row>
    <row r="264" ht="22.5" customHeight="1">
      <c r="A264" s="30"/>
      <c r="B264" s="31"/>
      <c r="C264" s="32"/>
      <c r="D264" s="33"/>
      <c r="E264" s="34"/>
      <c r="F264" s="34"/>
      <c r="G264" s="35"/>
      <c r="H264" s="34"/>
      <c r="I264" s="37"/>
    </row>
    <row r="265" ht="22.5" customHeight="1">
      <c r="A265" s="30"/>
      <c r="B265" s="31"/>
      <c r="C265" s="32"/>
      <c r="D265" s="33"/>
      <c r="E265" s="34"/>
      <c r="F265" s="34"/>
      <c r="G265" s="35"/>
      <c r="H265" s="34"/>
      <c r="I265" s="37"/>
    </row>
    <row r="266" ht="22.5" customHeight="1">
      <c r="A266" s="30"/>
      <c r="B266" s="31"/>
      <c r="C266" s="32"/>
      <c r="D266" s="33"/>
      <c r="E266" s="34"/>
      <c r="F266" s="34"/>
      <c r="G266" s="35"/>
      <c r="H266" s="34"/>
      <c r="I266" s="37"/>
    </row>
    <row r="267" ht="22.5" customHeight="1">
      <c r="A267" s="30"/>
      <c r="B267" s="31"/>
      <c r="C267" s="32"/>
      <c r="D267" s="33"/>
      <c r="E267" s="34"/>
      <c r="F267" s="34"/>
      <c r="G267" s="35"/>
      <c r="H267" s="34"/>
      <c r="I267" s="37"/>
    </row>
    <row r="268" ht="22.5" customHeight="1">
      <c r="A268" s="30"/>
      <c r="B268" s="31"/>
      <c r="C268" s="32"/>
      <c r="D268" s="33"/>
      <c r="E268" s="34"/>
      <c r="F268" s="34"/>
      <c r="G268" s="35"/>
      <c r="H268" s="34"/>
      <c r="I268" s="37"/>
    </row>
    <row r="269" ht="22.5" customHeight="1">
      <c r="A269" s="30"/>
      <c r="B269" s="31"/>
      <c r="C269" s="32"/>
      <c r="D269" s="33"/>
      <c r="E269" s="34"/>
      <c r="F269" s="34"/>
      <c r="G269" s="35"/>
      <c r="H269" s="34"/>
      <c r="I269" s="37"/>
    </row>
    <row r="270" ht="22.5" customHeight="1">
      <c r="A270" s="30"/>
      <c r="B270" s="31"/>
      <c r="C270" s="32"/>
      <c r="D270" s="33"/>
      <c r="E270" s="34"/>
      <c r="F270" s="34"/>
      <c r="G270" s="35"/>
      <c r="H270" s="34"/>
      <c r="I270" s="37"/>
    </row>
    <row r="271" ht="22.5" customHeight="1">
      <c r="A271" s="30"/>
      <c r="B271" s="31"/>
      <c r="C271" s="32"/>
      <c r="D271" s="33"/>
      <c r="E271" s="34"/>
      <c r="F271" s="34"/>
      <c r="G271" s="35"/>
      <c r="H271" s="34"/>
      <c r="I271" s="37"/>
    </row>
    <row r="272" ht="22.5" customHeight="1">
      <c r="A272" s="30"/>
      <c r="B272" s="31"/>
      <c r="C272" s="32"/>
      <c r="D272" s="33"/>
      <c r="E272" s="34"/>
      <c r="F272" s="34"/>
      <c r="G272" s="35"/>
      <c r="H272" s="34"/>
      <c r="I272" s="37"/>
    </row>
    <row r="273" ht="22.5" customHeight="1">
      <c r="A273" s="30"/>
      <c r="B273" s="31"/>
      <c r="C273" s="32"/>
      <c r="D273" s="33"/>
      <c r="E273" s="34"/>
      <c r="F273" s="34"/>
      <c r="G273" s="35"/>
      <c r="H273" s="34"/>
      <c r="I273" s="37"/>
    </row>
    <row r="274" ht="22.5" customHeight="1">
      <c r="A274" s="30"/>
      <c r="B274" s="40"/>
      <c r="C274" s="32"/>
      <c r="D274" s="33"/>
      <c r="E274" s="34"/>
      <c r="F274" s="34"/>
      <c r="G274" s="35"/>
      <c r="H274" s="34"/>
      <c r="I274" s="37"/>
    </row>
    <row r="275" ht="22.5" customHeight="1">
      <c r="A275" s="30"/>
      <c r="B275" s="31"/>
      <c r="C275" s="32"/>
      <c r="D275" s="33"/>
      <c r="E275" s="34"/>
      <c r="F275" s="34"/>
      <c r="G275" s="35"/>
      <c r="H275" s="34"/>
      <c r="I275" s="37"/>
    </row>
    <row r="276" ht="22.5" customHeight="1">
      <c r="A276" s="30"/>
      <c r="B276" s="31"/>
      <c r="C276" s="32"/>
      <c r="D276" s="33"/>
      <c r="E276" s="34"/>
      <c r="F276" s="34"/>
      <c r="G276" s="35"/>
      <c r="H276" s="34"/>
      <c r="I276" s="37"/>
    </row>
    <row r="277" ht="22.5" customHeight="1">
      <c r="A277" s="30"/>
      <c r="B277" s="31"/>
      <c r="C277" s="32"/>
      <c r="D277" s="33"/>
      <c r="E277" s="34"/>
      <c r="F277" s="34"/>
      <c r="G277" s="35"/>
      <c r="H277" s="34"/>
      <c r="I277" s="37"/>
    </row>
    <row r="278" ht="22.5" customHeight="1">
      <c r="A278" s="30"/>
      <c r="B278" s="31"/>
      <c r="C278" s="32"/>
      <c r="D278" s="33"/>
      <c r="E278" s="34"/>
      <c r="F278" s="34"/>
      <c r="G278" s="35"/>
      <c r="H278" s="34"/>
      <c r="I278" s="38"/>
    </row>
    <row r="279" ht="22.5" customHeight="1">
      <c r="A279" s="30"/>
      <c r="B279" s="39"/>
      <c r="C279" s="32"/>
      <c r="D279" s="33"/>
      <c r="E279" s="34"/>
      <c r="F279" s="34"/>
      <c r="G279" s="35"/>
      <c r="H279" s="34"/>
      <c r="I279" s="37"/>
    </row>
    <row r="280" ht="22.5" customHeight="1">
      <c r="A280" s="30"/>
      <c r="B280" s="31"/>
      <c r="C280" s="32"/>
      <c r="D280" s="33"/>
      <c r="E280" s="34"/>
      <c r="F280" s="34"/>
      <c r="G280" s="35"/>
      <c r="H280" s="34"/>
      <c r="I280" s="37"/>
    </row>
    <row r="281" ht="22.5" customHeight="1">
      <c r="A281" s="30"/>
      <c r="B281" s="31"/>
      <c r="C281" s="32"/>
      <c r="D281" s="33"/>
      <c r="E281" s="34"/>
      <c r="F281" s="34"/>
      <c r="G281" s="35"/>
      <c r="H281" s="34"/>
      <c r="I281" s="37"/>
    </row>
    <row r="282" ht="22.5" customHeight="1">
      <c r="A282" s="30"/>
      <c r="B282" s="31"/>
      <c r="C282" s="32"/>
      <c r="D282" s="33"/>
      <c r="E282" s="34"/>
      <c r="F282" s="34"/>
      <c r="G282" s="35"/>
      <c r="H282" s="34"/>
      <c r="I282" s="37"/>
    </row>
    <row r="283" ht="22.5" customHeight="1">
      <c r="A283" s="30"/>
      <c r="B283" s="39"/>
      <c r="C283" s="32"/>
      <c r="D283" s="33"/>
      <c r="E283" s="34"/>
      <c r="F283" s="34"/>
      <c r="G283" s="35"/>
      <c r="H283" s="34"/>
      <c r="I283" s="37"/>
    </row>
    <row r="284" ht="22.5" customHeight="1">
      <c r="A284" s="30"/>
      <c r="B284" s="31"/>
      <c r="C284" s="32"/>
      <c r="D284" s="33"/>
      <c r="E284" s="34"/>
      <c r="F284" s="34"/>
      <c r="G284" s="35"/>
      <c r="H284" s="34"/>
      <c r="I284" s="37"/>
    </row>
    <row r="285" ht="22.5" customHeight="1">
      <c r="A285" s="30"/>
      <c r="B285" s="39"/>
      <c r="C285" s="32"/>
      <c r="D285" s="33"/>
      <c r="E285" s="34"/>
      <c r="F285" s="34"/>
      <c r="G285" s="35"/>
      <c r="H285" s="34"/>
      <c r="I285" s="37"/>
    </row>
    <row r="286" ht="22.5" customHeight="1">
      <c r="A286" s="30"/>
      <c r="B286" s="31"/>
      <c r="C286" s="32"/>
      <c r="D286" s="33"/>
      <c r="E286" s="34"/>
      <c r="F286" s="34"/>
      <c r="G286" s="35"/>
      <c r="H286" s="34"/>
      <c r="I286" s="37"/>
    </row>
    <row r="287" ht="22.5" customHeight="1">
      <c r="A287" s="30"/>
      <c r="B287" s="31"/>
      <c r="C287" s="32"/>
      <c r="D287" s="33"/>
      <c r="E287" s="34"/>
      <c r="F287" s="34"/>
      <c r="G287" s="35"/>
      <c r="H287" s="34"/>
      <c r="I287" s="37"/>
    </row>
    <row r="288" ht="22.5" customHeight="1">
      <c r="A288" s="30"/>
      <c r="B288" s="31"/>
      <c r="C288" s="32"/>
      <c r="D288" s="33"/>
      <c r="E288" s="34"/>
      <c r="F288" s="34"/>
      <c r="G288" s="35"/>
      <c r="H288" s="34"/>
      <c r="I288" s="37"/>
    </row>
    <row r="289" ht="22.5" customHeight="1">
      <c r="A289" s="30"/>
      <c r="B289" s="31"/>
      <c r="C289" s="32"/>
      <c r="D289" s="33"/>
      <c r="E289" s="34"/>
      <c r="F289" s="34"/>
      <c r="G289" s="35"/>
      <c r="H289" s="34"/>
      <c r="I289" s="37"/>
    </row>
    <row r="290" ht="22.5" customHeight="1">
      <c r="A290" s="30"/>
      <c r="B290" s="31"/>
      <c r="C290" s="32"/>
      <c r="D290" s="33"/>
      <c r="E290" s="34"/>
      <c r="F290" s="34"/>
      <c r="G290" s="35"/>
      <c r="H290" s="34"/>
      <c r="I290" s="37"/>
    </row>
    <row r="291" ht="22.5" customHeight="1">
      <c r="A291" s="30"/>
      <c r="B291" s="31"/>
      <c r="C291" s="32"/>
      <c r="D291" s="33"/>
      <c r="E291" s="34"/>
      <c r="F291" s="34"/>
      <c r="G291" s="35"/>
      <c r="H291" s="34"/>
      <c r="I291" s="37"/>
    </row>
    <row r="292" ht="22.5" customHeight="1">
      <c r="A292" s="30"/>
      <c r="B292" s="31"/>
      <c r="C292" s="32"/>
      <c r="D292" s="33"/>
      <c r="E292" s="34"/>
      <c r="F292" s="34"/>
      <c r="G292" s="35"/>
      <c r="H292" s="34"/>
      <c r="I292" s="37"/>
    </row>
    <row r="293" ht="22.5" customHeight="1">
      <c r="A293" s="30"/>
      <c r="B293" s="31"/>
      <c r="C293" s="32"/>
      <c r="D293" s="33"/>
      <c r="E293" s="34"/>
      <c r="F293" s="34"/>
      <c r="G293" s="35"/>
      <c r="H293" s="34"/>
      <c r="I293" s="37"/>
    </row>
    <row r="294" ht="22.5" customHeight="1">
      <c r="A294" s="30"/>
      <c r="B294" s="31"/>
      <c r="C294" s="32"/>
      <c r="D294" s="33"/>
      <c r="E294" s="34"/>
      <c r="F294" s="34"/>
      <c r="G294" s="35"/>
      <c r="H294" s="34"/>
      <c r="I294" s="37"/>
    </row>
    <row r="295" ht="22.5" customHeight="1">
      <c r="A295" s="30"/>
      <c r="B295" s="31"/>
      <c r="C295" s="32"/>
      <c r="D295" s="33"/>
      <c r="E295" s="34"/>
      <c r="F295" s="34"/>
      <c r="G295" s="35"/>
      <c r="H295" s="34"/>
      <c r="I295" s="37"/>
    </row>
    <row r="296" ht="22.5" customHeight="1">
      <c r="A296" s="30"/>
      <c r="B296" s="40"/>
      <c r="C296" s="32"/>
      <c r="D296" s="33"/>
      <c r="E296" s="34"/>
      <c r="F296" s="34"/>
      <c r="G296" s="35"/>
      <c r="H296" s="34"/>
      <c r="I296" s="37"/>
    </row>
    <row r="297" ht="22.5" customHeight="1">
      <c r="A297" s="30"/>
      <c r="B297" s="31"/>
      <c r="C297" s="32"/>
      <c r="D297" s="33"/>
      <c r="E297" s="34"/>
      <c r="F297" s="34"/>
      <c r="G297" s="35"/>
      <c r="H297" s="34"/>
      <c r="I297" s="37"/>
    </row>
    <row r="298" ht="22.5" customHeight="1">
      <c r="A298" s="30"/>
      <c r="B298" s="31"/>
      <c r="C298" s="32"/>
      <c r="D298" s="33"/>
      <c r="E298" s="34"/>
      <c r="F298" s="34"/>
      <c r="G298" s="35"/>
      <c r="H298" s="34"/>
      <c r="I298" s="37"/>
    </row>
    <row r="299" ht="22.5" customHeight="1">
      <c r="A299" s="30"/>
      <c r="B299" s="31"/>
      <c r="C299" s="32"/>
      <c r="D299" s="33"/>
      <c r="E299" s="34"/>
      <c r="F299" s="34"/>
      <c r="G299" s="35"/>
      <c r="H299" s="34"/>
      <c r="I299" s="37"/>
    </row>
    <row r="300" ht="22.5" customHeight="1">
      <c r="A300" s="30"/>
      <c r="B300" s="31"/>
      <c r="C300" s="32"/>
      <c r="D300" s="33"/>
      <c r="E300" s="34"/>
      <c r="F300" s="34"/>
      <c r="G300" s="35"/>
      <c r="H300" s="34"/>
      <c r="I300" s="37"/>
    </row>
    <row r="301" ht="22.5" customHeight="1">
      <c r="A301" s="30"/>
      <c r="B301" s="31"/>
      <c r="C301" s="32"/>
      <c r="D301" s="33"/>
      <c r="E301" s="34"/>
      <c r="F301" s="34"/>
      <c r="G301" s="35"/>
      <c r="H301" s="34"/>
      <c r="I301" s="37"/>
    </row>
    <row r="302" ht="22.5" customHeight="1">
      <c r="A302" s="30"/>
      <c r="B302" s="31"/>
      <c r="C302" s="32"/>
      <c r="D302" s="33"/>
      <c r="E302" s="34"/>
      <c r="F302" s="34"/>
      <c r="G302" s="35"/>
      <c r="H302" s="34"/>
      <c r="I302" s="37"/>
    </row>
    <row r="303" ht="22.5" customHeight="1">
      <c r="A303" s="30"/>
      <c r="B303" s="39"/>
      <c r="C303" s="32"/>
      <c r="D303" s="33"/>
      <c r="E303" s="34"/>
      <c r="F303" s="34"/>
      <c r="G303" s="35"/>
      <c r="H303" s="34"/>
      <c r="I303" s="37"/>
    </row>
    <row r="304" ht="22.5" customHeight="1">
      <c r="A304" s="30"/>
      <c r="B304" s="39"/>
      <c r="C304" s="32"/>
      <c r="D304" s="33"/>
      <c r="E304" s="34"/>
      <c r="F304" s="34"/>
      <c r="G304" s="35"/>
      <c r="H304" s="34"/>
      <c r="I304" s="37"/>
    </row>
    <row r="305" ht="22.5" customHeight="1">
      <c r="A305" s="30"/>
      <c r="B305" s="39"/>
      <c r="C305" s="32"/>
      <c r="D305" s="33"/>
      <c r="E305" s="34"/>
      <c r="F305" s="34"/>
      <c r="G305" s="35"/>
      <c r="H305" s="34"/>
      <c r="I305" s="37"/>
    </row>
    <row r="306" ht="22.5" customHeight="1">
      <c r="A306" s="30"/>
      <c r="B306" s="40"/>
      <c r="C306" s="32"/>
      <c r="D306" s="33"/>
      <c r="E306" s="34"/>
      <c r="F306" s="34"/>
      <c r="G306" s="35"/>
      <c r="H306" s="34"/>
      <c r="I306" s="37"/>
    </row>
    <row r="307" ht="22.5" customHeight="1">
      <c r="A307" s="30"/>
      <c r="B307" s="31"/>
      <c r="C307" s="32"/>
      <c r="D307" s="33"/>
      <c r="E307" s="34"/>
      <c r="F307" s="34"/>
      <c r="G307" s="35"/>
      <c r="H307" s="34"/>
      <c r="I307" s="37"/>
    </row>
    <row r="308" ht="22.5" customHeight="1">
      <c r="A308" s="30"/>
      <c r="B308" s="31"/>
      <c r="C308" s="32"/>
      <c r="D308" s="33"/>
      <c r="E308" s="34"/>
      <c r="F308" s="34"/>
      <c r="G308" s="35"/>
      <c r="H308" s="34"/>
      <c r="I308" s="37"/>
    </row>
    <row r="309" ht="22.5" customHeight="1">
      <c r="A309" s="30"/>
      <c r="B309" s="31"/>
      <c r="C309" s="32"/>
      <c r="D309" s="33"/>
      <c r="E309" s="34"/>
      <c r="F309" s="34"/>
      <c r="G309" s="35"/>
      <c r="H309" s="34"/>
      <c r="I309" s="37"/>
    </row>
    <row r="310" ht="22.5" customHeight="1">
      <c r="A310" s="30"/>
      <c r="B310" s="31"/>
      <c r="C310" s="32"/>
      <c r="D310" s="33"/>
      <c r="E310" s="34"/>
      <c r="F310" s="34"/>
      <c r="G310" s="35"/>
      <c r="H310" s="34"/>
      <c r="I310" s="37"/>
    </row>
    <row r="311" ht="22.5" customHeight="1">
      <c r="A311" s="30"/>
      <c r="B311" s="31"/>
      <c r="C311" s="32"/>
      <c r="D311" s="33"/>
      <c r="E311" s="34"/>
      <c r="F311" s="34"/>
      <c r="G311" s="35"/>
      <c r="H311" s="34"/>
      <c r="I311" s="37"/>
    </row>
    <row r="312" ht="22.5" customHeight="1">
      <c r="A312" s="30"/>
      <c r="B312" s="31"/>
      <c r="C312" s="32"/>
      <c r="D312" s="33"/>
      <c r="E312" s="34"/>
      <c r="F312" s="34"/>
      <c r="G312" s="35"/>
      <c r="H312" s="34"/>
      <c r="I312" s="37"/>
    </row>
    <row r="313" ht="22.5" customHeight="1">
      <c r="A313" s="30"/>
      <c r="B313" s="31"/>
      <c r="C313" s="32"/>
      <c r="D313" s="33"/>
      <c r="E313" s="34"/>
      <c r="F313" s="34"/>
      <c r="G313" s="35"/>
      <c r="H313" s="34"/>
      <c r="I313" s="37"/>
    </row>
    <row r="314" ht="22.5" customHeight="1">
      <c r="A314" s="30"/>
      <c r="B314" s="31"/>
      <c r="C314" s="32"/>
      <c r="D314" s="33"/>
      <c r="E314" s="34"/>
      <c r="F314" s="34"/>
      <c r="G314" s="35"/>
      <c r="H314" s="34"/>
      <c r="I314" s="37"/>
    </row>
    <row r="315" ht="22.5" customHeight="1">
      <c r="A315" s="30"/>
      <c r="B315" s="31"/>
      <c r="C315" s="32"/>
      <c r="D315" s="33"/>
      <c r="E315" s="34"/>
      <c r="F315" s="34"/>
      <c r="G315" s="35"/>
      <c r="H315" s="34"/>
      <c r="I315" s="37"/>
    </row>
    <row r="316" ht="22.5" customHeight="1">
      <c r="A316" s="30"/>
      <c r="B316" s="40"/>
      <c r="C316" s="32"/>
      <c r="D316" s="33"/>
      <c r="E316" s="34"/>
      <c r="F316" s="34"/>
      <c r="G316" s="35"/>
      <c r="H316" s="34"/>
      <c r="I316" s="37"/>
    </row>
    <row r="317" ht="22.5" customHeight="1">
      <c r="A317" s="30"/>
      <c r="B317" s="31"/>
      <c r="C317" s="32"/>
      <c r="D317" s="33"/>
      <c r="E317" s="34"/>
      <c r="F317" s="34"/>
      <c r="G317" s="35"/>
      <c r="H317" s="34"/>
      <c r="I317" s="37"/>
    </row>
    <row r="318" ht="22.5" customHeight="1">
      <c r="A318" s="30"/>
      <c r="B318" s="31"/>
      <c r="C318" s="32"/>
      <c r="D318" s="33"/>
      <c r="E318" s="34"/>
      <c r="F318" s="34"/>
      <c r="G318" s="35"/>
      <c r="H318" s="34"/>
      <c r="I318" s="37"/>
    </row>
    <row r="319" ht="22.5" customHeight="1">
      <c r="A319" s="30"/>
      <c r="B319" s="31"/>
      <c r="C319" s="32"/>
      <c r="D319" s="33"/>
      <c r="E319" s="34"/>
      <c r="F319" s="34"/>
      <c r="G319" s="35"/>
      <c r="H319" s="34"/>
      <c r="I319" s="37"/>
    </row>
    <row r="320" ht="22.5" customHeight="1">
      <c r="A320" s="30"/>
      <c r="B320" s="40"/>
      <c r="C320" s="32"/>
      <c r="D320" s="33"/>
      <c r="E320" s="34"/>
      <c r="F320" s="34"/>
      <c r="G320" s="35"/>
      <c r="H320" s="34"/>
      <c r="I320" s="37"/>
    </row>
    <row r="321" ht="22.5" customHeight="1">
      <c r="A321" s="30"/>
      <c r="B321" s="31"/>
      <c r="C321" s="32"/>
      <c r="D321" s="33"/>
      <c r="E321" s="34"/>
      <c r="F321" s="34"/>
      <c r="G321" s="35"/>
      <c r="H321" s="34"/>
      <c r="I321" s="37"/>
    </row>
    <row r="322" ht="22.5" customHeight="1">
      <c r="A322" s="30"/>
      <c r="B322" s="31"/>
      <c r="C322" s="32"/>
      <c r="D322" s="33"/>
      <c r="E322" s="34"/>
      <c r="F322" s="34"/>
      <c r="G322" s="35"/>
      <c r="H322" s="34"/>
      <c r="I322" s="37"/>
    </row>
    <row r="323" ht="22.5" customHeight="1">
      <c r="A323" s="30"/>
      <c r="B323" s="31"/>
      <c r="C323" s="32"/>
      <c r="D323" s="33"/>
      <c r="E323" s="34"/>
      <c r="F323" s="34"/>
      <c r="G323" s="35"/>
      <c r="H323" s="34"/>
      <c r="I323" s="37"/>
    </row>
    <row r="324" ht="22.5" customHeight="1">
      <c r="A324" s="30"/>
      <c r="B324" s="31"/>
      <c r="C324" s="32"/>
      <c r="D324" s="33"/>
      <c r="E324" s="34"/>
      <c r="F324" s="34"/>
      <c r="G324" s="35"/>
      <c r="H324" s="34"/>
      <c r="I324" s="37"/>
    </row>
    <row r="325" ht="22.5" customHeight="1">
      <c r="A325" s="30"/>
      <c r="B325" s="31"/>
      <c r="C325" s="32"/>
      <c r="D325" s="33"/>
      <c r="E325" s="34"/>
      <c r="F325" s="34"/>
      <c r="G325" s="35"/>
      <c r="H325" s="34"/>
      <c r="I325" s="37"/>
    </row>
    <row r="326" ht="22.5" customHeight="1">
      <c r="A326" s="30"/>
      <c r="B326" s="31"/>
      <c r="C326" s="32"/>
      <c r="D326" s="33"/>
      <c r="E326" s="34"/>
      <c r="F326" s="34"/>
      <c r="G326" s="35"/>
      <c r="H326" s="34"/>
      <c r="I326" s="37"/>
    </row>
    <row r="327" ht="22.5" customHeight="1">
      <c r="A327" s="30"/>
      <c r="B327" s="31"/>
      <c r="C327" s="32"/>
      <c r="D327" s="33"/>
      <c r="E327" s="34"/>
      <c r="F327" s="34"/>
      <c r="G327" s="35"/>
      <c r="H327" s="34"/>
      <c r="I327" s="37"/>
    </row>
    <row r="328" ht="22.5" customHeight="1">
      <c r="A328" s="30"/>
      <c r="B328" s="31"/>
      <c r="C328" s="32"/>
      <c r="D328" s="33"/>
      <c r="E328" s="34"/>
      <c r="F328" s="34"/>
      <c r="G328" s="35"/>
      <c r="H328" s="34"/>
      <c r="I328" s="37"/>
    </row>
    <row r="329" ht="22.5" customHeight="1">
      <c r="A329" s="30"/>
      <c r="B329" s="31"/>
      <c r="C329" s="32"/>
      <c r="D329" s="33"/>
      <c r="E329" s="34"/>
      <c r="F329" s="34"/>
      <c r="G329" s="35"/>
      <c r="H329" s="34"/>
      <c r="I329" s="37"/>
    </row>
    <row r="330" ht="22.5" customHeight="1">
      <c r="A330" s="30"/>
      <c r="B330" s="31"/>
      <c r="C330" s="32"/>
      <c r="D330" s="33"/>
      <c r="E330" s="34"/>
      <c r="F330" s="34"/>
      <c r="G330" s="35"/>
      <c r="H330" s="34"/>
      <c r="I330" s="37"/>
    </row>
    <row r="331" ht="22.5" customHeight="1">
      <c r="A331" s="30"/>
      <c r="B331" s="31"/>
      <c r="C331" s="32"/>
      <c r="D331" s="33"/>
      <c r="E331" s="34"/>
      <c r="F331" s="34"/>
      <c r="G331" s="35"/>
      <c r="H331" s="34"/>
      <c r="I331" s="37"/>
    </row>
    <row r="332" ht="22.5" customHeight="1">
      <c r="A332" s="30"/>
      <c r="B332" s="31"/>
      <c r="C332" s="32"/>
      <c r="D332" s="33"/>
      <c r="E332" s="34"/>
      <c r="F332" s="34"/>
      <c r="G332" s="35"/>
      <c r="H332" s="34"/>
      <c r="I332" s="37"/>
    </row>
    <row r="333" ht="22.5" customHeight="1">
      <c r="A333" s="30"/>
      <c r="B333" s="31"/>
      <c r="C333" s="32"/>
      <c r="D333" s="33"/>
      <c r="E333" s="34"/>
      <c r="F333" s="34"/>
      <c r="G333" s="35"/>
      <c r="H333" s="34"/>
      <c r="I333" s="37"/>
    </row>
    <row r="334" ht="22.5" customHeight="1">
      <c r="A334" s="30"/>
      <c r="B334" s="31"/>
      <c r="C334" s="32"/>
      <c r="D334" s="33"/>
      <c r="E334" s="34"/>
      <c r="F334" s="34"/>
      <c r="G334" s="35"/>
      <c r="H334" s="34"/>
      <c r="I334" s="37"/>
    </row>
    <row r="335" ht="22.5" customHeight="1">
      <c r="A335" s="30"/>
      <c r="B335" s="40"/>
      <c r="C335" s="32"/>
      <c r="D335" s="33"/>
      <c r="E335" s="34"/>
      <c r="F335" s="34"/>
      <c r="G335" s="35"/>
      <c r="H335" s="34"/>
      <c r="I335" s="37"/>
    </row>
    <row r="336" ht="22.5" customHeight="1">
      <c r="A336" s="30"/>
      <c r="B336" s="31"/>
      <c r="C336" s="32"/>
      <c r="D336" s="33"/>
      <c r="E336" s="34"/>
      <c r="F336" s="34"/>
      <c r="G336" s="35"/>
      <c r="H336" s="34"/>
      <c r="I336" s="37"/>
    </row>
    <row r="337" ht="22.5" customHeight="1">
      <c r="A337" s="30"/>
      <c r="B337" s="40"/>
      <c r="C337" s="32"/>
      <c r="D337" s="33"/>
      <c r="E337" s="34"/>
      <c r="F337" s="34"/>
      <c r="G337" s="35"/>
      <c r="H337" s="34"/>
      <c r="I337" s="37"/>
    </row>
    <row r="338" ht="22.5" customHeight="1">
      <c r="A338" s="30"/>
      <c r="B338" s="31"/>
      <c r="C338" s="32"/>
      <c r="D338" s="33"/>
      <c r="E338" s="34"/>
      <c r="F338" s="34"/>
      <c r="G338" s="35"/>
      <c r="H338" s="34"/>
      <c r="I338" s="37"/>
    </row>
    <row r="339" ht="22.5" customHeight="1">
      <c r="A339" s="30"/>
      <c r="B339" s="31"/>
      <c r="C339" s="32"/>
      <c r="D339" s="33"/>
      <c r="E339" s="34"/>
      <c r="F339" s="34"/>
      <c r="G339" s="35"/>
      <c r="H339" s="34"/>
      <c r="I339" s="37"/>
    </row>
    <row r="340" ht="22.5" customHeight="1">
      <c r="A340" s="30"/>
      <c r="B340" s="31"/>
      <c r="C340" s="32"/>
      <c r="D340" s="33"/>
      <c r="E340" s="34"/>
      <c r="F340" s="34"/>
      <c r="G340" s="35"/>
      <c r="H340" s="34"/>
      <c r="I340" s="37"/>
    </row>
    <row r="341" ht="22.5" customHeight="1">
      <c r="A341" s="30"/>
      <c r="B341" s="31"/>
      <c r="C341" s="32"/>
      <c r="D341" s="33"/>
      <c r="E341" s="34"/>
      <c r="F341" s="34"/>
      <c r="G341" s="35"/>
      <c r="H341" s="34"/>
      <c r="I341" s="37"/>
    </row>
    <row r="342" ht="22.5" customHeight="1">
      <c r="A342" s="30"/>
      <c r="B342" s="40"/>
      <c r="C342" s="32"/>
      <c r="D342" s="33"/>
      <c r="E342" s="34"/>
      <c r="F342" s="34"/>
      <c r="G342" s="35"/>
      <c r="H342" s="34"/>
      <c r="I342" s="37"/>
    </row>
    <row r="343" ht="22.5" customHeight="1">
      <c r="A343" s="30"/>
      <c r="B343" s="31"/>
      <c r="C343" s="32"/>
      <c r="D343" s="33"/>
      <c r="E343" s="34"/>
      <c r="F343" s="34"/>
      <c r="G343" s="35"/>
      <c r="H343" s="34"/>
      <c r="I343" s="37"/>
    </row>
    <row r="344" ht="22.5" customHeight="1">
      <c r="A344" s="30"/>
      <c r="B344" s="31"/>
      <c r="C344" s="32"/>
      <c r="D344" s="33"/>
      <c r="E344" s="34"/>
      <c r="F344" s="34"/>
      <c r="G344" s="35"/>
      <c r="H344" s="34"/>
      <c r="I344" s="37"/>
    </row>
    <row r="345" ht="22.5" customHeight="1">
      <c r="A345" s="30"/>
      <c r="B345" s="31"/>
      <c r="C345" s="32"/>
      <c r="D345" s="33"/>
      <c r="E345" s="34"/>
      <c r="F345" s="34"/>
      <c r="G345" s="35"/>
      <c r="H345" s="34"/>
      <c r="I345" s="37"/>
    </row>
    <row r="346" ht="22.5" customHeight="1">
      <c r="A346" s="30"/>
      <c r="B346" s="31"/>
      <c r="C346" s="32"/>
      <c r="D346" s="33"/>
      <c r="E346" s="34"/>
      <c r="F346" s="34"/>
      <c r="G346" s="35"/>
      <c r="H346" s="34"/>
      <c r="I346" s="37"/>
    </row>
    <row r="347" ht="22.5" customHeight="1">
      <c r="A347" s="30"/>
      <c r="B347" s="31"/>
      <c r="C347" s="32"/>
      <c r="D347" s="33"/>
      <c r="E347" s="34"/>
      <c r="F347" s="34"/>
      <c r="G347" s="35"/>
      <c r="H347" s="34"/>
      <c r="I347" s="37"/>
    </row>
    <row r="348" ht="22.5" customHeight="1">
      <c r="A348" s="30"/>
      <c r="B348" s="31"/>
      <c r="C348" s="32"/>
      <c r="D348" s="33"/>
      <c r="E348" s="34"/>
      <c r="F348" s="34"/>
      <c r="G348" s="35"/>
      <c r="H348" s="34"/>
      <c r="I348" s="37"/>
    </row>
    <row r="349" ht="22.5" customHeight="1">
      <c r="A349" s="30"/>
      <c r="B349" s="31"/>
      <c r="C349" s="32"/>
      <c r="D349" s="33"/>
      <c r="E349" s="34"/>
      <c r="F349" s="34"/>
      <c r="G349" s="35"/>
      <c r="H349" s="34"/>
      <c r="I349" s="37"/>
    </row>
    <row r="350" ht="22.5" customHeight="1">
      <c r="A350" s="30"/>
      <c r="B350" s="31"/>
      <c r="C350" s="32"/>
      <c r="D350" s="33"/>
      <c r="E350" s="34"/>
      <c r="F350" s="34"/>
      <c r="G350" s="35"/>
      <c r="H350" s="34"/>
      <c r="I350" s="37"/>
    </row>
    <row r="351" ht="22.5" customHeight="1">
      <c r="A351" s="30"/>
      <c r="B351" s="31"/>
      <c r="C351" s="32"/>
      <c r="D351" s="33"/>
      <c r="E351" s="34"/>
      <c r="F351" s="34"/>
      <c r="G351" s="35"/>
      <c r="H351" s="34"/>
      <c r="I351" s="37"/>
    </row>
    <row r="352" ht="22.5" customHeight="1">
      <c r="A352" s="30"/>
      <c r="B352" s="31"/>
      <c r="C352" s="32"/>
      <c r="D352" s="33"/>
      <c r="E352" s="34"/>
      <c r="F352" s="34"/>
      <c r="G352" s="35"/>
      <c r="H352" s="34"/>
      <c r="I352" s="37"/>
    </row>
    <row r="353" ht="22.5" customHeight="1">
      <c r="A353" s="30"/>
      <c r="B353" s="31"/>
      <c r="C353" s="32"/>
      <c r="D353" s="33"/>
      <c r="E353" s="34"/>
      <c r="F353" s="34"/>
      <c r="G353" s="35"/>
      <c r="H353" s="34"/>
      <c r="I353" s="37"/>
    </row>
    <row r="354" ht="22.5" customHeight="1">
      <c r="A354" s="30"/>
      <c r="B354" s="31"/>
      <c r="C354" s="32"/>
      <c r="D354" s="33"/>
      <c r="E354" s="34"/>
      <c r="F354" s="34"/>
      <c r="G354" s="35"/>
      <c r="H354" s="34"/>
      <c r="I354" s="37"/>
    </row>
    <row r="355" ht="22.5" customHeight="1">
      <c r="A355" s="30"/>
      <c r="B355" s="31"/>
      <c r="C355" s="32"/>
      <c r="D355" s="33"/>
      <c r="E355" s="34"/>
      <c r="F355" s="34"/>
      <c r="G355" s="35"/>
      <c r="H355" s="34"/>
      <c r="I355" s="37"/>
    </row>
    <row r="356" ht="22.5" customHeight="1">
      <c r="A356" s="30"/>
      <c r="B356" s="31"/>
      <c r="C356" s="32"/>
      <c r="D356" s="33"/>
      <c r="E356" s="34"/>
      <c r="F356" s="34"/>
      <c r="G356" s="35"/>
      <c r="H356" s="34"/>
      <c r="I356" s="37"/>
    </row>
    <row r="357" ht="22.5" customHeight="1">
      <c r="A357" s="30"/>
      <c r="B357" s="31"/>
      <c r="C357" s="32"/>
      <c r="D357" s="33"/>
      <c r="E357" s="34"/>
      <c r="F357" s="34"/>
      <c r="G357" s="35"/>
      <c r="H357" s="34"/>
      <c r="I357" s="37"/>
    </row>
    <row r="358" ht="22.5" customHeight="1">
      <c r="A358" s="30"/>
      <c r="B358" s="31"/>
      <c r="C358" s="32"/>
      <c r="D358" s="33"/>
      <c r="E358" s="34"/>
      <c r="F358" s="34"/>
      <c r="G358" s="35"/>
      <c r="H358" s="34"/>
      <c r="I358" s="37"/>
    </row>
    <row r="359" ht="22.5" customHeight="1">
      <c r="A359" s="30"/>
      <c r="B359" s="31"/>
      <c r="C359" s="32"/>
      <c r="D359" s="33"/>
      <c r="E359" s="34"/>
      <c r="F359" s="34"/>
      <c r="G359" s="35"/>
      <c r="H359" s="34"/>
      <c r="I359" s="37"/>
    </row>
    <row r="360" ht="22.5" customHeight="1">
      <c r="A360" s="30"/>
      <c r="B360" s="31"/>
      <c r="C360" s="32"/>
      <c r="D360" s="33"/>
      <c r="E360" s="34"/>
      <c r="F360" s="34"/>
      <c r="G360" s="35"/>
      <c r="H360" s="34"/>
      <c r="I360" s="37"/>
    </row>
    <row r="361" ht="22.5" customHeight="1">
      <c r="A361" s="30"/>
      <c r="B361" s="31"/>
      <c r="C361" s="32"/>
      <c r="D361" s="33"/>
      <c r="E361" s="34"/>
      <c r="F361" s="34"/>
      <c r="G361" s="35"/>
      <c r="H361" s="34"/>
      <c r="I361" s="37"/>
    </row>
    <row r="362" ht="22.5" customHeight="1">
      <c r="A362" s="30"/>
      <c r="B362" s="31"/>
      <c r="C362" s="32"/>
      <c r="D362" s="33"/>
      <c r="E362" s="34"/>
      <c r="F362" s="34"/>
      <c r="G362" s="35"/>
      <c r="H362" s="34"/>
      <c r="I362" s="37"/>
    </row>
    <row r="363" ht="22.5" customHeight="1">
      <c r="A363" s="30"/>
      <c r="B363" s="31"/>
      <c r="C363" s="32"/>
      <c r="D363" s="33"/>
      <c r="E363" s="34"/>
      <c r="F363" s="34"/>
      <c r="G363" s="35"/>
      <c r="H363" s="34"/>
      <c r="I363" s="37"/>
    </row>
    <row r="364" ht="22.5" customHeight="1">
      <c r="A364" s="30"/>
      <c r="B364" s="40"/>
      <c r="C364" s="32"/>
      <c r="D364" s="33"/>
      <c r="E364" s="34"/>
      <c r="F364" s="34"/>
      <c r="G364" s="35"/>
      <c r="H364" s="34"/>
      <c r="I364" s="37"/>
    </row>
    <row r="365" ht="22.5" customHeight="1">
      <c r="A365" s="30"/>
      <c r="B365" s="31"/>
      <c r="C365" s="32"/>
      <c r="D365" s="33"/>
      <c r="E365" s="34"/>
      <c r="F365" s="34"/>
      <c r="G365" s="35"/>
      <c r="H365" s="34"/>
      <c r="I365" s="37"/>
    </row>
    <row r="366" ht="22.5" customHeight="1">
      <c r="A366" s="30"/>
      <c r="B366" s="31"/>
      <c r="C366" s="32"/>
      <c r="D366" s="33"/>
      <c r="E366" s="34"/>
      <c r="F366" s="34"/>
      <c r="G366" s="35"/>
      <c r="H366" s="34"/>
      <c r="I366" s="37"/>
    </row>
    <row r="367" ht="22.5" customHeight="1">
      <c r="A367" s="30"/>
      <c r="B367" s="31"/>
      <c r="C367" s="32"/>
      <c r="D367" s="33"/>
      <c r="E367" s="34"/>
      <c r="F367" s="34"/>
      <c r="G367" s="35"/>
      <c r="H367" s="34"/>
      <c r="I367" s="37"/>
    </row>
    <row r="368" ht="22.5" customHeight="1">
      <c r="A368" s="30"/>
      <c r="B368" s="31"/>
      <c r="C368" s="32"/>
      <c r="D368" s="33"/>
      <c r="E368" s="34"/>
      <c r="F368" s="34"/>
      <c r="G368" s="35"/>
      <c r="H368" s="34"/>
      <c r="I368" s="38"/>
    </row>
    <row r="369" ht="22.5" customHeight="1">
      <c r="A369" s="30"/>
      <c r="B369" s="39"/>
      <c r="C369" s="32"/>
      <c r="D369" s="33"/>
      <c r="E369" s="34"/>
      <c r="F369" s="34"/>
      <c r="G369" s="35"/>
      <c r="H369" s="34"/>
      <c r="I369" s="37"/>
    </row>
    <row r="370" ht="22.5" customHeight="1">
      <c r="A370" s="30"/>
      <c r="B370" s="31"/>
      <c r="C370" s="32"/>
      <c r="D370" s="33"/>
      <c r="E370" s="34"/>
      <c r="F370" s="34"/>
      <c r="G370" s="35"/>
      <c r="H370" s="34"/>
      <c r="I370" s="37"/>
    </row>
    <row r="371" ht="22.5" customHeight="1">
      <c r="A371" s="30"/>
      <c r="B371" s="31"/>
      <c r="C371" s="32"/>
      <c r="D371" s="33"/>
      <c r="E371" s="34"/>
      <c r="F371" s="34"/>
      <c r="G371" s="35"/>
      <c r="H371" s="34"/>
      <c r="I371" s="37"/>
    </row>
    <row r="372" ht="22.5" customHeight="1">
      <c r="A372" s="30"/>
      <c r="B372" s="31"/>
      <c r="C372" s="32"/>
      <c r="D372" s="33"/>
      <c r="E372" s="34"/>
      <c r="F372" s="34"/>
      <c r="G372" s="35"/>
      <c r="H372" s="34"/>
      <c r="I372" s="37"/>
    </row>
    <row r="373" ht="22.5" customHeight="1">
      <c r="A373" s="30"/>
      <c r="B373" s="39"/>
      <c r="C373" s="32"/>
      <c r="D373" s="33"/>
      <c r="E373" s="34"/>
      <c r="F373" s="34"/>
      <c r="G373" s="35"/>
      <c r="H373" s="34"/>
      <c r="I373" s="37"/>
    </row>
    <row r="374" ht="22.5" customHeight="1">
      <c r="A374" s="30"/>
      <c r="B374" s="31"/>
      <c r="C374" s="32"/>
      <c r="D374" s="33"/>
      <c r="E374" s="34"/>
      <c r="F374" s="34"/>
      <c r="G374" s="35"/>
      <c r="H374" s="34"/>
      <c r="I374" s="37"/>
    </row>
    <row r="375" ht="22.5" customHeight="1">
      <c r="A375" s="30"/>
      <c r="B375" s="39"/>
      <c r="C375" s="32"/>
      <c r="D375" s="33"/>
      <c r="E375" s="34"/>
      <c r="F375" s="34"/>
      <c r="G375" s="35"/>
      <c r="H375" s="34"/>
      <c r="I375" s="37"/>
    </row>
    <row r="376" ht="22.5" customHeight="1">
      <c r="A376" s="30"/>
      <c r="B376" s="31"/>
      <c r="C376" s="32"/>
      <c r="D376" s="33"/>
      <c r="E376" s="34"/>
      <c r="F376" s="34"/>
      <c r="G376" s="35"/>
      <c r="H376" s="34"/>
      <c r="I376" s="37"/>
    </row>
    <row r="377" ht="22.5" customHeight="1">
      <c r="A377" s="30"/>
      <c r="B377" s="31"/>
      <c r="C377" s="32"/>
      <c r="D377" s="33"/>
      <c r="E377" s="34"/>
      <c r="F377" s="34"/>
      <c r="G377" s="35"/>
      <c r="H377" s="34"/>
      <c r="I377" s="37"/>
    </row>
    <row r="378" ht="22.5" customHeight="1">
      <c r="A378" s="30"/>
      <c r="B378" s="31"/>
      <c r="C378" s="32"/>
      <c r="D378" s="33"/>
      <c r="E378" s="34"/>
      <c r="F378" s="34"/>
      <c r="G378" s="35"/>
      <c r="H378" s="34"/>
      <c r="I378" s="37"/>
    </row>
    <row r="379" ht="22.5" customHeight="1">
      <c r="A379" s="30"/>
      <c r="B379" s="31"/>
      <c r="C379" s="32"/>
      <c r="D379" s="33"/>
      <c r="E379" s="34"/>
      <c r="F379" s="34"/>
      <c r="G379" s="35"/>
      <c r="H379" s="34"/>
      <c r="I379" s="37"/>
    </row>
    <row r="380" ht="22.5" customHeight="1">
      <c r="A380" s="30"/>
      <c r="B380" s="31"/>
      <c r="C380" s="32"/>
      <c r="D380" s="33"/>
      <c r="E380" s="34"/>
      <c r="F380" s="34"/>
      <c r="G380" s="35"/>
      <c r="H380" s="34"/>
      <c r="I380" s="37"/>
    </row>
    <row r="381" ht="22.5" customHeight="1">
      <c r="A381" s="30"/>
      <c r="B381" s="31"/>
      <c r="C381" s="32"/>
      <c r="D381" s="33"/>
      <c r="E381" s="34"/>
      <c r="F381" s="34"/>
      <c r="G381" s="35"/>
      <c r="H381" s="34"/>
      <c r="I381" s="37"/>
    </row>
    <row r="382" ht="22.5" customHeight="1">
      <c r="A382" s="30"/>
      <c r="B382" s="31"/>
      <c r="C382" s="32"/>
      <c r="D382" s="33"/>
      <c r="E382" s="34"/>
      <c r="F382" s="34"/>
      <c r="G382" s="35"/>
      <c r="H382" s="34"/>
      <c r="I382" s="37"/>
    </row>
    <row r="383" ht="22.5" customHeight="1">
      <c r="A383" s="30"/>
      <c r="B383" s="31"/>
      <c r="C383" s="32"/>
      <c r="D383" s="33"/>
      <c r="E383" s="34"/>
      <c r="F383" s="34"/>
      <c r="G383" s="35"/>
      <c r="H383" s="34"/>
      <c r="I383" s="37"/>
    </row>
    <row r="384" ht="22.5" customHeight="1">
      <c r="A384" s="30"/>
      <c r="B384" s="31"/>
      <c r="C384" s="32"/>
      <c r="D384" s="33"/>
      <c r="E384" s="34"/>
      <c r="F384" s="34"/>
      <c r="G384" s="35"/>
      <c r="H384" s="34"/>
      <c r="I384" s="37"/>
    </row>
    <row r="385" ht="22.5" customHeight="1">
      <c r="A385" s="30"/>
      <c r="B385" s="31"/>
      <c r="C385" s="32"/>
      <c r="D385" s="33"/>
      <c r="E385" s="34"/>
      <c r="F385" s="34"/>
      <c r="G385" s="35"/>
      <c r="H385" s="34"/>
      <c r="I385" s="37"/>
    </row>
    <row r="386" ht="22.5" customHeight="1">
      <c r="A386" s="30"/>
      <c r="B386" s="40"/>
      <c r="C386" s="32"/>
      <c r="D386" s="33"/>
      <c r="E386" s="34"/>
      <c r="F386" s="34"/>
      <c r="G386" s="35"/>
      <c r="H386" s="34"/>
      <c r="I386" s="37"/>
    </row>
    <row r="387" ht="22.5" customHeight="1">
      <c r="A387" s="30"/>
      <c r="B387" s="31"/>
      <c r="C387" s="32"/>
      <c r="D387" s="33"/>
      <c r="E387" s="34"/>
      <c r="F387" s="34"/>
      <c r="G387" s="35"/>
      <c r="H387" s="34"/>
      <c r="I387" s="37"/>
    </row>
    <row r="388" ht="22.5" customHeight="1">
      <c r="A388" s="30"/>
      <c r="B388" s="31"/>
      <c r="C388" s="32"/>
      <c r="D388" s="33"/>
      <c r="E388" s="34"/>
      <c r="F388" s="34"/>
      <c r="G388" s="35"/>
      <c r="H388" s="34"/>
      <c r="I388" s="37"/>
    </row>
    <row r="389" ht="22.5" customHeight="1">
      <c r="A389" s="30"/>
      <c r="B389" s="31"/>
      <c r="C389" s="32"/>
      <c r="D389" s="33"/>
      <c r="E389" s="34"/>
      <c r="F389" s="34"/>
      <c r="G389" s="35"/>
      <c r="H389" s="34"/>
      <c r="I389" s="37"/>
    </row>
    <row r="390" ht="22.5" customHeight="1">
      <c r="A390" s="30"/>
      <c r="B390" s="31"/>
      <c r="C390" s="32"/>
      <c r="D390" s="33"/>
      <c r="E390" s="34"/>
      <c r="F390" s="34"/>
      <c r="G390" s="35"/>
      <c r="H390" s="34"/>
      <c r="I390" s="37"/>
    </row>
    <row r="391" ht="22.5" customHeight="1">
      <c r="A391" s="30"/>
      <c r="B391" s="31"/>
      <c r="C391" s="32"/>
      <c r="D391" s="33"/>
      <c r="E391" s="34"/>
      <c r="F391" s="34"/>
      <c r="G391" s="35"/>
      <c r="H391" s="34"/>
      <c r="I391" s="37"/>
    </row>
    <row r="392" ht="22.5" customHeight="1">
      <c r="A392" s="30"/>
      <c r="B392" s="31"/>
      <c r="C392" s="32"/>
      <c r="D392" s="33"/>
      <c r="E392" s="34"/>
      <c r="F392" s="34"/>
      <c r="G392" s="35"/>
      <c r="H392" s="34"/>
      <c r="I392" s="37"/>
    </row>
    <row r="393" ht="22.5" customHeight="1">
      <c r="A393" s="30"/>
      <c r="B393" s="39"/>
      <c r="C393" s="32"/>
      <c r="D393" s="33"/>
      <c r="E393" s="34"/>
      <c r="F393" s="34"/>
      <c r="G393" s="35"/>
      <c r="H393" s="34"/>
      <c r="I393" s="37"/>
    </row>
    <row r="394" ht="22.5" customHeight="1">
      <c r="A394" s="30"/>
      <c r="B394" s="39"/>
      <c r="C394" s="32"/>
      <c r="D394" s="33"/>
      <c r="E394" s="34"/>
      <c r="F394" s="34"/>
      <c r="G394" s="35"/>
      <c r="H394" s="34"/>
      <c r="I394" s="37"/>
    </row>
    <row r="395" ht="22.5" customHeight="1">
      <c r="A395" s="30"/>
      <c r="B395" s="39"/>
      <c r="C395" s="32"/>
      <c r="D395" s="33"/>
      <c r="E395" s="34"/>
      <c r="F395" s="34"/>
      <c r="G395" s="35"/>
      <c r="H395" s="34"/>
      <c r="I395" s="37"/>
    </row>
    <row r="396" ht="22.5" customHeight="1">
      <c r="A396" s="30"/>
      <c r="B396" s="40"/>
      <c r="C396" s="32"/>
      <c r="D396" s="33"/>
      <c r="E396" s="34"/>
      <c r="F396" s="34"/>
      <c r="G396" s="35"/>
      <c r="H396" s="34"/>
      <c r="I396" s="37"/>
    </row>
    <row r="397" ht="22.5" customHeight="1">
      <c r="A397" s="30"/>
      <c r="B397" s="31"/>
      <c r="C397" s="32"/>
      <c r="D397" s="33"/>
      <c r="E397" s="34"/>
      <c r="F397" s="34"/>
      <c r="G397" s="35"/>
      <c r="H397" s="34"/>
      <c r="I397" s="37"/>
    </row>
    <row r="398" ht="22.5" customHeight="1">
      <c r="A398" s="30"/>
      <c r="B398" s="31"/>
      <c r="C398" s="32"/>
      <c r="D398" s="33"/>
      <c r="E398" s="34"/>
      <c r="F398" s="34"/>
      <c r="G398" s="35"/>
      <c r="H398" s="34"/>
      <c r="I398" s="37"/>
    </row>
    <row r="399" ht="22.5" customHeight="1">
      <c r="A399" s="30"/>
      <c r="B399" s="31"/>
      <c r="C399" s="32"/>
      <c r="D399" s="33"/>
      <c r="E399" s="34"/>
      <c r="F399" s="34"/>
      <c r="G399" s="35"/>
      <c r="H399" s="34"/>
      <c r="I399" s="37"/>
    </row>
    <row r="400" ht="22.5" customHeight="1">
      <c r="A400" s="30"/>
      <c r="B400" s="31"/>
      <c r="C400" s="32"/>
      <c r="D400" s="33"/>
      <c r="E400" s="34"/>
      <c r="F400" s="34"/>
      <c r="G400" s="35"/>
      <c r="H400" s="34"/>
      <c r="I400" s="37"/>
    </row>
    <row r="401" ht="22.5" customHeight="1">
      <c r="A401" s="30"/>
      <c r="B401" s="31"/>
      <c r="C401" s="32"/>
      <c r="D401" s="33"/>
      <c r="E401" s="34"/>
      <c r="F401" s="34"/>
      <c r="G401" s="35"/>
      <c r="H401" s="34"/>
      <c r="I401" s="37"/>
    </row>
    <row r="402" ht="22.5" customHeight="1">
      <c r="A402" s="30"/>
      <c r="B402" s="31"/>
      <c r="C402" s="32"/>
      <c r="D402" s="33"/>
      <c r="E402" s="34"/>
      <c r="F402" s="34"/>
      <c r="G402" s="35"/>
      <c r="H402" s="34"/>
      <c r="I402" s="37"/>
    </row>
    <row r="403" ht="22.5" customHeight="1">
      <c r="A403" s="30"/>
      <c r="B403" s="31"/>
      <c r="C403" s="32"/>
      <c r="D403" s="33"/>
      <c r="E403" s="34"/>
      <c r="F403" s="34"/>
      <c r="G403" s="35"/>
      <c r="H403" s="34"/>
      <c r="I403" s="37"/>
    </row>
    <row r="404" ht="22.5" customHeight="1">
      <c r="A404" s="30"/>
      <c r="B404" s="31"/>
      <c r="C404" s="32"/>
      <c r="D404" s="33"/>
      <c r="E404" s="34"/>
      <c r="F404" s="34"/>
      <c r="G404" s="35"/>
      <c r="H404" s="34"/>
      <c r="I404" s="37"/>
    </row>
    <row r="405" ht="22.5" customHeight="1">
      <c r="A405" s="30"/>
      <c r="B405" s="31"/>
      <c r="C405" s="32"/>
      <c r="D405" s="33"/>
      <c r="E405" s="34"/>
      <c r="F405" s="34"/>
      <c r="G405" s="35"/>
      <c r="H405" s="34"/>
      <c r="I405" s="37"/>
    </row>
    <row r="406" ht="22.5" customHeight="1">
      <c r="A406" s="30"/>
      <c r="B406" s="40"/>
      <c r="C406" s="32"/>
      <c r="D406" s="33"/>
      <c r="E406" s="34"/>
      <c r="F406" s="34"/>
      <c r="G406" s="35"/>
      <c r="H406" s="34"/>
      <c r="I406" s="37"/>
    </row>
    <row r="407" ht="22.5" customHeight="1">
      <c r="A407" s="30"/>
      <c r="B407" s="31"/>
      <c r="C407" s="32"/>
      <c r="D407" s="33"/>
      <c r="E407" s="34"/>
      <c r="F407" s="34"/>
      <c r="G407" s="35"/>
      <c r="H407" s="34"/>
      <c r="I407" s="37"/>
    </row>
    <row r="408" ht="22.5" customHeight="1">
      <c r="A408" s="30"/>
      <c r="B408" s="31"/>
      <c r="C408" s="32"/>
      <c r="D408" s="33"/>
      <c r="E408" s="34"/>
      <c r="F408" s="34"/>
      <c r="G408" s="35"/>
      <c r="H408" s="34"/>
      <c r="I408" s="37"/>
    </row>
    <row r="409" ht="22.5" customHeight="1">
      <c r="A409" s="30"/>
      <c r="B409" s="31"/>
      <c r="C409" s="32"/>
      <c r="D409" s="33"/>
      <c r="E409" s="34"/>
      <c r="F409" s="34"/>
      <c r="G409" s="35"/>
      <c r="H409" s="34"/>
      <c r="I409" s="37"/>
    </row>
    <row r="410" ht="22.5" customHeight="1">
      <c r="A410" s="30"/>
      <c r="B410" s="40"/>
      <c r="C410" s="32"/>
      <c r="D410" s="33"/>
      <c r="E410" s="34"/>
      <c r="F410" s="34"/>
      <c r="G410" s="35"/>
      <c r="H410" s="34"/>
      <c r="I410" s="37"/>
    </row>
    <row r="411" ht="22.5" customHeight="1">
      <c r="A411" s="30"/>
      <c r="B411" s="31"/>
      <c r="C411" s="32"/>
      <c r="D411" s="33"/>
      <c r="E411" s="34"/>
      <c r="F411" s="34"/>
      <c r="G411" s="35"/>
      <c r="H411" s="34"/>
      <c r="I411" s="37"/>
    </row>
    <row r="412" ht="22.5" customHeight="1">
      <c r="A412" s="30"/>
      <c r="B412" s="31"/>
      <c r="C412" s="32"/>
      <c r="D412" s="33"/>
      <c r="E412" s="34"/>
      <c r="F412" s="34"/>
      <c r="G412" s="35"/>
      <c r="H412" s="34"/>
      <c r="I412" s="37"/>
    </row>
    <row r="413" ht="22.5" customHeight="1">
      <c r="A413" s="30"/>
      <c r="B413" s="31"/>
      <c r="C413" s="32"/>
      <c r="D413" s="33"/>
      <c r="E413" s="34"/>
      <c r="F413" s="34"/>
      <c r="G413" s="35"/>
      <c r="H413" s="34"/>
      <c r="I413" s="37"/>
    </row>
    <row r="414" ht="22.5" customHeight="1">
      <c r="A414" s="30"/>
      <c r="B414" s="31"/>
      <c r="C414" s="32"/>
      <c r="D414" s="33"/>
      <c r="E414" s="34"/>
      <c r="F414" s="34"/>
      <c r="G414" s="35"/>
      <c r="H414" s="34"/>
      <c r="I414" s="37"/>
    </row>
    <row r="415" ht="22.5" customHeight="1">
      <c r="A415" s="30"/>
      <c r="B415" s="31"/>
      <c r="C415" s="32"/>
      <c r="D415" s="33"/>
      <c r="E415" s="34"/>
      <c r="F415" s="34"/>
      <c r="G415" s="35"/>
      <c r="H415" s="34"/>
      <c r="I415" s="37"/>
    </row>
    <row r="416" ht="22.5" customHeight="1">
      <c r="A416" s="30"/>
      <c r="B416" s="31"/>
      <c r="C416" s="32"/>
      <c r="D416" s="33"/>
      <c r="E416" s="34"/>
      <c r="F416" s="34"/>
      <c r="G416" s="35"/>
      <c r="H416" s="34"/>
      <c r="I416" s="37"/>
    </row>
    <row r="417" ht="22.5" customHeight="1">
      <c r="A417" s="30"/>
      <c r="B417" s="31"/>
      <c r="C417" s="32"/>
      <c r="D417" s="33"/>
      <c r="E417" s="34"/>
      <c r="F417" s="34"/>
      <c r="G417" s="35"/>
      <c r="H417" s="34"/>
      <c r="I417" s="37"/>
    </row>
    <row r="418" ht="22.5" customHeight="1">
      <c r="A418" s="30"/>
      <c r="B418" s="31"/>
      <c r="C418" s="32"/>
      <c r="D418" s="33"/>
      <c r="E418" s="34"/>
      <c r="F418" s="34"/>
      <c r="G418" s="35"/>
      <c r="H418" s="34"/>
      <c r="I418" s="37"/>
    </row>
    <row r="419" ht="22.5" customHeight="1">
      <c r="A419" s="30"/>
      <c r="B419" s="31"/>
      <c r="C419" s="32"/>
      <c r="D419" s="33"/>
      <c r="E419" s="34"/>
      <c r="F419" s="34"/>
      <c r="G419" s="35"/>
      <c r="H419" s="34"/>
      <c r="I419" s="37"/>
    </row>
    <row r="420" ht="22.5" customHeight="1">
      <c r="A420" s="30"/>
      <c r="B420" s="31"/>
      <c r="C420" s="32"/>
      <c r="D420" s="33"/>
      <c r="E420" s="34"/>
      <c r="F420" s="34"/>
      <c r="G420" s="35"/>
      <c r="H420" s="34"/>
      <c r="I420" s="37"/>
    </row>
    <row r="421" ht="22.5" customHeight="1">
      <c r="A421" s="30"/>
      <c r="B421" s="31"/>
      <c r="C421" s="32"/>
      <c r="D421" s="33"/>
      <c r="E421" s="34"/>
      <c r="F421" s="34"/>
      <c r="G421" s="35"/>
      <c r="H421" s="34"/>
      <c r="I421" s="37"/>
    </row>
    <row r="422" ht="22.5" customHeight="1">
      <c r="A422" s="30"/>
      <c r="B422" s="31"/>
      <c r="C422" s="32"/>
      <c r="D422" s="33"/>
      <c r="E422" s="34"/>
      <c r="F422" s="34"/>
      <c r="G422" s="35"/>
      <c r="H422" s="34"/>
      <c r="I422" s="37"/>
    </row>
    <row r="423" ht="22.5" customHeight="1">
      <c r="A423" s="30"/>
      <c r="B423" s="31"/>
      <c r="C423" s="32"/>
      <c r="D423" s="33"/>
      <c r="E423" s="34"/>
      <c r="F423" s="34"/>
      <c r="G423" s="35"/>
      <c r="H423" s="34"/>
      <c r="I423" s="37"/>
    </row>
    <row r="424" ht="22.5" customHeight="1">
      <c r="A424" s="30"/>
      <c r="B424" s="31"/>
      <c r="C424" s="32"/>
      <c r="D424" s="33"/>
      <c r="E424" s="34"/>
      <c r="F424" s="34"/>
      <c r="G424" s="35"/>
      <c r="H424" s="34"/>
      <c r="I424" s="37"/>
    </row>
    <row r="425" ht="22.5" customHeight="1">
      <c r="A425" s="30"/>
      <c r="B425" s="40"/>
      <c r="C425" s="32"/>
      <c r="D425" s="33"/>
      <c r="E425" s="34"/>
      <c r="F425" s="34"/>
      <c r="G425" s="35"/>
      <c r="H425" s="34"/>
      <c r="I425" s="37"/>
    </row>
    <row r="426" ht="22.5" customHeight="1">
      <c r="A426" s="30"/>
      <c r="B426" s="31"/>
      <c r="C426" s="32"/>
      <c r="D426" s="33"/>
      <c r="E426" s="34"/>
      <c r="F426" s="34"/>
      <c r="G426" s="35"/>
      <c r="H426" s="34"/>
      <c r="I426" s="37"/>
    </row>
    <row r="427" ht="22.5" customHeight="1">
      <c r="A427" s="30"/>
      <c r="B427" s="40"/>
      <c r="C427" s="32"/>
      <c r="D427" s="33"/>
      <c r="E427" s="34"/>
      <c r="F427" s="34"/>
      <c r="G427" s="35"/>
      <c r="H427" s="34"/>
      <c r="I427" s="37"/>
    </row>
    <row r="428" ht="22.5" customHeight="1">
      <c r="A428" s="30"/>
      <c r="B428" s="31"/>
      <c r="C428" s="32"/>
      <c r="D428" s="33"/>
      <c r="E428" s="34"/>
      <c r="F428" s="34"/>
      <c r="G428" s="35"/>
      <c r="H428" s="34"/>
      <c r="I428" s="37"/>
    </row>
    <row r="429" ht="22.5" customHeight="1">
      <c r="A429" s="30"/>
      <c r="B429" s="31"/>
      <c r="C429" s="32"/>
      <c r="D429" s="33"/>
      <c r="E429" s="34"/>
      <c r="F429" s="34"/>
      <c r="G429" s="35"/>
      <c r="H429" s="34"/>
      <c r="I429" s="37"/>
    </row>
    <row r="430" ht="22.5" customHeight="1">
      <c r="A430" s="30"/>
      <c r="B430" s="31"/>
      <c r="C430" s="32"/>
      <c r="D430" s="33"/>
      <c r="E430" s="34"/>
      <c r="F430" s="34"/>
      <c r="G430" s="35"/>
      <c r="H430" s="34"/>
      <c r="I430" s="37"/>
    </row>
    <row r="431" ht="22.5" customHeight="1">
      <c r="A431" s="30"/>
      <c r="B431" s="31"/>
      <c r="C431" s="32"/>
      <c r="D431" s="33"/>
      <c r="E431" s="34"/>
      <c r="F431" s="34"/>
      <c r="G431" s="35"/>
      <c r="H431" s="34"/>
      <c r="I431" s="37"/>
    </row>
    <row r="432" ht="22.5" customHeight="1">
      <c r="A432" s="30"/>
      <c r="B432" s="40"/>
      <c r="C432" s="32"/>
      <c r="D432" s="33"/>
      <c r="E432" s="34"/>
      <c r="F432" s="34"/>
      <c r="G432" s="35"/>
      <c r="H432" s="34"/>
      <c r="I432" s="37"/>
    </row>
    <row r="433" ht="22.5" customHeight="1">
      <c r="A433" s="30"/>
      <c r="B433" s="31"/>
      <c r="C433" s="32"/>
      <c r="D433" s="33"/>
      <c r="E433" s="34"/>
      <c r="F433" s="34"/>
      <c r="G433" s="35"/>
      <c r="H433" s="34"/>
      <c r="I433" s="37"/>
    </row>
    <row r="434" ht="22.5" customHeight="1">
      <c r="A434" s="30"/>
      <c r="B434" s="31"/>
      <c r="C434" s="32"/>
      <c r="D434" s="33"/>
      <c r="E434" s="34"/>
      <c r="F434" s="34"/>
      <c r="G434" s="35"/>
      <c r="H434" s="34"/>
      <c r="I434" s="37"/>
    </row>
    <row r="435" ht="22.5" customHeight="1">
      <c r="A435" s="30"/>
      <c r="B435" s="31"/>
      <c r="C435" s="32"/>
      <c r="D435" s="33"/>
      <c r="E435" s="34"/>
      <c r="F435" s="34"/>
      <c r="G435" s="35"/>
      <c r="H435" s="34"/>
      <c r="I435" s="37"/>
    </row>
    <row r="436" ht="22.5" customHeight="1">
      <c r="A436" s="30"/>
      <c r="B436" s="31"/>
      <c r="C436" s="32"/>
      <c r="D436" s="33"/>
      <c r="E436" s="34"/>
      <c r="F436" s="34"/>
      <c r="G436" s="35"/>
      <c r="H436" s="34"/>
      <c r="I436" s="37"/>
    </row>
    <row r="437" ht="22.5" customHeight="1">
      <c r="A437" s="30"/>
      <c r="B437" s="31"/>
      <c r="C437" s="32"/>
      <c r="D437" s="33"/>
      <c r="E437" s="34"/>
      <c r="F437" s="34"/>
      <c r="G437" s="35"/>
      <c r="H437" s="34"/>
      <c r="I437" s="37"/>
    </row>
    <row r="438" ht="22.5" customHeight="1">
      <c r="A438" s="30"/>
      <c r="B438" s="31"/>
      <c r="C438" s="32"/>
      <c r="D438" s="33"/>
      <c r="E438" s="34"/>
      <c r="F438" s="34"/>
      <c r="G438" s="35"/>
      <c r="H438" s="34"/>
      <c r="I438" s="37"/>
    </row>
    <row r="439" ht="22.5" customHeight="1">
      <c r="A439" s="30"/>
      <c r="B439" s="31"/>
      <c r="C439" s="32"/>
      <c r="D439" s="33"/>
      <c r="E439" s="34"/>
      <c r="F439" s="34"/>
      <c r="G439" s="35"/>
      <c r="H439" s="34"/>
      <c r="I439" s="37"/>
    </row>
    <row r="440" ht="22.5" customHeight="1">
      <c r="A440" s="30"/>
      <c r="B440" s="31"/>
      <c r="C440" s="32"/>
      <c r="D440" s="33"/>
      <c r="E440" s="34"/>
      <c r="F440" s="34"/>
      <c r="G440" s="35"/>
      <c r="H440" s="34"/>
      <c r="I440" s="37"/>
    </row>
    <row r="441" ht="22.5" customHeight="1">
      <c r="A441" s="30"/>
      <c r="B441" s="31"/>
      <c r="C441" s="32"/>
      <c r="D441" s="33"/>
      <c r="E441" s="34"/>
      <c r="F441" s="34"/>
      <c r="G441" s="35"/>
      <c r="H441" s="34"/>
      <c r="I441" s="37"/>
    </row>
    <row r="442" ht="22.5" customHeight="1">
      <c r="A442" s="30"/>
      <c r="B442" s="31"/>
      <c r="C442" s="32"/>
      <c r="D442" s="33"/>
      <c r="E442" s="34"/>
      <c r="F442" s="34"/>
      <c r="G442" s="35"/>
      <c r="H442" s="34"/>
      <c r="I442" s="37"/>
    </row>
    <row r="443" ht="22.5" customHeight="1">
      <c r="A443" s="30"/>
      <c r="B443" s="31"/>
      <c r="C443" s="32"/>
      <c r="D443" s="33"/>
      <c r="E443" s="34"/>
      <c r="F443" s="34"/>
      <c r="G443" s="35"/>
      <c r="H443" s="34"/>
      <c r="I443" s="37"/>
    </row>
    <row r="444" ht="22.5" customHeight="1">
      <c r="A444" s="30"/>
      <c r="B444" s="31"/>
      <c r="C444" s="32"/>
      <c r="D444" s="33"/>
      <c r="E444" s="34"/>
      <c r="F444" s="34"/>
      <c r="G444" s="35"/>
      <c r="H444" s="34"/>
      <c r="I444" s="37"/>
    </row>
    <row r="445" ht="22.5" customHeight="1">
      <c r="A445" s="30"/>
      <c r="B445" s="31"/>
      <c r="C445" s="32"/>
      <c r="D445" s="33"/>
      <c r="E445" s="34"/>
      <c r="F445" s="34"/>
      <c r="G445" s="35"/>
      <c r="H445" s="34"/>
      <c r="I445" s="37"/>
    </row>
    <row r="446" ht="22.5" customHeight="1">
      <c r="A446" s="30"/>
      <c r="B446" s="31"/>
      <c r="C446" s="32"/>
      <c r="D446" s="33"/>
      <c r="E446" s="34"/>
      <c r="F446" s="34"/>
      <c r="G446" s="35"/>
      <c r="H446" s="34"/>
      <c r="I446" s="37"/>
    </row>
    <row r="447" ht="22.5" customHeight="1">
      <c r="A447" s="30"/>
      <c r="B447" s="31"/>
      <c r="C447" s="32"/>
      <c r="D447" s="33"/>
      <c r="E447" s="34"/>
      <c r="F447" s="34"/>
      <c r="G447" s="35"/>
      <c r="H447" s="34"/>
      <c r="I447" s="37"/>
    </row>
    <row r="448" ht="22.5" customHeight="1">
      <c r="A448" s="30"/>
      <c r="B448" s="31"/>
      <c r="C448" s="32"/>
      <c r="D448" s="33"/>
      <c r="E448" s="34"/>
      <c r="F448" s="34"/>
      <c r="G448" s="35"/>
      <c r="H448" s="34"/>
      <c r="I448" s="37"/>
    </row>
    <row r="449" ht="22.5" customHeight="1">
      <c r="A449" s="30"/>
      <c r="B449" s="31"/>
      <c r="C449" s="32"/>
      <c r="D449" s="33"/>
      <c r="E449" s="34"/>
      <c r="F449" s="34"/>
      <c r="G449" s="35"/>
      <c r="H449" s="34"/>
      <c r="I449" s="37"/>
    </row>
    <row r="450" ht="22.5" customHeight="1">
      <c r="A450" s="30"/>
      <c r="B450" s="31"/>
      <c r="C450" s="32"/>
      <c r="D450" s="33"/>
      <c r="E450" s="34"/>
      <c r="F450" s="34"/>
      <c r="G450" s="35"/>
      <c r="H450" s="34"/>
      <c r="I450" s="37"/>
    </row>
    <row r="451" ht="22.5" customHeight="1">
      <c r="A451" s="30"/>
      <c r="B451" s="31"/>
      <c r="C451" s="32"/>
      <c r="D451" s="33"/>
      <c r="E451" s="34"/>
      <c r="F451" s="34"/>
      <c r="G451" s="35"/>
      <c r="H451" s="34"/>
      <c r="I451" s="37"/>
    </row>
    <row r="452" ht="22.5" customHeight="1">
      <c r="A452" s="30"/>
      <c r="B452" s="31"/>
      <c r="C452" s="32"/>
      <c r="D452" s="33"/>
      <c r="E452" s="34"/>
      <c r="F452" s="34"/>
      <c r="G452" s="35"/>
      <c r="H452" s="34"/>
      <c r="I452" s="37"/>
    </row>
    <row r="453" ht="22.5" customHeight="1">
      <c r="A453" s="30"/>
      <c r="B453" s="31"/>
      <c r="C453" s="32"/>
      <c r="D453" s="33"/>
      <c r="E453" s="34"/>
      <c r="F453" s="34"/>
      <c r="G453" s="35"/>
      <c r="H453" s="34"/>
      <c r="I453" s="37"/>
    </row>
    <row r="454" ht="22.5" customHeight="1">
      <c r="A454" s="30"/>
      <c r="B454" s="40"/>
      <c r="C454" s="32"/>
      <c r="D454" s="33"/>
      <c r="E454" s="34"/>
      <c r="F454" s="34"/>
      <c r="G454" s="35"/>
      <c r="H454" s="34"/>
      <c r="I454" s="37"/>
    </row>
    <row r="455" ht="22.5" customHeight="1">
      <c r="A455" s="30"/>
      <c r="B455" s="31"/>
      <c r="C455" s="32"/>
      <c r="D455" s="33"/>
      <c r="E455" s="34"/>
      <c r="F455" s="34"/>
      <c r="G455" s="35"/>
      <c r="H455" s="34"/>
      <c r="I455" s="37"/>
    </row>
    <row r="456" ht="22.5" customHeight="1">
      <c r="A456" s="30"/>
      <c r="B456" s="31"/>
      <c r="C456" s="32"/>
      <c r="D456" s="33"/>
      <c r="E456" s="34"/>
      <c r="F456" s="34"/>
      <c r="G456" s="35"/>
      <c r="H456" s="34"/>
      <c r="I456" s="37"/>
    </row>
    <row r="457" ht="22.5" customHeight="1">
      <c r="A457" s="30"/>
      <c r="B457" s="31"/>
      <c r="C457" s="32"/>
      <c r="D457" s="33"/>
      <c r="E457" s="34"/>
      <c r="F457" s="34"/>
      <c r="G457" s="35"/>
      <c r="H457" s="34"/>
      <c r="I457" s="37"/>
    </row>
    <row r="458" ht="22.5" customHeight="1">
      <c r="A458" s="30"/>
      <c r="B458" s="31"/>
      <c r="C458" s="32"/>
      <c r="D458" s="33"/>
      <c r="E458" s="34"/>
      <c r="F458" s="34"/>
      <c r="G458" s="35"/>
      <c r="H458" s="34"/>
      <c r="I458" s="38"/>
    </row>
    <row r="459" ht="22.5" customHeight="1">
      <c r="A459" s="30"/>
      <c r="B459" s="39"/>
      <c r="C459" s="32"/>
      <c r="D459" s="33"/>
      <c r="E459" s="34"/>
      <c r="F459" s="34"/>
      <c r="G459" s="35"/>
      <c r="H459" s="34"/>
      <c r="I459" s="37"/>
    </row>
    <row r="460" ht="22.5" customHeight="1">
      <c r="A460" s="30"/>
      <c r="B460" s="31"/>
      <c r="C460" s="32"/>
      <c r="D460" s="33"/>
      <c r="E460" s="34"/>
      <c r="F460" s="34"/>
      <c r="G460" s="35"/>
      <c r="H460" s="34"/>
      <c r="I460" s="37"/>
    </row>
    <row r="461" ht="22.5" customHeight="1">
      <c r="A461" s="30"/>
      <c r="B461" s="31"/>
      <c r="C461" s="32"/>
      <c r="D461" s="33"/>
      <c r="E461" s="34"/>
      <c r="F461" s="34"/>
      <c r="G461" s="35"/>
      <c r="H461" s="34"/>
      <c r="I461" s="37"/>
    </row>
    <row r="462" ht="22.5" customHeight="1">
      <c r="A462" s="30"/>
      <c r="B462" s="31"/>
      <c r="C462" s="32"/>
      <c r="D462" s="33"/>
      <c r="E462" s="34"/>
      <c r="F462" s="34"/>
      <c r="G462" s="35"/>
      <c r="H462" s="34"/>
      <c r="I462" s="37"/>
    </row>
    <row r="463" ht="22.5" customHeight="1">
      <c r="A463" s="30"/>
      <c r="B463" s="39"/>
      <c r="C463" s="32"/>
      <c r="D463" s="33"/>
      <c r="E463" s="34"/>
      <c r="F463" s="34"/>
      <c r="G463" s="35"/>
      <c r="H463" s="34"/>
      <c r="I463" s="37"/>
    </row>
    <row r="464" ht="22.5" customHeight="1">
      <c r="A464" s="30"/>
      <c r="B464" s="31"/>
      <c r="C464" s="32"/>
      <c r="D464" s="33"/>
      <c r="E464" s="34"/>
      <c r="F464" s="34"/>
      <c r="G464" s="35"/>
      <c r="H464" s="34"/>
      <c r="I464" s="37"/>
    </row>
    <row r="465" ht="22.5" customHeight="1">
      <c r="A465" s="30"/>
      <c r="B465" s="39"/>
      <c r="C465" s="32"/>
      <c r="D465" s="33"/>
      <c r="E465" s="34"/>
      <c r="F465" s="34"/>
      <c r="G465" s="35"/>
      <c r="H465" s="34"/>
      <c r="I465" s="37"/>
    </row>
    <row r="466" ht="22.5" customHeight="1">
      <c r="A466" s="30"/>
      <c r="B466" s="31"/>
      <c r="C466" s="32"/>
      <c r="D466" s="33"/>
      <c r="E466" s="34"/>
      <c r="F466" s="34"/>
      <c r="G466" s="35"/>
      <c r="H466" s="34"/>
      <c r="I466" s="37"/>
    </row>
    <row r="467" ht="22.5" customHeight="1">
      <c r="A467" s="30"/>
      <c r="B467" s="31"/>
      <c r="C467" s="32"/>
      <c r="D467" s="33"/>
      <c r="E467" s="34"/>
      <c r="F467" s="34"/>
      <c r="G467" s="35"/>
      <c r="H467" s="34"/>
      <c r="I467" s="37"/>
    </row>
    <row r="468" ht="22.5" customHeight="1">
      <c r="A468" s="30"/>
      <c r="B468" s="31"/>
      <c r="C468" s="32"/>
      <c r="D468" s="33"/>
      <c r="E468" s="34"/>
      <c r="F468" s="34"/>
      <c r="G468" s="35"/>
      <c r="H468" s="34"/>
      <c r="I468" s="37"/>
    </row>
    <row r="469" ht="22.5" customHeight="1">
      <c r="A469" s="30"/>
      <c r="B469" s="31"/>
      <c r="C469" s="32"/>
      <c r="D469" s="33"/>
      <c r="E469" s="34"/>
      <c r="F469" s="34"/>
      <c r="G469" s="35"/>
      <c r="H469" s="34"/>
      <c r="I469" s="37"/>
    </row>
    <row r="470" ht="22.5" customHeight="1">
      <c r="A470" s="30"/>
      <c r="B470" s="31"/>
      <c r="C470" s="32"/>
      <c r="D470" s="33"/>
      <c r="E470" s="34"/>
      <c r="F470" s="34"/>
      <c r="G470" s="35"/>
      <c r="H470" s="34"/>
      <c r="I470" s="37"/>
    </row>
    <row r="471" ht="22.5" customHeight="1">
      <c r="A471" s="30"/>
      <c r="B471" s="31"/>
      <c r="C471" s="32"/>
      <c r="D471" s="33"/>
      <c r="E471" s="34"/>
      <c r="F471" s="34"/>
      <c r="G471" s="35"/>
      <c r="H471" s="34"/>
      <c r="I471" s="37"/>
    </row>
    <row r="472" ht="22.5" customHeight="1">
      <c r="A472" s="30"/>
      <c r="B472" s="31"/>
      <c r="C472" s="32"/>
      <c r="D472" s="33"/>
      <c r="E472" s="34"/>
      <c r="F472" s="34"/>
      <c r="G472" s="35"/>
      <c r="H472" s="34"/>
      <c r="I472" s="37"/>
    </row>
    <row r="473" ht="22.5" customHeight="1">
      <c r="A473" s="30"/>
      <c r="B473" s="31"/>
      <c r="C473" s="32"/>
      <c r="D473" s="33"/>
      <c r="E473" s="34"/>
      <c r="F473" s="34"/>
      <c r="G473" s="35"/>
      <c r="H473" s="34"/>
      <c r="I473" s="37"/>
    </row>
    <row r="474" ht="22.5" customHeight="1">
      <c r="A474" s="30"/>
      <c r="B474" s="31"/>
      <c r="C474" s="32"/>
      <c r="D474" s="33"/>
      <c r="E474" s="34"/>
      <c r="F474" s="34"/>
      <c r="G474" s="35"/>
      <c r="H474" s="34"/>
      <c r="I474" s="37"/>
    </row>
    <row r="475" ht="22.5" customHeight="1">
      <c r="A475" s="30"/>
      <c r="B475" s="31"/>
      <c r="C475" s="32"/>
      <c r="D475" s="33"/>
      <c r="E475" s="34"/>
      <c r="F475" s="34"/>
      <c r="G475" s="35"/>
      <c r="H475" s="34"/>
      <c r="I475" s="37"/>
    </row>
    <row r="476" ht="22.5" customHeight="1">
      <c r="A476" s="30"/>
      <c r="B476" s="40"/>
      <c r="C476" s="32"/>
      <c r="D476" s="33"/>
      <c r="E476" s="34"/>
      <c r="F476" s="34"/>
      <c r="G476" s="35"/>
      <c r="H476" s="34"/>
      <c r="I476" s="37"/>
    </row>
    <row r="477" ht="22.5" customHeight="1">
      <c r="A477" s="30"/>
      <c r="B477" s="31"/>
      <c r="C477" s="32"/>
      <c r="D477" s="33"/>
      <c r="E477" s="34"/>
      <c r="F477" s="34"/>
      <c r="G477" s="35"/>
      <c r="H477" s="34"/>
      <c r="I477" s="37"/>
    </row>
    <row r="478" ht="22.5" customHeight="1">
      <c r="A478" s="30"/>
      <c r="B478" s="31"/>
      <c r="C478" s="32"/>
      <c r="D478" s="33"/>
      <c r="E478" s="34"/>
      <c r="F478" s="34"/>
      <c r="G478" s="35"/>
      <c r="H478" s="34"/>
      <c r="I478" s="37"/>
    </row>
    <row r="479" ht="22.5" customHeight="1">
      <c r="A479" s="30"/>
      <c r="B479" s="31"/>
      <c r="C479" s="32"/>
      <c r="D479" s="33"/>
      <c r="E479" s="34"/>
      <c r="F479" s="34"/>
      <c r="G479" s="35"/>
      <c r="H479" s="34"/>
      <c r="I479" s="37"/>
    </row>
    <row r="480" ht="22.5" customHeight="1">
      <c r="A480" s="30"/>
      <c r="B480" s="31"/>
      <c r="C480" s="32"/>
      <c r="D480" s="33"/>
      <c r="E480" s="34"/>
      <c r="F480" s="34"/>
      <c r="G480" s="35"/>
      <c r="H480" s="34"/>
      <c r="I480" s="37"/>
    </row>
    <row r="481" ht="22.5" customHeight="1">
      <c r="A481" s="30"/>
      <c r="B481" s="31"/>
      <c r="C481" s="32"/>
      <c r="D481" s="33"/>
      <c r="E481" s="34"/>
      <c r="F481" s="34"/>
      <c r="G481" s="35"/>
      <c r="H481" s="34"/>
      <c r="I481" s="37"/>
    </row>
    <row r="482" ht="22.5" customHeight="1">
      <c r="A482" s="30"/>
      <c r="B482" s="31"/>
      <c r="C482" s="32"/>
      <c r="D482" s="33"/>
      <c r="E482" s="34"/>
      <c r="F482" s="34"/>
      <c r="G482" s="35"/>
      <c r="H482" s="34"/>
      <c r="I482" s="37"/>
    </row>
    <row r="483" ht="22.5" customHeight="1">
      <c r="A483" s="30"/>
      <c r="B483" s="39"/>
      <c r="C483" s="32"/>
      <c r="D483" s="33"/>
      <c r="E483" s="34"/>
      <c r="F483" s="34"/>
      <c r="G483" s="35"/>
      <c r="H483" s="34"/>
      <c r="I483" s="37"/>
    </row>
    <row r="484" ht="22.5" customHeight="1">
      <c r="A484" s="30"/>
      <c r="B484" s="39"/>
      <c r="C484" s="32"/>
      <c r="D484" s="33"/>
      <c r="E484" s="34"/>
      <c r="F484" s="34"/>
      <c r="G484" s="35"/>
      <c r="H484" s="34"/>
      <c r="I484" s="37"/>
    </row>
    <row r="485" ht="22.5" customHeight="1">
      <c r="A485" s="30"/>
      <c r="B485" s="39"/>
      <c r="C485" s="32"/>
      <c r="D485" s="33"/>
      <c r="E485" s="34"/>
      <c r="F485" s="34"/>
      <c r="G485" s="35"/>
      <c r="H485" s="34"/>
      <c r="I485" s="37"/>
    </row>
    <row r="486" ht="22.5" customHeight="1">
      <c r="A486" s="30"/>
      <c r="B486" s="40"/>
      <c r="C486" s="32"/>
      <c r="D486" s="33"/>
      <c r="E486" s="34"/>
      <c r="F486" s="34"/>
      <c r="G486" s="35"/>
      <c r="H486" s="34"/>
      <c r="I486" s="37"/>
    </row>
    <row r="487" ht="22.5" customHeight="1">
      <c r="A487" s="30"/>
      <c r="B487" s="31"/>
      <c r="C487" s="32"/>
      <c r="D487" s="33"/>
      <c r="E487" s="34"/>
      <c r="F487" s="34"/>
      <c r="G487" s="35"/>
      <c r="H487" s="34"/>
      <c r="I487" s="37"/>
    </row>
    <row r="488" ht="22.5" customHeight="1">
      <c r="A488" s="30"/>
      <c r="B488" s="31"/>
      <c r="C488" s="32"/>
      <c r="D488" s="33"/>
      <c r="E488" s="34"/>
      <c r="F488" s="34"/>
      <c r="G488" s="35"/>
      <c r="H488" s="34"/>
      <c r="I488" s="37"/>
    </row>
    <row r="489" ht="22.5" customHeight="1">
      <c r="A489" s="30"/>
      <c r="B489" s="31"/>
      <c r="C489" s="32"/>
      <c r="D489" s="33"/>
      <c r="E489" s="34"/>
      <c r="F489" s="34"/>
      <c r="G489" s="35"/>
      <c r="H489" s="34"/>
      <c r="I489" s="37"/>
    </row>
    <row r="490" ht="22.5" customHeight="1">
      <c r="A490" s="30"/>
      <c r="B490" s="31"/>
      <c r="C490" s="32"/>
      <c r="D490" s="33"/>
      <c r="E490" s="34"/>
      <c r="F490" s="34"/>
      <c r="G490" s="35"/>
      <c r="H490" s="34"/>
      <c r="I490" s="37"/>
    </row>
    <row r="491" ht="22.5" customHeight="1">
      <c r="A491" s="30"/>
      <c r="B491" s="31"/>
      <c r="C491" s="32"/>
      <c r="D491" s="33"/>
      <c r="E491" s="34"/>
      <c r="F491" s="34"/>
      <c r="G491" s="35"/>
      <c r="H491" s="34"/>
      <c r="I491" s="37"/>
    </row>
    <row r="492" ht="22.5" customHeight="1">
      <c r="A492" s="30"/>
      <c r="B492" s="31"/>
      <c r="C492" s="32"/>
      <c r="D492" s="33"/>
      <c r="E492" s="34"/>
      <c r="F492" s="34"/>
      <c r="G492" s="35"/>
      <c r="H492" s="34"/>
      <c r="I492" s="37"/>
    </row>
    <row r="493" ht="22.5" customHeight="1">
      <c r="A493" s="30"/>
      <c r="B493" s="31"/>
      <c r="C493" s="32"/>
      <c r="D493" s="33"/>
      <c r="E493" s="34"/>
      <c r="F493" s="34"/>
      <c r="G493" s="35"/>
      <c r="H493" s="34"/>
      <c r="I493" s="37"/>
    </row>
    <row r="494" ht="22.5" customHeight="1">
      <c r="A494" s="30"/>
      <c r="B494" s="31"/>
      <c r="C494" s="32"/>
      <c r="D494" s="33"/>
      <c r="E494" s="34"/>
      <c r="F494" s="34"/>
      <c r="G494" s="35"/>
      <c r="H494" s="34"/>
      <c r="I494" s="37"/>
    </row>
    <row r="495" ht="22.5" customHeight="1">
      <c r="A495" s="30"/>
      <c r="B495" s="31"/>
      <c r="C495" s="32"/>
      <c r="D495" s="33"/>
      <c r="E495" s="34"/>
      <c r="F495" s="34"/>
      <c r="G495" s="35"/>
      <c r="H495" s="34"/>
      <c r="I495" s="37"/>
    </row>
    <row r="496" ht="22.5" customHeight="1">
      <c r="A496" s="30"/>
      <c r="B496" s="40"/>
      <c r="C496" s="32"/>
      <c r="D496" s="33"/>
      <c r="E496" s="34"/>
      <c r="F496" s="34"/>
      <c r="G496" s="35"/>
      <c r="H496" s="34"/>
      <c r="I496" s="37"/>
    </row>
    <row r="497" ht="22.5" customHeight="1">
      <c r="A497" s="30"/>
      <c r="B497" s="31"/>
      <c r="C497" s="32"/>
      <c r="D497" s="33"/>
      <c r="E497" s="34"/>
      <c r="F497" s="34"/>
      <c r="G497" s="35"/>
      <c r="H497" s="34"/>
      <c r="I497" s="37"/>
    </row>
    <row r="498" ht="22.5" customHeight="1">
      <c r="A498" s="30"/>
      <c r="B498" s="31"/>
      <c r="C498" s="32"/>
      <c r="D498" s="33"/>
      <c r="E498" s="34"/>
      <c r="F498" s="34"/>
      <c r="G498" s="35"/>
      <c r="H498" s="34"/>
      <c r="I498" s="37"/>
    </row>
    <row r="499" ht="22.5" customHeight="1">
      <c r="A499" s="30"/>
      <c r="B499" s="31"/>
      <c r="C499" s="32"/>
      <c r="D499" s="33"/>
      <c r="E499" s="34"/>
      <c r="F499" s="34"/>
      <c r="G499" s="35"/>
      <c r="H499" s="34"/>
      <c r="I499" s="37"/>
    </row>
    <row r="500" ht="22.5" customHeight="1">
      <c r="A500" s="30"/>
      <c r="B500" s="40"/>
      <c r="C500" s="32"/>
      <c r="D500" s="33"/>
      <c r="E500" s="34"/>
      <c r="F500" s="34"/>
      <c r="G500" s="35"/>
      <c r="H500" s="34"/>
      <c r="I500" s="37"/>
    </row>
    <row r="501" ht="22.5" customHeight="1">
      <c r="A501" s="30"/>
      <c r="B501" s="31"/>
      <c r="C501" s="32"/>
      <c r="D501" s="33"/>
      <c r="E501" s="34"/>
      <c r="F501" s="34"/>
      <c r="G501" s="35"/>
      <c r="H501" s="34"/>
      <c r="I501" s="37"/>
    </row>
    <row r="502" ht="22.5" customHeight="1">
      <c r="A502" s="30"/>
      <c r="B502" s="31"/>
      <c r="C502" s="32"/>
      <c r="D502" s="33"/>
      <c r="E502" s="34"/>
      <c r="F502" s="34"/>
      <c r="G502" s="35"/>
      <c r="H502" s="34"/>
      <c r="I502" s="37"/>
    </row>
    <row r="503" ht="22.5" customHeight="1">
      <c r="A503" s="30"/>
      <c r="B503" s="31"/>
      <c r="C503" s="32"/>
      <c r="D503" s="33"/>
      <c r="E503" s="34"/>
      <c r="F503" s="34"/>
      <c r="G503" s="35"/>
      <c r="H503" s="34"/>
      <c r="I503" s="37"/>
    </row>
    <row r="504" ht="22.5" customHeight="1">
      <c r="A504" s="30"/>
      <c r="B504" s="31"/>
      <c r="C504" s="32"/>
      <c r="D504" s="33"/>
      <c r="E504" s="34"/>
      <c r="F504" s="34"/>
      <c r="G504" s="35"/>
      <c r="H504" s="34"/>
      <c r="I504" s="37"/>
    </row>
    <row r="505" ht="22.5" customHeight="1">
      <c r="A505" s="30"/>
      <c r="B505" s="31"/>
      <c r="C505" s="32"/>
      <c r="D505" s="33"/>
      <c r="E505" s="34"/>
      <c r="F505" s="34"/>
      <c r="G505" s="35"/>
      <c r="H505" s="34"/>
      <c r="I505" s="37"/>
    </row>
    <row r="506" ht="22.5" customHeight="1">
      <c r="A506" s="30"/>
      <c r="B506" s="31"/>
      <c r="C506" s="32"/>
      <c r="D506" s="33"/>
      <c r="E506" s="34"/>
      <c r="F506" s="34"/>
      <c r="G506" s="35"/>
      <c r="H506" s="34"/>
      <c r="I506" s="37"/>
    </row>
    <row r="507" ht="22.5" customHeight="1">
      <c r="A507" s="30"/>
      <c r="B507" s="31"/>
      <c r="C507" s="32"/>
      <c r="D507" s="33"/>
      <c r="E507" s="34"/>
      <c r="F507" s="34"/>
      <c r="G507" s="35"/>
      <c r="H507" s="34"/>
      <c r="I507" s="37"/>
    </row>
    <row r="508" ht="22.5" customHeight="1">
      <c r="A508" s="30"/>
      <c r="B508" s="31"/>
      <c r="C508" s="32"/>
      <c r="D508" s="33"/>
      <c r="E508" s="34"/>
      <c r="F508" s="34"/>
      <c r="G508" s="35"/>
      <c r="H508" s="34"/>
      <c r="I508" s="37"/>
    </row>
    <row r="509" ht="22.5" customHeight="1">
      <c r="A509" s="30"/>
      <c r="B509" s="31"/>
      <c r="C509" s="32"/>
      <c r="D509" s="33"/>
      <c r="E509" s="34"/>
      <c r="F509" s="34"/>
      <c r="G509" s="35"/>
      <c r="H509" s="34"/>
      <c r="I509" s="37"/>
    </row>
    <row r="510" ht="22.5" customHeight="1">
      <c r="A510" s="30"/>
      <c r="B510" s="31"/>
      <c r="C510" s="32"/>
      <c r="D510" s="33"/>
      <c r="E510" s="34"/>
      <c r="F510" s="34"/>
      <c r="G510" s="35"/>
      <c r="H510" s="34"/>
      <c r="I510" s="37"/>
    </row>
    <row r="511" ht="22.5" customHeight="1">
      <c r="A511" s="30"/>
      <c r="B511" s="31"/>
      <c r="C511" s="32"/>
      <c r="D511" s="33"/>
      <c r="E511" s="34"/>
      <c r="F511" s="34"/>
      <c r="G511" s="35"/>
      <c r="H511" s="34"/>
      <c r="I511" s="37"/>
    </row>
    <row r="512" ht="22.5" customHeight="1">
      <c r="A512" s="30"/>
      <c r="B512" s="31"/>
      <c r="C512" s="32"/>
      <c r="D512" s="33"/>
      <c r="E512" s="34"/>
      <c r="F512" s="34"/>
      <c r="G512" s="35"/>
      <c r="H512" s="34"/>
      <c r="I512" s="37"/>
    </row>
    <row r="513" ht="22.5" customHeight="1">
      <c r="A513" s="30"/>
      <c r="B513" s="31"/>
      <c r="C513" s="32"/>
      <c r="D513" s="33"/>
      <c r="E513" s="34"/>
      <c r="F513" s="34"/>
      <c r="G513" s="35"/>
      <c r="H513" s="34"/>
      <c r="I513" s="37"/>
    </row>
    <row r="514" ht="22.5" customHeight="1">
      <c r="A514" s="30"/>
      <c r="B514" s="31"/>
      <c r="C514" s="32"/>
      <c r="D514" s="33"/>
      <c r="E514" s="34"/>
      <c r="F514" s="34"/>
      <c r="G514" s="35"/>
      <c r="H514" s="34"/>
      <c r="I514" s="37"/>
    </row>
    <row r="515" ht="22.5" customHeight="1">
      <c r="A515" s="30"/>
      <c r="B515" s="40"/>
      <c r="C515" s="32"/>
      <c r="D515" s="33"/>
      <c r="E515" s="34"/>
      <c r="F515" s="34"/>
      <c r="G515" s="35"/>
      <c r="H515" s="34"/>
      <c r="I515" s="37"/>
    </row>
    <row r="516" ht="22.5" customHeight="1">
      <c r="A516" s="30"/>
      <c r="B516" s="31"/>
      <c r="C516" s="32"/>
      <c r="D516" s="33"/>
      <c r="E516" s="34"/>
      <c r="F516" s="34"/>
      <c r="G516" s="35"/>
      <c r="H516" s="34"/>
      <c r="I516" s="37"/>
    </row>
    <row r="517" ht="22.5" customHeight="1">
      <c r="A517" s="30"/>
      <c r="B517" s="40"/>
      <c r="C517" s="32"/>
      <c r="D517" s="33"/>
      <c r="E517" s="34"/>
      <c r="F517" s="34"/>
      <c r="G517" s="35"/>
      <c r="H517" s="34"/>
      <c r="I517" s="37"/>
    </row>
    <row r="518" ht="22.5" customHeight="1">
      <c r="A518" s="30"/>
      <c r="B518" s="31"/>
      <c r="C518" s="32"/>
      <c r="D518" s="33"/>
      <c r="E518" s="34"/>
      <c r="F518" s="34"/>
      <c r="G518" s="35"/>
      <c r="H518" s="34"/>
      <c r="I518" s="37"/>
    </row>
    <row r="519" ht="22.5" customHeight="1">
      <c r="A519" s="30"/>
      <c r="B519" s="31"/>
      <c r="C519" s="32"/>
      <c r="D519" s="33"/>
      <c r="E519" s="34"/>
      <c r="F519" s="34"/>
      <c r="G519" s="35"/>
      <c r="H519" s="34"/>
      <c r="I519" s="37"/>
    </row>
    <row r="520" ht="22.5" customHeight="1">
      <c r="A520" s="30"/>
      <c r="B520" s="31"/>
      <c r="C520" s="32"/>
      <c r="D520" s="33"/>
      <c r="E520" s="34"/>
      <c r="F520" s="34"/>
      <c r="G520" s="35"/>
      <c r="H520" s="34"/>
      <c r="I520" s="37"/>
    </row>
    <row r="521" ht="22.5" customHeight="1">
      <c r="A521" s="30"/>
      <c r="B521" s="31"/>
      <c r="C521" s="32"/>
      <c r="D521" s="33"/>
      <c r="E521" s="34"/>
      <c r="F521" s="34"/>
      <c r="G521" s="35"/>
      <c r="H521" s="34"/>
      <c r="I521" s="37"/>
    </row>
    <row r="522" ht="22.5" customHeight="1">
      <c r="A522" s="30"/>
      <c r="B522" s="40"/>
      <c r="C522" s="32"/>
      <c r="D522" s="33"/>
      <c r="E522" s="34"/>
      <c r="F522" s="34"/>
      <c r="G522" s="35"/>
      <c r="H522" s="34"/>
      <c r="I522" s="37"/>
    </row>
    <row r="523" ht="22.5" customHeight="1">
      <c r="A523" s="30"/>
      <c r="B523" s="31"/>
      <c r="C523" s="32"/>
      <c r="D523" s="33"/>
      <c r="E523" s="34"/>
      <c r="F523" s="34"/>
      <c r="G523" s="35"/>
      <c r="H523" s="34"/>
      <c r="I523" s="37"/>
    </row>
    <row r="524" ht="22.5" customHeight="1">
      <c r="A524" s="30"/>
      <c r="B524" s="31"/>
      <c r="C524" s="32"/>
      <c r="D524" s="33"/>
      <c r="E524" s="34"/>
      <c r="F524" s="34"/>
      <c r="G524" s="35"/>
      <c r="H524" s="34"/>
      <c r="I524" s="37"/>
    </row>
    <row r="525" ht="22.5" customHeight="1">
      <c r="A525" s="30"/>
      <c r="B525" s="31"/>
      <c r="C525" s="32"/>
      <c r="D525" s="33"/>
      <c r="E525" s="34"/>
      <c r="F525" s="34"/>
      <c r="G525" s="35"/>
      <c r="H525" s="34"/>
      <c r="I525" s="37"/>
    </row>
    <row r="526" ht="22.5" customHeight="1">
      <c r="A526" s="30"/>
      <c r="B526" s="31"/>
      <c r="C526" s="32"/>
      <c r="D526" s="33"/>
      <c r="E526" s="34"/>
      <c r="F526" s="34"/>
      <c r="G526" s="35"/>
      <c r="H526" s="34"/>
      <c r="I526" s="37"/>
    </row>
    <row r="527" ht="22.5" customHeight="1">
      <c r="A527" s="30"/>
      <c r="B527" s="31"/>
      <c r="C527" s="32"/>
      <c r="D527" s="33"/>
      <c r="E527" s="34"/>
      <c r="F527" s="34"/>
      <c r="G527" s="35"/>
      <c r="H527" s="34"/>
      <c r="I527" s="37"/>
    </row>
    <row r="528" ht="22.5" customHeight="1">
      <c r="A528" s="30"/>
      <c r="B528" s="31"/>
      <c r="C528" s="32"/>
      <c r="D528" s="33"/>
      <c r="E528" s="34"/>
      <c r="F528" s="34"/>
      <c r="G528" s="35"/>
      <c r="H528" s="34"/>
      <c r="I528" s="37"/>
    </row>
    <row r="529" ht="22.5" customHeight="1">
      <c r="A529" s="30"/>
      <c r="B529" s="31"/>
      <c r="C529" s="32"/>
      <c r="D529" s="33"/>
      <c r="E529" s="34"/>
      <c r="F529" s="34"/>
      <c r="G529" s="35"/>
      <c r="H529" s="34"/>
      <c r="I529" s="37"/>
    </row>
    <row r="530" ht="22.5" customHeight="1">
      <c r="A530" s="30"/>
      <c r="B530" s="31"/>
      <c r="C530" s="32"/>
      <c r="D530" s="33"/>
      <c r="E530" s="34"/>
      <c r="F530" s="34"/>
      <c r="G530" s="35"/>
      <c r="H530" s="34"/>
      <c r="I530" s="37"/>
    </row>
    <row r="531" ht="22.5" customHeight="1">
      <c r="A531" s="30"/>
      <c r="B531" s="31"/>
      <c r="C531" s="32"/>
      <c r="D531" s="33"/>
      <c r="E531" s="34"/>
      <c r="F531" s="34"/>
      <c r="G531" s="35"/>
      <c r="H531" s="34"/>
      <c r="I531" s="37"/>
    </row>
    <row r="532" ht="22.5" customHeight="1">
      <c r="A532" s="30"/>
      <c r="B532" s="31"/>
      <c r="C532" s="32"/>
      <c r="D532" s="33"/>
      <c r="E532" s="34"/>
      <c r="F532" s="34"/>
      <c r="G532" s="35"/>
      <c r="H532" s="34"/>
      <c r="I532" s="37"/>
    </row>
    <row r="533" ht="22.5" customHeight="1">
      <c r="A533" s="30"/>
      <c r="B533" s="31"/>
      <c r="C533" s="32"/>
      <c r="D533" s="33"/>
      <c r="E533" s="34"/>
      <c r="F533" s="34"/>
      <c r="G533" s="35"/>
      <c r="H533" s="34"/>
      <c r="I533" s="37"/>
    </row>
    <row r="534" ht="22.5" customHeight="1">
      <c r="A534" s="30"/>
      <c r="B534" s="31"/>
      <c r="C534" s="32"/>
      <c r="D534" s="33"/>
      <c r="E534" s="34"/>
      <c r="F534" s="34"/>
      <c r="G534" s="35"/>
      <c r="H534" s="34"/>
      <c r="I534" s="37"/>
    </row>
    <row r="535" ht="22.5" customHeight="1">
      <c r="A535" s="30"/>
      <c r="B535" s="31"/>
      <c r="C535" s="32"/>
      <c r="D535" s="33"/>
      <c r="E535" s="34"/>
      <c r="F535" s="34"/>
      <c r="G535" s="35"/>
      <c r="H535" s="34"/>
      <c r="I535" s="37"/>
    </row>
    <row r="536" ht="22.5" customHeight="1">
      <c r="A536" s="30"/>
      <c r="B536" s="31"/>
      <c r="C536" s="32"/>
      <c r="D536" s="33"/>
      <c r="E536" s="34"/>
      <c r="F536" s="34"/>
      <c r="G536" s="35"/>
      <c r="H536" s="34"/>
      <c r="I536" s="37"/>
    </row>
    <row r="537" ht="22.5" customHeight="1">
      <c r="A537" s="30"/>
      <c r="B537" s="31"/>
      <c r="C537" s="32"/>
      <c r="D537" s="33"/>
      <c r="E537" s="34"/>
      <c r="F537" s="34"/>
      <c r="G537" s="35"/>
      <c r="H537" s="34"/>
      <c r="I537" s="37"/>
    </row>
    <row r="538" ht="22.5" customHeight="1">
      <c r="A538" s="30"/>
      <c r="B538" s="31"/>
      <c r="C538" s="32"/>
      <c r="D538" s="33"/>
      <c r="E538" s="34"/>
      <c r="F538" s="34"/>
      <c r="G538" s="35"/>
      <c r="H538" s="34"/>
      <c r="I538" s="37"/>
    </row>
    <row r="539" ht="22.5" customHeight="1">
      <c r="A539" s="30"/>
      <c r="B539" s="31"/>
      <c r="C539" s="32"/>
      <c r="D539" s="33"/>
      <c r="E539" s="34"/>
      <c r="F539" s="34"/>
      <c r="G539" s="35"/>
      <c r="H539" s="34"/>
      <c r="I539" s="37"/>
    </row>
    <row r="540" ht="22.5" customHeight="1">
      <c r="A540" s="30"/>
      <c r="B540" s="31"/>
      <c r="C540" s="32"/>
      <c r="D540" s="33"/>
      <c r="E540" s="34"/>
      <c r="F540" s="34"/>
      <c r="G540" s="35"/>
      <c r="H540" s="34"/>
      <c r="I540" s="37"/>
    </row>
    <row r="541" ht="22.5" customHeight="1">
      <c r="A541" s="30"/>
      <c r="B541" s="31"/>
      <c r="C541" s="32"/>
      <c r="D541" s="33"/>
      <c r="E541" s="34"/>
      <c r="F541" s="34"/>
      <c r="G541" s="35"/>
      <c r="H541" s="34"/>
      <c r="I541" s="37"/>
    </row>
    <row r="542" ht="22.5" customHeight="1">
      <c r="A542" s="30"/>
      <c r="B542" s="31"/>
      <c r="C542" s="32"/>
      <c r="D542" s="33"/>
      <c r="E542" s="34"/>
      <c r="F542" s="34"/>
      <c r="G542" s="35"/>
      <c r="H542" s="34"/>
      <c r="I542" s="37"/>
    </row>
    <row r="543" ht="22.5" customHeight="1">
      <c r="A543" s="30"/>
      <c r="B543" s="31"/>
      <c r="C543" s="32"/>
      <c r="D543" s="33"/>
      <c r="E543" s="34"/>
      <c r="F543" s="34"/>
      <c r="G543" s="35"/>
      <c r="H543" s="34"/>
      <c r="I543" s="37"/>
    </row>
    <row r="544" ht="22.5" customHeight="1">
      <c r="A544" s="30"/>
      <c r="B544" s="40"/>
      <c r="C544" s="32"/>
      <c r="D544" s="33"/>
      <c r="E544" s="34"/>
      <c r="F544" s="34"/>
      <c r="G544" s="35"/>
      <c r="H544" s="34"/>
      <c r="I544" s="37"/>
    </row>
    <row r="545" ht="22.5" customHeight="1">
      <c r="A545" s="30"/>
      <c r="B545" s="31"/>
      <c r="C545" s="32"/>
      <c r="D545" s="33"/>
      <c r="E545" s="34"/>
      <c r="F545" s="34"/>
      <c r="G545" s="35"/>
      <c r="H545" s="34"/>
      <c r="I545" s="37"/>
    </row>
    <row r="546" ht="22.5" customHeight="1">
      <c r="A546" s="30"/>
      <c r="B546" s="31"/>
      <c r="C546" s="32"/>
      <c r="D546" s="33"/>
      <c r="E546" s="34"/>
      <c r="F546" s="34"/>
      <c r="G546" s="35"/>
      <c r="H546" s="34"/>
      <c r="I546" s="37"/>
    </row>
    <row r="547" ht="22.5" customHeight="1">
      <c r="A547" s="30"/>
      <c r="B547" s="31"/>
      <c r="C547" s="32"/>
      <c r="D547" s="33"/>
      <c r="E547" s="34"/>
      <c r="F547" s="34"/>
      <c r="G547" s="35"/>
      <c r="H547" s="34"/>
      <c r="I547" s="37"/>
    </row>
    <row r="548" ht="22.5" customHeight="1">
      <c r="A548" s="30"/>
      <c r="B548" s="31"/>
      <c r="C548" s="32"/>
      <c r="D548" s="33"/>
      <c r="E548" s="34"/>
      <c r="F548" s="34"/>
      <c r="G548" s="35"/>
      <c r="H548" s="34"/>
      <c r="I548" s="38"/>
    </row>
    <row r="549" ht="22.5" customHeight="1">
      <c r="A549" s="30"/>
      <c r="B549" s="39"/>
      <c r="C549" s="32"/>
      <c r="D549" s="33"/>
      <c r="E549" s="34"/>
      <c r="F549" s="34"/>
      <c r="G549" s="35"/>
      <c r="H549" s="34"/>
      <c r="I549" s="37"/>
    </row>
    <row r="550" ht="22.5" customHeight="1">
      <c r="A550" s="30"/>
      <c r="B550" s="31"/>
      <c r="C550" s="32"/>
      <c r="D550" s="33"/>
      <c r="E550" s="34"/>
      <c r="F550" s="34"/>
      <c r="G550" s="35"/>
      <c r="H550" s="34"/>
      <c r="I550" s="37"/>
    </row>
    <row r="551" ht="22.5" customHeight="1">
      <c r="A551" s="30"/>
      <c r="B551" s="31"/>
      <c r="C551" s="32"/>
      <c r="D551" s="33"/>
      <c r="E551" s="34"/>
      <c r="F551" s="34"/>
      <c r="G551" s="35"/>
      <c r="H551" s="34"/>
      <c r="I551" s="37"/>
    </row>
    <row r="552" ht="22.5" customHeight="1">
      <c r="A552" s="30"/>
      <c r="B552" s="31"/>
      <c r="C552" s="32"/>
      <c r="D552" s="33"/>
      <c r="E552" s="34"/>
      <c r="F552" s="34"/>
      <c r="G552" s="35"/>
      <c r="H552" s="34"/>
      <c r="I552" s="37"/>
    </row>
    <row r="553" ht="22.5" customHeight="1">
      <c r="A553" s="30"/>
      <c r="B553" s="39"/>
      <c r="C553" s="32"/>
      <c r="D553" s="33"/>
      <c r="E553" s="34"/>
      <c r="F553" s="34"/>
      <c r="G553" s="35"/>
      <c r="H553" s="34"/>
      <c r="I553" s="37"/>
    </row>
    <row r="554" ht="22.5" customHeight="1">
      <c r="A554" s="30"/>
      <c r="B554" s="31"/>
      <c r="C554" s="32"/>
      <c r="D554" s="33"/>
      <c r="E554" s="34"/>
      <c r="F554" s="34"/>
      <c r="G554" s="35"/>
      <c r="H554" s="34"/>
      <c r="I554" s="37"/>
    </row>
    <row r="555" ht="22.5" customHeight="1">
      <c r="A555" s="30"/>
      <c r="B555" s="39"/>
      <c r="C555" s="32"/>
      <c r="D555" s="33"/>
      <c r="E555" s="34"/>
      <c r="F555" s="34"/>
      <c r="G555" s="35"/>
      <c r="H555" s="34"/>
      <c r="I555" s="37"/>
    </row>
    <row r="556" ht="22.5" customHeight="1">
      <c r="A556" s="30"/>
      <c r="B556" s="31"/>
      <c r="C556" s="32"/>
      <c r="D556" s="33"/>
      <c r="E556" s="34"/>
      <c r="F556" s="34"/>
      <c r="G556" s="35"/>
      <c r="H556" s="34"/>
      <c r="I556" s="37"/>
    </row>
    <row r="557" ht="22.5" customHeight="1">
      <c r="A557" s="30"/>
      <c r="B557" s="31"/>
      <c r="C557" s="32"/>
      <c r="D557" s="33"/>
      <c r="E557" s="34"/>
      <c r="F557" s="34"/>
      <c r="G557" s="35"/>
      <c r="H557" s="34"/>
      <c r="I557" s="37"/>
    </row>
    <row r="558" ht="22.5" customHeight="1">
      <c r="A558" s="30"/>
      <c r="B558" s="31"/>
      <c r="C558" s="32"/>
      <c r="D558" s="33"/>
      <c r="E558" s="34"/>
      <c r="F558" s="34"/>
      <c r="G558" s="35"/>
      <c r="H558" s="34"/>
      <c r="I558" s="37"/>
    </row>
    <row r="559" ht="22.5" customHeight="1">
      <c r="A559" s="30"/>
      <c r="B559" s="31"/>
      <c r="C559" s="32"/>
      <c r="D559" s="33"/>
      <c r="E559" s="34"/>
      <c r="F559" s="34"/>
      <c r="G559" s="35"/>
      <c r="H559" s="34"/>
      <c r="I559" s="37"/>
    </row>
    <row r="560" ht="22.5" customHeight="1">
      <c r="A560" s="30"/>
      <c r="B560" s="31"/>
      <c r="C560" s="32"/>
      <c r="D560" s="33"/>
      <c r="E560" s="34"/>
      <c r="F560" s="34"/>
      <c r="G560" s="35"/>
      <c r="H560" s="34"/>
      <c r="I560" s="37"/>
    </row>
    <row r="561" ht="22.5" customHeight="1">
      <c r="A561" s="30"/>
      <c r="B561" s="31"/>
      <c r="C561" s="32"/>
      <c r="D561" s="33"/>
      <c r="E561" s="34"/>
      <c r="F561" s="34"/>
      <c r="G561" s="35"/>
      <c r="H561" s="34"/>
      <c r="I561" s="37"/>
    </row>
    <row r="562" ht="22.5" customHeight="1">
      <c r="A562" s="30"/>
      <c r="B562" s="31"/>
      <c r="C562" s="32"/>
      <c r="D562" s="33"/>
      <c r="E562" s="34"/>
      <c r="F562" s="34"/>
      <c r="G562" s="35"/>
      <c r="H562" s="34"/>
      <c r="I562" s="37"/>
    </row>
    <row r="563" ht="22.5" customHeight="1">
      <c r="A563" s="30"/>
      <c r="B563" s="31"/>
      <c r="C563" s="32"/>
      <c r="D563" s="33"/>
      <c r="E563" s="34"/>
      <c r="F563" s="34"/>
      <c r="G563" s="35"/>
      <c r="H563" s="34"/>
      <c r="I563" s="37"/>
    </row>
    <row r="564" ht="22.5" customHeight="1">
      <c r="A564" s="30"/>
      <c r="B564" s="31"/>
      <c r="C564" s="32"/>
      <c r="D564" s="33"/>
      <c r="E564" s="34"/>
      <c r="F564" s="34"/>
      <c r="G564" s="35"/>
      <c r="H564" s="34"/>
      <c r="I564" s="37"/>
    </row>
    <row r="565" ht="22.5" customHeight="1">
      <c r="A565" s="30"/>
      <c r="B565" s="31"/>
      <c r="C565" s="32"/>
      <c r="D565" s="33"/>
      <c r="E565" s="34"/>
      <c r="F565" s="34"/>
      <c r="G565" s="35"/>
      <c r="H565" s="34"/>
      <c r="I565" s="37"/>
    </row>
    <row r="566" ht="22.5" customHeight="1">
      <c r="A566" s="30"/>
      <c r="B566" s="40"/>
      <c r="C566" s="32"/>
      <c r="D566" s="33"/>
      <c r="E566" s="34"/>
      <c r="F566" s="34"/>
      <c r="G566" s="35"/>
      <c r="H566" s="34"/>
      <c r="I566" s="37"/>
    </row>
    <row r="567" ht="22.5" customHeight="1">
      <c r="A567" s="30"/>
      <c r="B567" s="31"/>
      <c r="C567" s="32"/>
      <c r="D567" s="33"/>
      <c r="E567" s="34"/>
      <c r="F567" s="34"/>
      <c r="G567" s="35"/>
      <c r="H567" s="34"/>
      <c r="I567" s="37"/>
    </row>
    <row r="568" ht="22.5" customHeight="1">
      <c r="A568" s="30"/>
      <c r="B568" s="31"/>
      <c r="C568" s="32"/>
      <c r="D568" s="33"/>
      <c r="E568" s="34"/>
      <c r="F568" s="34"/>
      <c r="G568" s="35"/>
      <c r="H568" s="34"/>
      <c r="I568" s="37"/>
    </row>
    <row r="569" ht="22.5" customHeight="1">
      <c r="A569" s="30"/>
      <c r="B569" s="31"/>
      <c r="C569" s="32"/>
      <c r="D569" s="33"/>
      <c r="E569" s="34"/>
      <c r="F569" s="34"/>
      <c r="G569" s="35"/>
      <c r="H569" s="34"/>
      <c r="I569" s="37"/>
    </row>
    <row r="570" ht="22.5" customHeight="1">
      <c r="A570" s="30"/>
      <c r="B570" s="31"/>
      <c r="C570" s="32"/>
      <c r="D570" s="33"/>
      <c r="E570" s="34"/>
      <c r="F570" s="34"/>
      <c r="G570" s="35"/>
      <c r="H570" s="34"/>
      <c r="I570" s="37"/>
    </row>
    <row r="571" ht="22.5" customHeight="1">
      <c r="A571" s="30"/>
      <c r="B571" s="31"/>
      <c r="C571" s="32"/>
      <c r="D571" s="33"/>
      <c r="E571" s="34"/>
      <c r="F571" s="34"/>
      <c r="G571" s="35"/>
      <c r="H571" s="34"/>
      <c r="I571" s="37"/>
    </row>
    <row r="572" ht="22.5" customHeight="1">
      <c r="A572" s="30"/>
      <c r="B572" s="31"/>
      <c r="C572" s="32"/>
      <c r="D572" s="33"/>
      <c r="E572" s="34"/>
      <c r="F572" s="34"/>
      <c r="G572" s="35"/>
      <c r="H572" s="34"/>
      <c r="I572" s="37"/>
    </row>
    <row r="573" ht="22.5" customHeight="1">
      <c r="A573" s="30"/>
      <c r="B573" s="39"/>
      <c r="C573" s="32"/>
      <c r="D573" s="33"/>
      <c r="E573" s="34"/>
      <c r="F573" s="34"/>
      <c r="G573" s="35"/>
      <c r="H573" s="34"/>
      <c r="I573" s="37"/>
    </row>
    <row r="574" ht="22.5" customHeight="1">
      <c r="A574" s="30"/>
      <c r="B574" s="39"/>
      <c r="C574" s="32"/>
      <c r="D574" s="33"/>
      <c r="E574" s="34"/>
      <c r="F574" s="34"/>
      <c r="G574" s="35"/>
      <c r="H574" s="34"/>
      <c r="I574" s="37"/>
    </row>
    <row r="575" ht="22.5" customHeight="1">
      <c r="A575" s="30"/>
      <c r="B575" s="39"/>
      <c r="C575" s="32"/>
      <c r="D575" s="33"/>
      <c r="E575" s="34"/>
      <c r="F575" s="34"/>
      <c r="G575" s="35"/>
      <c r="H575" s="34"/>
      <c r="I575" s="37"/>
    </row>
    <row r="576" ht="22.5" customHeight="1">
      <c r="A576" s="30"/>
      <c r="B576" s="40"/>
      <c r="C576" s="32"/>
      <c r="D576" s="33"/>
      <c r="E576" s="34"/>
      <c r="F576" s="34"/>
      <c r="G576" s="35"/>
      <c r="H576" s="34"/>
      <c r="I576" s="37"/>
    </row>
    <row r="577" ht="22.5" customHeight="1">
      <c r="A577" s="30"/>
      <c r="B577" s="31"/>
      <c r="C577" s="32"/>
      <c r="D577" s="33"/>
      <c r="E577" s="34"/>
      <c r="F577" s="34"/>
      <c r="G577" s="35"/>
      <c r="H577" s="34"/>
      <c r="I577" s="37"/>
    </row>
    <row r="578" ht="22.5" customHeight="1">
      <c r="A578" s="30"/>
      <c r="B578" s="31"/>
      <c r="C578" s="32"/>
      <c r="D578" s="33"/>
      <c r="E578" s="34"/>
      <c r="F578" s="34"/>
      <c r="G578" s="35"/>
      <c r="H578" s="34"/>
      <c r="I578" s="37"/>
    </row>
    <row r="579" ht="22.5" customHeight="1">
      <c r="A579" s="30"/>
      <c r="B579" s="31"/>
      <c r="C579" s="32"/>
      <c r="D579" s="33"/>
      <c r="E579" s="34"/>
      <c r="F579" s="34"/>
      <c r="G579" s="35"/>
      <c r="H579" s="34"/>
      <c r="I579" s="37"/>
    </row>
    <row r="580" ht="22.5" customHeight="1">
      <c r="A580" s="30"/>
      <c r="B580" s="31"/>
      <c r="C580" s="32"/>
      <c r="D580" s="33"/>
      <c r="E580" s="34"/>
      <c r="F580" s="34"/>
      <c r="G580" s="35"/>
      <c r="H580" s="34"/>
      <c r="I580" s="37"/>
    </row>
    <row r="581" ht="22.5" customHeight="1">
      <c r="A581" s="30"/>
      <c r="B581" s="31"/>
      <c r="C581" s="32"/>
      <c r="D581" s="33"/>
      <c r="E581" s="34"/>
      <c r="F581" s="34"/>
      <c r="G581" s="35"/>
      <c r="H581" s="34"/>
      <c r="I581" s="37"/>
    </row>
    <row r="582" ht="22.5" customHeight="1">
      <c r="A582" s="30"/>
      <c r="B582" s="31"/>
      <c r="C582" s="32"/>
      <c r="D582" s="33"/>
      <c r="E582" s="34"/>
      <c r="F582" s="34"/>
      <c r="G582" s="35"/>
      <c r="H582" s="34"/>
      <c r="I582" s="37"/>
    </row>
    <row r="583" ht="22.5" customHeight="1">
      <c r="A583" s="30"/>
      <c r="B583" s="31"/>
      <c r="C583" s="32"/>
      <c r="D583" s="33"/>
      <c r="E583" s="34"/>
      <c r="F583" s="34"/>
      <c r="G583" s="35"/>
      <c r="H583" s="34"/>
      <c r="I583" s="37"/>
    </row>
    <row r="584" ht="22.5" customHeight="1">
      <c r="A584" s="30"/>
      <c r="B584" s="31"/>
      <c r="C584" s="32"/>
      <c r="D584" s="33"/>
      <c r="E584" s="34"/>
      <c r="F584" s="34"/>
      <c r="G584" s="35"/>
      <c r="H584" s="34"/>
      <c r="I584" s="37"/>
    </row>
    <row r="585" ht="22.5" customHeight="1">
      <c r="A585" s="30"/>
      <c r="B585" s="31"/>
      <c r="C585" s="32"/>
      <c r="D585" s="33"/>
      <c r="E585" s="34"/>
      <c r="F585" s="34"/>
      <c r="G585" s="35"/>
      <c r="H585" s="34"/>
      <c r="I585" s="37"/>
    </row>
    <row r="586" ht="22.5" customHeight="1">
      <c r="A586" s="30"/>
      <c r="B586" s="40"/>
      <c r="C586" s="32"/>
      <c r="D586" s="33"/>
      <c r="E586" s="34"/>
      <c r="F586" s="34"/>
      <c r="G586" s="35"/>
      <c r="H586" s="34"/>
      <c r="I586" s="37"/>
    </row>
    <row r="587" ht="22.5" customHeight="1">
      <c r="A587" s="30"/>
      <c r="B587" s="31"/>
      <c r="C587" s="32"/>
      <c r="D587" s="33"/>
      <c r="E587" s="34"/>
      <c r="F587" s="34"/>
      <c r="G587" s="35"/>
      <c r="H587" s="34"/>
      <c r="I587" s="37"/>
    </row>
    <row r="588" ht="22.5" customHeight="1">
      <c r="A588" s="30"/>
      <c r="B588" s="31"/>
      <c r="C588" s="32"/>
      <c r="D588" s="33"/>
      <c r="E588" s="34"/>
      <c r="F588" s="34"/>
      <c r="G588" s="35"/>
      <c r="H588" s="34"/>
      <c r="I588" s="37"/>
    </row>
    <row r="589" ht="22.5" customHeight="1">
      <c r="A589" s="30"/>
      <c r="B589" s="31"/>
      <c r="C589" s="32"/>
      <c r="D589" s="33"/>
      <c r="E589" s="34"/>
      <c r="F589" s="34"/>
      <c r="G589" s="35"/>
      <c r="H589" s="34"/>
      <c r="I589" s="37"/>
    </row>
    <row r="590" ht="22.5" customHeight="1">
      <c r="A590" s="30"/>
      <c r="B590" s="40"/>
      <c r="C590" s="32"/>
      <c r="D590" s="33"/>
      <c r="E590" s="34"/>
      <c r="F590" s="34"/>
      <c r="G590" s="35"/>
      <c r="H590" s="34"/>
      <c r="I590" s="37"/>
    </row>
    <row r="591" ht="22.5" customHeight="1">
      <c r="A591" s="30"/>
      <c r="B591" s="31"/>
      <c r="C591" s="32"/>
      <c r="D591" s="33"/>
      <c r="E591" s="34"/>
      <c r="F591" s="34"/>
      <c r="G591" s="35"/>
      <c r="H591" s="34"/>
      <c r="I591" s="37"/>
    </row>
    <row r="592" ht="22.5" customHeight="1">
      <c r="A592" s="30"/>
      <c r="B592" s="31"/>
      <c r="C592" s="32"/>
      <c r="D592" s="33"/>
      <c r="E592" s="34"/>
      <c r="F592" s="34"/>
      <c r="G592" s="35"/>
      <c r="H592" s="34"/>
      <c r="I592" s="37"/>
    </row>
    <row r="593" ht="22.5" customHeight="1">
      <c r="A593" s="30"/>
      <c r="B593" s="31"/>
      <c r="C593" s="32"/>
      <c r="D593" s="33"/>
      <c r="E593" s="34"/>
      <c r="F593" s="34"/>
      <c r="G593" s="35"/>
      <c r="H593" s="34"/>
      <c r="I593" s="37"/>
    </row>
    <row r="594" ht="22.5" customHeight="1">
      <c r="A594" s="30"/>
      <c r="B594" s="31"/>
      <c r="C594" s="32"/>
      <c r="D594" s="33"/>
      <c r="E594" s="34"/>
      <c r="F594" s="34"/>
      <c r="G594" s="35"/>
      <c r="H594" s="34"/>
      <c r="I594" s="37"/>
    </row>
    <row r="595" ht="22.5" customHeight="1">
      <c r="A595" s="30"/>
      <c r="B595" s="31"/>
      <c r="C595" s="32"/>
      <c r="D595" s="33"/>
      <c r="E595" s="34"/>
      <c r="F595" s="34"/>
      <c r="G595" s="35"/>
      <c r="H595" s="34"/>
      <c r="I595" s="37"/>
    </row>
    <row r="596" ht="22.5" customHeight="1">
      <c r="A596" s="30"/>
      <c r="B596" s="31"/>
      <c r="C596" s="32"/>
      <c r="D596" s="33"/>
      <c r="E596" s="34"/>
      <c r="F596" s="34"/>
      <c r="G596" s="35"/>
      <c r="H596" s="34"/>
      <c r="I596" s="37"/>
    </row>
    <row r="597" ht="22.5" customHeight="1">
      <c r="A597" s="30"/>
      <c r="B597" s="31"/>
      <c r="C597" s="32"/>
      <c r="D597" s="33"/>
      <c r="E597" s="34"/>
      <c r="F597" s="34"/>
      <c r="G597" s="35"/>
      <c r="H597" s="34"/>
      <c r="I597" s="37"/>
    </row>
    <row r="598" ht="22.5" customHeight="1">
      <c r="A598" s="30"/>
      <c r="B598" s="31"/>
      <c r="C598" s="32"/>
      <c r="D598" s="33"/>
      <c r="E598" s="34"/>
      <c r="F598" s="34"/>
      <c r="G598" s="35"/>
      <c r="H598" s="34"/>
      <c r="I598" s="37"/>
    </row>
    <row r="599" ht="22.5" customHeight="1">
      <c r="A599" s="30"/>
      <c r="B599" s="31"/>
      <c r="C599" s="32"/>
      <c r="D599" s="33"/>
      <c r="E599" s="34"/>
      <c r="F599" s="34"/>
      <c r="G599" s="35"/>
      <c r="H599" s="34"/>
      <c r="I599" s="37"/>
    </row>
    <row r="600" ht="22.5" customHeight="1">
      <c r="A600" s="30"/>
      <c r="B600" s="31"/>
      <c r="C600" s="32"/>
      <c r="D600" s="33"/>
      <c r="E600" s="34"/>
      <c r="F600" s="34"/>
      <c r="G600" s="35"/>
      <c r="H600" s="34"/>
      <c r="I600" s="37"/>
    </row>
    <row r="601" ht="22.5" customHeight="1">
      <c r="A601" s="30"/>
      <c r="B601" s="31"/>
      <c r="C601" s="32"/>
      <c r="D601" s="33"/>
      <c r="E601" s="34"/>
      <c r="F601" s="34"/>
      <c r="G601" s="35"/>
      <c r="H601" s="34"/>
      <c r="I601" s="37"/>
    </row>
    <row r="602" ht="22.5" customHeight="1">
      <c r="A602" s="30"/>
      <c r="B602" s="31"/>
      <c r="C602" s="32"/>
      <c r="D602" s="33"/>
      <c r="E602" s="34"/>
      <c r="F602" s="34"/>
      <c r="G602" s="35"/>
      <c r="H602" s="34"/>
      <c r="I602" s="37"/>
    </row>
    <row r="603" ht="22.5" customHeight="1">
      <c r="A603" s="30"/>
      <c r="B603" s="31"/>
      <c r="C603" s="32"/>
      <c r="D603" s="33"/>
      <c r="E603" s="34"/>
      <c r="F603" s="34"/>
      <c r="G603" s="35"/>
      <c r="H603" s="34"/>
      <c r="I603" s="37"/>
    </row>
    <row r="604" ht="22.5" customHeight="1">
      <c r="A604" s="30"/>
      <c r="B604" s="31"/>
      <c r="C604" s="32"/>
      <c r="D604" s="33"/>
      <c r="E604" s="34"/>
      <c r="F604" s="34"/>
      <c r="G604" s="35"/>
      <c r="H604" s="34"/>
      <c r="I604" s="37"/>
    </row>
    <row r="605" ht="22.5" customHeight="1">
      <c r="A605" s="30"/>
      <c r="B605" s="40"/>
      <c r="C605" s="32"/>
      <c r="D605" s="33"/>
      <c r="E605" s="34"/>
      <c r="F605" s="34"/>
      <c r="G605" s="35"/>
      <c r="H605" s="34"/>
      <c r="I605" s="37"/>
    </row>
    <row r="606" ht="22.5" customHeight="1">
      <c r="A606" s="30"/>
      <c r="B606" s="31"/>
      <c r="C606" s="32"/>
      <c r="D606" s="33"/>
      <c r="E606" s="34"/>
      <c r="F606" s="34"/>
      <c r="G606" s="35"/>
      <c r="H606" s="34"/>
      <c r="I606" s="37"/>
    </row>
    <row r="607" ht="22.5" customHeight="1">
      <c r="A607" s="30"/>
      <c r="B607" s="40"/>
      <c r="C607" s="32"/>
      <c r="D607" s="33"/>
      <c r="E607" s="34"/>
      <c r="F607" s="34"/>
      <c r="G607" s="35"/>
      <c r="H607" s="34"/>
      <c r="I607" s="37"/>
    </row>
    <row r="608" ht="22.5" customHeight="1">
      <c r="A608" s="30"/>
      <c r="B608" s="31"/>
      <c r="C608" s="32"/>
      <c r="D608" s="33"/>
      <c r="E608" s="34"/>
      <c r="F608" s="34"/>
      <c r="G608" s="35"/>
      <c r="H608" s="34"/>
      <c r="I608" s="37"/>
    </row>
    <row r="609" ht="22.5" customHeight="1">
      <c r="A609" s="30"/>
      <c r="B609" s="31"/>
      <c r="C609" s="32"/>
      <c r="D609" s="33"/>
      <c r="E609" s="34"/>
      <c r="F609" s="34"/>
      <c r="G609" s="35"/>
      <c r="H609" s="34"/>
      <c r="I609" s="37"/>
    </row>
    <row r="610" ht="22.5" customHeight="1">
      <c r="A610" s="30"/>
      <c r="B610" s="31"/>
      <c r="C610" s="32"/>
      <c r="D610" s="33"/>
      <c r="E610" s="34"/>
      <c r="F610" s="34"/>
      <c r="G610" s="35"/>
      <c r="H610" s="34"/>
      <c r="I610" s="37"/>
    </row>
    <row r="611" ht="22.5" customHeight="1">
      <c r="A611" s="30"/>
      <c r="B611" s="31"/>
      <c r="C611" s="32"/>
      <c r="D611" s="33"/>
      <c r="E611" s="34"/>
      <c r="F611" s="34"/>
      <c r="G611" s="35"/>
      <c r="H611" s="34"/>
      <c r="I611" s="37"/>
    </row>
    <row r="612" ht="22.5" customHeight="1">
      <c r="A612" s="30"/>
      <c r="B612" s="40"/>
      <c r="C612" s="32"/>
      <c r="D612" s="33"/>
      <c r="E612" s="34"/>
      <c r="F612" s="34"/>
      <c r="G612" s="35"/>
      <c r="H612" s="34"/>
      <c r="I612" s="37"/>
    </row>
    <row r="613" ht="22.5" customHeight="1">
      <c r="A613" s="30"/>
      <c r="B613" s="31"/>
      <c r="C613" s="32"/>
      <c r="D613" s="33"/>
      <c r="E613" s="34"/>
      <c r="F613" s="34"/>
      <c r="G613" s="35"/>
      <c r="H613" s="34"/>
      <c r="I613" s="37"/>
    </row>
    <row r="614" ht="22.5" customHeight="1">
      <c r="A614" s="30"/>
      <c r="B614" s="31"/>
      <c r="C614" s="32"/>
      <c r="D614" s="33"/>
      <c r="E614" s="34"/>
      <c r="F614" s="34"/>
      <c r="G614" s="35"/>
      <c r="H614" s="34"/>
      <c r="I614" s="37"/>
    </row>
    <row r="615" ht="22.5" customHeight="1">
      <c r="A615" s="30"/>
      <c r="B615" s="31"/>
      <c r="C615" s="32"/>
      <c r="D615" s="33"/>
      <c r="E615" s="34"/>
      <c r="F615" s="34"/>
      <c r="G615" s="35"/>
      <c r="H615" s="34"/>
      <c r="I615" s="37"/>
    </row>
    <row r="616" ht="22.5" customHeight="1">
      <c r="A616" s="30"/>
      <c r="B616" s="31"/>
      <c r="C616" s="32"/>
      <c r="D616" s="33"/>
      <c r="E616" s="34"/>
      <c r="F616" s="34"/>
      <c r="G616" s="35"/>
      <c r="H616" s="34"/>
      <c r="I616" s="37"/>
    </row>
    <row r="617" ht="22.5" customHeight="1">
      <c r="A617" s="30"/>
      <c r="B617" s="31"/>
      <c r="C617" s="32"/>
      <c r="D617" s="33"/>
      <c r="E617" s="34"/>
      <c r="F617" s="34"/>
      <c r="G617" s="35"/>
      <c r="H617" s="34"/>
      <c r="I617" s="37"/>
    </row>
    <row r="618" ht="22.5" customHeight="1">
      <c r="A618" s="30"/>
      <c r="B618" s="31"/>
      <c r="C618" s="32"/>
      <c r="D618" s="33"/>
      <c r="E618" s="34"/>
      <c r="F618" s="34"/>
      <c r="G618" s="35"/>
      <c r="H618" s="34"/>
      <c r="I618" s="37"/>
    </row>
    <row r="619" ht="22.5" customHeight="1">
      <c r="A619" s="30"/>
      <c r="B619" s="31"/>
      <c r="C619" s="32"/>
      <c r="D619" s="33"/>
      <c r="E619" s="34"/>
      <c r="F619" s="34"/>
      <c r="G619" s="35"/>
      <c r="H619" s="34"/>
      <c r="I619" s="37"/>
    </row>
    <row r="620" ht="22.5" customHeight="1">
      <c r="A620" s="30"/>
      <c r="B620" s="31"/>
      <c r="C620" s="32"/>
      <c r="D620" s="33"/>
      <c r="E620" s="34"/>
      <c r="F620" s="34"/>
      <c r="G620" s="35"/>
      <c r="H620" s="34"/>
      <c r="I620" s="37"/>
    </row>
    <row r="621" ht="22.5" customHeight="1">
      <c r="A621" s="30"/>
      <c r="B621" s="31"/>
      <c r="C621" s="32"/>
      <c r="D621" s="33"/>
      <c r="E621" s="34"/>
      <c r="F621" s="34"/>
      <c r="G621" s="35"/>
      <c r="H621" s="34"/>
      <c r="I621" s="37"/>
    </row>
    <row r="622" ht="22.5" customHeight="1">
      <c r="A622" s="30"/>
      <c r="B622" s="31"/>
      <c r="C622" s="32"/>
      <c r="D622" s="33"/>
      <c r="E622" s="34"/>
      <c r="F622" s="34"/>
      <c r="G622" s="35"/>
      <c r="H622" s="34"/>
      <c r="I622" s="37"/>
    </row>
    <row r="623" ht="22.5" customHeight="1">
      <c r="A623" s="30"/>
      <c r="B623" s="31"/>
      <c r="C623" s="32"/>
      <c r="D623" s="33"/>
      <c r="E623" s="34"/>
      <c r="F623" s="34"/>
      <c r="G623" s="35"/>
      <c r="H623" s="34"/>
      <c r="I623" s="37"/>
    </row>
    <row r="624" ht="22.5" customHeight="1">
      <c r="A624" s="30"/>
      <c r="B624" s="31"/>
      <c r="C624" s="32"/>
      <c r="D624" s="33"/>
      <c r="E624" s="34"/>
      <c r="F624" s="34"/>
      <c r="G624" s="35"/>
      <c r="H624" s="34"/>
      <c r="I624" s="37"/>
    </row>
    <row r="625" ht="22.5" customHeight="1">
      <c r="A625" s="30"/>
      <c r="B625" s="31"/>
      <c r="C625" s="32"/>
      <c r="D625" s="33"/>
      <c r="E625" s="34"/>
      <c r="F625" s="34"/>
      <c r="G625" s="35"/>
      <c r="H625" s="34"/>
      <c r="I625" s="37"/>
    </row>
    <row r="626" ht="22.5" customHeight="1">
      <c r="A626" s="30"/>
      <c r="B626" s="31"/>
      <c r="C626" s="32"/>
      <c r="D626" s="33"/>
      <c r="E626" s="34"/>
      <c r="F626" s="34"/>
      <c r="G626" s="35"/>
      <c r="H626" s="34"/>
      <c r="I626" s="37"/>
    </row>
    <row r="627" ht="22.5" customHeight="1">
      <c r="A627" s="30"/>
      <c r="B627" s="31"/>
      <c r="C627" s="32"/>
      <c r="D627" s="33"/>
      <c r="E627" s="34"/>
      <c r="F627" s="34"/>
      <c r="G627" s="35"/>
      <c r="H627" s="34"/>
      <c r="I627" s="37"/>
    </row>
    <row r="628" ht="22.5" customHeight="1">
      <c r="A628" s="30"/>
      <c r="B628" s="31"/>
      <c r="C628" s="32"/>
      <c r="D628" s="33"/>
      <c r="E628" s="34"/>
      <c r="F628" s="34"/>
      <c r="G628" s="35"/>
      <c r="H628" s="34"/>
      <c r="I628" s="37"/>
    </row>
    <row r="629" ht="22.5" customHeight="1">
      <c r="A629" s="30"/>
      <c r="B629" s="31"/>
      <c r="C629" s="32"/>
      <c r="D629" s="33"/>
      <c r="E629" s="34"/>
      <c r="F629" s="34"/>
      <c r="G629" s="35"/>
      <c r="H629" s="34"/>
      <c r="I629" s="37"/>
    </row>
    <row r="630" ht="22.5" customHeight="1">
      <c r="A630" s="30"/>
      <c r="B630" s="31"/>
      <c r="C630" s="32"/>
      <c r="D630" s="33"/>
      <c r="E630" s="34"/>
      <c r="F630" s="34"/>
      <c r="G630" s="35"/>
      <c r="H630" s="34"/>
      <c r="I630" s="37"/>
    </row>
    <row r="631" ht="22.5" customHeight="1">
      <c r="A631" s="30"/>
      <c r="B631" s="31"/>
      <c r="C631" s="32"/>
      <c r="D631" s="33"/>
      <c r="E631" s="34"/>
      <c r="F631" s="34"/>
      <c r="G631" s="35"/>
      <c r="H631" s="34"/>
      <c r="I631" s="37"/>
    </row>
    <row r="632" ht="22.5" customHeight="1">
      <c r="A632" s="30"/>
      <c r="B632" s="31"/>
      <c r="C632" s="32"/>
      <c r="D632" s="33"/>
      <c r="E632" s="34"/>
      <c r="F632" s="34"/>
      <c r="G632" s="35"/>
      <c r="H632" s="34"/>
      <c r="I632" s="37"/>
    </row>
    <row r="633" ht="22.5" customHeight="1">
      <c r="A633" s="30"/>
      <c r="B633" s="31"/>
      <c r="C633" s="32"/>
      <c r="D633" s="33"/>
      <c r="E633" s="34"/>
      <c r="F633" s="34"/>
      <c r="G633" s="35"/>
      <c r="H633" s="34"/>
      <c r="I633" s="37"/>
    </row>
    <row r="634" ht="22.5" customHeight="1">
      <c r="A634" s="30"/>
      <c r="B634" s="40"/>
      <c r="C634" s="32"/>
      <c r="D634" s="33"/>
      <c r="E634" s="34"/>
      <c r="F634" s="34"/>
      <c r="G634" s="35"/>
      <c r="H634" s="34"/>
      <c r="I634" s="37"/>
    </row>
    <row r="635" ht="22.5" customHeight="1">
      <c r="A635" s="30"/>
      <c r="B635" s="31"/>
      <c r="C635" s="32"/>
      <c r="D635" s="33"/>
      <c r="E635" s="34"/>
      <c r="F635" s="34"/>
      <c r="G635" s="35"/>
      <c r="H635" s="34"/>
      <c r="I635" s="37"/>
    </row>
    <row r="636" ht="22.5" customHeight="1">
      <c r="A636" s="30"/>
      <c r="B636" s="31"/>
      <c r="C636" s="32"/>
      <c r="D636" s="33"/>
      <c r="E636" s="34"/>
      <c r="F636" s="34"/>
      <c r="G636" s="35"/>
      <c r="H636" s="34"/>
      <c r="I636" s="37"/>
    </row>
    <row r="637" ht="22.5" customHeight="1">
      <c r="A637" s="30"/>
      <c r="B637" s="31"/>
      <c r="C637" s="32"/>
      <c r="D637" s="33"/>
      <c r="E637" s="34"/>
      <c r="F637" s="34"/>
      <c r="G637" s="35"/>
      <c r="H637" s="34"/>
      <c r="I637" s="37"/>
    </row>
    <row r="638" ht="22.5" customHeight="1">
      <c r="A638" s="30"/>
      <c r="B638" s="31"/>
      <c r="C638" s="32"/>
      <c r="D638" s="33"/>
      <c r="E638" s="34"/>
      <c r="F638" s="34"/>
      <c r="G638" s="35"/>
      <c r="H638" s="34"/>
      <c r="I638" s="38"/>
    </row>
    <row r="639" ht="22.5" customHeight="1">
      <c r="A639" s="30"/>
      <c r="B639" s="39"/>
      <c r="C639" s="32"/>
      <c r="D639" s="33"/>
      <c r="E639" s="34"/>
      <c r="F639" s="34"/>
      <c r="G639" s="35"/>
      <c r="H639" s="34"/>
      <c r="I639" s="37"/>
    </row>
    <row r="640" ht="22.5" customHeight="1">
      <c r="A640" s="30"/>
      <c r="B640" s="31"/>
      <c r="C640" s="32"/>
      <c r="D640" s="33"/>
      <c r="E640" s="34"/>
      <c r="F640" s="34"/>
      <c r="G640" s="35"/>
      <c r="H640" s="34"/>
      <c r="I640" s="37"/>
    </row>
    <row r="641" ht="22.5" customHeight="1">
      <c r="A641" s="30"/>
      <c r="B641" s="31"/>
      <c r="C641" s="32"/>
      <c r="D641" s="33"/>
      <c r="E641" s="34"/>
      <c r="F641" s="34"/>
      <c r="G641" s="35"/>
      <c r="H641" s="34"/>
      <c r="I641" s="37"/>
    </row>
    <row r="642" ht="22.5" customHeight="1">
      <c r="A642" s="30"/>
      <c r="B642" s="31"/>
      <c r="C642" s="32"/>
      <c r="D642" s="33"/>
      <c r="E642" s="34"/>
      <c r="F642" s="34"/>
      <c r="G642" s="35"/>
      <c r="H642" s="34"/>
      <c r="I642" s="37"/>
    </row>
    <row r="643" ht="22.5" customHeight="1">
      <c r="A643" s="30"/>
      <c r="B643" s="39"/>
      <c r="C643" s="32"/>
      <c r="D643" s="33"/>
      <c r="E643" s="34"/>
      <c r="F643" s="34"/>
      <c r="G643" s="35"/>
      <c r="H643" s="34"/>
      <c r="I643" s="37"/>
    </row>
    <row r="644" ht="22.5" customHeight="1">
      <c r="A644" s="30"/>
      <c r="B644" s="31"/>
      <c r="C644" s="32"/>
      <c r="D644" s="33"/>
      <c r="E644" s="34"/>
      <c r="F644" s="34"/>
      <c r="G644" s="35"/>
      <c r="H644" s="34"/>
      <c r="I644" s="37"/>
    </row>
    <row r="645" ht="22.5" customHeight="1">
      <c r="A645" s="30"/>
      <c r="B645" s="39"/>
      <c r="C645" s="32"/>
      <c r="D645" s="33"/>
      <c r="E645" s="34"/>
      <c r="F645" s="34"/>
      <c r="G645" s="35"/>
      <c r="H645" s="34"/>
      <c r="I645" s="37"/>
    </row>
    <row r="646" ht="22.5" customHeight="1">
      <c r="A646" s="30"/>
      <c r="B646" s="31"/>
      <c r="C646" s="32"/>
      <c r="D646" s="33"/>
      <c r="E646" s="34"/>
      <c r="F646" s="34"/>
      <c r="G646" s="35"/>
      <c r="H646" s="34"/>
      <c r="I646" s="37"/>
    </row>
    <row r="647" ht="22.5" customHeight="1">
      <c r="A647" s="30"/>
      <c r="B647" s="31"/>
      <c r="C647" s="32"/>
      <c r="D647" s="33"/>
      <c r="E647" s="34"/>
      <c r="F647" s="34"/>
      <c r="G647" s="35"/>
      <c r="H647" s="34"/>
      <c r="I647" s="37"/>
    </row>
    <row r="648" ht="22.5" customHeight="1">
      <c r="A648" s="30"/>
      <c r="B648" s="31"/>
      <c r="C648" s="32"/>
      <c r="D648" s="33"/>
      <c r="E648" s="34"/>
      <c r="F648" s="34"/>
      <c r="G648" s="35"/>
      <c r="H648" s="34"/>
      <c r="I648" s="37"/>
    </row>
    <row r="649" ht="22.5" customHeight="1">
      <c r="A649" s="30"/>
      <c r="B649" s="31"/>
      <c r="C649" s="32"/>
      <c r="D649" s="33"/>
      <c r="E649" s="34"/>
      <c r="F649" s="34"/>
      <c r="G649" s="35"/>
      <c r="H649" s="34"/>
      <c r="I649" s="37"/>
    </row>
    <row r="650" ht="22.5" customHeight="1">
      <c r="A650" s="30"/>
      <c r="B650" s="31"/>
      <c r="C650" s="32"/>
      <c r="D650" s="33"/>
      <c r="E650" s="34"/>
      <c r="F650" s="34"/>
      <c r="G650" s="35"/>
      <c r="H650" s="34"/>
      <c r="I650" s="37"/>
    </row>
    <row r="651" ht="22.5" customHeight="1">
      <c r="A651" s="30"/>
      <c r="B651" s="31"/>
      <c r="C651" s="32"/>
      <c r="D651" s="33"/>
      <c r="E651" s="34"/>
      <c r="F651" s="34"/>
      <c r="G651" s="35"/>
      <c r="H651" s="34"/>
      <c r="I651" s="37"/>
    </row>
    <row r="652" ht="22.5" customHeight="1">
      <c r="A652" s="30"/>
      <c r="B652" s="31"/>
      <c r="C652" s="32"/>
      <c r="D652" s="33"/>
      <c r="E652" s="34"/>
      <c r="F652" s="34"/>
      <c r="G652" s="35"/>
      <c r="H652" s="34"/>
      <c r="I652" s="37"/>
    </row>
    <row r="653" ht="22.5" customHeight="1">
      <c r="A653" s="30"/>
      <c r="B653" s="31"/>
      <c r="C653" s="32"/>
      <c r="D653" s="33"/>
      <c r="E653" s="34"/>
      <c r="F653" s="34"/>
      <c r="G653" s="35"/>
      <c r="H653" s="34"/>
      <c r="I653" s="37"/>
    </row>
    <row r="654" ht="22.5" customHeight="1">
      <c r="A654" s="30"/>
      <c r="B654" s="31"/>
      <c r="C654" s="32"/>
      <c r="D654" s="33"/>
      <c r="E654" s="34"/>
      <c r="F654" s="34"/>
      <c r="G654" s="35"/>
      <c r="H654" s="34"/>
      <c r="I654" s="37"/>
    </row>
    <row r="655" ht="22.5" customHeight="1">
      <c r="A655" s="30"/>
      <c r="B655" s="31"/>
      <c r="C655" s="32"/>
      <c r="D655" s="33"/>
      <c r="E655" s="34"/>
      <c r="F655" s="34"/>
      <c r="G655" s="35"/>
      <c r="H655" s="34"/>
      <c r="I655" s="37"/>
    </row>
    <row r="656" ht="22.5" customHeight="1">
      <c r="A656" s="30"/>
      <c r="B656" s="40"/>
      <c r="C656" s="32"/>
      <c r="D656" s="33"/>
      <c r="E656" s="34"/>
      <c r="F656" s="34"/>
      <c r="G656" s="35"/>
      <c r="H656" s="34"/>
      <c r="I656" s="37"/>
    </row>
    <row r="657" ht="22.5" customHeight="1">
      <c r="A657" s="30"/>
      <c r="B657" s="31"/>
      <c r="C657" s="32"/>
      <c r="D657" s="33"/>
      <c r="E657" s="34"/>
      <c r="F657" s="34"/>
      <c r="G657" s="35"/>
      <c r="H657" s="34"/>
      <c r="I657" s="37"/>
    </row>
    <row r="658" ht="22.5" customHeight="1">
      <c r="A658" s="30"/>
      <c r="B658" s="31"/>
      <c r="C658" s="32"/>
      <c r="D658" s="33"/>
      <c r="E658" s="34"/>
      <c r="F658" s="34"/>
      <c r="G658" s="35"/>
      <c r="H658" s="34"/>
      <c r="I658" s="37"/>
    </row>
    <row r="659" ht="22.5" customHeight="1">
      <c r="A659" s="30"/>
      <c r="B659" s="31"/>
      <c r="C659" s="32"/>
      <c r="D659" s="33"/>
      <c r="E659" s="34"/>
      <c r="F659" s="34"/>
      <c r="G659" s="35"/>
      <c r="H659" s="34"/>
      <c r="I659" s="37"/>
    </row>
    <row r="660" ht="22.5" customHeight="1">
      <c r="A660" s="30"/>
      <c r="B660" s="31"/>
      <c r="C660" s="32"/>
      <c r="D660" s="33"/>
      <c r="E660" s="34"/>
      <c r="F660" s="34"/>
      <c r="G660" s="35"/>
      <c r="H660" s="34"/>
      <c r="I660" s="37"/>
    </row>
    <row r="661" ht="22.5" customHeight="1">
      <c r="A661" s="30"/>
      <c r="B661" s="31"/>
      <c r="C661" s="32"/>
      <c r="D661" s="33"/>
      <c r="E661" s="34"/>
      <c r="F661" s="34"/>
      <c r="G661" s="35"/>
      <c r="H661" s="34"/>
      <c r="I661" s="37"/>
    </row>
    <row r="662" ht="22.5" customHeight="1">
      <c r="A662" s="30"/>
      <c r="B662" s="31"/>
      <c r="C662" s="32"/>
      <c r="D662" s="33"/>
      <c r="E662" s="34"/>
      <c r="F662" s="34"/>
      <c r="G662" s="35"/>
      <c r="H662" s="34"/>
      <c r="I662" s="37"/>
    </row>
    <row r="663" ht="22.5" customHeight="1">
      <c r="A663" s="30"/>
      <c r="B663" s="39"/>
      <c r="C663" s="32"/>
      <c r="D663" s="33"/>
      <c r="E663" s="34"/>
      <c r="F663" s="34"/>
      <c r="G663" s="35"/>
      <c r="H663" s="34"/>
      <c r="I663" s="37"/>
    </row>
    <row r="664" ht="22.5" customHeight="1">
      <c r="A664" s="30"/>
      <c r="B664" s="39"/>
      <c r="C664" s="32"/>
      <c r="D664" s="33"/>
      <c r="E664" s="34"/>
      <c r="F664" s="34"/>
      <c r="G664" s="35"/>
      <c r="H664" s="34"/>
      <c r="I664" s="37"/>
    </row>
    <row r="665" ht="22.5" customHeight="1">
      <c r="A665" s="30"/>
      <c r="B665" s="39"/>
      <c r="C665" s="32"/>
      <c r="D665" s="33"/>
      <c r="E665" s="34"/>
      <c r="F665" s="34"/>
      <c r="G665" s="35"/>
      <c r="H665" s="34"/>
      <c r="I665" s="37"/>
    </row>
    <row r="666" ht="22.5" customHeight="1">
      <c r="A666" s="30"/>
      <c r="B666" s="40"/>
      <c r="C666" s="32"/>
      <c r="D666" s="33"/>
      <c r="E666" s="34"/>
      <c r="F666" s="34"/>
      <c r="G666" s="35"/>
      <c r="H666" s="34"/>
      <c r="I666" s="37"/>
    </row>
    <row r="667" ht="22.5" customHeight="1">
      <c r="A667" s="30"/>
      <c r="B667" s="31"/>
      <c r="C667" s="32"/>
      <c r="D667" s="33"/>
      <c r="E667" s="34"/>
      <c r="F667" s="34"/>
      <c r="G667" s="35"/>
      <c r="H667" s="34"/>
      <c r="I667" s="37"/>
    </row>
    <row r="668" ht="22.5" customHeight="1">
      <c r="A668" s="30"/>
      <c r="B668" s="31"/>
      <c r="C668" s="32"/>
      <c r="D668" s="33"/>
      <c r="E668" s="34"/>
      <c r="F668" s="34"/>
      <c r="G668" s="35"/>
      <c r="H668" s="34"/>
      <c r="I668" s="37"/>
    </row>
    <row r="669" ht="22.5" customHeight="1">
      <c r="A669" s="30"/>
      <c r="B669" s="31"/>
      <c r="C669" s="32"/>
      <c r="D669" s="33"/>
      <c r="E669" s="34"/>
      <c r="F669" s="34"/>
      <c r="G669" s="35"/>
      <c r="H669" s="34"/>
      <c r="I669" s="37"/>
    </row>
    <row r="670" ht="22.5" customHeight="1">
      <c r="A670" s="30"/>
      <c r="B670" s="31"/>
      <c r="C670" s="32"/>
      <c r="D670" s="33"/>
      <c r="E670" s="34"/>
      <c r="F670" s="34"/>
      <c r="G670" s="35"/>
      <c r="H670" s="34"/>
      <c r="I670" s="37"/>
    </row>
    <row r="671" ht="22.5" customHeight="1">
      <c r="A671" s="30"/>
      <c r="B671" s="31"/>
      <c r="C671" s="32"/>
      <c r="D671" s="33"/>
      <c r="E671" s="34"/>
      <c r="F671" s="34"/>
      <c r="G671" s="35"/>
      <c r="H671" s="34"/>
      <c r="I671" s="37"/>
    </row>
    <row r="672" ht="22.5" customHeight="1">
      <c r="A672" s="30"/>
      <c r="B672" s="31"/>
      <c r="C672" s="32"/>
      <c r="D672" s="33"/>
      <c r="E672" s="34"/>
      <c r="F672" s="34"/>
      <c r="G672" s="35"/>
      <c r="H672" s="34"/>
      <c r="I672" s="37"/>
    </row>
    <row r="673" ht="22.5" customHeight="1">
      <c r="A673" s="30"/>
      <c r="B673" s="31"/>
      <c r="C673" s="32"/>
      <c r="D673" s="33"/>
      <c r="E673" s="34"/>
      <c r="F673" s="34"/>
      <c r="G673" s="35"/>
      <c r="H673" s="34"/>
      <c r="I673" s="37"/>
    </row>
    <row r="674" ht="22.5" customHeight="1">
      <c r="A674" s="30"/>
      <c r="B674" s="31"/>
      <c r="C674" s="32"/>
      <c r="D674" s="33"/>
      <c r="E674" s="34"/>
      <c r="F674" s="34"/>
      <c r="G674" s="35"/>
      <c r="H674" s="34"/>
      <c r="I674" s="37"/>
    </row>
    <row r="675" ht="22.5" customHeight="1">
      <c r="A675" s="30"/>
      <c r="B675" s="31"/>
      <c r="C675" s="32"/>
      <c r="D675" s="33"/>
      <c r="E675" s="34"/>
      <c r="F675" s="34"/>
      <c r="G675" s="35"/>
      <c r="H675" s="34"/>
      <c r="I675" s="37"/>
    </row>
    <row r="676" ht="22.5" customHeight="1">
      <c r="A676" s="30"/>
      <c r="B676" s="40"/>
      <c r="C676" s="32"/>
      <c r="D676" s="33"/>
      <c r="E676" s="34"/>
      <c r="F676" s="34"/>
      <c r="G676" s="35"/>
      <c r="H676" s="34"/>
      <c r="I676" s="37"/>
    </row>
    <row r="677" ht="22.5" customHeight="1">
      <c r="A677" s="30"/>
      <c r="B677" s="31"/>
      <c r="C677" s="32"/>
      <c r="D677" s="33"/>
      <c r="E677" s="34"/>
      <c r="F677" s="34"/>
      <c r="G677" s="35"/>
      <c r="H677" s="34"/>
      <c r="I677" s="37"/>
    </row>
    <row r="678" ht="22.5" customHeight="1">
      <c r="A678" s="30"/>
      <c r="B678" s="31"/>
      <c r="C678" s="32"/>
      <c r="D678" s="33"/>
      <c r="E678" s="34"/>
      <c r="F678" s="34"/>
      <c r="G678" s="35"/>
      <c r="H678" s="34"/>
      <c r="I678" s="37"/>
    </row>
    <row r="679" ht="22.5" customHeight="1">
      <c r="A679" s="30"/>
      <c r="B679" s="31"/>
      <c r="C679" s="32"/>
      <c r="D679" s="33"/>
      <c r="E679" s="34"/>
      <c r="F679" s="34"/>
      <c r="G679" s="35"/>
      <c r="H679" s="34"/>
      <c r="I679" s="37"/>
    </row>
    <row r="680" ht="22.5" customHeight="1">
      <c r="A680" s="30"/>
      <c r="B680" s="40"/>
      <c r="C680" s="32"/>
      <c r="D680" s="33"/>
      <c r="E680" s="34"/>
      <c r="F680" s="34"/>
      <c r="G680" s="35"/>
      <c r="H680" s="34"/>
      <c r="I680" s="37"/>
    </row>
    <row r="681" ht="22.5" customHeight="1">
      <c r="A681" s="30"/>
      <c r="B681" s="31"/>
      <c r="C681" s="32"/>
      <c r="D681" s="33"/>
      <c r="E681" s="34"/>
      <c r="F681" s="34"/>
      <c r="G681" s="35"/>
      <c r="H681" s="34"/>
      <c r="I681" s="37"/>
    </row>
    <row r="682" ht="22.5" customHeight="1">
      <c r="A682" s="30"/>
      <c r="B682" s="31"/>
      <c r="C682" s="32"/>
      <c r="D682" s="33"/>
      <c r="E682" s="34"/>
      <c r="F682" s="34"/>
      <c r="G682" s="35"/>
      <c r="H682" s="34"/>
      <c r="I682" s="37"/>
    </row>
    <row r="683" ht="22.5" customHeight="1">
      <c r="A683" s="30"/>
      <c r="B683" s="31"/>
      <c r="C683" s="32"/>
      <c r="D683" s="33"/>
      <c r="E683" s="34"/>
      <c r="F683" s="34"/>
      <c r="G683" s="35"/>
      <c r="H683" s="34"/>
      <c r="I683" s="37"/>
    </row>
    <row r="684" ht="22.5" customHeight="1">
      <c r="A684" s="30"/>
      <c r="B684" s="31"/>
      <c r="C684" s="32"/>
      <c r="D684" s="33"/>
      <c r="E684" s="34"/>
      <c r="F684" s="34"/>
      <c r="G684" s="35"/>
      <c r="H684" s="34"/>
      <c r="I684" s="37"/>
    </row>
    <row r="685" ht="22.5" customHeight="1">
      <c r="A685" s="30"/>
      <c r="B685" s="31"/>
      <c r="C685" s="32"/>
      <c r="D685" s="33"/>
      <c r="E685" s="34"/>
      <c r="F685" s="34"/>
      <c r="G685" s="35"/>
      <c r="H685" s="34"/>
      <c r="I685" s="37"/>
    </row>
    <row r="686" ht="22.5" customHeight="1">
      <c r="A686" s="30"/>
      <c r="B686" s="31"/>
      <c r="C686" s="32"/>
      <c r="D686" s="33"/>
      <c r="E686" s="34"/>
      <c r="F686" s="34"/>
      <c r="G686" s="35"/>
      <c r="H686" s="34"/>
      <c r="I686" s="37"/>
    </row>
    <row r="687" ht="22.5" customHeight="1">
      <c r="A687" s="30"/>
      <c r="B687" s="31"/>
      <c r="C687" s="32"/>
      <c r="D687" s="33"/>
      <c r="E687" s="34"/>
      <c r="F687" s="34"/>
      <c r="G687" s="35"/>
      <c r="H687" s="34"/>
      <c r="I687" s="37"/>
    </row>
    <row r="688" ht="22.5" customHeight="1">
      <c r="A688" s="30"/>
      <c r="B688" s="31"/>
      <c r="C688" s="32"/>
      <c r="D688" s="33"/>
      <c r="E688" s="34"/>
      <c r="F688" s="34"/>
      <c r="G688" s="35"/>
      <c r="H688" s="34"/>
      <c r="I688" s="37"/>
    </row>
    <row r="689" ht="22.5" customHeight="1">
      <c r="A689" s="30"/>
      <c r="B689" s="31"/>
      <c r="C689" s="32"/>
      <c r="D689" s="33"/>
      <c r="E689" s="34"/>
      <c r="F689" s="34"/>
      <c r="G689" s="35"/>
      <c r="H689" s="34"/>
      <c r="I689" s="37"/>
    </row>
    <row r="690" ht="22.5" customHeight="1">
      <c r="A690" s="30"/>
      <c r="B690" s="31"/>
      <c r="C690" s="32"/>
      <c r="D690" s="33"/>
      <c r="E690" s="34"/>
      <c r="F690" s="34"/>
      <c r="G690" s="35"/>
      <c r="H690" s="34"/>
      <c r="I690" s="37"/>
    </row>
    <row r="691" ht="22.5" customHeight="1">
      <c r="A691" s="30"/>
      <c r="B691" s="31"/>
      <c r="C691" s="32"/>
      <c r="D691" s="33"/>
      <c r="E691" s="34"/>
      <c r="F691" s="34"/>
      <c r="G691" s="35"/>
      <c r="H691" s="34"/>
      <c r="I691" s="37"/>
    </row>
    <row r="692" ht="22.5" customHeight="1">
      <c r="A692" s="30"/>
      <c r="B692" s="31"/>
      <c r="C692" s="32"/>
      <c r="D692" s="33"/>
      <c r="E692" s="34"/>
      <c r="F692" s="34"/>
      <c r="G692" s="35"/>
      <c r="H692" s="34"/>
      <c r="I692" s="37"/>
    </row>
    <row r="693" ht="22.5" customHeight="1">
      <c r="A693" s="30"/>
      <c r="B693" s="31"/>
      <c r="C693" s="32"/>
      <c r="D693" s="33"/>
      <c r="E693" s="34"/>
      <c r="F693" s="34"/>
      <c r="G693" s="35"/>
      <c r="H693" s="34"/>
      <c r="I693" s="37"/>
    </row>
    <row r="694" ht="22.5" customHeight="1">
      <c r="A694" s="30"/>
      <c r="B694" s="31"/>
      <c r="C694" s="32"/>
      <c r="D694" s="33"/>
      <c r="E694" s="34"/>
      <c r="F694" s="34"/>
      <c r="G694" s="35"/>
      <c r="H694" s="34"/>
      <c r="I694" s="37"/>
    </row>
    <row r="695" ht="22.5" customHeight="1">
      <c r="A695" s="30"/>
      <c r="B695" s="40"/>
      <c r="C695" s="32"/>
      <c r="D695" s="33"/>
      <c r="E695" s="34"/>
      <c r="F695" s="34"/>
      <c r="G695" s="35"/>
      <c r="H695" s="34"/>
      <c r="I695" s="37"/>
    </row>
    <row r="696" ht="22.5" customHeight="1">
      <c r="A696" s="30"/>
      <c r="B696" s="31"/>
      <c r="C696" s="32"/>
      <c r="D696" s="33"/>
      <c r="E696" s="34"/>
      <c r="F696" s="34"/>
      <c r="G696" s="35"/>
      <c r="H696" s="34"/>
      <c r="I696" s="37"/>
    </row>
    <row r="697" ht="22.5" customHeight="1">
      <c r="A697" s="30"/>
      <c r="B697" s="40"/>
      <c r="C697" s="32"/>
      <c r="D697" s="33"/>
      <c r="E697" s="34"/>
      <c r="F697" s="34"/>
      <c r="G697" s="35"/>
      <c r="H697" s="34"/>
      <c r="I697" s="37"/>
    </row>
    <row r="698" ht="22.5" customHeight="1">
      <c r="A698" s="30"/>
      <c r="B698" s="31"/>
      <c r="C698" s="32"/>
      <c r="D698" s="33"/>
      <c r="E698" s="34"/>
      <c r="F698" s="34"/>
      <c r="G698" s="35"/>
      <c r="H698" s="34"/>
      <c r="I698" s="37"/>
    </row>
    <row r="699" ht="22.5" customHeight="1">
      <c r="A699" s="30"/>
      <c r="B699" s="31"/>
      <c r="C699" s="32"/>
      <c r="D699" s="33"/>
      <c r="E699" s="34"/>
      <c r="F699" s="34"/>
      <c r="G699" s="35"/>
      <c r="H699" s="34"/>
      <c r="I699" s="37"/>
    </row>
    <row r="700" ht="22.5" customHeight="1">
      <c r="A700" s="30"/>
      <c r="B700" s="31"/>
      <c r="C700" s="32"/>
      <c r="D700" s="33"/>
      <c r="E700" s="34"/>
      <c r="F700" s="34"/>
      <c r="G700" s="35"/>
      <c r="H700" s="34"/>
      <c r="I700" s="37"/>
    </row>
    <row r="701" ht="22.5" customHeight="1">
      <c r="A701" s="30"/>
      <c r="B701" s="31"/>
      <c r="C701" s="32"/>
      <c r="D701" s="33"/>
      <c r="E701" s="34"/>
      <c r="F701" s="34"/>
      <c r="G701" s="35"/>
      <c r="H701" s="34"/>
      <c r="I701" s="37"/>
    </row>
    <row r="702" ht="22.5" customHeight="1">
      <c r="A702" s="30"/>
      <c r="B702" s="40"/>
      <c r="C702" s="32"/>
      <c r="D702" s="33"/>
      <c r="E702" s="34"/>
      <c r="F702" s="34"/>
      <c r="G702" s="35"/>
      <c r="H702" s="34"/>
      <c r="I702" s="37"/>
    </row>
    <row r="703" ht="22.5" customHeight="1">
      <c r="A703" s="30"/>
      <c r="B703" s="31"/>
      <c r="C703" s="32"/>
      <c r="D703" s="33"/>
      <c r="E703" s="34"/>
      <c r="F703" s="34"/>
      <c r="G703" s="35"/>
      <c r="H703" s="34"/>
      <c r="I703" s="37"/>
    </row>
    <row r="704" ht="22.5" customHeight="1">
      <c r="A704" s="30"/>
      <c r="B704" s="31"/>
      <c r="C704" s="32"/>
      <c r="D704" s="33"/>
      <c r="E704" s="34"/>
      <c r="F704" s="34"/>
      <c r="G704" s="35"/>
      <c r="H704" s="34"/>
      <c r="I704" s="37"/>
    </row>
    <row r="705" ht="22.5" customHeight="1">
      <c r="A705" s="30"/>
      <c r="B705" s="31"/>
      <c r="C705" s="32"/>
      <c r="D705" s="33"/>
      <c r="E705" s="34"/>
      <c r="F705" s="34"/>
      <c r="G705" s="35"/>
      <c r="H705" s="34"/>
      <c r="I705" s="37"/>
    </row>
    <row r="706" ht="22.5" customHeight="1">
      <c r="A706" s="30"/>
      <c r="B706" s="31"/>
      <c r="C706" s="32"/>
      <c r="D706" s="33"/>
      <c r="E706" s="34"/>
      <c r="F706" s="34"/>
      <c r="G706" s="35"/>
      <c r="H706" s="34"/>
      <c r="I706" s="37"/>
    </row>
    <row r="707" ht="22.5" customHeight="1">
      <c r="A707" s="30"/>
      <c r="B707" s="31"/>
      <c r="C707" s="32"/>
      <c r="D707" s="33"/>
      <c r="E707" s="34"/>
      <c r="F707" s="34"/>
      <c r="G707" s="35"/>
      <c r="H707" s="34"/>
      <c r="I707" s="37"/>
    </row>
    <row r="708" ht="22.5" customHeight="1">
      <c r="A708" s="30"/>
      <c r="B708" s="31"/>
      <c r="C708" s="32"/>
      <c r="D708" s="33"/>
      <c r="E708" s="34"/>
      <c r="F708" s="34"/>
      <c r="G708" s="35"/>
      <c r="H708" s="34"/>
      <c r="I708" s="37"/>
    </row>
    <row r="709" ht="22.5" customHeight="1">
      <c r="A709" s="30"/>
      <c r="B709" s="31"/>
      <c r="C709" s="32"/>
      <c r="D709" s="33"/>
      <c r="E709" s="34"/>
      <c r="F709" s="34"/>
      <c r="G709" s="35"/>
      <c r="H709" s="34"/>
      <c r="I709" s="37"/>
    </row>
    <row r="710" ht="22.5" customHeight="1">
      <c r="A710" s="30"/>
      <c r="B710" s="31"/>
      <c r="C710" s="32"/>
      <c r="D710" s="33"/>
      <c r="E710" s="34"/>
      <c r="F710" s="34"/>
      <c r="G710" s="35"/>
      <c r="H710" s="34"/>
      <c r="I710" s="37"/>
    </row>
    <row r="711" ht="22.5" customHeight="1">
      <c r="A711" s="30"/>
      <c r="B711" s="31"/>
      <c r="C711" s="32"/>
      <c r="D711" s="33"/>
      <c r="E711" s="34"/>
      <c r="F711" s="34"/>
      <c r="G711" s="35"/>
      <c r="H711" s="34"/>
      <c r="I711" s="37"/>
    </row>
    <row r="712" ht="22.5" customHeight="1">
      <c r="A712" s="30"/>
      <c r="B712" s="31"/>
      <c r="C712" s="32"/>
      <c r="D712" s="33"/>
      <c r="E712" s="34"/>
      <c r="F712" s="34"/>
      <c r="G712" s="35"/>
      <c r="H712" s="34"/>
      <c r="I712" s="37"/>
    </row>
    <row r="713" ht="22.5" customHeight="1">
      <c r="A713" s="30"/>
      <c r="B713" s="31"/>
      <c r="C713" s="32"/>
      <c r="D713" s="33"/>
      <c r="E713" s="34"/>
      <c r="F713" s="34"/>
      <c r="G713" s="35"/>
      <c r="H713" s="34"/>
      <c r="I713" s="37"/>
    </row>
    <row r="714" ht="22.5" customHeight="1">
      <c r="A714" s="30"/>
      <c r="B714" s="31"/>
      <c r="C714" s="32"/>
      <c r="D714" s="33"/>
      <c r="E714" s="34"/>
      <c r="F714" s="34"/>
      <c r="G714" s="35"/>
      <c r="H714" s="34"/>
      <c r="I714" s="37"/>
    </row>
    <row r="715" ht="22.5" customHeight="1">
      <c r="A715" s="30"/>
      <c r="B715" s="31"/>
      <c r="C715" s="32"/>
      <c r="D715" s="33"/>
      <c r="E715" s="34"/>
      <c r="F715" s="34"/>
      <c r="G715" s="35"/>
      <c r="H715" s="34"/>
      <c r="I715" s="37"/>
    </row>
    <row r="716" ht="22.5" customHeight="1">
      <c r="A716" s="30"/>
      <c r="B716" s="31"/>
      <c r="C716" s="32"/>
      <c r="D716" s="33"/>
      <c r="E716" s="34"/>
      <c r="F716" s="34"/>
      <c r="G716" s="35"/>
      <c r="H716" s="34"/>
      <c r="I716" s="37"/>
    </row>
    <row r="717" ht="22.5" customHeight="1">
      <c r="A717" s="30"/>
      <c r="B717" s="31"/>
      <c r="C717" s="32"/>
      <c r="D717" s="33"/>
      <c r="E717" s="34"/>
      <c r="F717" s="34"/>
      <c r="G717" s="35"/>
      <c r="H717" s="34"/>
      <c r="I717" s="37"/>
    </row>
    <row r="718" ht="22.5" customHeight="1">
      <c r="A718" s="30"/>
      <c r="B718" s="31"/>
      <c r="C718" s="32"/>
      <c r="D718" s="33"/>
      <c r="E718" s="34"/>
      <c r="F718" s="34"/>
      <c r="G718" s="35"/>
      <c r="H718" s="34"/>
      <c r="I718" s="37"/>
    </row>
    <row r="719" ht="22.5" customHeight="1">
      <c r="A719" s="30"/>
      <c r="B719" s="31"/>
      <c r="C719" s="32"/>
      <c r="D719" s="33"/>
      <c r="E719" s="34"/>
      <c r="F719" s="34"/>
      <c r="G719" s="35"/>
      <c r="H719" s="34"/>
      <c r="I719" s="37"/>
    </row>
    <row r="720" ht="22.5" customHeight="1">
      <c r="A720" s="30"/>
      <c r="B720" s="31"/>
      <c r="C720" s="32"/>
      <c r="D720" s="33"/>
      <c r="E720" s="34"/>
      <c r="F720" s="34"/>
      <c r="G720" s="35"/>
      <c r="H720" s="34"/>
      <c r="I720" s="37"/>
    </row>
    <row r="721" ht="22.5" customHeight="1">
      <c r="A721" s="30"/>
      <c r="B721" s="31"/>
      <c r="C721" s="32"/>
      <c r="D721" s="33"/>
      <c r="E721" s="34"/>
      <c r="F721" s="34"/>
      <c r="G721" s="35"/>
      <c r="H721" s="34"/>
      <c r="I721" s="37"/>
    </row>
    <row r="722" ht="22.5" customHeight="1">
      <c r="A722" s="30"/>
      <c r="B722" s="31"/>
      <c r="C722" s="32"/>
      <c r="D722" s="33"/>
      <c r="E722" s="34"/>
      <c r="F722" s="34"/>
      <c r="G722" s="35"/>
      <c r="H722" s="34"/>
      <c r="I722" s="37"/>
    </row>
    <row r="723" ht="22.5" customHeight="1">
      <c r="A723" s="30"/>
      <c r="B723" s="31"/>
      <c r="C723" s="32"/>
      <c r="D723" s="33"/>
      <c r="E723" s="34"/>
      <c r="F723" s="34"/>
      <c r="G723" s="35"/>
      <c r="H723" s="34"/>
      <c r="I723" s="37"/>
    </row>
    <row r="724" ht="22.5" customHeight="1">
      <c r="A724" s="30"/>
      <c r="B724" s="40"/>
      <c r="C724" s="32"/>
      <c r="D724" s="33"/>
      <c r="E724" s="34"/>
      <c r="F724" s="34"/>
      <c r="G724" s="35"/>
      <c r="H724" s="34"/>
      <c r="I724" s="37"/>
    </row>
    <row r="725" ht="22.5" customHeight="1">
      <c r="A725" s="30"/>
      <c r="B725" s="31"/>
      <c r="C725" s="32"/>
      <c r="D725" s="33"/>
      <c r="E725" s="34"/>
      <c r="F725" s="34"/>
      <c r="G725" s="35"/>
      <c r="H725" s="34"/>
      <c r="I725" s="37"/>
    </row>
    <row r="726" ht="22.5" customHeight="1">
      <c r="A726" s="30"/>
      <c r="B726" s="31"/>
      <c r="C726" s="32"/>
      <c r="D726" s="33"/>
      <c r="E726" s="34"/>
      <c r="F726" s="34"/>
      <c r="G726" s="35"/>
      <c r="H726" s="34"/>
      <c r="I726" s="37"/>
    </row>
    <row r="727" ht="22.5" customHeight="1">
      <c r="A727" s="30"/>
      <c r="B727" s="31"/>
      <c r="C727" s="32"/>
      <c r="D727" s="33"/>
      <c r="E727" s="34"/>
      <c r="F727" s="34"/>
      <c r="G727" s="35"/>
      <c r="H727" s="34"/>
      <c r="I727" s="37"/>
    </row>
    <row r="728" ht="22.5" customHeight="1">
      <c r="A728" s="30"/>
      <c r="B728" s="31"/>
      <c r="C728" s="32"/>
      <c r="D728" s="33"/>
      <c r="E728" s="34"/>
      <c r="F728" s="34"/>
      <c r="G728" s="35"/>
      <c r="H728" s="34"/>
      <c r="I728" s="38"/>
    </row>
    <row r="729" ht="22.5" customHeight="1">
      <c r="A729" s="30"/>
      <c r="B729" s="39"/>
      <c r="C729" s="32"/>
      <c r="D729" s="33"/>
      <c r="E729" s="34"/>
      <c r="F729" s="34"/>
      <c r="G729" s="35"/>
      <c r="H729" s="34"/>
      <c r="I729" s="37"/>
    </row>
    <row r="730" ht="22.5" customHeight="1">
      <c r="A730" s="30"/>
      <c r="B730" s="31"/>
      <c r="C730" s="32"/>
      <c r="D730" s="33"/>
      <c r="E730" s="34"/>
      <c r="F730" s="34"/>
      <c r="G730" s="35"/>
      <c r="H730" s="34"/>
      <c r="I730" s="37"/>
    </row>
    <row r="731" ht="22.5" customHeight="1">
      <c r="A731" s="30"/>
      <c r="B731" s="31"/>
      <c r="C731" s="32"/>
      <c r="D731" s="33"/>
      <c r="E731" s="34"/>
      <c r="F731" s="34"/>
      <c r="G731" s="35"/>
      <c r="H731" s="34"/>
      <c r="I731" s="37"/>
    </row>
    <row r="732" ht="22.5" customHeight="1">
      <c r="A732" s="30"/>
      <c r="B732" s="31"/>
      <c r="C732" s="32"/>
      <c r="D732" s="33"/>
      <c r="E732" s="34"/>
      <c r="F732" s="34"/>
      <c r="G732" s="35"/>
      <c r="H732" s="34"/>
      <c r="I732" s="37"/>
    </row>
    <row r="733" ht="22.5" customHeight="1">
      <c r="A733" s="30"/>
      <c r="B733" s="39"/>
      <c r="C733" s="32"/>
      <c r="D733" s="33"/>
      <c r="E733" s="34"/>
      <c r="F733" s="34"/>
      <c r="G733" s="35"/>
      <c r="H733" s="34"/>
      <c r="I733" s="37"/>
    </row>
    <row r="734" ht="22.5" customHeight="1">
      <c r="A734" s="30"/>
      <c r="B734" s="31"/>
      <c r="C734" s="32"/>
      <c r="D734" s="33"/>
      <c r="E734" s="34"/>
      <c r="F734" s="34"/>
      <c r="G734" s="35"/>
      <c r="H734" s="34"/>
      <c r="I734" s="37"/>
    </row>
    <row r="735" ht="22.5" customHeight="1">
      <c r="A735" s="30"/>
      <c r="B735" s="39"/>
      <c r="C735" s="32"/>
      <c r="D735" s="33"/>
      <c r="E735" s="34"/>
      <c r="F735" s="34"/>
      <c r="G735" s="35"/>
      <c r="H735" s="34"/>
      <c r="I735" s="37"/>
    </row>
    <row r="736" ht="22.5" customHeight="1">
      <c r="A736" s="30"/>
      <c r="B736" s="31"/>
      <c r="C736" s="32"/>
      <c r="D736" s="33"/>
      <c r="E736" s="34"/>
      <c r="F736" s="34"/>
      <c r="G736" s="35"/>
      <c r="H736" s="34"/>
      <c r="I736" s="37"/>
    </row>
    <row r="737" ht="22.5" customHeight="1">
      <c r="A737" s="30"/>
      <c r="B737" s="31"/>
      <c r="C737" s="32"/>
      <c r="D737" s="33"/>
      <c r="E737" s="34"/>
      <c r="F737" s="34"/>
      <c r="G737" s="35"/>
      <c r="H737" s="34"/>
      <c r="I737" s="37"/>
    </row>
    <row r="738" ht="22.5" customHeight="1">
      <c r="A738" s="30"/>
      <c r="B738" s="31"/>
      <c r="C738" s="32"/>
      <c r="D738" s="33"/>
      <c r="E738" s="34"/>
      <c r="F738" s="34"/>
      <c r="G738" s="35"/>
      <c r="H738" s="34"/>
      <c r="I738" s="37"/>
    </row>
    <row r="739" ht="22.5" customHeight="1">
      <c r="A739" s="30"/>
      <c r="B739" s="31"/>
      <c r="C739" s="32"/>
      <c r="D739" s="33"/>
      <c r="E739" s="34"/>
      <c r="F739" s="34"/>
      <c r="G739" s="35"/>
      <c r="H739" s="34"/>
      <c r="I739" s="37"/>
    </row>
    <row r="740" ht="22.5" customHeight="1">
      <c r="A740" s="30"/>
      <c r="B740" s="31"/>
      <c r="C740" s="32"/>
      <c r="D740" s="33"/>
      <c r="E740" s="34"/>
      <c r="F740" s="34"/>
      <c r="G740" s="35"/>
      <c r="H740" s="34"/>
      <c r="I740" s="37"/>
    </row>
    <row r="741" ht="22.5" customHeight="1">
      <c r="A741" s="30"/>
      <c r="B741" s="31"/>
      <c r="C741" s="32"/>
      <c r="D741" s="33"/>
      <c r="E741" s="34"/>
      <c r="F741" s="34"/>
      <c r="G741" s="35"/>
      <c r="H741" s="34"/>
      <c r="I741" s="37"/>
    </row>
    <row r="742" ht="22.5" customHeight="1">
      <c r="A742" s="30"/>
      <c r="B742" s="31"/>
      <c r="C742" s="32"/>
      <c r="D742" s="33"/>
      <c r="E742" s="34"/>
      <c r="F742" s="34"/>
      <c r="G742" s="35"/>
      <c r="H742" s="34"/>
      <c r="I742" s="37"/>
    </row>
    <row r="743" ht="22.5" customHeight="1">
      <c r="A743" s="30"/>
      <c r="B743" s="31"/>
      <c r="C743" s="32"/>
      <c r="D743" s="33"/>
      <c r="E743" s="34"/>
      <c r="F743" s="34"/>
      <c r="G743" s="35"/>
      <c r="H743" s="34"/>
      <c r="I743" s="37"/>
    </row>
    <row r="744" ht="22.5" customHeight="1">
      <c r="A744" s="30"/>
      <c r="B744" s="31"/>
      <c r="C744" s="32"/>
      <c r="D744" s="33"/>
      <c r="E744" s="34"/>
      <c r="F744" s="34"/>
      <c r="G744" s="35"/>
      <c r="H744" s="34"/>
      <c r="I744" s="37"/>
    </row>
    <row r="745" ht="22.5" customHeight="1">
      <c r="A745" s="30"/>
      <c r="B745" s="31"/>
      <c r="C745" s="32"/>
      <c r="D745" s="33"/>
      <c r="E745" s="34"/>
      <c r="F745" s="34"/>
      <c r="G745" s="35"/>
      <c r="H745" s="34"/>
      <c r="I745" s="37"/>
    </row>
    <row r="746" ht="22.5" customHeight="1">
      <c r="A746" s="30"/>
      <c r="B746" s="40"/>
      <c r="C746" s="32"/>
      <c r="D746" s="33"/>
      <c r="E746" s="34"/>
      <c r="F746" s="34"/>
      <c r="G746" s="35"/>
      <c r="H746" s="34"/>
      <c r="I746" s="37"/>
    </row>
    <row r="747" ht="22.5" customHeight="1">
      <c r="A747" s="30"/>
      <c r="B747" s="31"/>
      <c r="C747" s="32"/>
      <c r="D747" s="33"/>
      <c r="E747" s="34"/>
      <c r="F747" s="34"/>
      <c r="G747" s="35"/>
      <c r="H747" s="34"/>
      <c r="I747" s="37"/>
    </row>
    <row r="748" ht="22.5" customHeight="1">
      <c r="A748" s="30"/>
      <c r="B748" s="31"/>
      <c r="C748" s="32"/>
      <c r="D748" s="33"/>
      <c r="E748" s="34"/>
      <c r="F748" s="34"/>
      <c r="G748" s="35"/>
      <c r="H748" s="34"/>
      <c r="I748" s="37"/>
    </row>
    <row r="749" ht="22.5" customHeight="1">
      <c r="A749" s="30"/>
      <c r="B749" s="31"/>
      <c r="C749" s="32"/>
      <c r="D749" s="33"/>
      <c r="E749" s="34"/>
      <c r="F749" s="34"/>
      <c r="G749" s="35"/>
      <c r="H749" s="34"/>
      <c r="I749" s="37"/>
    </row>
    <row r="750" ht="22.5" customHeight="1">
      <c r="A750" s="30"/>
      <c r="B750" s="31"/>
      <c r="C750" s="32"/>
      <c r="D750" s="33"/>
      <c r="E750" s="34"/>
      <c r="F750" s="34"/>
      <c r="G750" s="35"/>
      <c r="H750" s="34"/>
      <c r="I750" s="37"/>
    </row>
    <row r="751" ht="22.5" customHeight="1">
      <c r="A751" s="30"/>
      <c r="B751" s="31"/>
      <c r="C751" s="32"/>
      <c r="D751" s="33"/>
      <c r="E751" s="34"/>
      <c r="F751" s="34"/>
      <c r="G751" s="35"/>
      <c r="H751" s="34"/>
      <c r="I751" s="37"/>
    </row>
    <row r="752" ht="22.5" customHeight="1">
      <c r="A752" s="30"/>
      <c r="B752" s="31"/>
      <c r="C752" s="32"/>
      <c r="D752" s="33"/>
      <c r="E752" s="34"/>
      <c r="F752" s="34"/>
      <c r="G752" s="35"/>
      <c r="H752" s="34"/>
      <c r="I752" s="37"/>
    </row>
    <row r="753" ht="22.5" customHeight="1">
      <c r="A753" s="30"/>
      <c r="B753" s="39"/>
      <c r="C753" s="32"/>
      <c r="D753" s="33"/>
      <c r="E753" s="34"/>
      <c r="F753" s="34"/>
      <c r="G753" s="35"/>
      <c r="H753" s="34"/>
      <c r="I753" s="37"/>
    </row>
    <row r="754" ht="22.5" customHeight="1">
      <c r="A754" s="30"/>
      <c r="B754" s="39"/>
      <c r="C754" s="32"/>
      <c r="D754" s="33"/>
      <c r="E754" s="34"/>
      <c r="F754" s="34"/>
      <c r="G754" s="35"/>
      <c r="H754" s="34"/>
      <c r="I754" s="37"/>
    </row>
    <row r="755" ht="22.5" customHeight="1">
      <c r="A755" s="30"/>
      <c r="B755" s="39"/>
      <c r="C755" s="32"/>
      <c r="D755" s="33"/>
      <c r="E755" s="34"/>
      <c r="F755" s="34"/>
      <c r="G755" s="35"/>
      <c r="H755" s="34"/>
      <c r="I755" s="37"/>
    </row>
    <row r="756" ht="22.5" customHeight="1">
      <c r="A756" s="30"/>
      <c r="B756" s="40"/>
      <c r="C756" s="32"/>
      <c r="D756" s="33"/>
      <c r="E756" s="34"/>
      <c r="F756" s="34"/>
      <c r="G756" s="35"/>
      <c r="H756" s="34"/>
      <c r="I756" s="37"/>
    </row>
    <row r="757" ht="22.5" customHeight="1">
      <c r="A757" s="30"/>
      <c r="B757" s="31"/>
      <c r="C757" s="32"/>
      <c r="D757" s="33"/>
      <c r="E757" s="34"/>
      <c r="F757" s="34"/>
      <c r="G757" s="35"/>
      <c r="H757" s="34"/>
      <c r="I757" s="37"/>
    </row>
    <row r="758" ht="22.5" customHeight="1">
      <c r="A758" s="30"/>
      <c r="B758" s="31"/>
      <c r="C758" s="32"/>
      <c r="D758" s="33"/>
      <c r="E758" s="34"/>
      <c r="F758" s="34"/>
      <c r="G758" s="35"/>
      <c r="H758" s="34"/>
      <c r="I758" s="37"/>
    </row>
    <row r="759" ht="22.5" customHeight="1">
      <c r="A759" s="30"/>
      <c r="B759" s="31"/>
      <c r="C759" s="32"/>
      <c r="D759" s="33"/>
      <c r="E759" s="34"/>
      <c r="F759" s="34"/>
      <c r="G759" s="35"/>
      <c r="H759" s="34"/>
      <c r="I759" s="37"/>
    </row>
    <row r="760" ht="22.5" customHeight="1">
      <c r="A760" s="30"/>
      <c r="B760" s="31"/>
      <c r="C760" s="32"/>
      <c r="D760" s="33"/>
      <c r="E760" s="34"/>
      <c r="F760" s="34"/>
      <c r="G760" s="35"/>
      <c r="H760" s="34"/>
      <c r="I760" s="37"/>
    </row>
    <row r="761" ht="22.5" customHeight="1">
      <c r="A761" s="30"/>
      <c r="B761" s="31"/>
      <c r="C761" s="32"/>
      <c r="D761" s="33"/>
      <c r="E761" s="34"/>
      <c r="F761" s="34"/>
      <c r="G761" s="35"/>
      <c r="H761" s="34"/>
      <c r="I761" s="37"/>
    </row>
    <row r="762" ht="22.5" customHeight="1">
      <c r="A762" s="30"/>
      <c r="B762" s="31"/>
      <c r="C762" s="32"/>
      <c r="D762" s="33"/>
      <c r="E762" s="34"/>
      <c r="F762" s="34"/>
      <c r="G762" s="35"/>
      <c r="H762" s="34"/>
      <c r="I762" s="37"/>
    </row>
    <row r="763" ht="22.5" customHeight="1">
      <c r="A763" s="30"/>
      <c r="B763" s="31"/>
      <c r="C763" s="32"/>
      <c r="D763" s="33"/>
      <c r="E763" s="34"/>
      <c r="F763" s="34"/>
      <c r="G763" s="35"/>
      <c r="H763" s="34"/>
      <c r="I763" s="37"/>
    </row>
    <row r="764" ht="22.5" customHeight="1">
      <c r="A764" s="30"/>
      <c r="B764" s="31"/>
      <c r="C764" s="32"/>
      <c r="D764" s="33"/>
      <c r="E764" s="34"/>
      <c r="F764" s="34"/>
      <c r="G764" s="35"/>
      <c r="H764" s="34"/>
      <c r="I764" s="37"/>
    </row>
    <row r="765" ht="22.5" customHeight="1">
      <c r="A765" s="30"/>
      <c r="B765" s="31"/>
      <c r="C765" s="32"/>
      <c r="D765" s="33"/>
      <c r="E765" s="34"/>
      <c r="F765" s="34"/>
      <c r="G765" s="35"/>
      <c r="H765" s="34"/>
      <c r="I765" s="37"/>
    </row>
    <row r="766" ht="22.5" customHeight="1">
      <c r="A766" s="30"/>
      <c r="B766" s="40"/>
      <c r="C766" s="32"/>
      <c r="D766" s="33"/>
      <c r="E766" s="34"/>
      <c r="F766" s="34"/>
      <c r="G766" s="35"/>
      <c r="H766" s="34"/>
      <c r="I766" s="37"/>
    </row>
    <row r="767" ht="22.5" customHeight="1">
      <c r="A767" s="30"/>
      <c r="B767" s="31"/>
      <c r="C767" s="32"/>
      <c r="D767" s="33"/>
      <c r="E767" s="34"/>
      <c r="F767" s="34"/>
      <c r="G767" s="35"/>
      <c r="H767" s="34"/>
      <c r="I767" s="37"/>
    </row>
    <row r="768" ht="22.5" customHeight="1">
      <c r="A768" s="30"/>
      <c r="B768" s="31"/>
      <c r="C768" s="32"/>
      <c r="D768" s="33"/>
      <c r="E768" s="34"/>
      <c r="F768" s="34"/>
      <c r="G768" s="35"/>
      <c r="H768" s="34"/>
      <c r="I768" s="37"/>
    </row>
    <row r="769" ht="22.5" customHeight="1">
      <c r="A769" s="30"/>
      <c r="B769" s="31"/>
      <c r="C769" s="32"/>
      <c r="D769" s="33"/>
      <c r="E769" s="34"/>
      <c r="F769" s="34"/>
      <c r="G769" s="35"/>
      <c r="H769" s="34"/>
      <c r="I769" s="37"/>
    </row>
    <row r="770" ht="22.5" customHeight="1">
      <c r="A770" s="30"/>
      <c r="B770" s="40"/>
      <c r="C770" s="32"/>
      <c r="D770" s="33"/>
      <c r="E770" s="34"/>
      <c r="F770" s="34"/>
      <c r="G770" s="35"/>
      <c r="H770" s="34"/>
      <c r="I770" s="37"/>
    </row>
    <row r="771" ht="22.5" customHeight="1">
      <c r="A771" s="30"/>
      <c r="B771" s="31"/>
      <c r="C771" s="32"/>
      <c r="D771" s="33"/>
      <c r="E771" s="34"/>
      <c r="F771" s="34"/>
      <c r="G771" s="35"/>
      <c r="H771" s="34"/>
      <c r="I771" s="37"/>
    </row>
    <row r="772" ht="22.5" customHeight="1">
      <c r="A772" s="30"/>
      <c r="B772" s="31"/>
      <c r="C772" s="32"/>
      <c r="D772" s="33"/>
      <c r="E772" s="34"/>
      <c r="F772" s="34"/>
      <c r="G772" s="35"/>
      <c r="H772" s="34"/>
      <c r="I772" s="37"/>
    </row>
    <row r="773" ht="22.5" customHeight="1">
      <c r="A773" s="30"/>
      <c r="B773" s="31"/>
      <c r="C773" s="32"/>
      <c r="D773" s="33"/>
      <c r="E773" s="34"/>
      <c r="F773" s="34"/>
      <c r="G773" s="35"/>
      <c r="H773" s="34"/>
      <c r="I773" s="37"/>
    </row>
    <row r="774" ht="22.5" customHeight="1">
      <c r="A774" s="30"/>
      <c r="B774" s="31"/>
      <c r="C774" s="32"/>
      <c r="D774" s="33"/>
      <c r="E774" s="34"/>
      <c r="F774" s="34"/>
      <c r="G774" s="35"/>
      <c r="H774" s="34"/>
      <c r="I774" s="37"/>
    </row>
    <row r="775" ht="22.5" customHeight="1">
      <c r="A775" s="30"/>
      <c r="B775" s="31"/>
      <c r="C775" s="32"/>
      <c r="D775" s="33"/>
      <c r="E775" s="34"/>
      <c r="F775" s="34"/>
      <c r="G775" s="35"/>
      <c r="H775" s="34"/>
      <c r="I775" s="37"/>
    </row>
    <row r="776" ht="22.5" customHeight="1">
      <c r="A776" s="30"/>
      <c r="B776" s="31"/>
      <c r="C776" s="32"/>
      <c r="D776" s="33"/>
      <c r="E776" s="34"/>
      <c r="F776" s="34"/>
      <c r="G776" s="35"/>
      <c r="H776" s="34"/>
      <c r="I776" s="37"/>
    </row>
    <row r="777" ht="22.5" customHeight="1">
      <c r="A777" s="30"/>
      <c r="B777" s="31"/>
      <c r="C777" s="32"/>
      <c r="D777" s="33"/>
      <c r="E777" s="34"/>
      <c r="F777" s="34"/>
      <c r="G777" s="35"/>
      <c r="H777" s="34"/>
      <c r="I777" s="37"/>
    </row>
    <row r="778" ht="22.5" customHeight="1">
      <c r="A778" s="30"/>
      <c r="B778" s="31"/>
      <c r="C778" s="32"/>
      <c r="D778" s="33"/>
      <c r="E778" s="34"/>
      <c r="F778" s="34"/>
      <c r="G778" s="35"/>
      <c r="H778" s="34"/>
      <c r="I778" s="37"/>
    </row>
    <row r="779" ht="22.5" customHeight="1">
      <c r="A779" s="30"/>
      <c r="B779" s="31"/>
      <c r="C779" s="32"/>
      <c r="D779" s="33"/>
      <c r="E779" s="34"/>
      <c r="F779" s="34"/>
      <c r="G779" s="35"/>
      <c r="H779" s="34"/>
      <c r="I779" s="37"/>
    </row>
    <row r="780" ht="22.5" customHeight="1">
      <c r="A780" s="30"/>
      <c r="B780" s="31"/>
      <c r="C780" s="32"/>
      <c r="D780" s="33"/>
      <c r="E780" s="34"/>
      <c r="F780" s="34"/>
      <c r="G780" s="35"/>
      <c r="H780" s="34"/>
      <c r="I780" s="37"/>
    </row>
    <row r="781" ht="22.5" customHeight="1">
      <c r="A781" s="30"/>
      <c r="B781" s="31"/>
      <c r="C781" s="32"/>
      <c r="D781" s="33"/>
      <c r="E781" s="34"/>
      <c r="F781" s="34"/>
      <c r="G781" s="35"/>
      <c r="H781" s="34"/>
      <c r="I781" s="37"/>
    </row>
    <row r="782" ht="22.5" customHeight="1">
      <c r="A782" s="30"/>
      <c r="B782" s="31"/>
      <c r="C782" s="32"/>
      <c r="D782" s="33"/>
      <c r="E782" s="34"/>
      <c r="F782" s="34"/>
      <c r="G782" s="35"/>
      <c r="H782" s="34"/>
      <c r="I782" s="37"/>
    </row>
    <row r="783" ht="22.5" customHeight="1">
      <c r="A783" s="30"/>
      <c r="B783" s="31"/>
      <c r="C783" s="32"/>
      <c r="D783" s="33"/>
      <c r="E783" s="34"/>
      <c r="F783" s="34"/>
      <c r="G783" s="35"/>
      <c r="H783" s="34"/>
      <c r="I783" s="37"/>
    </row>
    <row r="784" ht="22.5" customHeight="1">
      <c r="A784" s="30"/>
      <c r="B784" s="31"/>
      <c r="C784" s="32"/>
      <c r="D784" s="33"/>
      <c r="E784" s="34"/>
      <c r="F784" s="34"/>
      <c r="G784" s="35"/>
      <c r="H784" s="34"/>
      <c r="I784" s="37"/>
    </row>
    <row r="785" ht="22.5" customHeight="1">
      <c r="A785" s="30"/>
      <c r="B785" s="40"/>
      <c r="C785" s="32"/>
      <c r="D785" s="33"/>
      <c r="E785" s="34"/>
      <c r="F785" s="34"/>
      <c r="G785" s="35"/>
      <c r="H785" s="34"/>
      <c r="I785" s="37"/>
    </row>
    <row r="786" ht="22.5" customHeight="1">
      <c r="A786" s="30"/>
      <c r="B786" s="31"/>
      <c r="C786" s="32"/>
      <c r="D786" s="33"/>
      <c r="E786" s="34"/>
      <c r="F786" s="34"/>
      <c r="G786" s="35"/>
      <c r="H786" s="34"/>
      <c r="I786" s="37"/>
    </row>
    <row r="787" ht="22.5" customHeight="1">
      <c r="A787" s="30"/>
      <c r="B787" s="40"/>
      <c r="C787" s="32"/>
      <c r="D787" s="33"/>
      <c r="E787" s="34"/>
      <c r="F787" s="34"/>
      <c r="G787" s="35"/>
      <c r="H787" s="34"/>
      <c r="I787" s="37"/>
    </row>
    <row r="788" ht="22.5" customHeight="1">
      <c r="A788" s="30"/>
      <c r="B788" s="31"/>
      <c r="C788" s="32"/>
      <c r="D788" s="33"/>
      <c r="E788" s="34"/>
      <c r="F788" s="34"/>
      <c r="G788" s="35"/>
      <c r="H788" s="34"/>
      <c r="I788" s="37"/>
    </row>
    <row r="789" ht="22.5" customHeight="1">
      <c r="A789" s="30"/>
      <c r="B789" s="31"/>
      <c r="C789" s="32"/>
      <c r="D789" s="33"/>
      <c r="E789" s="34"/>
      <c r="F789" s="34"/>
      <c r="G789" s="35"/>
      <c r="H789" s="34"/>
      <c r="I789" s="37"/>
    </row>
    <row r="790" ht="22.5" customHeight="1">
      <c r="A790" s="30"/>
      <c r="B790" s="31"/>
      <c r="C790" s="32"/>
      <c r="D790" s="33"/>
      <c r="E790" s="34"/>
      <c r="F790" s="34"/>
      <c r="G790" s="35"/>
      <c r="H790" s="34"/>
      <c r="I790" s="37"/>
    </row>
    <row r="791" ht="22.5" customHeight="1">
      <c r="A791" s="30"/>
      <c r="B791" s="31"/>
      <c r="C791" s="32"/>
      <c r="D791" s="33"/>
      <c r="E791" s="34"/>
      <c r="F791" s="34"/>
      <c r="G791" s="35"/>
      <c r="H791" s="34"/>
      <c r="I791" s="37"/>
    </row>
    <row r="792" ht="22.5" customHeight="1">
      <c r="A792" s="30"/>
      <c r="B792" s="40"/>
      <c r="C792" s="32"/>
      <c r="D792" s="33"/>
      <c r="E792" s="34"/>
      <c r="F792" s="34"/>
      <c r="G792" s="35"/>
      <c r="H792" s="34"/>
      <c r="I792" s="37"/>
    </row>
    <row r="793" ht="22.5" customHeight="1">
      <c r="A793" s="30"/>
      <c r="B793" s="31"/>
      <c r="C793" s="32"/>
      <c r="D793" s="33"/>
      <c r="E793" s="34"/>
      <c r="F793" s="34"/>
      <c r="G793" s="35"/>
      <c r="H793" s="34"/>
      <c r="I793" s="37"/>
    </row>
    <row r="794" ht="22.5" customHeight="1">
      <c r="A794" s="30"/>
      <c r="B794" s="31"/>
      <c r="C794" s="32"/>
      <c r="D794" s="33"/>
      <c r="E794" s="34"/>
      <c r="F794" s="34"/>
      <c r="G794" s="35"/>
      <c r="H794" s="34"/>
      <c r="I794" s="37"/>
    </row>
    <row r="795" ht="22.5" customHeight="1">
      <c r="A795" s="30"/>
      <c r="B795" s="31"/>
      <c r="C795" s="32"/>
      <c r="D795" s="33"/>
      <c r="E795" s="34"/>
      <c r="F795" s="34"/>
      <c r="G795" s="35"/>
      <c r="H795" s="34"/>
      <c r="I795" s="37"/>
    </row>
    <row r="796" ht="22.5" customHeight="1">
      <c r="A796" s="30"/>
      <c r="B796" s="31"/>
      <c r="C796" s="32"/>
      <c r="D796" s="33"/>
      <c r="E796" s="34"/>
      <c r="F796" s="34"/>
      <c r="G796" s="35"/>
      <c r="H796" s="34"/>
      <c r="I796" s="37"/>
    </row>
    <row r="797" ht="22.5" customHeight="1">
      <c r="A797" s="30"/>
      <c r="B797" s="31"/>
      <c r="C797" s="32"/>
      <c r="D797" s="33"/>
      <c r="E797" s="34"/>
      <c r="F797" s="34"/>
      <c r="G797" s="35"/>
      <c r="H797" s="34"/>
      <c r="I797" s="37"/>
    </row>
    <row r="798" ht="22.5" customHeight="1">
      <c r="A798" s="30"/>
      <c r="B798" s="31"/>
      <c r="C798" s="32"/>
      <c r="D798" s="33"/>
      <c r="E798" s="34"/>
      <c r="F798" s="34"/>
      <c r="G798" s="35"/>
      <c r="H798" s="34"/>
      <c r="I798" s="37"/>
    </row>
    <row r="799" ht="22.5" customHeight="1">
      <c r="A799" s="30"/>
      <c r="B799" s="31"/>
      <c r="C799" s="32"/>
      <c r="D799" s="33"/>
      <c r="E799" s="34"/>
      <c r="F799" s="34"/>
      <c r="G799" s="35"/>
      <c r="H799" s="34"/>
      <c r="I799" s="37"/>
    </row>
    <row r="800" ht="22.5" customHeight="1">
      <c r="A800" s="30"/>
      <c r="B800" s="31"/>
      <c r="C800" s="32"/>
      <c r="D800" s="33"/>
      <c r="E800" s="34"/>
      <c r="F800" s="34"/>
      <c r="G800" s="35"/>
      <c r="H800" s="34"/>
      <c r="I800" s="37"/>
    </row>
    <row r="801" ht="22.5" customHeight="1">
      <c r="A801" s="30"/>
      <c r="B801" s="31"/>
      <c r="C801" s="32"/>
      <c r="D801" s="33"/>
      <c r="E801" s="34"/>
      <c r="F801" s="34"/>
      <c r="G801" s="35"/>
      <c r="H801" s="34"/>
      <c r="I801" s="37"/>
    </row>
    <row r="802" ht="22.5" customHeight="1">
      <c r="A802" s="30"/>
      <c r="B802" s="31"/>
      <c r="C802" s="32"/>
      <c r="D802" s="33"/>
      <c r="E802" s="34"/>
      <c r="F802" s="34"/>
      <c r="G802" s="35"/>
      <c r="H802" s="34"/>
      <c r="I802" s="37"/>
    </row>
    <row r="803" ht="22.5" customHeight="1">
      <c r="A803" s="30"/>
      <c r="B803" s="31"/>
      <c r="C803" s="32"/>
      <c r="D803" s="33"/>
      <c r="E803" s="34"/>
      <c r="F803" s="34"/>
      <c r="G803" s="35"/>
      <c r="H803" s="34"/>
      <c r="I803" s="37"/>
    </row>
    <row r="804" ht="22.5" customHeight="1">
      <c r="A804" s="30"/>
      <c r="B804" s="31"/>
      <c r="C804" s="32"/>
      <c r="D804" s="33"/>
      <c r="E804" s="34"/>
      <c r="F804" s="34"/>
      <c r="G804" s="35"/>
      <c r="H804" s="34"/>
      <c r="I804" s="37"/>
    </row>
    <row r="805" ht="22.5" customHeight="1">
      <c r="A805" s="30"/>
      <c r="B805" s="31"/>
      <c r="C805" s="32"/>
      <c r="D805" s="33"/>
      <c r="E805" s="34"/>
      <c r="F805" s="34"/>
      <c r="G805" s="35"/>
      <c r="H805" s="34"/>
      <c r="I805" s="37"/>
    </row>
    <row r="806" ht="22.5" customHeight="1">
      <c r="A806" s="30"/>
      <c r="B806" s="31"/>
      <c r="C806" s="32"/>
      <c r="D806" s="33"/>
      <c r="E806" s="34"/>
      <c r="F806" s="34"/>
      <c r="G806" s="35"/>
      <c r="H806" s="34"/>
      <c r="I806" s="37"/>
    </row>
    <row r="807" ht="22.5" customHeight="1">
      <c r="A807" s="30"/>
      <c r="B807" s="31"/>
      <c r="C807" s="32"/>
      <c r="D807" s="33"/>
      <c r="E807" s="34"/>
      <c r="F807" s="34"/>
      <c r="G807" s="35"/>
      <c r="H807" s="34"/>
      <c r="I807" s="37"/>
    </row>
    <row r="808" ht="22.5" customHeight="1">
      <c r="A808" s="30"/>
      <c r="B808" s="31"/>
      <c r="C808" s="32"/>
      <c r="D808" s="33"/>
      <c r="E808" s="34"/>
      <c r="F808" s="34"/>
      <c r="G808" s="35"/>
      <c r="H808" s="34"/>
      <c r="I808" s="37"/>
    </row>
    <row r="809" ht="22.5" customHeight="1">
      <c r="A809" s="30"/>
      <c r="B809" s="31"/>
      <c r="C809" s="32"/>
      <c r="D809" s="33"/>
      <c r="E809" s="34"/>
      <c r="F809" s="34"/>
      <c r="G809" s="35"/>
      <c r="H809" s="34"/>
      <c r="I809" s="37"/>
    </row>
    <row r="810" ht="22.5" customHeight="1">
      <c r="A810" s="30"/>
      <c r="B810" s="31"/>
      <c r="C810" s="32"/>
      <c r="D810" s="33"/>
      <c r="E810" s="34"/>
      <c r="F810" s="34"/>
      <c r="G810" s="35"/>
      <c r="H810" s="34"/>
      <c r="I810" s="37"/>
    </row>
    <row r="811" ht="22.5" customHeight="1">
      <c r="A811" s="30"/>
      <c r="B811" s="31"/>
      <c r="C811" s="32"/>
      <c r="D811" s="33"/>
      <c r="E811" s="34"/>
      <c r="F811" s="34"/>
      <c r="G811" s="35"/>
      <c r="H811" s="34"/>
      <c r="I811" s="37"/>
    </row>
    <row r="812" ht="22.5" customHeight="1">
      <c r="A812" s="30"/>
      <c r="B812" s="31"/>
      <c r="C812" s="32"/>
      <c r="D812" s="33"/>
      <c r="E812" s="34"/>
      <c r="F812" s="34"/>
      <c r="G812" s="35"/>
      <c r="H812" s="34"/>
      <c r="I812" s="37"/>
    </row>
    <row r="813" ht="22.5" customHeight="1">
      <c r="A813" s="30"/>
      <c r="B813" s="31"/>
      <c r="C813" s="32"/>
      <c r="D813" s="33"/>
      <c r="E813" s="34"/>
      <c r="F813" s="34"/>
      <c r="G813" s="35"/>
      <c r="H813" s="34"/>
      <c r="I813" s="37"/>
    </row>
    <row r="814" ht="22.5" customHeight="1">
      <c r="A814" s="30"/>
      <c r="B814" s="40"/>
      <c r="C814" s="32"/>
      <c r="D814" s="33"/>
      <c r="E814" s="34"/>
      <c r="F814" s="34"/>
      <c r="G814" s="35"/>
      <c r="H814" s="34"/>
      <c r="I814" s="37"/>
    </row>
    <row r="815" ht="22.5" customHeight="1">
      <c r="A815" s="30"/>
      <c r="B815" s="31"/>
      <c r="C815" s="32"/>
      <c r="D815" s="33"/>
      <c r="E815" s="34"/>
      <c r="F815" s="34"/>
      <c r="G815" s="35"/>
      <c r="H815" s="34"/>
      <c r="I815" s="37"/>
    </row>
    <row r="816" ht="22.5" customHeight="1">
      <c r="A816" s="30"/>
      <c r="B816" s="31"/>
      <c r="C816" s="32"/>
      <c r="D816" s="33"/>
      <c r="E816" s="34"/>
      <c r="F816" s="34"/>
      <c r="G816" s="35"/>
      <c r="H816" s="34"/>
      <c r="I816" s="37"/>
    </row>
    <row r="817" ht="22.5" customHeight="1">
      <c r="A817" s="30"/>
      <c r="B817" s="31"/>
      <c r="C817" s="32"/>
      <c r="D817" s="33"/>
      <c r="E817" s="34"/>
      <c r="F817" s="34"/>
      <c r="G817" s="35"/>
      <c r="H817" s="34"/>
      <c r="I817" s="37"/>
    </row>
    <row r="818" ht="22.5" customHeight="1">
      <c r="A818" s="30"/>
      <c r="B818" s="31"/>
      <c r="C818" s="32"/>
      <c r="D818" s="33"/>
      <c r="E818" s="34"/>
      <c r="F818" s="34"/>
      <c r="G818" s="35"/>
      <c r="H818" s="34"/>
      <c r="I818" s="38"/>
    </row>
    <row r="819" ht="22.5" customHeight="1">
      <c r="A819" s="30"/>
      <c r="B819" s="39"/>
      <c r="C819" s="32"/>
      <c r="D819" s="33"/>
      <c r="E819" s="34"/>
      <c r="F819" s="34"/>
      <c r="G819" s="35"/>
      <c r="H819" s="34"/>
      <c r="I819" s="37"/>
    </row>
    <row r="820" ht="22.5" customHeight="1">
      <c r="A820" s="30"/>
      <c r="B820" s="31"/>
      <c r="C820" s="32"/>
      <c r="D820" s="33"/>
      <c r="E820" s="34"/>
      <c r="F820" s="34"/>
      <c r="G820" s="35"/>
      <c r="H820" s="34"/>
      <c r="I820" s="37"/>
    </row>
    <row r="821" ht="22.5" customHeight="1">
      <c r="A821" s="30"/>
      <c r="B821" s="31"/>
      <c r="C821" s="32"/>
      <c r="D821" s="33"/>
      <c r="E821" s="34"/>
      <c r="F821" s="34"/>
      <c r="G821" s="35"/>
      <c r="H821" s="34"/>
      <c r="I821" s="37"/>
    </row>
    <row r="822" ht="22.5" customHeight="1">
      <c r="A822" s="30"/>
      <c r="B822" s="31"/>
      <c r="C822" s="32"/>
      <c r="D822" s="33"/>
      <c r="E822" s="34"/>
      <c r="F822" s="34"/>
      <c r="G822" s="35"/>
      <c r="H822" s="34"/>
      <c r="I822" s="37"/>
    </row>
    <row r="823" ht="22.5" customHeight="1">
      <c r="A823" s="30"/>
      <c r="B823" s="39"/>
      <c r="C823" s="32"/>
      <c r="D823" s="33"/>
      <c r="E823" s="34"/>
      <c r="F823" s="34"/>
      <c r="G823" s="35"/>
      <c r="H823" s="34"/>
      <c r="I823" s="37"/>
    </row>
    <row r="824" ht="22.5" customHeight="1">
      <c r="A824" s="30"/>
      <c r="B824" s="31"/>
      <c r="C824" s="32"/>
      <c r="D824" s="33"/>
      <c r="E824" s="34"/>
      <c r="F824" s="34"/>
      <c r="G824" s="35"/>
      <c r="H824" s="34"/>
      <c r="I824" s="37"/>
    </row>
    <row r="825" ht="22.5" customHeight="1">
      <c r="A825" s="30"/>
      <c r="B825" s="39"/>
      <c r="C825" s="32"/>
      <c r="D825" s="33"/>
      <c r="E825" s="34"/>
      <c r="F825" s="34"/>
      <c r="G825" s="35"/>
      <c r="H825" s="34"/>
      <c r="I825" s="37"/>
    </row>
    <row r="826" ht="22.5" customHeight="1">
      <c r="A826" s="30"/>
      <c r="B826" s="31"/>
      <c r="C826" s="32"/>
      <c r="D826" s="33"/>
      <c r="E826" s="34"/>
      <c r="F826" s="34"/>
      <c r="G826" s="35"/>
      <c r="H826" s="34"/>
      <c r="I826" s="37"/>
    </row>
    <row r="827" ht="22.5" customHeight="1">
      <c r="A827" s="30"/>
      <c r="B827" s="31"/>
      <c r="C827" s="32"/>
      <c r="D827" s="33"/>
      <c r="E827" s="34"/>
      <c r="F827" s="34"/>
      <c r="G827" s="35"/>
      <c r="H827" s="34"/>
      <c r="I827" s="37"/>
    </row>
    <row r="828" ht="22.5" customHeight="1">
      <c r="A828" s="30"/>
      <c r="B828" s="31"/>
      <c r="C828" s="32"/>
      <c r="D828" s="33"/>
      <c r="E828" s="34"/>
      <c r="F828" s="34"/>
      <c r="G828" s="35"/>
      <c r="H828" s="34"/>
      <c r="I828" s="37"/>
    </row>
    <row r="829" ht="22.5" customHeight="1">
      <c r="A829" s="30"/>
      <c r="B829" s="31"/>
      <c r="C829" s="32"/>
      <c r="D829" s="33"/>
      <c r="E829" s="34"/>
      <c r="F829" s="34"/>
      <c r="G829" s="35"/>
      <c r="H829" s="34"/>
      <c r="I829" s="37"/>
    </row>
    <row r="830" ht="22.5" customHeight="1">
      <c r="A830" s="30"/>
      <c r="B830" s="31"/>
      <c r="C830" s="32"/>
      <c r="D830" s="33"/>
      <c r="E830" s="34"/>
      <c r="F830" s="34"/>
      <c r="G830" s="35"/>
      <c r="H830" s="34"/>
      <c r="I830" s="37"/>
    </row>
    <row r="831" ht="22.5" customHeight="1">
      <c r="A831" s="30"/>
      <c r="B831" s="31"/>
      <c r="C831" s="32"/>
      <c r="D831" s="33"/>
      <c r="E831" s="34"/>
      <c r="F831" s="34"/>
      <c r="G831" s="35"/>
      <c r="H831" s="34"/>
      <c r="I831" s="37"/>
    </row>
    <row r="832" ht="22.5" customHeight="1">
      <c r="A832" s="30"/>
      <c r="B832" s="31"/>
      <c r="C832" s="32"/>
      <c r="D832" s="33"/>
      <c r="E832" s="34"/>
      <c r="F832" s="34"/>
      <c r="G832" s="35"/>
      <c r="H832" s="34"/>
      <c r="I832" s="37"/>
    </row>
    <row r="833" ht="22.5" customHeight="1">
      <c r="A833" s="30"/>
      <c r="B833" s="31"/>
      <c r="C833" s="32"/>
      <c r="D833" s="33"/>
      <c r="E833" s="34"/>
      <c r="F833" s="34"/>
      <c r="G833" s="35"/>
      <c r="H833" s="34"/>
      <c r="I833" s="37"/>
    </row>
    <row r="834" ht="22.5" customHeight="1">
      <c r="A834" s="30"/>
      <c r="B834" s="31"/>
      <c r="C834" s="32"/>
      <c r="D834" s="33"/>
      <c r="E834" s="34"/>
      <c r="F834" s="34"/>
      <c r="G834" s="35"/>
      <c r="H834" s="34"/>
      <c r="I834" s="37"/>
    </row>
    <row r="835" ht="22.5" customHeight="1">
      <c r="A835" s="30"/>
      <c r="B835" s="31"/>
      <c r="C835" s="32"/>
      <c r="D835" s="33"/>
      <c r="E835" s="34"/>
      <c r="F835" s="34"/>
      <c r="G835" s="35"/>
      <c r="H835" s="34"/>
      <c r="I835" s="37"/>
    </row>
    <row r="836" ht="22.5" customHeight="1">
      <c r="A836" s="30"/>
      <c r="B836" s="40"/>
      <c r="C836" s="32"/>
      <c r="D836" s="33"/>
      <c r="E836" s="34"/>
      <c r="F836" s="34"/>
      <c r="G836" s="35"/>
      <c r="H836" s="34"/>
      <c r="I836" s="37"/>
    </row>
    <row r="837" ht="22.5" customHeight="1">
      <c r="A837" s="30"/>
      <c r="B837" s="31"/>
      <c r="C837" s="32"/>
      <c r="D837" s="33"/>
      <c r="E837" s="34"/>
      <c r="F837" s="34"/>
      <c r="G837" s="35"/>
      <c r="H837" s="34"/>
      <c r="I837" s="37"/>
    </row>
    <row r="838" ht="22.5" customHeight="1">
      <c r="A838" s="30"/>
      <c r="B838" s="31"/>
      <c r="C838" s="32"/>
      <c r="D838" s="33"/>
      <c r="E838" s="34"/>
      <c r="F838" s="34"/>
      <c r="G838" s="35"/>
      <c r="H838" s="34"/>
      <c r="I838" s="37"/>
    </row>
    <row r="839" ht="22.5" customHeight="1">
      <c r="A839" s="30"/>
      <c r="B839" s="31"/>
      <c r="C839" s="32"/>
      <c r="D839" s="33"/>
      <c r="E839" s="34"/>
      <c r="F839" s="34"/>
      <c r="G839" s="35"/>
      <c r="H839" s="34"/>
      <c r="I839" s="37"/>
    </row>
    <row r="840" ht="22.5" customHeight="1">
      <c r="A840" s="30"/>
      <c r="B840" s="31"/>
      <c r="C840" s="32"/>
      <c r="D840" s="33"/>
      <c r="E840" s="34"/>
      <c r="F840" s="34"/>
      <c r="G840" s="35"/>
      <c r="H840" s="34"/>
      <c r="I840" s="37"/>
    </row>
    <row r="841" ht="22.5" customHeight="1">
      <c r="A841" s="30"/>
      <c r="B841" s="31"/>
      <c r="C841" s="32"/>
      <c r="D841" s="33"/>
      <c r="E841" s="34"/>
      <c r="F841" s="34"/>
      <c r="G841" s="35"/>
      <c r="H841" s="34"/>
      <c r="I841" s="37"/>
    </row>
    <row r="842" ht="22.5" customHeight="1">
      <c r="A842" s="30"/>
      <c r="B842" s="31"/>
      <c r="C842" s="32"/>
      <c r="D842" s="33"/>
      <c r="E842" s="34"/>
      <c r="F842" s="34"/>
      <c r="G842" s="35"/>
      <c r="H842" s="34"/>
      <c r="I842" s="37"/>
    </row>
    <row r="843" ht="22.5" customHeight="1">
      <c r="A843" s="30"/>
      <c r="B843" s="39"/>
      <c r="C843" s="32"/>
      <c r="D843" s="33"/>
      <c r="E843" s="34"/>
      <c r="F843" s="34"/>
      <c r="G843" s="35"/>
      <c r="H843" s="34"/>
      <c r="I843" s="37"/>
    </row>
    <row r="844" ht="22.5" customHeight="1">
      <c r="A844" s="30"/>
      <c r="B844" s="39"/>
      <c r="C844" s="32"/>
      <c r="D844" s="33"/>
      <c r="E844" s="34"/>
      <c r="F844" s="34"/>
      <c r="G844" s="35"/>
      <c r="H844" s="34"/>
      <c r="I844" s="37"/>
    </row>
    <row r="845" ht="22.5" customHeight="1">
      <c r="A845" s="30"/>
      <c r="B845" s="39"/>
      <c r="C845" s="32"/>
      <c r="D845" s="33"/>
      <c r="E845" s="34"/>
      <c r="F845" s="34"/>
      <c r="G845" s="35"/>
      <c r="H845" s="34"/>
      <c r="I845" s="37"/>
    </row>
    <row r="846" ht="22.5" customHeight="1">
      <c r="A846" s="30"/>
      <c r="B846" s="40"/>
      <c r="C846" s="32"/>
      <c r="D846" s="33"/>
      <c r="E846" s="34"/>
      <c r="F846" s="34"/>
      <c r="G846" s="35"/>
      <c r="H846" s="34"/>
      <c r="I846" s="37"/>
    </row>
    <row r="847" ht="22.5" customHeight="1">
      <c r="A847" s="30"/>
      <c r="B847" s="31"/>
      <c r="C847" s="32"/>
      <c r="D847" s="33"/>
      <c r="E847" s="34"/>
      <c r="F847" s="34"/>
      <c r="G847" s="35"/>
      <c r="H847" s="34"/>
      <c r="I847" s="37"/>
    </row>
    <row r="848" ht="22.5" customHeight="1">
      <c r="A848" s="30"/>
      <c r="B848" s="31"/>
      <c r="C848" s="32"/>
      <c r="D848" s="33"/>
      <c r="E848" s="34"/>
      <c r="F848" s="34"/>
      <c r="G848" s="35"/>
      <c r="H848" s="34"/>
      <c r="I848" s="37"/>
    </row>
    <row r="849" ht="22.5" customHeight="1">
      <c r="A849" s="30"/>
      <c r="B849" s="31"/>
      <c r="C849" s="32"/>
      <c r="D849" s="33"/>
      <c r="E849" s="34"/>
      <c r="F849" s="34"/>
      <c r="G849" s="35"/>
      <c r="H849" s="34"/>
      <c r="I849" s="37"/>
    </row>
    <row r="850" ht="22.5" customHeight="1">
      <c r="A850" s="30"/>
      <c r="B850" s="31"/>
      <c r="C850" s="32"/>
      <c r="D850" s="33"/>
      <c r="E850" s="34"/>
      <c r="F850" s="34"/>
      <c r="G850" s="35"/>
      <c r="H850" s="34"/>
      <c r="I850" s="37"/>
    </row>
    <row r="851" ht="22.5" customHeight="1">
      <c r="A851" s="30"/>
      <c r="B851" s="31"/>
      <c r="C851" s="32"/>
      <c r="D851" s="33"/>
      <c r="E851" s="34"/>
      <c r="F851" s="34"/>
      <c r="G851" s="35"/>
      <c r="H851" s="34"/>
      <c r="I851" s="37"/>
    </row>
    <row r="852" ht="22.5" customHeight="1">
      <c r="A852" s="30"/>
      <c r="B852" s="31"/>
      <c r="C852" s="32"/>
      <c r="D852" s="33"/>
      <c r="E852" s="34"/>
      <c r="F852" s="34"/>
      <c r="G852" s="35"/>
      <c r="H852" s="34"/>
      <c r="I852" s="37"/>
    </row>
    <row r="853" ht="22.5" customHeight="1">
      <c r="A853" s="30"/>
      <c r="B853" s="31"/>
      <c r="C853" s="32"/>
      <c r="D853" s="33"/>
      <c r="E853" s="34"/>
      <c r="F853" s="34"/>
      <c r="G853" s="35"/>
      <c r="H853" s="34"/>
      <c r="I853" s="37"/>
    </row>
    <row r="854" ht="22.5" customHeight="1">
      <c r="A854" s="30"/>
      <c r="B854" s="31"/>
      <c r="C854" s="32"/>
      <c r="D854" s="33"/>
      <c r="E854" s="34"/>
      <c r="F854" s="34"/>
      <c r="G854" s="35"/>
      <c r="H854" s="34"/>
      <c r="I854" s="37"/>
    </row>
    <row r="855" ht="22.5" customHeight="1">
      <c r="A855" s="30"/>
      <c r="B855" s="31"/>
      <c r="C855" s="32"/>
      <c r="D855" s="33"/>
      <c r="E855" s="34"/>
      <c r="F855" s="34"/>
      <c r="G855" s="35"/>
      <c r="H855" s="34"/>
      <c r="I855" s="37"/>
    </row>
    <row r="856" ht="22.5" customHeight="1">
      <c r="A856" s="30"/>
      <c r="B856" s="40"/>
      <c r="C856" s="32"/>
      <c r="D856" s="33"/>
      <c r="E856" s="34"/>
      <c r="F856" s="34"/>
      <c r="G856" s="35"/>
      <c r="H856" s="34"/>
      <c r="I856" s="37"/>
    </row>
    <row r="857" ht="22.5" customHeight="1">
      <c r="A857" s="30"/>
      <c r="B857" s="31"/>
      <c r="C857" s="32"/>
      <c r="D857" s="33"/>
      <c r="E857" s="34"/>
      <c r="F857" s="34"/>
      <c r="G857" s="35"/>
      <c r="H857" s="34"/>
      <c r="I857" s="37"/>
    </row>
    <row r="858" ht="22.5" customHeight="1">
      <c r="A858" s="30"/>
      <c r="B858" s="31"/>
      <c r="C858" s="32"/>
      <c r="D858" s="33"/>
      <c r="E858" s="34"/>
      <c r="F858" s="34"/>
      <c r="G858" s="35"/>
      <c r="H858" s="34"/>
      <c r="I858" s="37"/>
    </row>
    <row r="859" ht="22.5" customHeight="1">
      <c r="A859" s="30"/>
      <c r="B859" s="31"/>
      <c r="C859" s="32"/>
      <c r="D859" s="33"/>
      <c r="E859" s="34"/>
      <c r="F859" s="34"/>
      <c r="G859" s="35"/>
      <c r="H859" s="34"/>
      <c r="I859" s="37"/>
    </row>
    <row r="860" ht="22.5" customHeight="1">
      <c r="A860" s="30"/>
      <c r="B860" s="40"/>
      <c r="C860" s="32"/>
      <c r="D860" s="33"/>
      <c r="E860" s="34"/>
      <c r="F860" s="34"/>
      <c r="G860" s="35"/>
      <c r="H860" s="34"/>
      <c r="I860" s="37"/>
    </row>
    <row r="861" ht="22.5" customHeight="1">
      <c r="A861" s="30"/>
      <c r="B861" s="31"/>
      <c r="C861" s="32"/>
      <c r="D861" s="33"/>
      <c r="E861" s="34"/>
      <c r="F861" s="34"/>
      <c r="G861" s="35"/>
      <c r="H861" s="34"/>
      <c r="I861" s="37"/>
    </row>
    <row r="862" ht="22.5" customHeight="1">
      <c r="A862" s="30"/>
      <c r="B862" s="31"/>
      <c r="C862" s="32"/>
      <c r="D862" s="33"/>
      <c r="E862" s="34"/>
      <c r="F862" s="34"/>
      <c r="G862" s="35"/>
      <c r="H862" s="34"/>
      <c r="I862" s="37"/>
    </row>
    <row r="863" ht="22.5" customHeight="1">
      <c r="A863" s="30"/>
      <c r="B863" s="31"/>
      <c r="C863" s="32"/>
      <c r="D863" s="33"/>
      <c r="E863" s="34"/>
      <c r="F863" s="34"/>
      <c r="G863" s="35"/>
      <c r="H863" s="34"/>
      <c r="I863" s="37"/>
    </row>
    <row r="864" ht="22.5" customHeight="1">
      <c r="A864" s="30"/>
      <c r="B864" s="31"/>
      <c r="C864" s="32"/>
      <c r="D864" s="33"/>
      <c r="E864" s="34"/>
      <c r="F864" s="34"/>
      <c r="G864" s="35"/>
      <c r="H864" s="34"/>
      <c r="I864" s="37"/>
    </row>
    <row r="865" ht="22.5" customHeight="1">
      <c r="A865" s="30"/>
      <c r="B865" s="31"/>
      <c r="C865" s="32"/>
      <c r="D865" s="33"/>
      <c r="E865" s="34"/>
      <c r="F865" s="34"/>
      <c r="G865" s="35"/>
      <c r="H865" s="34"/>
      <c r="I865" s="37"/>
    </row>
    <row r="866" ht="22.5" customHeight="1">
      <c r="A866" s="30"/>
      <c r="B866" s="31"/>
      <c r="C866" s="32"/>
      <c r="D866" s="33"/>
      <c r="E866" s="34"/>
      <c r="F866" s="34"/>
      <c r="G866" s="35"/>
      <c r="H866" s="34"/>
      <c r="I866" s="37"/>
    </row>
    <row r="867" ht="22.5" customHeight="1">
      <c r="A867" s="30"/>
      <c r="B867" s="31"/>
      <c r="C867" s="32"/>
      <c r="D867" s="33"/>
      <c r="E867" s="34"/>
      <c r="F867" s="34"/>
      <c r="G867" s="35"/>
      <c r="H867" s="34"/>
      <c r="I867" s="37"/>
    </row>
    <row r="868" ht="22.5" customHeight="1">
      <c r="A868" s="30"/>
      <c r="B868" s="31"/>
      <c r="C868" s="32"/>
      <c r="D868" s="33"/>
      <c r="E868" s="34"/>
      <c r="F868" s="34"/>
      <c r="G868" s="35"/>
      <c r="H868" s="34"/>
      <c r="I868" s="37"/>
    </row>
    <row r="869" ht="22.5" customHeight="1">
      <c r="A869" s="30"/>
      <c r="B869" s="31"/>
      <c r="C869" s="32"/>
      <c r="D869" s="33"/>
      <c r="E869" s="34"/>
      <c r="F869" s="34"/>
      <c r="G869" s="35"/>
      <c r="H869" s="34"/>
      <c r="I869" s="37"/>
    </row>
    <row r="870" ht="22.5" customHeight="1">
      <c r="A870" s="30"/>
      <c r="B870" s="31"/>
      <c r="C870" s="32"/>
      <c r="D870" s="33"/>
      <c r="E870" s="34"/>
      <c r="F870" s="34"/>
      <c r="G870" s="35"/>
      <c r="H870" s="34"/>
      <c r="I870" s="37"/>
    </row>
    <row r="871" ht="22.5" customHeight="1">
      <c r="A871" s="30"/>
      <c r="B871" s="31"/>
      <c r="C871" s="32"/>
      <c r="D871" s="33"/>
      <c r="E871" s="34"/>
      <c r="F871" s="34"/>
      <c r="G871" s="35"/>
      <c r="H871" s="34"/>
      <c r="I871" s="37"/>
    </row>
    <row r="872" ht="22.5" customHeight="1">
      <c r="A872" s="30"/>
      <c r="B872" s="31"/>
      <c r="C872" s="32"/>
      <c r="D872" s="33"/>
      <c r="E872" s="34"/>
      <c r="F872" s="34"/>
      <c r="G872" s="35"/>
      <c r="H872" s="34"/>
      <c r="I872" s="37"/>
    </row>
    <row r="873" ht="22.5" customHeight="1">
      <c r="A873" s="30"/>
      <c r="B873" s="31"/>
      <c r="C873" s="32"/>
      <c r="D873" s="33"/>
      <c r="E873" s="34"/>
      <c r="F873" s="34"/>
      <c r="G873" s="35"/>
      <c r="H873" s="34"/>
      <c r="I873" s="37"/>
    </row>
    <row r="874" ht="22.5" customHeight="1">
      <c r="A874" s="30"/>
      <c r="B874" s="31"/>
      <c r="C874" s="32"/>
      <c r="D874" s="33"/>
      <c r="E874" s="34"/>
      <c r="F874" s="34"/>
      <c r="G874" s="35"/>
      <c r="H874" s="34"/>
      <c r="I874" s="37"/>
    </row>
    <row r="875" ht="22.5" customHeight="1">
      <c r="A875" s="30"/>
      <c r="B875" s="40"/>
      <c r="C875" s="32"/>
      <c r="D875" s="33"/>
      <c r="E875" s="34"/>
      <c r="F875" s="34"/>
      <c r="G875" s="35"/>
      <c r="H875" s="34"/>
      <c r="I875" s="37"/>
    </row>
    <row r="876" ht="22.5" customHeight="1">
      <c r="A876" s="30"/>
      <c r="B876" s="31"/>
      <c r="C876" s="32"/>
      <c r="D876" s="33"/>
      <c r="E876" s="34"/>
      <c r="F876" s="34"/>
      <c r="G876" s="35"/>
      <c r="H876" s="34"/>
      <c r="I876" s="37"/>
    </row>
    <row r="877" ht="22.5" customHeight="1">
      <c r="A877" s="30"/>
      <c r="B877" s="40"/>
      <c r="C877" s="32"/>
      <c r="D877" s="33"/>
      <c r="E877" s="34"/>
      <c r="F877" s="34"/>
      <c r="G877" s="35"/>
      <c r="H877" s="34"/>
      <c r="I877" s="37"/>
    </row>
    <row r="878" ht="22.5" customHeight="1">
      <c r="A878" s="30"/>
      <c r="B878" s="31"/>
      <c r="C878" s="32"/>
      <c r="D878" s="33"/>
      <c r="E878" s="34"/>
      <c r="F878" s="34"/>
      <c r="G878" s="35"/>
      <c r="H878" s="34"/>
      <c r="I878" s="37"/>
    </row>
    <row r="879" ht="22.5" customHeight="1">
      <c r="A879" s="30"/>
      <c r="B879" s="31"/>
      <c r="C879" s="32"/>
      <c r="D879" s="33"/>
      <c r="E879" s="34"/>
      <c r="F879" s="34"/>
      <c r="G879" s="35"/>
      <c r="H879" s="34"/>
      <c r="I879" s="37"/>
    </row>
    <row r="880" ht="22.5" customHeight="1">
      <c r="A880" s="30"/>
      <c r="B880" s="31"/>
      <c r="C880" s="32"/>
      <c r="D880" s="33"/>
      <c r="E880" s="34"/>
      <c r="F880" s="34"/>
      <c r="G880" s="35"/>
      <c r="H880" s="34"/>
      <c r="I880" s="37"/>
    </row>
    <row r="881" ht="22.5" customHeight="1">
      <c r="A881" s="30"/>
      <c r="B881" s="31"/>
      <c r="C881" s="32"/>
      <c r="D881" s="33"/>
      <c r="E881" s="34"/>
      <c r="F881" s="34"/>
      <c r="G881" s="35"/>
      <c r="H881" s="34"/>
      <c r="I881" s="37"/>
    </row>
    <row r="882" ht="22.5" customHeight="1">
      <c r="A882" s="30"/>
      <c r="B882" s="40"/>
      <c r="C882" s="32"/>
      <c r="D882" s="33"/>
      <c r="E882" s="34"/>
      <c r="F882" s="34"/>
      <c r="G882" s="35"/>
      <c r="H882" s="34"/>
      <c r="I882" s="37"/>
    </row>
    <row r="883" ht="22.5" customHeight="1">
      <c r="A883" s="30"/>
      <c r="B883" s="31"/>
      <c r="C883" s="32"/>
      <c r="D883" s="33"/>
      <c r="E883" s="34"/>
      <c r="F883" s="34"/>
      <c r="G883" s="35"/>
      <c r="H883" s="34"/>
      <c r="I883" s="37"/>
    </row>
    <row r="884" ht="22.5" customHeight="1">
      <c r="A884" s="30"/>
      <c r="B884" s="31"/>
      <c r="C884" s="32"/>
      <c r="D884" s="33"/>
      <c r="E884" s="34"/>
      <c r="F884" s="34"/>
      <c r="G884" s="35"/>
      <c r="H884" s="34"/>
      <c r="I884" s="37"/>
    </row>
    <row r="885" ht="22.5" customHeight="1">
      <c r="A885" s="30"/>
      <c r="B885" s="31"/>
      <c r="C885" s="32"/>
      <c r="D885" s="33"/>
      <c r="E885" s="34"/>
      <c r="F885" s="34"/>
      <c r="G885" s="35"/>
      <c r="H885" s="34"/>
      <c r="I885" s="37"/>
    </row>
    <row r="886" ht="22.5" customHeight="1">
      <c r="A886" s="30"/>
      <c r="B886" s="31"/>
      <c r="C886" s="32"/>
      <c r="D886" s="33"/>
      <c r="E886" s="34"/>
      <c r="F886" s="34"/>
      <c r="G886" s="35"/>
      <c r="H886" s="34"/>
      <c r="I886" s="37"/>
    </row>
    <row r="887" ht="22.5" customHeight="1">
      <c r="A887" s="30"/>
      <c r="B887" s="31"/>
      <c r="C887" s="32"/>
      <c r="D887" s="33"/>
      <c r="E887" s="34"/>
      <c r="F887" s="34"/>
      <c r="G887" s="35"/>
      <c r="H887" s="34"/>
      <c r="I887" s="37"/>
    </row>
    <row r="888" ht="22.5" customHeight="1">
      <c r="A888" s="30"/>
      <c r="B888" s="31"/>
      <c r="C888" s="32"/>
      <c r="D888" s="33"/>
      <c r="E888" s="34"/>
      <c r="F888" s="34"/>
      <c r="G888" s="35"/>
      <c r="H888" s="34"/>
      <c r="I888" s="37"/>
    </row>
    <row r="889" ht="22.5" customHeight="1">
      <c r="A889" s="30"/>
      <c r="B889" s="31"/>
      <c r="C889" s="32"/>
      <c r="D889" s="33"/>
      <c r="E889" s="34"/>
      <c r="F889" s="34"/>
      <c r="G889" s="35"/>
      <c r="H889" s="34"/>
      <c r="I889" s="37"/>
    </row>
    <row r="890" ht="22.5" customHeight="1">
      <c r="A890" s="30"/>
      <c r="B890" s="31"/>
      <c r="C890" s="32"/>
      <c r="D890" s="33"/>
      <c r="E890" s="34"/>
      <c r="F890" s="34"/>
      <c r="G890" s="35"/>
      <c r="H890" s="34"/>
      <c r="I890" s="37"/>
    </row>
    <row r="891" ht="22.5" customHeight="1">
      <c r="A891" s="30"/>
      <c r="B891" s="31"/>
      <c r="C891" s="32"/>
      <c r="D891" s="33"/>
      <c r="E891" s="34"/>
      <c r="F891" s="34"/>
      <c r="G891" s="35"/>
      <c r="H891" s="34"/>
      <c r="I891" s="37"/>
    </row>
    <row r="892" ht="22.5" customHeight="1">
      <c r="A892" s="30"/>
      <c r="B892" s="31"/>
      <c r="C892" s="32"/>
      <c r="D892" s="33"/>
      <c r="E892" s="34"/>
      <c r="F892" s="34"/>
      <c r="G892" s="35"/>
      <c r="H892" s="34"/>
      <c r="I892" s="37"/>
    </row>
    <row r="893" ht="22.5" customHeight="1">
      <c r="A893" s="30"/>
      <c r="B893" s="31"/>
      <c r="C893" s="32"/>
      <c r="D893" s="33"/>
      <c r="E893" s="34"/>
      <c r="F893" s="34"/>
      <c r="G893" s="35"/>
      <c r="H893" s="34"/>
      <c r="I893" s="37"/>
    </row>
    <row r="894" ht="22.5" customHeight="1">
      <c r="A894" s="30"/>
      <c r="B894" s="31"/>
      <c r="C894" s="32"/>
      <c r="D894" s="33"/>
      <c r="E894" s="34"/>
      <c r="F894" s="34"/>
      <c r="G894" s="35"/>
      <c r="H894" s="34"/>
      <c r="I894" s="37"/>
    </row>
    <row r="895" ht="22.5" customHeight="1">
      <c r="A895" s="30"/>
      <c r="B895" s="31"/>
      <c r="C895" s="32"/>
      <c r="D895" s="33"/>
      <c r="E895" s="34"/>
      <c r="F895" s="34"/>
      <c r="G895" s="35"/>
      <c r="H895" s="34"/>
      <c r="I895" s="37"/>
    </row>
    <row r="896" ht="22.5" customHeight="1">
      <c r="A896" s="30"/>
      <c r="B896" s="31"/>
      <c r="C896" s="32"/>
      <c r="D896" s="33"/>
      <c r="E896" s="34"/>
      <c r="F896" s="34"/>
      <c r="G896" s="35"/>
      <c r="H896" s="34"/>
      <c r="I896" s="37"/>
    </row>
    <row r="897" ht="22.5" customHeight="1">
      <c r="A897" s="30"/>
      <c r="B897" s="31"/>
      <c r="C897" s="32"/>
      <c r="D897" s="33"/>
      <c r="E897" s="34"/>
      <c r="F897" s="34"/>
      <c r="G897" s="35"/>
      <c r="H897" s="34"/>
      <c r="I897" s="37"/>
    </row>
    <row r="898" ht="22.5" customHeight="1">
      <c r="A898" s="30"/>
      <c r="B898" s="31"/>
      <c r="C898" s="32"/>
      <c r="D898" s="33"/>
      <c r="E898" s="34"/>
      <c r="F898" s="34"/>
      <c r="G898" s="35"/>
      <c r="H898" s="34"/>
      <c r="I898" s="37"/>
    </row>
    <row r="899" ht="22.5" customHeight="1">
      <c r="A899" s="30"/>
      <c r="B899" s="31"/>
      <c r="C899" s="32"/>
      <c r="D899" s="33"/>
      <c r="E899" s="34"/>
      <c r="F899" s="34"/>
      <c r="G899" s="35"/>
      <c r="H899" s="34"/>
      <c r="I899" s="37"/>
    </row>
    <row r="900" ht="22.5" customHeight="1">
      <c r="A900" s="30"/>
      <c r="B900" s="31"/>
      <c r="C900" s="32"/>
      <c r="D900" s="33"/>
      <c r="E900" s="34"/>
      <c r="F900" s="34"/>
      <c r="G900" s="35"/>
      <c r="H900" s="34"/>
      <c r="I900" s="37"/>
    </row>
    <row r="901" ht="22.5" customHeight="1">
      <c r="A901" s="30"/>
      <c r="B901" s="31"/>
      <c r="C901" s="32"/>
      <c r="D901" s="33"/>
      <c r="E901" s="34"/>
      <c r="F901" s="34"/>
      <c r="G901" s="35"/>
      <c r="H901" s="34"/>
      <c r="I901" s="37"/>
    </row>
    <row r="902" ht="22.5" customHeight="1">
      <c r="A902" s="30"/>
      <c r="B902" s="31"/>
      <c r="C902" s="32"/>
      <c r="D902" s="33"/>
      <c r="E902" s="34"/>
      <c r="F902" s="34"/>
      <c r="G902" s="35"/>
      <c r="H902" s="34"/>
      <c r="I902" s="37"/>
    </row>
    <row r="903" ht="22.5" customHeight="1">
      <c r="A903" s="30"/>
      <c r="B903" s="31"/>
      <c r="C903" s="32"/>
      <c r="D903" s="33"/>
      <c r="E903" s="34"/>
      <c r="F903" s="34"/>
      <c r="G903" s="35"/>
      <c r="H903" s="34"/>
      <c r="I903" s="37"/>
    </row>
    <row r="904" ht="22.5" customHeight="1">
      <c r="A904" s="30"/>
      <c r="B904" s="40"/>
      <c r="C904" s="32"/>
      <c r="D904" s="33"/>
      <c r="E904" s="34"/>
      <c r="F904" s="34"/>
      <c r="G904" s="35"/>
      <c r="H904" s="34"/>
      <c r="I904" s="37"/>
    </row>
    <row r="905" ht="22.5" customHeight="1">
      <c r="A905" s="30"/>
      <c r="B905" s="31"/>
      <c r="C905" s="32"/>
      <c r="D905" s="33"/>
      <c r="E905" s="34"/>
      <c r="F905" s="34"/>
      <c r="G905" s="35"/>
      <c r="H905" s="34"/>
      <c r="I905" s="37"/>
    </row>
    <row r="906" ht="22.5" customHeight="1">
      <c r="A906" s="30"/>
      <c r="B906" s="31"/>
      <c r="C906" s="32"/>
      <c r="D906" s="33"/>
      <c r="E906" s="34"/>
      <c r="F906" s="34"/>
      <c r="G906" s="35"/>
      <c r="H906" s="34"/>
      <c r="I906" s="37"/>
    </row>
    <row r="907" ht="22.5" customHeight="1">
      <c r="A907" s="30"/>
      <c r="B907" s="31"/>
      <c r="C907" s="32"/>
      <c r="D907" s="33"/>
      <c r="E907" s="34"/>
      <c r="F907" s="34"/>
      <c r="G907" s="35"/>
      <c r="H907" s="34"/>
      <c r="I907" s="37"/>
    </row>
    <row r="908" ht="22.5" customHeight="1">
      <c r="A908" s="30"/>
      <c r="B908" s="31"/>
      <c r="C908" s="32"/>
      <c r="D908" s="33"/>
      <c r="E908" s="34"/>
      <c r="F908" s="34"/>
      <c r="G908" s="35"/>
      <c r="H908" s="34"/>
      <c r="I908" s="38"/>
    </row>
    <row r="909" ht="22.5" customHeight="1">
      <c r="A909" s="30"/>
      <c r="B909" s="39"/>
      <c r="C909" s="32"/>
      <c r="D909" s="33"/>
      <c r="E909" s="34"/>
      <c r="F909" s="34"/>
      <c r="G909" s="35"/>
      <c r="H909" s="34"/>
      <c r="I909" s="37"/>
    </row>
    <row r="910" ht="22.5" customHeight="1">
      <c r="A910" s="30"/>
      <c r="B910" s="31"/>
      <c r="C910" s="32"/>
      <c r="D910" s="33"/>
      <c r="E910" s="34"/>
      <c r="F910" s="34"/>
      <c r="G910" s="35"/>
      <c r="H910" s="34"/>
      <c r="I910" s="37"/>
    </row>
    <row r="911" ht="22.5" customHeight="1">
      <c r="A911" s="30"/>
      <c r="B911" s="31"/>
      <c r="C911" s="32"/>
      <c r="D911" s="33"/>
      <c r="E911" s="34"/>
      <c r="F911" s="34"/>
      <c r="G911" s="35"/>
      <c r="H911" s="34"/>
      <c r="I911" s="37"/>
    </row>
    <row r="912" ht="22.5" customHeight="1">
      <c r="A912" s="30"/>
      <c r="B912" s="31"/>
      <c r="C912" s="32"/>
      <c r="D912" s="33"/>
      <c r="E912" s="34"/>
      <c r="F912" s="34"/>
      <c r="G912" s="35"/>
      <c r="H912" s="34"/>
      <c r="I912" s="37"/>
    </row>
    <row r="913" ht="22.5" customHeight="1">
      <c r="A913" s="30"/>
      <c r="B913" s="39"/>
      <c r="C913" s="32"/>
      <c r="D913" s="33"/>
      <c r="E913" s="34"/>
      <c r="F913" s="34"/>
      <c r="G913" s="35"/>
      <c r="H913" s="34"/>
      <c r="I913" s="37"/>
    </row>
    <row r="914" ht="22.5" customHeight="1">
      <c r="A914" s="30"/>
      <c r="B914" s="31"/>
      <c r="C914" s="32"/>
      <c r="D914" s="33"/>
      <c r="E914" s="34"/>
      <c r="F914" s="34"/>
      <c r="G914" s="35"/>
      <c r="H914" s="34"/>
      <c r="I914" s="37"/>
    </row>
    <row r="915" ht="22.5" customHeight="1">
      <c r="A915" s="30"/>
      <c r="B915" s="39"/>
      <c r="C915" s="32"/>
      <c r="D915" s="33"/>
      <c r="E915" s="34"/>
      <c r="F915" s="34"/>
      <c r="G915" s="35"/>
      <c r="H915" s="34"/>
      <c r="I915" s="37"/>
    </row>
    <row r="916" ht="22.5" customHeight="1">
      <c r="A916" s="30"/>
      <c r="B916" s="31"/>
      <c r="C916" s="32"/>
      <c r="D916" s="33"/>
      <c r="E916" s="34"/>
      <c r="F916" s="34"/>
      <c r="G916" s="35"/>
      <c r="H916" s="34"/>
      <c r="I916" s="37"/>
    </row>
    <row r="917" ht="22.5" customHeight="1">
      <c r="A917" s="30"/>
      <c r="B917" s="31"/>
      <c r="C917" s="32"/>
      <c r="D917" s="33"/>
      <c r="E917" s="34"/>
      <c r="F917" s="34"/>
      <c r="G917" s="35"/>
      <c r="H917" s="34"/>
      <c r="I917" s="37"/>
    </row>
    <row r="918" ht="22.5" customHeight="1">
      <c r="A918" s="30"/>
      <c r="B918" s="31"/>
      <c r="C918" s="32"/>
      <c r="D918" s="33"/>
      <c r="E918" s="34"/>
      <c r="F918" s="34"/>
      <c r="G918" s="35"/>
      <c r="H918" s="34"/>
      <c r="I918" s="37"/>
    </row>
    <row r="919" ht="22.5" customHeight="1">
      <c r="A919" s="30"/>
      <c r="B919" s="31"/>
      <c r="C919" s="32"/>
      <c r="D919" s="33"/>
      <c r="E919" s="34"/>
      <c r="F919" s="34"/>
      <c r="G919" s="35"/>
      <c r="H919" s="34"/>
      <c r="I919" s="37"/>
    </row>
    <row r="920" ht="22.5" customHeight="1">
      <c r="A920" s="30"/>
      <c r="B920" s="31"/>
      <c r="C920" s="32"/>
      <c r="D920" s="33"/>
      <c r="E920" s="34"/>
      <c r="F920" s="34"/>
      <c r="G920" s="35"/>
      <c r="H920" s="34"/>
      <c r="I920" s="37"/>
    </row>
    <row r="921" ht="22.5" customHeight="1">
      <c r="A921" s="30"/>
      <c r="B921" s="31"/>
      <c r="C921" s="32"/>
      <c r="D921" s="33"/>
      <c r="E921" s="34"/>
      <c r="F921" s="34"/>
      <c r="G921" s="35"/>
      <c r="H921" s="34"/>
      <c r="I921" s="37"/>
    </row>
    <row r="922" ht="22.5" customHeight="1">
      <c r="A922" s="30"/>
      <c r="B922" s="31"/>
      <c r="C922" s="32"/>
      <c r="D922" s="33"/>
      <c r="E922" s="34"/>
      <c r="F922" s="34"/>
      <c r="G922" s="35"/>
      <c r="H922" s="34"/>
      <c r="I922" s="37"/>
    </row>
    <row r="923" ht="22.5" customHeight="1">
      <c r="A923" s="30"/>
      <c r="B923" s="31"/>
      <c r="C923" s="32"/>
      <c r="D923" s="33"/>
      <c r="E923" s="34"/>
      <c r="F923" s="34"/>
      <c r="G923" s="35"/>
      <c r="H923" s="34"/>
      <c r="I923" s="37"/>
    </row>
    <row r="924" ht="22.5" customHeight="1">
      <c r="A924" s="30"/>
      <c r="B924" s="31"/>
      <c r="C924" s="32"/>
      <c r="D924" s="33"/>
      <c r="E924" s="34"/>
      <c r="F924" s="34"/>
      <c r="G924" s="35"/>
      <c r="H924" s="34"/>
      <c r="I924" s="37"/>
    </row>
    <row r="925" ht="22.5" customHeight="1">
      <c r="A925" s="30"/>
      <c r="B925" s="31"/>
      <c r="C925" s="32"/>
      <c r="D925" s="33"/>
      <c r="E925" s="34"/>
      <c r="F925" s="34"/>
      <c r="G925" s="35"/>
      <c r="H925" s="34"/>
      <c r="I925" s="37"/>
    </row>
    <row r="926" ht="22.5" customHeight="1">
      <c r="A926" s="30"/>
      <c r="B926" s="40"/>
      <c r="C926" s="32"/>
      <c r="D926" s="33"/>
      <c r="E926" s="34"/>
      <c r="F926" s="34"/>
      <c r="G926" s="35"/>
      <c r="H926" s="34"/>
      <c r="I926" s="37"/>
    </row>
    <row r="927" ht="22.5" customHeight="1">
      <c r="A927" s="30"/>
      <c r="B927" s="31"/>
      <c r="C927" s="32"/>
      <c r="D927" s="33"/>
      <c r="E927" s="34"/>
      <c r="F927" s="34"/>
      <c r="G927" s="35"/>
      <c r="H927" s="34"/>
      <c r="I927" s="37"/>
    </row>
    <row r="928" ht="22.5" customHeight="1">
      <c r="A928" s="30"/>
      <c r="B928" s="31"/>
      <c r="C928" s="32"/>
      <c r="D928" s="33"/>
      <c r="E928" s="34"/>
      <c r="F928" s="34"/>
      <c r="G928" s="35"/>
      <c r="H928" s="34"/>
      <c r="I928" s="37"/>
    </row>
    <row r="929" ht="22.5" customHeight="1">
      <c r="A929" s="30"/>
      <c r="B929" s="31"/>
      <c r="C929" s="32"/>
      <c r="D929" s="33"/>
      <c r="E929" s="34"/>
      <c r="F929" s="34"/>
      <c r="G929" s="35"/>
      <c r="H929" s="34"/>
      <c r="I929" s="37"/>
    </row>
    <row r="930" ht="22.5" customHeight="1">
      <c r="A930" s="30"/>
      <c r="B930" s="31"/>
      <c r="C930" s="32"/>
      <c r="D930" s="33"/>
      <c r="E930" s="34"/>
      <c r="F930" s="34"/>
      <c r="G930" s="35"/>
      <c r="H930" s="34"/>
      <c r="I930" s="37"/>
    </row>
    <row r="931" ht="22.5" customHeight="1">
      <c r="A931" s="30"/>
      <c r="B931" s="31"/>
      <c r="C931" s="32"/>
      <c r="D931" s="33"/>
      <c r="E931" s="34"/>
      <c r="F931" s="34"/>
      <c r="G931" s="35"/>
      <c r="H931" s="34"/>
      <c r="I931" s="37"/>
    </row>
    <row r="932" ht="22.5" customHeight="1">
      <c r="A932" s="30"/>
      <c r="B932" s="31"/>
      <c r="C932" s="32"/>
      <c r="D932" s="33"/>
      <c r="E932" s="34"/>
      <c r="F932" s="34"/>
      <c r="G932" s="35"/>
      <c r="H932" s="34"/>
      <c r="I932" s="37"/>
    </row>
    <row r="933" ht="22.5" customHeight="1">
      <c r="A933" s="30"/>
      <c r="B933" s="39"/>
      <c r="C933" s="32"/>
      <c r="D933" s="33"/>
      <c r="E933" s="34"/>
      <c r="F933" s="34"/>
      <c r="G933" s="35"/>
      <c r="H933" s="34"/>
      <c r="I933" s="37"/>
    </row>
    <row r="934" ht="22.5" customHeight="1">
      <c r="A934" s="30"/>
      <c r="B934" s="39"/>
      <c r="C934" s="32"/>
      <c r="D934" s="33"/>
      <c r="E934" s="34"/>
      <c r="F934" s="34"/>
      <c r="G934" s="35"/>
      <c r="H934" s="34"/>
      <c r="I934" s="37"/>
    </row>
    <row r="935" ht="22.5" customHeight="1">
      <c r="A935" s="30"/>
      <c r="B935" s="39"/>
      <c r="C935" s="32"/>
      <c r="D935" s="33"/>
      <c r="E935" s="34"/>
      <c r="F935" s="34"/>
      <c r="G935" s="35"/>
      <c r="H935" s="34"/>
      <c r="I935" s="37"/>
    </row>
    <row r="936" ht="22.5" customHeight="1">
      <c r="A936" s="30"/>
      <c r="B936" s="40"/>
      <c r="C936" s="32"/>
      <c r="D936" s="33"/>
      <c r="E936" s="34"/>
      <c r="F936" s="34"/>
      <c r="G936" s="35"/>
      <c r="H936" s="34"/>
      <c r="I936" s="37"/>
    </row>
    <row r="937" ht="22.5" customHeight="1">
      <c r="A937" s="30"/>
      <c r="B937" s="31"/>
      <c r="C937" s="32"/>
      <c r="D937" s="33"/>
      <c r="E937" s="34"/>
      <c r="F937" s="34"/>
      <c r="G937" s="35"/>
      <c r="H937" s="34"/>
      <c r="I937" s="37"/>
    </row>
    <row r="938" ht="22.5" customHeight="1">
      <c r="A938" s="30"/>
      <c r="B938" s="31"/>
      <c r="C938" s="32"/>
      <c r="D938" s="33"/>
      <c r="E938" s="34"/>
      <c r="F938" s="34"/>
      <c r="G938" s="35"/>
      <c r="H938" s="34"/>
      <c r="I938" s="37"/>
    </row>
    <row r="939" ht="22.5" customHeight="1">
      <c r="A939" s="30"/>
      <c r="B939" s="31"/>
      <c r="C939" s="32"/>
      <c r="D939" s="33"/>
      <c r="E939" s="34"/>
      <c r="F939" s="34"/>
      <c r="G939" s="35"/>
      <c r="H939" s="34"/>
      <c r="I939" s="37"/>
    </row>
    <row r="940" ht="22.5" customHeight="1">
      <c r="A940" s="30"/>
      <c r="B940" s="31"/>
      <c r="C940" s="32"/>
      <c r="D940" s="33"/>
      <c r="E940" s="34"/>
      <c r="F940" s="34"/>
      <c r="G940" s="35"/>
      <c r="H940" s="34"/>
      <c r="I940" s="37"/>
    </row>
    <row r="941" ht="22.5" customHeight="1">
      <c r="A941" s="30"/>
      <c r="B941" s="31"/>
      <c r="C941" s="32"/>
      <c r="D941" s="33"/>
      <c r="E941" s="34"/>
      <c r="F941" s="34"/>
      <c r="G941" s="35"/>
      <c r="H941" s="34"/>
      <c r="I941" s="37"/>
    </row>
    <row r="942" ht="22.5" customHeight="1">
      <c r="A942" s="30"/>
      <c r="B942" s="31"/>
      <c r="C942" s="32"/>
      <c r="D942" s="33"/>
      <c r="E942" s="34"/>
      <c r="F942" s="34"/>
      <c r="G942" s="35"/>
      <c r="H942" s="34"/>
      <c r="I942" s="37"/>
    </row>
    <row r="943" ht="22.5" customHeight="1">
      <c r="A943" s="30"/>
      <c r="B943" s="31"/>
      <c r="C943" s="32"/>
      <c r="D943" s="33"/>
      <c r="E943" s="34"/>
      <c r="F943" s="34"/>
      <c r="G943" s="35"/>
      <c r="H943" s="34"/>
      <c r="I943" s="37"/>
    </row>
    <row r="944" ht="22.5" customHeight="1">
      <c r="A944" s="30"/>
      <c r="B944" s="31"/>
      <c r="C944" s="32"/>
      <c r="D944" s="33"/>
      <c r="E944" s="34"/>
      <c r="F944" s="34"/>
      <c r="G944" s="35"/>
      <c r="H944" s="34"/>
      <c r="I944" s="37"/>
    </row>
    <row r="945" ht="22.5" customHeight="1">
      <c r="A945" s="30"/>
      <c r="B945" s="31"/>
      <c r="C945" s="32"/>
      <c r="D945" s="33"/>
      <c r="E945" s="34"/>
      <c r="F945" s="34"/>
      <c r="G945" s="35"/>
      <c r="H945" s="34"/>
      <c r="I945" s="37"/>
    </row>
    <row r="946" ht="22.5" customHeight="1">
      <c r="A946" s="30"/>
      <c r="B946" s="40"/>
      <c r="C946" s="32"/>
      <c r="D946" s="33"/>
      <c r="E946" s="34"/>
      <c r="F946" s="34"/>
      <c r="G946" s="35"/>
      <c r="H946" s="34"/>
      <c r="I946" s="37"/>
    </row>
    <row r="947" ht="22.5" customHeight="1">
      <c r="A947" s="30"/>
      <c r="B947" s="31"/>
      <c r="C947" s="32"/>
      <c r="D947" s="33"/>
      <c r="E947" s="34"/>
      <c r="F947" s="34"/>
      <c r="G947" s="35"/>
      <c r="H947" s="34"/>
      <c r="I947" s="37"/>
    </row>
    <row r="948" ht="22.5" customHeight="1">
      <c r="A948" s="30"/>
      <c r="B948" s="31"/>
      <c r="C948" s="32"/>
      <c r="D948" s="33"/>
      <c r="E948" s="34"/>
      <c r="F948" s="34"/>
      <c r="G948" s="35"/>
      <c r="H948" s="34"/>
      <c r="I948" s="37"/>
    </row>
    <row r="949" ht="22.5" customHeight="1">
      <c r="A949" s="30"/>
      <c r="B949" s="31"/>
      <c r="C949" s="32"/>
      <c r="D949" s="33"/>
      <c r="E949" s="34"/>
      <c r="F949" s="34"/>
      <c r="G949" s="35"/>
      <c r="H949" s="34"/>
      <c r="I949" s="37"/>
    </row>
    <row r="950" ht="22.5" customHeight="1">
      <c r="A950" s="30"/>
      <c r="B950" s="40"/>
      <c r="C950" s="32"/>
      <c r="D950" s="33"/>
      <c r="E950" s="34"/>
      <c r="F950" s="34"/>
      <c r="G950" s="35"/>
      <c r="H950" s="34"/>
      <c r="I950" s="37"/>
    </row>
    <row r="951" ht="22.5" customHeight="1">
      <c r="A951" s="30"/>
      <c r="B951" s="31"/>
      <c r="C951" s="32"/>
      <c r="D951" s="33"/>
      <c r="E951" s="34"/>
      <c r="F951" s="34"/>
      <c r="G951" s="35"/>
      <c r="H951" s="34"/>
      <c r="I951" s="37"/>
    </row>
    <row r="952" ht="22.5" customHeight="1">
      <c r="A952" s="30"/>
      <c r="B952" s="31"/>
      <c r="C952" s="32"/>
      <c r="D952" s="33"/>
      <c r="E952" s="34"/>
      <c r="F952" s="34"/>
      <c r="G952" s="35"/>
      <c r="H952" s="34"/>
      <c r="I952" s="37"/>
    </row>
    <row r="953" ht="22.5" customHeight="1">
      <c r="A953" s="30"/>
      <c r="B953" s="31"/>
      <c r="C953" s="32"/>
      <c r="D953" s="33"/>
      <c r="E953" s="34"/>
      <c r="F953" s="34"/>
      <c r="G953" s="35"/>
      <c r="H953" s="34"/>
      <c r="I953" s="37"/>
    </row>
    <row r="954" ht="22.5" customHeight="1">
      <c r="A954" s="30"/>
      <c r="B954" s="31"/>
      <c r="C954" s="32"/>
      <c r="D954" s="33"/>
      <c r="E954" s="34"/>
      <c r="F954" s="34"/>
      <c r="G954" s="35"/>
      <c r="H954" s="34"/>
      <c r="I954" s="37"/>
    </row>
    <row r="955" ht="22.5" customHeight="1">
      <c r="A955" s="30"/>
      <c r="B955" s="31"/>
      <c r="C955" s="32"/>
      <c r="D955" s="33"/>
      <c r="E955" s="34"/>
      <c r="F955" s="34"/>
      <c r="G955" s="35"/>
      <c r="H955" s="34"/>
      <c r="I955" s="37"/>
    </row>
    <row r="956" ht="22.5" customHeight="1">
      <c r="A956" s="30"/>
      <c r="B956" s="31"/>
      <c r="C956" s="32"/>
      <c r="D956" s="33"/>
      <c r="E956" s="34"/>
      <c r="F956" s="34"/>
      <c r="G956" s="35"/>
      <c r="H956" s="34"/>
      <c r="I956" s="37"/>
    </row>
    <row r="957" ht="22.5" customHeight="1">
      <c r="A957" s="30"/>
      <c r="B957" s="31"/>
      <c r="C957" s="32"/>
      <c r="D957" s="33"/>
      <c r="E957" s="34"/>
      <c r="F957" s="34"/>
      <c r="G957" s="35"/>
      <c r="H957" s="34"/>
      <c r="I957" s="37"/>
    </row>
    <row r="958" ht="22.5" customHeight="1">
      <c r="A958" s="30"/>
      <c r="B958" s="31"/>
      <c r="C958" s="32"/>
      <c r="D958" s="33"/>
      <c r="E958" s="34"/>
      <c r="F958" s="34"/>
      <c r="G958" s="35"/>
      <c r="H958" s="34"/>
      <c r="I958" s="37"/>
    </row>
    <row r="959" ht="22.5" customHeight="1">
      <c r="A959" s="30"/>
      <c r="B959" s="31"/>
      <c r="C959" s="32"/>
      <c r="D959" s="33"/>
      <c r="E959" s="34"/>
      <c r="F959" s="34"/>
      <c r="G959" s="35"/>
      <c r="H959" s="34"/>
      <c r="I959" s="37"/>
    </row>
    <row r="960" ht="22.5" customHeight="1">
      <c r="A960" s="30"/>
      <c r="B960" s="31"/>
      <c r="C960" s="32"/>
      <c r="D960" s="33"/>
      <c r="E960" s="34"/>
      <c r="F960" s="34"/>
      <c r="G960" s="35"/>
      <c r="H960" s="34"/>
      <c r="I960" s="37"/>
    </row>
    <row r="961" ht="22.5" customHeight="1">
      <c r="A961" s="30"/>
      <c r="B961" s="31"/>
      <c r="C961" s="32"/>
      <c r="D961" s="33"/>
      <c r="E961" s="34"/>
      <c r="F961" s="34"/>
      <c r="G961" s="35"/>
      <c r="H961" s="34"/>
      <c r="I961" s="37"/>
    </row>
    <row r="962" ht="22.5" customHeight="1">
      <c r="A962" s="30"/>
      <c r="B962" s="31"/>
      <c r="C962" s="32"/>
      <c r="D962" s="33"/>
      <c r="E962" s="34"/>
      <c r="F962" s="34"/>
      <c r="G962" s="35"/>
      <c r="H962" s="34"/>
      <c r="I962" s="37"/>
    </row>
    <row r="963" ht="22.5" customHeight="1">
      <c r="A963" s="30"/>
      <c r="B963" s="31"/>
      <c r="C963" s="32"/>
      <c r="D963" s="33"/>
      <c r="E963" s="34"/>
      <c r="F963" s="34"/>
      <c r="G963" s="35"/>
      <c r="H963" s="34"/>
      <c r="I963" s="37"/>
    </row>
    <row r="964" ht="22.5" customHeight="1">
      <c r="A964" s="30"/>
      <c r="B964" s="31"/>
      <c r="C964" s="32"/>
      <c r="D964" s="33"/>
      <c r="E964" s="34"/>
      <c r="F964" s="34"/>
      <c r="G964" s="35"/>
      <c r="H964" s="34"/>
      <c r="I964" s="37"/>
    </row>
    <row r="965" ht="22.5" customHeight="1">
      <c r="A965" s="30"/>
      <c r="B965" s="40"/>
      <c r="C965" s="32"/>
      <c r="D965" s="33"/>
      <c r="E965" s="34"/>
      <c r="F965" s="34"/>
      <c r="G965" s="35"/>
      <c r="H965" s="34"/>
      <c r="I965" s="37"/>
    </row>
    <row r="966" ht="22.5" customHeight="1">
      <c r="A966" s="30"/>
      <c r="B966" s="31"/>
      <c r="C966" s="32"/>
      <c r="D966" s="33"/>
      <c r="E966" s="34"/>
      <c r="F966" s="34"/>
      <c r="G966" s="35"/>
      <c r="H966" s="34"/>
      <c r="I966" s="37"/>
    </row>
    <row r="967" ht="22.5" customHeight="1">
      <c r="A967" s="30"/>
      <c r="B967" s="40"/>
      <c r="C967" s="32"/>
      <c r="D967" s="33"/>
      <c r="E967" s="34"/>
      <c r="F967" s="34"/>
      <c r="G967" s="35"/>
      <c r="H967" s="34"/>
      <c r="I967" s="37"/>
    </row>
    <row r="968" ht="22.5" customHeight="1">
      <c r="A968" s="30"/>
      <c r="B968" s="31"/>
      <c r="C968" s="32"/>
      <c r="D968" s="33"/>
      <c r="E968" s="34"/>
      <c r="F968" s="34"/>
      <c r="G968" s="35"/>
      <c r="H968" s="34"/>
      <c r="I968" s="37"/>
    </row>
    <row r="969" ht="22.5" customHeight="1">
      <c r="A969" s="30"/>
      <c r="B969" s="31"/>
      <c r="C969" s="32"/>
      <c r="D969" s="33"/>
      <c r="E969" s="34"/>
      <c r="F969" s="34"/>
      <c r="G969" s="35"/>
      <c r="H969" s="34"/>
      <c r="I969" s="37"/>
    </row>
    <row r="970" ht="22.5" customHeight="1">
      <c r="A970" s="30"/>
      <c r="B970" s="31"/>
      <c r="C970" s="32"/>
      <c r="D970" s="33"/>
      <c r="E970" s="34"/>
      <c r="F970" s="34"/>
      <c r="G970" s="35"/>
      <c r="H970" s="34"/>
      <c r="I970" s="37"/>
    </row>
    <row r="971" ht="22.5" customHeight="1">
      <c r="A971" s="30"/>
      <c r="B971" s="31"/>
      <c r="C971" s="32"/>
      <c r="D971" s="33"/>
      <c r="E971" s="34"/>
      <c r="F971" s="34"/>
      <c r="G971" s="35"/>
      <c r="H971" s="34"/>
      <c r="I971" s="37"/>
    </row>
    <row r="972" ht="22.5" customHeight="1">
      <c r="A972" s="30"/>
      <c r="B972" s="40"/>
      <c r="C972" s="32"/>
      <c r="D972" s="33"/>
      <c r="E972" s="34"/>
      <c r="F972" s="34"/>
      <c r="G972" s="35"/>
      <c r="H972" s="34"/>
      <c r="I972" s="37"/>
    </row>
    <row r="973" ht="22.5" customHeight="1">
      <c r="A973" s="30"/>
      <c r="B973" s="31"/>
      <c r="C973" s="32"/>
      <c r="D973" s="33"/>
      <c r="E973" s="34"/>
      <c r="F973" s="34"/>
      <c r="G973" s="35"/>
      <c r="H973" s="34"/>
      <c r="I973" s="37"/>
    </row>
    <row r="974" ht="22.5" customHeight="1">
      <c r="A974" s="30"/>
      <c r="B974" s="31"/>
      <c r="C974" s="32"/>
      <c r="D974" s="33"/>
      <c r="E974" s="34"/>
      <c r="F974" s="34"/>
      <c r="G974" s="35"/>
      <c r="H974" s="34"/>
      <c r="I974" s="37"/>
    </row>
    <row r="975" ht="22.5" customHeight="1">
      <c r="A975" s="30"/>
      <c r="B975" s="31"/>
      <c r="C975" s="32"/>
      <c r="D975" s="33"/>
      <c r="E975" s="34"/>
      <c r="F975" s="34"/>
      <c r="G975" s="35"/>
      <c r="H975" s="34"/>
      <c r="I975" s="37"/>
    </row>
    <row r="976" ht="22.5" customHeight="1">
      <c r="A976" s="30"/>
      <c r="B976" s="31"/>
      <c r="C976" s="32"/>
      <c r="D976" s="33"/>
      <c r="E976" s="34"/>
      <c r="F976" s="34"/>
      <c r="G976" s="35"/>
      <c r="H976" s="34"/>
      <c r="I976" s="37"/>
    </row>
    <row r="977" ht="22.5" customHeight="1">
      <c r="A977" s="30"/>
      <c r="B977" s="31"/>
      <c r="C977" s="32"/>
      <c r="D977" s="33"/>
      <c r="E977" s="34"/>
      <c r="F977" s="34"/>
      <c r="G977" s="35"/>
      <c r="H977" s="34"/>
      <c r="I977" s="37"/>
    </row>
    <row r="978" ht="22.5" customHeight="1">
      <c r="A978" s="30"/>
      <c r="B978" s="31"/>
      <c r="C978" s="32"/>
      <c r="D978" s="33"/>
      <c r="E978" s="34"/>
      <c r="F978" s="34"/>
      <c r="G978" s="35"/>
      <c r="H978" s="34"/>
      <c r="I978" s="37"/>
    </row>
    <row r="979" ht="22.5" customHeight="1">
      <c r="A979" s="30"/>
      <c r="B979" s="31"/>
      <c r="C979" s="32"/>
      <c r="D979" s="33"/>
      <c r="E979" s="34"/>
      <c r="F979" s="34"/>
      <c r="G979" s="35"/>
      <c r="H979" s="34"/>
      <c r="I979" s="37"/>
    </row>
    <row r="980" ht="22.5" customHeight="1">
      <c r="A980" s="30"/>
      <c r="B980" s="31"/>
      <c r="C980" s="32"/>
      <c r="D980" s="33"/>
      <c r="E980" s="34"/>
      <c r="F980" s="34"/>
      <c r="G980" s="35"/>
      <c r="H980" s="34"/>
      <c r="I980" s="37"/>
    </row>
    <row r="981" ht="22.5" customHeight="1">
      <c r="A981" s="30"/>
      <c r="B981" s="31"/>
      <c r="C981" s="32"/>
      <c r="D981" s="33"/>
      <c r="E981" s="34"/>
      <c r="F981" s="34"/>
      <c r="G981" s="35"/>
      <c r="H981" s="34"/>
      <c r="I981" s="37"/>
    </row>
    <row r="982" ht="22.5" customHeight="1">
      <c r="A982" s="30"/>
      <c r="B982" s="31"/>
      <c r="C982" s="32"/>
      <c r="D982" s="33"/>
      <c r="E982" s="34"/>
      <c r="F982" s="34"/>
      <c r="G982" s="35"/>
      <c r="H982" s="34"/>
      <c r="I982" s="37"/>
    </row>
    <row r="983" ht="22.5" customHeight="1">
      <c r="A983" s="30"/>
      <c r="B983" s="31"/>
      <c r="C983" s="32"/>
      <c r="D983" s="33"/>
      <c r="E983" s="34"/>
      <c r="F983" s="34"/>
      <c r="G983" s="35"/>
      <c r="H983" s="34"/>
      <c r="I983" s="37"/>
    </row>
    <row r="984" ht="22.5" customHeight="1">
      <c r="A984" s="30"/>
      <c r="B984" s="31"/>
      <c r="C984" s="32"/>
      <c r="D984" s="33"/>
      <c r="E984" s="34"/>
      <c r="F984" s="34"/>
      <c r="G984" s="35"/>
      <c r="H984" s="34"/>
      <c r="I984" s="37"/>
    </row>
    <row r="985" ht="22.5" customHeight="1">
      <c r="A985" s="30"/>
      <c r="B985" s="31"/>
      <c r="C985" s="32"/>
      <c r="D985" s="33"/>
      <c r="E985" s="34"/>
      <c r="F985" s="34"/>
      <c r="G985" s="35"/>
      <c r="H985" s="34"/>
      <c r="I985" s="37"/>
    </row>
    <row r="986" ht="22.5" customHeight="1">
      <c r="A986" s="30"/>
      <c r="B986" s="31"/>
      <c r="C986" s="32"/>
      <c r="D986" s="33"/>
      <c r="E986" s="34"/>
      <c r="F986" s="34"/>
      <c r="G986" s="35"/>
      <c r="H986" s="34"/>
      <c r="I986" s="37"/>
    </row>
    <row r="987" ht="22.5" customHeight="1">
      <c r="A987" s="30"/>
      <c r="B987" s="31"/>
      <c r="C987" s="32"/>
      <c r="D987" s="33"/>
      <c r="E987" s="34"/>
      <c r="F987" s="34"/>
      <c r="G987" s="35"/>
      <c r="H987" s="34"/>
      <c r="I987" s="37"/>
    </row>
    <row r="988" ht="22.5" customHeight="1">
      <c r="A988" s="30"/>
      <c r="B988" s="31"/>
      <c r="C988" s="32"/>
      <c r="D988" s="33"/>
      <c r="E988" s="34"/>
      <c r="F988" s="34"/>
      <c r="G988" s="35"/>
      <c r="H988" s="34"/>
      <c r="I988" s="37"/>
    </row>
    <row r="989" ht="22.5" customHeight="1">
      <c r="A989" s="30"/>
      <c r="B989" s="31"/>
      <c r="C989" s="32"/>
      <c r="D989" s="33"/>
      <c r="E989" s="34"/>
      <c r="F989" s="34"/>
      <c r="G989" s="35"/>
      <c r="H989" s="34"/>
      <c r="I989" s="37"/>
    </row>
    <row r="990" ht="22.5" customHeight="1">
      <c r="A990" s="30"/>
      <c r="B990" s="31"/>
      <c r="C990" s="32"/>
      <c r="D990" s="33"/>
      <c r="E990" s="34"/>
      <c r="F990" s="34"/>
      <c r="G990" s="35"/>
      <c r="H990" s="34"/>
      <c r="I990" s="37"/>
    </row>
    <row r="991" ht="22.5" customHeight="1">
      <c r="A991" s="30"/>
      <c r="B991" s="31"/>
      <c r="C991" s="32"/>
      <c r="D991" s="33"/>
      <c r="E991" s="34"/>
      <c r="F991" s="34"/>
      <c r="G991" s="35"/>
      <c r="H991" s="34"/>
      <c r="I991" s="37"/>
    </row>
    <row r="992" ht="22.5" customHeight="1">
      <c r="A992" s="30"/>
      <c r="B992" s="31"/>
      <c r="C992" s="32"/>
      <c r="D992" s="33"/>
      <c r="E992" s="34"/>
      <c r="F992" s="34"/>
      <c r="G992" s="35"/>
      <c r="H992" s="34"/>
      <c r="I992" s="37"/>
    </row>
    <row r="993" ht="22.5" customHeight="1">
      <c r="A993" s="30"/>
      <c r="B993" s="31"/>
      <c r="C993" s="32"/>
      <c r="D993" s="33"/>
      <c r="E993" s="34"/>
      <c r="F993" s="34"/>
      <c r="G993" s="35"/>
      <c r="H993" s="34"/>
      <c r="I993" s="37"/>
    </row>
    <row r="994" ht="22.5" customHeight="1">
      <c r="A994" s="30"/>
      <c r="B994" s="40"/>
      <c r="C994" s="32"/>
      <c r="D994" s="33"/>
      <c r="E994" s="34"/>
      <c r="F994" s="34"/>
      <c r="G994" s="35"/>
      <c r="H994" s="34"/>
      <c r="I994" s="37"/>
    </row>
    <row r="995" ht="22.5" customHeight="1">
      <c r="A995" s="30"/>
      <c r="B995" s="31"/>
      <c r="C995" s="32"/>
      <c r="D995" s="33"/>
      <c r="E995" s="34"/>
      <c r="F995" s="34"/>
      <c r="G995" s="35"/>
      <c r="H995" s="34"/>
      <c r="I995" s="37"/>
    </row>
    <row r="996" ht="22.5" customHeight="1">
      <c r="A996" s="30"/>
      <c r="B996" s="31"/>
      <c r="C996" s="32"/>
      <c r="D996" s="33"/>
      <c r="E996" s="34"/>
      <c r="F996" s="34"/>
      <c r="G996" s="35"/>
      <c r="H996" s="34"/>
      <c r="I996" s="37"/>
    </row>
    <row r="997" ht="22.5" customHeight="1">
      <c r="A997" s="30"/>
      <c r="B997" s="31"/>
      <c r="C997" s="32"/>
      <c r="D997" s="33"/>
      <c r="E997" s="34"/>
      <c r="F997" s="34"/>
      <c r="G997" s="35"/>
      <c r="H997" s="34"/>
      <c r="I997" s="37"/>
    </row>
    <row r="998" ht="22.5" customHeight="1">
      <c r="A998" s="30"/>
      <c r="B998" s="31"/>
      <c r="C998" s="32"/>
      <c r="D998" s="33"/>
      <c r="E998" s="34"/>
      <c r="F998" s="34"/>
      <c r="G998" s="35"/>
      <c r="H998" s="34"/>
      <c r="I998" s="38"/>
    </row>
    <row r="999" ht="22.5" customHeight="1">
      <c r="A999" s="30"/>
      <c r="B999" s="39"/>
      <c r="C999" s="32"/>
      <c r="D999" s="33"/>
      <c r="E999" s="34"/>
      <c r="F999" s="34"/>
      <c r="G999" s="35"/>
      <c r="H999" s="34"/>
      <c r="I999" s="37"/>
    </row>
    <row r="1000" ht="22.5" customHeight="1">
      <c r="A1000" s="30"/>
      <c r="B1000" s="31"/>
      <c r="C1000" s="32"/>
      <c r="D1000" s="33"/>
      <c r="E1000" s="34"/>
      <c r="F1000" s="34"/>
      <c r="G1000" s="35"/>
      <c r="H1000" s="34"/>
      <c r="I1000" s="37"/>
    </row>
    <row r="1001" ht="22.5" customHeight="1">
      <c r="A1001" s="30"/>
      <c r="B1001" s="31"/>
      <c r="C1001" s="32"/>
      <c r="D1001" s="33"/>
      <c r="E1001" s="34"/>
      <c r="F1001" s="34"/>
      <c r="G1001" s="35"/>
      <c r="H1001" s="34"/>
      <c r="I1001" s="37"/>
    </row>
    <row r="1002" ht="22.5" customHeight="1">
      <c r="A1002" s="30"/>
      <c r="B1002" s="31"/>
      <c r="C1002" s="32"/>
      <c r="D1002" s="33"/>
      <c r="E1002" s="34"/>
      <c r="F1002" s="34"/>
      <c r="G1002" s="35"/>
      <c r="H1002" s="34"/>
      <c r="I1002" s="37"/>
    </row>
    <row r="1003" ht="22.5" customHeight="1">
      <c r="A1003" s="30"/>
      <c r="B1003" s="39"/>
      <c r="C1003" s="32"/>
      <c r="D1003" s="33"/>
      <c r="E1003" s="34"/>
      <c r="F1003" s="34"/>
      <c r="G1003" s="35"/>
      <c r="H1003" s="34"/>
      <c r="I1003" s="37"/>
    </row>
    <row r="1004" ht="22.5" customHeight="1">
      <c r="A1004" s="30"/>
      <c r="B1004" s="31"/>
      <c r="C1004" s="32"/>
      <c r="D1004" s="33"/>
      <c r="E1004" s="34"/>
      <c r="F1004" s="34"/>
      <c r="G1004" s="35"/>
      <c r="H1004" s="34"/>
      <c r="I1004" s="37"/>
    </row>
    <row r="1005" ht="22.5" customHeight="1">
      <c r="A1005" s="30"/>
      <c r="B1005" s="39"/>
      <c r="C1005" s="32"/>
      <c r="D1005" s="33"/>
      <c r="E1005" s="34"/>
      <c r="F1005" s="34"/>
      <c r="G1005" s="35"/>
      <c r="H1005" s="34"/>
      <c r="I1005" s="37"/>
    </row>
    <row r="1006" ht="22.5" customHeight="1">
      <c r="A1006" s="30"/>
      <c r="B1006" s="31"/>
      <c r="C1006" s="32"/>
      <c r="D1006" s="33"/>
      <c r="E1006" s="34"/>
      <c r="F1006" s="34"/>
      <c r="G1006" s="35"/>
      <c r="H1006" s="34"/>
      <c r="I1006" s="37"/>
    </row>
    <row r="1007" ht="22.5" customHeight="1">
      <c r="A1007" s="30"/>
      <c r="B1007" s="31"/>
      <c r="C1007" s="32"/>
      <c r="D1007" s="33"/>
      <c r="E1007" s="34"/>
      <c r="F1007" s="34"/>
      <c r="G1007" s="35"/>
      <c r="H1007" s="34"/>
      <c r="I1007" s="37"/>
    </row>
    <row r="1008" ht="22.5" customHeight="1">
      <c r="A1008" s="30"/>
      <c r="B1008" s="31"/>
      <c r="C1008" s="32"/>
      <c r="D1008" s="33"/>
      <c r="E1008" s="34"/>
      <c r="F1008" s="34"/>
      <c r="G1008" s="35"/>
      <c r="H1008" s="34"/>
      <c r="I1008" s="37"/>
    </row>
    <row r="1009" ht="22.5" customHeight="1">
      <c r="A1009" s="30"/>
      <c r="B1009" s="31"/>
      <c r="C1009" s="32"/>
      <c r="D1009" s="33"/>
      <c r="E1009" s="34"/>
      <c r="F1009" s="34"/>
      <c r="G1009" s="35"/>
      <c r="H1009" s="34"/>
      <c r="I1009" s="37"/>
    </row>
    <row r="1010" ht="22.5" customHeight="1">
      <c r="A1010" s="30"/>
      <c r="B1010" s="31"/>
      <c r="C1010" s="32"/>
      <c r="D1010" s="33"/>
      <c r="E1010" s="34"/>
      <c r="F1010" s="34"/>
      <c r="G1010" s="35"/>
      <c r="H1010" s="34"/>
      <c r="I1010" s="37"/>
    </row>
    <row r="1011" ht="22.5" customHeight="1">
      <c r="A1011" s="30"/>
      <c r="B1011" s="31"/>
      <c r="C1011" s="32"/>
      <c r="D1011" s="33"/>
      <c r="E1011" s="34"/>
      <c r="F1011" s="34"/>
      <c r="G1011" s="35"/>
      <c r="H1011" s="34"/>
      <c r="I1011" s="37"/>
    </row>
    <row r="1012" ht="22.5" customHeight="1">
      <c r="A1012" s="30"/>
      <c r="B1012" s="31"/>
      <c r="C1012" s="32"/>
      <c r="D1012" s="33"/>
      <c r="E1012" s="34"/>
      <c r="F1012" s="34"/>
      <c r="G1012" s="35"/>
      <c r="H1012" s="34"/>
      <c r="I1012" s="37"/>
    </row>
    <row r="1013" ht="22.5" customHeight="1">
      <c r="A1013" s="30"/>
      <c r="B1013" s="31"/>
      <c r="C1013" s="32"/>
      <c r="D1013" s="33"/>
      <c r="E1013" s="34"/>
      <c r="F1013" s="34"/>
      <c r="G1013" s="35"/>
      <c r="H1013" s="34"/>
      <c r="I1013" s="37"/>
    </row>
    <row r="1014" ht="22.5" customHeight="1">
      <c r="A1014" s="30"/>
      <c r="B1014" s="31"/>
      <c r="C1014" s="32"/>
      <c r="D1014" s="33"/>
      <c r="E1014" s="34"/>
      <c r="F1014" s="34"/>
      <c r="G1014" s="35"/>
      <c r="H1014" s="34"/>
      <c r="I1014" s="37"/>
    </row>
    <row r="1015" ht="22.5" customHeight="1">
      <c r="A1015" s="30"/>
      <c r="B1015" s="31"/>
      <c r="C1015" s="32"/>
      <c r="D1015" s="33"/>
      <c r="E1015" s="34"/>
      <c r="F1015" s="34"/>
      <c r="G1015" s="35"/>
      <c r="H1015" s="34"/>
      <c r="I1015" s="37"/>
    </row>
    <row r="1016" ht="22.5" customHeight="1">
      <c r="A1016" s="30"/>
      <c r="B1016" s="40"/>
      <c r="C1016" s="32"/>
      <c r="D1016" s="33"/>
      <c r="E1016" s="34"/>
      <c r="F1016" s="34"/>
      <c r="G1016" s="35"/>
      <c r="H1016" s="34"/>
      <c r="I1016" s="37"/>
    </row>
    <row r="1017" ht="22.5" customHeight="1">
      <c r="A1017" s="30"/>
      <c r="B1017" s="31"/>
      <c r="C1017" s="32"/>
      <c r="D1017" s="33"/>
      <c r="E1017" s="34"/>
      <c r="F1017" s="34"/>
      <c r="G1017" s="35"/>
      <c r="H1017" s="34"/>
      <c r="I1017" s="37"/>
    </row>
    <row r="1018" ht="22.5" customHeight="1">
      <c r="A1018" s="30"/>
      <c r="B1018" s="31"/>
      <c r="C1018" s="32"/>
      <c r="D1018" s="33"/>
      <c r="E1018" s="34"/>
      <c r="F1018" s="34"/>
      <c r="G1018" s="35"/>
      <c r="H1018" s="34"/>
      <c r="I1018" s="37"/>
    </row>
    <row r="1019" ht="22.5" customHeight="1">
      <c r="A1019" s="30"/>
      <c r="B1019" s="31"/>
      <c r="C1019" s="32"/>
      <c r="D1019" s="33"/>
      <c r="E1019" s="34"/>
      <c r="F1019" s="34"/>
      <c r="G1019" s="35"/>
      <c r="H1019" s="34"/>
      <c r="I1019" s="37"/>
    </row>
    <row r="1020" ht="22.5" customHeight="1">
      <c r="A1020" s="30"/>
      <c r="B1020" s="31"/>
      <c r="C1020" s="32"/>
      <c r="D1020" s="33"/>
      <c r="E1020" s="34"/>
      <c r="F1020" s="34"/>
      <c r="G1020" s="35"/>
      <c r="H1020" s="34"/>
      <c r="I1020" s="37"/>
    </row>
    <row r="1021" ht="22.5" customHeight="1">
      <c r="A1021" s="30"/>
      <c r="B1021" s="31"/>
      <c r="C1021" s="32"/>
      <c r="D1021" s="33"/>
      <c r="E1021" s="34"/>
      <c r="F1021" s="34"/>
      <c r="G1021" s="35"/>
      <c r="H1021" s="34"/>
      <c r="I1021" s="37"/>
    </row>
    <row r="1022" ht="22.5" customHeight="1">
      <c r="A1022" s="30"/>
      <c r="B1022" s="31"/>
      <c r="C1022" s="32"/>
      <c r="D1022" s="33"/>
      <c r="E1022" s="34"/>
      <c r="F1022" s="34"/>
      <c r="G1022" s="35"/>
      <c r="H1022" s="34"/>
      <c r="I1022" s="37"/>
    </row>
    <row r="1023" ht="22.5" customHeight="1">
      <c r="A1023" s="30"/>
      <c r="B1023" s="39"/>
      <c r="C1023" s="32"/>
      <c r="D1023" s="33"/>
      <c r="E1023" s="34"/>
      <c r="F1023" s="34"/>
      <c r="G1023" s="35"/>
      <c r="H1023" s="34"/>
      <c r="I1023" s="37"/>
    </row>
    <row r="1024" ht="22.5" customHeight="1">
      <c r="A1024" s="30"/>
      <c r="B1024" s="39"/>
      <c r="C1024" s="32"/>
      <c r="D1024" s="33"/>
      <c r="E1024" s="34"/>
      <c r="F1024" s="34"/>
      <c r="G1024" s="35"/>
      <c r="H1024" s="34"/>
      <c r="I1024" s="37"/>
    </row>
    <row r="1025" ht="22.5" customHeight="1">
      <c r="A1025" s="30"/>
      <c r="B1025" s="39"/>
      <c r="C1025" s="32"/>
      <c r="D1025" s="33"/>
      <c r="E1025" s="34"/>
      <c r="F1025" s="34"/>
      <c r="G1025" s="35"/>
      <c r="H1025" s="34"/>
      <c r="I1025" s="37"/>
    </row>
    <row r="1026" ht="22.5" customHeight="1">
      <c r="A1026" s="30"/>
      <c r="B1026" s="40"/>
      <c r="C1026" s="32"/>
      <c r="D1026" s="33"/>
      <c r="E1026" s="34"/>
      <c r="F1026" s="34"/>
      <c r="G1026" s="35"/>
      <c r="H1026" s="34"/>
      <c r="I1026" s="37"/>
    </row>
    <row r="1027" ht="22.5" customHeight="1">
      <c r="A1027" s="30"/>
      <c r="B1027" s="31"/>
      <c r="C1027" s="32"/>
      <c r="D1027" s="33"/>
      <c r="E1027" s="34"/>
      <c r="F1027" s="34"/>
      <c r="G1027" s="35"/>
      <c r="H1027" s="34"/>
      <c r="I1027" s="37"/>
    </row>
    <row r="1028" ht="22.5" customHeight="1">
      <c r="A1028" s="30"/>
      <c r="B1028" s="31"/>
      <c r="C1028" s="32"/>
      <c r="D1028" s="33"/>
      <c r="E1028" s="34"/>
      <c r="F1028" s="34"/>
      <c r="G1028" s="35"/>
      <c r="H1028" s="34"/>
      <c r="I1028" s="37"/>
    </row>
    <row r="1029" ht="22.5" customHeight="1">
      <c r="A1029" s="30"/>
      <c r="B1029" s="31"/>
      <c r="C1029" s="32"/>
      <c r="D1029" s="33"/>
      <c r="E1029" s="34"/>
      <c r="F1029" s="34"/>
      <c r="G1029" s="35"/>
      <c r="H1029" s="34"/>
      <c r="I1029" s="37"/>
    </row>
    <row r="1030" ht="22.5" customHeight="1">
      <c r="A1030" s="30"/>
      <c r="B1030" s="31"/>
      <c r="C1030" s="32"/>
      <c r="D1030" s="33"/>
      <c r="E1030" s="34"/>
      <c r="F1030" s="34"/>
      <c r="G1030" s="35"/>
      <c r="H1030" s="34"/>
      <c r="I1030" s="37"/>
    </row>
    <row r="1031" ht="22.5" customHeight="1">
      <c r="A1031" s="30"/>
      <c r="B1031" s="31"/>
      <c r="C1031" s="32"/>
      <c r="D1031" s="33"/>
      <c r="E1031" s="34"/>
      <c r="F1031" s="34"/>
      <c r="G1031" s="35"/>
      <c r="H1031" s="34"/>
      <c r="I1031" s="37"/>
    </row>
    <row r="1032" ht="22.5" customHeight="1">
      <c r="A1032" s="30"/>
      <c r="B1032" s="31"/>
      <c r="C1032" s="32"/>
      <c r="D1032" s="33"/>
      <c r="E1032" s="34"/>
      <c r="F1032" s="34"/>
      <c r="G1032" s="35"/>
      <c r="H1032" s="34"/>
      <c r="I1032" s="37"/>
    </row>
    <row r="1033" ht="22.5" customHeight="1">
      <c r="A1033" s="30"/>
      <c r="B1033" s="31"/>
      <c r="C1033" s="32"/>
      <c r="D1033" s="33"/>
      <c r="E1033" s="34"/>
      <c r="F1033" s="34"/>
      <c r="G1033" s="35"/>
      <c r="H1033" s="34"/>
      <c r="I1033" s="37"/>
    </row>
    <row r="1034" ht="22.5" customHeight="1">
      <c r="A1034" s="30"/>
      <c r="B1034" s="31"/>
      <c r="C1034" s="32"/>
      <c r="D1034" s="33"/>
      <c r="E1034" s="34"/>
      <c r="F1034" s="34"/>
      <c r="G1034" s="35"/>
      <c r="H1034" s="34"/>
      <c r="I1034" s="37"/>
    </row>
    <row r="1035" ht="22.5" customHeight="1">
      <c r="A1035" s="30"/>
      <c r="B1035" s="31"/>
      <c r="C1035" s="32"/>
      <c r="D1035" s="33"/>
      <c r="E1035" s="34"/>
      <c r="F1035" s="34"/>
      <c r="G1035" s="35"/>
      <c r="H1035" s="34"/>
      <c r="I1035" s="37"/>
    </row>
    <row r="1036" ht="22.5" customHeight="1">
      <c r="A1036" s="30"/>
      <c r="B1036" s="40"/>
      <c r="C1036" s="32"/>
      <c r="D1036" s="33"/>
      <c r="E1036" s="34"/>
      <c r="F1036" s="34"/>
      <c r="G1036" s="35"/>
      <c r="H1036" s="34"/>
      <c r="I1036" s="37"/>
    </row>
    <row r="1037" ht="22.5" customHeight="1">
      <c r="A1037" s="30"/>
      <c r="B1037" s="31"/>
      <c r="C1037" s="32"/>
      <c r="D1037" s="33"/>
      <c r="E1037" s="34"/>
      <c r="F1037" s="34"/>
      <c r="G1037" s="35"/>
      <c r="H1037" s="34"/>
      <c r="I1037" s="37"/>
    </row>
    <row r="1038" ht="22.5" customHeight="1">
      <c r="A1038" s="30"/>
      <c r="B1038" s="31"/>
      <c r="C1038" s="32"/>
      <c r="D1038" s="33"/>
      <c r="E1038" s="34"/>
      <c r="F1038" s="34"/>
      <c r="G1038" s="35"/>
      <c r="H1038" s="34"/>
      <c r="I1038" s="37"/>
    </row>
    <row r="1039" ht="22.5" customHeight="1">
      <c r="A1039" s="30"/>
      <c r="B1039" s="31"/>
      <c r="C1039" s="32"/>
      <c r="D1039" s="33"/>
      <c r="E1039" s="34"/>
      <c r="F1039" s="34"/>
      <c r="G1039" s="35"/>
      <c r="H1039" s="34"/>
      <c r="I1039" s="37"/>
    </row>
    <row r="1040" ht="22.5" customHeight="1">
      <c r="A1040" s="30"/>
      <c r="B1040" s="40"/>
      <c r="C1040" s="32"/>
      <c r="D1040" s="33"/>
      <c r="E1040" s="34"/>
      <c r="F1040" s="34"/>
      <c r="G1040" s="35"/>
      <c r="H1040" s="34"/>
      <c r="I1040" s="37"/>
    </row>
    <row r="1041" ht="22.5" customHeight="1">
      <c r="A1041" s="30"/>
      <c r="B1041" s="31"/>
      <c r="C1041" s="32"/>
      <c r="D1041" s="33"/>
      <c r="E1041" s="34"/>
      <c r="F1041" s="34"/>
      <c r="G1041" s="35"/>
      <c r="H1041" s="34"/>
      <c r="I1041" s="37"/>
    </row>
    <row r="1042" ht="22.5" customHeight="1">
      <c r="A1042" s="30"/>
      <c r="B1042" s="31"/>
      <c r="C1042" s="32"/>
      <c r="D1042" s="33"/>
      <c r="E1042" s="34"/>
      <c r="F1042" s="34"/>
      <c r="G1042" s="35"/>
      <c r="H1042" s="34"/>
      <c r="I1042" s="37"/>
    </row>
    <row r="1043" ht="22.5" customHeight="1">
      <c r="A1043" s="30"/>
      <c r="B1043" s="31"/>
      <c r="C1043" s="32"/>
      <c r="D1043" s="33"/>
      <c r="E1043" s="34"/>
      <c r="F1043" s="34"/>
      <c r="G1043" s="35"/>
      <c r="H1043" s="34"/>
      <c r="I1043" s="37"/>
    </row>
    <row r="1044" ht="22.5" customHeight="1">
      <c r="A1044" s="30"/>
      <c r="B1044" s="31"/>
      <c r="C1044" s="32"/>
      <c r="D1044" s="33"/>
      <c r="E1044" s="34"/>
      <c r="F1044" s="34"/>
      <c r="G1044" s="35"/>
      <c r="H1044" s="34"/>
      <c r="I1044" s="37"/>
    </row>
    <row r="1045" ht="22.5" customHeight="1">
      <c r="A1045" s="30"/>
      <c r="B1045" s="31"/>
      <c r="C1045" s="32"/>
      <c r="D1045" s="33"/>
      <c r="E1045" s="34"/>
      <c r="F1045" s="34"/>
      <c r="G1045" s="35"/>
      <c r="H1045" s="34"/>
      <c r="I1045" s="37"/>
    </row>
    <row r="1046" ht="22.5" customHeight="1">
      <c r="A1046" s="30"/>
      <c r="B1046" s="31"/>
      <c r="C1046" s="32"/>
      <c r="D1046" s="33"/>
      <c r="E1046" s="34"/>
      <c r="F1046" s="34"/>
      <c r="G1046" s="35"/>
      <c r="H1046" s="34"/>
      <c r="I1046" s="37"/>
    </row>
    <row r="1047" ht="22.5" customHeight="1">
      <c r="A1047" s="30"/>
      <c r="B1047" s="31"/>
      <c r="C1047" s="32"/>
      <c r="D1047" s="33"/>
      <c r="E1047" s="34"/>
      <c r="F1047" s="34"/>
      <c r="G1047" s="35"/>
      <c r="H1047" s="34"/>
      <c r="I1047" s="37"/>
    </row>
    <row r="1048" ht="22.5" customHeight="1">
      <c r="A1048" s="30"/>
      <c r="B1048" s="31"/>
      <c r="C1048" s="32"/>
      <c r="D1048" s="33"/>
      <c r="E1048" s="34"/>
      <c r="F1048" s="34"/>
      <c r="G1048" s="35"/>
      <c r="H1048" s="34"/>
      <c r="I1048" s="37"/>
    </row>
    <row r="1049" ht="22.5" customHeight="1">
      <c r="A1049" s="30"/>
      <c r="B1049" s="31"/>
      <c r="C1049" s="32"/>
      <c r="D1049" s="33"/>
      <c r="E1049" s="34"/>
      <c r="F1049" s="34"/>
      <c r="G1049" s="35"/>
      <c r="H1049" s="34"/>
      <c r="I1049" s="37"/>
    </row>
    <row r="1050" ht="22.5" customHeight="1">
      <c r="A1050" s="30"/>
      <c r="B1050" s="31"/>
      <c r="C1050" s="32"/>
      <c r="D1050" s="33"/>
      <c r="E1050" s="34"/>
      <c r="F1050" s="34"/>
      <c r="G1050" s="35"/>
      <c r="H1050" s="34"/>
      <c r="I1050" s="37"/>
    </row>
    <row r="1051" ht="22.5" customHeight="1">
      <c r="A1051" s="30"/>
      <c r="B1051" s="31"/>
      <c r="C1051" s="32"/>
      <c r="D1051" s="33"/>
      <c r="E1051" s="34"/>
      <c r="F1051" s="34"/>
      <c r="G1051" s="35"/>
      <c r="H1051" s="34"/>
      <c r="I1051" s="37"/>
    </row>
    <row r="1052" ht="22.5" customHeight="1">
      <c r="A1052" s="30"/>
      <c r="B1052" s="31"/>
      <c r="C1052" s="32"/>
      <c r="D1052" s="33"/>
      <c r="E1052" s="34"/>
      <c r="F1052" s="34"/>
      <c r="G1052" s="35"/>
      <c r="H1052" s="34"/>
      <c r="I1052" s="37"/>
    </row>
    <row r="1053" ht="22.5" customHeight="1">
      <c r="A1053" s="30"/>
      <c r="B1053" s="31"/>
      <c r="C1053" s="32"/>
      <c r="D1053" s="33"/>
      <c r="E1053" s="34"/>
      <c r="F1053" s="34"/>
      <c r="G1053" s="35"/>
      <c r="H1053" s="34"/>
      <c r="I1053" s="37"/>
    </row>
    <row r="1054" ht="22.5" customHeight="1">
      <c r="A1054" s="30"/>
      <c r="B1054" s="31"/>
      <c r="C1054" s="32"/>
      <c r="D1054" s="33"/>
      <c r="E1054" s="34"/>
      <c r="F1054" s="34"/>
      <c r="G1054" s="35"/>
      <c r="H1054" s="34"/>
      <c r="I1054" s="37"/>
    </row>
    <row r="1055" ht="22.5" customHeight="1">
      <c r="A1055" s="30"/>
      <c r="B1055" s="40"/>
      <c r="C1055" s="32"/>
      <c r="D1055" s="33"/>
      <c r="E1055" s="34"/>
      <c r="F1055" s="34"/>
      <c r="G1055" s="35"/>
      <c r="H1055" s="34"/>
      <c r="I1055" s="37"/>
    </row>
    <row r="1056" ht="22.5" customHeight="1">
      <c r="A1056" s="30"/>
      <c r="B1056" s="31"/>
      <c r="C1056" s="32"/>
      <c r="D1056" s="33"/>
      <c r="E1056" s="34"/>
      <c r="F1056" s="34"/>
      <c r="G1056" s="35"/>
      <c r="H1056" s="34"/>
      <c r="I1056" s="37"/>
    </row>
    <row r="1057" ht="22.5" customHeight="1">
      <c r="A1057" s="30"/>
      <c r="B1057" s="40"/>
      <c r="C1057" s="32"/>
      <c r="D1057" s="33"/>
      <c r="E1057" s="34"/>
      <c r="F1057" s="34"/>
      <c r="G1057" s="35"/>
      <c r="H1057" s="34"/>
      <c r="I1057" s="37"/>
    </row>
    <row r="1058" ht="22.5" customHeight="1">
      <c r="A1058" s="30"/>
      <c r="B1058" s="31"/>
      <c r="C1058" s="32"/>
      <c r="D1058" s="33"/>
      <c r="E1058" s="34"/>
      <c r="F1058" s="34"/>
      <c r="G1058" s="35"/>
      <c r="H1058" s="34"/>
      <c r="I1058" s="37"/>
    </row>
    <row r="1059" ht="22.5" customHeight="1">
      <c r="A1059" s="30"/>
      <c r="B1059" s="31"/>
      <c r="C1059" s="32"/>
      <c r="D1059" s="33"/>
      <c r="E1059" s="34"/>
      <c r="F1059" s="34"/>
      <c r="G1059" s="35"/>
      <c r="H1059" s="34"/>
      <c r="I1059" s="37"/>
    </row>
    <row r="1060" ht="22.5" customHeight="1">
      <c r="A1060" s="30"/>
      <c r="B1060" s="31"/>
      <c r="C1060" s="32"/>
      <c r="D1060" s="33"/>
      <c r="E1060" s="34"/>
      <c r="F1060" s="34"/>
      <c r="G1060" s="35"/>
      <c r="H1060" s="34"/>
      <c r="I1060" s="37"/>
    </row>
    <row r="1061" ht="22.5" customHeight="1">
      <c r="A1061" s="30"/>
      <c r="B1061" s="31"/>
      <c r="C1061" s="32"/>
      <c r="D1061" s="33"/>
      <c r="E1061" s="34"/>
      <c r="F1061" s="34"/>
      <c r="G1061" s="35"/>
      <c r="H1061" s="34"/>
      <c r="I1061" s="37"/>
    </row>
    <row r="1062" ht="22.5" customHeight="1">
      <c r="A1062" s="30"/>
      <c r="B1062" s="40"/>
      <c r="C1062" s="32"/>
      <c r="D1062" s="33"/>
      <c r="E1062" s="34"/>
      <c r="F1062" s="34"/>
      <c r="G1062" s="35"/>
      <c r="H1062" s="34"/>
      <c r="I1062" s="37"/>
    </row>
    <row r="1063" ht="22.5" customHeight="1">
      <c r="A1063" s="30"/>
      <c r="B1063" s="31"/>
      <c r="C1063" s="32"/>
      <c r="D1063" s="33"/>
      <c r="E1063" s="34"/>
      <c r="F1063" s="34"/>
      <c r="G1063" s="35"/>
      <c r="H1063" s="34"/>
      <c r="I1063" s="37"/>
    </row>
    <row r="1064" ht="22.5" customHeight="1">
      <c r="A1064" s="30"/>
      <c r="B1064" s="31"/>
      <c r="C1064" s="32"/>
      <c r="D1064" s="33"/>
      <c r="E1064" s="34"/>
      <c r="F1064" s="34"/>
      <c r="G1064" s="35"/>
      <c r="H1064" s="34"/>
      <c r="I1064" s="37"/>
    </row>
    <row r="1065" ht="22.5" customHeight="1">
      <c r="A1065" s="30"/>
      <c r="B1065" s="31"/>
      <c r="C1065" s="32"/>
      <c r="D1065" s="33"/>
      <c r="E1065" s="34"/>
      <c r="F1065" s="34"/>
      <c r="G1065" s="35"/>
      <c r="H1065" s="34"/>
      <c r="I1065" s="37"/>
    </row>
    <row r="1066" ht="22.5" customHeight="1">
      <c r="A1066" s="30"/>
      <c r="B1066" s="31"/>
      <c r="C1066" s="32"/>
      <c r="D1066" s="33"/>
      <c r="E1066" s="34"/>
      <c r="F1066" s="34"/>
      <c r="G1066" s="35"/>
      <c r="H1066" s="34"/>
      <c r="I1066" s="37"/>
    </row>
    <row r="1067" ht="22.5" customHeight="1">
      <c r="A1067" s="30"/>
      <c r="B1067" s="31"/>
      <c r="C1067" s="32"/>
      <c r="D1067" s="33"/>
      <c r="E1067" s="34"/>
      <c r="F1067" s="34"/>
      <c r="G1067" s="35"/>
      <c r="H1067" s="34"/>
      <c r="I1067" s="37"/>
    </row>
    <row r="1068" ht="22.5" customHeight="1">
      <c r="A1068" s="30"/>
      <c r="B1068" s="31"/>
      <c r="C1068" s="32"/>
      <c r="D1068" s="33"/>
      <c r="E1068" s="34"/>
      <c r="F1068" s="34"/>
      <c r="G1068" s="35"/>
      <c r="H1068" s="34"/>
      <c r="I1068" s="37"/>
    </row>
    <row r="1069" ht="22.5" customHeight="1">
      <c r="A1069" s="30"/>
      <c r="B1069" s="31"/>
      <c r="C1069" s="32"/>
      <c r="D1069" s="33"/>
      <c r="E1069" s="34"/>
      <c r="F1069" s="34"/>
      <c r="G1069" s="35"/>
      <c r="H1069" s="34"/>
      <c r="I1069" s="37"/>
    </row>
    <row r="1070" ht="22.5" customHeight="1">
      <c r="A1070" s="30"/>
      <c r="B1070" s="31"/>
      <c r="C1070" s="32"/>
      <c r="D1070" s="33"/>
      <c r="E1070" s="34"/>
      <c r="F1070" s="34"/>
      <c r="G1070" s="35"/>
      <c r="H1070" s="34"/>
      <c r="I1070" s="37"/>
    </row>
    <row r="1071" ht="22.5" customHeight="1">
      <c r="A1071" s="30"/>
      <c r="B1071" s="31"/>
      <c r="C1071" s="32"/>
      <c r="D1071" s="33"/>
      <c r="E1071" s="34"/>
      <c r="F1071" s="34"/>
      <c r="G1071" s="35"/>
      <c r="H1071" s="34"/>
      <c r="I1071" s="37"/>
    </row>
    <row r="1072" ht="22.5" customHeight="1">
      <c r="A1072" s="30"/>
      <c r="B1072" s="31"/>
      <c r="C1072" s="32"/>
      <c r="D1072" s="33"/>
      <c r="E1072" s="34"/>
      <c r="F1072" s="34"/>
      <c r="G1072" s="35"/>
      <c r="H1072" s="34"/>
      <c r="I1072" s="37"/>
    </row>
    <row r="1073" ht="22.5" customHeight="1">
      <c r="A1073" s="30"/>
      <c r="B1073" s="31"/>
      <c r="C1073" s="32"/>
      <c r="D1073" s="33"/>
      <c r="E1073" s="34"/>
      <c r="F1073" s="34"/>
      <c r="G1073" s="35"/>
      <c r="H1073" s="34"/>
      <c r="I1073" s="37"/>
    </row>
    <row r="1074" ht="22.5" customHeight="1">
      <c r="A1074" s="30"/>
      <c r="B1074" s="31"/>
      <c r="C1074" s="32"/>
      <c r="D1074" s="33"/>
      <c r="E1074" s="34"/>
      <c r="F1074" s="34"/>
      <c r="G1074" s="35"/>
      <c r="H1074" s="34"/>
      <c r="I1074" s="37"/>
    </row>
    <row r="1075" ht="22.5" customHeight="1">
      <c r="A1075" s="30"/>
      <c r="B1075" s="31"/>
      <c r="C1075" s="32"/>
      <c r="D1075" s="33"/>
      <c r="E1075" s="34"/>
      <c r="F1075" s="34"/>
      <c r="G1075" s="35"/>
      <c r="H1075" s="34"/>
      <c r="I1075" s="37"/>
    </row>
    <row r="1076" ht="22.5" customHeight="1">
      <c r="A1076" s="30"/>
      <c r="B1076" s="31"/>
      <c r="C1076" s="32"/>
      <c r="D1076" s="33"/>
      <c r="E1076" s="34"/>
      <c r="F1076" s="34"/>
      <c r="G1076" s="35"/>
      <c r="H1076" s="34"/>
      <c r="I1076" s="37"/>
    </row>
    <row r="1077" ht="22.5" customHeight="1">
      <c r="A1077" s="30"/>
      <c r="B1077" s="31"/>
      <c r="C1077" s="32"/>
      <c r="D1077" s="33"/>
      <c r="E1077" s="34"/>
      <c r="F1077" s="34"/>
      <c r="G1077" s="35"/>
      <c r="H1077" s="34"/>
      <c r="I1077" s="37"/>
    </row>
    <row r="1078" ht="22.5" customHeight="1">
      <c r="A1078" s="30"/>
      <c r="B1078" s="31"/>
      <c r="C1078" s="32"/>
      <c r="D1078" s="33"/>
      <c r="E1078" s="34"/>
      <c r="F1078" s="34"/>
      <c r="G1078" s="35"/>
      <c r="H1078" s="34"/>
      <c r="I1078" s="37"/>
    </row>
    <row r="1079" ht="22.5" customHeight="1">
      <c r="A1079" s="30"/>
      <c r="B1079" s="31"/>
      <c r="C1079" s="32"/>
      <c r="D1079" s="33"/>
      <c r="E1079" s="34"/>
      <c r="F1079" s="34"/>
      <c r="G1079" s="35"/>
      <c r="H1079" s="34"/>
      <c r="I1079" s="37"/>
    </row>
    <row r="1080" ht="22.5" customHeight="1">
      <c r="A1080" s="30"/>
      <c r="B1080" s="31"/>
      <c r="C1080" s="32"/>
      <c r="D1080" s="33"/>
      <c r="E1080" s="34"/>
      <c r="F1080" s="34"/>
      <c r="G1080" s="35"/>
      <c r="H1080" s="34"/>
      <c r="I1080" s="37"/>
    </row>
    <row r="1081" ht="22.5" customHeight="1">
      <c r="A1081" s="30"/>
      <c r="B1081" s="31"/>
      <c r="C1081" s="32"/>
      <c r="D1081" s="33"/>
      <c r="E1081" s="34"/>
      <c r="F1081" s="34"/>
      <c r="G1081" s="35"/>
      <c r="H1081" s="34"/>
      <c r="I1081" s="37"/>
    </row>
    <row r="1082" ht="22.5" customHeight="1">
      <c r="A1082" s="30"/>
      <c r="B1082" s="31"/>
      <c r="C1082" s="32"/>
      <c r="D1082" s="33"/>
      <c r="E1082" s="34"/>
      <c r="F1082" s="34"/>
      <c r="G1082" s="35"/>
      <c r="H1082" s="34"/>
      <c r="I1082" s="37"/>
    </row>
    <row r="1083" ht="22.5" customHeight="1">
      <c r="A1083" s="30"/>
      <c r="B1083" s="31"/>
      <c r="C1083" s="32"/>
      <c r="D1083" s="33"/>
      <c r="E1083" s="34"/>
      <c r="F1083" s="34"/>
      <c r="G1083" s="35"/>
      <c r="H1083" s="34"/>
      <c r="I1083" s="37"/>
    </row>
    <row r="1084" ht="22.5" customHeight="1">
      <c r="A1084" s="30"/>
      <c r="B1084" s="40"/>
      <c r="C1084" s="32"/>
      <c r="D1084" s="33"/>
      <c r="E1084" s="34"/>
      <c r="F1084" s="34"/>
      <c r="G1084" s="35"/>
      <c r="H1084" s="34"/>
      <c r="I1084" s="37"/>
    </row>
    <row r="1085" ht="22.5" customHeight="1">
      <c r="A1085" s="30"/>
      <c r="B1085" s="31"/>
      <c r="C1085" s="32"/>
      <c r="D1085" s="33"/>
      <c r="E1085" s="34"/>
      <c r="F1085" s="34"/>
      <c r="G1085" s="35"/>
      <c r="H1085" s="34"/>
      <c r="I1085" s="37"/>
    </row>
    <row r="1086" ht="22.5" customHeight="1">
      <c r="A1086" s="30"/>
      <c r="B1086" s="31"/>
      <c r="C1086" s="32"/>
      <c r="D1086" s="33"/>
      <c r="E1086" s="34"/>
      <c r="F1086" s="34"/>
      <c r="G1086" s="35"/>
      <c r="H1086" s="34"/>
      <c r="I1086" s="37"/>
    </row>
    <row r="1087" ht="22.5" customHeight="1">
      <c r="A1087" s="30"/>
      <c r="B1087" s="31"/>
      <c r="C1087" s="32"/>
      <c r="D1087" s="33"/>
      <c r="E1087" s="34"/>
      <c r="F1087" s="34"/>
      <c r="G1087" s="35"/>
      <c r="H1087" s="34"/>
      <c r="I1087" s="37"/>
    </row>
    <row r="1088" ht="22.5" customHeight="1">
      <c r="A1088" s="30"/>
      <c r="B1088" s="31"/>
      <c r="C1088" s="32"/>
      <c r="D1088" s="33"/>
      <c r="E1088" s="34"/>
      <c r="F1088" s="34"/>
      <c r="G1088" s="35"/>
      <c r="H1088" s="34"/>
      <c r="I1088" s="38"/>
    </row>
    <row r="1089" ht="22.5" customHeight="1">
      <c r="A1089" s="30"/>
      <c r="B1089" s="39"/>
      <c r="C1089" s="32"/>
      <c r="D1089" s="33"/>
      <c r="E1089" s="34"/>
      <c r="F1089" s="34"/>
      <c r="G1089" s="35"/>
      <c r="H1089" s="34"/>
      <c r="I1089" s="37"/>
    </row>
    <row r="1090" ht="22.5" customHeight="1">
      <c r="A1090" s="30"/>
      <c r="B1090" s="31"/>
      <c r="C1090" s="32"/>
      <c r="D1090" s="33"/>
      <c r="E1090" s="34"/>
      <c r="F1090" s="34"/>
      <c r="G1090" s="35"/>
      <c r="H1090" s="34"/>
      <c r="I1090" s="37"/>
    </row>
    <row r="1091" ht="22.5" customHeight="1">
      <c r="A1091" s="30"/>
      <c r="B1091" s="31"/>
      <c r="C1091" s="32"/>
      <c r="D1091" s="33"/>
      <c r="E1091" s="34"/>
      <c r="F1091" s="34"/>
      <c r="G1091" s="35"/>
      <c r="H1091" s="34"/>
      <c r="I1091" s="37"/>
    </row>
    <row r="1092" ht="22.5" customHeight="1">
      <c r="A1092" s="30"/>
      <c r="B1092" s="31"/>
      <c r="C1092" s="32"/>
      <c r="D1092" s="33"/>
      <c r="E1092" s="34"/>
      <c r="F1092" s="34"/>
      <c r="G1092" s="35"/>
      <c r="H1092" s="34"/>
      <c r="I1092" s="37"/>
    </row>
    <row r="1093" ht="22.5" customHeight="1">
      <c r="A1093" s="30"/>
      <c r="B1093" s="39"/>
      <c r="C1093" s="32"/>
      <c r="D1093" s="33"/>
      <c r="E1093" s="34"/>
      <c r="F1093" s="34"/>
      <c r="G1093" s="35"/>
      <c r="H1093" s="34"/>
      <c r="I1093" s="37"/>
    </row>
    <row r="1094" ht="22.5" customHeight="1">
      <c r="A1094" s="30"/>
      <c r="B1094" s="31"/>
      <c r="C1094" s="32"/>
      <c r="D1094" s="33"/>
      <c r="E1094" s="34"/>
      <c r="F1094" s="34"/>
      <c r="G1094" s="35"/>
      <c r="H1094" s="34"/>
      <c r="I1094" s="37"/>
    </row>
    <row r="1095" ht="22.5" customHeight="1">
      <c r="A1095" s="30"/>
      <c r="B1095" s="39"/>
      <c r="C1095" s="32"/>
      <c r="D1095" s="33"/>
      <c r="E1095" s="34"/>
      <c r="F1095" s="34"/>
      <c r="G1095" s="35"/>
      <c r="H1095" s="34"/>
      <c r="I1095" s="37"/>
    </row>
    <row r="1096" ht="22.5" customHeight="1">
      <c r="A1096" s="30"/>
      <c r="B1096" s="31"/>
      <c r="C1096" s="32"/>
      <c r="D1096" s="33"/>
      <c r="E1096" s="34"/>
      <c r="F1096" s="34"/>
      <c r="G1096" s="35"/>
      <c r="H1096" s="34"/>
      <c r="I1096" s="37"/>
    </row>
    <row r="1097" ht="22.5" customHeight="1">
      <c r="A1097" s="30"/>
      <c r="B1097" s="31"/>
      <c r="C1097" s="32"/>
      <c r="D1097" s="33"/>
      <c r="E1097" s="34"/>
      <c r="F1097" s="34"/>
      <c r="G1097" s="35"/>
      <c r="H1097" s="34"/>
      <c r="I1097" s="37"/>
    </row>
    <row r="1098" ht="22.5" customHeight="1">
      <c r="A1098" s="30"/>
      <c r="B1098" s="31"/>
      <c r="C1098" s="32"/>
      <c r="D1098" s="33"/>
      <c r="E1098" s="34"/>
      <c r="F1098" s="34"/>
      <c r="G1098" s="35"/>
      <c r="H1098" s="34"/>
      <c r="I1098" s="37"/>
    </row>
    <row r="1099" ht="22.5" customHeight="1">
      <c r="A1099" s="30"/>
      <c r="B1099" s="31"/>
      <c r="C1099" s="32"/>
      <c r="D1099" s="33"/>
      <c r="E1099" s="34"/>
      <c r="F1099" s="34"/>
      <c r="G1099" s="35"/>
      <c r="H1099" s="34"/>
      <c r="I1099" s="37"/>
    </row>
    <row r="1100" ht="22.5" customHeight="1">
      <c r="A1100" s="30"/>
      <c r="B1100" s="31"/>
      <c r="C1100" s="32"/>
      <c r="D1100" s="33"/>
      <c r="E1100" s="34"/>
      <c r="F1100" s="34"/>
      <c r="G1100" s="35"/>
      <c r="H1100" s="34"/>
      <c r="I1100" s="37"/>
    </row>
    <row r="1101" ht="22.5" customHeight="1">
      <c r="A1101" s="30"/>
      <c r="B1101" s="31"/>
      <c r="C1101" s="32"/>
      <c r="D1101" s="33"/>
      <c r="E1101" s="34"/>
      <c r="F1101" s="34"/>
      <c r="G1101" s="35"/>
      <c r="H1101" s="34"/>
      <c r="I1101" s="37"/>
    </row>
    <row r="1102" ht="22.5" customHeight="1">
      <c r="A1102" s="30"/>
      <c r="B1102" s="31"/>
      <c r="C1102" s="32"/>
      <c r="D1102" s="33"/>
      <c r="E1102" s="34"/>
      <c r="F1102" s="34"/>
      <c r="G1102" s="35"/>
      <c r="H1102" s="34"/>
      <c r="I1102" s="37"/>
    </row>
    <row r="1103" ht="22.5" customHeight="1">
      <c r="A1103" s="30"/>
      <c r="B1103" s="31"/>
      <c r="C1103" s="32"/>
      <c r="D1103" s="33"/>
      <c r="E1103" s="34"/>
      <c r="F1103" s="34"/>
      <c r="G1103" s="35"/>
      <c r="H1103" s="34"/>
      <c r="I1103" s="37"/>
    </row>
    <row r="1104" ht="22.5" customHeight="1">
      <c r="A1104" s="30"/>
      <c r="B1104" s="31"/>
      <c r="C1104" s="32"/>
      <c r="D1104" s="33"/>
      <c r="E1104" s="34"/>
      <c r="F1104" s="34"/>
      <c r="G1104" s="35"/>
      <c r="H1104" s="34"/>
      <c r="I1104" s="37"/>
    </row>
    <row r="1105" ht="22.5" customHeight="1">
      <c r="A1105" s="30"/>
      <c r="B1105" s="31"/>
      <c r="C1105" s="32"/>
      <c r="D1105" s="33"/>
      <c r="E1105" s="34"/>
      <c r="F1105" s="34"/>
      <c r="G1105" s="35"/>
      <c r="H1105" s="34"/>
      <c r="I1105" s="37"/>
    </row>
    <row r="1106" ht="22.5" customHeight="1">
      <c r="A1106" s="30"/>
      <c r="B1106" s="40"/>
      <c r="C1106" s="32"/>
      <c r="D1106" s="33"/>
      <c r="E1106" s="34"/>
      <c r="F1106" s="34"/>
      <c r="G1106" s="35"/>
      <c r="H1106" s="34"/>
      <c r="I1106" s="37"/>
    </row>
    <row r="1107" ht="22.5" customHeight="1">
      <c r="A1107" s="30"/>
      <c r="B1107" s="31"/>
      <c r="C1107" s="32"/>
      <c r="D1107" s="33"/>
      <c r="E1107" s="34"/>
      <c r="F1107" s="34"/>
      <c r="G1107" s="35"/>
      <c r="H1107" s="34"/>
      <c r="I1107" s="37"/>
    </row>
    <row r="1108" ht="22.5" customHeight="1">
      <c r="A1108" s="30"/>
      <c r="B1108" s="31"/>
      <c r="C1108" s="32"/>
      <c r="D1108" s="33"/>
      <c r="E1108" s="34"/>
      <c r="F1108" s="34"/>
      <c r="G1108" s="35"/>
      <c r="H1108" s="34"/>
      <c r="I1108" s="37"/>
    </row>
    <row r="1109" ht="22.5" customHeight="1">
      <c r="A1109" s="30"/>
      <c r="B1109" s="31"/>
      <c r="C1109" s="32"/>
      <c r="D1109" s="33"/>
      <c r="E1109" s="34"/>
      <c r="F1109" s="34"/>
      <c r="G1109" s="35"/>
      <c r="H1109" s="34"/>
      <c r="I1109" s="37"/>
    </row>
    <row r="1110" ht="22.5" customHeight="1">
      <c r="A1110" s="30"/>
      <c r="B1110" s="31"/>
      <c r="C1110" s="32"/>
      <c r="D1110" s="33"/>
      <c r="E1110" s="34"/>
      <c r="F1110" s="34"/>
      <c r="G1110" s="35"/>
      <c r="H1110" s="34"/>
      <c r="I1110" s="37"/>
    </row>
    <row r="1111" ht="22.5" customHeight="1">
      <c r="A1111" s="30"/>
      <c r="B1111" s="31"/>
      <c r="C1111" s="32"/>
      <c r="D1111" s="33"/>
      <c r="E1111" s="34"/>
      <c r="F1111" s="34"/>
      <c r="G1111" s="35"/>
      <c r="H1111" s="34"/>
      <c r="I1111" s="37"/>
    </row>
    <row r="1112" ht="22.5" customHeight="1">
      <c r="A1112" s="30"/>
      <c r="B1112" s="31"/>
      <c r="C1112" s="32"/>
      <c r="D1112" s="33"/>
      <c r="E1112" s="34"/>
      <c r="F1112" s="34"/>
      <c r="G1112" s="35"/>
      <c r="H1112" s="34"/>
      <c r="I1112" s="37"/>
    </row>
    <row r="1113" ht="22.5" customHeight="1">
      <c r="A1113" s="30"/>
      <c r="B1113" s="39"/>
      <c r="C1113" s="32"/>
      <c r="D1113" s="33"/>
      <c r="E1113" s="34"/>
      <c r="F1113" s="34"/>
      <c r="G1113" s="35"/>
      <c r="H1113" s="34"/>
      <c r="I1113" s="37"/>
    </row>
    <row r="1114" ht="22.5" customHeight="1">
      <c r="A1114" s="30"/>
      <c r="B1114" s="39"/>
      <c r="C1114" s="32"/>
      <c r="D1114" s="33"/>
      <c r="E1114" s="34"/>
      <c r="F1114" s="34"/>
      <c r="G1114" s="35"/>
      <c r="H1114" s="34"/>
      <c r="I1114" s="37"/>
    </row>
    <row r="1115" ht="22.5" customHeight="1">
      <c r="A1115" s="30"/>
      <c r="B1115" s="39"/>
      <c r="C1115" s="32"/>
      <c r="D1115" s="33"/>
      <c r="E1115" s="34"/>
      <c r="F1115" s="34"/>
      <c r="G1115" s="35"/>
      <c r="H1115" s="34"/>
      <c r="I1115" s="37"/>
    </row>
    <row r="1116" ht="22.5" customHeight="1">
      <c r="A1116" s="30"/>
      <c r="B1116" s="40"/>
      <c r="C1116" s="32"/>
      <c r="D1116" s="33"/>
      <c r="E1116" s="34"/>
      <c r="F1116" s="34"/>
      <c r="G1116" s="35"/>
      <c r="H1116" s="34"/>
      <c r="I1116" s="37"/>
    </row>
    <row r="1117" ht="22.5" customHeight="1">
      <c r="A1117" s="30"/>
      <c r="B1117" s="31"/>
      <c r="C1117" s="32"/>
      <c r="D1117" s="33"/>
      <c r="E1117" s="34"/>
      <c r="F1117" s="34"/>
      <c r="G1117" s="35"/>
      <c r="H1117" s="34"/>
      <c r="I1117" s="37"/>
    </row>
    <row r="1118" ht="22.5" customHeight="1">
      <c r="A1118" s="30"/>
      <c r="B1118" s="31"/>
      <c r="C1118" s="32"/>
      <c r="D1118" s="33"/>
      <c r="E1118" s="34"/>
      <c r="F1118" s="34"/>
      <c r="G1118" s="35"/>
      <c r="H1118" s="34"/>
      <c r="I1118" s="37"/>
    </row>
    <row r="1119" ht="22.5" customHeight="1">
      <c r="A1119" s="30"/>
      <c r="B1119" s="31"/>
      <c r="C1119" s="32"/>
      <c r="D1119" s="33"/>
      <c r="E1119" s="34"/>
      <c r="F1119" s="34"/>
      <c r="G1119" s="35"/>
      <c r="H1119" s="34"/>
      <c r="I1119" s="37"/>
    </row>
    <row r="1120" ht="22.5" customHeight="1">
      <c r="A1120" s="30"/>
      <c r="B1120" s="31"/>
      <c r="C1120" s="32"/>
      <c r="D1120" s="33"/>
      <c r="E1120" s="34"/>
      <c r="F1120" s="34"/>
      <c r="G1120" s="35"/>
      <c r="H1120" s="34"/>
      <c r="I1120" s="37"/>
    </row>
    <row r="1121" ht="22.5" customHeight="1">
      <c r="A1121" s="30"/>
      <c r="B1121" s="31"/>
      <c r="C1121" s="32"/>
      <c r="D1121" s="33"/>
      <c r="E1121" s="34"/>
      <c r="F1121" s="34"/>
      <c r="G1121" s="35"/>
      <c r="H1121" s="34"/>
      <c r="I1121" s="37"/>
    </row>
    <row r="1122" ht="22.5" customHeight="1">
      <c r="A1122" s="30"/>
      <c r="B1122" s="31"/>
      <c r="C1122" s="32"/>
      <c r="D1122" s="33"/>
      <c r="E1122" s="34"/>
      <c r="F1122" s="34"/>
      <c r="G1122" s="35"/>
      <c r="H1122" s="34"/>
      <c r="I1122" s="37"/>
    </row>
    <row r="1123" ht="22.5" customHeight="1">
      <c r="A1123" s="30"/>
      <c r="B1123" s="31"/>
      <c r="C1123" s="32"/>
      <c r="D1123" s="33"/>
      <c r="E1123" s="34"/>
      <c r="F1123" s="34"/>
      <c r="G1123" s="35"/>
      <c r="H1123" s="34"/>
      <c r="I1123" s="37"/>
    </row>
    <row r="1124" ht="22.5" customHeight="1">
      <c r="A1124" s="30"/>
      <c r="B1124" s="31"/>
      <c r="C1124" s="32"/>
      <c r="D1124" s="33"/>
      <c r="E1124" s="34"/>
      <c r="F1124" s="34"/>
      <c r="G1124" s="35"/>
      <c r="H1124" s="34"/>
      <c r="I1124" s="37"/>
    </row>
    <row r="1125" ht="22.5" customHeight="1">
      <c r="A1125" s="30"/>
      <c r="B1125" s="31"/>
      <c r="C1125" s="32"/>
      <c r="D1125" s="33"/>
      <c r="E1125" s="34"/>
      <c r="F1125" s="34"/>
      <c r="G1125" s="35"/>
      <c r="H1125" s="34"/>
      <c r="I1125" s="37"/>
    </row>
    <row r="1126" ht="22.5" customHeight="1">
      <c r="A1126" s="30"/>
      <c r="B1126" s="40"/>
      <c r="C1126" s="32"/>
      <c r="D1126" s="33"/>
      <c r="E1126" s="34"/>
      <c r="F1126" s="34"/>
      <c r="G1126" s="35"/>
      <c r="H1126" s="34"/>
      <c r="I1126" s="37"/>
    </row>
    <row r="1127" ht="22.5" customHeight="1">
      <c r="A1127" s="30"/>
      <c r="B1127" s="31"/>
      <c r="C1127" s="32"/>
      <c r="D1127" s="33"/>
      <c r="E1127" s="34"/>
      <c r="F1127" s="34"/>
      <c r="G1127" s="35"/>
      <c r="H1127" s="34"/>
      <c r="I1127" s="37"/>
    </row>
    <row r="1128" ht="22.5" customHeight="1">
      <c r="A1128" s="30"/>
      <c r="B1128" s="31"/>
      <c r="C1128" s="32"/>
      <c r="D1128" s="33"/>
      <c r="E1128" s="34"/>
      <c r="F1128" s="34"/>
      <c r="G1128" s="35"/>
      <c r="H1128" s="34"/>
      <c r="I1128" s="37"/>
    </row>
    <row r="1129" ht="22.5" customHeight="1">
      <c r="A1129" s="30"/>
      <c r="B1129" s="31"/>
      <c r="C1129" s="32"/>
      <c r="D1129" s="33"/>
      <c r="E1129" s="34"/>
      <c r="F1129" s="34"/>
      <c r="G1129" s="35"/>
      <c r="H1129" s="34"/>
      <c r="I1129" s="37"/>
    </row>
    <row r="1130" ht="22.5" customHeight="1">
      <c r="A1130" s="30"/>
      <c r="B1130" s="40"/>
      <c r="C1130" s="32"/>
      <c r="D1130" s="33"/>
      <c r="E1130" s="34"/>
      <c r="F1130" s="34"/>
      <c r="G1130" s="35"/>
      <c r="H1130" s="34"/>
      <c r="I1130" s="37"/>
    </row>
    <row r="1131" ht="22.5" customHeight="1">
      <c r="A1131" s="30"/>
      <c r="B1131" s="31"/>
      <c r="C1131" s="32"/>
      <c r="D1131" s="33"/>
      <c r="E1131" s="34"/>
      <c r="F1131" s="34"/>
      <c r="G1131" s="35"/>
      <c r="H1131" s="34"/>
      <c r="I1131" s="37"/>
    </row>
    <row r="1132" ht="22.5" customHeight="1">
      <c r="A1132" s="30"/>
      <c r="B1132" s="31"/>
      <c r="C1132" s="32"/>
      <c r="D1132" s="33"/>
      <c r="E1132" s="34"/>
      <c r="F1132" s="34"/>
      <c r="G1132" s="35"/>
      <c r="H1132" s="34"/>
      <c r="I1132" s="37"/>
    </row>
    <row r="1133" ht="22.5" customHeight="1">
      <c r="A1133" s="30"/>
      <c r="B1133" s="31"/>
      <c r="C1133" s="32"/>
      <c r="D1133" s="33"/>
      <c r="E1133" s="34"/>
      <c r="F1133" s="34"/>
      <c r="G1133" s="35"/>
      <c r="H1133" s="34"/>
      <c r="I1133" s="37"/>
    </row>
    <row r="1134" ht="22.5" customHeight="1">
      <c r="A1134" s="30"/>
      <c r="B1134" s="31"/>
      <c r="C1134" s="32"/>
      <c r="D1134" s="33"/>
      <c r="E1134" s="34"/>
      <c r="F1134" s="34"/>
      <c r="G1134" s="35"/>
      <c r="H1134" s="34"/>
      <c r="I1134" s="37"/>
    </row>
    <row r="1135" ht="22.5" customHeight="1">
      <c r="A1135" s="30"/>
      <c r="B1135" s="31"/>
      <c r="C1135" s="32"/>
      <c r="D1135" s="33"/>
      <c r="E1135" s="34"/>
      <c r="F1135" s="34"/>
      <c r="G1135" s="35"/>
      <c r="H1135" s="34"/>
      <c r="I1135" s="37"/>
    </row>
    <row r="1136" ht="22.5" customHeight="1">
      <c r="A1136" s="30"/>
      <c r="B1136" s="31"/>
      <c r="C1136" s="32"/>
      <c r="D1136" s="33"/>
      <c r="E1136" s="34"/>
      <c r="F1136" s="34"/>
      <c r="G1136" s="35"/>
      <c r="H1136" s="34"/>
      <c r="I1136" s="37"/>
    </row>
    <row r="1137" ht="22.5" customHeight="1">
      <c r="A1137" s="30"/>
      <c r="B1137" s="31"/>
      <c r="C1137" s="32"/>
      <c r="D1137" s="33"/>
      <c r="E1137" s="34"/>
      <c r="F1137" s="34"/>
      <c r="G1137" s="35"/>
      <c r="H1137" s="34"/>
      <c r="I1137" s="37"/>
    </row>
    <row r="1138" ht="22.5" customHeight="1">
      <c r="A1138" s="30"/>
      <c r="B1138" s="31"/>
      <c r="C1138" s="32"/>
      <c r="D1138" s="33"/>
      <c r="E1138" s="34"/>
      <c r="F1138" s="34"/>
      <c r="G1138" s="35"/>
      <c r="H1138" s="34"/>
      <c r="I1138" s="37"/>
    </row>
    <row r="1139" ht="22.5" customHeight="1">
      <c r="A1139" s="30"/>
      <c r="B1139" s="31"/>
      <c r="C1139" s="32"/>
      <c r="D1139" s="33"/>
      <c r="E1139" s="34"/>
      <c r="F1139" s="34"/>
      <c r="G1139" s="35"/>
      <c r="H1139" s="34"/>
      <c r="I1139" s="37"/>
    </row>
    <row r="1140" ht="22.5" customHeight="1">
      <c r="A1140" s="30"/>
      <c r="B1140" s="31"/>
      <c r="C1140" s="32"/>
      <c r="D1140" s="33"/>
      <c r="E1140" s="34"/>
      <c r="F1140" s="34"/>
      <c r="G1140" s="35"/>
      <c r="H1140" s="34"/>
      <c r="I1140" s="37"/>
    </row>
    <row r="1141" ht="22.5" customHeight="1">
      <c r="A1141" s="30"/>
      <c r="B1141" s="31"/>
      <c r="C1141" s="32"/>
      <c r="D1141" s="33"/>
      <c r="E1141" s="34"/>
      <c r="F1141" s="34"/>
      <c r="G1141" s="35"/>
      <c r="H1141" s="34"/>
      <c r="I1141" s="37"/>
    </row>
    <row r="1142" ht="22.5" customHeight="1">
      <c r="A1142" s="30"/>
      <c r="B1142" s="31"/>
      <c r="C1142" s="32"/>
      <c r="D1142" s="33"/>
      <c r="E1142" s="34"/>
      <c r="F1142" s="34"/>
      <c r="G1142" s="35"/>
      <c r="H1142" s="34"/>
      <c r="I1142" s="37"/>
    </row>
    <row r="1143" ht="22.5" customHeight="1">
      <c r="A1143" s="30"/>
      <c r="B1143" s="31"/>
      <c r="C1143" s="32"/>
      <c r="D1143" s="33"/>
      <c r="E1143" s="34"/>
      <c r="F1143" s="34"/>
      <c r="G1143" s="35"/>
      <c r="H1143" s="34"/>
      <c r="I1143" s="37"/>
    </row>
    <row r="1144" ht="22.5" customHeight="1">
      <c r="A1144" s="30"/>
      <c r="B1144" s="31"/>
      <c r="C1144" s="32"/>
      <c r="D1144" s="33"/>
      <c r="E1144" s="34"/>
      <c r="F1144" s="34"/>
      <c r="G1144" s="35"/>
      <c r="H1144" s="34"/>
      <c r="I1144" s="37"/>
    </row>
    <row r="1145" ht="22.5" customHeight="1">
      <c r="A1145" s="30"/>
      <c r="B1145" s="40"/>
      <c r="C1145" s="32"/>
      <c r="D1145" s="33"/>
      <c r="E1145" s="34"/>
      <c r="F1145" s="34"/>
      <c r="G1145" s="35"/>
      <c r="H1145" s="34"/>
      <c r="I1145" s="37"/>
    </row>
    <row r="1146" ht="22.5" customHeight="1">
      <c r="A1146" s="30"/>
      <c r="B1146" s="31"/>
      <c r="C1146" s="32"/>
      <c r="D1146" s="33"/>
      <c r="E1146" s="34"/>
      <c r="F1146" s="34"/>
      <c r="G1146" s="35"/>
      <c r="H1146" s="34"/>
      <c r="I1146" s="37"/>
    </row>
    <row r="1147" ht="22.5" customHeight="1">
      <c r="A1147" s="30"/>
      <c r="B1147" s="40"/>
      <c r="C1147" s="32"/>
      <c r="D1147" s="33"/>
      <c r="E1147" s="34"/>
      <c r="F1147" s="34"/>
      <c r="G1147" s="35"/>
      <c r="H1147" s="34"/>
      <c r="I1147" s="37"/>
    </row>
    <row r="1148" ht="22.5" customHeight="1">
      <c r="A1148" s="30"/>
      <c r="B1148" s="31"/>
      <c r="C1148" s="32"/>
      <c r="D1148" s="33"/>
      <c r="E1148" s="34"/>
      <c r="F1148" s="34"/>
      <c r="G1148" s="35"/>
      <c r="H1148" s="34"/>
      <c r="I1148" s="37"/>
    </row>
    <row r="1149" ht="22.5" customHeight="1">
      <c r="A1149" s="30"/>
      <c r="B1149" s="31"/>
      <c r="C1149" s="32"/>
      <c r="D1149" s="33"/>
      <c r="E1149" s="34"/>
      <c r="F1149" s="34"/>
      <c r="G1149" s="35"/>
      <c r="H1149" s="34"/>
      <c r="I1149" s="37"/>
    </row>
    <row r="1150" ht="22.5" customHeight="1">
      <c r="A1150" s="30"/>
      <c r="B1150" s="31"/>
      <c r="C1150" s="32"/>
      <c r="D1150" s="33"/>
      <c r="E1150" s="34"/>
      <c r="F1150" s="34"/>
      <c r="G1150" s="35"/>
      <c r="H1150" s="34"/>
      <c r="I1150" s="37"/>
    </row>
    <row r="1151" ht="22.5" customHeight="1">
      <c r="A1151" s="30"/>
      <c r="B1151" s="31"/>
      <c r="C1151" s="32"/>
      <c r="D1151" s="33"/>
      <c r="E1151" s="34"/>
      <c r="F1151" s="34"/>
      <c r="G1151" s="35"/>
      <c r="H1151" s="34"/>
      <c r="I1151" s="37"/>
    </row>
    <row r="1152" ht="22.5" customHeight="1">
      <c r="A1152" s="30"/>
      <c r="B1152" s="40"/>
      <c r="C1152" s="32"/>
      <c r="D1152" s="33"/>
      <c r="E1152" s="34"/>
      <c r="F1152" s="34"/>
      <c r="G1152" s="35"/>
      <c r="H1152" s="34"/>
      <c r="I1152" s="37"/>
    </row>
    <row r="1153" ht="22.5" customHeight="1">
      <c r="A1153" s="30"/>
      <c r="B1153" s="31"/>
      <c r="C1153" s="32"/>
      <c r="D1153" s="33"/>
      <c r="E1153" s="34"/>
      <c r="F1153" s="34"/>
      <c r="G1153" s="35"/>
      <c r="H1153" s="34"/>
      <c r="I1153" s="37"/>
    </row>
    <row r="1154" ht="22.5" customHeight="1">
      <c r="A1154" s="30"/>
      <c r="B1154" s="31"/>
      <c r="C1154" s="32"/>
      <c r="D1154" s="33"/>
      <c r="E1154" s="34"/>
      <c r="F1154" s="34"/>
      <c r="G1154" s="35"/>
      <c r="H1154" s="34"/>
      <c r="I1154" s="37"/>
    </row>
    <row r="1155" ht="22.5" customHeight="1">
      <c r="A1155" s="30"/>
      <c r="B1155" s="31"/>
      <c r="C1155" s="32"/>
      <c r="D1155" s="33"/>
      <c r="E1155" s="34"/>
      <c r="F1155" s="34"/>
      <c r="G1155" s="35"/>
      <c r="H1155" s="34"/>
      <c r="I1155" s="37"/>
    </row>
    <row r="1156" ht="22.5" customHeight="1">
      <c r="A1156" s="30"/>
      <c r="B1156" s="31"/>
      <c r="C1156" s="32"/>
      <c r="D1156" s="33"/>
      <c r="E1156" s="34"/>
      <c r="F1156" s="34"/>
      <c r="G1156" s="35"/>
      <c r="H1156" s="34"/>
      <c r="I1156" s="37"/>
    </row>
    <row r="1157" ht="22.5" customHeight="1">
      <c r="A1157" s="30"/>
      <c r="B1157" s="31"/>
      <c r="C1157" s="32"/>
      <c r="D1157" s="33"/>
      <c r="E1157" s="34"/>
      <c r="F1157" s="34"/>
      <c r="G1157" s="35"/>
      <c r="H1157" s="34"/>
      <c r="I1157" s="37"/>
    </row>
    <row r="1158" ht="22.5" customHeight="1">
      <c r="A1158" s="30"/>
      <c r="B1158" s="31"/>
      <c r="C1158" s="32"/>
      <c r="D1158" s="33"/>
      <c r="E1158" s="34"/>
      <c r="F1158" s="34"/>
      <c r="G1158" s="35"/>
      <c r="H1158" s="34"/>
      <c r="I1158" s="37"/>
    </row>
    <row r="1159" ht="22.5" customHeight="1">
      <c r="A1159" s="30"/>
      <c r="B1159" s="31"/>
      <c r="C1159" s="32"/>
      <c r="D1159" s="33"/>
      <c r="E1159" s="34"/>
      <c r="F1159" s="34"/>
      <c r="G1159" s="35"/>
      <c r="H1159" s="34"/>
      <c r="I1159" s="37"/>
    </row>
    <row r="1160" ht="22.5" customHeight="1">
      <c r="A1160" s="30"/>
      <c r="B1160" s="31"/>
      <c r="C1160" s="32"/>
      <c r="D1160" s="33"/>
      <c r="E1160" s="34"/>
      <c r="F1160" s="34"/>
      <c r="G1160" s="35"/>
      <c r="H1160" s="34"/>
      <c r="I1160" s="37"/>
    </row>
    <row r="1161" ht="22.5" customHeight="1">
      <c r="A1161" s="30"/>
      <c r="B1161" s="31"/>
      <c r="C1161" s="32"/>
      <c r="D1161" s="33"/>
      <c r="E1161" s="34"/>
      <c r="F1161" s="34"/>
      <c r="G1161" s="35"/>
      <c r="H1161" s="34"/>
      <c r="I1161" s="37"/>
    </row>
    <row r="1162" ht="22.5" customHeight="1">
      <c r="A1162" s="30"/>
      <c r="B1162" s="31"/>
      <c r="C1162" s="32"/>
      <c r="D1162" s="33"/>
      <c r="E1162" s="34"/>
      <c r="F1162" s="34"/>
      <c r="G1162" s="35"/>
      <c r="H1162" s="34"/>
      <c r="I1162" s="37"/>
    </row>
    <row r="1163" ht="22.5" customHeight="1">
      <c r="A1163" s="30"/>
      <c r="B1163" s="31"/>
      <c r="C1163" s="32"/>
      <c r="D1163" s="33"/>
      <c r="E1163" s="34"/>
      <c r="F1163" s="34"/>
      <c r="G1163" s="35"/>
      <c r="H1163" s="34"/>
      <c r="I1163" s="37"/>
    </row>
    <row r="1164" ht="22.5" customHeight="1">
      <c r="A1164" s="30"/>
      <c r="B1164" s="31"/>
      <c r="C1164" s="32"/>
      <c r="D1164" s="33"/>
      <c r="E1164" s="34"/>
      <c r="F1164" s="34"/>
      <c r="G1164" s="35"/>
      <c r="H1164" s="34"/>
      <c r="I1164" s="37"/>
    </row>
    <row r="1165" ht="22.5" customHeight="1">
      <c r="A1165" s="30"/>
      <c r="B1165" s="31"/>
      <c r="C1165" s="32"/>
      <c r="D1165" s="33"/>
      <c r="E1165" s="34"/>
      <c r="F1165" s="34"/>
      <c r="G1165" s="35"/>
      <c r="H1165" s="34"/>
      <c r="I1165" s="37"/>
    </row>
    <row r="1166" ht="22.5" customHeight="1">
      <c r="A1166" s="30"/>
      <c r="B1166" s="31"/>
      <c r="C1166" s="32"/>
      <c r="D1166" s="33"/>
      <c r="E1166" s="34"/>
      <c r="F1166" s="34"/>
      <c r="G1166" s="35"/>
      <c r="H1166" s="34"/>
      <c r="I1166" s="37"/>
    </row>
    <row r="1167" ht="22.5" customHeight="1">
      <c r="A1167" s="30"/>
      <c r="B1167" s="31"/>
      <c r="C1167" s="32"/>
      <c r="D1167" s="33"/>
      <c r="E1167" s="34"/>
      <c r="F1167" s="34"/>
      <c r="G1167" s="35"/>
      <c r="H1167" s="34"/>
      <c r="I1167" s="37"/>
    </row>
    <row r="1168" ht="22.5" customHeight="1">
      <c r="A1168" s="30"/>
      <c r="B1168" s="31"/>
      <c r="C1168" s="32"/>
      <c r="D1168" s="33"/>
      <c r="E1168" s="34"/>
      <c r="F1168" s="34"/>
      <c r="G1168" s="35"/>
      <c r="H1168" s="34"/>
      <c r="I1168" s="37"/>
    </row>
    <row r="1169" ht="22.5" customHeight="1">
      <c r="A1169" s="30"/>
      <c r="B1169" s="31"/>
      <c r="C1169" s="32"/>
      <c r="D1169" s="33"/>
      <c r="E1169" s="34"/>
      <c r="F1169" s="34"/>
      <c r="G1169" s="35"/>
      <c r="H1169" s="34"/>
      <c r="I1169" s="37"/>
    </row>
    <row r="1170" ht="22.5" customHeight="1">
      <c r="A1170" s="30"/>
      <c r="B1170" s="31"/>
      <c r="C1170" s="32"/>
      <c r="D1170" s="33"/>
      <c r="E1170" s="34"/>
      <c r="F1170" s="34"/>
      <c r="G1170" s="35"/>
      <c r="H1170" s="34"/>
      <c r="I1170" s="37"/>
    </row>
    <row r="1171" ht="22.5" customHeight="1">
      <c r="A1171" s="30"/>
      <c r="B1171" s="31"/>
      <c r="C1171" s="32"/>
      <c r="D1171" s="33"/>
      <c r="E1171" s="34"/>
      <c r="F1171" s="34"/>
      <c r="G1171" s="35"/>
      <c r="H1171" s="34"/>
      <c r="I1171" s="37"/>
    </row>
    <row r="1172" ht="22.5" customHeight="1">
      <c r="A1172" s="30"/>
      <c r="B1172" s="31"/>
      <c r="C1172" s="32"/>
      <c r="D1172" s="33"/>
      <c r="E1172" s="34"/>
      <c r="F1172" s="34"/>
      <c r="G1172" s="35"/>
      <c r="H1172" s="34"/>
      <c r="I1172" s="37"/>
    </row>
    <row r="1173" ht="22.5" customHeight="1">
      <c r="A1173" s="30"/>
      <c r="B1173" s="31"/>
      <c r="C1173" s="32"/>
      <c r="D1173" s="33"/>
      <c r="E1173" s="34"/>
      <c r="F1173" s="34"/>
      <c r="G1173" s="35"/>
      <c r="H1173" s="34"/>
      <c r="I1173" s="37"/>
    </row>
    <row r="1174" ht="22.5" customHeight="1">
      <c r="A1174" s="30"/>
      <c r="B1174" s="40"/>
      <c r="C1174" s="32"/>
      <c r="D1174" s="33"/>
      <c r="E1174" s="34"/>
      <c r="F1174" s="34"/>
      <c r="G1174" s="35"/>
      <c r="H1174" s="34"/>
      <c r="I1174" s="37"/>
    </row>
    <row r="1175" ht="22.5" customHeight="1">
      <c r="A1175" s="30"/>
      <c r="B1175" s="31"/>
      <c r="C1175" s="32"/>
      <c r="D1175" s="33"/>
      <c r="E1175" s="34"/>
      <c r="F1175" s="34"/>
      <c r="G1175" s="35"/>
      <c r="H1175" s="34"/>
      <c r="I1175" s="37"/>
    </row>
    <row r="1176" ht="22.5" customHeight="1">
      <c r="A1176" s="30"/>
      <c r="B1176" s="31"/>
      <c r="C1176" s="32"/>
      <c r="D1176" s="33"/>
      <c r="E1176" s="34"/>
      <c r="F1176" s="34"/>
      <c r="G1176" s="35"/>
      <c r="H1176" s="34"/>
      <c r="I1176" s="37"/>
    </row>
    <row r="1177" ht="22.5" customHeight="1">
      <c r="A1177" s="30"/>
      <c r="B1177" s="31"/>
      <c r="C1177" s="32"/>
      <c r="D1177" s="33"/>
      <c r="E1177" s="34"/>
      <c r="F1177" s="34"/>
      <c r="G1177" s="35"/>
      <c r="H1177" s="34"/>
      <c r="I1177" s="37"/>
    </row>
    <row r="1178" ht="22.5" customHeight="1">
      <c r="A1178" s="30"/>
      <c r="B1178" s="31"/>
      <c r="C1178" s="32"/>
      <c r="D1178" s="33"/>
      <c r="E1178" s="34"/>
      <c r="F1178" s="34"/>
      <c r="G1178" s="35"/>
      <c r="H1178" s="34"/>
      <c r="I1178" s="38"/>
    </row>
    <row r="1179" ht="22.5" customHeight="1">
      <c r="A1179" s="30"/>
      <c r="B1179" s="39"/>
      <c r="C1179" s="32"/>
      <c r="D1179" s="33"/>
      <c r="E1179" s="34"/>
      <c r="F1179" s="34"/>
      <c r="G1179" s="35"/>
      <c r="H1179" s="34"/>
      <c r="I1179" s="37"/>
    </row>
    <row r="1180" ht="22.5" customHeight="1">
      <c r="A1180" s="30"/>
      <c r="B1180" s="31"/>
      <c r="C1180" s="32"/>
      <c r="D1180" s="33"/>
      <c r="E1180" s="34"/>
      <c r="F1180" s="34"/>
      <c r="G1180" s="35"/>
      <c r="H1180" s="34"/>
      <c r="I1180" s="37"/>
    </row>
    <row r="1181" ht="22.5" customHeight="1">
      <c r="A1181" s="30"/>
      <c r="B1181" s="31"/>
      <c r="C1181" s="32"/>
      <c r="D1181" s="33"/>
      <c r="E1181" s="34"/>
      <c r="F1181" s="34"/>
      <c r="G1181" s="35"/>
      <c r="H1181" s="34"/>
      <c r="I1181" s="37"/>
    </row>
    <row r="1182" ht="22.5" customHeight="1">
      <c r="A1182" s="30"/>
      <c r="B1182" s="31"/>
      <c r="C1182" s="32"/>
      <c r="D1182" s="33"/>
      <c r="E1182" s="34"/>
      <c r="F1182" s="34"/>
      <c r="G1182" s="35"/>
      <c r="H1182" s="34"/>
      <c r="I1182" s="37"/>
    </row>
    <row r="1183" ht="22.5" customHeight="1">
      <c r="A1183" s="30"/>
      <c r="B1183" s="39"/>
      <c r="C1183" s="32"/>
      <c r="D1183" s="33"/>
      <c r="E1183" s="34"/>
      <c r="F1183" s="34"/>
      <c r="G1183" s="35"/>
      <c r="H1183" s="34"/>
      <c r="I1183" s="37"/>
    </row>
    <row r="1184" ht="22.5" customHeight="1">
      <c r="A1184" s="30"/>
      <c r="B1184" s="31"/>
      <c r="C1184" s="32"/>
      <c r="D1184" s="33"/>
      <c r="E1184" s="34"/>
      <c r="F1184" s="34"/>
      <c r="G1184" s="35"/>
      <c r="H1184" s="34"/>
      <c r="I1184" s="37"/>
    </row>
    <row r="1185" ht="22.5" customHeight="1">
      <c r="A1185" s="30"/>
      <c r="B1185" s="39"/>
      <c r="C1185" s="32"/>
      <c r="D1185" s="33"/>
      <c r="E1185" s="34"/>
      <c r="F1185" s="34"/>
      <c r="G1185" s="35"/>
      <c r="H1185" s="34"/>
      <c r="I1185" s="37"/>
    </row>
    <row r="1186" ht="22.5" customHeight="1">
      <c r="A1186" s="30"/>
      <c r="B1186" s="31"/>
      <c r="C1186" s="32"/>
      <c r="D1186" s="33"/>
      <c r="E1186" s="34"/>
      <c r="F1186" s="34"/>
      <c r="G1186" s="35"/>
      <c r="H1186" s="34"/>
      <c r="I1186" s="37"/>
    </row>
    <row r="1187" ht="22.5" customHeight="1">
      <c r="A1187" s="30"/>
      <c r="B1187" s="31"/>
      <c r="C1187" s="32"/>
      <c r="D1187" s="33"/>
      <c r="E1187" s="34"/>
      <c r="F1187" s="34"/>
      <c r="G1187" s="35"/>
      <c r="H1187" s="34"/>
      <c r="I1187" s="37"/>
    </row>
    <row r="1188" ht="22.5" customHeight="1">
      <c r="A1188" s="30"/>
      <c r="B1188" s="31"/>
      <c r="C1188" s="32"/>
      <c r="D1188" s="33"/>
      <c r="E1188" s="34"/>
      <c r="F1188" s="34"/>
      <c r="G1188" s="35"/>
      <c r="H1188" s="34"/>
      <c r="I1188" s="37"/>
    </row>
    <row r="1189" ht="22.5" customHeight="1">
      <c r="A1189" s="30"/>
      <c r="B1189" s="31"/>
      <c r="C1189" s="32"/>
      <c r="D1189" s="33"/>
      <c r="E1189" s="34"/>
      <c r="F1189" s="34"/>
      <c r="G1189" s="35"/>
      <c r="H1189" s="34"/>
      <c r="I1189" s="37"/>
    </row>
    <row r="1190" ht="22.5" customHeight="1">
      <c r="A1190" s="30"/>
      <c r="B1190" s="31"/>
      <c r="C1190" s="32"/>
      <c r="D1190" s="33"/>
      <c r="E1190" s="34"/>
      <c r="F1190" s="34"/>
      <c r="G1190" s="35"/>
      <c r="H1190" s="34"/>
      <c r="I1190" s="37"/>
    </row>
    <row r="1191" ht="22.5" customHeight="1">
      <c r="A1191" s="30"/>
      <c r="B1191" s="31"/>
      <c r="C1191" s="32"/>
      <c r="D1191" s="33"/>
      <c r="E1191" s="34"/>
      <c r="F1191" s="34"/>
      <c r="G1191" s="35"/>
      <c r="H1191" s="34"/>
      <c r="I1191" s="37"/>
    </row>
    <row r="1192" ht="22.5" customHeight="1">
      <c r="A1192" s="30"/>
      <c r="B1192" s="31"/>
      <c r="C1192" s="32"/>
      <c r="D1192" s="33"/>
      <c r="E1192" s="34"/>
      <c r="F1192" s="34"/>
      <c r="G1192" s="35"/>
      <c r="H1192" s="34"/>
      <c r="I1192" s="37"/>
    </row>
    <row r="1193" ht="22.5" customHeight="1">
      <c r="A1193" s="30"/>
      <c r="B1193" s="31"/>
      <c r="C1193" s="32"/>
      <c r="D1193" s="33"/>
      <c r="E1193" s="34"/>
      <c r="F1193" s="34"/>
      <c r="G1193" s="35"/>
      <c r="H1193" s="34"/>
      <c r="I1193" s="37"/>
    </row>
    <row r="1194" ht="22.5" customHeight="1">
      <c r="A1194" s="30"/>
      <c r="B1194" s="31"/>
      <c r="C1194" s="32"/>
      <c r="D1194" s="33"/>
      <c r="E1194" s="34"/>
      <c r="F1194" s="34"/>
      <c r="G1194" s="35"/>
      <c r="H1194" s="34"/>
      <c r="I1194" s="37"/>
    </row>
    <row r="1195" ht="22.5" customHeight="1">
      <c r="A1195" s="30"/>
      <c r="B1195" s="31"/>
      <c r="C1195" s="32"/>
      <c r="D1195" s="33"/>
      <c r="E1195" s="34"/>
      <c r="F1195" s="34"/>
      <c r="G1195" s="35"/>
      <c r="H1195" s="34"/>
      <c r="I1195" s="37"/>
    </row>
    <row r="1196" ht="22.5" customHeight="1">
      <c r="A1196" s="30"/>
      <c r="B1196" s="40"/>
      <c r="C1196" s="32"/>
      <c r="D1196" s="33"/>
      <c r="E1196" s="34"/>
      <c r="F1196" s="34"/>
      <c r="G1196" s="35"/>
      <c r="H1196" s="34"/>
      <c r="I1196" s="37"/>
    </row>
    <row r="1197" ht="22.5" customHeight="1">
      <c r="A1197" s="30"/>
      <c r="B1197" s="31"/>
      <c r="C1197" s="32"/>
      <c r="D1197" s="33"/>
      <c r="E1197" s="34"/>
      <c r="F1197" s="34"/>
      <c r="G1197" s="35"/>
      <c r="H1197" s="34"/>
      <c r="I1197" s="37"/>
    </row>
    <row r="1198" ht="22.5" customHeight="1">
      <c r="A1198" s="30"/>
      <c r="B1198" s="31"/>
      <c r="C1198" s="32"/>
      <c r="D1198" s="33"/>
      <c r="E1198" s="34"/>
      <c r="F1198" s="34"/>
      <c r="G1198" s="35"/>
      <c r="H1198" s="34"/>
      <c r="I1198" s="37"/>
    </row>
    <row r="1199" ht="22.5" customHeight="1">
      <c r="A1199" s="30"/>
      <c r="B1199" s="31"/>
      <c r="C1199" s="32"/>
      <c r="D1199" s="33"/>
      <c r="E1199" s="34"/>
      <c r="F1199" s="34"/>
      <c r="G1199" s="35"/>
      <c r="H1199" s="34"/>
      <c r="I1199" s="37"/>
    </row>
    <row r="1200" ht="22.5" customHeight="1">
      <c r="A1200" s="30"/>
      <c r="B1200" s="31"/>
      <c r="C1200" s="32"/>
      <c r="D1200" s="33"/>
      <c r="E1200" s="34"/>
      <c r="F1200" s="34"/>
      <c r="G1200" s="35"/>
      <c r="H1200" s="34"/>
      <c r="I1200" s="37"/>
    </row>
    <row r="1201" ht="22.5" customHeight="1">
      <c r="A1201" s="30"/>
      <c r="B1201" s="31"/>
      <c r="C1201" s="32"/>
      <c r="D1201" s="33"/>
      <c r="E1201" s="34"/>
      <c r="F1201" s="34"/>
      <c r="G1201" s="35"/>
      <c r="H1201" s="34"/>
      <c r="I1201" s="37"/>
    </row>
    <row r="1202" ht="22.5" customHeight="1">
      <c r="A1202" s="30"/>
      <c r="B1202" s="31"/>
      <c r="C1202" s="32"/>
      <c r="D1202" s="33"/>
      <c r="E1202" s="34"/>
      <c r="F1202" s="34"/>
      <c r="G1202" s="35"/>
      <c r="H1202" s="34"/>
      <c r="I1202" s="37"/>
    </row>
    <row r="1203" ht="22.5" customHeight="1">
      <c r="A1203" s="30"/>
      <c r="B1203" s="39"/>
      <c r="C1203" s="32"/>
      <c r="D1203" s="33"/>
      <c r="E1203" s="34"/>
      <c r="F1203" s="34"/>
      <c r="G1203" s="35"/>
      <c r="H1203" s="34"/>
      <c r="I1203" s="37"/>
    </row>
    <row r="1204" ht="22.5" customHeight="1">
      <c r="A1204" s="30"/>
      <c r="B1204" s="39"/>
      <c r="C1204" s="32"/>
      <c r="D1204" s="33"/>
      <c r="E1204" s="34"/>
      <c r="F1204" s="34"/>
      <c r="G1204" s="35"/>
      <c r="H1204" s="34"/>
      <c r="I1204" s="37"/>
    </row>
    <row r="1205" ht="22.5" customHeight="1">
      <c r="A1205" s="30"/>
      <c r="B1205" s="39"/>
      <c r="C1205" s="32"/>
      <c r="D1205" s="33"/>
      <c r="E1205" s="34"/>
      <c r="F1205" s="34"/>
      <c r="G1205" s="35"/>
      <c r="H1205" s="34"/>
      <c r="I1205" s="37"/>
    </row>
    <row r="1206" ht="22.5" customHeight="1">
      <c r="A1206" s="30"/>
      <c r="B1206" s="40"/>
      <c r="C1206" s="32"/>
      <c r="D1206" s="33"/>
      <c r="E1206" s="34"/>
      <c r="F1206" s="34"/>
      <c r="G1206" s="35"/>
      <c r="H1206" s="34"/>
      <c r="I1206" s="37"/>
    </row>
    <row r="1207" ht="22.5" customHeight="1">
      <c r="A1207" s="30"/>
      <c r="B1207" s="31"/>
      <c r="C1207" s="32"/>
      <c r="D1207" s="33"/>
      <c r="E1207" s="34"/>
      <c r="F1207" s="34"/>
      <c r="G1207" s="35"/>
      <c r="H1207" s="34"/>
      <c r="I1207" s="37"/>
    </row>
    <row r="1208" ht="22.5" customHeight="1">
      <c r="A1208" s="30"/>
      <c r="B1208" s="31"/>
      <c r="C1208" s="32"/>
      <c r="D1208" s="33"/>
      <c r="E1208" s="34"/>
      <c r="F1208" s="34"/>
      <c r="G1208" s="35"/>
      <c r="H1208" s="34"/>
      <c r="I1208" s="37"/>
    </row>
    <row r="1209" ht="22.5" customHeight="1">
      <c r="A1209" s="30"/>
      <c r="B1209" s="31"/>
      <c r="C1209" s="32"/>
      <c r="D1209" s="33"/>
      <c r="E1209" s="34"/>
      <c r="F1209" s="34"/>
      <c r="G1209" s="35"/>
      <c r="H1209" s="34"/>
      <c r="I1209" s="37"/>
    </row>
    <row r="1210" ht="22.5" customHeight="1">
      <c r="A1210" s="30"/>
      <c r="B1210" s="31"/>
      <c r="C1210" s="32"/>
      <c r="D1210" s="33"/>
      <c r="E1210" s="34"/>
      <c r="F1210" s="34"/>
      <c r="G1210" s="35"/>
      <c r="H1210" s="34"/>
      <c r="I1210" s="37"/>
    </row>
    <row r="1211" ht="22.5" customHeight="1">
      <c r="A1211" s="30"/>
      <c r="B1211" s="31"/>
      <c r="C1211" s="32"/>
      <c r="D1211" s="33"/>
      <c r="E1211" s="34"/>
      <c r="F1211" s="34"/>
      <c r="G1211" s="35"/>
      <c r="H1211" s="34"/>
      <c r="I1211" s="37"/>
    </row>
    <row r="1212" ht="22.5" customHeight="1">
      <c r="A1212" s="30"/>
      <c r="B1212" s="31"/>
      <c r="C1212" s="32"/>
      <c r="D1212" s="33"/>
      <c r="E1212" s="34"/>
      <c r="F1212" s="34"/>
      <c r="G1212" s="35"/>
      <c r="H1212" s="34"/>
      <c r="I1212" s="37"/>
    </row>
    <row r="1213" ht="22.5" customHeight="1">
      <c r="A1213" s="30"/>
      <c r="B1213" s="31"/>
      <c r="C1213" s="32"/>
      <c r="D1213" s="33"/>
      <c r="E1213" s="34"/>
      <c r="F1213" s="34"/>
      <c r="G1213" s="35"/>
      <c r="H1213" s="34"/>
      <c r="I1213" s="37"/>
    </row>
    <row r="1214" ht="22.5" customHeight="1">
      <c r="A1214" s="30"/>
      <c r="B1214" s="31"/>
      <c r="C1214" s="32"/>
      <c r="D1214" s="33"/>
      <c r="E1214" s="34"/>
      <c r="F1214" s="34"/>
      <c r="G1214" s="35"/>
      <c r="H1214" s="34"/>
      <c r="I1214" s="37"/>
    </row>
    <row r="1215" ht="22.5" customHeight="1">
      <c r="A1215" s="30"/>
      <c r="B1215" s="31"/>
      <c r="C1215" s="32"/>
      <c r="D1215" s="33"/>
      <c r="E1215" s="34"/>
      <c r="F1215" s="34"/>
      <c r="G1215" s="35"/>
      <c r="H1215" s="34"/>
      <c r="I1215" s="37"/>
    </row>
    <row r="1216" ht="22.5" customHeight="1">
      <c r="A1216" s="30"/>
      <c r="B1216" s="40"/>
      <c r="C1216" s="32"/>
      <c r="D1216" s="33"/>
      <c r="E1216" s="34"/>
      <c r="F1216" s="34"/>
      <c r="G1216" s="35"/>
      <c r="H1216" s="34"/>
      <c r="I1216" s="37"/>
    </row>
    <row r="1217" ht="22.5" customHeight="1">
      <c r="A1217" s="30"/>
      <c r="B1217" s="31"/>
      <c r="C1217" s="32"/>
      <c r="D1217" s="33"/>
      <c r="E1217" s="34"/>
      <c r="F1217" s="34"/>
      <c r="G1217" s="35"/>
      <c r="H1217" s="34"/>
      <c r="I1217" s="37"/>
    </row>
    <row r="1218" ht="22.5" customHeight="1">
      <c r="A1218" s="30"/>
      <c r="B1218" s="31"/>
      <c r="C1218" s="32"/>
      <c r="D1218" s="33"/>
      <c r="E1218" s="34"/>
      <c r="F1218" s="34"/>
      <c r="G1218" s="35"/>
      <c r="H1218" s="34"/>
      <c r="I1218" s="37"/>
    </row>
    <row r="1219" ht="22.5" customHeight="1">
      <c r="A1219" s="30"/>
      <c r="B1219" s="31"/>
      <c r="C1219" s="32"/>
      <c r="D1219" s="33"/>
      <c r="E1219" s="34"/>
      <c r="F1219" s="34"/>
      <c r="G1219" s="35"/>
      <c r="H1219" s="34"/>
      <c r="I1219" s="37"/>
    </row>
    <row r="1220" ht="22.5" customHeight="1">
      <c r="A1220" s="30"/>
      <c r="B1220" s="40"/>
      <c r="C1220" s="32"/>
      <c r="D1220" s="33"/>
      <c r="E1220" s="34"/>
      <c r="F1220" s="34"/>
      <c r="G1220" s="35"/>
      <c r="H1220" s="34"/>
      <c r="I1220" s="37"/>
    </row>
    <row r="1221" ht="22.5" customHeight="1">
      <c r="A1221" s="30"/>
      <c r="B1221" s="31"/>
      <c r="C1221" s="32"/>
      <c r="D1221" s="33"/>
      <c r="E1221" s="34"/>
      <c r="F1221" s="34"/>
      <c r="G1221" s="35"/>
      <c r="H1221" s="34"/>
      <c r="I1221" s="37"/>
    </row>
    <row r="1222" ht="22.5" customHeight="1">
      <c r="A1222" s="30"/>
      <c r="B1222" s="31"/>
      <c r="C1222" s="32"/>
      <c r="D1222" s="33"/>
      <c r="E1222" s="34"/>
      <c r="F1222" s="34"/>
      <c r="G1222" s="35"/>
      <c r="H1222" s="34"/>
      <c r="I1222" s="37"/>
    </row>
    <row r="1223" ht="22.5" customHeight="1">
      <c r="A1223" s="30"/>
      <c r="B1223" s="31"/>
      <c r="C1223" s="32"/>
      <c r="D1223" s="33"/>
      <c r="E1223" s="34"/>
      <c r="F1223" s="34"/>
      <c r="G1223" s="35"/>
      <c r="H1223" s="34"/>
      <c r="I1223" s="37"/>
    </row>
    <row r="1224" ht="22.5" customHeight="1">
      <c r="A1224" s="30"/>
      <c r="B1224" s="31"/>
      <c r="C1224" s="32"/>
      <c r="D1224" s="33"/>
      <c r="E1224" s="34"/>
      <c r="F1224" s="34"/>
      <c r="G1224" s="35"/>
      <c r="H1224" s="34"/>
      <c r="I1224" s="37"/>
    </row>
    <row r="1225" ht="22.5" customHeight="1">
      <c r="A1225" s="30"/>
      <c r="B1225" s="31"/>
      <c r="C1225" s="32"/>
      <c r="D1225" s="33"/>
      <c r="E1225" s="34"/>
      <c r="F1225" s="34"/>
      <c r="G1225" s="35"/>
      <c r="H1225" s="34"/>
      <c r="I1225" s="37"/>
    </row>
    <row r="1226" ht="22.5" customHeight="1">
      <c r="A1226" s="30"/>
      <c r="B1226" s="31"/>
      <c r="C1226" s="32"/>
      <c r="D1226" s="33"/>
      <c r="E1226" s="34"/>
      <c r="F1226" s="34"/>
      <c r="G1226" s="35"/>
      <c r="H1226" s="34"/>
      <c r="I1226" s="37"/>
    </row>
    <row r="1227" ht="22.5" customHeight="1">
      <c r="A1227" s="30"/>
      <c r="B1227" s="31"/>
      <c r="C1227" s="32"/>
      <c r="D1227" s="33"/>
      <c r="E1227" s="34"/>
      <c r="F1227" s="34"/>
      <c r="G1227" s="35"/>
      <c r="H1227" s="34"/>
      <c r="I1227" s="37"/>
    </row>
    <row r="1228" ht="22.5" customHeight="1">
      <c r="A1228" s="30"/>
      <c r="B1228" s="31"/>
      <c r="C1228" s="32"/>
      <c r="D1228" s="33"/>
      <c r="E1228" s="34"/>
      <c r="F1228" s="34"/>
      <c r="G1228" s="35"/>
      <c r="H1228" s="34"/>
      <c r="I1228" s="37"/>
    </row>
    <row r="1229" ht="22.5" customHeight="1">
      <c r="A1229" s="30"/>
      <c r="B1229" s="31"/>
      <c r="C1229" s="32"/>
      <c r="D1229" s="33"/>
      <c r="E1229" s="34"/>
      <c r="F1229" s="34"/>
      <c r="G1229" s="35"/>
      <c r="H1229" s="34"/>
      <c r="I1229" s="37"/>
    </row>
    <row r="1230" ht="22.5" customHeight="1">
      <c r="A1230" s="30"/>
      <c r="B1230" s="31"/>
      <c r="C1230" s="32"/>
      <c r="D1230" s="33"/>
      <c r="E1230" s="34"/>
      <c r="F1230" s="34"/>
      <c r="G1230" s="35"/>
      <c r="H1230" s="34"/>
      <c r="I1230" s="37"/>
    </row>
    <row r="1231" ht="22.5" customHeight="1">
      <c r="A1231" s="30"/>
      <c r="B1231" s="31"/>
      <c r="C1231" s="32"/>
      <c r="D1231" s="33"/>
      <c r="E1231" s="34"/>
      <c r="F1231" s="34"/>
      <c r="G1231" s="35"/>
      <c r="H1231" s="34"/>
      <c r="I1231" s="37"/>
    </row>
    <row r="1232" ht="22.5" customHeight="1">
      <c r="A1232" s="30"/>
      <c r="B1232" s="31"/>
      <c r="C1232" s="32"/>
      <c r="D1232" s="33"/>
      <c r="E1232" s="34"/>
      <c r="F1232" s="34"/>
      <c r="G1232" s="35"/>
      <c r="H1232" s="34"/>
      <c r="I1232" s="37"/>
    </row>
    <row r="1233" ht="22.5" customHeight="1">
      <c r="A1233" s="30"/>
      <c r="B1233" s="31"/>
      <c r="C1233" s="32"/>
      <c r="D1233" s="33"/>
      <c r="E1233" s="34"/>
      <c r="F1233" s="34"/>
      <c r="G1233" s="35"/>
      <c r="H1233" s="34"/>
      <c r="I1233" s="37"/>
    </row>
    <row r="1234" ht="22.5" customHeight="1">
      <c r="A1234" s="30"/>
      <c r="B1234" s="31"/>
      <c r="C1234" s="32"/>
      <c r="D1234" s="33"/>
      <c r="E1234" s="34"/>
      <c r="F1234" s="34"/>
      <c r="G1234" s="35"/>
      <c r="H1234" s="34"/>
      <c r="I1234" s="37"/>
    </row>
    <row r="1235" ht="22.5" customHeight="1">
      <c r="A1235" s="30"/>
      <c r="B1235" s="40"/>
      <c r="C1235" s="32"/>
      <c r="D1235" s="33"/>
      <c r="E1235" s="34"/>
      <c r="F1235" s="34"/>
      <c r="G1235" s="35"/>
      <c r="H1235" s="34"/>
      <c r="I1235" s="37"/>
    </row>
    <row r="1236" ht="22.5" customHeight="1">
      <c r="A1236" s="30"/>
      <c r="B1236" s="31"/>
      <c r="C1236" s="32"/>
      <c r="D1236" s="33"/>
      <c r="E1236" s="34"/>
      <c r="F1236" s="34"/>
      <c r="G1236" s="35"/>
      <c r="H1236" s="34"/>
      <c r="I1236" s="37"/>
    </row>
    <row r="1237" ht="22.5" customHeight="1">
      <c r="A1237" s="30"/>
      <c r="B1237" s="40"/>
      <c r="C1237" s="32"/>
      <c r="D1237" s="33"/>
      <c r="E1237" s="34"/>
      <c r="F1237" s="34"/>
      <c r="G1237" s="35"/>
      <c r="H1237" s="34"/>
      <c r="I1237" s="37"/>
    </row>
    <row r="1238" ht="22.5" customHeight="1">
      <c r="A1238" s="30"/>
      <c r="B1238" s="31"/>
      <c r="C1238" s="32"/>
      <c r="D1238" s="33"/>
      <c r="E1238" s="34"/>
      <c r="F1238" s="34"/>
      <c r="G1238" s="35"/>
      <c r="H1238" s="34"/>
      <c r="I1238" s="37"/>
    </row>
    <row r="1239" ht="22.5" customHeight="1">
      <c r="A1239" s="30"/>
      <c r="B1239" s="31"/>
      <c r="C1239" s="32"/>
      <c r="D1239" s="33"/>
      <c r="E1239" s="34"/>
      <c r="F1239" s="34"/>
      <c r="G1239" s="35"/>
      <c r="H1239" s="34"/>
      <c r="I1239" s="37"/>
    </row>
    <row r="1240" ht="22.5" customHeight="1">
      <c r="A1240" s="30"/>
      <c r="B1240" s="31"/>
      <c r="C1240" s="32"/>
      <c r="D1240" s="33"/>
      <c r="E1240" s="34"/>
      <c r="F1240" s="34"/>
      <c r="G1240" s="35"/>
      <c r="H1240" s="34"/>
      <c r="I1240" s="37"/>
    </row>
    <row r="1241" ht="22.5" customHeight="1">
      <c r="A1241" s="30"/>
      <c r="B1241" s="31"/>
      <c r="C1241" s="32"/>
      <c r="D1241" s="33"/>
      <c r="E1241" s="34"/>
      <c r="F1241" s="34"/>
      <c r="G1241" s="35"/>
      <c r="H1241" s="34"/>
      <c r="I1241" s="37"/>
    </row>
    <row r="1242" ht="22.5" customHeight="1">
      <c r="A1242" s="30"/>
      <c r="B1242" s="40"/>
      <c r="C1242" s="32"/>
      <c r="D1242" s="33"/>
      <c r="E1242" s="34"/>
      <c r="F1242" s="34"/>
      <c r="G1242" s="35"/>
      <c r="H1242" s="34"/>
      <c r="I1242" s="37"/>
    </row>
    <row r="1243" ht="22.5" customHeight="1">
      <c r="A1243" s="30"/>
      <c r="B1243" s="31"/>
      <c r="C1243" s="32"/>
      <c r="D1243" s="33"/>
      <c r="E1243" s="34"/>
      <c r="F1243" s="34"/>
      <c r="G1243" s="35"/>
      <c r="H1243" s="34"/>
      <c r="I1243" s="37"/>
    </row>
    <row r="1244" ht="22.5" customHeight="1">
      <c r="A1244" s="30"/>
      <c r="B1244" s="31"/>
      <c r="C1244" s="32"/>
      <c r="D1244" s="33"/>
      <c r="E1244" s="34"/>
      <c r="F1244" s="34"/>
      <c r="G1244" s="35"/>
      <c r="H1244" s="34"/>
      <c r="I1244" s="37"/>
    </row>
    <row r="1245" ht="22.5" customHeight="1">
      <c r="A1245" s="30"/>
      <c r="B1245" s="31"/>
      <c r="C1245" s="32"/>
      <c r="D1245" s="33"/>
      <c r="E1245" s="34"/>
      <c r="F1245" s="34"/>
      <c r="G1245" s="35"/>
      <c r="H1245" s="34"/>
      <c r="I1245" s="37"/>
    </row>
    <row r="1246" ht="22.5" customHeight="1">
      <c r="A1246" s="30"/>
      <c r="B1246" s="31"/>
      <c r="C1246" s="32"/>
      <c r="D1246" s="33"/>
      <c r="E1246" s="34"/>
      <c r="F1246" s="34"/>
      <c r="G1246" s="35"/>
      <c r="H1246" s="34"/>
      <c r="I1246" s="37"/>
    </row>
    <row r="1247" ht="22.5" customHeight="1">
      <c r="A1247" s="30"/>
      <c r="B1247" s="31"/>
      <c r="C1247" s="32"/>
      <c r="D1247" s="33"/>
      <c r="E1247" s="34"/>
      <c r="F1247" s="34"/>
      <c r="G1247" s="35"/>
      <c r="H1247" s="34"/>
      <c r="I1247" s="37"/>
    </row>
    <row r="1248" ht="22.5" customHeight="1">
      <c r="A1248" s="30"/>
      <c r="B1248" s="31"/>
      <c r="C1248" s="32"/>
      <c r="D1248" s="33"/>
      <c r="E1248" s="34"/>
      <c r="F1248" s="34"/>
      <c r="G1248" s="35"/>
      <c r="H1248" s="34"/>
      <c r="I1248" s="37"/>
    </row>
    <row r="1249" ht="22.5" customHeight="1">
      <c r="A1249" s="30"/>
      <c r="B1249" s="31"/>
      <c r="C1249" s="32"/>
      <c r="D1249" s="33"/>
      <c r="E1249" s="34"/>
      <c r="F1249" s="34"/>
      <c r="G1249" s="35"/>
      <c r="H1249" s="34"/>
      <c r="I1249" s="37"/>
    </row>
    <row r="1250" ht="22.5" customHeight="1">
      <c r="A1250" s="30"/>
      <c r="B1250" s="31"/>
      <c r="C1250" s="32"/>
      <c r="D1250" s="33"/>
      <c r="E1250" s="34"/>
      <c r="F1250" s="34"/>
      <c r="G1250" s="35"/>
      <c r="H1250" s="34"/>
      <c r="I1250" s="37"/>
    </row>
    <row r="1251" ht="22.5" customHeight="1">
      <c r="A1251" s="30"/>
      <c r="B1251" s="31"/>
      <c r="C1251" s="32"/>
      <c r="D1251" s="33"/>
      <c r="E1251" s="34"/>
      <c r="F1251" s="34"/>
      <c r="G1251" s="35"/>
      <c r="H1251" s="34"/>
      <c r="I1251" s="37"/>
    </row>
    <row r="1252" ht="22.5" customHeight="1">
      <c r="A1252" s="30"/>
      <c r="B1252" s="31"/>
      <c r="C1252" s="32"/>
      <c r="D1252" s="33"/>
      <c r="E1252" s="34"/>
      <c r="F1252" s="34"/>
      <c r="G1252" s="35"/>
      <c r="H1252" s="34"/>
      <c r="I1252" s="37"/>
    </row>
    <row r="1253" ht="22.5" customHeight="1">
      <c r="A1253" s="30"/>
      <c r="B1253" s="31"/>
      <c r="C1253" s="32"/>
      <c r="D1253" s="33"/>
      <c r="E1253" s="34"/>
      <c r="F1253" s="34"/>
      <c r="G1253" s="35"/>
      <c r="H1253" s="34"/>
      <c r="I1253" s="37"/>
    </row>
    <row r="1254" ht="22.5" customHeight="1">
      <c r="A1254" s="30"/>
      <c r="B1254" s="31"/>
      <c r="C1254" s="32"/>
      <c r="D1254" s="33"/>
      <c r="E1254" s="34"/>
      <c r="F1254" s="34"/>
      <c r="G1254" s="35"/>
      <c r="H1254" s="34"/>
      <c r="I1254" s="37"/>
    </row>
    <row r="1255" ht="22.5" customHeight="1">
      <c r="A1255" s="30"/>
      <c r="B1255" s="31"/>
      <c r="C1255" s="32"/>
      <c r="D1255" s="33"/>
      <c r="E1255" s="34"/>
      <c r="F1255" s="34"/>
      <c r="G1255" s="35"/>
      <c r="H1255" s="34"/>
      <c r="I1255" s="37"/>
    </row>
    <row r="1256" ht="22.5" customHeight="1">
      <c r="A1256" s="30"/>
      <c r="B1256" s="31"/>
      <c r="C1256" s="32"/>
      <c r="D1256" s="33"/>
      <c r="E1256" s="34"/>
      <c r="F1256" s="34"/>
      <c r="G1256" s="35"/>
      <c r="H1256" s="34"/>
      <c r="I1256" s="37"/>
    </row>
    <row r="1257" ht="22.5" customHeight="1">
      <c r="A1257" s="30"/>
      <c r="B1257" s="31"/>
      <c r="C1257" s="32"/>
      <c r="D1257" s="33"/>
      <c r="E1257" s="34"/>
      <c r="F1257" s="34"/>
      <c r="G1257" s="35"/>
      <c r="H1257" s="34"/>
      <c r="I1257" s="37"/>
    </row>
    <row r="1258" ht="22.5" customHeight="1">
      <c r="A1258" s="30"/>
      <c r="B1258" s="31"/>
      <c r="C1258" s="32"/>
      <c r="D1258" s="33"/>
      <c r="E1258" s="34"/>
      <c r="F1258" s="34"/>
      <c r="G1258" s="35"/>
      <c r="H1258" s="34"/>
      <c r="I1258" s="37"/>
    </row>
    <row r="1259" ht="22.5" customHeight="1">
      <c r="A1259" s="30"/>
      <c r="B1259" s="31"/>
      <c r="C1259" s="32"/>
      <c r="D1259" s="33"/>
      <c r="E1259" s="34"/>
      <c r="F1259" s="34"/>
      <c r="G1259" s="35"/>
      <c r="H1259" s="34"/>
      <c r="I1259" s="37"/>
    </row>
    <row r="1260" ht="22.5" customHeight="1">
      <c r="A1260" s="30"/>
      <c r="B1260" s="31"/>
      <c r="C1260" s="32"/>
      <c r="D1260" s="33"/>
      <c r="E1260" s="34"/>
      <c r="F1260" s="34"/>
      <c r="G1260" s="35"/>
      <c r="H1260" s="34"/>
      <c r="I1260" s="37"/>
    </row>
    <row r="1261" ht="22.5" customHeight="1">
      <c r="A1261" s="30"/>
      <c r="B1261" s="31"/>
      <c r="C1261" s="32"/>
      <c r="D1261" s="33"/>
      <c r="E1261" s="34"/>
      <c r="F1261" s="34"/>
      <c r="G1261" s="35"/>
      <c r="H1261" s="34"/>
      <c r="I1261" s="37"/>
    </row>
    <row r="1262" ht="22.5" customHeight="1">
      <c r="A1262" s="30"/>
      <c r="B1262" s="31"/>
      <c r="C1262" s="32"/>
      <c r="D1262" s="33"/>
      <c r="E1262" s="34"/>
      <c r="F1262" s="34"/>
      <c r="G1262" s="35"/>
      <c r="H1262" s="34"/>
      <c r="I1262" s="37"/>
    </row>
    <row r="1263" ht="22.5" customHeight="1">
      <c r="A1263" s="30"/>
      <c r="B1263" s="31"/>
      <c r="C1263" s="32"/>
      <c r="D1263" s="33"/>
      <c r="E1263" s="34"/>
      <c r="F1263" s="34"/>
      <c r="G1263" s="35"/>
      <c r="H1263" s="34"/>
      <c r="I1263" s="37"/>
    </row>
    <row r="1264" ht="22.5" customHeight="1">
      <c r="A1264" s="30"/>
      <c r="B1264" s="40"/>
      <c r="C1264" s="32"/>
      <c r="D1264" s="33"/>
      <c r="E1264" s="34"/>
      <c r="F1264" s="34"/>
      <c r="G1264" s="35"/>
      <c r="H1264" s="34"/>
      <c r="I1264" s="37"/>
    </row>
    <row r="1265" ht="22.5" customHeight="1">
      <c r="A1265" s="30"/>
      <c r="B1265" s="31"/>
      <c r="C1265" s="32"/>
      <c r="D1265" s="33"/>
      <c r="E1265" s="34"/>
      <c r="F1265" s="34"/>
      <c r="G1265" s="35"/>
      <c r="H1265" s="34"/>
      <c r="I1265" s="37"/>
    </row>
    <row r="1266" ht="22.5" customHeight="1">
      <c r="A1266" s="30"/>
      <c r="B1266" s="31"/>
      <c r="C1266" s="32"/>
      <c r="D1266" s="33"/>
      <c r="E1266" s="34"/>
      <c r="F1266" s="34"/>
      <c r="G1266" s="35"/>
      <c r="H1266" s="34"/>
      <c r="I1266" s="37"/>
    </row>
    <row r="1267" ht="22.5" customHeight="1">
      <c r="A1267" s="30"/>
      <c r="B1267" s="31"/>
      <c r="C1267" s="32"/>
      <c r="D1267" s="33"/>
      <c r="E1267" s="34"/>
      <c r="F1267" s="34"/>
      <c r="G1267" s="35"/>
      <c r="H1267" s="34"/>
      <c r="I1267" s="37"/>
    </row>
    <row r="1268" ht="22.5" customHeight="1">
      <c r="A1268" s="30"/>
      <c r="B1268" s="31"/>
      <c r="C1268" s="32"/>
      <c r="D1268" s="33"/>
      <c r="E1268" s="34"/>
      <c r="F1268" s="34"/>
      <c r="G1268" s="35"/>
      <c r="H1268" s="34"/>
      <c r="I1268" s="38"/>
    </row>
    <row r="1269" ht="22.5" customHeight="1">
      <c r="A1269" s="30"/>
      <c r="B1269" s="39"/>
      <c r="C1269" s="32"/>
      <c r="D1269" s="33"/>
      <c r="E1269" s="34"/>
      <c r="F1269" s="34"/>
      <c r="G1269" s="35"/>
      <c r="H1269" s="34"/>
      <c r="I1269" s="37"/>
    </row>
    <row r="1270" ht="22.5" customHeight="1">
      <c r="A1270" s="30"/>
      <c r="B1270" s="31"/>
      <c r="C1270" s="32"/>
      <c r="D1270" s="33"/>
      <c r="E1270" s="34"/>
      <c r="F1270" s="34"/>
      <c r="G1270" s="35"/>
      <c r="H1270" s="34"/>
      <c r="I1270" s="37"/>
    </row>
    <row r="1271" ht="22.5" customHeight="1">
      <c r="A1271" s="30"/>
      <c r="B1271" s="31"/>
      <c r="C1271" s="32"/>
      <c r="D1271" s="33"/>
      <c r="E1271" s="34"/>
      <c r="F1271" s="34"/>
      <c r="G1271" s="35"/>
      <c r="H1271" s="34"/>
      <c r="I1271" s="37"/>
    </row>
    <row r="1272" ht="22.5" customHeight="1">
      <c r="A1272" s="30"/>
      <c r="B1272" s="31"/>
      <c r="C1272" s="32"/>
      <c r="D1272" s="33"/>
      <c r="E1272" s="34"/>
      <c r="F1272" s="34"/>
      <c r="G1272" s="35"/>
      <c r="H1272" s="34"/>
      <c r="I1272" s="37"/>
    </row>
    <row r="1273" ht="22.5" customHeight="1">
      <c r="A1273" s="30"/>
      <c r="B1273" s="39"/>
      <c r="C1273" s="32"/>
      <c r="D1273" s="33"/>
      <c r="E1273" s="34"/>
      <c r="F1273" s="34"/>
      <c r="G1273" s="35"/>
      <c r="H1273" s="34"/>
      <c r="I1273" s="37"/>
    </row>
    <row r="1274" ht="22.5" customHeight="1">
      <c r="A1274" s="30"/>
      <c r="B1274" s="31"/>
      <c r="C1274" s="32"/>
      <c r="D1274" s="33"/>
      <c r="E1274" s="34"/>
      <c r="F1274" s="34"/>
      <c r="G1274" s="35"/>
      <c r="H1274" s="34"/>
      <c r="I1274" s="37"/>
    </row>
    <row r="1275" ht="22.5" customHeight="1">
      <c r="A1275" s="30"/>
      <c r="B1275" s="39"/>
      <c r="C1275" s="32"/>
      <c r="D1275" s="33"/>
      <c r="E1275" s="34"/>
      <c r="F1275" s="34"/>
      <c r="G1275" s="35"/>
      <c r="H1275" s="34"/>
      <c r="I1275" s="37"/>
    </row>
    <row r="1276" ht="22.5" customHeight="1">
      <c r="A1276" s="30"/>
      <c r="B1276" s="31"/>
      <c r="C1276" s="32"/>
      <c r="D1276" s="33"/>
      <c r="E1276" s="34"/>
      <c r="F1276" s="34"/>
      <c r="G1276" s="35"/>
      <c r="H1276" s="34"/>
      <c r="I1276" s="37"/>
    </row>
    <row r="1277" ht="22.5" customHeight="1">
      <c r="A1277" s="30"/>
      <c r="B1277" s="31"/>
      <c r="C1277" s="32"/>
      <c r="D1277" s="33"/>
      <c r="E1277" s="34"/>
      <c r="F1277" s="34"/>
      <c r="G1277" s="35"/>
      <c r="H1277" s="34"/>
      <c r="I1277" s="37"/>
    </row>
    <row r="1278" ht="22.5" customHeight="1">
      <c r="A1278" s="30"/>
      <c r="B1278" s="31"/>
      <c r="C1278" s="32"/>
      <c r="D1278" s="33"/>
      <c r="E1278" s="34"/>
      <c r="F1278" s="34"/>
      <c r="G1278" s="35"/>
      <c r="H1278" s="34"/>
      <c r="I1278" s="37"/>
    </row>
    <row r="1279" ht="22.5" customHeight="1">
      <c r="A1279" s="30"/>
      <c r="B1279" s="31"/>
      <c r="C1279" s="32"/>
      <c r="D1279" s="33"/>
      <c r="E1279" s="34"/>
      <c r="F1279" s="34"/>
      <c r="G1279" s="35"/>
      <c r="H1279" s="34"/>
      <c r="I1279" s="37"/>
    </row>
    <row r="1280" ht="22.5" customHeight="1">
      <c r="A1280" s="30"/>
      <c r="B1280" s="31"/>
      <c r="C1280" s="32"/>
      <c r="D1280" s="33"/>
      <c r="E1280" s="34"/>
      <c r="F1280" s="34"/>
      <c r="G1280" s="35"/>
      <c r="H1280" s="34"/>
      <c r="I1280" s="37"/>
    </row>
    <row r="1281" ht="22.5" customHeight="1">
      <c r="A1281" s="30"/>
      <c r="B1281" s="31"/>
      <c r="C1281" s="32"/>
      <c r="D1281" s="33"/>
      <c r="E1281" s="34"/>
      <c r="F1281" s="34"/>
      <c r="G1281" s="35"/>
      <c r="H1281" s="34"/>
      <c r="I1281" s="37"/>
    </row>
    <row r="1282" ht="22.5" customHeight="1">
      <c r="A1282" s="30"/>
      <c r="B1282" s="31"/>
      <c r="C1282" s="32"/>
      <c r="D1282" s="33"/>
      <c r="E1282" s="34"/>
      <c r="F1282" s="34"/>
      <c r="G1282" s="35"/>
      <c r="H1282" s="34"/>
      <c r="I1282" s="37"/>
    </row>
    <row r="1283" ht="22.5" customHeight="1">
      <c r="A1283" s="30"/>
      <c r="B1283" s="31"/>
      <c r="C1283" s="32"/>
      <c r="D1283" s="33"/>
      <c r="E1283" s="34"/>
      <c r="F1283" s="34"/>
      <c r="G1283" s="35"/>
      <c r="H1283" s="34"/>
      <c r="I1283" s="37"/>
    </row>
    <row r="1284" ht="22.5" customHeight="1">
      <c r="A1284" s="30"/>
      <c r="B1284" s="31"/>
      <c r="C1284" s="32"/>
      <c r="D1284" s="33"/>
      <c r="E1284" s="34"/>
      <c r="F1284" s="34"/>
      <c r="G1284" s="35"/>
      <c r="H1284" s="34"/>
      <c r="I1284" s="37"/>
    </row>
    <row r="1285" ht="22.5" customHeight="1">
      <c r="A1285" s="30"/>
      <c r="B1285" s="31"/>
      <c r="C1285" s="32"/>
      <c r="D1285" s="33"/>
      <c r="E1285" s="34"/>
      <c r="F1285" s="34"/>
      <c r="G1285" s="35"/>
      <c r="H1285" s="34"/>
      <c r="I1285" s="37"/>
    </row>
    <row r="1286" ht="22.5" customHeight="1">
      <c r="A1286" s="30"/>
      <c r="B1286" s="40"/>
      <c r="C1286" s="32"/>
      <c r="D1286" s="33"/>
      <c r="E1286" s="34"/>
      <c r="F1286" s="34"/>
      <c r="G1286" s="35"/>
      <c r="H1286" s="34"/>
      <c r="I1286" s="37"/>
    </row>
    <row r="1287" ht="22.5" customHeight="1">
      <c r="A1287" s="30"/>
      <c r="B1287" s="31"/>
      <c r="C1287" s="32"/>
      <c r="D1287" s="33"/>
      <c r="E1287" s="34"/>
      <c r="F1287" s="34"/>
      <c r="G1287" s="35"/>
      <c r="H1287" s="34"/>
      <c r="I1287" s="37"/>
    </row>
    <row r="1288" ht="22.5" customHeight="1">
      <c r="A1288" s="30"/>
      <c r="B1288" s="31"/>
      <c r="C1288" s="32"/>
      <c r="D1288" s="33"/>
      <c r="E1288" s="34"/>
      <c r="F1288" s="34"/>
      <c r="G1288" s="35"/>
      <c r="H1288" s="34"/>
      <c r="I1288" s="37"/>
    </row>
    <row r="1289" ht="22.5" customHeight="1">
      <c r="A1289" s="30"/>
      <c r="B1289" s="31"/>
      <c r="C1289" s="32"/>
      <c r="D1289" s="33"/>
      <c r="E1289" s="34"/>
      <c r="F1289" s="34"/>
      <c r="G1289" s="35"/>
      <c r="H1289" s="34"/>
      <c r="I1289" s="37"/>
    </row>
    <row r="1290" ht="22.5" customHeight="1">
      <c r="A1290" s="30"/>
      <c r="B1290" s="31"/>
      <c r="C1290" s="32"/>
      <c r="D1290" s="33"/>
      <c r="E1290" s="34"/>
      <c r="F1290" s="34"/>
      <c r="G1290" s="35"/>
      <c r="H1290" s="34"/>
      <c r="I1290" s="37"/>
    </row>
    <row r="1291" ht="22.5" customHeight="1">
      <c r="A1291" s="30"/>
      <c r="B1291" s="31"/>
      <c r="C1291" s="32"/>
      <c r="D1291" s="33"/>
      <c r="E1291" s="34"/>
      <c r="F1291" s="34"/>
      <c r="G1291" s="35"/>
      <c r="H1291" s="34"/>
      <c r="I1291" s="37"/>
    </row>
    <row r="1292" ht="22.5" customHeight="1">
      <c r="A1292" s="30"/>
      <c r="B1292" s="31"/>
      <c r="C1292" s="32"/>
      <c r="D1292" s="33"/>
      <c r="E1292" s="34"/>
      <c r="F1292" s="34"/>
      <c r="G1292" s="35"/>
      <c r="H1292" s="34"/>
      <c r="I1292" s="37"/>
    </row>
    <row r="1293" ht="22.5" customHeight="1">
      <c r="A1293" s="30"/>
      <c r="B1293" s="39"/>
      <c r="C1293" s="32"/>
      <c r="D1293" s="33"/>
      <c r="E1293" s="34"/>
      <c r="F1293" s="34"/>
      <c r="G1293" s="35"/>
      <c r="H1293" s="34"/>
      <c r="I1293" s="37"/>
    </row>
    <row r="1294" ht="22.5" customHeight="1">
      <c r="A1294" s="30"/>
      <c r="B1294" s="39"/>
      <c r="C1294" s="32"/>
      <c r="D1294" s="33"/>
      <c r="E1294" s="34"/>
      <c r="F1294" s="34"/>
      <c r="G1294" s="35"/>
      <c r="H1294" s="34"/>
      <c r="I1294" s="37"/>
    </row>
    <row r="1295" ht="22.5" customHeight="1">
      <c r="A1295" s="30"/>
      <c r="B1295" s="39"/>
      <c r="C1295" s="32"/>
      <c r="D1295" s="33"/>
      <c r="E1295" s="34"/>
      <c r="F1295" s="34"/>
      <c r="G1295" s="35"/>
      <c r="H1295" s="34"/>
      <c r="I1295" s="37"/>
    </row>
    <row r="1296" ht="22.5" customHeight="1">
      <c r="A1296" s="30"/>
      <c r="B1296" s="40"/>
      <c r="C1296" s="32"/>
      <c r="D1296" s="33"/>
      <c r="E1296" s="34"/>
      <c r="F1296" s="34"/>
      <c r="G1296" s="35"/>
      <c r="H1296" s="34"/>
      <c r="I1296" s="37"/>
    </row>
    <row r="1297" ht="22.5" customHeight="1">
      <c r="A1297" s="30"/>
      <c r="B1297" s="31"/>
      <c r="C1297" s="32"/>
      <c r="D1297" s="33"/>
      <c r="E1297" s="34"/>
      <c r="F1297" s="34"/>
      <c r="G1297" s="35"/>
      <c r="H1297" s="34"/>
      <c r="I1297" s="37"/>
    </row>
    <row r="1298" ht="22.5" customHeight="1">
      <c r="A1298" s="30"/>
      <c r="B1298" s="31"/>
      <c r="C1298" s="32"/>
      <c r="D1298" s="33"/>
      <c r="E1298" s="34"/>
      <c r="F1298" s="34"/>
      <c r="G1298" s="35"/>
      <c r="H1298" s="34"/>
      <c r="I1298" s="37"/>
    </row>
    <row r="1299" ht="22.5" customHeight="1">
      <c r="A1299" s="30"/>
      <c r="B1299" s="31"/>
      <c r="C1299" s="32"/>
      <c r="D1299" s="33"/>
      <c r="E1299" s="34"/>
      <c r="F1299" s="34"/>
      <c r="G1299" s="35"/>
      <c r="H1299" s="34"/>
      <c r="I1299" s="37"/>
    </row>
    <row r="1300" ht="22.5" customHeight="1">
      <c r="A1300" s="30"/>
      <c r="B1300" s="31"/>
      <c r="C1300" s="32"/>
      <c r="D1300" s="33"/>
      <c r="E1300" s="34"/>
      <c r="F1300" s="34"/>
      <c r="G1300" s="35"/>
      <c r="H1300" s="34"/>
      <c r="I1300" s="37"/>
    </row>
    <row r="1301" ht="22.5" customHeight="1">
      <c r="A1301" s="30"/>
      <c r="B1301" s="31"/>
      <c r="C1301" s="32"/>
      <c r="D1301" s="33"/>
      <c r="E1301" s="34"/>
      <c r="F1301" s="34"/>
      <c r="G1301" s="35"/>
      <c r="H1301" s="34"/>
      <c r="I1301" s="37"/>
    </row>
    <row r="1302" ht="22.5" customHeight="1">
      <c r="A1302" s="30"/>
      <c r="B1302" s="31"/>
      <c r="C1302" s="32"/>
      <c r="D1302" s="33"/>
      <c r="E1302" s="34"/>
      <c r="F1302" s="34"/>
      <c r="G1302" s="35"/>
      <c r="H1302" s="34"/>
      <c r="I1302" s="37"/>
    </row>
    <row r="1303" ht="22.5" customHeight="1">
      <c r="A1303" s="30"/>
      <c r="B1303" s="31"/>
      <c r="C1303" s="32"/>
      <c r="D1303" s="33"/>
      <c r="E1303" s="34"/>
      <c r="F1303" s="34"/>
      <c r="G1303" s="35"/>
      <c r="H1303" s="34"/>
      <c r="I1303" s="37"/>
    </row>
    <row r="1304" ht="22.5" customHeight="1">
      <c r="A1304" s="30"/>
      <c r="B1304" s="31"/>
      <c r="C1304" s="32"/>
      <c r="D1304" s="33"/>
      <c r="E1304" s="34"/>
      <c r="F1304" s="34"/>
      <c r="G1304" s="35"/>
      <c r="H1304" s="34"/>
      <c r="I1304" s="37"/>
    </row>
    <row r="1305" ht="22.5" customHeight="1">
      <c r="A1305" s="30"/>
      <c r="B1305" s="31"/>
      <c r="C1305" s="32"/>
      <c r="D1305" s="33"/>
      <c r="E1305" s="34"/>
      <c r="F1305" s="34"/>
      <c r="G1305" s="35"/>
      <c r="H1305" s="34"/>
      <c r="I1305" s="37"/>
    </row>
    <row r="1306" ht="22.5" customHeight="1">
      <c r="A1306" s="30"/>
      <c r="B1306" s="40"/>
      <c r="C1306" s="32"/>
      <c r="D1306" s="33"/>
      <c r="E1306" s="34"/>
      <c r="F1306" s="34"/>
      <c r="G1306" s="35"/>
      <c r="H1306" s="34"/>
      <c r="I1306" s="37"/>
    </row>
    <row r="1307" ht="22.5" customHeight="1">
      <c r="A1307" s="30"/>
      <c r="B1307" s="31"/>
      <c r="C1307" s="32"/>
      <c r="D1307" s="33"/>
      <c r="E1307" s="34"/>
      <c r="F1307" s="34"/>
      <c r="G1307" s="35"/>
      <c r="H1307" s="34"/>
      <c r="I1307" s="37"/>
    </row>
    <row r="1308" ht="22.5" customHeight="1">
      <c r="A1308" s="30"/>
      <c r="B1308" s="31"/>
      <c r="C1308" s="32"/>
      <c r="D1308" s="33"/>
      <c r="E1308" s="34"/>
      <c r="F1308" s="34"/>
      <c r="G1308" s="35"/>
      <c r="H1308" s="34"/>
      <c r="I1308" s="37"/>
    </row>
    <row r="1309" ht="22.5" customHeight="1">
      <c r="A1309" s="30"/>
      <c r="B1309" s="31"/>
      <c r="C1309" s="32"/>
      <c r="D1309" s="33"/>
      <c r="E1309" s="34"/>
      <c r="F1309" s="34"/>
      <c r="G1309" s="35"/>
      <c r="H1309" s="34"/>
      <c r="I1309" s="37"/>
    </row>
    <row r="1310" ht="22.5" customHeight="1">
      <c r="A1310" s="30"/>
      <c r="B1310" s="40"/>
      <c r="C1310" s="32"/>
      <c r="D1310" s="33"/>
      <c r="E1310" s="34"/>
      <c r="F1310" s="34"/>
      <c r="G1310" s="35"/>
      <c r="H1310" s="34"/>
      <c r="I1310" s="37"/>
    </row>
    <row r="1311" ht="22.5" customHeight="1">
      <c r="A1311" s="30"/>
      <c r="B1311" s="31"/>
      <c r="C1311" s="32"/>
      <c r="D1311" s="33"/>
      <c r="E1311" s="34"/>
      <c r="F1311" s="34"/>
      <c r="G1311" s="35"/>
      <c r="H1311" s="34"/>
      <c r="I1311" s="37"/>
    </row>
    <row r="1312" ht="22.5" customHeight="1">
      <c r="A1312" s="30"/>
      <c r="B1312" s="31"/>
      <c r="C1312" s="32"/>
      <c r="D1312" s="33"/>
      <c r="E1312" s="34"/>
      <c r="F1312" s="34"/>
      <c r="G1312" s="35"/>
      <c r="H1312" s="34"/>
      <c r="I1312" s="37"/>
    </row>
    <row r="1313" ht="22.5" customHeight="1">
      <c r="A1313" s="30"/>
      <c r="B1313" s="31"/>
      <c r="C1313" s="32"/>
      <c r="D1313" s="33"/>
      <c r="E1313" s="34"/>
      <c r="F1313" s="34"/>
      <c r="G1313" s="35"/>
      <c r="H1313" s="34"/>
      <c r="I1313" s="37"/>
    </row>
    <row r="1314" ht="22.5" customHeight="1">
      <c r="A1314" s="30"/>
      <c r="B1314" s="31"/>
      <c r="C1314" s="32"/>
      <c r="D1314" s="33"/>
      <c r="E1314" s="34"/>
      <c r="F1314" s="34"/>
      <c r="G1314" s="35"/>
      <c r="H1314" s="34"/>
      <c r="I1314" s="37"/>
    </row>
    <row r="1315" ht="22.5" customHeight="1">
      <c r="A1315" s="30"/>
      <c r="B1315" s="31"/>
      <c r="C1315" s="32"/>
      <c r="D1315" s="33"/>
      <c r="E1315" s="34"/>
      <c r="F1315" s="34"/>
      <c r="G1315" s="35"/>
      <c r="H1315" s="34"/>
      <c r="I1315" s="37"/>
    </row>
    <row r="1316" ht="22.5" customHeight="1">
      <c r="A1316" s="30"/>
      <c r="B1316" s="31"/>
      <c r="C1316" s="32"/>
      <c r="D1316" s="33"/>
      <c r="E1316" s="34"/>
      <c r="F1316" s="34"/>
      <c r="G1316" s="35"/>
      <c r="H1316" s="34"/>
      <c r="I1316" s="37"/>
    </row>
    <row r="1317" ht="22.5" customHeight="1">
      <c r="A1317" s="30"/>
      <c r="B1317" s="31"/>
      <c r="C1317" s="32"/>
      <c r="D1317" s="33"/>
      <c r="E1317" s="34"/>
      <c r="F1317" s="34"/>
      <c r="G1317" s="35"/>
      <c r="H1317" s="34"/>
      <c r="I1317" s="37"/>
    </row>
    <row r="1318" ht="22.5" customHeight="1">
      <c r="A1318" s="30"/>
      <c r="B1318" s="31"/>
      <c r="C1318" s="32"/>
      <c r="D1318" s="33"/>
      <c r="E1318" s="34"/>
      <c r="F1318" s="34"/>
      <c r="G1318" s="35"/>
      <c r="H1318" s="34"/>
      <c r="I1318" s="37"/>
    </row>
    <row r="1319" ht="22.5" customHeight="1">
      <c r="A1319" s="30"/>
      <c r="B1319" s="31"/>
      <c r="C1319" s="32"/>
      <c r="D1319" s="33"/>
      <c r="E1319" s="34"/>
      <c r="F1319" s="34"/>
      <c r="G1319" s="35"/>
      <c r="H1319" s="34"/>
      <c r="I1319" s="37"/>
    </row>
    <row r="1320" ht="22.5" customHeight="1">
      <c r="A1320" s="30"/>
      <c r="B1320" s="31"/>
      <c r="C1320" s="32"/>
      <c r="D1320" s="33"/>
      <c r="E1320" s="34"/>
      <c r="F1320" s="34"/>
      <c r="G1320" s="35"/>
      <c r="H1320" s="34"/>
      <c r="I1320" s="37"/>
    </row>
    <row r="1321" ht="22.5" customHeight="1">
      <c r="A1321" s="30"/>
      <c r="B1321" s="31"/>
      <c r="C1321" s="32"/>
      <c r="D1321" s="33"/>
      <c r="E1321" s="34"/>
      <c r="F1321" s="34"/>
      <c r="G1321" s="35"/>
      <c r="H1321" s="34"/>
      <c r="I1321" s="37"/>
    </row>
    <row r="1322" ht="22.5" customHeight="1">
      <c r="A1322" s="30"/>
      <c r="B1322" s="31"/>
      <c r="C1322" s="32"/>
      <c r="D1322" s="33"/>
      <c r="E1322" s="34"/>
      <c r="F1322" s="34"/>
      <c r="G1322" s="35"/>
      <c r="H1322" s="34"/>
      <c r="I1322" s="37"/>
    </row>
    <row r="1323" ht="22.5" customHeight="1">
      <c r="A1323" s="30"/>
      <c r="B1323" s="31"/>
      <c r="C1323" s="32"/>
      <c r="D1323" s="33"/>
      <c r="E1323" s="34"/>
      <c r="F1323" s="34"/>
      <c r="G1323" s="35"/>
      <c r="H1323" s="34"/>
      <c r="I1323" s="37"/>
    </row>
    <row r="1324" ht="22.5" customHeight="1">
      <c r="A1324" s="30"/>
      <c r="B1324" s="31"/>
      <c r="C1324" s="32"/>
      <c r="D1324" s="33"/>
      <c r="E1324" s="34"/>
      <c r="F1324" s="34"/>
      <c r="G1324" s="35"/>
      <c r="H1324" s="34"/>
      <c r="I1324" s="37"/>
    </row>
    <row r="1325" ht="22.5" customHeight="1">
      <c r="A1325" s="30"/>
      <c r="B1325" s="40"/>
      <c r="C1325" s="32"/>
      <c r="D1325" s="33"/>
      <c r="E1325" s="34"/>
      <c r="F1325" s="34"/>
      <c r="G1325" s="35"/>
      <c r="H1325" s="34"/>
      <c r="I1325" s="37"/>
    </row>
    <row r="1326" ht="22.5" customHeight="1">
      <c r="A1326" s="30"/>
      <c r="B1326" s="31"/>
      <c r="C1326" s="32"/>
      <c r="D1326" s="33"/>
      <c r="E1326" s="34"/>
      <c r="F1326" s="34"/>
      <c r="G1326" s="35"/>
      <c r="H1326" s="34"/>
      <c r="I1326" s="37"/>
    </row>
    <row r="1327" ht="22.5" customHeight="1">
      <c r="A1327" s="30"/>
      <c r="B1327" s="40"/>
      <c r="C1327" s="32"/>
      <c r="D1327" s="33"/>
      <c r="E1327" s="34"/>
      <c r="F1327" s="34"/>
      <c r="G1327" s="35"/>
      <c r="H1327" s="34"/>
      <c r="I1327" s="37"/>
    </row>
    <row r="1328" ht="22.5" customHeight="1">
      <c r="A1328" s="30"/>
      <c r="B1328" s="31"/>
      <c r="C1328" s="32"/>
      <c r="D1328" s="33"/>
      <c r="E1328" s="34"/>
      <c r="F1328" s="34"/>
      <c r="G1328" s="35"/>
      <c r="H1328" s="34"/>
      <c r="I1328" s="37"/>
    </row>
    <row r="1329" ht="22.5" customHeight="1">
      <c r="A1329" s="30"/>
      <c r="B1329" s="31"/>
      <c r="C1329" s="32"/>
      <c r="D1329" s="33"/>
      <c r="E1329" s="34"/>
      <c r="F1329" s="34"/>
      <c r="G1329" s="35"/>
      <c r="H1329" s="34"/>
      <c r="I1329" s="37"/>
    </row>
    <row r="1330" ht="22.5" customHeight="1">
      <c r="A1330" s="30"/>
      <c r="B1330" s="31"/>
      <c r="C1330" s="32"/>
      <c r="D1330" s="33"/>
      <c r="E1330" s="34"/>
      <c r="F1330" s="34"/>
      <c r="G1330" s="35"/>
      <c r="H1330" s="34"/>
      <c r="I1330" s="37"/>
    </row>
    <row r="1331" ht="22.5" customHeight="1">
      <c r="A1331" s="30"/>
      <c r="B1331" s="31"/>
      <c r="C1331" s="32"/>
      <c r="D1331" s="33"/>
      <c r="E1331" s="34"/>
      <c r="F1331" s="34"/>
      <c r="G1331" s="35"/>
      <c r="H1331" s="34"/>
      <c r="I1331" s="37"/>
    </row>
    <row r="1332" ht="22.5" customHeight="1">
      <c r="A1332" s="30"/>
      <c r="B1332" s="40"/>
      <c r="C1332" s="32"/>
      <c r="D1332" s="33"/>
      <c r="E1332" s="34"/>
      <c r="F1332" s="34"/>
      <c r="G1332" s="35"/>
      <c r="H1332" s="34"/>
      <c r="I1332" s="37"/>
    </row>
    <row r="1333" ht="22.5" customHeight="1">
      <c r="A1333" s="30"/>
      <c r="B1333" s="31"/>
      <c r="C1333" s="32"/>
      <c r="D1333" s="33"/>
      <c r="E1333" s="34"/>
      <c r="F1333" s="34"/>
      <c r="G1333" s="35"/>
      <c r="H1333" s="34"/>
      <c r="I1333" s="37"/>
    </row>
    <row r="1334" ht="22.5" customHeight="1">
      <c r="A1334" s="30"/>
      <c r="B1334" s="31"/>
      <c r="C1334" s="32"/>
      <c r="D1334" s="33"/>
      <c r="E1334" s="34"/>
      <c r="F1334" s="34"/>
      <c r="G1334" s="35"/>
      <c r="H1334" s="34"/>
      <c r="I1334" s="37"/>
    </row>
    <row r="1335" ht="22.5" customHeight="1">
      <c r="A1335" s="30"/>
      <c r="B1335" s="31"/>
      <c r="C1335" s="32"/>
      <c r="D1335" s="33"/>
      <c r="E1335" s="34"/>
      <c r="F1335" s="34"/>
      <c r="G1335" s="35"/>
      <c r="H1335" s="34"/>
      <c r="I1335" s="37"/>
    </row>
    <row r="1336" ht="22.5" customHeight="1">
      <c r="A1336" s="30"/>
      <c r="B1336" s="31"/>
      <c r="C1336" s="32"/>
      <c r="D1336" s="33"/>
      <c r="E1336" s="34"/>
      <c r="F1336" s="34"/>
      <c r="G1336" s="35"/>
      <c r="H1336" s="34"/>
      <c r="I1336" s="37"/>
    </row>
    <row r="1337" ht="22.5" customHeight="1">
      <c r="A1337" s="30"/>
      <c r="B1337" s="31"/>
      <c r="C1337" s="32"/>
      <c r="D1337" s="33"/>
      <c r="E1337" s="34"/>
      <c r="F1337" s="34"/>
      <c r="G1337" s="35"/>
      <c r="H1337" s="34"/>
      <c r="I1337" s="37"/>
    </row>
    <row r="1338" ht="22.5" customHeight="1">
      <c r="A1338" s="30"/>
      <c r="B1338" s="31"/>
      <c r="C1338" s="32"/>
      <c r="D1338" s="33"/>
      <c r="E1338" s="34"/>
      <c r="F1338" s="34"/>
      <c r="G1338" s="35"/>
      <c r="H1338" s="34"/>
      <c r="I1338" s="37"/>
    </row>
    <row r="1339" ht="22.5" customHeight="1">
      <c r="A1339" s="30"/>
      <c r="B1339" s="31"/>
      <c r="C1339" s="32"/>
      <c r="D1339" s="33"/>
      <c r="E1339" s="34"/>
      <c r="F1339" s="34"/>
      <c r="G1339" s="35"/>
      <c r="H1339" s="34"/>
      <c r="I1339" s="37"/>
    </row>
    <row r="1340" ht="22.5" customHeight="1">
      <c r="A1340" s="30"/>
      <c r="B1340" s="31"/>
      <c r="C1340" s="32"/>
      <c r="D1340" s="33"/>
      <c r="E1340" s="34"/>
      <c r="F1340" s="34"/>
      <c r="G1340" s="35"/>
      <c r="H1340" s="34"/>
      <c r="I1340" s="37"/>
    </row>
    <row r="1341" ht="22.5" customHeight="1">
      <c r="A1341" s="30"/>
      <c r="B1341" s="31"/>
      <c r="C1341" s="32"/>
      <c r="D1341" s="33"/>
      <c r="E1341" s="34"/>
      <c r="F1341" s="34"/>
      <c r="G1341" s="35"/>
      <c r="H1341" s="34"/>
      <c r="I1341" s="37"/>
    </row>
    <row r="1342" ht="22.5" customHeight="1">
      <c r="A1342" s="30"/>
      <c r="B1342" s="31"/>
      <c r="C1342" s="32"/>
      <c r="D1342" s="33"/>
      <c r="E1342" s="34"/>
      <c r="F1342" s="34"/>
      <c r="G1342" s="35"/>
      <c r="H1342" s="34"/>
      <c r="I1342" s="37"/>
    </row>
    <row r="1343" ht="22.5" customHeight="1">
      <c r="A1343" s="30"/>
      <c r="B1343" s="31"/>
      <c r="C1343" s="32"/>
      <c r="D1343" s="33"/>
      <c r="E1343" s="34"/>
      <c r="F1343" s="34"/>
      <c r="G1343" s="35"/>
      <c r="H1343" s="34"/>
      <c r="I1343" s="37"/>
    </row>
    <row r="1344" ht="22.5" customHeight="1">
      <c r="A1344" s="30"/>
      <c r="B1344" s="31"/>
      <c r="C1344" s="32"/>
      <c r="D1344" s="33"/>
      <c r="E1344" s="34"/>
      <c r="F1344" s="34"/>
      <c r="G1344" s="35"/>
      <c r="H1344" s="34"/>
      <c r="I1344" s="37"/>
    </row>
    <row r="1345" ht="22.5" customHeight="1">
      <c r="A1345" s="30"/>
      <c r="B1345" s="31"/>
      <c r="C1345" s="32"/>
      <c r="D1345" s="33"/>
      <c r="E1345" s="34"/>
      <c r="F1345" s="34"/>
      <c r="G1345" s="35"/>
      <c r="H1345" s="34"/>
      <c r="I1345" s="37"/>
    </row>
    <row r="1346" ht="22.5" customHeight="1">
      <c r="A1346" s="30"/>
      <c r="B1346" s="31"/>
      <c r="C1346" s="32"/>
      <c r="D1346" s="33"/>
      <c r="E1346" s="34"/>
      <c r="F1346" s="34"/>
      <c r="G1346" s="35"/>
      <c r="H1346" s="34"/>
      <c r="I1346" s="37"/>
    </row>
    <row r="1347" ht="22.5" customHeight="1">
      <c r="A1347" s="30"/>
      <c r="B1347" s="31"/>
      <c r="C1347" s="32"/>
      <c r="D1347" s="33"/>
      <c r="E1347" s="34"/>
      <c r="F1347" s="34"/>
      <c r="G1347" s="35"/>
      <c r="H1347" s="34"/>
      <c r="I1347" s="37"/>
    </row>
    <row r="1348" ht="22.5" customHeight="1">
      <c r="A1348" s="30"/>
      <c r="B1348" s="31"/>
      <c r="C1348" s="32"/>
      <c r="D1348" s="33"/>
      <c r="E1348" s="34"/>
      <c r="F1348" s="34"/>
      <c r="G1348" s="35"/>
      <c r="H1348" s="34"/>
      <c r="I1348" s="37"/>
    </row>
    <row r="1349" ht="22.5" customHeight="1">
      <c r="A1349" s="30"/>
      <c r="B1349" s="31"/>
      <c r="C1349" s="32"/>
      <c r="D1349" s="33"/>
      <c r="E1349" s="34"/>
      <c r="F1349" s="34"/>
      <c r="G1349" s="35"/>
      <c r="H1349" s="34"/>
      <c r="I1349" s="37"/>
    </row>
    <row r="1350" ht="22.5" customHeight="1">
      <c r="A1350" s="30"/>
      <c r="B1350" s="31"/>
      <c r="C1350" s="32"/>
      <c r="D1350" s="33"/>
      <c r="E1350" s="34"/>
      <c r="F1350" s="34"/>
      <c r="G1350" s="35"/>
      <c r="H1350" s="34"/>
      <c r="I1350" s="37"/>
    </row>
    <row r="1351" ht="22.5" customHeight="1">
      <c r="A1351" s="30"/>
      <c r="B1351" s="31"/>
      <c r="C1351" s="32"/>
      <c r="D1351" s="33"/>
      <c r="E1351" s="34"/>
      <c r="F1351" s="34"/>
      <c r="G1351" s="35"/>
      <c r="H1351" s="34"/>
      <c r="I1351" s="37"/>
    </row>
    <row r="1352" ht="22.5" customHeight="1">
      <c r="A1352" s="30"/>
      <c r="B1352" s="31"/>
      <c r="C1352" s="32"/>
      <c r="D1352" s="33"/>
      <c r="E1352" s="34"/>
      <c r="F1352" s="34"/>
      <c r="G1352" s="35"/>
      <c r="H1352" s="34"/>
      <c r="I1352" s="37"/>
    </row>
    <row r="1353" ht="22.5" customHeight="1">
      <c r="A1353" s="30"/>
      <c r="B1353" s="31"/>
      <c r="C1353" s="32"/>
      <c r="D1353" s="33"/>
      <c r="E1353" s="34"/>
      <c r="F1353" s="34"/>
      <c r="G1353" s="35"/>
      <c r="H1353" s="34"/>
      <c r="I1353" s="37"/>
    </row>
    <row r="1354" ht="22.5" customHeight="1">
      <c r="A1354" s="30"/>
      <c r="B1354" s="40"/>
      <c r="C1354" s="32"/>
      <c r="D1354" s="33"/>
      <c r="E1354" s="34"/>
      <c r="F1354" s="34"/>
      <c r="G1354" s="35"/>
      <c r="H1354" s="34"/>
      <c r="I1354" s="37"/>
    </row>
    <row r="1355" ht="22.5" customHeight="1">
      <c r="A1355" s="30"/>
      <c r="B1355" s="31"/>
      <c r="C1355" s="32"/>
      <c r="D1355" s="33"/>
      <c r="E1355" s="34"/>
      <c r="F1355" s="34"/>
      <c r="G1355" s="35"/>
      <c r="H1355" s="34"/>
      <c r="I1355" s="37"/>
    </row>
    <row r="1356" ht="22.5" customHeight="1">
      <c r="A1356" s="30"/>
      <c r="B1356" s="31"/>
      <c r="C1356" s="32"/>
      <c r="D1356" s="33"/>
      <c r="E1356" s="34"/>
      <c r="F1356" s="34"/>
      <c r="G1356" s="35"/>
      <c r="H1356" s="34"/>
      <c r="I1356" s="37"/>
    </row>
    <row r="1357" ht="22.5" customHeight="1">
      <c r="A1357" s="30"/>
      <c r="B1357" s="31"/>
      <c r="C1357" s="32"/>
      <c r="D1357" s="33"/>
      <c r="E1357" s="34"/>
      <c r="F1357" s="34"/>
      <c r="G1357" s="35"/>
      <c r="H1357" s="34"/>
      <c r="I1357" s="37"/>
    </row>
    <row r="1358" ht="22.5" customHeight="1">
      <c r="A1358" s="30"/>
      <c r="B1358" s="31"/>
      <c r="C1358" s="32"/>
      <c r="D1358" s="33"/>
      <c r="E1358" s="34"/>
      <c r="F1358" s="34"/>
      <c r="G1358" s="35"/>
      <c r="H1358" s="34"/>
      <c r="I1358" s="38"/>
    </row>
    <row r="1359" ht="22.5" customHeight="1">
      <c r="A1359" s="30"/>
      <c r="B1359" s="39"/>
      <c r="C1359" s="32"/>
      <c r="D1359" s="33"/>
      <c r="E1359" s="34"/>
      <c r="F1359" s="34"/>
      <c r="G1359" s="35"/>
      <c r="H1359" s="34"/>
      <c r="I1359" s="37"/>
    </row>
    <row r="1360" ht="22.5" customHeight="1">
      <c r="A1360" s="30"/>
      <c r="B1360" s="31"/>
      <c r="C1360" s="32"/>
      <c r="D1360" s="33"/>
      <c r="E1360" s="34"/>
      <c r="F1360" s="34"/>
      <c r="G1360" s="35"/>
      <c r="H1360" s="34"/>
      <c r="I1360" s="37"/>
    </row>
    <row r="1361" ht="22.5" customHeight="1">
      <c r="A1361" s="30"/>
      <c r="B1361" s="31"/>
      <c r="C1361" s="32"/>
      <c r="D1361" s="33"/>
      <c r="E1361" s="34"/>
      <c r="F1361" s="34"/>
      <c r="G1361" s="35"/>
      <c r="H1361" s="34"/>
      <c r="I1361" s="37"/>
    </row>
    <row r="1362" ht="22.5" customHeight="1">
      <c r="A1362" s="30"/>
      <c r="B1362" s="31"/>
      <c r="C1362" s="32"/>
      <c r="D1362" s="33"/>
      <c r="E1362" s="34"/>
      <c r="F1362" s="34"/>
      <c r="G1362" s="35"/>
      <c r="H1362" s="34"/>
      <c r="I1362" s="37"/>
    </row>
    <row r="1363" ht="22.5" customHeight="1">
      <c r="A1363" s="30"/>
      <c r="B1363" s="39"/>
      <c r="C1363" s="32"/>
      <c r="D1363" s="33"/>
      <c r="E1363" s="34"/>
      <c r="F1363" s="34"/>
      <c r="G1363" s="35"/>
      <c r="H1363" s="34"/>
      <c r="I1363" s="37"/>
    </row>
    <row r="1364" ht="22.5" customHeight="1">
      <c r="A1364" s="30"/>
      <c r="B1364" s="31"/>
      <c r="C1364" s="32"/>
      <c r="D1364" s="33"/>
      <c r="E1364" s="34"/>
      <c r="F1364" s="34"/>
      <c r="G1364" s="35"/>
      <c r="H1364" s="34"/>
      <c r="I1364" s="37"/>
    </row>
    <row r="1365" ht="22.5" customHeight="1">
      <c r="A1365" s="30"/>
      <c r="B1365" s="39"/>
      <c r="C1365" s="32"/>
      <c r="D1365" s="33"/>
      <c r="E1365" s="34"/>
      <c r="F1365" s="34"/>
      <c r="G1365" s="35"/>
      <c r="H1365" s="34"/>
      <c r="I1365" s="37"/>
    </row>
    <row r="1366" ht="22.5" customHeight="1">
      <c r="A1366" s="30"/>
      <c r="B1366" s="31"/>
      <c r="C1366" s="32"/>
      <c r="D1366" s="33"/>
      <c r="E1366" s="34"/>
      <c r="F1366" s="34"/>
      <c r="G1366" s="35"/>
      <c r="H1366" s="34"/>
      <c r="I1366" s="37"/>
    </row>
    <row r="1367" ht="22.5" customHeight="1">
      <c r="A1367" s="30"/>
      <c r="B1367" s="31"/>
      <c r="C1367" s="32"/>
      <c r="D1367" s="33"/>
      <c r="E1367" s="34"/>
      <c r="F1367" s="34"/>
      <c r="G1367" s="35"/>
      <c r="H1367" s="34"/>
      <c r="I1367" s="37"/>
    </row>
    <row r="1368" ht="22.5" customHeight="1">
      <c r="A1368" s="30"/>
      <c r="B1368" s="31"/>
      <c r="C1368" s="32"/>
      <c r="D1368" s="33"/>
      <c r="E1368" s="34"/>
      <c r="F1368" s="34"/>
      <c r="G1368" s="35"/>
      <c r="H1368" s="34"/>
      <c r="I1368" s="37"/>
    </row>
    <row r="1369" ht="22.5" customHeight="1">
      <c r="A1369" s="30"/>
      <c r="B1369" s="31"/>
      <c r="C1369" s="32"/>
      <c r="D1369" s="33"/>
      <c r="E1369" s="34"/>
      <c r="F1369" s="34"/>
      <c r="G1369" s="35"/>
      <c r="H1369" s="34"/>
      <c r="I1369" s="37"/>
    </row>
    <row r="1370" ht="22.5" customHeight="1">
      <c r="A1370" s="30"/>
      <c r="B1370" s="31"/>
      <c r="C1370" s="32"/>
      <c r="D1370" s="33"/>
      <c r="E1370" s="34"/>
      <c r="F1370" s="34"/>
      <c r="G1370" s="35"/>
      <c r="H1370" s="34"/>
      <c r="I1370" s="37"/>
    </row>
    <row r="1371" ht="22.5" customHeight="1">
      <c r="A1371" s="30"/>
      <c r="B1371" s="31"/>
      <c r="C1371" s="32"/>
      <c r="D1371" s="33"/>
      <c r="E1371" s="34"/>
      <c r="F1371" s="34"/>
      <c r="G1371" s="35"/>
      <c r="H1371" s="34"/>
      <c r="I1371" s="37"/>
    </row>
    <row r="1372" ht="22.5" customHeight="1">
      <c r="A1372" s="30"/>
      <c r="B1372" s="31"/>
      <c r="C1372" s="32"/>
      <c r="D1372" s="33"/>
      <c r="E1372" s="34"/>
      <c r="F1372" s="34"/>
      <c r="G1372" s="35"/>
      <c r="H1372" s="34"/>
      <c r="I1372" s="37"/>
    </row>
    <row r="1373" ht="22.5" customHeight="1">
      <c r="A1373" s="30"/>
      <c r="B1373" s="31"/>
      <c r="C1373" s="32"/>
      <c r="D1373" s="33"/>
      <c r="E1373" s="34"/>
      <c r="F1373" s="34"/>
      <c r="G1373" s="35"/>
      <c r="H1373" s="34"/>
      <c r="I1373" s="37"/>
    </row>
    <row r="1374" ht="22.5" customHeight="1">
      <c r="A1374" s="30"/>
      <c r="B1374" s="31"/>
      <c r="C1374" s="32"/>
      <c r="D1374" s="33"/>
      <c r="E1374" s="34"/>
      <c r="F1374" s="34"/>
      <c r="G1374" s="35"/>
      <c r="H1374" s="34"/>
      <c r="I1374" s="37"/>
    </row>
    <row r="1375" ht="22.5" customHeight="1">
      <c r="A1375" s="30"/>
      <c r="B1375" s="31"/>
      <c r="C1375" s="32"/>
      <c r="D1375" s="33"/>
      <c r="E1375" s="34"/>
      <c r="F1375" s="34"/>
      <c r="G1375" s="35"/>
      <c r="H1375" s="34"/>
      <c r="I1375" s="37"/>
    </row>
    <row r="1376" ht="22.5" customHeight="1">
      <c r="A1376" s="30"/>
      <c r="B1376" s="40"/>
      <c r="C1376" s="32"/>
      <c r="D1376" s="33"/>
      <c r="E1376" s="34"/>
      <c r="F1376" s="34"/>
      <c r="G1376" s="35"/>
      <c r="H1376" s="34"/>
      <c r="I1376" s="37"/>
    </row>
    <row r="1377" ht="22.5" customHeight="1">
      <c r="A1377" s="30"/>
      <c r="B1377" s="31"/>
      <c r="C1377" s="32"/>
      <c r="D1377" s="33"/>
      <c r="E1377" s="34"/>
      <c r="F1377" s="34"/>
      <c r="G1377" s="35"/>
      <c r="H1377" s="34"/>
      <c r="I1377" s="37"/>
    </row>
    <row r="1378" ht="22.5" customHeight="1">
      <c r="A1378" s="30"/>
      <c r="B1378" s="31"/>
      <c r="C1378" s="32"/>
      <c r="D1378" s="33"/>
      <c r="E1378" s="34"/>
      <c r="F1378" s="34"/>
      <c r="G1378" s="35"/>
      <c r="H1378" s="34"/>
      <c r="I1378" s="37"/>
    </row>
    <row r="1379" ht="22.5" customHeight="1">
      <c r="A1379" s="30"/>
      <c r="B1379" s="31"/>
      <c r="C1379" s="32"/>
      <c r="D1379" s="33"/>
      <c r="E1379" s="34"/>
      <c r="F1379" s="34"/>
      <c r="G1379" s="35"/>
      <c r="H1379" s="34"/>
      <c r="I1379" s="37"/>
    </row>
    <row r="1380" ht="22.5" customHeight="1">
      <c r="A1380" s="30"/>
      <c r="B1380" s="31"/>
      <c r="C1380" s="32"/>
      <c r="D1380" s="33"/>
      <c r="E1380" s="34"/>
      <c r="F1380" s="34"/>
      <c r="G1380" s="35"/>
      <c r="H1380" s="34"/>
      <c r="I1380" s="37"/>
    </row>
    <row r="1381" ht="22.5" customHeight="1">
      <c r="A1381" s="30"/>
      <c r="B1381" s="31"/>
      <c r="C1381" s="32"/>
      <c r="D1381" s="33"/>
      <c r="E1381" s="34"/>
      <c r="F1381" s="34"/>
      <c r="G1381" s="35"/>
      <c r="H1381" s="34"/>
      <c r="I1381" s="37"/>
    </row>
    <row r="1382" ht="22.5" customHeight="1">
      <c r="A1382" s="30"/>
      <c r="B1382" s="31"/>
      <c r="C1382" s="32"/>
      <c r="D1382" s="33"/>
      <c r="E1382" s="34"/>
      <c r="F1382" s="34"/>
      <c r="G1382" s="35"/>
      <c r="H1382" s="34"/>
      <c r="I1382" s="37"/>
    </row>
    <row r="1383" ht="22.5" customHeight="1">
      <c r="A1383" s="30"/>
      <c r="B1383" s="39"/>
      <c r="C1383" s="32"/>
      <c r="D1383" s="33"/>
      <c r="E1383" s="34"/>
      <c r="F1383" s="34"/>
      <c r="G1383" s="35"/>
      <c r="H1383" s="34"/>
      <c r="I1383" s="37"/>
    </row>
    <row r="1384" ht="22.5" customHeight="1">
      <c r="A1384" s="30"/>
      <c r="B1384" s="39"/>
      <c r="C1384" s="32"/>
      <c r="D1384" s="33"/>
      <c r="E1384" s="34"/>
      <c r="F1384" s="34"/>
      <c r="G1384" s="35"/>
      <c r="H1384" s="34"/>
      <c r="I1384" s="37"/>
    </row>
    <row r="1385" ht="22.5" customHeight="1">
      <c r="A1385" s="30"/>
      <c r="B1385" s="39"/>
      <c r="C1385" s="32"/>
      <c r="D1385" s="33"/>
      <c r="E1385" s="34"/>
      <c r="F1385" s="34"/>
      <c r="G1385" s="35"/>
      <c r="H1385" s="34"/>
      <c r="I1385" s="37"/>
    </row>
    <row r="1386" ht="22.5" customHeight="1">
      <c r="A1386" s="30"/>
      <c r="B1386" s="40"/>
      <c r="C1386" s="32"/>
      <c r="D1386" s="33"/>
      <c r="E1386" s="34"/>
      <c r="F1386" s="34"/>
      <c r="G1386" s="35"/>
      <c r="H1386" s="34"/>
      <c r="I1386" s="37"/>
    </row>
    <row r="1387" ht="22.5" customHeight="1">
      <c r="A1387" s="30"/>
      <c r="B1387" s="31"/>
      <c r="C1387" s="32"/>
      <c r="D1387" s="33"/>
      <c r="E1387" s="34"/>
      <c r="F1387" s="34"/>
      <c r="G1387" s="35"/>
      <c r="H1387" s="34"/>
      <c r="I1387" s="37"/>
    </row>
    <row r="1388" ht="22.5" customHeight="1">
      <c r="A1388" s="30"/>
      <c r="B1388" s="31"/>
      <c r="C1388" s="32"/>
      <c r="D1388" s="33"/>
      <c r="E1388" s="34"/>
      <c r="F1388" s="34"/>
      <c r="G1388" s="35"/>
      <c r="H1388" s="34"/>
      <c r="I1388" s="37"/>
    </row>
    <row r="1389" ht="22.5" customHeight="1">
      <c r="A1389" s="30"/>
      <c r="B1389" s="31"/>
      <c r="C1389" s="32"/>
      <c r="D1389" s="33"/>
      <c r="E1389" s="34"/>
      <c r="F1389" s="34"/>
      <c r="G1389" s="35"/>
      <c r="H1389" s="34"/>
      <c r="I1389" s="37"/>
    </row>
    <row r="1390" ht="22.5" customHeight="1">
      <c r="A1390" s="30"/>
      <c r="B1390" s="31"/>
      <c r="C1390" s="32"/>
      <c r="D1390" s="33"/>
      <c r="E1390" s="34"/>
      <c r="F1390" s="34"/>
      <c r="G1390" s="35"/>
      <c r="H1390" s="34"/>
      <c r="I1390" s="37"/>
    </row>
    <row r="1391" ht="22.5" customHeight="1">
      <c r="A1391" s="30"/>
      <c r="B1391" s="31"/>
      <c r="C1391" s="32"/>
      <c r="D1391" s="33"/>
      <c r="E1391" s="34"/>
      <c r="F1391" s="34"/>
      <c r="G1391" s="35"/>
      <c r="H1391" s="34"/>
      <c r="I1391" s="37"/>
    </row>
    <row r="1392" ht="22.5" customHeight="1">
      <c r="A1392" s="30"/>
      <c r="B1392" s="31"/>
      <c r="C1392" s="32"/>
      <c r="D1392" s="33"/>
      <c r="E1392" s="34"/>
      <c r="F1392" s="34"/>
      <c r="G1392" s="35"/>
      <c r="H1392" s="34"/>
      <c r="I1392" s="37"/>
    </row>
    <row r="1393" ht="22.5" customHeight="1">
      <c r="A1393" s="30"/>
      <c r="B1393" s="31"/>
      <c r="C1393" s="32"/>
      <c r="D1393" s="33"/>
      <c r="E1393" s="34"/>
      <c r="F1393" s="34"/>
      <c r="G1393" s="35"/>
      <c r="H1393" s="34"/>
      <c r="I1393" s="37"/>
    </row>
    <row r="1394" ht="22.5" customHeight="1">
      <c r="A1394" s="30"/>
      <c r="B1394" s="31"/>
      <c r="C1394" s="32"/>
      <c r="D1394" s="33"/>
      <c r="E1394" s="34"/>
      <c r="F1394" s="34"/>
      <c r="G1394" s="35"/>
      <c r="H1394" s="34"/>
      <c r="I1394" s="37"/>
    </row>
    <row r="1395" ht="22.5" customHeight="1">
      <c r="A1395" s="30"/>
      <c r="B1395" s="31"/>
      <c r="C1395" s="32"/>
      <c r="D1395" s="33"/>
      <c r="E1395" s="34"/>
      <c r="F1395" s="34"/>
      <c r="G1395" s="35"/>
      <c r="H1395" s="34"/>
      <c r="I1395" s="37"/>
    </row>
    <row r="1396" ht="22.5" customHeight="1">
      <c r="A1396" s="30"/>
      <c r="B1396" s="40"/>
      <c r="C1396" s="32"/>
      <c r="D1396" s="33"/>
      <c r="E1396" s="34"/>
      <c r="F1396" s="34"/>
      <c r="G1396" s="35"/>
      <c r="H1396" s="34"/>
      <c r="I1396" s="37"/>
    </row>
    <row r="1397" ht="22.5" customHeight="1">
      <c r="A1397" s="30"/>
      <c r="B1397" s="31"/>
      <c r="C1397" s="32"/>
      <c r="D1397" s="33"/>
      <c r="E1397" s="34"/>
      <c r="F1397" s="34"/>
      <c r="G1397" s="35"/>
      <c r="H1397" s="34"/>
      <c r="I1397" s="37"/>
    </row>
    <row r="1398" ht="22.5" customHeight="1">
      <c r="A1398" s="30"/>
      <c r="B1398" s="31"/>
      <c r="C1398" s="32"/>
      <c r="D1398" s="33"/>
      <c r="E1398" s="34"/>
      <c r="F1398" s="34"/>
      <c r="G1398" s="35"/>
      <c r="H1398" s="34"/>
      <c r="I1398" s="37"/>
    </row>
    <row r="1399" ht="22.5" customHeight="1">
      <c r="A1399" s="30"/>
      <c r="B1399" s="31"/>
      <c r="C1399" s="32"/>
      <c r="D1399" s="33"/>
      <c r="E1399" s="34"/>
      <c r="F1399" s="34"/>
      <c r="G1399" s="35"/>
      <c r="H1399" s="34"/>
      <c r="I1399" s="37"/>
    </row>
    <row r="1400" ht="22.5" customHeight="1">
      <c r="A1400" s="30"/>
      <c r="B1400" s="40"/>
      <c r="C1400" s="32"/>
      <c r="D1400" s="33"/>
      <c r="E1400" s="34"/>
      <c r="F1400" s="34"/>
      <c r="G1400" s="35"/>
      <c r="H1400" s="34"/>
      <c r="I1400" s="37"/>
    </row>
    <row r="1401" ht="22.5" customHeight="1">
      <c r="A1401" s="30"/>
      <c r="B1401" s="31"/>
      <c r="C1401" s="32"/>
      <c r="D1401" s="33"/>
      <c r="E1401" s="34"/>
      <c r="F1401" s="34"/>
      <c r="G1401" s="35"/>
      <c r="H1401" s="34"/>
      <c r="I1401" s="37"/>
    </row>
    <row r="1402" ht="22.5" customHeight="1">
      <c r="A1402" s="30"/>
      <c r="B1402" s="31"/>
      <c r="C1402" s="32"/>
      <c r="D1402" s="33"/>
      <c r="E1402" s="34"/>
      <c r="F1402" s="34"/>
      <c r="G1402" s="35"/>
      <c r="H1402" s="34"/>
      <c r="I1402" s="37"/>
    </row>
    <row r="1403" ht="22.5" customHeight="1">
      <c r="A1403" s="30"/>
      <c r="B1403" s="31"/>
      <c r="C1403" s="32"/>
      <c r="D1403" s="33"/>
      <c r="E1403" s="34"/>
      <c r="F1403" s="34"/>
      <c r="G1403" s="35"/>
      <c r="H1403" s="34"/>
      <c r="I1403" s="37"/>
    </row>
    <row r="1404" ht="22.5" customHeight="1">
      <c r="A1404" s="30"/>
      <c r="B1404" s="31"/>
      <c r="C1404" s="32"/>
      <c r="D1404" s="33"/>
      <c r="E1404" s="34"/>
      <c r="F1404" s="34"/>
      <c r="G1404" s="35"/>
      <c r="H1404" s="34"/>
      <c r="I1404" s="37"/>
    </row>
    <row r="1405" ht="22.5" customHeight="1">
      <c r="A1405" s="30"/>
      <c r="B1405" s="31"/>
      <c r="C1405" s="32"/>
      <c r="D1405" s="33"/>
      <c r="E1405" s="34"/>
      <c r="F1405" s="34"/>
      <c r="G1405" s="35"/>
      <c r="H1405" s="34"/>
      <c r="I1405" s="37"/>
    </row>
    <row r="1406" ht="22.5" customHeight="1">
      <c r="A1406" s="30"/>
      <c r="B1406" s="31"/>
      <c r="C1406" s="32"/>
      <c r="D1406" s="33"/>
      <c r="E1406" s="34"/>
      <c r="F1406" s="34"/>
      <c r="G1406" s="35"/>
      <c r="H1406" s="34"/>
      <c r="I1406" s="37"/>
    </row>
    <row r="1407" ht="22.5" customHeight="1">
      <c r="A1407" s="30"/>
      <c r="B1407" s="31"/>
      <c r="C1407" s="32"/>
      <c r="D1407" s="33"/>
      <c r="E1407" s="34"/>
      <c r="F1407" s="34"/>
      <c r="G1407" s="35"/>
      <c r="H1407" s="34"/>
      <c r="I1407" s="37"/>
    </row>
    <row r="1408" ht="22.5" customHeight="1">
      <c r="A1408" s="30"/>
      <c r="B1408" s="31"/>
      <c r="C1408" s="32"/>
      <c r="D1408" s="33"/>
      <c r="E1408" s="34"/>
      <c r="F1408" s="34"/>
      <c r="G1408" s="35"/>
      <c r="H1408" s="34"/>
      <c r="I1408" s="37"/>
    </row>
    <row r="1409" ht="22.5" customHeight="1">
      <c r="A1409" s="30"/>
      <c r="B1409" s="31"/>
      <c r="C1409" s="32"/>
      <c r="D1409" s="33"/>
      <c r="E1409" s="34"/>
      <c r="F1409" s="34"/>
      <c r="G1409" s="35"/>
      <c r="H1409" s="34"/>
      <c r="I1409" s="37"/>
    </row>
    <row r="1410" ht="22.5" customHeight="1">
      <c r="A1410" s="30"/>
      <c r="B1410" s="31"/>
      <c r="C1410" s="32"/>
      <c r="D1410" s="33"/>
      <c r="E1410" s="34"/>
      <c r="F1410" s="34"/>
      <c r="G1410" s="35"/>
      <c r="H1410" s="34"/>
      <c r="I1410" s="37"/>
    </row>
    <row r="1411" ht="22.5" customHeight="1">
      <c r="A1411" s="30"/>
      <c r="B1411" s="31"/>
      <c r="C1411" s="32"/>
      <c r="D1411" s="33"/>
      <c r="E1411" s="34"/>
      <c r="F1411" s="34"/>
      <c r="G1411" s="35"/>
      <c r="H1411" s="34"/>
      <c r="I1411" s="37"/>
    </row>
    <row r="1412" ht="22.5" customHeight="1">
      <c r="A1412" s="30"/>
      <c r="B1412" s="31"/>
      <c r="C1412" s="32"/>
      <c r="D1412" s="33"/>
      <c r="E1412" s="34"/>
      <c r="F1412" s="34"/>
      <c r="G1412" s="35"/>
      <c r="H1412" s="34"/>
      <c r="I1412" s="37"/>
    </row>
    <row r="1413" ht="22.5" customHeight="1">
      <c r="A1413" s="30"/>
      <c r="B1413" s="31"/>
      <c r="C1413" s="32"/>
      <c r="D1413" s="33"/>
      <c r="E1413" s="34"/>
      <c r="F1413" s="34"/>
      <c r="G1413" s="35"/>
      <c r="H1413" s="34"/>
      <c r="I1413" s="37"/>
    </row>
    <row r="1414" ht="22.5" customHeight="1">
      <c r="A1414" s="30"/>
      <c r="B1414" s="31"/>
      <c r="C1414" s="32"/>
      <c r="D1414" s="33"/>
      <c r="E1414" s="34"/>
      <c r="F1414" s="34"/>
      <c r="G1414" s="35"/>
      <c r="H1414" s="34"/>
      <c r="I1414" s="37"/>
    </row>
    <row r="1415" ht="22.5" customHeight="1">
      <c r="A1415" s="30"/>
      <c r="B1415" s="40"/>
      <c r="C1415" s="32"/>
      <c r="D1415" s="33"/>
      <c r="E1415" s="34"/>
      <c r="F1415" s="34"/>
      <c r="G1415" s="35"/>
      <c r="H1415" s="34"/>
      <c r="I1415" s="37"/>
    </row>
    <row r="1416" ht="22.5" customHeight="1">
      <c r="A1416" s="30"/>
      <c r="B1416" s="31"/>
      <c r="C1416" s="32"/>
      <c r="D1416" s="33"/>
      <c r="E1416" s="34"/>
      <c r="F1416" s="34"/>
      <c r="G1416" s="35"/>
      <c r="H1416" s="34"/>
      <c r="I1416" s="37"/>
    </row>
    <row r="1417" ht="22.5" customHeight="1">
      <c r="A1417" s="30"/>
      <c r="B1417" s="40"/>
      <c r="C1417" s="32"/>
      <c r="D1417" s="33"/>
      <c r="E1417" s="34"/>
      <c r="F1417" s="34"/>
      <c r="G1417" s="35"/>
      <c r="H1417" s="34"/>
      <c r="I1417" s="37"/>
    </row>
    <row r="1418" ht="22.5" customHeight="1">
      <c r="A1418" s="30"/>
      <c r="B1418" s="31"/>
      <c r="C1418" s="32"/>
      <c r="D1418" s="33"/>
      <c r="E1418" s="34"/>
      <c r="F1418" s="34"/>
      <c r="G1418" s="35"/>
      <c r="H1418" s="34"/>
      <c r="I1418" s="37"/>
    </row>
    <row r="1419" ht="22.5" customHeight="1">
      <c r="A1419" s="30"/>
      <c r="B1419" s="31"/>
      <c r="C1419" s="32"/>
      <c r="D1419" s="33"/>
      <c r="E1419" s="34"/>
      <c r="F1419" s="34"/>
      <c r="G1419" s="35"/>
      <c r="H1419" s="34"/>
      <c r="I1419" s="37"/>
    </row>
    <row r="1420" ht="22.5" customHeight="1">
      <c r="A1420" s="30"/>
      <c r="B1420" s="31"/>
      <c r="C1420" s="32"/>
      <c r="D1420" s="33"/>
      <c r="E1420" s="34"/>
      <c r="F1420" s="34"/>
      <c r="G1420" s="35"/>
      <c r="H1420" s="34"/>
      <c r="I1420" s="37"/>
    </row>
    <row r="1421" ht="22.5" customHeight="1">
      <c r="A1421" s="30"/>
      <c r="B1421" s="31"/>
      <c r="C1421" s="32"/>
      <c r="D1421" s="33"/>
      <c r="E1421" s="34"/>
      <c r="F1421" s="34"/>
      <c r="G1421" s="35"/>
      <c r="H1421" s="34"/>
      <c r="I1421" s="37"/>
    </row>
    <row r="1422" ht="22.5" customHeight="1">
      <c r="A1422" s="30"/>
      <c r="B1422" s="40"/>
      <c r="C1422" s="32"/>
      <c r="D1422" s="33"/>
      <c r="E1422" s="34"/>
      <c r="F1422" s="34"/>
      <c r="G1422" s="35"/>
      <c r="H1422" s="34"/>
      <c r="I1422" s="37"/>
    </row>
    <row r="1423" ht="22.5" customHeight="1">
      <c r="A1423" s="30"/>
      <c r="B1423" s="31"/>
      <c r="C1423" s="32"/>
      <c r="D1423" s="33"/>
      <c r="E1423" s="34"/>
      <c r="F1423" s="34"/>
      <c r="G1423" s="35"/>
      <c r="H1423" s="34"/>
      <c r="I1423" s="37"/>
    </row>
    <row r="1424" ht="22.5" customHeight="1">
      <c r="A1424" s="30"/>
      <c r="B1424" s="31"/>
      <c r="C1424" s="32"/>
      <c r="D1424" s="33"/>
      <c r="E1424" s="34"/>
      <c r="F1424" s="34"/>
      <c r="G1424" s="35"/>
      <c r="H1424" s="34"/>
      <c r="I1424" s="37"/>
    </row>
    <row r="1425" ht="22.5" customHeight="1">
      <c r="A1425" s="30"/>
      <c r="B1425" s="31"/>
      <c r="C1425" s="32"/>
      <c r="D1425" s="33"/>
      <c r="E1425" s="34"/>
      <c r="F1425" s="34"/>
      <c r="G1425" s="35"/>
      <c r="H1425" s="34"/>
      <c r="I1425" s="37"/>
    </row>
    <row r="1426" ht="22.5" customHeight="1">
      <c r="A1426" s="30"/>
      <c r="B1426" s="31"/>
      <c r="C1426" s="32"/>
      <c r="D1426" s="33"/>
      <c r="E1426" s="34"/>
      <c r="F1426" s="34"/>
      <c r="G1426" s="35"/>
      <c r="H1426" s="34"/>
      <c r="I1426" s="37"/>
    </row>
    <row r="1427" ht="22.5" customHeight="1">
      <c r="A1427" s="30"/>
      <c r="B1427" s="31"/>
      <c r="C1427" s="32"/>
      <c r="D1427" s="33"/>
      <c r="E1427" s="34"/>
      <c r="F1427" s="34"/>
      <c r="G1427" s="35"/>
      <c r="H1427" s="34"/>
      <c r="I1427" s="37"/>
    </row>
    <row r="1428" ht="22.5" customHeight="1">
      <c r="A1428" s="30"/>
      <c r="B1428" s="31"/>
      <c r="C1428" s="32"/>
      <c r="D1428" s="33"/>
      <c r="E1428" s="34"/>
      <c r="F1428" s="34"/>
      <c r="G1428" s="35"/>
      <c r="H1428" s="34"/>
      <c r="I1428" s="37"/>
    </row>
    <row r="1429" ht="22.5" customHeight="1">
      <c r="A1429" s="30"/>
      <c r="B1429" s="31"/>
      <c r="C1429" s="32"/>
      <c r="D1429" s="33"/>
      <c r="E1429" s="34"/>
      <c r="F1429" s="34"/>
      <c r="G1429" s="35"/>
      <c r="H1429" s="34"/>
      <c r="I1429" s="37"/>
    </row>
    <row r="1430" ht="22.5" customHeight="1">
      <c r="A1430" s="30"/>
      <c r="B1430" s="31"/>
      <c r="C1430" s="32"/>
      <c r="D1430" s="33"/>
      <c r="E1430" s="34"/>
      <c r="F1430" s="34"/>
      <c r="G1430" s="35"/>
      <c r="H1430" s="34"/>
      <c r="I1430" s="37"/>
    </row>
    <row r="1431" ht="22.5" customHeight="1">
      <c r="A1431" s="30"/>
      <c r="B1431" s="31"/>
      <c r="C1431" s="32"/>
      <c r="D1431" s="33"/>
      <c r="E1431" s="34"/>
      <c r="F1431" s="34"/>
      <c r="G1431" s="35"/>
      <c r="H1431" s="34"/>
      <c r="I1431" s="37"/>
    </row>
    <row r="1432" ht="22.5" customHeight="1">
      <c r="A1432" s="30"/>
      <c r="B1432" s="31"/>
      <c r="C1432" s="32"/>
      <c r="D1432" s="33"/>
      <c r="E1432" s="34"/>
      <c r="F1432" s="34"/>
      <c r="G1432" s="35"/>
      <c r="H1432" s="34"/>
      <c r="I1432" s="37"/>
    </row>
    <row r="1433" ht="22.5" customHeight="1">
      <c r="A1433" s="30"/>
      <c r="B1433" s="31"/>
      <c r="C1433" s="32"/>
      <c r="D1433" s="33"/>
      <c r="E1433" s="34"/>
      <c r="F1433" s="34"/>
      <c r="G1433" s="35"/>
      <c r="H1433" s="34"/>
      <c r="I1433" s="37"/>
    </row>
    <row r="1434" ht="22.5" customHeight="1">
      <c r="A1434" s="30"/>
      <c r="B1434" s="31"/>
      <c r="C1434" s="32"/>
      <c r="D1434" s="33"/>
      <c r="E1434" s="34"/>
      <c r="F1434" s="34"/>
      <c r="G1434" s="35"/>
      <c r="H1434" s="34"/>
      <c r="I1434" s="37"/>
    </row>
    <row r="1435" ht="22.5" customHeight="1">
      <c r="A1435" s="30"/>
      <c r="B1435" s="31"/>
      <c r="C1435" s="32"/>
      <c r="D1435" s="33"/>
      <c r="E1435" s="34"/>
      <c r="F1435" s="34"/>
      <c r="G1435" s="35"/>
      <c r="H1435" s="34"/>
      <c r="I1435" s="37"/>
    </row>
    <row r="1436" ht="22.5" customHeight="1">
      <c r="A1436" s="30"/>
      <c r="B1436" s="31"/>
      <c r="C1436" s="32"/>
      <c r="D1436" s="33"/>
      <c r="E1436" s="34"/>
      <c r="F1436" s="34"/>
      <c r="G1436" s="35"/>
      <c r="H1436" s="34"/>
      <c r="I1436" s="37"/>
    </row>
    <row r="1437" ht="22.5" customHeight="1">
      <c r="A1437" s="30"/>
      <c r="B1437" s="31"/>
      <c r="C1437" s="32"/>
      <c r="D1437" s="33"/>
      <c r="E1437" s="34"/>
      <c r="F1437" s="34"/>
      <c r="G1437" s="35"/>
      <c r="H1437" s="34"/>
      <c r="I1437" s="37"/>
    </row>
    <row r="1438" ht="22.5" customHeight="1">
      <c r="A1438" s="30"/>
      <c r="B1438" s="31"/>
      <c r="C1438" s="32"/>
      <c r="D1438" s="33"/>
      <c r="E1438" s="34"/>
      <c r="F1438" s="34"/>
      <c r="G1438" s="35"/>
      <c r="H1438" s="34"/>
      <c r="I1438" s="37"/>
    </row>
    <row r="1439" ht="22.5" customHeight="1">
      <c r="A1439" s="30"/>
      <c r="B1439" s="31"/>
      <c r="C1439" s="32"/>
      <c r="D1439" s="33"/>
      <c r="E1439" s="34"/>
      <c r="F1439" s="34"/>
      <c r="G1439" s="35"/>
      <c r="H1439" s="34"/>
      <c r="I1439" s="37"/>
    </row>
    <row r="1440" ht="22.5" customHeight="1">
      <c r="A1440" s="30"/>
      <c r="B1440" s="31"/>
      <c r="C1440" s="32"/>
      <c r="D1440" s="33"/>
      <c r="E1440" s="34"/>
      <c r="F1440" s="34"/>
      <c r="G1440" s="35"/>
      <c r="H1440" s="34"/>
      <c r="I1440" s="37"/>
    </row>
    <row r="1441" ht="22.5" customHeight="1">
      <c r="A1441" s="30"/>
      <c r="B1441" s="31"/>
      <c r="C1441" s="32"/>
      <c r="D1441" s="33"/>
      <c r="E1441" s="34"/>
      <c r="F1441" s="34"/>
      <c r="G1441" s="35"/>
      <c r="H1441" s="34"/>
      <c r="I1441" s="37"/>
    </row>
    <row r="1442" ht="22.5" customHeight="1">
      <c r="A1442" s="30"/>
      <c r="B1442" s="31"/>
      <c r="C1442" s="32"/>
      <c r="D1442" s="33"/>
      <c r="E1442" s="34"/>
      <c r="F1442" s="34"/>
      <c r="G1442" s="35"/>
      <c r="H1442" s="34"/>
      <c r="I1442" s="37"/>
    </row>
    <row r="1443" ht="22.5" customHeight="1">
      <c r="A1443" s="30"/>
      <c r="B1443" s="31"/>
      <c r="C1443" s="32"/>
      <c r="D1443" s="33"/>
      <c r="E1443" s="34"/>
      <c r="F1443" s="34"/>
      <c r="G1443" s="35"/>
      <c r="H1443" s="34"/>
      <c r="I1443" s="37"/>
    </row>
    <row r="1444" ht="22.5" customHeight="1">
      <c r="A1444" s="30"/>
      <c r="B1444" s="40"/>
      <c r="C1444" s="32"/>
      <c r="D1444" s="33"/>
      <c r="E1444" s="34"/>
      <c r="F1444" s="34"/>
      <c r="G1444" s="35"/>
      <c r="H1444" s="34"/>
      <c r="I1444" s="37"/>
    </row>
    <row r="1445" ht="22.5" customHeight="1">
      <c r="A1445" s="30"/>
      <c r="B1445" s="31"/>
      <c r="C1445" s="32"/>
      <c r="D1445" s="33"/>
      <c r="E1445" s="34"/>
      <c r="F1445" s="34"/>
      <c r="G1445" s="35"/>
      <c r="H1445" s="34"/>
      <c r="I1445" s="37"/>
    </row>
    <row r="1446" ht="22.5" customHeight="1">
      <c r="A1446" s="30"/>
      <c r="B1446" s="31"/>
      <c r="C1446" s="32"/>
      <c r="D1446" s="33"/>
      <c r="E1446" s="34"/>
      <c r="F1446" s="34"/>
      <c r="G1446" s="35"/>
      <c r="H1446" s="34"/>
      <c r="I1446" s="37"/>
    </row>
    <row r="1447" ht="22.5" customHeight="1">
      <c r="A1447" s="30"/>
      <c r="B1447" s="31"/>
      <c r="C1447" s="32"/>
      <c r="D1447" s="33"/>
      <c r="E1447" s="34"/>
      <c r="F1447" s="34"/>
      <c r="G1447" s="35"/>
      <c r="H1447" s="34"/>
      <c r="I1447" s="37"/>
    </row>
    <row r="1448" ht="22.5" customHeight="1">
      <c r="A1448" s="30"/>
      <c r="B1448" s="31"/>
      <c r="C1448" s="32"/>
      <c r="D1448" s="33"/>
      <c r="E1448" s="34"/>
      <c r="F1448" s="34"/>
      <c r="G1448" s="35"/>
      <c r="H1448" s="34"/>
      <c r="I1448" s="38"/>
    </row>
    <row r="1449" ht="22.5" customHeight="1">
      <c r="A1449" s="30"/>
      <c r="B1449" s="39"/>
      <c r="C1449" s="32"/>
      <c r="D1449" s="33"/>
      <c r="E1449" s="34"/>
      <c r="F1449" s="34"/>
      <c r="G1449" s="35"/>
      <c r="H1449" s="34"/>
      <c r="I1449" s="37"/>
    </row>
    <row r="1450" ht="22.5" customHeight="1">
      <c r="A1450" s="30"/>
      <c r="B1450" s="31"/>
      <c r="C1450" s="32"/>
      <c r="D1450" s="33"/>
      <c r="E1450" s="34"/>
      <c r="F1450" s="34"/>
      <c r="G1450" s="35"/>
      <c r="H1450" s="34"/>
      <c r="I1450" s="37"/>
    </row>
    <row r="1451" ht="22.5" customHeight="1">
      <c r="A1451" s="30"/>
      <c r="B1451" s="31"/>
      <c r="C1451" s="32"/>
      <c r="D1451" s="33"/>
      <c r="E1451" s="34"/>
      <c r="F1451" s="34"/>
      <c r="G1451" s="35"/>
      <c r="H1451" s="34"/>
      <c r="I1451" s="37"/>
    </row>
    <row r="1452" ht="22.5" customHeight="1">
      <c r="A1452" s="30"/>
      <c r="B1452" s="31"/>
      <c r="C1452" s="32"/>
      <c r="D1452" s="33"/>
      <c r="E1452" s="34"/>
      <c r="F1452" s="34"/>
      <c r="G1452" s="35"/>
      <c r="H1452" s="34"/>
      <c r="I1452" s="37"/>
    </row>
    <row r="1453" ht="22.5" customHeight="1">
      <c r="A1453" s="30"/>
      <c r="B1453" s="39"/>
      <c r="C1453" s="32"/>
      <c r="D1453" s="33"/>
      <c r="E1453" s="34"/>
      <c r="F1453" s="34"/>
      <c r="G1453" s="35"/>
      <c r="H1453" s="34"/>
      <c r="I1453" s="37"/>
    </row>
    <row r="1454" ht="22.5" customHeight="1">
      <c r="A1454" s="30"/>
      <c r="B1454" s="31"/>
      <c r="C1454" s="32"/>
      <c r="D1454" s="33"/>
      <c r="E1454" s="34"/>
      <c r="F1454" s="34"/>
      <c r="G1454" s="35"/>
      <c r="H1454" s="34"/>
      <c r="I1454" s="37"/>
    </row>
    <row r="1455" ht="22.5" customHeight="1">
      <c r="A1455" s="30"/>
      <c r="B1455" s="39"/>
      <c r="C1455" s="32"/>
      <c r="D1455" s="33"/>
      <c r="E1455" s="34"/>
      <c r="F1455" s="34"/>
      <c r="G1455" s="35"/>
      <c r="H1455" s="34"/>
      <c r="I1455" s="37"/>
    </row>
    <row r="1456" ht="22.5" customHeight="1">
      <c r="A1456" s="30"/>
      <c r="B1456" s="31"/>
      <c r="C1456" s="32"/>
      <c r="D1456" s="33"/>
      <c r="E1456" s="34"/>
      <c r="F1456" s="34"/>
      <c r="G1456" s="35"/>
      <c r="H1456" s="34"/>
      <c r="I1456" s="37"/>
    </row>
    <row r="1457" ht="22.5" customHeight="1">
      <c r="A1457" s="30"/>
      <c r="B1457" s="31"/>
      <c r="C1457" s="32"/>
      <c r="D1457" s="33"/>
      <c r="E1457" s="34"/>
      <c r="F1457" s="34"/>
      <c r="G1457" s="35"/>
      <c r="H1457" s="34"/>
      <c r="I1457" s="37"/>
    </row>
    <row r="1458" ht="22.5" customHeight="1">
      <c r="A1458" s="30"/>
      <c r="B1458" s="31"/>
      <c r="C1458" s="32"/>
      <c r="D1458" s="33"/>
      <c r="E1458" s="34"/>
      <c r="F1458" s="34"/>
      <c r="G1458" s="35"/>
      <c r="H1458" s="34"/>
      <c r="I1458" s="37"/>
    </row>
    <row r="1459" ht="22.5" customHeight="1">
      <c r="A1459" s="30"/>
      <c r="B1459" s="31"/>
      <c r="C1459" s="32"/>
      <c r="D1459" s="33"/>
      <c r="E1459" s="34"/>
      <c r="F1459" s="34"/>
      <c r="G1459" s="35"/>
      <c r="H1459" s="34"/>
      <c r="I1459" s="37"/>
    </row>
    <row r="1460" ht="22.5" customHeight="1">
      <c r="A1460" s="30"/>
      <c r="B1460" s="31"/>
      <c r="C1460" s="32"/>
      <c r="D1460" s="33"/>
      <c r="E1460" s="34"/>
      <c r="F1460" s="34"/>
      <c r="G1460" s="35"/>
      <c r="H1460" s="34"/>
      <c r="I1460" s="37"/>
    </row>
    <row r="1461" ht="22.5" customHeight="1">
      <c r="A1461" s="30"/>
      <c r="B1461" s="31"/>
      <c r="C1461" s="32"/>
      <c r="D1461" s="33"/>
      <c r="E1461" s="34"/>
      <c r="F1461" s="34"/>
      <c r="G1461" s="35"/>
      <c r="H1461" s="34"/>
      <c r="I1461" s="37"/>
    </row>
    <row r="1462" ht="22.5" customHeight="1">
      <c r="A1462" s="30"/>
      <c r="B1462" s="31"/>
      <c r="C1462" s="32"/>
      <c r="D1462" s="33"/>
      <c r="E1462" s="34"/>
      <c r="F1462" s="34"/>
      <c r="G1462" s="35"/>
      <c r="H1462" s="34"/>
      <c r="I1462" s="37"/>
    </row>
    <row r="1463" ht="22.5" customHeight="1">
      <c r="A1463" s="30"/>
      <c r="B1463" s="31"/>
      <c r="C1463" s="32"/>
      <c r="D1463" s="33"/>
      <c r="E1463" s="34"/>
      <c r="F1463" s="34"/>
      <c r="G1463" s="35"/>
      <c r="H1463" s="34"/>
      <c r="I1463" s="37"/>
    </row>
    <row r="1464" ht="22.5" customHeight="1">
      <c r="A1464" s="30"/>
      <c r="B1464" s="31"/>
      <c r="C1464" s="32"/>
      <c r="D1464" s="33"/>
      <c r="E1464" s="34"/>
      <c r="F1464" s="34"/>
      <c r="G1464" s="35"/>
      <c r="H1464" s="34"/>
      <c r="I1464" s="37"/>
    </row>
    <row r="1465" ht="22.5" customHeight="1">
      <c r="A1465" s="30"/>
      <c r="B1465" s="31"/>
      <c r="C1465" s="32"/>
      <c r="D1465" s="33"/>
      <c r="E1465" s="34"/>
      <c r="F1465" s="34"/>
      <c r="G1465" s="35"/>
      <c r="H1465" s="34"/>
      <c r="I1465" s="37"/>
    </row>
    <row r="1466" ht="22.5" customHeight="1">
      <c r="A1466" s="30"/>
      <c r="B1466" s="40"/>
      <c r="C1466" s="32"/>
      <c r="D1466" s="33"/>
      <c r="E1466" s="34"/>
      <c r="F1466" s="34"/>
      <c r="G1466" s="35"/>
      <c r="H1466" s="34"/>
      <c r="I1466" s="37"/>
    </row>
    <row r="1467" ht="22.5" customHeight="1">
      <c r="A1467" s="30"/>
      <c r="B1467" s="31"/>
      <c r="C1467" s="32"/>
      <c r="D1467" s="33"/>
      <c r="E1467" s="34"/>
      <c r="F1467" s="34"/>
      <c r="G1467" s="35"/>
      <c r="H1467" s="34"/>
      <c r="I1467" s="37"/>
    </row>
    <row r="1468" ht="22.5" customHeight="1">
      <c r="A1468" s="30"/>
      <c r="B1468" s="31"/>
      <c r="C1468" s="32"/>
      <c r="D1468" s="33"/>
      <c r="E1468" s="34"/>
      <c r="F1468" s="34"/>
      <c r="G1468" s="35"/>
      <c r="H1468" s="34"/>
      <c r="I1468" s="37"/>
    </row>
    <row r="1469" ht="22.5" customHeight="1">
      <c r="A1469" s="30"/>
      <c r="B1469" s="31"/>
      <c r="C1469" s="32"/>
      <c r="D1469" s="33"/>
      <c r="E1469" s="34"/>
      <c r="F1469" s="34"/>
      <c r="G1469" s="35"/>
      <c r="H1469" s="34"/>
      <c r="I1469" s="37"/>
    </row>
    <row r="1470" ht="22.5" customHeight="1">
      <c r="A1470" s="30"/>
      <c r="B1470" s="31"/>
      <c r="C1470" s="32"/>
      <c r="D1470" s="33"/>
      <c r="E1470" s="34"/>
      <c r="F1470" s="34"/>
      <c r="G1470" s="35"/>
      <c r="H1470" s="34"/>
      <c r="I1470" s="37"/>
    </row>
    <row r="1471" ht="22.5" customHeight="1">
      <c r="A1471" s="30"/>
      <c r="B1471" s="31"/>
      <c r="C1471" s="32"/>
      <c r="D1471" s="33"/>
      <c r="E1471" s="34"/>
      <c r="F1471" s="34"/>
      <c r="G1471" s="35"/>
      <c r="H1471" s="34"/>
      <c r="I1471" s="37"/>
    </row>
    <row r="1472" ht="22.5" customHeight="1">
      <c r="A1472" s="30"/>
      <c r="B1472" s="31"/>
      <c r="C1472" s="32"/>
      <c r="D1472" s="33"/>
      <c r="E1472" s="34"/>
      <c r="F1472" s="34"/>
      <c r="G1472" s="35"/>
      <c r="H1472" s="34"/>
      <c r="I1472" s="37"/>
    </row>
    <row r="1473" ht="22.5" customHeight="1">
      <c r="A1473" s="30"/>
      <c r="B1473" s="39"/>
      <c r="C1473" s="32"/>
      <c r="D1473" s="33"/>
      <c r="E1473" s="34"/>
      <c r="F1473" s="34"/>
      <c r="G1473" s="35"/>
      <c r="H1473" s="34"/>
      <c r="I1473" s="37"/>
    </row>
    <row r="1474" ht="22.5" customHeight="1">
      <c r="A1474" s="30"/>
      <c r="B1474" s="39"/>
      <c r="C1474" s="32"/>
      <c r="D1474" s="33"/>
      <c r="E1474" s="34"/>
      <c r="F1474" s="34"/>
      <c r="G1474" s="35"/>
      <c r="H1474" s="34"/>
      <c r="I1474" s="37"/>
    </row>
    <row r="1475" ht="22.5" customHeight="1">
      <c r="A1475" s="30"/>
      <c r="B1475" s="39"/>
      <c r="C1475" s="32"/>
      <c r="D1475" s="33"/>
      <c r="E1475" s="34"/>
      <c r="F1475" s="34"/>
      <c r="G1475" s="35"/>
      <c r="H1475" s="34"/>
      <c r="I1475" s="37"/>
    </row>
    <row r="1476" ht="22.5" customHeight="1">
      <c r="A1476" s="30"/>
      <c r="B1476" s="40"/>
      <c r="C1476" s="32"/>
      <c r="D1476" s="33"/>
      <c r="E1476" s="34"/>
      <c r="F1476" s="34"/>
      <c r="G1476" s="35"/>
      <c r="H1476" s="34"/>
      <c r="I1476" s="37"/>
    </row>
    <row r="1477" ht="22.5" customHeight="1">
      <c r="A1477" s="30"/>
      <c r="B1477" s="31"/>
      <c r="C1477" s="32"/>
      <c r="D1477" s="33"/>
      <c r="E1477" s="34"/>
      <c r="F1477" s="34"/>
      <c r="G1477" s="35"/>
      <c r="H1477" s="34"/>
      <c r="I1477" s="37"/>
    </row>
    <row r="1478" ht="22.5" customHeight="1">
      <c r="A1478" s="30"/>
      <c r="B1478" s="31"/>
      <c r="C1478" s="32"/>
      <c r="D1478" s="33"/>
      <c r="E1478" s="34"/>
      <c r="F1478" s="34"/>
      <c r="G1478" s="35"/>
      <c r="H1478" s="34"/>
      <c r="I1478" s="37"/>
    </row>
    <row r="1479" ht="22.5" customHeight="1">
      <c r="A1479" s="30"/>
      <c r="B1479" s="31"/>
      <c r="C1479" s="32"/>
      <c r="D1479" s="33"/>
      <c r="E1479" s="34"/>
      <c r="F1479" s="34"/>
      <c r="G1479" s="35"/>
      <c r="H1479" s="34"/>
      <c r="I1479" s="37"/>
    </row>
    <row r="1480" ht="22.5" customHeight="1">
      <c r="A1480" s="30"/>
      <c r="B1480" s="31"/>
      <c r="C1480" s="32"/>
      <c r="D1480" s="33"/>
      <c r="E1480" s="34"/>
      <c r="F1480" s="34"/>
      <c r="G1480" s="35"/>
      <c r="H1480" s="34"/>
      <c r="I1480" s="37"/>
    </row>
    <row r="1481" ht="22.5" customHeight="1">
      <c r="A1481" s="30"/>
      <c r="B1481" s="31"/>
      <c r="C1481" s="32"/>
      <c r="D1481" s="33"/>
      <c r="E1481" s="34"/>
      <c r="F1481" s="34"/>
      <c r="G1481" s="35"/>
      <c r="H1481" s="34"/>
      <c r="I1481" s="37"/>
    </row>
    <row r="1482" ht="22.5" customHeight="1">
      <c r="A1482" s="30"/>
      <c r="B1482" s="31"/>
      <c r="C1482" s="32"/>
      <c r="D1482" s="33"/>
      <c r="E1482" s="34"/>
      <c r="F1482" s="34"/>
      <c r="G1482" s="35"/>
      <c r="H1482" s="34"/>
      <c r="I1482" s="37"/>
    </row>
    <row r="1483" ht="22.5" customHeight="1">
      <c r="A1483" s="30"/>
      <c r="B1483" s="31"/>
      <c r="C1483" s="32"/>
      <c r="D1483" s="33"/>
      <c r="E1483" s="34"/>
      <c r="F1483" s="34"/>
      <c r="G1483" s="35"/>
      <c r="H1483" s="34"/>
      <c r="I1483" s="37"/>
    </row>
    <row r="1484" ht="22.5" customHeight="1">
      <c r="A1484" s="30"/>
      <c r="B1484" s="31"/>
      <c r="C1484" s="32"/>
      <c r="D1484" s="33"/>
      <c r="E1484" s="34"/>
      <c r="F1484" s="34"/>
      <c r="G1484" s="35"/>
      <c r="H1484" s="34"/>
      <c r="I1484" s="37"/>
    </row>
    <row r="1485" ht="22.5" customHeight="1">
      <c r="A1485" s="30"/>
      <c r="B1485" s="31"/>
      <c r="C1485" s="32"/>
      <c r="D1485" s="33"/>
      <c r="E1485" s="34"/>
      <c r="F1485" s="34"/>
      <c r="G1485" s="35"/>
      <c r="H1485" s="34"/>
      <c r="I1485" s="37"/>
    </row>
    <row r="1486" ht="22.5" customHeight="1">
      <c r="A1486" s="30"/>
      <c r="B1486" s="40"/>
      <c r="C1486" s="32"/>
      <c r="D1486" s="33"/>
      <c r="E1486" s="34"/>
      <c r="F1486" s="34"/>
      <c r="G1486" s="35"/>
      <c r="H1486" s="34"/>
      <c r="I1486" s="37"/>
    </row>
    <row r="1487" ht="22.5" customHeight="1">
      <c r="A1487" s="30"/>
      <c r="B1487" s="31"/>
      <c r="C1487" s="32"/>
      <c r="D1487" s="33"/>
      <c r="E1487" s="34"/>
      <c r="F1487" s="34"/>
      <c r="G1487" s="35"/>
      <c r="H1487" s="34"/>
      <c r="I1487" s="37"/>
    </row>
    <row r="1488" ht="22.5" customHeight="1">
      <c r="A1488" s="30"/>
      <c r="B1488" s="31"/>
      <c r="C1488" s="32"/>
      <c r="D1488" s="33"/>
      <c r="E1488" s="34"/>
      <c r="F1488" s="34"/>
      <c r="G1488" s="35"/>
      <c r="H1488" s="34"/>
      <c r="I1488" s="37"/>
    </row>
    <row r="1489" ht="22.5" customHeight="1">
      <c r="A1489" s="30"/>
      <c r="B1489" s="31"/>
      <c r="C1489" s="32"/>
      <c r="D1489" s="33"/>
      <c r="E1489" s="34"/>
      <c r="F1489" s="34"/>
      <c r="G1489" s="35"/>
      <c r="H1489" s="34"/>
      <c r="I1489" s="37"/>
    </row>
    <row r="1490" ht="22.5" customHeight="1">
      <c r="A1490" s="30"/>
      <c r="B1490" s="40"/>
      <c r="C1490" s="32"/>
      <c r="D1490" s="33"/>
      <c r="E1490" s="34"/>
      <c r="F1490" s="34"/>
      <c r="G1490" s="35"/>
      <c r="H1490" s="34"/>
      <c r="I1490" s="37"/>
    </row>
    <row r="1491" ht="22.5" customHeight="1">
      <c r="A1491" s="30"/>
      <c r="B1491" s="31"/>
      <c r="C1491" s="32"/>
      <c r="D1491" s="33"/>
      <c r="E1491" s="34"/>
      <c r="F1491" s="34"/>
      <c r="G1491" s="35"/>
      <c r="H1491" s="34"/>
      <c r="I1491" s="37"/>
    </row>
    <row r="1492" ht="22.5" customHeight="1">
      <c r="A1492" s="30"/>
      <c r="B1492" s="31"/>
      <c r="C1492" s="32"/>
      <c r="D1492" s="33"/>
      <c r="E1492" s="34"/>
      <c r="F1492" s="34"/>
      <c r="G1492" s="35"/>
      <c r="H1492" s="34"/>
      <c r="I1492" s="37"/>
    </row>
    <row r="1493" ht="22.5" customHeight="1">
      <c r="A1493" s="30"/>
      <c r="B1493" s="31"/>
      <c r="C1493" s="32"/>
      <c r="D1493" s="33"/>
      <c r="E1493" s="34"/>
      <c r="F1493" s="34"/>
      <c r="G1493" s="35"/>
      <c r="H1493" s="34"/>
      <c r="I1493" s="37"/>
    </row>
    <row r="1494" ht="22.5" customHeight="1">
      <c r="A1494" s="30"/>
      <c r="B1494" s="31"/>
      <c r="C1494" s="32"/>
      <c r="D1494" s="33"/>
      <c r="E1494" s="34"/>
      <c r="F1494" s="34"/>
      <c r="G1494" s="35"/>
      <c r="H1494" s="34"/>
      <c r="I1494" s="37"/>
    </row>
    <row r="1495" ht="22.5" customHeight="1">
      <c r="A1495" s="30"/>
      <c r="B1495" s="31"/>
      <c r="C1495" s="32"/>
      <c r="D1495" s="33"/>
      <c r="E1495" s="34"/>
      <c r="F1495" s="34"/>
      <c r="G1495" s="35"/>
      <c r="H1495" s="34"/>
      <c r="I1495" s="37"/>
    </row>
    <row r="1496" ht="22.5" customHeight="1">
      <c r="A1496" s="30"/>
      <c r="B1496" s="31"/>
      <c r="C1496" s="32"/>
      <c r="D1496" s="33"/>
      <c r="E1496" s="34"/>
      <c r="F1496" s="34"/>
      <c r="G1496" s="35"/>
      <c r="H1496" s="34"/>
      <c r="I1496" s="37"/>
    </row>
    <row r="1497" ht="22.5" customHeight="1">
      <c r="A1497" s="30"/>
      <c r="B1497" s="31"/>
      <c r="C1497" s="32"/>
      <c r="D1497" s="33"/>
      <c r="E1497" s="34"/>
      <c r="F1497" s="34"/>
      <c r="G1497" s="35"/>
      <c r="H1497" s="34"/>
      <c r="I1497" s="37"/>
    </row>
    <row r="1498" ht="22.5" customHeight="1">
      <c r="A1498" s="30"/>
      <c r="B1498" s="31"/>
      <c r="C1498" s="32"/>
      <c r="D1498" s="33"/>
      <c r="E1498" s="34"/>
      <c r="F1498" s="34"/>
      <c r="G1498" s="35"/>
      <c r="H1498" s="34"/>
      <c r="I1498" s="37"/>
    </row>
    <row r="1499" ht="22.5" customHeight="1">
      <c r="A1499" s="30"/>
      <c r="B1499" s="31"/>
      <c r="C1499" s="32"/>
      <c r="D1499" s="33"/>
      <c r="E1499" s="34"/>
      <c r="F1499" s="34"/>
      <c r="G1499" s="35"/>
      <c r="H1499" s="34"/>
      <c r="I1499" s="37"/>
    </row>
    <row r="1500" ht="22.5" customHeight="1">
      <c r="A1500" s="30"/>
      <c r="B1500" s="31"/>
      <c r="C1500" s="32"/>
      <c r="D1500" s="33"/>
      <c r="E1500" s="34"/>
      <c r="F1500" s="34"/>
      <c r="G1500" s="35"/>
      <c r="H1500" s="34"/>
      <c r="I1500" s="37"/>
    </row>
    <row r="1501" ht="22.5" customHeight="1">
      <c r="A1501" s="30"/>
      <c r="B1501" s="31"/>
      <c r="C1501" s="32"/>
      <c r="D1501" s="33"/>
      <c r="E1501" s="34"/>
      <c r="F1501" s="34"/>
      <c r="G1501" s="35"/>
      <c r="H1501" s="34"/>
      <c r="I1501" s="37"/>
    </row>
    <row r="1502" ht="22.5" customHeight="1">
      <c r="A1502" s="30"/>
      <c r="B1502" s="31"/>
      <c r="C1502" s="32"/>
      <c r="D1502" s="33"/>
      <c r="E1502" s="34"/>
      <c r="F1502" s="34"/>
      <c r="G1502" s="35"/>
      <c r="H1502" s="34"/>
      <c r="I1502" s="37"/>
    </row>
    <row r="1503" ht="22.5" customHeight="1">
      <c r="A1503" s="30"/>
      <c r="B1503" s="31"/>
      <c r="C1503" s="32"/>
      <c r="D1503" s="33"/>
      <c r="E1503" s="34"/>
      <c r="F1503" s="34"/>
      <c r="G1503" s="35"/>
      <c r="H1503" s="34"/>
      <c r="I1503" s="37"/>
    </row>
    <row r="1504" ht="22.5" customHeight="1">
      <c r="A1504" s="30"/>
      <c r="B1504" s="31"/>
      <c r="C1504" s="32"/>
      <c r="D1504" s="33"/>
      <c r="E1504" s="34"/>
      <c r="F1504" s="34"/>
      <c r="G1504" s="35"/>
      <c r="H1504" s="34"/>
      <c r="I1504" s="37"/>
    </row>
    <row r="1505" ht="22.5" customHeight="1">
      <c r="A1505" s="30"/>
      <c r="B1505" s="40"/>
      <c r="C1505" s="32"/>
      <c r="D1505" s="33"/>
      <c r="E1505" s="34"/>
      <c r="F1505" s="34"/>
      <c r="G1505" s="35"/>
      <c r="H1505" s="34"/>
      <c r="I1505" s="37"/>
    </row>
    <row r="1506" ht="22.5" customHeight="1">
      <c r="A1506" s="30"/>
      <c r="B1506" s="31"/>
      <c r="C1506" s="32"/>
      <c r="D1506" s="33"/>
      <c r="E1506" s="34"/>
      <c r="F1506" s="34"/>
      <c r="G1506" s="35"/>
      <c r="H1506" s="34"/>
      <c r="I1506" s="37"/>
    </row>
    <row r="1507" ht="22.5" customHeight="1">
      <c r="A1507" s="30"/>
      <c r="B1507" s="40"/>
      <c r="C1507" s="32"/>
      <c r="D1507" s="33"/>
      <c r="E1507" s="34"/>
      <c r="F1507" s="34"/>
      <c r="G1507" s="35"/>
      <c r="H1507" s="34"/>
      <c r="I1507" s="37"/>
    </row>
    <row r="1508" ht="22.5" customHeight="1">
      <c r="A1508" s="30"/>
      <c r="B1508" s="31"/>
      <c r="C1508" s="32"/>
      <c r="D1508" s="33"/>
      <c r="E1508" s="34"/>
      <c r="F1508" s="34"/>
      <c r="G1508" s="35"/>
      <c r="H1508" s="34"/>
      <c r="I1508" s="37"/>
    </row>
    <row r="1509" ht="22.5" customHeight="1">
      <c r="A1509" s="30"/>
      <c r="B1509" s="31"/>
      <c r="C1509" s="32"/>
      <c r="D1509" s="33"/>
      <c r="E1509" s="34"/>
      <c r="F1509" s="34"/>
      <c r="G1509" s="35"/>
      <c r="H1509" s="34"/>
      <c r="I1509" s="37"/>
    </row>
    <row r="1510" ht="22.5" customHeight="1">
      <c r="A1510" s="30"/>
      <c r="B1510" s="31"/>
      <c r="C1510" s="32"/>
      <c r="D1510" s="33"/>
      <c r="E1510" s="34"/>
      <c r="F1510" s="34"/>
      <c r="G1510" s="35"/>
      <c r="H1510" s="34"/>
      <c r="I1510" s="37"/>
    </row>
    <row r="1511" ht="22.5" customHeight="1">
      <c r="A1511" s="30"/>
      <c r="B1511" s="31"/>
      <c r="C1511" s="32"/>
      <c r="D1511" s="33"/>
      <c r="E1511" s="34"/>
      <c r="F1511" s="34"/>
      <c r="G1511" s="35"/>
      <c r="H1511" s="34"/>
      <c r="I1511" s="37"/>
    </row>
    <row r="1512" ht="22.5" customHeight="1">
      <c r="A1512" s="30"/>
      <c r="B1512" s="40"/>
      <c r="C1512" s="32"/>
      <c r="D1512" s="33"/>
      <c r="E1512" s="34"/>
      <c r="F1512" s="34"/>
      <c r="G1512" s="35"/>
      <c r="H1512" s="34"/>
      <c r="I1512" s="37"/>
    </row>
    <row r="1513" ht="22.5" customHeight="1">
      <c r="A1513" s="30"/>
      <c r="B1513" s="31"/>
      <c r="C1513" s="32"/>
      <c r="D1513" s="33"/>
      <c r="E1513" s="34"/>
      <c r="F1513" s="34"/>
      <c r="G1513" s="35"/>
      <c r="H1513" s="34"/>
      <c r="I1513" s="37"/>
    </row>
    <row r="1514" ht="22.5" customHeight="1">
      <c r="A1514" s="30"/>
      <c r="B1514" s="31"/>
      <c r="C1514" s="32"/>
      <c r="D1514" s="33"/>
      <c r="E1514" s="34"/>
      <c r="F1514" s="34"/>
      <c r="G1514" s="35"/>
      <c r="H1514" s="34"/>
      <c r="I1514" s="37"/>
    </row>
    <row r="1515" ht="22.5" customHeight="1">
      <c r="A1515" s="30"/>
      <c r="B1515" s="31"/>
      <c r="C1515" s="32"/>
      <c r="D1515" s="33"/>
      <c r="E1515" s="34"/>
      <c r="F1515" s="34"/>
      <c r="G1515" s="35"/>
      <c r="H1515" s="34"/>
      <c r="I1515" s="37"/>
    </row>
    <row r="1516" ht="22.5" customHeight="1">
      <c r="A1516" s="30"/>
      <c r="B1516" s="31"/>
      <c r="C1516" s="32"/>
      <c r="D1516" s="33"/>
      <c r="E1516" s="34"/>
      <c r="F1516" s="34"/>
      <c r="G1516" s="35"/>
      <c r="H1516" s="34"/>
      <c r="I1516" s="37"/>
    </row>
    <row r="1517" ht="22.5" customHeight="1">
      <c r="A1517" s="30"/>
      <c r="B1517" s="31"/>
      <c r="C1517" s="32"/>
      <c r="D1517" s="33"/>
      <c r="E1517" s="34"/>
      <c r="F1517" s="34"/>
      <c r="G1517" s="35"/>
      <c r="H1517" s="34"/>
      <c r="I1517" s="37"/>
    </row>
    <row r="1518" ht="22.5" customHeight="1">
      <c r="A1518" s="30"/>
      <c r="B1518" s="31"/>
      <c r="C1518" s="32"/>
      <c r="D1518" s="33"/>
      <c r="E1518" s="34"/>
      <c r="F1518" s="34"/>
      <c r="G1518" s="35"/>
      <c r="H1518" s="34"/>
      <c r="I1518" s="37"/>
    </row>
    <row r="1519" ht="22.5" customHeight="1">
      <c r="A1519" s="30"/>
      <c r="B1519" s="31"/>
      <c r="C1519" s="32"/>
      <c r="D1519" s="33"/>
      <c r="E1519" s="34"/>
      <c r="F1519" s="34"/>
      <c r="G1519" s="35"/>
      <c r="H1519" s="34"/>
      <c r="I1519" s="37"/>
    </row>
    <row r="1520" ht="22.5" customHeight="1">
      <c r="A1520" s="30"/>
      <c r="B1520" s="31"/>
      <c r="C1520" s="32"/>
      <c r="D1520" s="33"/>
      <c r="E1520" s="34"/>
      <c r="F1520" s="34"/>
      <c r="G1520" s="35"/>
      <c r="H1520" s="34"/>
      <c r="I1520" s="37"/>
    </row>
    <row r="1521" ht="22.5" customHeight="1">
      <c r="A1521" s="30"/>
      <c r="B1521" s="31"/>
      <c r="C1521" s="32"/>
      <c r="D1521" s="33"/>
      <c r="E1521" s="34"/>
      <c r="F1521" s="34"/>
      <c r="G1521" s="35"/>
      <c r="H1521" s="34"/>
      <c r="I1521" s="37"/>
    </row>
    <row r="1522" ht="22.5" customHeight="1">
      <c r="A1522" s="30"/>
      <c r="B1522" s="31"/>
      <c r="C1522" s="32"/>
      <c r="D1522" s="33"/>
      <c r="E1522" s="34"/>
      <c r="F1522" s="34"/>
      <c r="G1522" s="35"/>
      <c r="H1522" s="34"/>
      <c r="I1522" s="37"/>
    </row>
    <row r="1523" ht="22.5" customHeight="1">
      <c r="A1523" s="30"/>
      <c r="B1523" s="31"/>
      <c r="C1523" s="32"/>
      <c r="D1523" s="33"/>
      <c r="E1523" s="34"/>
      <c r="F1523" s="34"/>
      <c r="G1523" s="35"/>
      <c r="H1523" s="34"/>
      <c r="I1523" s="37"/>
    </row>
    <row r="1524" ht="22.5" customHeight="1">
      <c r="A1524" s="30"/>
      <c r="B1524" s="31"/>
      <c r="C1524" s="32"/>
      <c r="D1524" s="33"/>
      <c r="E1524" s="34"/>
      <c r="F1524" s="34"/>
      <c r="G1524" s="35"/>
      <c r="H1524" s="34"/>
      <c r="I1524" s="37"/>
    </row>
    <row r="1525" ht="22.5" customHeight="1">
      <c r="A1525" s="30"/>
      <c r="B1525" s="31"/>
      <c r="C1525" s="32"/>
      <c r="D1525" s="33"/>
      <c r="E1525" s="34"/>
      <c r="F1525" s="34"/>
      <c r="G1525" s="35"/>
      <c r="H1525" s="34"/>
      <c r="I1525" s="37"/>
    </row>
    <row r="1526" ht="22.5" customHeight="1">
      <c r="A1526" s="30"/>
      <c r="B1526" s="31"/>
      <c r="C1526" s="32"/>
      <c r="D1526" s="33"/>
      <c r="E1526" s="34"/>
      <c r="F1526" s="34"/>
      <c r="G1526" s="35"/>
      <c r="H1526" s="34"/>
      <c r="I1526" s="37"/>
    </row>
    <row r="1527" ht="22.5" customHeight="1">
      <c r="A1527" s="30"/>
      <c r="B1527" s="31"/>
      <c r="C1527" s="32"/>
      <c r="D1527" s="33"/>
      <c r="E1527" s="34"/>
      <c r="F1527" s="34"/>
      <c r="G1527" s="35"/>
      <c r="H1527" s="34"/>
      <c r="I1527" s="37"/>
    </row>
    <row r="1528" ht="22.5" customHeight="1">
      <c r="A1528" s="30"/>
      <c r="B1528" s="31"/>
      <c r="C1528" s="32"/>
      <c r="D1528" s="33"/>
      <c r="E1528" s="34"/>
      <c r="F1528" s="34"/>
      <c r="G1528" s="35"/>
      <c r="H1528" s="34"/>
      <c r="I1528" s="37"/>
    </row>
    <row r="1529" ht="22.5" customHeight="1">
      <c r="A1529" s="30"/>
      <c r="B1529" s="31"/>
      <c r="C1529" s="32"/>
      <c r="D1529" s="33"/>
      <c r="E1529" s="34"/>
      <c r="F1529" s="34"/>
      <c r="G1529" s="35"/>
      <c r="H1529" s="34"/>
      <c r="I1529" s="37"/>
    </row>
    <row r="1530" ht="22.5" customHeight="1">
      <c r="A1530" s="30"/>
      <c r="B1530" s="31"/>
      <c r="C1530" s="32"/>
      <c r="D1530" s="33"/>
      <c r="E1530" s="34"/>
      <c r="F1530" s="34"/>
      <c r="G1530" s="35"/>
      <c r="H1530" s="34"/>
      <c r="I1530" s="37"/>
    </row>
    <row r="1531" ht="22.5" customHeight="1">
      <c r="A1531" s="30"/>
      <c r="B1531" s="31"/>
      <c r="C1531" s="32"/>
      <c r="D1531" s="33"/>
      <c r="E1531" s="34"/>
      <c r="F1531" s="34"/>
      <c r="G1531" s="35"/>
      <c r="H1531" s="34"/>
      <c r="I1531" s="37"/>
    </row>
    <row r="1532" ht="22.5" customHeight="1">
      <c r="A1532" s="30"/>
      <c r="B1532" s="31"/>
      <c r="C1532" s="32"/>
      <c r="D1532" s="33"/>
      <c r="E1532" s="34"/>
      <c r="F1532" s="34"/>
      <c r="G1532" s="35"/>
      <c r="H1532" s="34"/>
      <c r="I1532" s="37"/>
    </row>
    <row r="1533" ht="22.5" customHeight="1">
      <c r="A1533" s="30"/>
      <c r="B1533" s="31"/>
      <c r="C1533" s="32"/>
      <c r="D1533" s="33"/>
      <c r="E1533" s="34"/>
      <c r="F1533" s="34"/>
      <c r="G1533" s="35"/>
      <c r="H1533" s="34"/>
      <c r="I1533" s="37"/>
    </row>
    <row r="1534" ht="22.5" customHeight="1">
      <c r="A1534" s="30"/>
      <c r="B1534" s="40"/>
      <c r="C1534" s="32"/>
      <c r="D1534" s="33"/>
      <c r="E1534" s="34"/>
      <c r="F1534" s="34"/>
      <c r="G1534" s="35"/>
      <c r="H1534" s="34"/>
      <c r="I1534" s="37"/>
    </row>
    <row r="1535" ht="22.5" customHeight="1">
      <c r="A1535" s="30"/>
      <c r="B1535" s="31"/>
      <c r="C1535" s="32"/>
      <c r="D1535" s="33"/>
      <c r="E1535" s="34"/>
      <c r="F1535" s="34"/>
      <c r="G1535" s="35"/>
      <c r="H1535" s="34"/>
      <c r="I1535" s="37"/>
    </row>
    <row r="1536" ht="22.5" customHeight="1">
      <c r="A1536" s="30"/>
      <c r="B1536" s="31"/>
      <c r="C1536" s="32"/>
      <c r="D1536" s="33"/>
      <c r="E1536" s="34"/>
      <c r="F1536" s="34"/>
      <c r="G1536" s="35"/>
      <c r="H1536" s="34"/>
      <c r="I1536" s="37"/>
    </row>
    <row r="1537" ht="22.5" customHeight="1">
      <c r="A1537" s="30"/>
      <c r="B1537" s="31"/>
      <c r="C1537" s="32"/>
      <c r="D1537" s="33"/>
      <c r="E1537" s="34"/>
      <c r="F1537" s="34"/>
      <c r="G1537" s="35"/>
      <c r="H1537" s="34"/>
      <c r="I1537" s="37"/>
    </row>
    <row r="1538" ht="22.5" customHeight="1">
      <c r="A1538" s="30"/>
      <c r="B1538" s="31"/>
      <c r="C1538" s="32"/>
      <c r="D1538" s="33"/>
      <c r="E1538" s="34"/>
      <c r="F1538" s="34"/>
      <c r="G1538" s="35"/>
      <c r="H1538" s="34"/>
      <c r="I1538" s="38"/>
    </row>
    <row r="1539" ht="22.5" customHeight="1">
      <c r="A1539" s="30"/>
      <c r="B1539" s="39"/>
      <c r="C1539" s="32"/>
      <c r="D1539" s="33"/>
      <c r="E1539" s="34"/>
      <c r="F1539" s="34"/>
      <c r="G1539" s="35"/>
      <c r="H1539" s="34"/>
      <c r="I1539" s="37"/>
    </row>
    <row r="1540" ht="22.5" customHeight="1">
      <c r="A1540" s="30"/>
      <c r="B1540" s="31"/>
      <c r="C1540" s="32"/>
      <c r="D1540" s="33"/>
      <c r="E1540" s="34"/>
      <c r="F1540" s="34"/>
      <c r="G1540" s="35"/>
      <c r="H1540" s="34"/>
      <c r="I1540" s="37"/>
    </row>
    <row r="1541" ht="22.5" customHeight="1">
      <c r="A1541" s="30"/>
      <c r="B1541" s="31"/>
      <c r="C1541" s="32"/>
      <c r="D1541" s="33"/>
      <c r="E1541" s="34"/>
      <c r="F1541" s="34"/>
      <c r="G1541" s="35"/>
      <c r="H1541" s="34"/>
      <c r="I1541" s="37"/>
    </row>
    <row r="1542" ht="22.5" customHeight="1">
      <c r="A1542" s="30"/>
      <c r="B1542" s="31"/>
      <c r="C1542" s="32"/>
      <c r="D1542" s="33"/>
      <c r="E1542" s="34"/>
      <c r="F1542" s="34"/>
      <c r="G1542" s="35"/>
      <c r="H1542" s="34"/>
      <c r="I1542" s="37"/>
    </row>
    <row r="1543" ht="22.5" customHeight="1">
      <c r="A1543" s="30"/>
      <c r="B1543" s="39"/>
      <c r="C1543" s="32"/>
      <c r="D1543" s="33"/>
      <c r="E1543" s="34"/>
      <c r="F1543" s="34"/>
      <c r="G1543" s="35"/>
      <c r="H1543" s="34"/>
      <c r="I1543" s="37"/>
    </row>
    <row r="1544" ht="22.5" customHeight="1">
      <c r="A1544" s="30"/>
      <c r="B1544" s="31"/>
      <c r="C1544" s="32"/>
      <c r="D1544" s="33"/>
      <c r="E1544" s="34"/>
      <c r="F1544" s="34"/>
      <c r="G1544" s="35"/>
      <c r="H1544" s="34"/>
      <c r="I1544" s="37"/>
    </row>
    <row r="1545" ht="22.5" customHeight="1">
      <c r="A1545" s="30"/>
      <c r="B1545" s="39"/>
      <c r="C1545" s="32"/>
      <c r="D1545" s="33"/>
      <c r="E1545" s="34"/>
      <c r="F1545" s="34"/>
      <c r="G1545" s="35"/>
      <c r="H1545" s="34"/>
      <c r="I1545" s="37"/>
    </row>
    <row r="1546" ht="22.5" customHeight="1">
      <c r="A1546" s="30"/>
      <c r="B1546" s="31"/>
      <c r="C1546" s="32"/>
      <c r="D1546" s="33"/>
      <c r="E1546" s="34"/>
      <c r="F1546" s="34"/>
      <c r="G1546" s="35"/>
      <c r="H1546" s="34"/>
      <c r="I1546" s="37"/>
    </row>
    <row r="1547" ht="22.5" customHeight="1">
      <c r="A1547" s="30"/>
      <c r="B1547" s="31"/>
      <c r="C1547" s="32"/>
      <c r="D1547" s="33"/>
      <c r="E1547" s="34"/>
      <c r="F1547" s="34"/>
      <c r="G1547" s="35"/>
      <c r="H1547" s="34"/>
      <c r="I1547" s="37"/>
    </row>
    <row r="1548" ht="22.5" customHeight="1">
      <c r="A1548" s="30"/>
      <c r="B1548" s="31"/>
      <c r="C1548" s="32"/>
      <c r="D1548" s="33"/>
      <c r="E1548" s="34"/>
      <c r="F1548" s="34"/>
      <c r="G1548" s="35"/>
      <c r="H1548" s="34"/>
      <c r="I1548" s="37"/>
    </row>
    <row r="1549" ht="22.5" customHeight="1">
      <c r="A1549" s="30"/>
      <c r="B1549" s="31"/>
      <c r="C1549" s="32"/>
      <c r="D1549" s="33"/>
      <c r="E1549" s="34"/>
      <c r="F1549" s="34"/>
      <c r="G1549" s="35"/>
      <c r="H1549" s="34"/>
      <c r="I1549" s="37"/>
    </row>
    <row r="1550" ht="22.5" customHeight="1">
      <c r="A1550" s="30"/>
      <c r="B1550" s="31"/>
      <c r="C1550" s="32"/>
      <c r="D1550" s="33"/>
      <c r="E1550" s="34"/>
      <c r="F1550" s="34"/>
      <c r="G1550" s="35"/>
      <c r="H1550" s="34"/>
      <c r="I1550" s="37"/>
    </row>
    <row r="1551" ht="22.5" customHeight="1">
      <c r="A1551" s="30"/>
      <c r="B1551" s="31"/>
      <c r="C1551" s="32"/>
      <c r="D1551" s="33"/>
      <c r="E1551" s="34"/>
      <c r="F1551" s="34"/>
      <c r="G1551" s="35"/>
      <c r="H1551" s="34"/>
      <c r="I1551" s="37"/>
    </row>
    <row r="1552" ht="22.5" customHeight="1">
      <c r="A1552" s="30"/>
      <c r="B1552" s="31"/>
      <c r="C1552" s="32"/>
      <c r="D1552" s="33"/>
      <c r="E1552" s="34"/>
      <c r="F1552" s="34"/>
      <c r="G1552" s="35"/>
      <c r="H1552" s="34"/>
      <c r="I1552" s="37"/>
    </row>
    <row r="1553" ht="22.5" customHeight="1">
      <c r="A1553" s="30"/>
      <c r="B1553" s="31"/>
      <c r="C1553" s="32"/>
      <c r="D1553" s="33"/>
      <c r="E1553" s="34"/>
      <c r="F1553" s="34"/>
      <c r="G1553" s="35"/>
      <c r="H1553" s="34"/>
      <c r="I1553" s="37"/>
    </row>
    <row r="1554" ht="22.5" customHeight="1">
      <c r="A1554" s="30"/>
      <c r="B1554" s="31"/>
      <c r="C1554" s="32"/>
      <c r="D1554" s="33"/>
      <c r="E1554" s="34"/>
      <c r="F1554" s="34"/>
      <c r="G1554" s="35"/>
      <c r="H1554" s="34"/>
      <c r="I1554" s="37"/>
    </row>
    <row r="1555" ht="22.5" customHeight="1">
      <c r="A1555" s="30"/>
      <c r="B1555" s="31"/>
      <c r="C1555" s="32"/>
      <c r="D1555" s="33"/>
      <c r="E1555" s="34"/>
      <c r="F1555" s="34"/>
      <c r="G1555" s="35"/>
      <c r="H1555" s="34"/>
      <c r="I1555" s="37"/>
    </row>
    <row r="1556" ht="22.5" customHeight="1">
      <c r="A1556" s="30"/>
      <c r="B1556" s="40"/>
      <c r="C1556" s="32"/>
      <c r="D1556" s="33"/>
      <c r="E1556" s="34"/>
      <c r="F1556" s="34"/>
      <c r="G1556" s="35"/>
      <c r="H1556" s="34"/>
      <c r="I1556" s="37"/>
    </row>
    <row r="1557" ht="22.5" customHeight="1">
      <c r="A1557" s="30"/>
      <c r="B1557" s="31"/>
      <c r="C1557" s="32"/>
      <c r="D1557" s="33"/>
      <c r="E1557" s="34"/>
      <c r="F1557" s="34"/>
      <c r="G1557" s="35"/>
      <c r="H1557" s="34"/>
      <c r="I1557" s="37"/>
    </row>
    <row r="1558" ht="22.5" customHeight="1">
      <c r="A1558" s="30"/>
      <c r="B1558" s="31"/>
      <c r="C1558" s="32"/>
      <c r="D1558" s="33"/>
      <c r="E1558" s="34"/>
      <c r="F1558" s="34"/>
      <c r="G1558" s="35"/>
      <c r="H1558" s="34"/>
      <c r="I1558" s="37"/>
    </row>
    <row r="1559" ht="22.5" customHeight="1">
      <c r="A1559" s="30"/>
      <c r="B1559" s="31"/>
      <c r="C1559" s="32"/>
      <c r="D1559" s="33"/>
      <c r="E1559" s="34"/>
      <c r="F1559" s="34"/>
      <c r="G1559" s="35"/>
      <c r="H1559" s="34"/>
      <c r="I1559" s="37"/>
    </row>
    <row r="1560" ht="22.5" customHeight="1">
      <c r="A1560" s="30"/>
      <c r="B1560" s="31"/>
      <c r="C1560" s="32"/>
      <c r="D1560" s="33"/>
      <c r="E1560" s="34"/>
      <c r="F1560" s="34"/>
      <c r="G1560" s="35"/>
      <c r="H1560" s="34"/>
      <c r="I1560" s="37"/>
    </row>
    <row r="1561" ht="22.5" customHeight="1">
      <c r="A1561" s="30"/>
      <c r="B1561" s="31"/>
      <c r="C1561" s="32"/>
      <c r="D1561" s="33"/>
      <c r="E1561" s="34"/>
      <c r="F1561" s="34"/>
      <c r="G1561" s="35"/>
      <c r="H1561" s="34"/>
      <c r="I1561" s="37"/>
    </row>
    <row r="1562" ht="22.5" customHeight="1">
      <c r="A1562" s="30"/>
      <c r="B1562" s="31"/>
      <c r="C1562" s="32"/>
      <c r="D1562" s="33"/>
      <c r="E1562" s="34"/>
      <c r="F1562" s="34"/>
      <c r="G1562" s="35"/>
      <c r="H1562" s="34"/>
      <c r="I1562" s="37"/>
    </row>
    <row r="1563" ht="22.5" customHeight="1">
      <c r="A1563" s="30"/>
      <c r="B1563" s="39"/>
      <c r="C1563" s="32"/>
      <c r="D1563" s="33"/>
      <c r="E1563" s="34"/>
      <c r="F1563" s="34"/>
      <c r="G1563" s="35"/>
      <c r="H1563" s="34"/>
      <c r="I1563" s="37"/>
    </row>
    <row r="1564" ht="22.5" customHeight="1">
      <c r="A1564" s="30"/>
      <c r="B1564" s="39"/>
      <c r="C1564" s="32"/>
      <c r="D1564" s="33"/>
      <c r="E1564" s="34"/>
      <c r="F1564" s="34"/>
      <c r="G1564" s="35"/>
      <c r="H1564" s="34"/>
      <c r="I1564" s="37"/>
    </row>
    <row r="1565" ht="22.5" customHeight="1">
      <c r="A1565" s="30"/>
      <c r="B1565" s="39"/>
      <c r="C1565" s="32"/>
      <c r="D1565" s="33"/>
      <c r="E1565" s="34"/>
      <c r="F1565" s="34"/>
      <c r="G1565" s="35"/>
      <c r="H1565" s="34"/>
      <c r="I1565" s="37"/>
    </row>
    <row r="1566" ht="22.5" customHeight="1">
      <c r="A1566" s="30"/>
      <c r="B1566" s="40"/>
      <c r="C1566" s="32"/>
      <c r="D1566" s="33"/>
      <c r="E1566" s="34"/>
      <c r="F1566" s="34"/>
      <c r="G1566" s="35"/>
      <c r="H1566" s="34"/>
      <c r="I1566" s="37"/>
    </row>
    <row r="1567" ht="22.5" customHeight="1">
      <c r="A1567" s="30"/>
      <c r="B1567" s="31"/>
      <c r="C1567" s="32"/>
      <c r="D1567" s="33"/>
      <c r="E1567" s="34"/>
      <c r="F1567" s="34"/>
      <c r="G1567" s="35"/>
      <c r="H1567" s="34"/>
      <c r="I1567" s="37"/>
    </row>
    <row r="1568" ht="22.5" customHeight="1">
      <c r="A1568" s="30"/>
      <c r="B1568" s="31"/>
      <c r="C1568" s="32"/>
      <c r="D1568" s="33"/>
      <c r="E1568" s="34"/>
      <c r="F1568" s="34"/>
      <c r="G1568" s="35"/>
      <c r="H1568" s="34"/>
      <c r="I1568" s="37"/>
    </row>
    <row r="1569" ht="22.5" customHeight="1">
      <c r="A1569" s="30"/>
      <c r="B1569" s="31"/>
      <c r="C1569" s="32"/>
      <c r="D1569" s="33"/>
      <c r="E1569" s="34"/>
      <c r="F1569" s="34"/>
      <c r="G1569" s="35"/>
      <c r="H1569" s="34"/>
      <c r="I1569" s="37"/>
    </row>
    <row r="1570" ht="22.5" customHeight="1">
      <c r="A1570" s="30"/>
      <c r="B1570" s="31"/>
      <c r="C1570" s="32"/>
      <c r="D1570" s="33"/>
      <c r="E1570" s="34"/>
      <c r="F1570" s="34"/>
      <c r="G1570" s="35"/>
      <c r="H1570" s="34"/>
      <c r="I1570" s="37"/>
    </row>
    <row r="1571" ht="22.5" customHeight="1">
      <c r="A1571" s="30"/>
      <c r="B1571" s="31"/>
      <c r="C1571" s="32"/>
      <c r="D1571" s="33"/>
      <c r="E1571" s="34"/>
      <c r="F1571" s="34"/>
      <c r="G1571" s="35"/>
      <c r="H1571" s="34"/>
      <c r="I1571" s="37"/>
    </row>
    <row r="1572" ht="22.5" customHeight="1">
      <c r="A1572" s="30"/>
      <c r="B1572" s="31"/>
      <c r="C1572" s="32"/>
      <c r="D1572" s="33"/>
      <c r="E1572" s="34"/>
      <c r="F1572" s="34"/>
      <c r="G1572" s="35"/>
      <c r="H1572" s="34"/>
      <c r="I1572" s="37"/>
    </row>
    <row r="1573" ht="22.5" customHeight="1">
      <c r="A1573" s="30"/>
      <c r="B1573" s="31"/>
      <c r="C1573" s="32"/>
      <c r="D1573" s="33"/>
      <c r="E1573" s="34"/>
      <c r="F1573" s="34"/>
      <c r="G1573" s="35"/>
      <c r="H1573" s="34"/>
      <c r="I1573" s="37"/>
    </row>
    <row r="1574" ht="22.5" customHeight="1">
      <c r="A1574" s="30"/>
      <c r="B1574" s="31"/>
      <c r="C1574" s="32"/>
      <c r="D1574" s="33"/>
      <c r="E1574" s="34"/>
      <c r="F1574" s="34"/>
      <c r="G1574" s="35"/>
      <c r="H1574" s="34"/>
      <c r="I1574" s="37"/>
    </row>
    <row r="1575" ht="22.5" customHeight="1">
      <c r="A1575" s="30"/>
      <c r="B1575" s="31"/>
      <c r="C1575" s="32"/>
      <c r="D1575" s="33"/>
      <c r="E1575" s="34"/>
      <c r="F1575" s="34"/>
      <c r="G1575" s="35"/>
      <c r="H1575" s="34"/>
      <c r="I1575" s="37"/>
    </row>
    <row r="1576" ht="22.5" customHeight="1">
      <c r="A1576" s="30"/>
      <c r="B1576" s="40"/>
      <c r="C1576" s="32"/>
      <c r="D1576" s="33"/>
      <c r="E1576" s="34"/>
      <c r="F1576" s="34"/>
      <c r="G1576" s="35"/>
      <c r="H1576" s="34"/>
      <c r="I1576" s="37"/>
    </row>
    <row r="1577" ht="22.5" customHeight="1">
      <c r="A1577" s="30"/>
      <c r="B1577" s="31"/>
      <c r="C1577" s="32"/>
      <c r="D1577" s="33"/>
      <c r="E1577" s="34"/>
      <c r="F1577" s="34"/>
      <c r="G1577" s="35"/>
      <c r="H1577" s="34"/>
      <c r="I1577" s="37"/>
    </row>
    <row r="1578" ht="22.5" customHeight="1">
      <c r="A1578" s="30"/>
      <c r="B1578" s="31"/>
      <c r="C1578" s="32"/>
      <c r="D1578" s="33"/>
      <c r="E1578" s="34"/>
      <c r="F1578" s="34"/>
      <c r="G1578" s="35"/>
      <c r="H1578" s="34"/>
      <c r="I1578" s="37"/>
    </row>
    <row r="1579" ht="22.5" customHeight="1">
      <c r="A1579" s="30"/>
      <c r="B1579" s="31"/>
      <c r="C1579" s="32"/>
      <c r="D1579" s="33"/>
      <c r="E1579" s="34"/>
      <c r="F1579" s="34"/>
      <c r="G1579" s="35"/>
      <c r="H1579" s="34"/>
      <c r="I1579" s="37"/>
    </row>
    <row r="1580" ht="22.5" customHeight="1">
      <c r="A1580" s="30"/>
      <c r="B1580" s="40"/>
      <c r="C1580" s="32"/>
      <c r="D1580" s="33"/>
      <c r="E1580" s="34"/>
      <c r="F1580" s="34"/>
      <c r="G1580" s="35"/>
      <c r="H1580" s="34"/>
      <c r="I1580" s="37"/>
    </row>
    <row r="1581" ht="22.5" customHeight="1">
      <c r="A1581" s="30"/>
      <c r="B1581" s="31"/>
      <c r="C1581" s="32"/>
      <c r="D1581" s="33"/>
      <c r="E1581" s="34"/>
      <c r="F1581" s="34"/>
      <c r="G1581" s="35"/>
      <c r="H1581" s="34"/>
      <c r="I1581" s="37"/>
    </row>
    <row r="1582" ht="22.5" customHeight="1">
      <c r="A1582" s="30"/>
      <c r="B1582" s="31"/>
      <c r="C1582" s="32"/>
      <c r="D1582" s="33"/>
      <c r="E1582" s="34"/>
      <c r="F1582" s="34"/>
      <c r="G1582" s="35"/>
      <c r="H1582" s="34"/>
      <c r="I1582" s="37"/>
    </row>
    <row r="1583" ht="22.5" customHeight="1">
      <c r="A1583" s="30"/>
      <c r="B1583" s="31"/>
      <c r="C1583" s="32"/>
      <c r="D1583" s="33"/>
      <c r="E1583" s="34"/>
      <c r="F1583" s="34"/>
      <c r="G1583" s="35"/>
      <c r="H1583" s="34"/>
      <c r="I1583" s="37"/>
    </row>
    <row r="1584" ht="22.5" customHeight="1">
      <c r="A1584" s="30"/>
      <c r="B1584" s="31"/>
      <c r="C1584" s="32"/>
      <c r="D1584" s="33"/>
      <c r="E1584" s="34"/>
      <c r="F1584" s="34"/>
      <c r="G1584" s="35"/>
      <c r="H1584" s="34"/>
      <c r="I1584" s="37"/>
    </row>
    <row r="1585" ht="22.5" customHeight="1">
      <c r="A1585" s="30"/>
      <c r="B1585" s="31"/>
      <c r="C1585" s="32"/>
      <c r="D1585" s="33"/>
      <c r="E1585" s="34"/>
      <c r="F1585" s="34"/>
      <c r="G1585" s="35"/>
      <c r="H1585" s="34"/>
      <c r="I1585" s="37"/>
    </row>
    <row r="1586" ht="22.5" customHeight="1">
      <c r="A1586" s="30"/>
      <c r="B1586" s="31"/>
      <c r="C1586" s="32"/>
      <c r="D1586" s="33"/>
      <c r="E1586" s="34"/>
      <c r="F1586" s="34"/>
      <c r="G1586" s="35"/>
      <c r="H1586" s="34"/>
      <c r="I1586" s="37"/>
    </row>
    <row r="1587" ht="22.5" customHeight="1">
      <c r="A1587" s="30"/>
      <c r="B1587" s="31"/>
      <c r="C1587" s="32"/>
      <c r="D1587" s="33"/>
      <c r="E1587" s="34"/>
      <c r="F1587" s="34"/>
      <c r="G1587" s="35"/>
      <c r="H1587" s="34"/>
      <c r="I1587" s="37"/>
    </row>
    <row r="1588" ht="22.5" customHeight="1">
      <c r="A1588" s="30"/>
      <c r="B1588" s="31"/>
      <c r="C1588" s="32"/>
      <c r="D1588" s="33"/>
      <c r="E1588" s="34"/>
      <c r="F1588" s="34"/>
      <c r="G1588" s="35"/>
      <c r="H1588" s="34"/>
      <c r="I1588" s="37"/>
    </row>
    <row r="1589" ht="22.5" customHeight="1">
      <c r="A1589" s="30"/>
      <c r="B1589" s="31"/>
      <c r="C1589" s="32"/>
      <c r="D1589" s="33"/>
      <c r="E1589" s="34"/>
      <c r="F1589" s="34"/>
      <c r="G1589" s="35"/>
      <c r="H1589" s="34"/>
      <c r="I1589" s="37"/>
    </row>
    <row r="1590" ht="22.5" customHeight="1">
      <c r="A1590" s="30"/>
      <c r="B1590" s="31"/>
      <c r="C1590" s="32"/>
      <c r="D1590" s="33"/>
      <c r="E1590" s="34"/>
      <c r="F1590" s="34"/>
      <c r="G1590" s="35"/>
      <c r="H1590" s="34"/>
      <c r="I1590" s="37"/>
    </row>
    <row r="1591" ht="22.5" customHeight="1">
      <c r="A1591" s="30"/>
      <c r="B1591" s="31"/>
      <c r="C1591" s="32"/>
      <c r="D1591" s="33"/>
      <c r="E1591" s="34"/>
      <c r="F1591" s="34"/>
      <c r="G1591" s="35"/>
      <c r="H1591" s="34"/>
      <c r="I1591" s="37"/>
    </row>
    <row r="1592" ht="22.5" customHeight="1">
      <c r="A1592" s="30"/>
      <c r="B1592" s="31"/>
      <c r="C1592" s="32"/>
      <c r="D1592" s="33"/>
      <c r="E1592" s="34"/>
      <c r="F1592" s="34"/>
      <c r="G1592" s="35"/>
      <c r="H1592" s="34"/>
      <c r="I1592" s="37"/>
    </row>
    <row r="1593" ht="22.5" customHeight="1">
      <c r="A1593" s="30"/>
      <c r="B1593" s="31"/>
      <c r="C1593" s="32"/>
      <c r="D1593" s="33"/>
      <c r="E1593" s="34"/>
      <c r="F1593" s="34"/>
      <c r="G1593" s="35"/>
      <c r="H1593" s="34"/>
      <c r="I1593" s="37"/>
    </row>
    <row r="1594" ht="22.5" customHeight="1">
      <c r="A1594" s="30"/>
      <c r="B1594" s="31"/>
      <c r="C1594" s="32"/>
      <c r="D1594" s="33"/>
      <c r="E1594" s="34"/>
      <c r="F1594" s="34"/>
      <c r="G1594" s="35"/>
      <c r="H1594" s="34"/>
      <c r="I1594" s="37"/>
    </row>
    <row r="1595" ht="22.5" customHeight="1">
      <c r="A1595" s="30"/>
      <c r="B1595" s="40"/>
      <c r="C1595" s="32"/>
      <c r="D1595" s="33"/>
      <c r="E1595" s="34"/>
      <c r="F1595" s="34"/>
      <c r="G1595" s="35"/>
      <c r="H1595" s="34"/>
      <c r="I1595" s="37"/>
    </row>
    <row r="1596" ht="22.5" customHeight="1">
      <c r="A1596" s="30"/>
      <c r="B1596" s="31"/>
      <c r="C1596" s="32"/>
      <c r="D1596" s="33"/>
      <c r="E1596" s="34"/>
      <c r="F1596" s="34"/>
      <c r="G1596" s="35"/>
      <c r="H1596" s="34"/>
      <c r="I1596" s="37"/>
    </row>
    <row r="1597" ht="22.5" customHeight="1">
      <c r="A1597" s="30"/>
      <c r="B1597" s="40"/>
      <c r="C1597" s="32"/>
      <c r="D1597" s="33"/>
      <c r="E1597" s="34"/>
      <c r="F1597" s="34"/>
      <c r="G1597" s="35"/>
      <c r="H1597" s="34"/>
      <c r="I1597" s="37"/>
    </row>
    <row r="1598" ht="22.5" customHeight="1">
      <c r="A1598" s="30"/>
      <c r="B1598" s="31"/>
      <c r="C1598" s="32"/>
      <c r="D1598" s="33"/>
      <c r="E1598" s="34"/>
      <c r="F1598" s="34"/>
      <c r="G1598" s="35"/>
      <c r="H1598" s="34"/>
      <c r="I1598" s="37"/>
    </row>
    <row r="1599" ht="22.5" customHeight="1">
      <c r="A1599" s="30"/>
      <c r="B1599" s="31"/>
      <c r="C1599" s="32"/>
      <c r="D1599" s="33"/>
      <c r="E1599" s="34"/>
      <c r="F1599" s="34"/>
      <c r="G1599" s="35"/>
      <c r="H1599" s="34"/>
      <c r="I1599" s="37"/>
    </row>
    <row r="1600" ht="22.5" customHeight="1">
      <c r="A1600" s="30"/>
      <c r="B1600" s="31"/>
      <c r="C1600" s="32"/>
      <c r="D1600" s="33"/>
      <c r="E1600" s="34"/>
      <c r="F1600" s="34"/>
      <c r="G1600" s="35"/>
      <c r="H1600" s="34"/>
      <c r="I1600" s="37"/>
    </row>
    <row r="1601" ht="22.5" customHeight="1">
      <c r="A1601" s="30"/>
      <c r="B1601" s="31"/>
      <c r="C1601" s="32"/>
      <c r="D1601" s="33"/>
      <c r="E1601" s="34"/>
      <c r="F1601" s="34"/>
      <c r="G1601" s="35"/>
      <c r="H1601" s="34"/>
      <c r="I1601" s="37"/>
    </row>
    <row r="1602" ht="22.5" customHeight="1">
      <c r="A1602" s="30"/>
      <c r="B1602" s="40"/>
      <c r="C1602" s="32"/>
      <c r="D1602" s="33"/>
      <c r="E1602" s="34"/>
      <c r="F1602" s="34"/>
      <c r="G1602" s="35"/>
      <c r="H1602" s="34"/>
      <c r="I1602" s="37"/>
    </row>
    <row r="1603" ht="22.5" customHeight="1">
      <c r="A1603" s="30"/>
      <c r="B1603" s="31"/>
      <c r="C1603" s="32"/>
      <c r="D1603" s="33"/>
      <c r="E1603" s="34"/>
      <c r="F1603" s="34"/>
      <c r="G1603" s="35"/>
      <c r="H1603" s="34"/>
      <c r="I1603" s="37"/>
    </row>
    <row r="1604" ht="22.5" customHeight="1">
      <c r="A1604" s="30"/>
      <c r="B1604" s="31"/>
      <c r="C1604" s="32"/>
      <c r="D1604" s="33"/>
      <c r="E1604" s="34"/>
      <c r="F1604" s="34"/>
      <c r="G1604" s="35"/>
      <c r="H1604" s="34"/>
      <c r="I1604" s="37"/>
    </row>
    <row r="1605" ht="22.5" customHeight="1">
      <c r="A1605" s="30"/>
      <c r="B1605" s="31"/>
      <c r="C1605" s="32"/>
      <c r="D1605" s="33"/>
      <c r="E1605" s="34"/>
      <c r="F1605" s="34"/>
      <c r="G1605" s="35"/>
      <c r="H1605" s="34"/>
      <c r="I1605" s="37"/>
    </row>
    <row r="1606" ht="22.5" customHeight="1">
      <c r="A1606" s="30"/>
      <c r="B1606" s="31"/>
      <c r="C1606" s="32"/>
      <c r="D1606" s="33"/>
      <c r="E1606" s="34"/>
      <c r="F1606" s="34"/>
      <c r="G1606" s="35"/>
      <c r="H1606" s="34"/>
      <c r="I1606" s="37"/>
    </row>
    <row r="1607" ht="22.5" customHeight="1">
      <c r="A1607" s="30"/>
      <c r="B1607" s="31"/>
      <c r="C1607" s="32"/>
      <c r="D1607" s="33"/>
      <c r="E1607" s="34"/>
      <c r="F1607" s="34"/>
      <c r="G1607" s="35"/>
      <c r="H1607" s="34"/>
      <c r="I1607" s="37"/>
    </row>
    <row r="1608" ht="22.5" customHeight="1">
      <c r="A1608" s="30"/>
      <c r="B1608" s="31"/>
      <c r="C1608" s="32"/>
      <c r="D1608" s="33"/>
      <c r="E1608" s="34"/>
      <c r="F1608" s="34"/>
      <c r="G1608" s="35"/>
      <c r="H1608" s="34"/>
      <c r="I1608" s="37"/>
    </row>
    <row r="1609" ht="22.5" customHeight="1">
      <c r="A1609" s="30"/>
      <c r="B1609" s="31"/>
      <c r="C1609" s="32"/>
      <c r="D1609" s="33"/>
      <c r="E1609" s="34"/>
      <c r="F1609" s="34"/>
      <c r="G1609" s="35"/>
      <c r="H1609" s="34"/>
      <c r="I1609" s="37"/>
    </row>
    <row r="1610" ht="22.5" customHeight="1">
      <c r="A1610" s="30"/>
      <c r="B1610" s="31"/>
      <c r="C1610" s="32"/>
      <c r="D1610" s="33"/>
      <c r="E1610" s="34"/>
      <c r="F1610" s="34"/>
      <c r="G1610" s="35"/>
      <c r="H1610" s="34"/>
      <c r="I1610" s="37"/>
    </row>
    <row r="1611" ht="22.5" customHeight="1">
      <c r="A1611" s="30"/>
      <c r="B1611" s="31"/>
      <c r="C1611" s="32"/>
      <c r="D1611" s="33"/>
      <c r="E1611" s="34"/>
      <c r="F1611" s="34"/>
      <c r="G1611" s="35"/>
      <c r="H1611" s="34"/>
      <c r="I1611" s="37"/>
    </row>
    <row r="1612" ht="22.5" customHeight="1">
      <c r="A1612" s="30"/>
      <c r="B1612" s="31"/>
      <c r="C1612" s="32"/>
      <c r="D1612" s="33"/>
      <c r="E1612" s="34"/>
      <c r="F1612" s="34"/>
      <c r="G1612" s="35"/>
      <c r="H1612" s="34"/>
      <c r="I1612" s="37"/>
    </row>
    <row r="1613" ht="22.5" customHeight="1">
      <c r="A1613" s="30"/>
      <c r="B1613" s="31"/>
      <c r="C1613" s="32"/>
      <c r="D1613" s="33"/>
      <c r="E1613" s="34"/>
      <c r="F1613" s="34"/>
      <c r="G1613" s="35"/>
      <c r="H1613" s="34"/>
      <c r="I1613" s="37"/>
    </row>
    <row r="1614" ht="22.5" customHeight="1">
      <c r="A1614" s="30"/>
      <c r="B1614" s="31"/>
      <c r="C1614" s="32"/>
      <c r="D1614" s="33"/>
      <c r="E1614" s="34"/>
      <c r="F1614" s="34"/>
      <c r="G1614" s="35"/>
      <c r="H1614" s="34"/>
      <c r="I1614" s="37"/>
    </row>
    <row r="1615" ht="22.5" customHeight="1">
      <c r="A1615" s="30"/>
      <c r="B1615" s="31"/>
      <c r="C1615" s="32"/>
      <c r="D1615" s="33"/>
      <c r="E1615" s="34"/>
      <c r="F1615" s="34"/>
      <c r="G1615" s="35"/>
      <c r="H1615" s="34"/>
      <c r="I1615" s="37"/>
    </row>
    <row r="1616" ht="22.5" customHeight="1">
      <c r="A1616" s="30"/>
      <c r="B1616" s="31"/>
      <c r="C1616" s="32"/>
      <c r="D1616" s="33"/>
      <c r="E1616" s="34"/>
      <c r="F1616" s="34"/>
      <c r="G1616" s="35"/>
      <c r="H1616" s="34"/>
      <c r="I1616" s="37"/>
    </row>
    <row r="1617" ht="22.5" customHeight="1">
      <c r="A1617" s="30"/>
      <c r="B1617" s="31"/>
      <c r="C1617" s="32"/>
      <c r="D1617" s="33"/>
      <c r="E1617" s="34"/>
      <c r="F1617" s="34"/>
      <c r="G1617" s="35"/>
      <c r="H1617" s="34"/>
      <c r="I1617" s="37"/>
    </row>
    <row r="1618" ht="22.5" customHeight="1">
      <c r="A1618" s="30"/>
      <c r="B1618" s="31"/>
      <c r="C1618" s="32"/>
      <c r="D1618" s="33"/>
      <c r="E1618" s="34"/>
      <c r="F1618" s="34"/>
      <c r="G1618" s="35"/>
      <c r="H1618" s="34"/>
      <c r="I1618" s="37"/>
    </row>
    <row r="1619" ht="22.5" customHeight="1">
      <c r="A1619" s="30"/>
      <c r="B1619" s="31"/>
      <c r="C1619" s="32"/>
      <c r="D1619" s="33"/>
      <c r="E1619" s="34"/>
      <c r="F1619" s="34"/>
      <c r="G1619" s="35"/>
      <c r="H1619" s="34"/>
      <c r="I1619" s="37"/>
    </row>
    <row r="1620" ht="22.5" customHeight="1">
      <c r="A1620" s="30"/>
      <c r="B1620" s="31"/>
      <c r="C1620" s="32"/>
      <c r="D1620" s="33"/>
      <c r="E1620" s="34"/>
      <c r="F1620" s="34"/>
      <c r="G1620" s="35"/>
      <c r="H1620" s="34"/>
      <c r="I1620" s="37"/>
    </row>
    <row r="1621" ht="22.5" customHeight="1">
      <c r="A1621" s="30"/>
      <c r="B1621" s="31"/>
      <c r="C1621" s="32"/>
      <c r="D1621" s="33"/>
      <c r="E1621" s="34"/>
      <c r="F1621" s="34"/>
      <c r="G1621" s="35"/>
      <c r="H1621" s="34"/>
      <c r="I1621" s="37"/>
    </row>
    <row r="1622" ht="22.5" customHeight="1">
      <c r="A1622" s="30"/>
      <c r="B1622" s="31"/>
      <c r="C1622" s="32"/>
      <c r="D1622" s="33"/>
      <c r="E1622" s="34"/>
      <c r="F1622" s="34"/>
      <c r="G1622" s="35"/>
      <c r="H1622" s="34"/>
      <c r="I1622" s="37"/>
    </row>
    <row r="1623" ht="22.5" customHeight="1">
      <c r="A1623" s="30"/>
      <c r="B1623" s="31"/>
      <c r="C1623" s="32"/>
      <c r="D1623" s="33"/>
      <c r="E1623" s="34"/>
      <c r="F1623" s="34"/>
      <c r="G1623" s="35"/>
      <c r="H1623" s="34"/>
      <c r="I1623" s="37"/>
    </row>
    <row r="1624" ht="22.5" customHeight="1">
      <c r="A1624" s="30"/>
      <c r="B1624" s="31"/>
      <c r="C1624" s="30"/>
      <c r="D1624" s="33"/>
      <c r="E1624" s="34"/>
      <c r="F1624" s="34"/>
      <c r="G1624" s="36"/>
      <c r="H1624" s="34"/>
      <c r="I1624" s="37"/>
    </row>
    <row r="1625" ht="22.5" customHeight="1">
      <c r="A1625" s="30"/>
      <c r="B1625" s="31"/>
      <c r="C1625" s="30"/>
      <c r="D1625" s="33"/>
      <c r="E1625" s="34"/>
      <c r="F1625" s="34"/>
      <c r="G1625" s="36"/>
      <c r="H1625" s="34"/>
      <c r="I1625" s="37"/>
    </row>
    <row r="1626" ht="22.5" customHeight="1">
      <c r="A1626" s="30"/>
      <c r="B1626" s="31"/>
      <c r="C1626" s="30"/>
      <c r="D1626" s="33"/>
      <c r="E1626" s="34"/>
      <c r="F1626" s="34"/>
      <c r="G1626" s="36"/>
      <c r="H1626" s="34"/>
      <c r="I1626" s="37"/>
    </row>
    <row r="1627" ht="22.5" customHeight="1">
      <c r="A1627" s="30"/>
      <c r="B1627" s="31"/>
      <c r="C1627" s="30"/>
      <c r="D1627" s="33"/>
      <c r="E1627" s="34"/>
      <c r="F1627" s="34"/>
      <c r="G1627" s="36"/>
      <c r="H1627" s="34"/>
      <c r="I1627" s="37"/>
    </row>
    <row r="1628" ht="22.5" customHeight="1">
      <c r="A1628" s="30"/>
      <c r="B1628" s="31"/>
      <c r="C1628" s="30"/>
      <c r="D1628" s="33"/>
      <c r="E1628" s="34"/>
      <c r="F1628" s="34"/>
      <c r="G1628" s="36"/>
      <c r="H1628" s="34"/>
      <c r="I1628" s="37"/>
    </row>
    <row r="1629" ht="22.5" customHeight="1">
      <c r="A1629" s="30"/>
      <c r="B1629" s="31"/>
      <c r="C1629" s="30"/>
      <c r="D1629" s="33"/>
      <c r="E1629" s="34"/>
      <c r="F1629" s="34"/>
      <c r="G1629" s="36"/>
      <c r="H1629" s="34"/>
      <c r="I1629" s="37"/>
    </row>
    <row r="1630" ht="22.5" customHeight="1">
      <c r="A1630" s="30"/>
      <c r="B1630" s="31"/>
      <c r="C1630" s="30"/>
      <c r="D1630" s="33"/>
      <c r="E1630" s="34"/>
      <c r="F1630" s="34"/>
      <c r="G1630" s="36"/>
      <c r="H1630" s="34"/>
      <c r="I1630" s="37"/>
    </row>
    <row r="1631" ht="22.5" customHeight="1">
      <c r="A1631" s="30"/>
      <c r="B1631" s="31"/>
      <c r="C1631" s="30"/>
      <c r="D1631" s="33"/>
      <c r="E1631" s="34"/>
      <c r="F1631" s="34"/>
      <c r="G1631" s="36"/>
      <c r="H1631" s="34"/>
      <c r="I1631" s="37"/>
    </row>
    <row r="1632" ht="22.5" customHeight="1">
      <c r="A1632" s="30"/>
      <c r="B1632" s="31"/>
      <c r="C1632" s="30"/>
      <c r="D1632" s="33"/>
      <c r="E1632" s="34"/>
      <c r="F1632" s="34"/>
      <c r="G1632" s="36"/>
      <c r="H1632" s="34"/>
      <c r="I1632" s="37"/>
    </row>
    <row r="1633" ht="22.5" customHeight="1">
      <c r="A1633" s="30"/>
      <c r="B1633" s="31"/>
      <c r="C1633" s="30"/>
      <c r="D1633" s="33"/>
      <c r="E1633" s="34"/>
      <c r="F1633" s="34"/>
      <c r="G1633" s="36"/>
      <c r="H1633" s="34"/>
      <c r="I1633" s="37"/>
    </row>
    <row r="1634" ht="22.5" customHeight="1">
      <c r="A1634" s="30"/>
      <c r="B1634" s="31"/>
      <c r="C1634" s="30"/>
      <c r="D1634" s="33"/>
      <c r="E1634" s="34"/>
      <c r="F1634" s="34"/>
      <c r="G1634" s="36"/>
      <c r="H1634" s="34"/>
      <c r="I1634" s="37"/>
    </row>
    <row r="1635" ht="22.5" customHeight="1">
      <c r="A1635" s="30"/>
      <c r="B1635" s="31"/>
      <c r="C1635" s="30"/>
      <c r="D1635" s="33"/>
      <c r="E1635" s="34"/>
      <c r="F1635" s="34"/>
      <c r="G1635" s="36"/>
      <c r="H1635" s="34"/>
      <c r="I1635" s="37"/>
    </row>
    <row r="1636" ht="22.5" customHeight="1">
      <c r="A1636" s="30"/>
      <c r="B1636" s="31"/>
      <c r="C1636" s="30"/>
      <c r="D1636" s="33"/>
      <c r="E1636" s="34"/>
      <c r="F1636" s="34"/>
      <c r="G1636" s="36"/>
      <c r="H1636" s="34"/>
      <c r="I1636" s="37"/>
    </row>
    <row r="1637" ht="22.5" customHeight="1">
      <c r="A1637" s="30"/>
      <c r="B1637" s="31"/>
      <c r="C1637" s="30"/>
      <c r="D1637" s="33"/>
      <c r="E1637" s="34"/>
      <c r="F1637" s="34"/>
      <c r="G1637" s="36"/>
      <c r="H1637" s="34"/>
      <c r="I1637" s="37"/>
    </row>
    <row r="1638" ht="22.5" customHeight="1">
      <c r="A1638" s="30"/>
      <c r="B1638" s="31"/>
      <c r="C1638" s="30"/>
      <c r="D1638" s="33"/>
      <c r="E1638" s="34"/>
      <c r="F1638" s="34"/>
      <c r="G1638" s="36"/>
      <c r="H1638" s="34"/>
      <c r="I1638" s="37"/>
    </row>
    <row r="1639" ht="22.5" customHeight="1">
      <c r="A1639" s="30"/>
      <c r="B1639" s="31"/>
      <c r="C1639" s="30"/>
      <c r="D1639" s="33"/>
      <c r="E1639" s="34"/>
      <c r="F1639" s="34"/>
      <c r="G1639" s="36"/>
      <c r="H1639" s="34"/>
      <c r="I1639" s="37"/>
    </row>
    <row r="1640" ht="22.5" customHeight="1">
      <c r="A1640" s="30"/>
      <c r="B1640" s="31"/>
      <c r="C1640" s="30"/>
      <c r="D1640" s="33"/>
      <c r="E1640" s="34"/>
      <c r="F1640" s="34"/>
      <c r="G1640" s="36"/>
      <c r="H1640" s="34"/>
      <c r="I1640" s="37"/>
    </row>
    <row r="1641" ht="22.5" customHeight="1">
      <c r="A1641" s="30"/>
      <c r="B1641" s="31"/>
      <c r="C1641" s="30"/>
      <c r="D1641" s="33"/>
      <c r="E1641" s="34"/>
      <c r="F1641" s="34"/>
      <c r="G1641" s="36"/>
      <c r="H1641" s="34"/>
      <c r="I1641" s="37"/>
    </row>
    <row r="1642" ht="22.5" customHeight="1">
      <c r="A1642" s="30"/>
      <c r="B1642" s="31"/>
      <c r="C1642" s="30"/>
      <c r="D1642" s="33"/>
      <c r="E1642" s="34"/>
      <c r="F1642" s="34"/>
      <c r="G1642" s="36"/>
      <c r="H1642" s="34"/>
      <c r="I1642" s="37"/>
    </row>
    <row r="1643" ht="22.5" customHeight="1">
      <c r="A1643" s="30"/>
      <c r="B1643" s="31"/>
      <c r="C1643" s="30"/>
      <c r="D1643" s="33"/>
      <c r="E1643" s="34"/>
      <c r="F1643" s="34"/>
      <c r="G1643" s="36"/>
      <c r="H1643" s="34"/>
      <c r="I1643" s="37"/>
    </row>
    <row r="1644" ht="22.5" customHeight="1">
      <c r="A1644" s="30"/>
      <c r="B1644" s="31"/>
      <c r="C1644" s="30"/>
      <c r="D1644" s="33"/>
      <c r="E1644" s="34"/>
      <c r="F1644" s="34"/>
      <c r="G1644" s="36"/>
      <c r="H1644" s="34"/>
      <c r="I1644" s="37"/>
    </row>
    <row r="1645" ht="22.5" customHeight="1">
      <c r="A1645" s="30"/>
      <c r="B1645" s="31"/>
      <c r="C1645" s="30"/>
      <c r="D1645" s="33"/>
      <c r="E1645" s="34"/>
      <c r="F1645" s="34"/>
      <c r="G1645" s="36"/>
      <c r="H1645" s="34"/>
      <c r="I1645" s="37"/>
    </row>
    <row r="1646" ht="22.5" customHeight="1">
      <c r="A1646" s="30"/>
      <c r="B1646" s="31"/>
      <c r="C1646" s="30"/>
      <c r="D1646" s="33"/>
      <c r="E1646" s="34"/>
      <c r="F1646" s="34"/>
      <c r="G1646" s="36"/>
      <c r="H1646" s="34"/>
      <c r="I1646" s="37"/>
    </row>
    <row r="1647" ht="22.5" customHeight="1">
      <c r="A1647" s="30"/>
      <c r="B1647" s="31"/>
      <c r="C1647" s="30"/>
      <c r="D1647" s="33"/>
      <c r="E1647" s="34"/>
      <c r="F1647" s="34"/>
      <c r="G1647" s="36"/>
      <c r="H1647" s="34"/>
      <c r="I1647" s="37"/>
    </row>
    <row r="1648" ht="22.5" customHeight="1">
      <c r="A1648" s="30"/>
      <c r="B1648" s="31"/>
      <c r="C1648" s="30"/>
      <c r="D1648" s="33"/>
      <c r="E1648" s="34"/>
      <c r="F1648" s="34"/>
      <c r="G1648" s="36"/>
      <c r="H1648" s="34"/>
      <c r="I1648" s="37"/>
    </row>
    <row r="1649" ht="22.5" customHeight="1">
      <c r="A1649" s="30"/>
      <c r="B1649" s="31"/>
      <c r="C1649" s="30"/>
      <c r="D1649" s="33"/>
      <c r="E1649" s="34"/>
      <c r="F1649" s="34"/>
      <c r="G1649" s="36"/>
      <c r="H1649" s="34"/>
      <c r="I1649" s="37"/>
    </row>
    <row r="1650" ht="22.5" customHeight="1">
      <c r="A1650" s="30"/>
      <c r="B1650" s="31"/>
      <c r="C1650" s="30"/>
      <c r="D1650" s="33"/>
      <c r="E1650" s="34"/>
      <c r="F1650" s="34"/>
      <c r="G1650" s="36"/>
      <c r="H1650" s="34"/>
      <c r="I1650" s="37"/>
    </row>
    <row r="1651" ht="22.5" customHeight="1">
      <c r="A1651" s="30"/>
      <c r="B1651" s="31"/>
      <c r="C1651" s="30"/>
      <c r="D1651" s="33"/>
      <c r="E1651" s="34"/>
      <c r="F1651" s="34"/>
      <c r="G1651" s="36"/>
      <c r="H1651" s="34"/>
      <c r="I1651" s="37"/>
    </row>
    <row r="1652" ht="22.5" customHeight="1">
      <c r="A1652" s="30"/>
      <c r="B1652" s="31"/>
      <c r="C1652" s="30"/>
      <c r="D1652" s="33"/>
      <c r="E1652" s="34"/>
      <c r="F1652" s="34"/>
      <c r="G1652" s="36"/>
      <c r="H1652" s="34"/>
      <c r="I1652" s="37"/>
    </row>
    <row r="1653" ht="22.5" customHeight="1">
      <c r="A1653" s="30"/>
      <c r="B1653" s="31"/>
      <c r="C1653" s="30"/>
      <c r="D1653" s="33"/>
      <c r="E1653" s="34"/>
      <c r="F1653" s="34"/>
      <c r="G1653" s="36"/>
      <c r="H1653" s="34"/>
      <c r="I1653" s="37"/>
    </row>
    <row r="1654" ht="22.5" customHeight="1">
      <c r="A1654" s="30"/>
      <c r="B1654" s="31"/>
      <c r="C1654" s="30"/>
      <c r="D1654" s="33"/>
      <c r="E1654" s="34"/>
      <c r="F1654" s="34"/>
      <c r="G1654" s="36"/>
      <c r="H1654" s="34"/>
      <c r="I1654" s="37"/>
    </row>
    <row r="1655" ht="22.5" customHeight="1">
      <c r="A1655" s="30"/>
      <c r="B1655" s="31"/>
      <c r="C1655" s="30"/>
      <c r="D1655" s="33"/>
      <c r="E1655" s="34"/>
      <c r="F1655" s="34"/>
      <c r="G1655" s="36"/>
      <c r="H1655" s="34"/>
      <c r="I1655" s="37"/>
    </row>
    <row r="1656" ht="22.5" customHeight="1">
      <c r="A1656" s="30"/>
      <c r="B1656" s="31"/>
      <c r="C1656" s="30"/>
      <c r="D1656" s="33"/>
      <c r="E1656" s="34"/>
      <c r="F1656" s="34"/>
      <c r="G1656" s="36"/>
      <c r="H1656" s="34"/>
      <c r="I1656" s="37"/>
    </row>
    <row r="1657" ht="22.5" customHeight="1">
      <c r="A1657" s="30"/>
      <c r="B1657" s="31"/>
      <c r="C1657" s="30"/>
      <c r="D1657" s="33"/>
      <c r="E1657" s="34"/>
      <c r="F1657" s="34"/>
      <c r="G1657" s="36"/>
      <c r="H1657" s="34"/>
      <c r="I1657" s="37"/>
    </row>
    <row r="1658" ht="22.5" customHeight="1">
      <c r="A1658" s="30"/>
      <c r="B1658" s="31"/>
      <c r="C1658" s="30"/>
      <c r="D1658" s="33"/>
      <c r="E1658" s="34"/>
      <c r="F1658" s="34"/>
      <c r="G1658" s="36"/>
      <c r="H1658" s="34"/>
      <c r="I1658" s="37"/>
    </row>
    <row r="1659" ht="22.5" customHeight="1">
      <c r="A1659" s="30"/>
      <c r="B1659" s="31"/>
      <c r="C1659" s="30"/>
      <c r="D1659" s="33"/>
      <c r="E1659" s="34"/>
      <c r="F1659" s="34"/>
      <c r="G1659" s="36"/>
      <c r="H1659" s="34"/>
      <c r="I1659" s="37"/>
    </row>
    <row r="1660" ht="22.5" customHeight="1">
      <c r="A1660" s="30"/>
      <c r="B1660" s="31"/>
      <c r="C1660" s="30"/>
      <c r="D1660" s="33"/>
      <c r="E1660" s="34"/>
      <c r="F1660" s="34"/>
      <c r="G1660" s="36"/>
      <c r="H1660" s="34"/>
      <c r="I1660" s="37"/>
    </row>
    <row r="1661" ht="22.5" customHeight="1">
      <c r="A1661" s="30"/>
      <c r="B1661" s="31"/>
      <c r="C1661" s="30"/>
      <c r="D1661" s="33"/>
      <c r="E1661" s="34"/>
      <c r="F1661" s="34"/>
      <c r="G1661" s="36"/>
      <c r="H1661" s="34"/>
      <c r="I1661" s="37"/>
    </row>
    <row r="1662" ht="22.5" customHeight="1">
      <c r="A1662" s="30"/>
      <c r="B1662" s="31"/>
      <c r="C1662" s="30"/>
      <c r="D1662" s="33"/>
      <c r="E1662" s="34"/>
      <c r="F1662" s="34"/>
      <c r="G1662" s="36"/>
      <c r="H1662" s="34"/>
      <c r="I1662" s="37"/>
    </row>
    <row r="1663" ht="22.5" customHeight="1">
      <c r="A1663" s="30"/>
      <c r="B1663" s="31"/>
      <c r="C1663" s="30"/>
      <c r="D1663" s="33"/>
      <c r="E1663" s="34"/>
      <c r="F1663" s="34"/>
      <c r="G1663" s="36"/>
      <c r="H1663" s="34"/>
      <c r="I1663" s="37"/>
    </row>
    <row r="1664" ht="22.5" customHeight="1">
      <c r="A1664" s="30"/>
      <c r="B1664" s="31"/>
      <c r="C1664" s="30"/>
      <c r="D1664" s="33"/>
      <c r="E1664" s="34"/>
      <c r="F1664" s="34"/>
      <c r="G1664" s="36"/>
      <c r="H1664" s="34"/>
      <c r="I1664" s="37"/>
    </row>
    <row r="1665" ht="22.5" customHeight="1">
      <c r="A1665" s="30"/>
      <c r="B1665" s="31"/>
      <c r="C1665" s="30"/>
      <c r="D1665" s="33"/>
      <c r="E1665" s="34"/>
      <c r="F1665" s="34"/>
      <c r="G1665" s="36"/>
      <c r="H1665" s="34"/>
      <c r="I1665" s="37"/>
    </row>
    <row r="1666" ht="22.5" customHeight="1">
      <c r="A1666" s="30"/>
      <c r="B1666" s="31"/>
      <c r="C1666" s="30"/>
      <c r="D1666" s="33"/>
      <c r="E1666" s="34"/>
      <c r="F1666" s="34"/>
      <c r="G1666" s="36"/>
      <c r="H1666" s="34"/>
      <c r="I1666" s="37"/>
    </row>
    <row r="1667" ht="22.5" customHeight="1">
      <c r="A1667" s="30"/>
      <c r="B1667" s="31"/>
      <c r="C1667" s="30"/>
      <c r="D1667" s="33"/>
      <c r="E1667" s="34"/>
      <c r="F1667" s="34"/>
      <c r="G1667" s="36"/>
      <c r="H1667" s="34"/>
      <c r="I1667" s="37"/>
    </row>
    <row r="1668" ht="22.5" customHeight="1">
      <c r="A1668" s="30"/>
      <c r="B1668" s="31"/>
      <c r="C1668" s="30"/>
      <c r="D1668" s="33"/>
      <c r="E1668" s="34"/>
      <c r="F1668" s="34"/>
      <c r="G1668" s="36"/>
      <c r="H1668" s="34"/>
      <c r="I1668" s="37"/>
    </row>
    <row r="1669" ht="22.5" customHeight="1">
      <c r="A1669" s="30"/>
      <c r="B1669" s="31"/>
      <c r="C1669" s="30"/>
      <c r="D1669" s="33"/>
      <c r="E1669" s="34"/>
      <c r="F1669" s="34"/>
      <c r="G1669" s="36"/>
      <c r="H1669" s="34"/>
      <c r="I1669" s="37"/>
    </row>
    <row r="1670" ht="22.5" customHeight="1">
      <c r="A1670" s="30"/>
      <c r="B1670" s="31"/>
      <c r="C1670" s="30"/>
      <c r="D1670" s="33"/>
      <c r="E1670" s="34"/>
      <c r="F1670" s="34"/>
      <c r="G1670" s="36"/>
      <c r="H1670" s="34"/>
      <c r="I1670" s="37"/>
    </row>
    <row r="1671" ht="22.5" customHeight="1">
      <c r="A1671" s="30"/>
      <c r="B1671" s="31"/>
      <c r="C1671" s="30"/>
      <c r="D1671" s="33"/>
      <c r="E1671" s="34"/>
      <c r="F1671" s="34"/>
      <c r="G1671" s="36"/>
      <c r="H1671" s="34"/>
      <c r="I1671" s="37"/>
    </row>
    <row r="1672" ht="22.5" customHeight="1">
      <c r="A1672" s="30"/>
      <c r="B1672" s="31"/>
      <c r="C1672" s="30"/>
      <c r="D1672" s="33"/>
      <c r="E1672" s="34"/>
      <c r="F1672" s="34"/>
      <c r="G1672" s="36"/>
      <c r="H1672" s="34"/>
      <c r="I1672" s="37"/>
    </row>
    <row r="1673" ht="22.5" customHeight="1">
      <c r="A1673" s="30"/>
      <c r="B1673" s="31"/>
      <c r="C1673" s="30"/>
      <c r="D1673" s="33"/>
      <c r="E1673" s="34"/>
      <c r="F1673" s="34"/>
      <c r="G1673" s="36"/>
      <c r="H1673" s="34"/>
      <c r="I1673" s="37"/>
    </row>
    <row r="1674" ht="22.5" customHeight="1">
      <c r="A1674" s="30"/>
      <c r="B1674" s="31"/>
      <c r="C1674" s="30"/>
      <c r="D1674" s="33"/>
      <c r="E1674" s="34"/>
      <c r="F1674" s="34"/>
      <c r="G1674" s="36"/>
      <c r="H1674" s="34"/>
      <c r="I1674" s="37"/>
    </row>
    <row r="1675" ht="22.5" customHeight="1">
      <c r="A1675" s="30"/>
      <c r="B1675" s="31"/>
      <c r="C1675" s="30"/>
      <c r="D1675" s="33"/>
      <c r="E1675" s="34"/>
      <c r="F1675" s="34"/>
      <c r="G1675" s="36"/>
      <c r="H1675" s="34"/>
      <c r="I1675" s="37"/>
    </row>
    <row r="1676" ht="22.5" customHeight="1">
      <c r="A1676" s="30"/>
      <c r="B1676" s="31"/>
      <c r="C1676" s="30"/>
      <c r="D1676" s="33"/>
      <c r="E1676" s="34"/>
      <c r="F1676" s="34"/>
      <c r="G1676" s="36"/>
      <c r="H1676" s="34"/>
      <c r="I1676" s="37"/>
    </row>
    <row r="1677" ht="22.5" customHeight="1">
      <c r="A1677" s="30"/>
      <c r="B1677" s="31"/>
      <c r="C1677" s="30"/>
      <c r="D1677" s="33"/>
      <c r="E1677" s="34"/>
      <c r="F1677" s="34"/>
      <c r="G1677" s="36"/>
      <c r="H1677" s="34"/>
      <c r="I1677" s="37"/>
    </row>
    <row r="1678" ht="22.5" customHeight="1">
      <c r="A1678" s="30"/>
      <c r="B1678" s="31"/>
      <c r="C1678" s="30"/>
      <c r="D1678" s="33"/>
      <c r="E1678" s="34"/>
      <c r="F1678" s="34"/>
      <c r="G1678" s="36"/>
      <c r="H1678" s="34"/>
      <c r="I1678" s="37"/>
    </row>
    <row r="1679" ht="22.5" customHeight="1">
      <c r="A1679" s="30"/>
      <c r="B1679" s="31"/>
      <c r="C1679" s="30"/>
      <c r="D1679" s="33"/>
      <c r="E1679" s="34"/>
      <c r="F1679" s="34"/>
      <c r="G1679" s="36"/>
      <c r="H1679" s="34"/>
      <c r="I1679" s="37"/>
    </row>
    <row r="1680" ht="22.5" customHeight="1">
      <c r="A1680" s="30"/>
      <c r="B1680" s="31"/>
      <c r="C1680" s="30"/>
      <c r="D1680" s="33"/>
      <c r="E1680" s="34"/>
      <c r="F1680" s="34"/>
      <c r="G1680" s="36"/>
      <c r="H1680" s="34"/>
      <c r="I1680" s="37"/>
    </row>
    <row r="1681" ht="22.5" customHeight="1">
      <c r="A1681" s="30"/>
      <c r="B1681" s="31"/>
      <c r="C1681" s="30"/>
      <c r="D1681" s="33"/>
      <c r="E1681" s="34"/>
      <c r="F1681" s="34"/>
      <c r="G1681" s="36"/>
      <c r="H1681" s="34"/>
      <c r="I1681" s="37"/>
    </row>
    <row r="1682" ht="22.5" customHeight="1">
      <c r="A1682" s="30"/>
      <c r="B1682" s="31"/>
      <c r="C1682" s="30"/>
      <c r="D1682" s="33"/>
      <c r="E1682" s="34"/>
      <c r="F1682" s="34"/>
      <c r="G1682" s="36"/>
      <c r="H1682" s="34"/>
      <c r="I1682" s="37"/>
    </row>
    <row r="1683" ht="22.5" customHeight="1">
      <c r="A1683" s="30"/>
      <c r="B1683" s="31"/>
      <c r="C1683" s="30"/>
      <c r="D1683" s="33"/>
      <c r="E1683" s="34"/>
      <c r="F1683" s="34"/>
      <c r="G1683" s="36"/>
      <c r="H1683" s="34"/>
      <c r="I1683" s="37"/>
    </row>
    <row r="1684" ht="22.5" customHeight="1">
      <c r="A1684" s="30"/>
      <c r="B1684" s="31"/>
      <c r="C1684" s="30"/>
      <c r="D1684" s="33"/>
      <c r="E1684" s="34"/>
      <c r="F1684" s="34"/>
      <c r="G1684" s="36"/>
      <c r="H1684" s="34"/>
      <c r="I1684" s="37"/>
    </row>
    <row r="1685" ht="22.5" customHeight="1">
      <c r="A1685" s="30"/>
      <c r="B1685" s="31"/>
      <c r="C1685" s="30"/>
      <c r="D1685" s="33"/>
      <c r="E1685" s="34"/>
      <c r="F1685" s="34"/>
      <c r="G1685" s="36"/>
      <c r="H1685" s="34"/>
      <c r="I1685" s="37"/>
    </row>
    <row r="1686" ht="22.5" customHeight="1">
      <c r="A1686" s="30"/>
      <c r="B1686" s="31"/>
      <c r="C1686" s="30"/>
      <c r="D1686" s="33"/>
      <c r="E1686" s="34"/>
      <c r="F1686" s="34"/>
      <c r="G1686" s="36"/>
      <c r="H1686" s="34"/>
      <c r="I1686" s="37"/>
    </row>
    <row r="1687" ht="22.5" customHeight="1">
      <c r="A1687" s="30"/>
      <c r="B1687" s="31"/>
      <c r="C1687" s="30"/>
      <c r="D1687" s="33"/>
      <c r="E1687" s="34"/>
      <c r="F1687" s="34"/>
      <c r="G1687" s="36"/>
      <c r="H1687" s="34"/>
      <c r="I1687" s="37"/>
    </row>
    <row r="1688" ht="22.5" customHeight="1">
      <c r="A1688" s="30"/>
      <c r="B1688" s="31"/>
      <c r="C1688" s="30"/>
      <c r="D1688" s="33"/>
      <c r="E1688" s="34"/>
      <c r="F1688" s="34"/>
      <c r="G1688" s="36"/>
      <c r="H1688" s="34"/>
      <c r="I1688" s="37"/>
    </row>
    <row r="1689" ht="22.5" customHeight="1">
      <c r="A1689" s="30"/>
      <c r="B1689" s="31"/>
      <c r="C1689" s="30"/>
      <c r="D1689" s="33"/>
      <c r="E1689" s="34"/>
      <c r="F1689" s="34"/>
      <c r="G1689" s="36"/>
      <c r="H1689" s="34"/>
      <c r="I1689" s="37"/>
    </row>
    <row r="1690" ht="22.5" customHeight="1">
      <c r="A1690" s="30"/>
      <c r="B1690" s="31"/>
      <c r="C1690" s="30"/>
      <c r="D1690" s="33"/>
      <c r="E1690" s="34"/>
      <c r="F1690" s="34"/>
      <c r="G1690" s="36"/>
      <c r="H1690" s="34"/>
      <c r="I1690" s="37"/>
    </row>
    <row r="1691" ht="22.5" customHeight="1">
      <c r="A1691" s="30"/>
      <c r="B1691" s="31"/>
      <c r="C1691" s="30"/>
      <c r="D1691" s="33"/>
      <c r="E1691" s="34"/>
      <c r="F1691" s="34"/>
      <c r="G1691" s="36"/>
      <c r="H1691" s="34"/>
      <c r="I1691" s="37"/>
    </row>
    <row r="1692" ht="22.5" customHeight="1">
      <c r="A1692" s="30"/>
      <c r="B1692" s="31"/>
      <c r="C1692" s="30"/>
      <c r="D1692" s="33"/>
      <c r="E1692" s="34"/>
      <c r="F1692" s="34"/>
      <c r="G1692" s="36"/>
      <c r="H1692" s="34"/>
      <c r="I1692" s="37"/>
    </row>
    <row r="1693" ht="22.5" customHeight="1">
      <c r="A1693" s="30"/>
      <c r="B1693" s="31"/>
      <c r="C1693" s="30"/>
      <c r="D1693" s="33"/>
      <c r="E1693" s="34"/>
      <c r="F1693" s="34"/>
      <c r="G1693" s="36"/>
      <c r="H1693" s="34"/>
      <c r="I1693" s="37"/>
    </row>
    <row r="1694" ht="22.5" customHeight="1">
      <c r="A1694" s="30"/>
      <c r="B1694" s="31"/>
      <c r="C1694" s="30"/>
      <c r="D1694" s="33"/>
      <c r="E1694" s="34"/>
      <c r="F1694" s="34"/>
      <c r="G1694" s="36"/>
      <c r="H1694" s="34"/>
      <c r="I1694" s="37"/>
    </row>
    <row r="1695" ht="22.5" customHeight="1">
      <c r="A1695" s="30"/>
      <c r="B1695" s="31"/>
      <c r="C1695" s="30"/>
      <c r="D1695" s="33"/>
      <c r="E1695" s="34"/>
      <c r="F1695" s="34"/>
      <c r="G1695" s="36"/>
      <c r="H1695" s="34"/>
      <c r="I1695" s="37"/>
    </row>
    <row r="1696" ht="22.5" customHeight="1">
      <c r="A1696" s="30"/>
      <c r="B1696" s="31"/>
      <c r="C1696" s="30"/>
      <c r="D1696" s="33"/>
      <c r="E1696" s="34"/>
      <c r="F1696" s="34"/>
      <c r="G1696" s="36"/>
      <c r="H1696" s="34"/>
      <c r="I1696" s="37"/>
    </row>
    <row r="1697" ht="22.5" customHeight="1">
      <c r="A1697" s="30"/>
      <c r="B1697" s="31"/>
      <c r="C1697" s="30"/>
      <c r="D1697" s="33"/>
      <c r="E1697" s="34"/>
      <c r="F1697" s="34"/>
      <c r="G1697" s="36"/>
      <c r="H1697" s="34"/>
      <c r="I1697" s="37"/>
    </row>
    <row r="1698" ht="22.5" customHeight="1">
      <c r="A1698" s="30"/>
      <c r="B1698" s="31"/>
      <c r="C1698" s="30"/>
      <c r="D1698" s="33"/>
      <c r="E1698" s="34"/>
      <c r="F1698" s="34"/>
      <c r="G1698" s="36"/>
      <c r="H1698" s="34"/>
      <c r="I1698" s="37"/>
    </row>
    <row r="1699" ht="22.5" customHeight="1">
      <c r="A1699" s="30"/>
      <c r="B1699" s="31"/>
      <c r="C1699" s="30"/>
      <c r="D1699" s="33"/>
      <c r="E1699" s="34"/>
      <c r="F1699" s="34"/>
      <c r="G1699" s="36"/>
      <c r="H1699" s="34"/>
      <c r="I1699" s="37"/>
    </row>
    <row r="1700" ht="22.5" customHeight="1">
      <c r="A1700" s="30"/>
      <c r="B1700" s="31"/>
      <c r="C1700" s="30"/>
      <c r="D1700" s="33"/>
      <c r="E1700" s="34"/>
      <c r="F1700" s="34"/>
      <c r="G1700" s="36"/>
      <c r="H1700" s="34"/>
      <c r="I1700" s="37"/>
    </row>
    <row r="1701" ht="22.5" customHeight="1">
      <c r="A1701" s="30"/>
      <c r="B1701" s="31"/>
      <c r="C1701" s="30"/>
      <c r="D1701" s="33"/>
      <c r="E1701" s="34"/>
      <c r="F1701" s="34"/>
      <c r="G1701" s="36"/>
      <c r="H1701" s="34"/>
      <c r="I1701" s="37"/>
    </row>
    <row r="1702" ht="22.5" customHeight="1">
      <c r="A1702" s="41"/>
      <c r="B1702" s="42"/>
      <c r="C1702" s="41"/>
      <c r="D1702" s="43"/>
      <c r="E1702" s="44"/>
      <c r="F1702" s="44"/>
      <c r="G1702" s="45"/>
      <c r="H1702" s="44"/>
      <c r="I1702" s="46"/>
    </row>
    <row r="1703" ht="22.5" customHeight="1">
      <c r="A1703" s="65"/>
      <c r="B1703" s="66"/>
      <c r="C1703" s="65"/>
      <c r="D1703" s="67"/>
      <c r="E1703" s="68"/>
      <c r="F1703" s="68"/>
      <c r="G1703" s="69"/>
      <c r="H1703" s="68"/>
      <c r="I1703" s="70"/>
    </row>
  </sheetData>
  <conditionalFormatting sqref="A5:I1702">
    <cfRule type="expression" dxfId="23" priority="1">
      <formula>$F5="BOLSA DE OXIGÊNIO"</formula>
    </cfRule>
  </conditionalFormatting>
  <conditionalFormatting sqref="A5:I1702">
    <cfRule type="expression" dxfId="17" priority="2">
      <formula>$F5="BOLSA DE SALV. ALTURA"</formula>
    </cfRule>
  </conditionalFormatting>
  <conditionalFormatting sqref="A5:I1702">
    <cfRule type="expression" dxfId="18" priority="3">
      <formula>$F5="BOLSA DE SALV ALTURA VERMELHA LACRADA"</formula>
    </cfRule>
  </conditionalFormatting>
  <conditionalFormatting sqref="A5:I1702">
    <cfRule type="expression" dxfId="19" priority="4">
      <formula>$F5="BOLSA DE SALV ALTURA CINZA LACRADA"</formula>
    </cfRule>
  </conditionalFormatting>
  <conditionalFormatting sqref="A5:I1702">
    <cfRule type="expression" dxfId="20" priority="5">
      <formula>$F5="BOX 06"</formula>
    </cfRule>
  </conditionalFormatting>
  <conditionalFormatting sqref="A5:I1702">
    <cfRule type="expression" dxfId="21" priority="6">
      <formula>$F5="BOX 07"</formula>
    </cfRule>
  </conditionalFormatting>
  <conditionalFormatting sqref="A5:I1702">
    <cfRule type="expression" dxfId="22" priority="7">
      <formula>$F5="BOX 08"</formula>
    </cfRule>
  </conditionalFormatting>
  <conditionalFormatting sqref="A5:I1624">
    <cfRule type="expression" dxfId="24" priority="8">
      <formula>$F5="BOX TRASEIRO"</formula>
    </cfRule>
  </conditionalFormatting>
  <conditionalFormatting sqref="A6:I77">
    <cfRule type="expression" dxfId="25" priority="9">
      <formula>$F6="BOLSA DE RESGATE"</formula>
    </cfRule>
  </conditionalFormatting>
  <conditionalFormatting sqref="A5:I1702">
    <cfRule type="expression" dxfId="6" priority="10">
      <formula>$F5="BOLSA SALV. ALTURA (MERET)"</formula>
    </cfRule>
  </conditionalFormatting>
  <conditionalFormatting sqref="A5:I1702">
    <cfRule type="expression" dxfId="7" priority="11">
      <formula>$F5="BOX 01"</formula>
    </cfRule>
  </conditionalFormatting>
  <conditionalFormatting sqref="A5:I1702">
    <cfRule type="expression" dxfId="8" priority="12">
      <formula>$F5="BOX 02"</formula>
    </cfRule>
  </conditionalFormatting>
  <conditionalFormatting sqref="A5:I1702">
    <cfRule type="expression" dxfId="9" priority="13">
      <formula>$F5="BOX 03"</formula>
    </cfRule>
  </conditionalFormatting>
  <conditionalFormatting sqref="A5:I1702">
    <cfRule type="expression" dxfId="10" priority="14">
      <formula>$F5="BOX 04"</formula>
    </cfRule>
  </conditionalFormatting>
  <conditionalFormatting sqref="A5:I1702">
    <cfRule type="expression" dxfId="11" priority="15">
      <formula>$F5="BOX 05"</formula>
    </cfRule>
  </conditionalFormatting>
  <conditionalFormatting sqref="A5:I1702">
    <cfRule type="expression" dxfId="12" priority="16">
      <formula>$F5="BOX CENTRAL"</formula>
    </cfRule>
  </conditionalFormatting>
  <conditionalFormatting sqref="A5:I1702">
    <cfRule type="expression" dxfId="13" priority="17">
      <formula>$F5="BOX SUPERIOR 01"</formula>
    </cfRule>
  </conditionalFormatting>
  <conditionalFormatting sqref="A5:I1702">
    <cfRule type="expression" dxfId="14" priority="18">
      <formula>$F5="CABINE"</formula>
    </cfRule>
  </conditionalFormatting>
  <conditionalFormatting sqref="A5:I1702">
    <cfRule type="expression" dxfId="15" priority="19">
      <formula>$F5="CARROCERIA"</formula>
    </cfRule>
  </conditionalFormatting>
  <conditionalFormatting sqref="A5:I1702">
    <cfRule type="expression" dxfId="16" priority="20">
      <formula>$F5="CAIXA DE FERRAMENTA"</formula>
    </cfRule>
  </conditionalFormatting>
  <dataValidations>
    <dataValidation type="list" allowBlank="1" sqref="B2">
      <formula1>'Cadastro Automático VTRSEÇÃOMIL'!$C$1:$C1703</formula1>
    </dataValidation>
    <dataValidation allowBlank="1" showDropDown="1" sqref="B5:B1703"/>
    <dataValidation type="list" allowBlank="1" sqref="B1">
      <formula1>'Cadastro Automático VTRSEÇÃOMIL'!$B$1:$B1703</formula1>
    </dataValidation>
  </dataValidations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1"/>
  <tableParts count="2">
    <tablePart r:id="rId4"/>
    <tablePart r:id="rId5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20.38"/>
    <col customWidth="1" min="2" max="2" width="50.13"/>
    <col customWidth="1" min="3" max="3" width="9.5"/>
    <col customWidth="1" min="4" max="4" width="14.0"/>
    <col customWidth="1" min="5" max="5" width="17.75"/>
    <col customWidth="1" min="6" max="6" width="30.5"/>
    <col customWidth="1" min="7" max="7" width="14.25"/>
    <col customWidth="1" min="8" max="8" width="31.25"/>
    <col customWidth="1" min="9" max="9" width="81.38"/>
  </cols>
  <sheetData>
    <row r="1" ht="21.0" customHeight="1">
      <c r="A1" s="1" t="s">
        <v>0</v>
      </c>
      <c r="B1" s="2" t="s">
        <v>17</v>
      </c>
      <c r="C1" s="3"/>
      <c r="D1" s="3"/>
      <c r="E1" s="3"/>
      <c r="F1" s="3"/>
      <c r="G1" s="4"/>
      <c r="H1" s="49"/>
      <c r="I1" s="5"/>
    </row>
    <row r="2" ht="17.25" customHeight="1">
      <c r="A2" s="1" t="s">
        <v>2</v>
      </c>
      <c r="B2" s="2"/>
      <c r="C2" s="3"/>
      <c r="D2" s="3"/>
      <c r="E2" s="3"/>
      <c r="F2" s="3"/>
      <c r="G2" s="4"/>
      <c r="H2" s="4"/>
      <c r="I2" s="5"/>
    </row>
    <row r="3" ht="30.0" customHeight="1">
      <c r="A3" s="3"/>
      <c r="B3" s="48"/>
      <c r="C3" s="3"/>
      <c r="D3" s="3"/>
      <c r="E3" s="3"/>
      <c r="F3" s="3"/>
      <c r="G3" s="4"/>
      <c r="H3" s="49"/>
      <c r="I3" s="8"/>
    </row>
    <row r="4" ht="37.5" customHeight="1">
      <c r="A4" s="9" t="s">
        <v>14</v>
      </c>
      <c r="B4" s="10" t="s">
        <v>4</v>
      </c>
      <c r="C4" s="11" t="s">
        <v>5</v>
      </c>
      <c r="D4" s="12" t="s">
        <v>6</v>
      </c>
      <c r="E4" s="12" t="s">
        <v>0</v>
      </c>
      <c r="F4" s="12" t="s">
        <v>7</v>
      </c>
      <c r="G4" s="11" t="s">
        <v>8</v>
      </c>
      <c r="H4" s="50" t="s">
        <v>9</v>
      </c>
      <c r="I4" s="13" t="s">
        <v>10</v>
      </c>
    </row>
    <row r="5" ht="22.5" customHeight="1">
      <c r="A5" s="22"/>
      <c r="B5" s="23"/>
      <c r="C5" s="24"/>
      <c r="D5" s="25"/>
      <c r="E5" s="26"/>
      <c r="F5" s="26"/>
      <c r="G5" s="27"/>
      <c r="H5" s="26"/>
      <c r="I5" s="29"/>
    </row>
    <row r="6" ht="25.5" customHeight="1">
      <c r="A6" s="30">
        <f>IFERROR(__xludf.DUMMYFUNCTION("IF(B2&lt;&gt;"""",FILTER('Planilhas compilada ordem alfab'!A2:I1703,'Planilhas compilada ordem alfab'!E2:E1703=B1,'Planilhas compilada ordem alfab'!F2:F1703=B2),FILTER('Planilhas compilada ordem alfab'!A2:I1703,'Planilhas compilada ordem alfab'!E2:E1703=B1))"),768.0)</f>
        <v>768</v>
      </c>
      <c r="B6" s="31" t="str">
        <f>IFERROR(__xludf.DUMMYFUNCTION("""COMPUTED_VALUE"""),"BOLSA DE RESGATE")</f>
        <v>BOLSA DE RESGATE</v>
      </c>
      <c r="C6" s="32">
        <f>IFERROR(__xludf.DUMMYFUNCTION("""COMPUTED_VALUE"""),1.0)</f>
        <v>1</v>
      </c>
      <c r="D6" s="33" t="str">
        <f>IFERROR(__xludf.DUMMYFUNCTION("""COMPUTED_VALUE"""),"VIATURA")</f>
        <v>VIATURA</v>
      </c>
      <c r="E6" s="34" t="str">
        <f>IFERROR(__xludf.DUMMYFUNCTION("""COMPUTED_VALUE"""),"1 - ASL1080")</f>
        <v>1 - ASL1080</v>
      </c>
      <c r="F6" s="34" t="str">
        <f>IFERROR(__xludf.DUMMYFUNCTION("""COMPUTED_VALUE"""),"BOLSA DE RESGATE")</f>
        <v>BOLSA DE RESGATE</v>
      </c>
      <c r="G6" s="35"/>
      <c r="H6" s="34"/>
      <c r="I6" s="37" t="str">
        <f>IFERROR(__xludf.DUMMYFUNCTION("""COMPUTED_VALUE"""),"BOLSA DE APH PRETA COM MATERIAIS DIVERSOS")</f>
        <v>BOLSA DE APH PRETA COM MATERIAIS DIVERSOS</v>
      </c>
    </row>
    <row r="7" ht="22.5" customHeight="1">
      <c r="A7" s="30">
        <f>IFERROR(__xludf.DUMMYFUNCTION("""COMPUTED_VALUE"""),203.0)</f>
        <v>203</v>
      </c>
      <c r="B7" s="31" t="str">
        <f>IFERROR(__xludf.DUMMYFUNCTION("""COMPUTED_VALUE"""),"ANEL DE FITA 120 CM")</f>
        <v>ANEL DE FITA 120 CM</v>
      </c>
      <c r="C7" s="32">
        <f>IFERROR(__xludf.DUMMYFUNCTION("""COMPUTED_VALUE"""),3.0)</f>
        <v>3</v>
      </c>
      <c r="D7" s="33" t="str">
        <f>IFERROR(__xludf.DUMMYFUNCTION("""COMPUTED_VALUE"""),"VIATURA")</f>
        <v>VIATURA</v>
      </c>
      <c r="E7" s="34" t="str">
        <f>IFERROR(__xludf.DUMMYFUNCTION("""COMPUTED_VALUE"""),"1 - ASL1080")</f>
        <v>1 - ASL1080</v>
      </c>
      <c r="F7" s="34" t="str">
        <f>IFERROR(__xludf.DUMMYFUNCTION("""COMPUTED_VALUE"""),"BOLSA DE SALV. ALTURA")</f>
        <v>BOLSA DE SALV. ALTURA</v>
      </c>
      <c r="G7" s="35"/>
      <c r="H7" s="34"/>
      <c r="I7" s="37"/>
    </row>
    <row r="8" ht="22.5" customHeight="1">
      <c r="A8" s="30">
        <f>IFERROR(__xludf.DUMMYFUNCTION("""COMPUTED_VALUE"""),205.0)</f>
        <v>205</v>
      </c>
      <c r="B8" s="31" t="str">
        <f>IFERROR(__xludf.DUMMYFUNCTION("""COMPUTED_VALUE"""),"ANEL DE FITA 60CM")</f>
        <v>ANEL DE FITA 60CM</v>
      </c>
      <c r="C8" s="32">
        <f>IFERROR(__xludf.DUMMYFUNCTION("""COMPUTED_VALUE"""),3.0)</f>
        <v>3</v>
      </c>
      <c r="D8" s="33" t="str">
        <f>IFERROR(__xludf.DUMMYFUNCTION("""COMPUTED_VALUE"""),"VIATURA")</f>
        <v>VIATURA</v>
      </c>
      <c r="E8" s="34" t="str">
        <f>IFERROR(__xludf.DUMMYFUNCTION("""COMPUTED_VALUE"""),"1 - ASL1080")</f>
        <v>1 - ASL1080</v>
      </c>
      <c r="F8" s="34" t="str">
        <f>IFERROR(__xludf.DUMMYFUNCTION("""COMPUTED_VALUE"""),"BOLSA DE SALV. ALTURA")</f>
        <v>BOLSA DE SALV. ALTURA</v>
      </c>
      <c r="G8" s="35"/>
      <c r="H8" s="34"/>
      <c r="I8" s="38"/>
    </row>
    <row r="9" ht="22.5" customHeight="1">
      <c r="A9" s="30">
        <f>IFERROR(__xludf.DUMMYFUNCTION("""COMPUTED_VALUE"""),204.0)</f>
        <v>204</v>
      </c>
      <c r="B9" s="39" t="str">
        <f>IFERROR(__xludf.DUMMYFUNCTION("""COMPUTED_VALUE"""),"ANEL DE FITA 80CM")</f>
        <v>ANEL DE FITA 80CM</v>
      </c>
      <c r="C9" s="32">
        <f>IFERROR(__xludf.DUMMYFUNCTION("""COMPUTED_VALUE"""),3.0)</f>
        <v>3</v>
      </c>
      <c r="D9" s="33" t="str">
        <f>IFERROR(__xludf.DUMMYFUNCTION("""COMPUTED_VALUE"""),"VIATURA")</f>
        <v>VIATURA</v>
      </c>
      <c r="E9" s="34" t="str">
        <f>IFERROR(__xludf.DUMMYFUNCTION("""COMPUTED_VALUE"""),"1 - ASL1080")</f>
        <v>1 - ASL1080</v>
      </c>
      <c r="F9" s="34" t="str">
        <f>IFERROR(__xludf.DUMMYFUNCTION("""COMPUTED_VALUE"""),"BOLSA DE SALV. ALTURA")</f>
        <v>BOLSA DE SALV. ALTURA</v>
      </c>
      <c r="G9" s="35"/>
      <c r="H9" s="34"/>
      <c r="I9" s="37"/>
    </row>
    <row r="10" ht="22.5" customHeight="1">
      <c r="A10" s="30">
        <f>IFERROR(__xludf.DUMMYFUNCTION("""COMPUTED_VALUE"""),240.0)</f>
        <v>240</v>
      </c>
      <c r="B10" s="31" t="str">
        <f>IFERROR(__xludf.DUMMYFUNCTION("""COMPUTED_VALUE"""),"ASCENSOR (PAR)")</f>
        <v>ASCENSOR (PAR)</v>
      </c>
      <c r="C10" s="32">
        <f>IFERROR(__xludf.DUMMYFUNCTION("""COMPUTED_VALUE"""),1.0)</f>
        <v>1</v>
      </c>
      <c r="D10" s="33" t="str">
        <f>IFERROR(__xludf.DUMMYFUNCTION("""COMPUTED_VALUE"""),"VIATURA")</f>
        <v>VIATURA</v>
      </c>
      <c r="E10" s="34" t="str">
        <f>IFERROR(__xludf.DUMMYFUNCTION("""COMPUTED_VALUE"""),"1 - ASL1080")</f>
        <v>1 - ASL1080</v>
      </c>
      <c r="F10" s="34" t="str">
        <f>IFERROR(__xludf.DUMMYFUNCTION("""COMPUTED_VALUE"""),"BOLSA DE SALV. ALTURA")</f>
        <v>BOLSA DE SALV. ALTURA</v>
      </c>
      <c r="G10" s="35"/>
      <c r="H10" s="34"/>
      <c r="I10" s="37"/>
    </row>
    <row r="11" ht="22.5" customHeight="1">
      <c r="A11" s="30">
        <f>IFERROR(__xludf.DUMMYFUNCTION("""COMPUTED_VALUE"""),219.0)</f>
        <v>219</v>
      </c>
      <c r="B11" s="31" t="str">
        <f>IFERROR(__xludf.DUMMYFUNCTION("""COMPUTED_VALUE"""),"CABO SOLTEIRO")</f>
        <v>CABO SOLTEIRO</v>
      </c>
      <c r="C11" s="32">
        <f>IFERROR(__xludf.DUMMYFUNCTION("""COMPUTED_VALUE"""),3.0)</f>
        <v>3</v>
      </c>
      <c r="D11" s="33" t="str">
        <f>IFERROR(__xludf.DUMMYFUNCTION("""COMPUTED_VALUE"""),"VIATURA")</f>
        <v>VIATURA</v>
      </c>
      <c r="E11" s="34" t="str">
        <f>IFERROR(__xludf.DUMMYFUNCTION("""COMPUTED_VALUE"""),"1 - ASL1080")</f>
        <v>1 - ASL1080</v>
      </c>
      <c r="F11" s="34" t="str">
        <f>IFERROR(__xludf.DUMMYFUNCTION("""COMPUTED_VALUE"""),"BOLSA DE SALV. ALTURA")</f>
        <v>BOLSA DE SALV. ALTURA</v>
      </c>
      <c r="G11" s="35"/>
      <c r="H11" s="34"/>
      <c r="I11" s="37"/>
    </row>
    <row r="12" ht="22.5" customHeight="1">
      <c r="A12" s="30">
        <f>IFERROR(__xludf.DUMMYFUNCTION("""COMPUTED_VALUE"""),202.0)</f>
        <v>202</v>
      </c>
      <c r="B12" s="31" t="str">
        <f>IFERROR(__xludf.DUMMYFUNCTION("""COMPUTED_VALUE"""),"CINTO SEGURANÇA - TIPO: PARAQUEDISTA C/ MOSQUETÃO")</f>
        <v>CINTO SEGURANÇA - TIPO: PARAQUEDISTA C/ MOSQUETÃO</v>
      </c>
      <c r="C12" s="32">
        <f>IFERROR(__xludf.DUMMYFUNCTION("""COMPUTED_VALUE"""),2.0)</f>
        <v>2</v>
      </c>
      <c r="D12" s="33" t="str">
        <f>IFERROR(__xludf.DUMMYFUNCTION("""COMPUTED_VALUE"""),"VIATURA")</f>
        <v>VIATURA</v>
      </c>
      <c r="E12" s="34" t="str">
        <f>IFERROR(__xludf.DUMMYFUNCTION("""COMPUTED_VALUE"""),"1 - ASL1080")</f>
        <v>1 - ASL1080</v>
      </c>
      <c r="F12" s="34" t="str">
        <f>IFERROR(__xludf.DUMMYFUNCTION("""COMPUTED_VALUE"""),"BOLSA DE SALV. ALTURA")</f>
        <v>BOLSA DE SALV. ALTURA</v>
      </c>
      <c r="G12" s="35"/>
      <c r="H12" s="34"/>
      <c r="I12" s="37" t="str">
        <f>IFERROR(__xludf.DUMMYFUNCTION("""COMPUTED_VALUE"""),"baudriers Ultra Safe com um mosquetão de aço oval cada")</f>
        <v>baudriers Ultra Safe com um mosquetão de aço oval cada</v>
      </c>
    </row>
    <row r="13" ht="22.5" customHeight="1">
      <c r="A13" s="30">
        <f>IFERROR(__xludf.DUMMYFUNCTION("""COMPUTED_VALUE"""),218.0)</f>
        <v>218</v>
      </c>
      <c r="B13" s="39" t="str">
        <f>IFERROR(__xludf.DUMMYFUNCTION("""COMPUTED_VALUE"""),"CORDA PARA SALVAMENTO EM ALTURA - 30M")</f>
        <v>CORDA PARA SALVAMENTO EM ALTURA - 30M</v>
      </c>
      <c r="C13" s="32">
        <f>IFERROR(__xludf.DUMMYFUNCTION("""COMPUTED_VALUE"""),1.0)</f>
        <v>1</v>
      </c>
      <c r="D13" s="33" t="str">
        <f>IFERROR(__xludf.DUMMYFUNCTION("""COMPUTED_VALUE"""),"VIATURA")</f>
        <v>VIATURA</v>
      </c>
      <c r="E13" s="34" t="str">
        <f>IFERROR(__xludf.DUMMYFUNCTION("""COMPUTED_VALUE"""),"1 - ASL1080")</f>
        <v>1 - ASL1080</v>
      </c>
      <c r="F13" s="34" t="str">
        <f>IFERROR(__xludf.DUMMYFUNCTION("""COMPUTED_VALUE"""),"BOLSA DE SALV. ALTURA")</f>
        <v>BOLSA DE SALV. ALTURA</v>
      </c>
      <c r="G13" s="35"/>
      <c r="H13" s="34"/>
      <c r="I13" s="37" t="str">
        <f>IFERROR(__xludf.DUMMYFUNCTION("""COMPUTED_VALUE"""),"Corda para Salvamento em Altura (preta/branca).")</f>
        <v>Corda para Salvamento em Altura (preta/branca).</v>
      </c>
    </row>
    <row r="14" ht="22.5" customHeight="1">
      <c r="A14" s="30">
        <f>IFERROR(__xludf.DUMMYFUNCTION("""COMPUTED_VALUE"""),217.0)</f>
        <v>217</v>
      </c>
      <c r="B14" s="31" t="str">
        <f>IFERROR(__xludf.DUMMYFUNCTION("""COMPUTED_VALUE"""),"CORDA PARA SALVAMENTO EM ALTURA - 50M")</f>
        <v>CORDA PARA SALVAMENTO EM ALTURA - 50M</v>
      </c>
      <c r="C14" s="32">
        <f>IFERROR(__xludf.DUMMYFUNCTION("""COMPUTED_VALUE"""),1.0)</f>
        <v>1</v>
      </c>
      <c r="D14" s="33" t="str">
        <f>IFERROR(__xludf.DUMMYFUNCTION("""COMPUTED_VALUE"""),"VIATURA")</f>
        <v>VIATURA</v>
      </c>
      <c r="E14" s="34" t="str">
        <f>IFERROR(__xludf.DUMMYFUNCTION("""COMPUTED_VALUE"""),"1 - ASL1080")</f>
        <v>1 - ASL1080</v>
      </c>
      <c r="F14" s="34" t="str">
        <f>IFERROR(__xludf.DUMMYFUNCTION("""COMPUTED_VALUE"""),"BOLSA DE SALV. ALTURA")</f>
        <v>BOLSA DE SALV. ALTURA</v>
      </c>
      <c r="G14" s="35"/>
      <c r="H14" s="34"/>
      <c r="I14" s="37" t="str">
        <f>IFERROR(__xludf.DUMMYFUNCTION("""COMPUTED_VALUE"""),"placa de multiancoragem vermelha marca Rock Exotica tipo Bolt")</f>
        <v>placa de multiancoragem vermelha marca Rock Exotica tipo Bolt</v>
      </c>
    </row>
    <row r="15" ht="22.5" customHeight="1">
      <c r="A15" s="30">
        <f>IFERROR(__xludf.DUMMYFUNCTION("""COMPUTED_VALUE"""),212.0)</f>
        <v>212</v>
      </c>
      <c r="B15" s="39" t="str">
        <f>IFERROR(__xludf.DUMMYFUNCTION("""COMPUTED_VALUE"""),"DESCENSOR AUTOBLOCANTE (RIG)")</f>
        <v>DESCENSOR AUTOBLOCANTE (RIG)</v>
      </c>
      <c r="C15" s="32">
        <f>IFERROR(__xludf.DUMMYFUNCTION("""COMPUTED_VALUE"""),2.0)</f>
        <v>2</v>
      </c>
      <c r="D15" s="33" t="str">
        <f>IFERROR(__xludf.DUMMYFUNCTION("""COMPUTED_VALUE"""),"VIATURA")</f>
        <v>VIATURA</v>
      </c>
      <c r="E15" s="34" t="str">
        <f>IFERROR(__xludf.DUMMYFUNCTION("""COMPUTED_VALUE"""),"1 - ASL1080")</f>
        <v>1 - ASL1080</v>
      </c>
      <c r="F15" s="34" t="str">
        <f>IFERROR(__xludf.DUMMYFUNCTION("""COMPUTED_VALUE"""),"BOLSA DE SALV. ALTURA")</f>
        <v>BOLSA DE SALV. ALTURA</v>
      </c>
      <c r="G15" s="35"/>
      <c r="H15" s="34"/>
      <c r="I15" s="37" t="str">
        <f>IFERROR(__xludf.DUMMYFUNCTION("""COMPUTED_VALUE"""),"RIG - Descensor Autoblocante, para cordas de 10 a 11,5 mm, marca Petzl.")</f>
        <v>RIG - Descensor Autoblocante, para cordas de 10 a 11,5 mm, marca Petzl.</v>
      </c>
    </row>
    <row r="16" ht="22.5" customHeight="1">
      <c r="A16" s="30">
        <f>IFERROR(__xludf.DUMMYFUNCTION("""COMPUTED_VALUE"""),241.0)</f>
        <v>241</v>
      </c>
      <c r="B16" s="31" t="str">
        <f>IFERROR(__xludf.DUMMYFUNCTION("""COMPUTED_VALUE"""),"DESCENSOR INDUSTRIAL (ID)")</f>
        <v>DESCENSOR INDUSTRIAL (ID)</v>
      </c>
      <c r="C16" s="32">
        <f>IFERROR(__xludf.DUMMYFUNCTION("""COMPUTED_VALUE"""),1.0)</f>
        <v>1</v>
      </c>
      <c r="D16" s="33" t="str">
        <f>IFERROR(__xludf.DUMMYFUNCTION("""COMPUTED_VALUE"""),"VIATURA")</f>
        <v>VIATURA</v>
      </c>
      <c r="E16" s="34" t="str">
        <f>IFERROR(__xludf.DUMMYFUNCTION("""COMPUTED_VALUE"""),"1 - ASL1080")</f>
        <v>1 - ASL1080</v>
      </c>
      <c r="F16" s="34" t="str">
        <f>IFERROR(__xludf.DUMMYFUNCTION("""COMPUTED_VALUE"""),"BOLSA DE SALV. ALTURA")</f>
        <v>BOLSA DE SALV. ALTURA</v>
      </c>
      <c r="G16" s="35"/>
      <c r="H16" s="34"/>
      <c r="I16" s="37" t="str">
        <f>IFERROR(__xludf.DUMMYFUNCTION("""COMPUTED_VALUE"""),"RIG ID")</f>
        <v>RIG ID</v>
      </c>
    </row>
    <row r="17" ht="22.5" customHeight="1">
      <c r="A17" s="30">
        <f>IFERROR(__xludf.DUMMYFUNCTION("""COMPUTED_VALUE"""),206.0)</f>
        <v>206</v>
      </c>
      <c r="B17" s="31" t="str">
        <f>IFERROR(__xludf.DUMMYFUNCTION("""COMPUTED_VALUE"""),"FREIO OITO -")</f>
        <v>FREIO OITO -</v>
      </c>
      <c r="C17" s="32">
        <f>IFERROR(__xludf.DUMMYFUNCTION("""COMPUTED_VALUE"""),4.0)</f>
        <v>4</v>
      </c>
      <c r="D17" s="33" t="str">
        <f>IFERROR(__xludf.DUMMYFUNCTION("""COMPUTED_VALUE"""),"VIATURA")</f>
        <v>VIATURA</v>
      </c>
      <c r="E17" s="34" t="str">
        <f>IFERROR(__xludf.DUMMYFUNCTION("""COMPUTED_VALUE"""),"1 - ASL1080")</f>
        <v>1 - ASL1080</v>
      </c>
      <c r="F17" s="34" t="str">
        <f>IFERROR(__xludf.DUMMYFUNCTION("""COMPUTED_VALUE"""),"BOLSA DE SALV. ALTURA")</f>
        <v>BOLSA DE SALV. ALTURA</v>
      </c>
      <c r="G17" s="35"/>
      <c r="H17" s="34"/>
      <c r="I17" s="37"/>
    </row>
    <row r="18" ht="22.5" customHeight="1">
      <c r="A18" s="30">
        <f>IFERROR(__xludf.DUMMYFUNCTION("""COMPUTED_VALUE"""),207.0)</f>
        <v>207</v>
      </c>
      <c r="B18" s="31" t="str">
        <f>IFERROR(__xludf.DUMMYFUNCTION("""COMPUTED_VALUE"""),"FREIO OITO DE RESGATE")</f>
        <v>FREIO OITO DE RESGATE</v>
      </c>
      <c r="C18" s="32">
        <f>IFERROR(__xludf.DUMMYFUNCTION("""COMPUTED_VALUE"""),2.0)</f>
        <v>2</v>
      </c>
      <c r="D18" s="33" t="str">
        <f>IFERROR(__xludf.DUMMYFUNCTION("""COMPUTED_VALUE"""),"VIATURA")</f>
        <v>VIATURA</v>
      </c>
      <c r="E18" s="34" t="str">
        <f>IFERROR(__xludf.DUMMYFUNCTION("""COMPUTED_VALUE"""),"1 - ASL1080")</f>
        <v>1 - ASL1080</v>
      </c>
      <c r="F18" s="34" t="str">
        <f>IFERROR(__xludf.DUMMYFUNCTION("""COMPUTED_VALUE"""),"BOLSA DE SALV. ALTURA")</f>
        <v>BOLSA DE SALV. ALTURA</v>
      </c>
      <c r="G18" s="35"/>
      <c r="H18" s="34"/>
      <c r="I18" s="37"/>
    </row>
    <row r="19" ht="22.5" customHeight="1">
      <c r="A19" s="30">
        <f>IFERROR(__xludf.DUMMYFUNCTION("""COMPUTED_VALUE"""),211.0)</f>
        <v>211</v>
      </c>
      <c r="B19" s="31" t="str">
        <f>IFERROR(__xludf.DUMMYFUNCTION("""COMPUTED_VALUE"""),"MOSQUETÃO DE AÇO")</f>
        <v>MOSQUETÃO DE AÇO</v>
      </c>
      <c r="C19" s="32">
        <f>IFERROR(__xludf.DUMMYFUNCTION("""COMPUTED_VALUE"""),2.0)</f>
        <v>2</v>
      </c>
      <c r="D19" s="33" t="str">
        <f>IFERROR(__xludf.DUMMYFUNCTION("""COMPUTED_VALUE"""),"VIATURA")</f>
        <v>VIATURA</v>
      </c>
      <c r="E19" s="34" t="str">
        <f>IFERROR(__xludf.DUMMYFUNCTION("""COMPUTED_VALUE"""),"1 - ASL1080")</f>
        <v>1 - ASL1080</v>
      </c>
      <c r="F19" s="34" t="str">
        <f>IFERROR(__xludf.DUMMYFUNCTION("""COMPUTED_VALUE"""),"BOLSA DE SALV. ALTURA")</f>
        <v>BOLSA DE SALV. ALTURA</v>
      </c>
      <c r="G19" s="35"/>
      <c r="H19" s="34"/>
      <c r="I19" s="37"/>
    </row>
    <row r="20" ht="22.5" customHeight="1">
      <c r="A20" s="30">
        <f>IFERROR(__xludf.DUMMYFUNCTION("""COMPUTED_VALUE"""),208.0)</f>
        <v>208</v>
      </c>
      <c r="B20" s="31" t="str">
        <f>IFERROR(__xludf.DUMMYFUNCTION("""COMPUTED_VALUE"""),"MOSQUETÃO DE ALUMÍNIO")</f>
        <v>MOSQUETÃO DE ALUMÍNIO</v>
      </c>
      <c r="C20" s="32">
        <f>IFERROR(__xludf.DUMMYFUNCTION("""COMPUTED_VALUE"""),6.0)</f>
        <v>6</v>
      </c>
      <c r="D20" s="33" t="str">
        <f>IFERROR(__xludf.DUMMYFUNCTION("""COMPUTED_VALUE"""),"VIATURA")</f>
        <v>VIATURA</v>
      </c>
      <c r="E20" s="34" t="str">
        <f>IFERROR(__xludf.DUMMYFUNCTION("""COMPUTED_VALUE"""),"1 - ASL1080")</f>
        <v>1 - ASL1080</v>
      </c>
      <c r="F20" s="34" t="str">
        <f>IFERROR(__xludf.DUMMYFUNCTION("""COMPUTED_VALUE"""),"BOLSA DE SALV. ALTURA")</f>
        <v>BOLSA DE SALV. ALTURA</v>
      </c>
      <c r="G20" s="35"/>
      <c r="H20" s="34"/>
      <c r="I20" s="37" t="str">
        <f>IFERROR(__xludf.DUMMYFUNCTION("""COMPUTED_VALUE"""),"mosquetões de alumínio de trava automática marca Rock Exotica")</f>
        <v>mosquetões de alumínio de trava automática marca Rock Exotica</v>
      </c>
    </row>
    <row r="21" ht="22.5" customHeight="1">
      <c r="A21" s="30">
        <f>IFERROR(__xludf.DUMMYFUNCTION("""COMPUTED_VALUE"""),209.0)</f>
        <v>209</v>
      </c>
      <c r="B21" s="31" t="str">
        <f>IFERROR(__xludf.DUMMYFUNCTION("""COMPUTED_VALUE"""),"MOSQUETÃO DE ALUMÍNIO")</f>
        <v>MOSQUETÃO DE ALUMÍNIO</v>
      </c>
      <c r="C21" s="32">
        <f>IFERROR(__xludf.DUMMYFUNCTION("""COMPUTED_VALUE"""),2.0)</f>
        <v>2</v>
      </c>
      <c r="D21" s="33" t="str">
        <f>IFERROR(__xludf.DUMMYFUNCTION("""COMPUTED_VALUE"""),"VIATURA")</f>
        <v>VIATURA</v>
      </c>
      <c r="E21" s="34" t="str">
        <f>IFERROR(__xludf.DUMMYFUNCTION("""COMPUTED_VALUE"""),"1 - ASL1080")</f>
        <v>1 - ASL1080</v>
      </c>
      <c r="F21" s="34" t="str">
        <f>IFERROR(__xludf.DUMMYFUNCTION("""COMPUTED_VALUE"""),"BOLSA DE SALV. ALTURA")</f>
        <v>BOLSA DE SALV. ALTURA</v>
      </c>
      <c r="G21" s="35"/>
      <c r="H21" s="34"/>
      <c r="I21" s="37" t="str">
        <f>IFERROR(__xludf.DUMMYFUNCTION("""COMPUTED_VALUE"""),"mosquetões de alumínio de trava automática marca William")</f>
        <v>mosquetões de alumínio de trava automática marca William</v>
      </c>
    </row>
    <row r="22" ht="22.5" customHeight="1">
      <c r="A22" s="30">
        <f>IFERROR(__xludf.DUMMYFUNCTION("""COMPUTED_VALUE"""),210.0)</f>
        <v>210</v>
      </c>
      <c r="B22" s="31" t="str">
        <f>IFERROR(__xludf.DUMMYFUNCTION("""COMPUTED_VALUE"""),"MOSQUETAO DE ALUMINIO OVAL")</f>
        <v>MOSQUETAO DE ALUMINIO OVAL</v>
      </c>
      <c r="C22" s="32">
        <f>IFERROR(__xludf.DUMMYFUNCTION("""COMPUTED_VALUE"""),3.0)</f>
        <v>3</v>
      </c>
      <c r="D22" s="33" t="str">
        <f>IFERROR(__xludf.DUMMYFUNCTION("""COMPUTED_VALUE"""),"VIATURA")</f>
        <v>VIATURA</v>
      </c>
      <c r="E22" s="34" t="str">
        <f>IFERROR(__xludf.DUMMYFUNCTION("""COMPUTED_VALUE"""),"1 - ASL1080")</f>
        <v>1 - ASL1080</v>
      </c>
      <c r="F22" s="34" t="str">
        <f>IFERROR(__xludf.DUMMYFUNCTION("""COMPUTED_VALUE"""),"BOLSA DE SALV. ALTURA")</f>
        <v>BOLSA DE SALV. ALTURA</v>
      </c>
      <c r="G22" s="35"/>
      <c r="H22" s="34"/>
      <c r="I22" s="37"/>
    </row>
    <row r="23" ht="22.5" customHeight="1">
      <c r="A23" s="30">
        <f>IFERROR(__xludf.DUMMYFUNCTION("""COMPUTED_VALUE"""),215.0)</f>
        <v>215</v>
      </c>
      <c r="B23" s="31" t="str">
        <f>IFERROR(__xludf.DUMMYFUNCTION("""COMPUTED_VALUE"""),"PASSADOR DE CORDAS SEGMENTADO")</f>
        <v>PASSADOR DE CORDAS SEGMENTADO</v>
      </c>
      <c r="C23" s="32">
        <f>IFERROR(__xludf.DUMMYFUNCTION("""COMPUTED_VALUE"""),1.0)</f>
        <v>1</v>
      </c>
      <c r="D23" s="33" t="str">
        <f>IFERROR(__xludf.DUMMYFUNCTION("""COMPUTED_VALUE"""),"VIATURA")</f>
        <v>VIATURA</v>
      </c>
      <c r="E23" s="34" t="str">
        <f>IFERROR(__xludf.DUMMYFUNCTION("""COMPUTED_VALUE"""),"1 - ASL1080")</f>
        <v>1 - ASL1080</v>
      </c>
      <c r="F23" s="34" t="str">
        <f>IFERROR(__xludf.DUMMYFUNCTION("""COMPUTED_VALUE"""),"BOLSA DE SALV. ALTURA")</f>
        <v>BOLSA DE SALV. ALTURA</v>
      </c>
      <c r="G23" s="35"/>
      <c r="H23" s="34"/>
      <c r="I23" s="37" t="str">
        <f>IFERROR(__xludf.DUMMYFUNCTION("""COMPUTED_VALUE"""),"passador de cordas segmentado contendo 04 placas")</f>
        <v>passador de cordas segmentado contendo 04 placas</v>
      </c>
    </row>
    <row r="24" ht="22.5" customHeight="1">
      <c r="A24" s="30">
        <f>IFERROR(__xludf.DUMMYFUNCTION("""COMPUTED_VALUE"""),216.0)</f>
        <v>216</v>
      </c>
      <c r="B24" s="31" t="str">
        <f>IFERROR(__xludf.DUMMYFUNCTION("""COMPUTED_VALUE"""),"PLACA MULTI ANCORAGEM ")</f>
        <v>PLACA MULTI ANCORAGEM </v>
      </c>
      <c r="C24" s="32">
        <f>IFERROR(__xludf.DUMMYFUNCTION("""COMPUTED_VALUE"""),1.0)</f>
        <v>1</v>
      </c>
      <c r="D24" s="33" t="str">
        <f>IFERROR(__xludf.DUMMYFUNCTION("""COMPUTED_VALUE"""),"VIATURA")</f>
        <v>VIATURA</v>
      </c>
      <c r="E24" s="34" t="str">
        <f>IFERROR(__xludf.DUMMYFUNCTION("""COMPUTED_VALUE"""),"1 - ASL1080")</f>
        <v>1 - ASL1080</v>
      </c>
      <c r="F24" s="34" t="str">
        <f>IFERROR(__xludf.DUMMYFUNCTION("""COMPUTED_VALUE"""),"BOLSA DE SALV. ALTURA")</f>
        <v>BOLSA DE SALV. ALTURA</v>
      </c>
      <c r="G24" s="35"/>
      <c r="H24" s="34"/>
      <c r="I24" s="37" t="str">
        <f>IFERROR(__xludf.DUMMYFUNCTION("""COMPUTED_VALUE"""),"Marca: Rock exótica tipo Bolt")</f>
        <v>Marca: Rock exótica tipo Bolt</v>
      </c>
    </row>
    <row r="25" ht="22.5" customHeight="1">
      <c r="A25" s="30">
        <f>IFERROR(__xludf.DUMMYFUNCTION("""COMPUTED_VALUE"""),214.0)</f>
        <v>214</v>
      </c>
      <c r="B25" s="31" t="str">
        <f>IFERROR(__xludf.DUMMYFUNCTION("""COMPUTED_VALUE"""),"POLIA DUPLA 40 KN (AZUL)")</f>
        <v>POLIA DUPLA 40 KN (AZUL)</v>
      </c>
      <c r="C25" s="32">
        <f>IFERROR(__xludf.DUMMYFUNCTION("""COMPUTED_VALUE"""),2.0)</f>
        <v>2</v>
      </c>
      <c r="D25" s="33" t="str">
        <f>IFERROR(__xludf.DUMMYFUNCTION("""COMPUTED_VALUE"""),"VIATURA")</f>
        <v>VIATURA</v>
      </c>
      <c r="E25" s="34" t="str">
        <f>IFERROR(__xludf.DUMMYFUNCTION("""COMPUTED_VALUE"""),"1 - ASL1080")</f>
        <v>1 - ASL1080</v>
      </c>
      <c r="F25" s="34" t="str">
        <f>IFERROR(__xludf.DUMMYFUNCTION("""COMPUTED_VALUE"""),"BOLSA DE SALV. ALTURA")</f>
        <v>BOLSA DE SALV. ALTURA</v>
      </c>
      <c r="G25" s="35"/>
      <c r="H25" s="34"/>
      <c r="I25" s="37" t="str">
        <f>IFERROR(__xludf.DUMMYFUNCTION("""COMPUTED_VALUE"""),"polias duplas cor preta marca Rock Exotica 40Kn")</f>
        <v>polias duplas cor preta marca Rock Exotica 40Kn</v>
      </c>
    </row>
    <row r="26" ht="22.5" customHeight="1">
      <c r="A26" s="30">
        <f>IFERROR(__xludf.DUMMYFUNCTION("""COMPUTED_VALUE"""),213.0)</f>
        <v>213</v>
      </c>
      <c r="B26" s="40" t="str">
        <f>IFERROR(__xludf.DUMMYFUNCTION("""COMPUTED_VALUE"""),"POLIA SIMPLES 36 KN ")</f>
        <v>POLIA SIMPLES 36 KN </v>
      </c>
      <c r="C26" s="32">
        <f>IFERROR(__xludf.DUMMYFUNCTION("""COMPUTED_VALUE"""),2.0)</f>
        <v>2</v>
      </c>
      <c r="D26" s="33" t="str">
        <f>IFERROR(__xludf.DUMMYFUNCTION("""COMPUTED_VALUE"""),"VIATURA")</f>
        <v>VIATURA</v>
      </c>
      <c r="E26" s="34" t="str">
        <f>IFERROR(__xludf.DUMMYFUNCTION("""COMPUTED_VALUE"""),"1 - ASL1080")</f>
        <v>1 - ASL1080</v>
      </c>
      <c r="F26" s="34" t="str">
        <f>IFERROR(__xludf.DUMMYFUNCTION("""COMPUTED_VALUE"""),"BOLSA DE SALV. ALTURA")</f>
        <v>BOLSA DE SALV. ALTURA</v>
      </c>
      <c r="G26" s="35"/>
      <c r="H26" s="34"/>
      <c r="I26" s="37" t="str">
        <f>IFERROR(__xludf.DUMMYFUNCTION("""COMPUTED_VALUE"""),"polias simples cor preta marca Rock Exotica 36Kn")</f>
        <v>polias simples cor preta marca Rock Exotica 36Kn</v>
      </c>
    </row>
    <row r="27" ht="22.5" customHeight="1">
      <c r="A27" s="30">
        <f>IFERROR(__xludf.DUMMYFUNCTION("""COMPUTED_VALUE"""),238.0)</f>
        <v>238</v>
      </c>
      <c r="B27" s="31" t="str">
        <f>IFERROR(__xludf.DUMMYFUNCTION("""COMPUTED_VALUE"""),"GANCHO PARA CAPTURA DE SERPENTES -")</f>
        <v>GANCHO PARA CAPTURA DE SERPENTES -</v>
      </c>
      <c r="C27" s="32">
        <f>IFERROR(__xludf.DUMMYFUNCTION("""COMPUTED_VALUE"""),2.0)</f>
        <v>2</v>
      </c>
      <c r="D27" s="33" t="str">
        <f>IFERROR(__xludf.DUMMYFUNCTION("""COMPUTED_VALUE"""),"VIATURA")</f>
        <v>VIATURA</v>
      </c>
      <c r="E27" s="34" t="str">
        <f>IFERROR(__xludf.DUMMYFUNCTION("""COMPUTED_VALUE"""),"1 - ASL1080")</f>
        <v>1 - ASL1080</v>
      </c>
      <c r="F27" s="34" t="str">
        <f>IFERROR(__xludf.DUMMYFUNCTION("""COMPUTED_VALUE"""),"BOX 02")</f>
        <v>BOX 02</v>
      </c>
      <c r="G27" s="35"/>
      <c r="H27" s="34" t="str">
        <f>IFERROR(__xludf.DUMMYFUNCTION("""COMPUTED_VALUE"""),"ASL1080")</f>
        <v>ASL1080</v>
      </c>
      <c r="I27" s="37"/>
    </row>
    <row r="28" ht="22.5" customHeight="1">
      <c r="A28" s="30">
        <f>IFERROR(__xludf.DUMMYFUNCTION("""COMPUTED_VALUE"""),234.0)</f>
        <v>234</v>
      </c>
      <c r="B28" s="31" t="str">
        <f>IFERROR(__xludf.DUMMYFUNCTION("""COMPUTED_VALUE"""),"ALICATE DE CORTE  ")</f>
        <v>ALICATE DE CORTE  </v>
      </c>
      <c r="C28" s="32">
        <f>IFERROR(__xludf.DUMMYFUNCTION("""COMPUTED_VALUE"""),1.0)</f>
        <v>1</v>
      </c>
      <c r="D28" s="33" t="str">
        <f>IFERROR(__xludf.DUMMYFUNCTION("""COMPUTED_VALUE"""),"VIATURA")</f>
        <v>VIATURA</v>
      </c>
      <c r="E28" s="34" t="str">
        <f>IFERROR(__xludf.DUMMYFUNCTION("""COMPUTED_VALUE"""),"1 - ASL1080")</f>
        <v>1 - ASL1080</v>
      </c>
      <c r="F28" s="34" t="str">
        <f>IFERROR(__xludf.DUMMYFUNCTION("""COMPUTED_VALUE"""),"CAIXA DE FERRAMENTA")</f>
        <v>CAIXA DE FERRAMENTA</v>
      </c>
      <c r="G28" s="35"/>
      <c r="H28" s="34"/>
      <c r="I28" s="37"/>
    </row>
    <row r="29" ht="22.5" customHeight="1">
      <c r="A29" s="30">
        <f>IFERROR(__xludf.DUMMYFUNCTION("""COMPUTED_VALUE"""),233.0)</f>
        <v>233</v>
      </c>
      <c r="B29" s="31" t="str">
        <f>IFERROR(__xludf.DUMMYFUNCTION("""COMPUTED_VALUE"""),"ALICATE DE PRESSÃO")</f>
        <v>ALICATE DE PRESSÃO</v>
      </c>
      <c r="C29" s="32">
        <f>IFERROR(__xludf.DUMMYFUNCTION("""COMPUTED_VALUE"""),1.0)</f>
        <v>1</v>
      </c>
      <c r="D29" s="33" t="str">
        <f>IFERROR(__xludf.DUMMYFUNCTION("""COMPUTED_VALUE"""),"VIATURA")</f>
        <v>VIATURA</v>
      </c>
      <c r="E29" s="34" t="str">
        <f>IFERROR(__xludf.DUMMYFUNCTION("""COMPUTED_VALUE"""),"1 - ASL1080")</f>
        <v>1 - ASL1080</v>
      </c>
      <c r="F29" s="34" t="str">
        <f>IFERROR(__xludf.DUMMYFUNCTION("""COMPUTED_VALUE"""),"CAIXA DE FERRAMENTA")</f>
        <v>CAIXA DE FERRAMENTA</v>
      </c>
      <c r="G29" s="35"/>
      <c r="H29" s="34"/>
      <c r="I29" s="37"/>
    </row>
    <row r="30" ht="22.5" customHeight="1">
      <c r="A30" s="30">
        <f>IFERROR(__xludf.DUMMYFUNCTION("""COMPUTED_VALUE"""),232.0)</f>
        <v>232</v>
      </c>
      <c r="B30" s="31" t="str">
        <f>IFERROR(__xludf.DUMMYFUNCTION("""COMPUTED_VALUE"""),"ALICATE UNIVERSAL")</f>
        <v>ALICATE UNIVERSAL</v>
      </c>
      <c r="C30" s="32">
        <f>IFERROR(__xludf.DUMMYFUNCTION("""COMPUTED_VALUE"""),2.0)</f>
        <v>2</v>
      </c>
      <c r="D30" s="33" t="str">
        <f>IFERROR(__xludf.DUMMYFUNCTION("""COMPUTED_VALUE"""),"VIATURA")</f>
        <v>VIATURA</v>
      </c>
      <c r="E30" s="34" t="str">
        <f>IFERROR(__xludf.DUMMYFUNCTION("""COMPUTED_VALUE"""),"1 - ASL1080")</f>
        <v>1 - ASL1080</v>
      </c>
      <c r="F30" s="34" t="str">
        <f>IFERROR(__xludf.DUMMYFUNCTION("""COMPUTED_VALUE"""),"CAIXA DE FERRAMENTA")</f>
        <v>CAIXA DE FERRAMENTA</v>
      </c>
      <c r="G30" s="35"/>
      <c r="H30" s="34"/>
      <c r="I30" s="37"/>
    </row>
    <row r="31" ht="22.5" customHeight="1">
      <c r="A31" s="30">
        <f>IFERROR(__xludf.DUMMYFUNCTION("""COMPUTED_VALUE"""),230.0)</f>
        <v>230</v>
      </c>
      <c r="B31" s="31" t="str">
        <f>IFERROR(__xludf.DUMMYFUNCTION("""COMPUTED_VALUE"""),"CHAVE ""L""")</f>
        <v>CHAVE "L"</v>
      </c>
      <c r="C31" s="32">
        <f>IFERROR(__xludf.DUMMYFUNCTION("""COMPUTED_VALUE"""),3.0)</f>
        <v>3</v>
      </c>
      <c r="D31" s="33" t="str">
        <f>IFERROR(__xludf.DUMMYFUNCTION("""COMPUTED_VALUE"""),"VIATURA")</f>
        <v>VIATURA</v>
      </c>
      <c r="E31" s="34" t="str">
        <f>IFERROR(__xludf.DUMMYFUNCTION("""COMPUTED_VALUE"""),"1 - ASL1080")</f>
        <v>1 - ASL1080</v>
      </c>
      <c r="F31" s="34" t="str">
        <f>IFERROR(__xludf.DUMMYFUNCTION("""COMPUTED_VALUE"""),"CAIXA DE FERRAMENTA")</f>
        <v>CAIXA DE FERRAMENTA</v>
      </c>
      <c r="G31" s="35"/>
      <c r="H31" s="34"/>
      <c r="I31" s="37"/>
    </row>
    <row r="32" ht="22.5" customHeight="1">
      <c r="A32" s="30">
        <f>IFERROR(__xludf.DUMMYFUNCTION("""COMPUTED_VALUE"""),237.0)</f>
        <v>237</v>
      </c>
      <c r="B32" s="31" t="str">
        <f>IFERROR(__xludf.DUMMYFUNCTION("""COMPUTED_VALUE"""),"CHAVE ""L"" TORX")</f>
        <v>CHAVE "L" TORX</v>
      </c>
      <c r="C32" s="32">
        <f>IFERROR(__xludf.DUMMYFUNCTION("""COMPUTED_VALUE"""),2.0)</f>
        <v>2</v>
      </c>
      <c r="D32" s="33" t="str">
        <f>IFERROR(__xludf.DUMMYFUNCTION("""COMPUTED_VALUE"""),"VIATURA")</f>
        <v>VIATURA</v>
      </c>
      <c r="E32" s="34" t="str">
        <f>IFERROR(__xludf.DUMMYFUNCTION("""COMPUTED_VALUE"""),"1 - ASL1080")</f>
        <v>1 - ASL1080</v>
      </c>
      <c r="F32" s="34" t="str">
        <f>IFERROR(__xludf.DUMMYFUNCTION("""COMPUTED_VALUE"""),"CAIXA DE FERRAMENTA")</f>
        <v>CAIXA DE FERRAMENTA</v>
      </c>
      <c r="G32" s="35"/>
      <c r="H32" s="34"/>
      <c r="I32" s="37"/>
    </row>
    <row r="33" ht="22.5" customHeight="1">
      <c r="A33" s="30">
        <f>IFERROR(__xludf.DUMMYFUNCTION("""COMPUTED_VALUE"""),224.0)</f>
        <v>224</v>
      </c>
      <c r="B33" s="39" t="str">
        <f>IFERROR(__xludf.DUMMYFUNCTION("""COMPUTED_VALUE"""),"CHAVE DE BOCA")</f>
        <v>CHAVE DE BOCA</v>
      </c>
      <c r="C33" s="32">
        <f>IFERROR(__xludf.DUMMYFUNCTION("""COMPUTED_VALUE"""),6.0)</f>
        <v>6</v>
      </c>
      <c r="D33" s="33" t="str">
        <f>IFERROR(__xludf.DUMMYFUNCTION("""COMPUTED_VALUE"""),"VIATURA")</f>
        <v>VIATURA</v>
      </c>
      <c r="E33" s="34" t="str">
        <f>IFERROR(__xludf.DUMMYFUNCTION("""COMPUTED_VALUE"""),"1 - ASL1080")</f>
        <v>1 - ASL1080</v>
      </c>
      <c r="F33" s="34" t="str">
        <f>IFERROR(__xludf.DUMMYFUNCTION("""COMPUTED_VALUE"""),"CAIXA DE FERRAMENTA")</f>
        <v>CAIXA DE FERRAMENTA</v>
      </c>
      <c r="G33" s="35"/>
      <c r="H33" s="34"/>
      <c r="I33" s="37"/>
    </row>
    <row r="34" ht="22.5" customHeight="1">
      <c r="A34" s="30">
        <f>IFERROR(__xludf.DUMMYFUNCTION("""COMPUTED_VALUE"""),223.0)</f>
        <v>223</v>
      </c>
      <c r="B34" s="39" t="str">
        <f>IFERROR(__xludf.DUMMYFUNCTION("""COMPUTED_VALUE"""),"CHAVE DE BOCA/ESTRIA")</f>
        <v>CHAVE DE BOCA/ESTRIA</v>
      </c>
      <c r="C34" s="32">
        <f>IFERROR(__xludf.DUMMYFUNCTION("""COMPUTED_VALUE"""),10.0)</f>
        <v>10</v>
      </c>
      <c r="D34" s="33" t="str">
        <f>IFERROR(__xludf.DUMMYFUNCTION("""COMPUTED_VALUE"""),"VIATURA")</f>
        <v>VIATURA</v>
      </c>
      <c r="E34" s="34" t="str">
        <f>IFERROR(__xludf.DUMMYFUNCTION("""COMPUTED_VALUE"""),"1 - ASL1080")</f>
        <v>1 - ASL1080</v>
      </c>
      <c r="F34" s="34" t="str">
        <f>IFERROR(__xludf.DUMMYFUNCTION("""COMPUTED_VALUE"""),"CAIXA DE FERRAMENTA")</f>
        <v>CAIXA DE FERRAMENTA</v>
      </c>
      <c r="G34" s="35"/>
      <c r="H34" s="34"/>
      <c r="I34" s="37"/>
    </row>
    <row r="35" ht="22.5" customHeight="1">
      <c r="A35" s="30">
        <f>IFERROR(__xludf.DUMMYFUNCTION("""COMPUTED_VALUE"""),225.0)</f>
        <v>225</v>
      </c>
      <c r="B35" s="39" t="str">
        <f>IFERROR(__xludf.DUMMYFUNCTION("""COMPUTED_VALUE"""),"CHAVE DE ESTRIA")</f>
        <v>CHAVE DE ESTRIA</v>
      </c>
      <c r="C35" s="32">
        <f>IFERROR(__xludf.DUMMYFUNCTION("""COMPUTED_VALUE"""),1.0)</f>
        <v>1</v>
      </c>
      <c r="D35" s="33" t="str">
        <f>IFERROR(__xludf.DUMMYFUNCTION("""COMPUTED_VALUE"""),"VIATURA")</f>
        <v>VIATURA</v>
      </c>
      <c r="E35" s="34" t="str">
        <f>IFERROR(__xludf.DUMMYFUNCTION("""COMPUTED_VALUE"""),"1 - ASL1080")</f>
        <v>1 - ASL1080</v>
      </c>
      <c r="F35" s="34" t="str">
        <f>IFERROR(__xludf.DUMMYFUNCTION("""COMPUTED_VALUE"""),"CAIXA DE FERRAMENTA")</f>
        <v>CAIXA DE FERRAMENTA</v>
      </c>
      <c r="G35" s="35"/>
      <c r="H35" s="34"/>
      <c r="I35" s="37"/>
    </row>
    <row r="36" ht="22.5" customHeight="1">
      <c r="A36" s="30">
        <f>IFERROR(__xludf.DUMMYFUNCTION("""COMPUTED_VALUE"""),228.0)</f>
        <v>228</v>
      </c>
      <c r="B36" s="40" t="str">
        <f>IFERROR(__xludf.DUMMYFUNCTION("""COMPUTED_VALUE"""),"CHAVE DE FENDA")</f>
        <v>CHAVE DE FENDA</v>
      </c>
      <c r="C36" s="32">
        <f>IFERROR(__xludf.DUMMYFUNCTION("""COMPUTED_VALUE"""),2.0)</f>
        <v>2</v>
      </c>
      <c r="D36" s="33" t="str">
        <f>IFERROR(__xludf.DUMMYFUNCTION("""COMPUTED_VALUE"""),"VIATURA")</f>
        <v>VIATURA</v>
      </c>
      <c r="E36" s="34" t="str">
        <f>IFERROR(__xludf.DUMMYFUNCTION("""COMPUTED_VALUE"""),"1 - ASL1080")</f>
        <v>1 - ASL1080</v>
      </c>
      <c r="F36" s="34" t="str">
        <f>IFERROR(__xludf.DUMMYFUNCTION("""COMPUTED_VALUE"""),"CAIXA DE FERRAMENTA")</f>
        <v>CAIXA DE FERRAMENTA</v>
      </c>
      <c r="G36" s="35"/>
      <c r="H36" s="34"/>
      <c r="I36" s="37"/>
    </row>
    <row r="37" ht="22.5" customHeight="1">
      <c r="A37" s="30">
        <f>IFERROR(__xludf.DUMMYFUNCTION("""COMPUTED_VALUE"""),227.0)</f>
        <v>227</v>
      </c>
      <c r="B37" s="31" t="str">
        <f>IFERROR(__xludf.DUMMYFUNCTION("""COMPUTED_VALUE"""),"CHAVE DE FENDA PARA MOTOSSERRA")</f>
        <v>CHAVE DE FENDA PARA MOTOSSERRA</v>
      </c>
      <c r="C37" s="32">
        <f>IFERROR(__xludf.DUMMYFUNCTION("""COMPUTED_VALUE"""),1.0)</f>
        <v>1</v>
      </c>
      <c r="D37" s="33" t="str">
        <f>IFERROR(__xludf.DUMMYFUNCTION("""COMPUTED_VALUE"""),"VIATURA")</f>
        <v>VIATURA</v>
      </c>
      <c r="E37" s="34" t="str">
        <f>IFERROR(__xludf.DUMMYFUNCTION("""COMPUTED_VALUE"""),"1 - ASL1080")</f>
        <v>1 - ASL1080</v>
      </c>
      <c r="F37" s="34" t="str">
        <f>IFERROR(__xludf.DUMMYFUNCTION("""COMPUTED_VALUE"""),"CAIXA DE FERRAMENTA")</f>
        <v>CAIXA DE FERRAMENTA</v>
      </c>
      <c r="G37" s="35"/>
      <c r="H37" s="34"/>
      <c r="I37" s="37"/>
    </row>
    <row r="38" ht="22.5" customHeight="1">
      <c r="A38" s="30">
        <f>IFERROR(__xludf.DUMMYFUNCTION("""COMPUTED_VALUE"""),226.0)</f>
        <v>226</v>
      </c>
      <c r="B38" s="31" t="str">
        <f>IFERROR(__xludf.DUMMYFUNCTION("""COMPUTED_VALUE"""),"CHAVE DE VELA COMBINADA PARA MOTOSERRA")</f>
        <v>CHAVE DE VELA COMBINADA PARA MOTOSERRA</v>
      </c>
      <c r="C38" s="32">
        <f>IFERROR(__xludf.DUMMYFUNCTION("""COMPUTED_VALUE"""),3.0)</f>
        <v>3</v>
      </c>
      <c r="D38" s="33" t="str">
        <f>IFERROR(__xludf.DUMMYFUNCTION("""COMPUTED_VALUE"""),"VIATURA")</f>
        <v>VIATURA</v>
      </c>
      <c r="E38" s="34" t="str">
        <f>IFERROR(__xludf.DUMMYFUNCTION("""COMPUTED_VALUE"""),"1 - ASL1080")</f>
        <v>1 - ASL1080</v>
      </c>
      <c r="F38" s="34" t="str">
        <f>IFERROR(__xludf.DUMMYFUNCTION("""COMPUTED_VALUE"""),"CAIXA DE FERRAMENTA")</f>
        <v>CAIXA DE FERRAMENTA</v>
      </c>
      <c r="G38" s="35"/>
      <c r="H38" s="34"/>
      <c r="I38" s="37"/>
    </row>
    <row r="39" ht="22.5" customHeight="1">
      <c r="A39" s="30">
        <f>IFERROR(__xludf.DUMMYFUNCTION("""COMPUTED_VALUE"""),231.0)</f>
        <v>231</v>
      </c>
      <c r="B39" s="31" t="str">
        <f>IFERROR(__xludf.DUMMYFUNCTION("""COMPUTED_VALUE"""),"CHAVE INGLESA")</f>
        <v>CHAVE INGLESA</v>
      </c>
      <c r="C39" s="32">
        <f>IFERROR(__xludf.DUMMYFUNCTION("""COMPUTED_VALUE"""),1.0)</f>
        <v>1</v>
      </c>
      <c r="D39" s="33" t="str">
        <f>IFERROR(__xludf.DUMMYFUNCTION("""COMPUTED_VALUE"""),"VIATURA")</f>
        <v>VIATURA</v>
      </c>
      <c r="E39" s="34" t="str">
        <f>IFERROR(__xludf.DUMMYFUNCTION("""COMPUTED_VALUE"""),"1 - ASL1080")</f>
        <v>1 - ASL1080</v>
      </c>
      <c r="F39" s="34" t="str">
        <f>IFERROR(__xludf.DUMMYFUNCTION("""COMPUTED_VALUE"""),"CAIXA DE FERRAMENTA")</f>
        <v>CAIXA DE FERRAMENTA</v>
      </c>
      <c r="G39" s="35"/>
      <c r="H39" s="34"/>
      <c r="I39" s="37"/>
    </row>
    <row r="40" ht="22.5" customHeight="1">
      <c r="A40" s="30">
        <f>IFERROR(__xludf.DUMMYFUNCTION("""COMPUTED_VALUE"""),229.0)</f>
        <v>229</v>
      </c>
      <c r="B40" s="31" t="str">
        <f>IFERROR(__xludf.DUMMYFUNCTION("""COMPUTED_VALUE"""),"CHAVE PHILIPS")</f>
        <v>CHAVE PHILIPS</v>
      </c>
      <c r="C40" s="32">
        <f>IFERROR(__xludf.DUMMYFUNCTION("""COMPUTED_VALUE"""),3.0)</f>
        <v>3</v>
      </c>
      <c r="D40" s="33" t="str">
        <f>IFERROR(__xludf.DUMMYFUNCTION("""COMPUTED_VALUE"""),"VIATURA")</f>
        <v>VIATURA</v>
      </c>
      <c r="E40" s="34" t="str">
        <f>IFERROR(__xludf.DUMMYFUNCTION("""COMPUTED_VALUE"""),"1 - ASL1080")</f>
        <v>1 - ASL1080</v>
      </c>
      <c r="F40" s="34" t="str">
        <f>IFERROR(__xludf.DUMMYFUNCTION("""COMPUTED_VALUE"""),"CAIXA DE FERRAMENTA")</f>
        <v>CAIXA DE FERRAMENTA</v>
      </c>
      <c r="G40" s="35"/>
      <c r="H40" s="34"/>
      <c r="I40" s="37"/>
    </row>
    <row r="41" ht="22.5" customHeight="1">
      <c r="A41" s="30">
        <f>IFERROR(__xludf.DUMMYFUNCTION("""COMPUTED_VALUE"""),236.0)</f>
        <v>236</v>
      </c>
      <c r="B41" s="31" t="str">
        <f>IFERROR(__xludf.DUMMYFUNCTION("""COMPUTED_VALUE"""),"LIMA REDONDA")</f>
        <v>LIMA REDONDA</v>
      </c>
      <c r="C41" s="32">
        <f>IFERROR(__xludf.DUMMYFUNCTION("""COMPUTED_VALUE"""),2.0)</f>
        <v>2</v>
      </c>
      <c r="D41" s="33" t="str">
        <f>IFERROR(__xludf.DUMMYFUNCTION("""COMPUTED_VALUE"""),"VIATURA")</f>
        <v>VIATURA</v>
      </c>
      <c r="E41" s="34" t="str">
        <f>IFERROR(__xludf.DUMMYFUNCTION("""COMPUTED_VALUE"""),"1 - ASL1080")</f>
        <v>1 - ASL1080</v>
      </c>
      <c r="F41" s="34" t="str">
        <f>IFERROR(__xludf.DUMMYFUNCTION("""COMPUTED_VALUE"""),"CAIXA DE FERRAMENTA")</f>
        <v>CAIXA DE FERRAMENTA</v>
      </c>
      <c r="G41" s="35"/>
      <c r="H41" s="34"/>
      <c r="I41" s="37"/>
    </row>
    <row r="42" ht="22.5" customHeight="1">
      <c r="A42" s="30">
        <f>IFERROR(__xludf.DUMMYFUNCTION("""COMPUTED_VALUE"""),235.0)</f>
        <v>235</v>
      </c>
      <c r="B42" s="31" t="str">
        <f>IFERROR(__xludf.DUMMYFUNCTION("""COMPUTED_VALUE"""),"MARRETA PEQUENA")</f>
        <v>MARRETA PEQUENA</v>
      </c>
      <c r="C42" s="32">
        <f>IFERROR(__xludf.DUMMYFUNCTION("""COMPUTED_VALUE"""),1.0)</f>
        <v>1</v>
      </c>
      <c r="D42" s="33" t="str">
        <f>IFERROR(__xludf.DUMMYFUNCTION("""COMPUTED_VALUE"""),"VIATURA")</f>
        <v>VIATURA</v>
      </c>
      <c r="E42" s="34" t="str">
        <f>IFERROR(__xludf.DUMMYFUNCTION("""COMPUTED_VALUE"""),"1 - ASL1080")</f>
        <v>1 - ASL1080</v>
      </c>
      <c r="F42" s="34" t="str">
        <f>IFERROR(__xludf.DUMMYFUNCTION("""COMPUTED_VALUE"""),"CAIXA DE FERRAMENTA")</f>
        <v>CAIXA DE FERRAMENTA</v>
      </c>
      <c r="G42" s="35"/>
      <c r="H42" s="34"/>
      <c r="I42" s="37"/>
    </row>
    <row r="43" ht="22.5" customHeight="1">
      <c r="A43" s="30">
        <f>IFERROR(__xludf.DUMMYFUNCTION("""COMPUTED_VALUE"""),188.0)</f>
        <v>188</v>
      </c>
      <c r="B43" s="31" t="str">
        <f>IFERROR(__xludf.DUMMYFUNCTION("""COMPUTED_VALUE"""),"ABAFADOR PARA COMBATE A INCENDIO FLORESTAL")</f>
        <v>ABAFADOR PARA COMBATE A INCENDIO FLORESTAL</v>
      </c>
      <c r="C43" s="32">
        <f>IFERROR(__xludf.DUMMYFUNCTION("""COMPUTED_VALUE"""),2.0)</f>
        <v>2</v>
      </c>
      <c r="D43" s="33" t="str">
        <f>IFERROR(__xludf.DUMMYFUNCTION("""COMPUTED_VALUE"""),"VIATURA")</f>
        <v>VIATURA</v>
      </c>
      <c r="E43" s="34" t="str">
        <f>IFERROR(__xludf.DUMMYFUNCTION("""COMPUTED_VALUE"""),"1 - ASL1080")</f>
        <v>1 - ASL1080</v>
      </c>
      <c r="F43" s="34" t="str">
        <f>IFERROR(__xludf.DUMMYFUNCTION("""COMPUTED_VALUE"""),"CARROCERIA")</f>
        <v>CARROCERIA</v>
      </c>
      <c r="G43" s="35"/>
      <c r="H43" s="34"/>
      <c r="I43" s="37"/>
    </row>
    <row r="44" ht="22.5" customHeight="1">
      <c r="A44" s="30">
        <f>IFERROR(__xludf.DUMMYFUNCTION("""COMPUTED_VALUE"""),194.0)</f>
        <v>194</v>
      </c>
      <c r="B44" s="31" t="str">
        <f>IFERROR(__xludf.DUMMYFUNCTION("""COMPUTED_VALUE"""),"ALAVANCA PÉ DE CABRA")</f>
        <v>ALAVANCA PÉ DE CABRA</v>
      </c>
      <c r="C44" s="32">
        <f>IFERROR(__xludf.DUMMYFUNCTION("""COMPUTED_VALUE"""),1.0)</f>
        <v>1</v>
      </c>
      <c r="D44" s="33" t="str">
        <f>IFERROR(__xludf.DUMMYFUNCTION("""COMPUTED_VALUE"""),"VIATURA")</f>
        <v>VIATURA</v>
      </c>
      <c r="E44" s="34" t="str">
        <f>IFERROR(__xludf.DUMMYFUNCTION("""COMPUTED_VALUE"""),"1 - ASL1080")</f>
        <v>1 - ASL1080</v>
      </c>
      <c r="F44" s="34" t="str">
        <f>IFERROR(__xludf.DUMMYFUNCTION("""COMPUTED_VALUE"""),"CARROCERIA")</f>
        <v>CARROCERIA</v>
      </c>
      <c r="G44" s="35"/>
      <c r="H44" s="34"/>
      <c r="I44" s="37"/>
    </row>
    <row r="45" ht="22.5" customHeight="1">
      <c r="A45" s="30">
        <f>IFERROR(__xludf.DUMMYFUNCTION("""COMPUTED_VALUE"""),201.0)</f>
        <v>201</v>
      </c>
      <c r="B45" s="31" t="str">
        <f>IFERROR(__xludf.DUMMYFUNCTION("""COMPUTED_VALUE"""),"BARRA HALLIGAN")</f>
        <v>BARRA HALLIGAN</v>
      </c>
      <c r="C45" s="32">
        <f>IFERROR(__xludf.DUMMYFUNCTION("""COMPUTED_VALUE"""),1.0)</f>
        <v>1</v>
      </c>
      <c r="D45" s="33" t="str">
        <f>IFERROR(__xludf.DUMMYFUNCTION("""COMPUTED_VALUE"""),"VIATURA")</f>
        <v>VIATURA</v>
      </c>
      <c r="E45" s="34" t="str">
        <f>IFERROR(__xludf.DUMMYFUNCTION("""COMPUTED_VALUE"""),"1 - ASL1080")</f>
        <v>1 - ASL1080</v>
      </c>
      <c r="F45" s="34" t="str">
        <f>IFERROR(__xludf.DUMMYFUNCTION("""COMPUTED_VALUE"""),"CARROCERIA")</f>
        <v>CARROCERIA</v>
      </c>
      <c r="G45" s="35"/>
      <c r="H45" s="34"/>
      <c r="I45" s="37"/>
    </row>
    <row r="46" ht="22.5" customHeight="1">
      <c r="A46" s="30">
        <f>IFERROR(__xludf.DUMMYFUNCTION("""COMPUTED_VALUE"""),198.0)</f>
        <v>198</v>
      </c>
      <c r="B46" s="40" t="str">
        <f>IFERROR(__xludf.DUMMYFUNCTION("""COMPUTED_VALUE"""),"BATERIA HOLMATRO EVO 3")</f>
        <v>BATERIA HOLMATRO EVO 3</v>
      </c>
      <c r="C46" s="32">
        <f>IFERROR(__xludf.DUMMYFUNCTION("""COMPUTED_VALUE"""),1.0)</f>
        <v>1</v>
      </c>
      <c r="D46" s="33" t="str">
        <f>IFERROR(__xludf.DUMMYFUNCTION("""COMPUTED_VALUE"""),"VIATURA")</f>
        <v>VIATURA</v>
      </c>
      <c r="E46" s="34" t="str">
        <f>IFERROR(__xludf.DUMMYFUNCTION("""COMPUTED_VALUE"""),"1 - ASL1080")</f>
        <v>1 - ASL1080</v>
      </c>
      <c r="F46" s="34" t="str">
        <f>IFERROR(__xludf.DUMMYFUNCTION("""COMPUTED_VALUE"""),"CARROCERIA")</f>
        <v>CARROCERIA</v>
      </c>
      <c r="G46" s="35"/>
      <c r="H46" s="34"/>
      <c r="I46" s="37"/>
    </row>
    <row r="47" ht="22.5" customHeight="1">
      <c r="A47" s="30">
        <f>IFERROR(__xludf.DUMMYFUNCTION("""COMPUTED_VALUE"""),197.0)</f>
        <v>197</v>
      </c>
      <c r="B47" s="31" t="str">
        <f>IFERROR(__xludf.DUMMYFUNCTION("""COMPUTED_VALUE"""),"BOIA SALVA VIDAS CIRCULAR")</f>
        <v>BOIA SALVA VIDAS CIRCULAR</v>
      </c>
      <c r="C47" s="32">
        <f>IFERROR(__xludf.DUMMYFUNCTION("""COMPUTED_VALUE"""),1.0)</f>
        <v>1</v>
      </c>
      <c r="D47" s="33" t="str">
        <f>IFERROR(__xludf.DUMMYFUNCTION("""COMPUTED_VALUE"""),"VIATURA")</f>
        <v>VIATURA</v>
      </c>
      <c r="E47" s="34" t="str">
        <f>IFERROR(__xludf.DUMMYFUNCTION("""COMPUTED_VALUE"""),"1 - ASL1080")</f>
        <v>1 - ASL1080</v>
      </c>
      <c r="F47" s="34" t="str">
        <f>IFERROR(__xludf.DUMMYFUNCTION("""COMPUTED_VALUE"""),"CARROCERIA")</f>
        <v>CARROCERIA</v>
      </c>
      <c r="G47" s="35"/>
      <c r="H47" s="34"/>
      <c r="I47" s="37"/>
    </row>
    <row r="48" ht="22.5" customHeight="1">
      <c r="A48" s="30">
        <f>IFERROR(__xludf.DUMMYFUNCTION("""COMPUTED_VALUE"""),190.0)</f>
        <v>190</v>
      </c>
      <c r="B48" s="31" t="str">
        <f>IFERROR(__xludf.DUMMYFUNCTION("""COMPUTED_VALUE"""),"BOLSA CINZA PARA SALVAMENTO EM ALTURA")</f>
        <v>BOLSA CINZA PARA SALVAMENTO EM ALTURA</v>
      </c>
      <c r="C48" s="32">
        <f>IFERROR(__xludf.DUMMYFUNCTION("""COMPUTED_VALUE"""),1.0)</f>
        <v>1</v>
      </c>
      <c r="D48" s="33" t="str">
        <f>IFERROR(__xludf.DUMMYFUNCTION("""COMPUTED_VALUE"""),"VIATURA")</f>
        <v>VIATURA</v>
      </c>
      <c r="E48" s="34" t="str">
        <f>IFERROR(__xludf.DUMMYFUNCTION("""COMPUTED_VALUE"""),"1 - ASL1080")</f>
        <v>1 - ASL1080</v>
      </c>
      <c r="F48" s="34" t="str">
        <f>IFERROR(__xludf.DUMMYFUNCTION("""COMPUTED_VALUE"""),"CARROCERIA")</f>
        <v>CARROCERIA</v>
      </c>
      <c r="G48" s="35"/>
      <c r="H48" s="34"/>
      <c r="I48" s="37" t="str">
        <f>IFERROR(__xludf.DUMMYFUNCTION("""COMPUTED_VALUE"""),"BOLSA LACRADA (LACRE: 005306)")</f>
        <v>BOLSA LACRADA (LACRE: 005306)</v>
      </c>
    </row>
    <row r="49" ht="22.5" customHeight="1">
      <c r="A49" s="30">
        <f>IFERROR(__xludf.DUMMYFUNCTION("""COMPUTED_VALUE"""),189.0)</f>
        <v>189</v>
      </c>
      <c r="B49" s="31" t="str">
        <f>IFERROR(__xludf.DUMMYFUNCTION("""COMPUTED_VALUE"""),"BOLSA DE SALVAMENTO EM ALTURA")</f>
        <v>BOLSA DE SALVAMENTO EM ALTURA</v>
      </c>
      <c r="C49" s="32">
        <f>IFERROR(__xludf.DUMMYFUNCTION("""COMPUTED_VALUE"""),1.0)</f>
        <v>1</v>
      </c>
      <c r="D49" s="33" t="str">
        <f>IFERROR(__xludf.DUMMYFUNCTION("""COMPUTED_VALUE"""),"VIATURA")</f>
        <v>VIATURA</v>
      </c>
      <c r="E49" s="34" t="str">
        <f>IFERROR(__xludf.DUMMYFUNCTION("""COMPUTED_VALUE"""),"1 - ASL1080")</f>
        <v>1 - ASL1080</v>
      </c>
      <c r="F49" s="34" t="str">
        <f>IFERROR(__xludf.DUMMYFUNCTION("""COMPUTED_VALUE"""),"CARROCERIA")</f>
        <v>CARROCERIA</v>
      </c>
      <c r="G49" s="35"/>
      <c r="H49" s="34"/>
      <c r="I49" s="37" t="str">
        <f>IFERROR(__xludf.DUMMYFUNCTION("""COMPUTED_VALUE"""),"BOLSA LACRADA (LACRES: 005331/005366)")</f>
        <v>BOLSA LACRADA (LACRES: 005331/005366)</v>
      </c>
    </row>
    <row r="50" ht="22.5" customHeight="1">
      <c r="A50" s="30">
        <f>IFERROR(__xludf.DUMMYFUNCTION("""COMPUTED_VALUE"""),551.0)</f>
        <v>551</v>
      </c>
      <c r="B50" s="40" t="str">
        <f>IFERROR(__xludf.DUMMYFUNCTION("""COMPUTED_VALUE"""),"CAIXA PARA GUARDA DE FERRAMENTAS -")</f>
        <v>CAIXA PARA GUARDA DE FERRAMENTAS -</v>
      </c>
      <c r="C50" s="32">
        <f>IFERROR(__xludf.DUMMYFUNCTION("""COMPUTED_VALUE"""),1.0)</f>
        <v>1</v>
      </c>
      <c r="D50" s="33" t="str">
        <f>IFERROR(__xludf.DUMMYFUNCTION("""COMPUTED_VALUE"""),"VIATURA")</f>
        <v>VIATURA</v>
      </c>
      <c r="E50" s="34" t="str">
        <f>IFERROR(__xludf.DUMMYFUNCTION("""COMPUTED_VALUE"""),"1 - ASL1080")</f>
        <v>1 - ASL1080</v>
      </c>
      <c r="F50" s="34" t="str">
        <f>IFERROR(__xludf.DUMMYFUNCTION("""COMPUTED_VALUE"""),"CARROCERIA")</f>
        <v>CARROCERIA</v>
      </c>
      <c r="G50" s="35">
        <f>IFERROR(__xludf.DUMMYFUNCTION("""COMPUTED_VALUE"""),1.3999001E7)</f>
        <v>13999001</v>
      </c>
      <c r="H50" s="34"/>
      <c r="I50" s="37" t="str">
        <f>IFERROR(__xludf.DUMMYFUNCTION("""COMPUTED_VALUE"""),"almox. Terreo, caixa de ferreo FERCAR")</f>
        <v>almox. Terreo, caixa de ferreo FERCAR</v>
      </c>
    </row>
    <row r="51" ht="22.5" customHeight="1">
      <c r="A51" s="30">
        <f>IFERROR(__xludf.DUMMYFUNCTION("""COMPUTED_VALUE"""),769.0)</f>
        <v>769</v>
      </c>
      <c r="B51" s="31" t="str">
        <f>IFERROR(__xludf.DUMMYFUNCTION("""COMPUTED_VALUE"""),"CALÇO PARA VIATURAS (POLIETILENO)")</f>
        <v>CALÇO PARA VIATURAS (POLIETILENO)</v>
      </c>
      <c r="C51" s="32">
        <f>IFERROR(__xludf.DUMMYFUNCTION("""COMPUTED_VALUE"""),1.0)</f>
        <v>1</v>
      </c>
      <c r="D51" s="33" t="str">
        <f>IFERROR(__xludf.DUMMYFUNCTION("""COMPUTED_VALUE"""),"VIATURA")</f>
        <v>VIATURA</v>
      </c>
      <c r="E51" s="34" t="str">
        <f>IFERROR(__xludf.DUMMYFUNCTION("""COMPUTED_VALUE"""),"1 - ASL1080")</f>
        <v>1 - ASL1080</v>
      </c>
      <c r="F51" s="34" t="str">
        <f>IFERROR(__xludf.DUMMYFUNCTION("""COMPUTED_VALUE"""),"CARROCERIA")</f>
        <v>CARROCERIA</v>
      </c>
      <c r="G51" s="35"/>
      <c r="H51" s="34"/>
      <c r="I51" s="37"/>
    </row>
    <row r="52" ht="22.5" customHeight="1">
      <c r="A52" s="30">
        <f>IFERROR(__xludf.DUMMYFUNCTION("""COMPUTED_VALUE"""),1470.0)</f>
        <v>1470</v>
      </c>
      <c r="B52" s="31" t="str">
        <f>IFERROR(__xludf.DUMMYFUNCTION("""COMPUTED_VALUE"""),"CAMBÃO - CAPTURA DE ANIMAIS ")</f>
        <v>CAMBÃO - CAPTURA DE ANIMAIS </v>
      </c>
      <c r="C52" s="32">
        <f>IFERROR(__xludf.DUMMYFUNCTION("""COMPUTED_VALUE"""),1.0)</f>
        <v>1</v>
      </c>
      <c r="D52" s="33" t="str">
        <f>IFERROR(__xludf.DUMMYFUNCTION("""COMPUTED_VALUE"""),"VIATURA")</f>
        <v>VIATURA</v>
      </c>
      <c r="E52" s="34" t="str">
        <f>IFERROR(__xludf.DUMMYFUNCTION("""COMPUTED_VALUE"""),"1 - ASL1080")</f>
        <v>1 - ASL1080</v>
      </c>
      <c r="F52" s="34" t="str">
        <f>IFERROR(__xludf.DUMMYFUNCTION("""COMPUTED_VALUE"""),"CARROCERIA")</f>
        <v>CARROCERIA</v>
      </c>
      <c r="G52" s="35">
        <f>IFERROR(__xludf.DUMMYFUNCTION("""COMPUTED_VALUE"""),7.6947009E7)</f>
        <v>76947009</v>
      </c>
      <c r="H52" s="34"/>
      <c r="I52" s="37"/>
    </row>
    <row r="53" ht="22.5" customHeight="1">
      <c r="A53" s="30">
        <f>IFERROR(__xludf.DUMMYFUNCTION("""COMPUTED_VALUE"""),239.0)</f>
        <v>239</v>
      </c>
      <c r="B53" s="31" t="str">
        <f>IFERROR(__xludf.DUMMYFUNCTION("""COMPUTED_VALUE"""),"CAMBÃO - CAPTURA DE ANIMAIS ")</f>
        <v>CAMBÃO - CAPTURA DE ANIMAIS </v>
      </c>
      <c r="C53" s="32">
        <f>IFERROR(__xludf.DUMMYFUNCTION("""COMPUTED_VALUE"""),1.0)</f>
        <v>1</v>
      </c>
      <c r="D53" s="33" t="str">
        <f>IFERROR(__xludf.DUMMYFUNCTION("""COMPUTED_VALUE"""),"VIATURA")</f>
        <v>VIATURA</v>
      </c>
      <c r="E53" s="34" t="str">
        <f>IFERROR(__xludf.DUMMYFUNCTION("""COMPUTED_VALUE"""),"1 - ASL1080")</f>
        <v>1 - ASL1080</v>
      </c>
      <c r="F53" s="34" t="str">
        <f>IFERROR(__xludf.DUMMYFUNCTION("""COMPUTED_VALUE"""),"CARROCERIA")</f>
        <v>CARROCERIA</v>
      </c>
      <c r="G53" s="35"/>
      <c r="H53" s="34" t="str">
        <f>IFERROR(__xludf.DUMMYFUNCTION("""COMPUTED_VALUE"""),"ASL1080")</f>
        <v>ASL1080</v>
      </c>
      <c r="I53" s="37"/>
    </row>
    <row r="54" ht="22.5" customHeight="1">
      <c r="A54" s="30">
        <f>IFERROR(__xludf.DUMMYFUNCTION("""COMPUTED_VALUE"""),222.0)</f>
        <v>222</v>
      </c>
      <c r="B54" s="31" t="str">
        <f>IFERROR(__xludf.DUMMYFUNCTION("""COMPUTED_VALUE"""),"CAPTURADOR DE COBRA")</f>
        <v>CAPTURADOR DE COBRA</v>
      </c>
      <c r="C54" s="32">
        <f>IFERROR(__xludf.DUMMYFUNCTION("""COMPUTED_VALUE"""),2.0)</f>
        <v>2</v>
      </c>
      <c r="D54" s="33" t="str">
        <f>IFERROR(__xludf.DUMMYFUNCTION("""COMPUTED_VALUE"""),"VIATURA")</f>
        <v>VIATURA</v>
      </c>
      <c r="E54" s="34" t="str">
        <f>IFERROR(__xludf.DUMMYFUNCTION("""COMPUTED_VALUE"""),"1 - ASL1080")</f>
        <v>1 - ASL1080</v>
      </c>
      <c r="F54" s="34" t="str">
        <f>IFERROR(__xludf.DUMMYFUNCTION("""COMPUTED_VALUE"""),"CARROCERIA")</f>
        <v>CARROCERIA</v>
      </c>
      <c r="G54" s="35"/>
      <c r="H54" s="34"/>
      <c r="I54" s="37"/>
    </row>
    <row r="55" ht="22.5" customHeight="1">
      <c r="A55" s="30">
        <f>IFERROR(__xludf.DUMMYFUNCTION("""COMPUTED_VALUE"""),195.0)</f>
        <v>195</v>
      </c>
      <c r="B55" s="31" t="str">
        <f>IFERROR(__xludf.DUMMYFUNCTION("""COMPUTED_VALUE"""),"CONE SINALEIRO")</f>
        <v>CONE SINALEIRO</v>
      </c>
      <c r="C55" s="32">
        <f>IFERROR(__xludf.DUMMYFUNCTION("""COMPUTED_VALUE"""),5.0)</f>
        <v>5</v>
      </c>
      <c r="D55" s="33" t="str">
        <f>IFERROR(__xludf.DUMMYFUNCTION("""COMPUTED_VALUE"""),"VIATURA")</f>
        <v>VIATURA</v>
      </c>
      <c r="E55" s="34" t="str">
        <f>IFERROR(__xludf.DUMMYFUNCTION("""COMPUTED_VALUE"""),"1 - ASL1080")</f>
        <v>1 - ASL1080</v>
      </c>
      <c r="F55" s="34" t="str">
        <f>IFERROR(__xludf.DUMMYFUNCTION("""COMPUTED_VALUE"""),"CARROCERIA")</f>
        <v>CARROCERIA</v>
      </c>
      <c r="G55" s="35"/>
      <c r="H55" s="34"/>
      <c r="I55" s="37"/>
    </row>
    <row r="56" ht="22.5" customHeight="1">
      <c r="A56" s="30">
        <f>IFERROR(__xludf.DUMMYFUNCTION("""COMPUTED_VALUE"""),814.0)</f>
        <v>814</v>
      </c>
      <c r="B56" s="31" t="str">
        <f>IFERROR(__xludf.DUMMYFUNCTION("""COMPUTED_VALUE"""),"CORDA PARA SALVAMENTO EM ALTURA - 30M")</f>
        <v>CORDA PARA SALVAMENTO EM ALTURA - 30M</v>
      </c>
      <c r="C56" s="32">
        <f>IFERROR(__xludf.DUMMYFUNCTION("""COMPUTED_VALUE"""),1.0)</f>
        <v>1</v>
      </c>
      <c r="D56" s="33" t="str">
        <f>IFERROR(__xludf.DUMMYFUNCTION("""COMPUTED_VALUE"""),"VIATURA")</f>
        <v>VIATURA</v>
      </c>
      <c r="E56" s="34" t="str">
        <f>IFERROR(__xludf.DUMMYFUNCTION("""COMPUTED_VALUE"""),"1 - ASL1080")</f>
        <v>1 - ASL1080</v>
      </c>
      <c r="F56" s="34" t="str">
        <f>IFERROR(__xludf.DUMMYFUNCTION("""COMPUTED_VALUE"""),"CARROCERIA")</f>
        <v>CARROCERIA</v>
      </c>
      <c r="G56" s="35"/>
      <c r="H56" s="34"/>
      <c r="I56" s="37"/>
    </row>
    <row r="57" ht="22.5" customHeight="1">
      <c r="A57" s="30">
        <f>IFERROR(__xludf.DUMMYFUNCTION("""COMPUTED_VALUE"""),192.0)</f>
        <v>192</v>
      </c>
      <c r="B57" s="31" t="str">
        <f>IFERROR(__xludf.DUMMYFUNCTION("""COMPUTED_VALUE"""),"CORTA FRIO 24''")</f>
        <v>CORTA FRIO 24''</v>
      </c>
      <c r="C57" s="32">
        <f>IFERROR(__xludf.DUMMYFUNCTION("""COMPUTED_VALUE"""),1.0)</f>
        <v>1</v>
      </c>
      <c r="D57" s="33" t="str">
        <f>IFERROR(__xludf.DUMMYFUNCTION("""COMPUTED_VALUE"""),"VIATURA")</f>
        <v>VIATURA</v>
      </c>
      <c r="E57" s="34" t="str">
        <f>IFERROR(__xludf.DUMMYFUNCTION("""COMPUTED_VALUE"""),"1 - ASL1080")</f>
        <v>1 - ASL1080</v>
      </c>
      <c r="F57" s="34" t="str">
        <f>IFERROR(__xludf.DUMMYFUNCTION("""COMPUTED_VALUE"""),"CARROCERIA")</f>
        <v>CARROCERIA</v>
      </c>
      <c r="G57" s="35"/>
      <c r="H57" s="34"/>
      <c r="I57" s="37"/>
    </row>
    <row r="58" ht="22.5" customHeight="1">
      <c r="A58" s="30">
        <f>IFERROR(__xludf.DUMMYFUNCTION("""COMPUTED_VALUE"""),199.0)</f>
        <v>199</v>
      </c>
      <c r="B58" s="31" t="str">
        <f>IFERROR(__xludf.DUMMYFUNCTION("""COMPUTED_VALUE"""),"CORTA FRIO 36''")</f>
        <v>CORTA FRIO 36''</v>
      </c>
      <c r="C58" s="32">
        <f>IFERROR(__xludf.DUMMYFUNCTION("""COMPUTED_VALUE"""),1.0)</f>
        <v>1</v>
      </c>
      <c r="D58" s="33" t="str">
        <f>IFERROR(__xludf.DUMMYFUNCTION("""COMPUTED_VALUE"""),"VIATURA")</f>
        <v>VIATURA</v>
      </c>
      <c r="E58" s="34" t="str">
        <f>IFERROR(__xludf.DUMMYFUNCTION("""COMPUTED_VALUE"""),"1 - ASL1080")</f>
        <v>1 - ASL1080</v>
      </c>
      <c r="F58" s="34" t="str">
        <f>IFERROR(__xludf.DUMMYFUNCTION("""COMPUTED_VALUE"""),"CARROCERIA")</f>
        <v>CARROCERIA</v>
      </c>
      <c r="G58" s="35"/>
      <c r="H58" s="34"/>
      <c r="I58" s="37"/>
    </row>
    <row r="59" ht="22.5" customHeight="1">
      <c r="A59" s="30">
        <f>IFERROR(__xludf.DUMMYFUNCTION("""COMPUTED_VALUE"""),1294.0)</f>
        <v>1294</v>
      </c>
      <c r="B59" s="31" t="str">
        <f>IFERROR(__xludf.DUMMYFUNCTION("""COMPUTED_VALUE"""),"CORTADOR MANUAL (HOLMATRO)")</f>
        <v>CORTADOR MANUAL (HOLMATRO)</v>
      </c>
      <c r="C59" s="32">
        <f>IFERROR(__xludf.DUMMYFUNCTION("""COMPUTED_VALUE"""),1.0)</f>
        <v>1</v>
      </c>
      <c r="D59" s="33" t="str">
        <f>IFERROR(__xludf.DUMMYFUNCTION("""COMPUTED_VALUE"""),"VIATURA")</f>
        <v>VIATURA</v>
      </c>
      <c r="E59" s="34" t="str">
        <f>IFERROR(__xludf.DUMMYFUNCTION("""COMPUTED_VALUE"""),"1 - ASL1080")</f>
        <v>1 - ASL1080</v>
      </c>
      <c r="F59" s="34" t="str">
        <f>IFERROR(__xludf.DUMMYFUNCTION("""COMPUTED_VALUE"""),"CARROCERIA")</f>
        <v>CARROCERIA</v>
      </c>
      <c r="G59" s="35"/>
      <c r="H59" s="34"/>
      <c r="I59" s="37"/>
    </row>
    <row r="60" ht="22.5" customHeight="1">
      <c r="A60" s="30">
        <f>IFERROR(__xludf.DUMMYFUNCTION("""COMPUTED_VALUE"""),954.0)</f>
        <v>954</v>
      </c>
      <c r="B60" s="31" t="str">
        <f>IFERROR(__xludf.DUMMYFUNCTION("""COMPUTED_VALUE"""),"ESCADA PROLONGAVEL PARA ATIVIDADES BOMBEIRO -")</f>
        <v>ESCADA PROLONGAVEL PARA ATIVIDADES BOMBEIRO -</v>
      </c>
      <c r="C60" s="32">
        <f>IFERROR(__xludf.DUMMYFUNCTION("""COMPUTED_VALUE"""),1.0)</f>
        <v>1</v>
      </c>
      <c r="D60" s="33" t="str">
        <f>IFERROR(__xludf.DUMMYFUNCTION("""COMPUTED_VALUE"""),"VIATURA")</f>
        <v>VIATURA</v>
      </c>
      <c r="E60" s="34" t="str">
        <f>IFERROR(__xludf.DUMMYFUNCTION("""COMPUTED_VALUE"""),"1 - ASL1080")</f>
        <v>1 - ASL1080</v>
      </c>
      <c r="F60" s="34" t="str">
        <f>IFERROR(__xludf.DUMMYFUNCTION("""COMPUTED_VALUE"""),"CARROCERIA")</f>
        <v>CARROCERIA</v>
      </c>
      <c r="G60" s="35">
        <f>IFERROR(__xludf.DUMMYFUNCTION("""COMPUTED_VALUE"""),7.6669173E7)</f>
        <v>76669173</v>
      </c>
      <c r="H60" s="34"/>
      <c r="I60" s="37"/>
    </row>
    <row r="61" ht="22.5" customHeight="1">
      <c r="A61" s="30">
        <f>IFERROR(__xludf.DUMMYFUNCTION("""COMPUTED_VALUE"""),191.0)</f>
        <v>191</v>
      </c>
      <c r="B61" s="31" t="str">
        <f>IFERROR(__xludf.DUMMYFUNCTION("""COMPUTED_VALUE"""),"FACÕES")</f>
        <v>FACÕES</v>
      </c>
      <c r="C61" s="32">
        <f>IFERROR(__xludf.DUMMYFUNCTION("""COMPUTED_VALUE"""),2.0)</f>
        <v>2</v>
      </c>
      <c r="D61" s="33" t="str">
        <f>IFERROR(__xludf.DUMMYFUNCTION("""COMPUTED_VALUE"""),"VIATURA")</f>
        <v>VIATURA</v>
      </c>
      <c r="E61" s="34" t="str">
        <f>IFERROR(__xludf.DUMMYFUNCTION("""COMPUTED_VALUE"""),"1 - ASL1080")</f>
        <v>1 - ASL1080</v>
      </c>
      <c r="F61" s="34" t="str">
        <f>IFERROR(__xludf.DUMMYFUNCTION("""COMPUTED_VALUE"""),"CARROCERIA")</f>
        <v>CARROCERIA</v>
      </c>
      <c r="G61" s="35"/>
      <c r="H61" s="34"/>
      <c r="I61" s="37"/>
    </row>
    <row r="62" ht="22.5" customHeight="1">
      <c r="A62" s="30">
        <f>IFERROR(__xludf.DUMMYFUNCTION("""COMPUTED_VALUE"""),200.0)</f>
        <v>200</v>
      </c>
      <c r="B62" s="31" t="str">
        <f>IFERROR(__xludf.DUMMYFUNCTION("""COMPUTED_VALUE"""),"FERRAMENTA DE CORTE (TITAN CRASH AXE)")</f>
        <v>FERRAMENTA DE CORTE (TITAN CRASH AXE)</v>
      </c>
      <c r="C62" s="32">
        <f>IFERROR(__xludf.DUMMYFUNCTION("""COMPUTED_VALUE"""),1.0)</f>
        <v>1</v>
      </c>
      <c r="D62" s="33" t="str">
        <f>IFERROR(__xludf.DUMMYFUNCTION("""COMPUTED_VALUE"""),"VIATURA")</f>
        <v>VIATURA</v>
      </c>
      <c r="E62" s="34" t="str">
        <f>IFERROR(__xludf.DUMMYFUNCTION("""COMPUTED_VALUE"""),"1 - ASL1080")</f>
        <v>1 - ASL1080</v>
      </c>
      <c r="F62" s="34" t="str">
        <f>IFERROR(__xludf.DUMMYFUNCTION("""COMPUTED_VALUE"""),"CARROCERIA")</f>
        <v>CARROCERIA</v>
      </c>
      <c r="G62" s="35"/>
      <c r="H62" s="34"/>
      <c r="I62" s="37"/>
    </row>
    <row r="63" ht="22.5" customHeight="1">
      <c r="A63" s="30">
        <f>IFERROR(__xludf.DUMMYFUNCTION("""COMPUTED_VALUE"""),1296.0)</f>
        <v>1296</v>
      </c>
      <c r="B63" s="31" t="str">
        <f>IFERROR(__xludf.DUMMYFUNCTION("""COMPUTED_VALUE"""),"FERRAMENTA PARA DESENCARCERAMENTO -")</f>
        <v>FERRAMENTA PARA DESENCARCERAMENTO -</v>
      </c>
      <c r="C63" s="32">
        <f>IFERROR(__xludf.DUMMYFUNCTION("""COMPUTED_VALUE"""),1.0)</f>
        <v>1</v>
      </c>
      <c r="D63" s="33" t="str">
        <f>IFERROR(__xludf.DUMMYFUNCTION("""COMPUTED_VALUE"""),"VIATURA")</f>
        <v>VIATURA</v>
      </c>
      <c r="E63" s="34" t="str">
        <f>IFERROR(__xludf.DUMMYFUNCTION("""COMPUTED_VALUE"""),"1 - ASL1080")</f>
        <v>1 - ASL1080</v>
      </c>
      <c r="F63" s="34" t="str">
        <f>IFERROR(__xludf.DUMMYFUNCTION("""COMPUTED_VALUE"""),"CARROCERIA")</f>
        <v>CARROCERIA</v>
      </c>
      <c r="G63" s="35">
        <f>IFERROR(__xludf.DUMMYFUNCTION("""COMPUTED_VALUE"""),7.670162E7)</f>
        <v>76701620</v>
      </c>
      <c r="H63" s="34" t="str">
        <f>IFERROR(__xludf.DUMMYFUNCTION("""COMPUTED_VALUE"""),"1346500 HH")</f>
        <v>1346500 HH</v>
      </c>
      <c r="I63" s="37" t="str">
        <f>IFERROR(__xludf.DUMMYFUNCTION("""COMPUTED_VALUE"""),"(COMBINADA) - HOLMATRO EVO - 3, COM 01 BATERIA")</f>
        <v>(COMBINADA) - HOLMATRO EVO - 3, COM 01 BATERIA</v>
      </c>
    </row>
    <row r="64" ht="22.5" customHeight="1">
      <c r="A64" s="30">
        <f>IFERROR(__xludf.DUMMYFUNCTION("""COMPUTED_VALUE"""),196.0)</f>
        <v>196</v>
      </c>
      <c r="B64" s="31" t="str">
        <f>IFERROR(__xludf.DUMMYFUNCTION("""COMPUTED_VALUE"""),"FLUTUADOR PARA SALVAMENTO AQUATICO -")</f>
        <v>FLUTUADOR PARA SALVAMENTO AQUATICO -</v>
      </c>
      <c r="C64" s="32">
        <f>IFERROR(__xludf.DUMMYFUNCTION("""COMPUTED_VALUE"""),1.0)</f>
        <v>1</v>
      </c>
      <c r="D64" s="33" t="str">
        <f>IFERROR(__xludf.DUMMYFUNCTION("""COMPUTED_VALUE"""),"VIATURA")</f>
        <v>VIATURA</v>
      </c>
      <c r="E64" s="34" t="str">
        <f>IFERROR(__xludf.DUMMYFUNCTION("""COMPUTED_VALUE"""),"1 - ASL1080")</f>
        <v>1 - ASL1080</v>
      </c>
      <c r="F64" s="34" t="str">
        <f>IFERROR(__xludf.DUMMYFUNCTION("""COMPUTED_VALUE"""),"CARROCERIA")</f>
        <v>CARROCERIA</v>
      </c>
      <c r="G64" s="35"/>
      <c r="H64" s="34"/>
      <c r="I64" s="37"/>
    </row>
    <row r="65" ht="22.5" customHeight="1">
      <c r="A65" s="30">
        <f>IFERROR(__xludf.DUMMYFUNCTION("""COMPUTED_VALUE"""),824.0)</f>
        <v>824</v>
      </c>
      <c r="B65" s="40" t="str">
        <f>IFERROR(__xludf.DUMMYFUNCTION("""COMPUTED_VALUE"""),"MACA ENVELOPE (SKED)")</f>
        <v>MACA ENVELOPE (SKED)</v>
      </c>
      <c r="C65" s="32">
        <f>IFERROR(__xludf.DUMMYFUNCTION("""COMPUTED_VALUE"""),1.0)</f>
        <v>1</v>
      </c>
      <c r="D65" s="33" t="str">
        <f>IFERROR(__xludf.DUMMYFUNCTION("""COMPUTED_VALUE"""),"VIATURA")</f>
        <v>VIATURA</v>
      </c>
      <c r="E65" s="34" t="str">
        <f>IFERROR(__xludf.DUMMYFUNCTION("""COMPUTED_VALUE"""),"1 - ASL1080")</f>
        <v>1 - ASL1080</v>
      </c>
      <c r="F65" s="34" t="str">
        <f>IFERROR(__xludf.DUMMYFUNCTION("""COMPUTED_VALUE"""),"CARROCERIA")</f>
        <v>CARROCERIA</v>
      </c>
      <c r="G65" s="35"/>
      <c r="H65" s="34"/>
      <c r="I65" s="37" t="str">
        <f>IFERROR(__xludf.DUMMYFUNCTION("""COMPUTED_VALUE"""),"CABO SOLTEIRO (PRETO E BRANCO 9M), MOSQUETÃO DE AÇO TIPO ""D"" C/ TRAVA AUTOMÁTICA.")</f>
        <v>CABO SOLTEIRO (PRETO E BRANCO 9M), MOSQUETÃO DE AÇO TIPO "D" C/ TRAVA AUTOMÁTICA.</v>
      </c>
    </row>
    <row r="66" ht="22.5" customHeight="1">
      <c r="A66" s="30">
        <f>IFERROR(__xludf.DUMMYFUNCTION("""COMPUTED_VALUE"""),221.0)</f>
        <v>221</v>
      </c>
      <c r="B66" s="31" t="str">
        <f>IFERROR(__xludf.DUMMYFUNCTION("""COMPUTED_VALUE"""),"PRANCHA LONGA")</f>
        <v>PRANCHA LONGA</v>
      </c>
      <c r="C66" s="32">
        <f>IFERROR(__xludf.DUMMYFUNCTION("""COMPUTED_VALUE"""),1.0)</f>
        <v>1</v>
      </c>
      <c r="D66" s="33" t="str">
        <f>IFERROR(__xludf.DUMMYFUNCTION("""COMPUTED_VALUE"""),"VIATURA")</f>
        <v>VIATURA</v>
      </c>
      <c r="E66" s="34" t="str">
        <f>IFERROR(__xludf.DUMMYFUNCTION("""COMPUTED_VALUE"""),"1 - ASL1080")</f>
        <v>1 - ASL1080</v>
      </c>
      <c r="F66" s="34" t="str">
        <f>IFERROR(__xludf.DUMMYFUNCTION("""COMPUTED_VALUE"""),"CARROCERIA")</f>
        <v>CARROCERIA</v>
      </c>
      <c r="G66" s="35"/>
      <c r="H66" s="34"/>
      <c r="I66" s="37" t="str">
        <f>IFERROR(__xludf.DUMMYFUNCTION("""COMPUTED_VALUE"""),"COM TIRANTE")</f>
        <v>COM TIRANTE</v>
      </c>
    </row>
    <row r="67" ht="22.5" customHeight="1">
      <c r="A67" s="30">
        <f>IFERROR(__xludf.DUMMYFUNCTION("""COMPUTED_VALUE"""),220.0)</f>
        <v>220</v>
      </c>
      <c r="B67" s="40" t="str">
        <f>IFERROR(__xludf.DUMMYFUNCTION("""COMPUTED_VALUE"""),"PULSAR")</f>
        <v>PULSAR</v>
      </c>
      <c r="C67" s="32">
        <f>IFERROR(__xludf.DUMMYFUNCTION("""COMPUTED_VALUE"""),1.0)</f>
        <v>1</v>
      </c>
      <c r="D67" s="33" t="str">
        <f>IFERROR(__xludf.DUMMYFUNCTION("""COMPUTED_VALUE"""),"VIATURA")</f>
        <v>VIATURA</v>
      </c>
      <c r="E67" s="34" t="str">
        <f>IFERROR(__xludf.DUMMYFUNCTION("""COMPUTED_VALUE"""),"1 - ASL1080")</f>
        <v>1 - ASL1080</v>
      </c>
      <c r="F67" s="34" t="str">
        <f>IFERROR(__xludf.DUMMYFUNCTION("""COMPUTED_VALUE"""),"CARROCERIA")</f>
        <v>CARROCERIA</v>
      </c>
      <c r="G67" s="35"/>
      <c r="H67" s="34"/>
      <c r="I67" s="37"/>
    </row>
    <row r="68" ht="22.5" customHeight="1">
      <c r="A68" s="30">
        <f>IFERROR(__xludf.DUMMYFUNCTION("""COMPUTED_VALUE"""),1105.0)</f>
        <v>1105</v>
      </c>
      <c r="B68" s="31" t="str">
        <f>IFERROR(__xludf.DUMMYFUNCTION("""COMPUTED_VALUE"""),"RADIO TRANSCEPTOR -")</f>
        <v>RADIO TRANSCEPTOR -</v>
      </c>
      <c r="C68" s="32">
        <f>IFERROR(__xludf.DUMMYFUNCTION("""COMPUTED_VALUE"""),1.0)</f>
        <v>1</v>
      </c>
      <c r="D68" s="33" t="str">
        <f>IFERROR(__xludf.DUMMYFUNCTION("""COMPUTED_VALUE"""),"VIATURA")</f>
        <v>VIATURA</v>
      </c>
      <c r="E68" s="34" t="str">
        <f>IFERROR(__xludf.DUMMYFUNCTION("""COMPUTED_VALUE"""),"1 - ASL1080")</f>
        <v>1 - ASL1080</v>
      </c>
      <c r="F68" s="34" t="str">
        <f>IFERROR(__xludf.DUMMYFUNCTION("""COMPUTED_VALUE"""),"CARROCERIA")</f>
        <v>CARROCERIA</v>
      </c>
      <c r="G68" s="35">
        <f>IFERROR(__xludf.DUMMYFUNCTION("""COMPUTED_VALUE"""),7.6815137E7)</f>
        <v>76815137</v>
      </c>
      <c r="H68" s="34"/>
      <c r="I68" s="37"/>
    </row>
    <row r="69" ht="22.5" customHeight="1">
      <c r="A69" s="30">
        <f>IFERROR(__xludf.DUMMYFUNCTION("""COMPUTED_VALUE"""),193.0)</f>
        <v>193</v>
      </c>
      <c r="B69" s="31" t="str">
        <f>IFERROR(__xludf.DUMMYFUNCTION("""COMPUTED_VALUE"""),"SACO DE CORDAS PARA RESGATE AQUATICO -")</f>
        <v>SACO DE CORDAS PARA RESGATE AQUATICO -</v>
      </c>
      <c r="C69" s="32">
        <f>IFERROR(__xludf.DUMMYFUNCTION("""COMPUTED_VALUE"""),2.0)</f>
        <v>2</v>
      </c>
      <c r="D69" s="33" t="str">
        <f>IFERROR(__xludf.DUMMYFUNCTION("""COMPUTED_VALUE"""),"VIATURA")</f>
        <v>VIATURA</v>
      </c>
      <c r="E69" s="34" t="str">
        <f>IFERROR(__xludf.DUMMYFUNCTION("""COMPUTED_VALUE"""),"1 - ASL1080")</f>
        <v>1 - ASL1080</v>
      </c>
      <c r="F69" s="34" t="str">
        <f>IFERROR(__xludf.DUMMYFUNCTION("""COMPUTED_VALUE"""),"CARROCERIA")</f>
        <v>CARROCERIA</v>
      </c>
      <c r="G69" s="35"/>
      <c r="H69" s="34"/>
      <c r="I69" s="37"/>
    </row>
    <row r="70" ht="22.5" customHeight="1">
      <c r="A70" s="30">
        <f>IFERROR(__xludf.DUMMYFUNCTION("""COMPUTED_VALUE"""),756.0)</f>
        <v>756</v>
      </c>
      <c r="B70" s="31" t="str">
        <f>IFERROR(__xludf.DUMMYFUNCTION("""COMPUTED_VALUE"""),"LANTERNA TÁTICA NIGHTSTICK")</f>
        <v>LANTERNA TÁTICA NIGHTSTICK</v>
      </c>
      <c r="C70" s="32">
        <f>IFERROR(__xludf.DUMMYFUNCTION("""COMPUTED_VALUE"""),1.0)</f>
        <v>1</v>
      </c>
      <c r="D70" s="33" t="str">
        <f>IFERROR(__xludf.DUMMYFUNCTION("""COMPUTED_VALUE"""),"VIATURA")</f>
        <v>VIATURA</v>
      </c>
      <c r="E70" s="34" t="str">
        <f>IFERROR(__xludf.DUMMYFUNCTION("""COMPUTED_VALUE"""),"1 - ASL1080")</f>
        <v>1 - ASL1080</v>
      </c>
      <c r="F70" s="34"/>
      <c r="G70" s="35"/>
      <c r="H70" s="34"/>
      <c r="I70" s="37"/>
    </row>
    <row r="71" ht="22.5" customHeight="1">
      <c r="A71" s="30"/>
      <c r="B71" s="31"/>
      <c r="C71" s="32"/>
      <c r="D71" s="33"/>
      <c r="E71" s="34"/>
      <c r="F71" s="34"/>
      <c r="G71" s="35"/>
      <c r="H71" s="34"/>
      <c r="I71" s="37"/>
    </row>
    <row r="72" ht="22.5" customHeight="1">
      <c r="A72" s="30"/>
      <c r="B72" s="40"/>
      <c r="C72" s="32"/>
      <c r="D72" s="33"/>
      <c r="E72" s="34"/>
      <c r="F72" s="34"/>
      <c r="G72" s="35"/>
      <c r="H72" s="34"/>
      <c r="I72" s="37"/>
    </row>
    <row r="73" ht="22.5" customHeight="1">
      <c r="A73" s="30"/>
      <c r="B73" s="31"/>
      <c r="C73" s="32"/>
      <c r="D73" s="33"/>
      <c r="E73" s="34"/>
      <c r="F73" s="34"/>
      <c r="G73" s="35"/>
      <c r="H73" s="34"/>
      <c r="I73" s="37"/>
    </row>
    <row r="74" ht="22.5" customHeight="1">
      <c r="A74" s="30"/>
      <c r="B74" s="31"/>
      <c r="C74" s="32"/>
      <c r="D74" s="33"/>
      <c r="E74" s="34"/>
      <c r="F74" s="34"/>
      <c r="G74" s="35"/>
      <c r="H74" s="34"/>
      <c r="I74" s="37"/>
    </row>
    <row r="75" ht="22.5" customHeight="1">
      <c r="A75" s="30"/>
      <c r="B75" s="31"/>
      <c r="C75" s="32"/>
      <c r="D75" s="33"/>
      <c r="E75" s="34"/>
      <c r="F75" s="34"/>
      <c r="G75" s="35"/>
      <c r="H75" s="34"/>
      <c r="I75" s="37"/>
    </row>
    <row r="76" ht="22.5" customHeight="1">
      <c r="A76" s="30"/>
      <c r="B76" s="31"/>
      <c r="C76" s="32"/>
      <c r="D76" s="33"/>
      <c r="E76" s="34"/>
      <c r="F76" s="34"/>
      <c r="G76" s="35"/>
      <c r="H76" s="34"/>
      <c r="I76" s="37"/>
    </row>
    <row r="77" ht="22.5" customHeight="1">
      <c r="A77" s="30"/>
      <c r="B77" s="31"/>
      <c r="C77" s="32"/>
      <c r="D77" s="33"/>
      <c r="E77" s="34"/>
      <c r="F77" s="34"/>
      <c r="G77" s="35"/>
      <c r="H77" s="34"/>
      <c r="I77" s="37"/>
    </row>
    <row r="78" ht="22.5" customHeight="1">
      <c r="A78" s="30"/>
      <c r="B78" s="31"/>
      <c r="C78" s="32"/>
      <c r="D78" s="33"/>
      <c r="E78" s="34"/>
      <c r="F78" s="34"/>
      <c r="G78" s="35"/>
      <c r="H78" s="34"/>
      <c r="I78" s="37"/>
    </row>
    <row r="79" ht="22.5" customHeight="1">
      <c r="A79" s="30"/>
      <c r="B79" s="31"/>
      <c r="C79" s="32"/>
      <c r="D79" s="33"/>
      <c r="E79" s="34"/>
      <c r="F79" s="34"/>
      <c r="G79" s="35"/>
      <c r="H79" s="34"/>
      <c r="I79" s="37"/>
    </row>
    <row r="80" ht="22.5" customHeight="1">
      <c r="A80" s="30"/>
      <c r="B80" s="31"/>
      <c r="C80" s="32"/>
      <c r="D80" s="33"/>
      <c r="E80" s="34"/>
      <c r="F80" s="34"/>
      <c r="G80" s="35"/>
      <c r="H80" s="34"/>
      <c r="I80" s="37"/>
    </row>
    <row r="81" ht="22.5" customHeight="1">
      <c r="A81" s="30"/>
      <c r="B81" s="31"/>
      <c r="C81" s="32"/>
      <c r="D81" s="33"/>
      <c r="E81" s="34"/>
      <c r="F81" s="34"/>
      <c r="G81" s="35"/>
      <c r="H81" s="34"/>
      <c r="I81" s="37"/>
    </row>
    <row r="82" ht="22.5" customHeight="1">
      <c r="A82" s="30"/>
      <c r="B82" s="31"/>
      <c r="C82" s="32"/>
      <c r="D82" s="33"/>
      <c r="E82" s="34"/>
      <c r="F82" s="34"/>
      <c r="G82" s="35"/>
      <c r="H82" s="34"/>
      <c r="I82" s="37"/>
    </row>
    <row r="83" ht="22.5" customHeight="1">
      <c r="A83" s="30"/>
      <c r="B83" s="31"/>
      <c r="C83" s="32"/>
      <c r="D83" s="33"/>
      <c r="E83" s="34"/>
      <c r="F83" s="34"/>
      <c r="G83" s="35"/>
      <c r="H83" s="34"/>
      <c r="I83" s="37"/>
    </row>
    <row r="84" ht="22.5" customHeight="1">
      <c r="A84" s="30"/>
      <c r="B84" s="31"/>
      <c r="C84" s="32"/>
      <c r="D84" s="33"/>
      <c r="E84" s="34"/>
      <c r="F84" s="34"/>
      <c r="G84" s="35"/>
      <c r="H84" s="34"/>
      <c r="I84" s="37"/>
    </row>
    <row r="85" ht="22.5" customHeight="1">
      <c r="A85" s="30"/>
      <c r="B85" s="31"/>
      <c r="C85" s="32"/>
      <c r="D85" s="33"/>
      <c r="E85" s="34"/>
      <c r="F85" s="34"/>
      <c r="G85" s="35"/>
      <c r="H85" s="34"/>
      <c r="I85" s="37"/>
    </row>
    <row r="86" ht="22.5" customHeight="1">
      <c r="A86" s="30"/>
      <c r="B86" s="31"/>
      <c r="C86" s="32"/>
      <c r="D86" s="33"/>
      <c r="E86" s="34"/>
      <c r="F86" s="34"/>
      <c r="G86" s="35"/>
      <c r="H86" s="34"/>
      <c r="I86" s="37"/>
    </row>
    <row r="87" ht="22.5" customHeight="1">
      <c r="A87" s="30"/>
      <c r="B87" s="31"/>
      <c r="C87" s="32"/>
      <c r="D87" s="33"/>
      <c r="E87" s="34"/>
      <c r="F87" s="34"/>
      <c r="G87" s="35"/>
      <c r="H87" s="34"/>
      <c r="I87" s="37"/>
    </row>
    <row r="88" ht="22.5" customHeight="1">
      <c r="A88" s="30"/>
      <c r="B88" s="31"/>
      <c r="C88" s="32"/>
      <c r="D88" s="33"/>
      <c r="E88" s="34"/>
      <c r="F88" s="34"/>
      <c r="G88" s="35"/>
      <c r="H88" s="34"/>
      <c r="I88" s="37"/>
    </row>
    <row r="89" ht="22.5" customHeight="1">
      <c r="A89" s="30"/>
      <c r="B89" s="31"/>
      <c r="C89" s="32"/>
      <c r="D89" s="33"/>
      <c r="E89" s="34"/>
      <c r="F89" s="34"/>
      <c r="G89" s="35"/>
      <c r="H89" s="34"/>
      <c r="I89" s="37"/>
    </row>
    <row r="90" ht="22.5" customHeight="1">
      <c r="A90" s="30"/>
      <c r="B90" s="31"/>
      <c r="C90" s="32"/>
      <c r="D90" s="33"/>
      <c r="E90" s="34"/>
      <c r="F90" s="34"/>
      <c r="G90" s="35"/>
      <c r="H90" s="34"/>
      <c r="I90" s="37"/>
    </row>
    <row r="91" ht="22.5" customHeight="1">
      <c r="A91" s="30"/>
      <c r="B91" s="31"/>
      <c r="C91" s="32"/>
      <c r="D91" s="33"/>
      <c r="E91" s="34"/>
      <c r="F91" s="34"/>
      <c r="G91" s="35"/>
      <c r="H91" s="34"/>
      <c r="I91" s="37"/>
    </row>
    <row r="92" ht="22.5" customHeight="1">
      <c r="A92" s="30"/>
      <c r="B92" s="31"/>
      <c r="C92" s="32"/>
      <c r="D92" s="33"/>
      <c r="E92" s="34"/>
      <c r="F92" s="34"/>
      <c r="G92" s="35"/>
      <c r="H92" s="34"/>
      <c r="I92" s="37"/>
    </row>
    <row r="93" ht="22.5" customHeight="1">
      <c r="A93" s="30"/>
      <c r="B93" s="31"/>
      <c r="C93" s="32"/>
      <c r="D93" s="33"/>
      <c r="E93" s="34"/>
      <c r="F93" s="34"/>
      <c r="G93" s="35"/>
      <c r="H93" s="34"/>
      <c r="I93" s="37"/>
    </row>
    <row r="94" ht="22.5" customHeight="1">
      <c r="A94" s="30"/>
      <c r="B94" s="40"/>
      <c r="C94" s="32"/>
      <c r="D94" s="33"/>
      <c r="E94" s="34"/>
      <c r="F94" s="34"/>
      <c r="G94" s="35"/>
      <c r="H94" s="34"/>
      <c r="I94" s="37"/>
    </row>
    <row r="95" ht="22.5" customHeight="1">
      <c r="A95" s="30"/>
      <c r="B95" s="31"/>
      <c r="C95" s="32"/>
      <c r="D95" s="33"/>
      <c r="E95" s="34"/>
      <c r="F95" s="34"/>
      <c r="G95" s="35"/>
      <c r="H95" s="34"/>
      <c r="I95" s="37"/>
    </row>
    <row r="96" ht="22.5" customHeight="1">
      <c r="A96" s="30"/>
      <c r="B96" s="31"/>
      <c r="C96" s="32"/>
      <c r="D96" s="33"/>
      <c r="E96" s="34"/>
      <c r="F96" s="34"/>
      <c r="G96" s="35"/>
      <c r="H96" s="34"/>
      <c r="I96" s="37"/>
    </row>
    <row r="97" ht="22.5" customHeight="1">
      <c r="A97" s="30"/>
      <c r="B97" s="31"/>
      <c r="C97" s="32"/>
      <c r="D97" s="33"/>
      <c r="E97" s="34"/>
      <c r="F97" s="34"/>
      <c r="G97" s="35"/>
      <c r="H97" s="34"/>
      <c r="I97" s="37"/>
    </row>
    <row r="98" ht="22.5" customHeight="1">
      <c r="A98" s="30"/>
      <c r="B98" s="31"/>
      <c r="C98" s="32"/>
      <c r="D98" s="33"/>
      <c r="E98" s="34"/>
      <c r="F98" s="34"/>
      <c r="G98" s="35"/>
      <c r="H98" s="34"/>
      <c r="I98" s="38"/>
    </row>
    <row r="99" ht="22.5" customHeight="1">
      <c r="A99" s="30"/>
      <c r="B99" s="39"/>
      <c r="C99" s="32"/>
      <c r="D99" s="33"/>
      <c r="E99" s="34"/>
      <c r="F99" s="34"/>
      <c r="G99" s="35"/>
      <c r="H99" s="34"/>
      <c r="I99" s="37"/>
    </row>
    <row r="100" ht="22.5" customHeight="1">
      <c r="A100" s="30"/>
      <c r="B100" s="31"/>
      <c r="C100" s="32"/>
      <c r="D100" s="33"/>
      <c r="E100" s="34"/>
      <c r="F100" s="34"/>
      <c r="G100" s="35"/>
      <c r="H100" s="34"/>
      <c r="I100" s="37"/>
    </row>
    <row r="101" ht="22.5" customHeight="1">
      <c r="A101" s="30"/>
      <c r="B101" s="31"/>
      <c r="C101" s="32"/>
      <c r="D101" s="33"/>
      <c r="E101" s="34"/>
      <c r="F101" s="34"/>
      <c r="G101" s="35"/>
      <c r="H101" s="34"/>
      <c r="I101" s="37"/>
    </row>
    <row r="102" ht="22.5" customHeight="1">
      <c r="A102" s="30"/>
      <c r="B102" s="31"/>
      <c r="C102" s="32"/>
      <c r="D102" s="33"/>
      <c r="E102" s="34"/>
      <c r="F102" s="34"/>
      <c r="G102" s="35"/>
      <c r="H102" s="34"/>
      <c r="I102" s="37"/>
    </row>
    <row r="103" ht="22.5" customHeight="1">
      <c r="A103" s="30"/>
      <c r="B103" s="39"/>
      <c r="C103" s="32"/>
      <c r="D103" s="33"/>
      <c r="E103" s="34"/>
      <c r="F103" s="34"/>
      <c r="G103" s="35"/>
      <c r="H103" s="34"/>
      <c r="I103" s="37"/>
    </row>
    <row r="104" ht="22.5" customHeight="1">
      <c r="A104" s="30"/>
      <c r="B104" s="31"/>
      <c r="C104" s="32"/>
      <c r="D104" s="33"/>
      <c r="E104" s="34"/>
      <c r="F104" s="34"/>
      <c r="G104" s="35"/>
      <c r="H104" s="34"/>
      <c r="I104" s="37"/>
    </row>
    <row r="105" ht="22.5" customHeight="1">
      <c r="A105" s="30"/>
      <c r="B105" s="39"/>
      <c r="C105" s="32"/>
      <c r="D105" s="33"/>
      <c r="E105" s="34"/>
      <c r="F105" s="34"/>
      <c r="G105" s="35"/>
      <c r="H105" s="34"/>
      <c r="I105" s="37"/>
    </row>
    <row r="106" ht="22.5" customHeight="1">
      <c r="A106" s="30"/>
      <c r="B106" s="31"/>
      <c r="C106" s="32"/>
      <c r="D106" s="33"/>
      <c r="E106" s="34"/>
      <c r="F106" s="34"/>
      <c r="G106" s="35"/>
      <c r="H106" s="34"/>
      <c r="I106" s="37"/>
    </row>
    <row r="107" ht="22.5" customHeight="1">
      <c r="A107" s="30"/>
      <c r="B107" s="31"/>
      <c r="C107" s="32"/>
      <c r="D107" s="33"/>
      <c r="E107" s="34"/>
      <c r="F107" s="34"/>
      <c r="G107" s="35"/>
      <c r="H107" s="34"/>
      <c r="I107" s="37"/>
    </row>
    <row r="108" ht="22.5" customHeight="1">
      <c r="A108" s="30"/>
      <c r="B108" s="31"/>
      <c r="C108" s="32"/>
      <c r="D108" s="33"/>
      <c r="E108" s="34"/>
      <c r="F108" s="34"/>
      <c r="G108" s="35"/>
      <c r="H108" s="34"/>
      <c r="I108" s="37"/>
    </row>
    <row r="109" ht="22.5" customHeight="1">
      <c r="A109" s="30"/>
      <c r="B109" s="31"/>
      <c r="C109" s="32"/>
      <c r="D109" s="33"/>
      <c r="E109" s="34"/>
      <c r="F109" s="34"/>
      <c r="G109" s="35"/>
      <c r="H109" s="34"/>
      <c r="I109" s="37"/>
    </row>
    <row r="110" ht="22.5" customHeight="1">
      <c r="A110" s="30"/>
      <c r="B110" s="31"/>
      <c r="C110" s="32"/>
      <c r="D110" s="33"/>
      <c r="E110" s="34"/>
      <c r="F110" s="34"/>
      <c r="G110" s="35"/>
      <c r="H110" s="34"/>
      <c r="I110" s="37"/>
    </row>
    <row r="111" ht="22.5" customHeight="1">
      <c r="A111" s="30"/>
      <c r="B111" s="31"/>
      <c r="C111" s="32"/>
      <c r="D111" s="33"/>
      <c r="E111" s="34"/>
      <c r="F111" s="34"/>
      <c r="G111" s="35"/>
      <c r="H111" s="34"/>
      <c r="I111" s="37"/>
    </row>
    <row r="112" ht="22.5" customHeight="1">
      <c r="A112" s="30"/>
      <c r="B112" s="31"/>
      <c r="C112" s="32"/>
      <c r="D112" s="33"/>
      <c r="E112" s="34"/>
      <c r="F112" s="34"/>
      <c r="G112" s="35"/>
      <c r="H112" s="34"/>
      <c r="I112" s="37"/>
    </row>
    <row r="113" ht="22.5" customHeight="1">
      <c r="A113" s="30"/>
      <c r="B113" s="31"/>
      <c r="C113" s="32"/>
      <c r="D113" s="33"/>
      <c r="E113" s="34"/>
      <c r="F113" s="34"/>
      <c r="G113" s="35"/>
      <c r="H113" s="34"/>
      <c r="I113" s="37"/>
    </row>
    <row r="114" ht="22.5" customHeight="1">
      <c r="A114" s="30"/>
      <c r="B114" s="31"/>
      <c r="C114" s="32"/>
      <c r="D114" s="33"/>
      <c r="E114" s="34"/>
      <c r="F114" s="34"/>
      <c r="G114" s="35"/>
      <c r="H114" s="34"/>
      <c r="I114" s="37"/>
    </row>
    <row r="115" ht="22.5" customHeight="1">
      <c r="A115" s="30"/>
      <c r="B115" s="31"/>
      <c r="C115" s="32"/>
      <c r="D115" s="33"/>
      <c r="E115" s="34"/>
      <c r="F115" s="34"/>
      <c r="G115" s="35"/>
      <c r="H115" s="34"/>
      <c r="I115" s="37"/>
    </row>
    <row r="116" ht="22.5" customHeight="1">
      <c r="A116" s="30"/>
      <c r="B116" s="40"/>
      <c r="C116" s="32"/>
      <c r="D116" s="33"/>
      <c r="E116" s="34"/>
      <c r="F116" s="34"/>
      <c r="G116" s="35"/>
      <c r="H116" s="34"/>
      <c r="I116" s="37"/>
    </row>
    <row r="117" ht="22.5" customHeight="1">
      <c r="A117" s="30"/>
      <c r="B117" s="31"/>
      <c r="C117" s="32"/>
      <c r="D117" s="33"/>
      <c r="E117" s="34"/>
      <c r="F117" s="34"/>
      <c r="G117" s="35"/>
      <c r="H117" s="34"/>
      <c r="I117" s="37"/>
    </row>
    <row r="118" ht="22.5" customHeight="1">
      <c r="A118" s="30"/>
      <c r="B118" s="31"/>
      <c r="C118" s="32"/>
      <c r="D118" s="33"/>
      <c r="E118" s="34"/>
      <c r="F118" s="34"/>
      <c r="G118" s="35"/>
      <c r="H118" s="34"/>
      <c r="I118" s="37"/>
    </row>
    <row r="119" ht="22.5" customHeight="1">
      <c r="A119" s="30"/>
      <c r="B119" s="31"/>
      <c r="C119" s="32"/>
      <c r="D119" s="33"/>
      <c r="E119" s="34"/>
      <c r="F119" s="34"/>
      <c r="G119" s="35"/>
      <c r="H119" s="34"/>
      <c r="I119" s="37"/>
    </row>
    <row r="120" ht="22.5" customHeight="1">
      <c r="A120" s="30"/>
      <c r="B120" s="31"/>
      <c r="C120" s="32"/>
      <c r="D120" s="33"/>
      <c r="E120" s="34"/>
      <c r="F120" s="34"/>
      <c r="G120" s="35"/>
      <c r="H120" s="34"/>
      <c r="I120" s="37"/>
    </row>
    <row r="121" ht="22.5" customHeight="1">
      <c r="A121" s="30"/>
      <c r="B121" s="31"/>
      <c r="C121" s="32"/>
      <c r="D121" s="33"/>
      <c r="E121" s="34"/>
      <c r="F121" s="34"/>
      <c r="G121" s="35"/>
      <c r="H121" s="34"/>
      <c r="I121" s="37"/>
    </row>
    <row r="122" ht="22.5" customHeight="1">
      <c r="A122" s="30"/>
      <c r="B122" s="31"/>
      <c r="C122" s="32"/>
      <c r="D122" s="33"/>
      <c r="E122" s="34"/>
      <c r="F122" s="34"/>
      <c r="G122" s="35"/>
      <c r="H122" s="34"/>
      <c r="I122" s="37"/>
    </row>
    <row r="123" ht="22.5" customHeight="1">
      <c r="A123" s="30"/>
      <c r="B123" s="39"/>
      <c r="C123" s="32"/>
      <c r="D123" s="33"/>
      <c r="E123" s="34"/>
      <c r="F123" s="34"/>
      <c r="G123" s="35"/>
      <c r="H123" s="34"/>
      <c r="I123" s="37"/>
    </row>
    <row r="124" ht="22.5" customHeight="1">
      <c r="A124" s="30"/>
      <c r="B124" s="39"/>
      <c r="C124" s="32"/>
      <c r="D124" s="33"/>
      <c r="E124" s="34"/>
      <c r="F124" s="34"/>
      <c r="G124" s="35"/>
      <c r="H124" s="34"/>
      <c r="I124" s="37"/>
    </row>
    <row r="125" ht="22.5" customHeight="1">
      <c r="A125" s="30"/>
      <c r="B125" s="39"/>
      <c r="C125" s="32"/>
      <c r="D125" s="33"/>
      <c r="E125" s="34"/>
      <c r="F125" s="34"/>
      <c r="G125" s="35"/>
      <c r="H125" s="34"/>
      <c r="I125" s="37"/>
    </row>
    <row r="126" ht="22.5" customHeight="1">
      <c r="A126" s="30"/>
      <c r="B126" s="40"/>
      <c r="C126" s="32"/>
      <c r="D126" s="33"/>
      <c r="E126" s="34"/>
      <c r="F126" s="34"/>
      <c r="G126" s="35"/>
      <c r="H126" s="34"/>
      <c r="I126" s="37"/>
    </row>
    <row r="127" ht="22.5" customHeight="1">
      <c r="A127" s="30"/>
      <c r="B127" s="31"/>
      <c r="C127" s="32"/>
      <c r="D127" s="33"/>
      <c r="E127" s="34"/>
      <c r="F127" s="34"/>
      <c r="G127" s="35"/>
      <c r="H127" s="34"/>
      <c r="I127" s="37"/>
    </row>
    <row r="128" ht="22.5" customHeight="1">
      <c r="A128" s="30"/>
      <c r="B128" s="31"/>
      <c r="C128" s="32"/>
      <c r="D128" s="33"/>
      <c r="E128" s="34"/>
      <c r="F128" s="34"/>
      <c r="G128" s="35"/>
      <c r="H128" s="34"/>
      <c r="I128" s="37"/>
    </row>
    <row r="129" ht="22.5" customHeight="1">
      <c r="A129" s="30"/>
      <c r="B129" s="31"/>
      <c r="C129" s="32"/>
      <c r="D129" s="33"/>
      <c r="E129" s="34"/>
      <c r="F129" s="34"/>
      <c r="G129" s="35"/>
      <c r="H129" s="34"/>
      <c r="I129" s="37"/>
    </row>
    <row r="130" ht="22.5" customHeight="1">
      <c r="A130" s="30"/>
      <c r="B130" s="31"/>
      <c r="C130" s="32"/>
      <c r="D130" s="33"/>
      <c r="E130" s="34"/>
      <c r="F130" s="34"/>
      <c r="G130" s="35"/>
      <c r="H130" s="34"/>
      <c r="I130" s="37"/>
    </row>
    <row r="131" ht="22.5" customHeight="1">
      <c r="A131" s="30"/>
      <c r="B131" s="31"/>
      <c r="C131" s="32"/>
      <c r="D131" s="33"/>
      <c r="E131" s="34"/>
      <c r="F131" s="34"/>
      <c r="G131" s="35"/>
      <c r="H131" s="34"/>
      <c r="I131" s="37"/>
    </row>
    <row r="132" ht="22.5" customHeight="1">
      <c r="A132" s="30"/>
      <c r="B132" s="31"/>
      <c r="C132" s="32"/>
      <c r="D132" s="33"/>
      <c r="E132" s="34"/>
      <c r="F132" s="34"/>
      <c r="G132" s="35"/>
      <c r="H132" s="34"/>
      <c r="I132" s="37"/>
    </row>
    <row r="133" ht="22.5" customHeight="1">
      <c r="A133" s="30"/>
      <c r="B133" s="31"/>
      <c r="C133" s="32"/>
      <c r="D133" s="33"/>
      <c r="E133" s="34"/>
      <c r="F133" s="34"/>
      <c r="G133" s="35"/>
      <c r="H133" s="34"/>
      <c r="I133" s="37"/>
    </row>
    <row r="134" ht="22.5" customHeight="1">
      <c r="A134" s="30"/>
      <c r="B134" s="31"/>
      <c r="C134" s="32"/>
      <c r="D134" s="33"/>
      <c r="E134" s="34"/>
      <c r="F134" s="34"/>
      <c r="G134" s="35"/>
      <c r="H134" s="34"/>
      <c r="I134" s="37"/>
    </row>
    <row r="135" ht="22.5" customHeight="1">
      <c r="A135" s="30"/>
      <c r="B135" s="31"/>
      <c r="C135" s="32"/>
      <c r="D135" s="33"/>
      <c r="E135" s="34"/>
      <c r="F135" s="34"/>
      <c r="G135" s="35"/>
      <c r="H135" s="34"/>
      <c r="I135" s="37"/>
    </row>
    <row r="136" ht="22.5" customHeight="1">
      <c r="A136" s="30"/>
      <c r="B136" s="40"/>
      <c r="C136" s="32"/>
      <c r="D136" s="33"/>
      <c r="E136" s="34"/>
      <c r="F136" s="34"/>
      <c r="G136" s="35"/>
      <c r="H136" s="34"/>
      <c r="I136" s="37"/>
    </row>
    <row r="137" ht="22.5" customHeight="1">
      <c r="A137" s="30"/>
      <c r="B137" s="31"/>
      <c r="C137" s="32"/>
      <c r="D137" s="33"/>
      <c r="E137" s="34"/>
      <c r="F137" s="34"/>
      <c r="G137" s="35"/>
      <c r="H137" s="34"/>
      <c r="I137" s="37"/>
    </row>
    <row r="138" ht="22.5" customHeight="1">
      <c r="A138" s="30"/>
      <c r="B138" s="31"/>
      <c r="C138" s="32"/>
      <c r="D138" s="33"/>
      <c r="E138" s="34"/>
      <c r="F138" s="34"/>
      <c r="G138" s="35"/>
      <c r="H138" s="34"/>
      <c r="I138" s="37"/>
    </row>
    <row r="139" ht="22.5" customHeight="1">
      <c r="A139" s="30"/>
      <c r="B139" s="31"/>
      <c r="C139" s="32"/>
      <c r="D139" s="33"/>
      <c r="E139" s="34"/>
      <c r="F139" s="34"/>
      <c r="G139" s="35"/>
      <c r="H139" s="34"/>
      <c r="I139" s="37"/>
    </row>
    <row r="140" ht="22.5" customHeight="1">
      <c r="A140" s="30"/>
      <c r="B140" s="40"/>
      <c r="C140" s="32"/>
      <c r="D140" s="33"/>
      <c r="E140" s="34"/>
      <c r="F140" s="34"/>
      <c r="G140" s="35"/>
      <c r="H140" s="34"/>
      <c r="I140" s="37"/>
    </row>
    <row r="141" ht="22.5" customHeight="1">
      <c r="A141" s="30"/>
      <c r="B141" s="31"/>
      <c r="C141" s="32"/>
      <c r="D141" s="33"/>
      <c r="E141" s="34"/>
      <c r="F141" s="34"/>
      <c r="G141" s="35"/>
      <c r="H141" s="34"/>
      <c r="I141" s="37"/>
    </row>
    <row r="142" ht="22.5" customHeight="1">
      <c r="A142" s="30"/>
      <c r="B142" s="31"/>
      <c r="C142" s="32"/>
      <c r="D142" s="33"/>
      <c r="E142" s="34"/>
      <c r="F142" s="34"/>
      <c r="G142" s="35"/>
      <c r="H142" s="34"/>
      <c r="I142" s="37"/>
    </row>
    <row r="143" ht="22.5" customHeight="1">
      <c r="A143" s="30"/>
      <c r="B143" s="31"/>
      <c r="C143" s="32"/>
      <c r="D143" s="33"/>
      <c r="E143" s="34"/>
      <c r="F143" s="34"/>
      <c r="G143" s="35"/>
      <c r="H143" s="34"/>
      <c r="I143" s="37"/>
    </row>
    <row r="144" ht="22.5" customHeight="1">
      <c r="A144" s="30"/>
      <c r="B144" s="31"/>
      <c r="C144" s="32"/>
      <c r="D144" s="33"/>
      <c r="E144" s="34"/>
      <c r="F144" s="34"/>
      <c r="G144" s="35"/>
      <c r="H144" s="34"/>
      <c r="I144" s="37"/>
    </row>
    <row r="145" ht="22.5" customHeight="1">
      <c r="A145" s="30"/>
      <c r="B145" s="31"/>
      <c r="C145" s="32"/>
      <c r="D145" s="33"/>
      <c r="E145" s="34"/>
      <c r="F145" s="34"/>
      <c r="G145" s="35"/>
      <c r="H145" s="34"/>
      <c r="I145" s="37"/>
    </row>
    <row r="146" ht="22.5" customHeight="1">
      <c r="A146" s="30"/>
      <c r="B146" s="31"/>
      <c r="C146" s="32"/>
      <c r="D146" s="33"/>
      <c r="E146" s="34"/>
      <c r="F146" s="34"/>
      <c r="G146" s="35"/>
      <c r="H146" s="34"/>
      <c r="I146" s="37"/>
    </row>
    <row r="147" ht="22.5" customHeight="1">
      <c r="A147" s="30"/>
      <c r="B147" s="31"/>
      <c r="C147" s="32"/>
      <c r="D147" s="33"/>
      <c r="E147" s="34"/>
      <c r="F147" s="34"/>
      <c r="G147" s="35"/>
      <c r="H147" s="34"/>
      <c r="I147" s="37"/>
    </row>
    <row r="148" ht="22.5" customHeight="1">
      <c r="A148" s="30"/>
      <c r="B148" s="31"/>
      <c r="C148" s="32"/>
      <c r="D148" s="33"/>
      <c r="E148" s="34"/>
      <c r="F148" s="34"/>
      <c r="G148" s="35"/>
      <c r="H148" s="34"/>
      <c r="I148" s="37"/>
    </row>
    <row r="149" ht="22.5" customHeight="1">
      <c r="A149" s="30"/>
      <c r="B149" s="31"/>
      <c r="C149" s="32"/>
      <c r="D149" s="33"/>
      <c r="E149" s="34"/>
      <c r="F149" s="34"/>
      <c r="G149" s="35"/>
      <c r="H149" s="34"/>
      <c r="I149" s="37"/>
    </row>
    <row r="150" ht="22.5" customHeight="1">
      <c r="A150" s="30"/>
      <c r="B150" s="31"/>
      <c r="C150" s="32"/>
      <c r="D150" s="33"/>
      <c r="E150" s="34"/>
      <c r="F150" s="34"/>
      <c r="G150" s="35"/>
      <c r="H150" s="34"/>
      <c r="I150" s="37"/>
    </row>
    <row r="151" ht="22.5" customHeight="1">
      <c r="A151" s="30"/>
      <c r="B151" s="31"/>
      <c r="C151" s="32"/>
      <c r="D151" s="33"/>
      <c r="E151" s="34"/>
      <c r="F151" s="34"/>
      <c r="G151" s="35"/>
      <c r="H151" s="34"/>
      <c r="I151" s="37"/>
    </row>
    <row r="152" ht="22.5" customHeight="1">
      <c r="A152" s="30"/>
      <c r="B152" s="31"/>
      <c r="C152" s="32"/>
      <c r="D152" s="33"/>
      <c r="E152" s="34"/>
      <c r="F152" s="34"/>
      <c r="G152" s="35"/>
      <c r="H152" s="34"/>
      <c r="I152" s="37"/>
    </row>
    <row r="153" ht="22.5" customHeight="1">
      <c r="A153" s="30"/>
      <c r="B153" s="31"/>
      <c r="C153" s="32"/>
      <c r="D153" s="33"/>
      <c r="E153" s="34"/>
      <c r="F153" s="34"/>
      <c r="G153" s="35"/>
      <c r="H153" s="34"/>
      <c r="I153" s="37"/>
    </row>
    <row r="154" ht="22.5" customHeight="1">
      <c r="A154" s="30"/>
      <c r="B154" s="31"/>
      <c r="C154" s="32"/>
      <c r="D154" s="33"/>
      <c r="E154" s="34"/>
      <c r="F154" s="34"/>
      <c r="G154" s="35"/>
      <c r="H154" s="34"/>
      <c r="I154" s="37"/>
    </row>
    <row r="155" ht="22.5" customHeight="1">
      <c r="A155" s="30"/>
      <c r="B155" s="40"/>
      <c r="C155" s="32"/>
      <c r="D155" s="33"/>
      <c r="E155" s="34"/>
      <c r="F155" s="34"/>
      <c r="G155" s="35"/>
      <c r="H155" s="34"/>
      <c r="I155" s="37"/>
    </row>
    <row r="156" ht="22.5" customHeight="1">
      <c r="A156" s="30"/>
      <c r="B156" s="31"/>
      <c r="C156" s="32"/>
      <c r="D156" s="33"/>
      <c r="E156" s="34"/>
      <c r="F156" s="34"/>
      <c r="G156" s="35"/>
      <c r="H156" s="34"/>
      <c r="I156" s="37"/>
    </row>
    <row r="157" ht="22.5" customHeight="1">
      <c r="A157" s="30"/>
      <c r="B157" s="40"/>
      <c r="C157" s="32"/>
      <c r="D157" s="33"/>
      <c r="E157" s="34"/>
      <c r="F157" s="34"/>
      <c r="G157" s="35"/>
      <c r="H157" s="34"/>
      <c r="I157" s="37"/>
    </row>
    <row r="158" ht="22.5" customHeight="1">
      <c r="A158" s="30"/>
      <c r="B158" s="31"/>
      <c r="C158" s="32"/>
      <c r="D158" s="33"/>
      <c r="E158" s="34"/>
      <c r="F158" s="34"/>
      <c r="G158" s="35"/>
      <c r="H158" s="34"/>
      <c r="I158" s="37"/>
    </row>
    <row r="159" ht="22.5" customHeight="1">
      <c r="A159" s="30"/>
      <c r="B159" s="31"/>
      <c r="C159" s="32"/>
      <c r="D159" s="33"/>
      <c r="E159" s="34"/>
      <c r="F159" s="34"/>
      <c r="G159" s="35"/>
      <c r="H159" s="34"/>
      <c r="I159" s="37"/>
    </row>
    <row r="160" ht="22.5" customHeight="1">
      <c r="A160" s="30"/>
      <c r="B160" s="31"/>
      <c r="C160" s="32"/>
      <c r="D160" s="33"/>
      <c r="E160" s="34"/>
      <c r="F160" s="34"/>
      <c r="G160" s="35"/>
      <c r="H160" s="34"/>
      <c r="I160" s="37"/>
    </row>
    <row r="161" ht="22.5" customHeight="1">
      <c r="A161" s="30"/>
      <c r="B161" s="31"/>
      <c r="C161" s="32"/>
      <c r="D161" s="33"/>
      <c r="E161" s="34"/>
      <c r="F161" s="34"/>
      <c r="G161" s="35"/>
      <c r="H161" s="34"/>
      <c r="I161" s="37"/>
    </row>
    <row r="162" ht="22.5" customHeight="1">
      <c r="A162" s="30"/>
      <c r="B162" s="40"/>
      <c r="C162" s="32"/>
      <c r="D162" s="33"/>
      <c r="E162" s="34"/>
      <c r="F162" s="34"/>
      <c r="G162" s="35"/>
      <c r="H162" s="34"/>
      <c r="I162" s="37"/>
    </row>
    <row r="163" ht="22.5" customHeight="1">
      <c r="A163" s="30"/>
      <c r="B163" s="31"/>
      <c r="C163" s="32"/>
      <c r="D163" s="33"/>
      <c r="E163" s="34"/>
      <c r="F163" s="34"/>
      <c r="G163" s="35"/>
      <c r="H163" s="34"/>
      <c r="I163" s="37"/>
    </row>
    <row r="164" ht="22.5" customHeight="1">
      <c r="A164" s="30"/>
      <c r="B164" s="31"/>
      <c r="C164" s="32"/>
      <c r="D164" s="33"/>
      <c r="E164" s="34"/>
      <c r="F164" s="34"/>
      <c r="G164" s="35"/>
      <c r="H164" s="34"/>
      <c r="I164" s="37"/>
    </row>
    <row r="165" ht="22.5" customHeight="1">
      <c r="A165" s="30"/>
      <c r="B165" s="31"/>
      <c r="C165" s="32"/>
      <c r="D165" s="33"/>
      <c r="E165" s="34"/>
      <c r="F165" s="34"/>
      <c r="G165" s="35"/>
      <c r="H165" s="34"/>
      <c r="I165" s="37"/>
    </row>
    <row r="166" ht="22.5" customHeight="1">
      <c r="A166" s="30"/>
      <c r="B166" s="31"/>
      <c r="C166" s="32"/>
      <c r="D166" s="33"/>
      <c r="E166" s="34"/>
      <c r="F166" s="34"/>
      <c r="G166" s="35"/>
      <c r="H166" s="34"/>
      <c r="I166" s="37"/>
    </row>
    <row r="167" ht="22.5" customHeight="1">
      <c r="A167" s="30"/>
      <c r="B167" s="31"/>
      <c r="C167" s="32"/>
      <c r="D167" s="33"/>
      <c r="E167" s="34"/>
      <c r="F167" s="34"/>
      <c r="G167" s="35"/>
      <c r="H167" s="34"/>
      <c r="I167" s="37"/>
    </row>
    <row r="168" ht="22.5" customHeight="1">
      <c r="A168" s="30"/>
      <c r="B168" s="31"/>
      <c r="C168" s="32"/>
      <c r="D168" s="33"/>
      <c r="E168" s="34"/>
      <c r="F168" s="34"/>
      <c r="G168" s="35"/>
      <c r="H168" s="34"/>
      <c r="I168" s="37"/>
    </row>
    <row r="169" ht="22.5" customHeight="1">
      <c r="A169" s="30"/>
      <c r="B169" s="31"/>
      <c r="C169" s="32"/>
      <c r="D169" s="33"/>
      <c r="E169" s="34"/>
      <c r="F169" s="34"/>
      <c r="G169" s="35"/>
      <c r="H169" s="34"/>
      <c r="I169" s="37"/>
    </row>
    <row r="170" ht="22.5" customHeight="1">
      <c r="A170" s="30"/>
      <c r="B170" s="31"/>
      <c r="C170" s="32"/>
      <c r="D170" s="33"/>
      <c r="E170" s="34"/>
      <c r="F170" s="34"/>
      <c r="G170" s="35"/>
      <c r="H170" s="34"/>
      <c r="I170" s="37"/>
    </row>
    <row r="171" ht="22.5" customHeight="1">
      <c r="A171" s="30"/>
      <c r="B171" s="31"/>
      <c r="C171" s="32"/>
      <c r="D171" s="33"/>
      <c r="E171" s="34"/>
      <c r="F171" s="34"/>
      <c r="G171" s="35"/>
      <c r="H171" s="34"/>
      <c r="I171" s="37"/>
    </row>
    <row r="172" ht="22.5" customHeight="1">
      <c r="A172" s="30"/>
      <c r="B172" s="31"/>
      <c r="C172" s="32"/>
      <c r="D172" s="33"/>
      <c r="E172" s="34"/>
      <c r="F172" s="34"/>
      <c r="G172" s="35"/>
      <c r="H172" s="34"/>
      <c r="I172" s="37"/>
    </row>
    <row r="173" ht="22.5" customHeight="1">
      <c r="A173" s="30"/>
      <c r="B173" s="31"/>
      <c r="C173" s="32"/>
      <c r="D173" s="33"/>
      <c r="E173" s="34"/>
      <c r="F173" s="34"/>
      <c r="G173" s="35"/>
      <c r="H173" s="34"/>
      <c r="I173" s="37"/>
    </row>
    <row r="174" ht="22.5" customHeight="1">
      <c r="A174" s="30"/>
      <c r="B174" s="31"/>
      <c r="C174" s="32"/>
      <c r="D174" s="33"/>
      <c r="E174" s="34"/>
      <c r="F174" s="34"/>
      <c r="G174" s="35"/>
      <c r="H174" s="34"/>
      <c r="I174" s="37"/>
    </row>
    <row r="175" ht="22.5" customHeight="1">
      <c r="A175" s="30"/>
      <c r="B175" s="31"/>
      <c r="C175" s="32"/>
      <c r="D175" s="33"/>
      <c r="E175" s="34"/>
      <c r="F175" s="34"/>
      <c r="G175" s="35"/>
      <c r="H175" s="34"/>
      <c r="I175" s="37"/>
    </row>
    <row r="176" ht="22.5" customHeight="1">
      <c r="A176" s="30"/>
      <c r="B176" s="31"/>
      <c r="C176" s="32"/>
      <c r="D176" s="33"/>
      <c r="E176" s="34"/>
      <c r="F176" s="34"/>
      <c r="G176" s="35"/>
      <c r="H176" s="34"/>
      <c r="I176" s="37"/>
    </row>
    <row r="177" ht="22.5" customHeight="1">
      <c r="A177" s="30"/>
      <c r="B177" s="31"/>
      <c r="C177" s="32"/>
      <c r="D177" s="33"/>
      <c r="E177" s="34"/>
      <c r="F177" s="34"/>
      <c r="G177" s="35"/>
      <c r="H177" s="34"/>
      <c r="I177" s="37"/>
    </row>
    <row r="178" ht="22.5" customHeight="1">
      <c r="A178" s="30"/>
      <c r="B178" s="31"/>
      <c r="C178" s="32"/>
      <c r="D178" s="33"/>
      <c r="E178" s="34"/>
      <c r="F178" s="34"/>
      <c r="G178" s="35"/>
      <c r="H178" s="34"/>
      <c r="I178" s="37"/>
    </row>
    <row r="179" ht="22.5" customHeight="1">
      <c r="A179" s="30"/>
      <c r="B179" s="31"/>
      <c r="C179" s="32"/>
      <c r="D179" s="33"/>
      <c r="E179" s="34"/>
      <c r="F179" s="34"/>
      <c r="G179" s="35"/>
      <c r="H179" s="34"/>
      <c r="I179" s="37"/>
    </row>
    <row r="180" ht="22.5" customHeight="1">
      <c r="A180" s="30"/>
      <c r="B180" s="31"/>
      <c r="C180" s="32"/>
      <c r="D180" s="33"/>
      <c r="E180" s="34"/>
      <c r="F180" s="34"/>
      <c r="G180" s="35"/>
      <c r="H180" s="34"/>
      <c r="I180" s="37"/>
    </row>
    <row r="181" ht="22.5" customHeight="1">
      <c r="A181" s="30"/>
      <c r="B181" s="31"/>
      <c r="C181" s="32"/>
      <c r="D181" s="33"/>
      <c r="E181" s="34"/>
      <c r="F181" s="34"/>
      <c r="G181" s="35"/>
      <c r="H181" s="34"/>
      <c r="I181" s="37"/>
    </row>
    <row r="182" ht="22.5" customHeight="1">
      <c r="A182" s="30"/>
      <c r="B182" s="31"/>
      <c r="C182" s="32"/>
      <c r="D182" s="33"/>
      <c r="E182" s="34"/>
      <c r="F182" s="34"/>
      <c r="G182" s="35"/>
      <c r="H182" s="34"/>
      <c r="I182" s="37"/>
    </row>
    <row r="183" ht="22.5" customHeight="1">
      <c r="A183" s="30"/>
      <c r="B183" s="31"/>
      <c r="C183" s="32"/>
      <c r="D183" s="33"/>
      <c r="E183" s="34"/>
      <c r="F183" s="34"/>
      <c r="G183" s="35"/>
      <c r="H183" s="34"/>
      <c r="I183" s="37"/>
    </row>
    <row r="184" ht="22.5" customHeight="1">
      <c r="A184" s="30"/>
      <c r="B184" s="40"/>
      <c r="C184" s="32"/>
      <c r="D184" s="33"/>
      <c r="E184" s="34"/>
      <c r="F184" s="34"/>
      <c r="G184" s="35"/>
      <c r="H184" s="34"/>
      <c r="I184" s="37"/>
    </row>
    <row r="185" ht="22.5" customHeight="1">
      <c r="A185" s="30"/>
      <c r="B185" s="31"/>
      <c r="C185" s="32"/>
      <c r="D185" s="33"/>
      <c r="E185" s="34"/>
      <c r="F185" s="34"/>
      <c r="G185" s="35"/>
      <c r="H185" s="34"/>
      <c r="I185" s="37"/>
    </row>
    <row r="186" ht="22.5" customHeight="1">
      <c r="A186" s="30"/>
      <c r="B186" s="31"/>
      <c r="C186" s="32"/>
      <c r="D186" s="33"/>
      <c r="E186" s="34"/>
      <c r="F186" s="34"/>
      <c r="G186" s="35"/>
      <c r="H186" s="34"/>
      <c r="I186" s="37"/>
    </row>
    <row r="187" ht="22.5" customHeight="1">
      <c r="A187" s="30"/>
      <c r="B187" s="31"/>
      <c r="C187" s="32"/>
      <c r="D187" s="33"/>
      <c r="E187" s="34"/>
      <c r="F187" s="34"/>
      <c r="G187" s="35"/>
      <c r="H187" s="34"/>
      <c r="I187" s="37"/>
    </row>
    <row r="188" ht="22.5" customHeight="1">
      <c r="A188" s="30"/>
      <c r="B188" s="31"/>
      <c r="C188" s="32"/>
      <c r="D188" s="33"/>
      <c r="E188" s="34"/>
      <c r="F188" s="34"/>
      <c r="G188" s="35"/>
      <c r="H188" s="34"/>
      <c r="I188" s="38"/>
    </row>
    <row r="189" ht="22.5" customHeight="1">
      <c r="A189" s="30"/>
      <c r="B189" s="39"/>
      <c r="C189" s="32"/>
      <c r="D189" s="33"/>
      <c r="E189" s="34"/>
      <c r="F189" s="34"/>
      <c r="G189" s="35"/>
      <c r="H189" s="34"/>
      <c r="I189" s="37"/>
    </row>
    <row r="190" ht="22.5" customHeight="1">
      <c r="A190" s="30"/>
      <c r="B190" s="31"/>
      <c r="C190" s="32"/>
      <c r="D190" s="33"/>
      <c r="E190" s="34"/>
      <c r="F190" s="34"/>
      <c r="G190" s="35"/>
      <c r="H190" s="34"/>
      <c r="I190" s="37"/>
    </row>
    <row r="191" ht="22.5" customHeight="1">
      <c r="A191" s="30"/>
      <c r="B191" s="31"/>
      <c r="C191" s="32"/>
      <c r="D191" s="33"/>
      <c r="E191" s="34"/>
      <c r="F191" s="34"/>
      <c r="G191" s="35"/>
      <c r="H191" s="34"/>
      <c r="I191" s="37"/>
    </row>
    <row r="192" ht="22.5" customHeight="1">
      <c r="A192" s="30"/>
      <c r="B192" s="31"/>
      <c r="C192" s="32"/>
      <c r="D192" s="33"/>
      <c r="E192" s="34"/>
      <c r="F192" s="34"/>
      <c r="G192" s="35"/>
      <c r="H192" s="34"/>
      <c r="I192" s="37"/>
    </row>
    <row r="193" ht="22.5" customHeight="1">
      <c r="A193" s="30"/>
      <c r="B193" s="39"/>
      <c r="C193" s="32"/>
      <c r="D193" s="33"/>
      <c r="E193" s="34"/>
      <c r="F193" s="34"/>
      <c r="G193" s="35"/>
      <c r="H193" s="34"/>
      <c r="I193" s="37"/>
    </row>
    <row r="194" ht="22.5" customHeight="1">
      <c r="A194" s="30"/>
      <c r="B194" s="31"/>
      <c r="C194" s="32"/>
      <c r="D194" s="33"/>
      <c r="E194" s="34"/>
      <c r="F194" s="34"/>
      <c r="G194" s="35"/>
      <c r="H194" s="34"/>
      <c r="I194" s="37"/>
    </row>
    <row r="195" ht="22.5" customHeight="1">
      <c r="A195" s="30"/>
      <c r="B195" s="39"/>
      <c r="C195" s="32"/>
      <c r="D195" s="33"/>
      <c r="E195" s="34"/>
      <c r="F195" s="34"/>
      <c r="G195" s="35"/>
      <c r="H195" s="34"/>
      <c r="I195" s="37"/>
    </row>
    <row r="196" ht="22.5" customHeight="1">
      <c r="A196" s="30"/>
      <c r="B196" s="31"/>
      <c r="C196" s="32"/>
      <c r="D196" s="33"/>
      <c r="E196" s="34"/>
      <c r="F196" s="34"/>
      <c r="G196" s="35"/>
      <c r="H196" s="34"/>
      <c r="I196" s="37"/>
    </row>
    <row r="197" ht="22.5" customHeight="1">
      <c r="A197" s="30"/>
      <c r="B197" s="31"/>
      <c r="C197" s="32"/>
      <c r="D197" s="33"/>
      <c r="E197" s="34"/>
      <c r="F197" s="34"/>
      <c r="G197" s="35"/>
      <c r="H197" s="34"/>
      <c r="I197" s="37"/>
    </row>
    <row r="198" ht="22.5" customHeight="1">
      <c r="A198" s="30"/>
      <c r="B198" s="31"/>
      <c r="C198" s="32"/>
      <c r="D198" s="33"/>
      <c r="E198" s="34"/>
      <c r="F198" s="34"/>
      <c r="G198" s="35"/>
      <c r="H198" s="34"/>
      <c r="I198" s="37"/>
    </row>
    <row r="199" ht="22.5" customHeight="1">
      <c r="A199" s="30"/>
      <c r="B199" s="31"/>
      <c r="C199" s="32"/>
      <c r="D199" s="33"/>
      <c r="E199" s="34"/>
      <c r="F199" s="34"/>
      <c r="G199" s="35"/>
      <c r="H199" s="34"/>
      <c r="I199" s="37"/>
    </row>
    <row r="200" ht="22.5" customHeight="1">
      <c r="A200" s="30"/>
      <c r="B200" s="31"/>
      <c r="C200" s="32"/>
      <c r="D200" s="33"/>
      <c r="E200" s="34"/>
      <c r="F200" s="34"/>
      <c r="G200" s="35"/>
      <c r="H200" s="34"/>
      <c r="I200" s="37"/>
    </row>
    <row r="201" ht="22.5" customHeight="1">
      <c r="A201" s="30"/>
      <c r="B201" s="31"/>
      <c r="C201" s="32"/>
      <c r="D201" s="33"/>
      <c r="E201" s="34"/>
      <c r="F201" s="34"/>
      <c r="G201" s="35"/>
      <c r="H201" s="34"/>
      <c r="I201" s="37"/>
    </row>
    <row r="202" ht="22.5" customHeight="1">
      <c r="A202" s="30"/>
      <c r="B202" s="31"/>
      <c r="C202" s="32"/>
      <c r="D202" s="33"/>
      <c r="E202" s="34"/>
      <c r="F202" s="34"/>
      <c r="G202" s="35"/>
      <c r="H202" s="34"/>
      <c r="I202" s="37"/>
    </row>
    <row r="203" ht="22.5" customHeight="1">
      <c r="A203" s="30"/>
      <c r="B203" s="31"/>
      <c r="C203" s="32"/>
      <c r="D203" s="33"/>
      <c r="E203" s="34"/>
      <c r="F203" s="34"/>
      <c r="G203" s="35"/>
      <c r="H203" s="34"/>
      <c r="I203" s="37"/>
    </row>
    <row r="204" ht="22.5" customHeight="1">
      <c r="A204" s="30"/>
      <c r="B204" s="31"/>
      <c r="C204" s="32"/>
      <c r="D204" s="33"/>
      <c r="E204" s="34"/>
      <c r="F204" s="34"/>
      <c r="G204" s="35"/>
      <c r="H204" s="34"/>
      <c r="I204" s="37"/>
    </row>
    <row r="205" ht="22.5" customHeight="1">
      <c r="A205" s="30"/>
      <c r="B205" s="31"/>
      <c r="C205" s="32"/>
      <c r="D205" s="33"/>
      <c r="E205" s="34"/>
      <c r="F205" s="34"/>
      <c r="G205" s="35"/>
      <c r="H205" s="34"/>
      <c r="I205" s="37"/>
    </row>
    <row r="206" ht="22.5" customHeight="1">
      <c r="A206" s="30"/>
      <c r="B206" s="40"/>
      <c r="C206" s="32"/>
      <c r="D206" s="33"/>
      <c r="E206" s="34"/>
      <c r="F206" s="34"/>
      <c r="G206" s="35"/>
      <c r="H206" s="34"/>
      <c r="I206" s="37"/>
    </row>
    <row r="207" ht="22.5" customHeight="1">
      <c r="A207" s="30"/>
      <c r="B207" s="31"/>
      <c r="C207" s="32"/>
      <c r="D207" s="33"/>
      <c r="E207" s="34"/>
      <c r="F207" s="34"/>
      <c r="G207" s="35"/>
      <c r="H207" s="34"/>
      <c r="I207" s="37"/>
    </row>
    <row r="208" ht="22.5" customHeight="1">
      <c r="A208" s="30"/>
      <c r="B208" s="31"/>
      <c r="C208" s="32"/>
      <c r="D208" s="33"/>
      <c r="E208" s="34"/>
      <c r="F208" s="34"/>
      <c r="G208" s="35"/>
      <c r="H208" s="34"/>
      <c r="I208" s="37"/>
    </row>
    <row r="209" ht="22.5" customHeight="1">
      <c r="A209" s="30"/>
      <c r="B209" s="31"/>
      <c r="C209" s="32"/>
      <c r="D209" s="33"/>
      <c r="E209" s="34"/>
      <c r="F209" s="34"/>
      <c r="G209" s="35"/>
      <c r="H209" s="34"/>
      <c r="I209" s="37"/>
    </row>
    <row r="210" ht="22.5" customHeight="1">
      <c r="A210" s="30"/>
      <c r="B210" s="31"/>
      <c r="C210" s="32"/>
      <c r="D210" s="33"/>
      <c r="E210" s="34"/>
      <c r="F210" s="34"/>
      <c r="G210" s="35"/>
      <c r="H210" s="34"/>
      <c r="I210" s="37"/>
    </row>
    <row r="211" ht="22.5" customHeight="1">
      <c r="A211" s="30"/>
      <c r="B211" s="31"/>
      <c r="C211" s="32"/>
      <c r="D211" s="33"/>
      <c r="E211" s="34"/>
      <c r="F211" s="34"/>
      <c r="G211" s="35"/>
      <c r="H211" s="34"/>
      <c r="I211" s="37"/>
    </row>
    <row r="212" ht="22.5" customHeight="1">
      <c r="A212" s="30"/>
      <c r="B212" s="31"/>
      <c r="C212" s="32"/>
      <c r="D212" s="33"/>
      <c r="E212" s="34"/>
      <c r="F212" s="34"/>
      <c r="G212" s="35"/>
      <c r="H212" s="34"/>
      <c r="I212" s="37"/>
    </row>
    <row r="213" ht="22.5" customHeight="1">
      <c r="A213" s="30"/>
      <c r="B213" s="39"/>
      <c r="C213" s="32"/>
      <c r="D213" s="33"/>
      <c r="E213" s="34"/>
      <c r="F213" s="34"/>
      <c r="G213" s="35"/>
      <c r="H213" s="34"/>
      <c r="I213" s="37"/>
    </row>
    <row r="214" ht="22.5" customHeight="1">
      <c r="A214" s="30"/>
      <c r="B214" s="39"/>
      <c r="C214" s="32"/>
      <c r="D214" s="33"/>
      <c r="E214" s="34"/>
      <c r="F214" s="34"/>
      <c r="G214" s="35"/>
      <c r="H214" s="34"/>
      <c r="I214" s="37"/>
    </row>
    <row r="215" ht="22.5" customHeight="1">
      <c r="A215" s="30"/>
      <c r="B215" s="39"/>
      <c r="C215" s="32"/>
      <c r="D215" s="33"/>
      <c r="E215" s="34"/>
      <c r="F215" s="34"/>
      <c r="G215" s="35"/>
      <c r="H215" s="34"/>
      <c r="I215" s="37"/>
    </row>
    <row r="216" ht="22.5" customHeight="1">
      <c r="A216" s="30"/>
      <c r="B216" s="40"/>
      <c r="C216" s="32"/>
      <c r="D216" s="33"/>
      <c r="E216" s="34"/>
      <c r="F216" s="34"/>
      <c r="G216" s="35"/>
      <c r="H216" s="34"/>
      <c r="I216" s="37"/>
    </row>
    <row r="217" ht="22.5" customHeight="1">
      <c r="A217" s="30"/>
      <c r="B217" s="31"/>
      <c r="C217" s="32"/>
      <c r="D217" s="33"/>
      <c r="E217" s="34"/>
      <c r="F217" s="34"/>
      <c r="G217" s="35"/>
      <c r="H217" s="34"/>
      <c r="I217" s="37"/>
    </row>
    <row r="218" ht="22.5" customHeight="1">
      <c r="A218" s="30"/>
      <c r="B218" s="31"/>
      <c r="C218" s="32"/>
      <c r="D218" s="33"/>
      <c r="E218" s="34"/>
      <c r="F218" s="34"/>
      <c r="G218" s="35"/>
      <c r="H218" s="34"/>
      <c r="I218" s="37"/>
    </row>
    <row r="219" ht="22.5" customHeight="1">
      <c r="A219" s="30"/>
      <c r="B219" s="31"/>
      <c r="C219" s="32"/>
      <c r="D219" s="33"/>
      <c r="E219" s="34"/>
      <c r="F219" s="34"/>
      <c r="G219" s="35"/>
      <c r="H219" s="34"/>
      <c r="I219" s="37"/>
    </row>
    <row r="220" ht="22.5" customHeight="1">
      <c r="A220" s="30"/>
      <c r="B220" s="31"/>
      <c r="C220" s="32"/>
      <c r="D220" s="33"/>
      <c r="E220" s="34"/>
      <c r="F220" s="34"/>
      <c r="G220" s="35"/>
      <c r="H220" s="34"/>
      <c r="I220" s="37"/>
    </row>
    <row r="221" ht="22.5" customHeight="1">
      <c r="A221" s="30"/>
      <c r="B221" s="31"/>
      <c r="C221" s="32"/>
      <c r="D221" s="33"/>
      <c r="E221" s="34"/>
      <c r="F221" s="34"/>
      <c r="G221" s="35"/>
      <c r="H221" s="34"/>
      <c r="I221" s="37"/>
    </row>
    <row r="222" ht="22.5" customHeight="1">
      <c r="A222" s="30"/>
      <c r="B222" s="31"/>
      <c r="C222" s="32"/>
      <c r="D222" s="33"/>
      <c r="E222" s="34"/>
      <c r="F222" s="34"/>
      <c r="G222" s="35"/>
      <c r="H222" s="34"/>
      <c r="I222" s="37"/>
    </row>
    <row r="223" ht="22.5" customHeight="1">
      <c r="A223" s="30"/>
      <c r="B223" s="31"/>
      <c r="C223" s="32"/>
      <c r="D223" s="33"/>
      <c r="E223" s="34"/>
      <c r="F223" s="34"/>
      <c r="G223" s="35"/>
      <c r="H223" s="34"/>
      <c r="I223" s="37"/>
    </row>
    <row r="224" ht="22.5" customHeight="1">
      <c r="A224" s="30"/>
      <c r="B224" s="31"/>
      <c r="C224" s="32"/>
      <c r="D224" s="33"/>
      <c r="E224" s="34"/>
      <c r="F224" s="34"/>
      <c r="G224" s="35"/>
      <c r="H224" s="34"/>
      <c r="I224" s="37"/>
    </row>
    <row r="225" ht="22.5" customHeight="1">
      <c r="A225" s="30"/>
      <c r="B225" s="31"/>
      <c r="C225" s="32"/>
      <c r="D225" s="33"/>
      <c r="E225" s="34"/>
      <c r="F225" s="34"/>
      <c r="G225" s="35"/>
      <c r="H225" s="34"/>
      <c r="I225" s="37"/>
    </row>
    <row r="226" ht="22.5" customHeight="1">
      <c r="A226" s="30"/>
      <c r="B226" s="40"/>
      <c r="C226" s="32"/>
      <c r="D226" s="33"/>
      <c r="E226" s="34"/>
      <c r="F226" s="34"/>
      <c r="G226" s="35"/>
      <c r="H226" s="34"/>
      <c r="I226" s="37"/>
    </row>
    <row r="227" ht="22.5" customHeight="1">
      <c r="A227" s="30"/>
      <c r="B227" s="31"/>
      <c r="C227" s="32"/>
      <c r="D227" s="33"/>
      <c r="E227" s="34"/>
      <c r="F227" s="34"/>
      <c r="G227" s="35"/>
      <c r="H227" s="34"/>
      <c r="I227" s="37"/>
    </row>
    <row r="228" ht="22.5" customHeight="1">
      <c r="A228" s="30"/>
      <c r="B228" s="31"/>
      <c r="C228" s="32"/>
      <c r="D228" s="33"/>
      <c r="E228" s="34"/>
      <c r="F228" s="34"/>
      <c r="G228" s="35"/>
      <c r="H228" s="34"/>
      <c r="I228" s="37"/>
    </row>
    <row r="229" ht="22.5" customHeight="1">
      <c r="A229" s="30"/>
      <c r="B229" s="31"/>
      <c r="C229" s="32"/>
      <c r="D229" s="33"/>
      <c r="E229" s="34"/>
      <c r="F229" s="34"/>
      <c r="G229" s="35"/>
      <c r="H229" s="34"/>
      <c r="I229" s="37"/>
    </row>
    <row r="230" ht="22.5" customHeight="1">
      <c r="A230" s="30"/>
      <c r="B230" s="40"/>
      <c r="C230" s="32"/>
      <c r="D230" s="33"/>
      <c r="E230" s="34"/>
      <c r="F230" s="34"/>
      <c r="G230" s="35"/>
      <c r="H230" s="34"/>
      <c r="I230" s="37"/>
    </row>
    <row r="231" ht="22.5" customHeight="1">
      <c r="A231" s="30"/>
      <c r="B231" s="31"/>
      <c r="C231" s="32"/>
      <c r="D231" s="33"/>
      <c r="E231" s="34"/>
      <c r="F231" s="34"/>
      <c r="G231" s="35"/>
      <c r="H231" s="34"/>
      <c r="I231" s="37"/>
    </row>
    <row r="232" ht="22.5" customHeight="1">
      <c r="A232" s="30"/>
      <c r="B232" s="31"/>
      <c r="C232" s="32"/>
      <c r="D232" s="33"/>
      <c r="E232" s="34"/>
      <c r="F232" s="34"/>
      <c r="G232" s="35"/>
      <c r="H232" s="34"/>
      <c r="I232" s="37"/>
    </row>
    <row r="233" ht="22.5" customHeight="1">
      <c r="A233" s="30"/>
      <c r="B233" s="31"/>
      <c r="C233" s="32"/>
      <c r="D233" s="33"/>
      <c r="E233" s="34"/>
      <c r="F233" s="34"/>
      <c r="G233" s="35"/>
      <c r="H233" s="34"/>
      <c r="I233" s="37"/>
    </row>
    <row r="234" ht="22.5" customHeight="1">
      <c r="A234" s="30"/>
      <c r="B234" s="31"/>
      <c r="C234" s="32"/>
      <c r="D234" s="33"/>
      <c r="E234" s="34"/>
      <c r="F234" s="34"/>
      <c r="G234" s="35"/>
      <c r="H234" s="34"/>
      <c r="I234" s="37"/>
    </row>
    <row r="235" ht="22.5" customHeight="1">
      <c r="A235" s="30"/>
      <c r="B235" s="31"/>
      <c r="C235" s="32"/>
      <c r="D235" s="33"/>
      <c r="E235" s="34"/>
      <c r="F235" s="34"/>
      <c r="G235" s="35"/>
      <c r="H235" s="34"/>
      <c r="I235" s="37"/>
    </row>
    <row r="236" ht="22.5" customHeight="1">
      <c r="A236" s="30"/>
      <c r="B236" s="31"/>
      <c r="C236" s="32"/>
      <c r="D236" s="33"/>
      <c r="E236" s="34"/>
      <c r="F236" s="34"/>
      <c r="G236" s="35"/>
      <c r="H236" s="34"/>
      <c r="I236" s="37"/>
    </row>
    <row r="237" ht="22.5" customHeight="1">
      <c r="A237" s="30"/>
      <c r="B237" s="31"/>
      <c r="C237" s="32"/>
      <c r="D237" s="33"/>
      <c r="E237" s="34"/>
      <c r="F237" s="34"/>
      <c r="G237" s="35"/>
      <c r="H237" s="34"/>
      <c r="I237" s="37"/>
    </row>
    <row r="238" ht="22.5" customHeight="1">
      <c r="A238" s="30"/>
      <c r="B238" s="31"/>
      <c r="C238" s="32"/>
      <c r="D238" s="33"/>
      <c r="E238" s="34"/>
      <c r="F238" s="34"/>
      <c r="G238" s="35"/>
      <c r="H238" s="34"/>
      <c r="I238" s="37"/>
    </row>
    <row r="239" ht="22.5" customHeight="1">
      <c r="A239" s="30"/>
      <c r="B239" s="31"/>
      <c r="C239" s="32"/>
      <c r="D239" s="33"/>
      <c r="E239" s="34"/>
      <c r="F239" s="34"/>
      <c r="G239" s="35"/>
      <c r="H239" s="34"/>
      <c r="I239" s="37"/>
    </row>
    <row r="240" ht="22.5" customHeight="1">
      <c r="A240" s="30"/>
      <c r="B240" s="31"/>
      <c r="C240" s="32"/>
      <c r="D240" s="33"/>
      <c r="E240" s="34"/>
      <c r="F240" s="34"/>
      <c r="G240" s="35"/>
      <c r="H240" s="34"/>
      <c r="I240" s="37"/>
    </row>
    <row r="241" ht="22.5" customHeight="1">
      <c r="A241" s="30"/>
      <c r="B241" s="31"/>
      <c r="C241" s="32"/>
      <c r="D241" s="33"/>
      <c r="E241" s="34"/>
      <c r="F241" s="34"/>
      <c r="G241" s="35"/>
      <c r="H241" s="34"/>
      <c r="I241" s="37"/>
    </row>
    <row r="242" ht="22.5" customHeight="1">
      <c r="A242" s="30"/>
      <c r="B242" s="31"/>
      <c r="C242" s="32"/>
      <c r="D242" s="33"/>
      <c r="E242" s="34"/>
      <c r="F242" s="34"/>
      <c r="G242" s="35"/>
      <c r="H242" s="34"/>
      <c r="I242" s="37"/>
    </row>
    <row r="243" ht="22.5" customHeight="1">
      <c r="A243" s="30"/>
      <c r="B243" s="31"/>
      <c r="C243" s="32"/>
      <c r="D243" s="33"/>
      <c r="E243" s="34"/>
      <c r="F243" s="34"/>
      <c r="G243" s="35"/>
      <c r="H243" s="34"/>
      <c r="I243" s="37"/>
    </row>
    <row r="244" ht="22.5" customHeight="1">
      <c r="A244" s="30"/>
      <c r="B244" s="31"/>
      <c r="C244" s="32"/>
      <c r="D244" s="33"/>
      <c r="E244" s="34"/>
      <c r="F244" s="34"/>
      <c r="G244" s="35"/>
      <c r="H244" s="34"/>
      <c r="I244" s="37"/>
    </row>
    <row r="245" ht="22.5" customHeight="1">
      <c r="A245" s="30"/>
      <c r="B245" s="40"/>
      <c r="C245" s="32"/>
      <c r="D245" s="33"/>
      <c r="E245" s="34"/>
      <c r="F245" s="34"/>
      <c r="G245" s="35"/>
      <c r="H245" s="34"/>
      <c r="I245" s="37"/>
    </row>
    <row r="246" ht="22.5" customHeight="1">
      <c r="A246" s="30"/>
      <c r="B246" s="31"/>
      <c r="C246" s="32"/>
      <c r="D246" s="33"/>
      <c r="E246" s="34"/>
      <c r="F246" s="34"/>
      <c r="G246" s="35"/>
      <c r="H246" s="34"/>
      <c r="I246" s="37"/>
    </row>
    <row r="247" ht="22.5" customHeight="1">
      <c r="A247" s="30"/>
      <c r="B247" s="40"/>
      <c r="C247" s="32"/>
      <c r="D247" s="33"/>
      <c r="E247" s="34"/>
      <c r="F247" s="34"/>
      <c r="G247" s="35"/>
      <c r="H247" s="34"/>
      <c r="I247" s="37"/>
    </row>
    <row r="248" ht="22.5" customHeight="1">
      <c r="A248" s="30"/>
      <c r="B248" s="31"/>
      <c r="C248" s="32"/>
      <c r="D248" s="33"/>
      <c r="E248" s="34"/>
      <c r="F248" s="34"/>
      <c r="G248" s="35"/>
      <c r="H248" s="34"/>
      <c r="I248" s="37"/>
    </row>
    <row r="249" ht="22.5" customHeight="1">
      <c r="A249" s="30"/>
      <c r="B249" s="31"/>
      <c r="C249" s="32"/>
      <c r="D249" s="33"/>
      <c r="E249" s="34"/>
      <c r="F249" s="34"/>
      <c r="G249" s="35"/>
      <c r="H249" s="34"/>
      <c r="I249" s="37"/>
    </row>
    <row r="250" ht="22.5" customHeight="1">
      <c r="A250" s="30"/>
      <c r="B250" s="31"/>
      <c r="C250" s="32"/>
      <c r="D250" s="33"/>
      <c r="E250" s="34"/>
      <c r="F250" s="34"/>
      <c r="G250" s="35"/>
      <c r="H250" s="34"/>
      <c r="I250" s="37"/>
    </row>
    <row r="251" ht="22.5" customHeight="1">
      <c r="A251" s="30"/>
      <c r="B251" s="31"/>
      <c r="C251" s="32"/>
      <c r="D251" s="33"/>
      <c r="E251" s="34"/>
      <c r="F251" s="34"/>
      <c r="G251" s="35"/>
      <c r="H251" s="34"/>
      <c r="I251" s="37"/>
    </row>
    <row r="252" ht="22.5" customHeight="1">
      <c r="A252" s="30"/>
      <c r="B252" s="40"/>
      <c r="C252" s="32"/>
      <c r="D252" s="33"/>
      <c r="E252" s="34"/>
      <c r="F252" s="34"/>
      <c r="G252" s="35"/>
      <c r="H252" s="34"/>
      <c r="I252" s="37"/>
    </row>
    <row r="253" ht="22.5" customHeight="1">
      <c r="A253" s="30"/>
      <c r="B253" s="31"/>
      <c r="C253" s="32"/>
      <c r="D253" s="33"/>
      <c r="E253" s="34"/>
      <c r="F253" s="34"/>
      <c r="G253" s="35"/>
      <c r="H253" s="34"/>
      <c r="I253" s="37"/>
    </row>
    <row r="254" ht="22.5" customHeight="1">
      <c r="A254" s="30"/>
      <c r="B254" s="31"/>
      <c r="C254" s="32"/>
      <c r="D254" s="33"/>
      <c r="E254" s="34"/>
      <c r="F254" s="34"/>
      <c r="G254" s="35"/>
      <c r="H254" s="34"/>
      <c r="I254" s="37"/>
    </row>
    <row r="255" ht="22.5" customHeight="1">
      <c r="A255" s="30"/>
      <c r="B255" s="31"/>
      <c r="C255" s="32"/>
      <c r="D255" s="33"/>
      <c r="E255" s="34"/>
      <c r="F255" s="34"/>
      <c r="G255" s="35"/>
      <c r="H255" s="34"/>
      <c r="I255" s="37"/>
    </row>
    <row r="256" ht="22.5" customHeight="1">
      <c r="A256" s="30"/>
      <c r="B256" s="31"/>
      <c r="C256" s="32"/>
      <c r="D256" s="33"/>
      <c r="E256" s="34"/>
      <c r="F256" s="34"/>
      <c r="G256" s="35"/>
      <c r="H256" s="34"/>
      <c r="I256" s="37"/>
    </row>
    <row r="257" ht="22.5" customHeight="1">
      <c r="A257" s="30"/>
      <c r="B257" s="31"/>
      <c r="C257" s="32"/>
      <c r="D257" s="33"/>
      <c r="E257" s="34"/>
      <c r="F257" s="34"/>
      <c r="G257" s="35"/>
      <c r="H257" s="34"/>
      <c r="I257" s="37"/>
    </row>
    <row r="258" ht="22.5" customHeight="1">
      <c r="A258" s="30"/>
      <c r="B258" s="31"/>
      <c r="C258" s="32"/>
      <c r="D258" s="33"/>
      <c r="E258" s="34"/>
      <c r="F258" s="34"/>
      <c r="G258" s="35"/>
      <c r="H258" s="34"/>
      <c r="I258" s="37"/>
    </row>
    <row r="259" ht="22.5" customHeight="1">
      <c r="A259" s="30"/>
      <c r="B259" s="31"/>
      <c r="C259" s="32"/>
      <c r="D259" s="33"/>
      <c r="E259" s="34"/>
      <c r="F259" s="34"/>
      <c r="G259" s="35"/>
      <c r="H259" s="34"/>
      <c r="I259" s="37"/>
    </row>
    <row r="260" ht="22.5" customHeight="1">
      <c r="A260" s="30"/>
      <c r="B260" s="31"/>
      <c r="C260" s="32"/>
      <c r="D260" s="33"/>
      <c r="E260" s="34"/>
      <c r="F260" s="34"/>
      <c r="G260" s="35"/>
      <c r="H260" s="34"/>
      <c r="I260" s="37"/>
    </row>
    <row r="261" ht="22.5" customHeight="1">
      <c r="A261" s="30"/>
      <c r="B261" s="31"/>
      <c r="C261" s="32"/>
      <c r="D261" s="33"/>
      <c r="E261" s="34"/>
      <c r="F261" s="34"/>
      <c r="G261" s="35"/>
      <c r="H261" s="34"/>
      <c r="I261" s="37"/>
    </row>
    <row r="262" ht="22.5" customHeight="1">
      <c r="A262" s="30"/>
      <c r="B262" s="31"/>
      <c r="C262" s="32"/>
      <c r="D262" s="33"/>
      <c r="E262" s="34"/>
      <c r="F262" s="34"/>
      <c r="G262" s="35"/>
      <c r="H262" s="34"/>
      <c r="I262" s="37"/>
    </row>
    <row r="263" ht="22.5" customHeight="1">
      <c r="A263" s="30"/>
      <c r="B263" s="31"/>
      <c r="C263" s="32"/>
      <c r="D263" s="33"/>
      <c r="E263" s="34"/>
      <c r="F263" s="34"/>
      <c r="G263" s="35"/>
      <c r="H263" s="34"/>
      <c r="I263" s="37"/>
    </row>
    <row r="264" ht="22.5" customHeight="1">
      <c r="A264" s="30"/>
      <c r="B264" s="31"/>
      <c r="C264" s="32"/>
      <c r="D264" s="33"/>
      <c r="E264" s="34"/>
      <c r="F264" s="34"/>
      <c r="G264" s="35"/>
      <c r="H264" s="34"/>
      <c r="I264" s="37"/>
    </row>
    <row r="265" ht="22.5" customHeight="1">
      <c r="A265" s="30"/>
      <c r="B265" s="31"/>
      <c r="C265" s="32"/>
      <c r="D265" s="33"/>
      <c r="E265" s="34"/>
      <c r="F265" s="34"/>
      <c r="G265" s="35"/>
      <c r="H265" s="34"/>
      <c r="I265" s="37"/>
    </row>
    <row r="266" ht="22.5" customHeight="1">
      <c r="A266" s="30"/>
      <c r="B266" s="31"/>
      <c r="C266" s="32"/>
      <c r="D266" s="33"/>
      <c r="E266" s="34"/>
      <c r="F266" s="34"/>
      <c r="G266" s="35"/>
      <c r="H266" s="34"/>
      <c r="I266" s="37"/>
    </row>
    <row r="267" ht="22.5" customHeight="1">
      <c r="A267" s="30"/>
      <c r="B267" s="31"/>
      <c r="C267" s="32"/>
      <c r="D267" s="33"/>
      <c r="E267" s="34"/>
      <c r="F267" s="34"/>
      <c r="G267" s="35"/>
      <c r="H267" s="34"/>
      <c r="I267" s="37"/>
    </row>
    <row r="268" ht="22.5" customHeight="1">
      <c r="A268" s="30"/>
      <c r="B268" s="31"/>
      <c r="C268" s="32"/>
      <c r="D268" s="33"/>
      <c r="E268" s="34"/>
      <c r="F268" s="34"/>
      <c r="G268" s="35"/>
      <c r="H268" s="34"/>
      <c r="I268" s="37"/>
    </row>
    <row r="269" ht="22.5" customHeight="1">
      <c r="A269" s="30"/>
      <c r="B269" s="31"/>
      <c r="C269" s="32"/>
      <c r="D269" s="33"/>
      <c r="E269" s="34"/>
      <c r="F269" s="34"/>
      <c r="G269" s="35"/>
      <c r="H269" s="34"/>
      <c r="I269" s="37"/>
    </row>
    <row r="270" ht="22.5" customHeight="1">
      <c r="A270" s="30"/>
      <c r="B270" s="31"/>
      <c r="C270" s="32"/>
      <c r="D270" s="33"/>
      <c r="E270" s="34"/>
      <c r="F270" s="34"/>
      <c r="G270" s="35"/>
      <c r="H270" s="34"/>
      <c r="I270" s="37"/>
    </row>
    <row r="271" ht="22.5" customHeight="1">
      <c r="A271" s="30"/>
      <c r="B271" s="31"/>
      <c r="C271" s="32"/>
      <c r="D271" s="33"/>
      <c r="E271" s="34"/>
      <c r="F271" s="34"/>
      <c r="G271" s="35"/>
      <c r="H271" s="34"/>
      <c r="I271" s="37"/>
    </row>
    <row r="272" ht="22.5" customHeight="1">
      <c r="A272" s="30"/>
      <c r="B272" s="31"/>
      <c r="C272" s="32"/>
      <c r="D272" s="33"/>
      <c r="E272" s="34"/>
      <c r="F272" s="34"/>
      <c r="G272" s="35"/>
      <c r="H272" s="34"/>
      <c r="I272" s="37"/>
    </row>
    <row r="273" ht="22.5" customHeight="1">
      <c r="A273" s="30"/>
      <c r="B273" s="31"/>
      <c r="C273" s="32"/>
      <c r="D273" s="33"/>
      <c r="E273" s="34"/>
      <c r="F273" s="34"/>
      <c r="G273" s="35"/>
      <c r="H273" s="34"/>
      <c r="I273" s="37"/>
    </row>
    <row r="274" ht="22.5" customHeight="1">
      <c r="A274" s="30"/>
      <c r="B274" s="40"/>
      <c r="C274" s="32"/>
      <c r="D274" s="33"/>
      <c r="E274" s="34"/>
      <c r="F274" s="34"/>
      <c r="G274" s="35"/>
      <c r="H274" s="34"/>
      <c r="I274" s="37"/>
    </row>
    <row r="275" ht="22.5" customHeight="1">
      <c r="A275" s="30"/>
      <c r="B275" s="31"/>
      <c r="C275" s="32"/>
      <c r="D275" s="33"/>
      <c r="E275" s="34"/>
      <c r="F275" s="34"/>
      <c r="G275" s="35"/>
      <c r="H275" s="34"/>
      <c r="I275" s="37"/>
    </row>
    <row r="276" ht="22.5" customHeight="1">
      <c r="A276" s="30"/>
      <c r="B276" s="31"/>
      <c r="C276" s="32"/>
      <c r="D276" s="33"/>
      <c r="E276" s="34"/>
      <c r="F276" s="34"/>
      <c r="G276" s="35"/>
      <c r="H276" s="34"/>
      <c r="I276" s="37"/>
    </row>
    <row r="277" ht="22.5" customHeight="1">
      <c r="A277" s="30"/>
      <c r="B277" s="31"/>
      <c r="C277" s="32"/>
      <c r="D277" s="33"/>
      <c r="E277" s="34"/>
      <c r="F277" s="34"/>
      <c r="G277" s="35"/>
      <c r="H277" s="34"/>
      <c r="I277" s="37"/>
    </row>
    <row r="278" ht="22.5" customHeight="1">
      <c r="A278" s="30"/>
      <c r="B278" s="31"/>
      <c r="C278" s="32"/>
      <c r="D278" s="33"/>
      <c r="E278" s="34"/>
      <c r="F278" s="34"/>
      <c r="G278" s="35"/>
      <c r="H278" s="34"/>
      <c r="I278" s="38"/>
    </row>
    <row r="279" ht="22.5" customHeight="1">
      <c r="A279" s="30"/>
      <c r="B279" s="39"/>
      <c r="C279" s="32"/>
      <c r="D279" s="33"/>
      <c r="E279" s="34"/>
      <c r="F279" s="34"/>
      <c r="G279" s="35"/>
      <c r="H279" s="34"/>
      <c r="I279" s="37"/>
    </row>
    <row r="280" ht="22.5" customHeight="1">
      <c r="A280" s="30"/>
      <c r="B280" s="31"/>
      <c r="C280" s="32"/>
      <c r="D280" s="33"/>
      <c r="E280" s="34"/>
      <c r="F280" s="34"/>
      <c r="G280" s="35"/>
      <c r="H280" s="34"/>
      <c r="I280" s="37"/>
    </row>
    <row r="281" ht="22.5" customHeight="1">
      <c r="A281" s="30"/>
      <c r="B281" s="31"/>
      <c r="C281" s="32"/>
      <c r="D281" s="33"/>
      <c r="E281" s="34"/>
      <c r="F281" s="34"/>
      <c r="G281" s="35"/>
      <c r="H281" s="34"/>
      <c r="I281" s="37"/>
    </row>
    <row r="282" ht="22.5" customHeight="1">
      <c r="A282" s="30"/>
      <c r="B282" s="31"/>
      <c r="C282" s="32"/>
      <c r="D282" s="33"/>
      <c r="E282" s="34"/>
      <c r="F282" s="34"/>
      <c r="G282" s="35"/>
      <c r="H282" s="34"/>
      <c r="I282" s="37"/>
    </row>
    <row r="283" ht="22.5" customHeight="1">
      <c r="A283" s="30"/>
      <c r="B283" s="39"/>
      <c r="C283" s="32"/>
      <c r="D283" s="33"/>
      <c r="E283" s="34"/>
      <c r="F283" s="34"/>
      <c r="G283" s="35"/>
      <c r="H283" s="34"/>
      <c r="I283" s="37"/>
    </row>
    <row r="284" ht="22.5" customHeight="1">
      <c r="A284" s="30"/>
      <c r="B284" s="31"/>
      <c r="C284" s="32"/>
      <c r="D284" s="33"/>
      <c r="E284" s="34"/>
      <c r="F284" s="34"/>
      <c r="G284" s="35"/>
      <c r="H284" s="34"/>
      <c r="I284" s="37"/>
    </row>
    <row r="285" ht="22.5" customHeight="1">
      <c r="A285" s="30"/>
      <c r="B285" s="39"/>
      <c r="C285" s="32"/>
      <c r="D285" s="33"/>
      <c r="E285" s="34"/>
      <c r="F285" s="34"/>
      <c r="G285" s="35"/>
      <c r="H285" s="34"/>
      <c r="I285" s="37"/>
    </row>
    <row r="286" ht="22.5" customHeight="1">
      <c r="A286" s="30"/>
      <c r="B286" s="31"/>
      <c r="C286" s="32"/>
      <c r="D286" s="33"/>
      <c r="E286" s="34"/>
      <c r="F286" s="34"/>
      <c r="G286" s="35"/>
      <c r="H286" s="34"/>
      <c r="I286" s="37"/>
    </row>
    <row r="287" ht="22.5" customHeight="1">
      <c r="A287" s="30"/>
      <c r="B287" s="31"/>
      <c r="C287" s="32"/>
      <c r="D287" s="33"/>
      <c r="E287" s="34"/>
      <c r="F287" s="34"/>
      <c r="G287" s="35"/>
      <c r="H287" s="34"/>
      <c r="I287" s="37"/>
    </row>
    <row r="288" ht="22.5" customHeight="1">
      <c r="A288" s="30"/>
      <c r="B288" s="31"/>
      <c r="C288" s="32"/>
      <c r="D288" s="33"/>
      <c r="E288" s="34"/>
      <c r="F288" s="34"/>
      <c r="G288" s="35"/>
      <c r="H288" s="34"/>
      <c r="I288" s="37"/>
    </row>
    <row r="289" ht="22.5" customHeight="1">
      <c r="A289" s="30"/>
      <c r="B289" s="31"/>
      <c r="C289" s="32"/>
      <c r="D289" s="33"/>
      <c r="E289" s="34"/>
      <c r="F289" s="34"/>
      <c r="G289" s="35"/>
      <c r="H289" s="34"/>
      <c r="I289" s="37"/>
    </row>
    <row r="290" ht="22.5" customHeight="1">
      <c r="A290" s="30"/>
      <c r="B290" s="31"/>
      <c r="C290" s="32"/>
      <c r="D290" s="33"/>
      <c r="E290" s="34"/>
      <c r="F290" s="34"/>
      <c r="G290" s="35"/>
      <c r="H290" s="34"/>
      <c r="I290" s="37"/>
    </row>
    <row r="291" ht="22.5" customHeight="1">
      <c r="A291" s="30"/>
      <c r="B291" s="31"/>
      <c r="C291" s="32"/>
      <c r="D291" s="33"/>
      <c r="E291" s="34"/>
      <c r="F291" s="34"/>
      <c r="G291" s="35"/>
      <c r="H291" s="34"/>
      <c r="I291" s="37"/>
    </row>
    <row r="292" ht="22.5" customHeight="1">
      <c r="A292" s="30"/>
      <c r="B292" s="31"/>
      <c r="C292" s="32"/>
      <c r="D292" s="33"/>
      <c r="E292" s="34"/>
      <c r="F292" s="34"/>
      <c r="G292" s="35"/>
      <c r="H292" s="34"/>
      <c r="I292" s="37"/>
    </row>
    <row r="293" ht="22.5" customHeight="1">
      <c r="A293" s="30"/>
      <c r="B293" s="31"/>
      <c r="C293" s="32"/>
      <c r="D293" s="33"/>
      <c r="E293" s="34"/>
      <c r="F293" s="34"/>
      <c r="G293" s="35"/>
      <c r="H293" s="34"/>
      <c r="I293" s="37"/>
    </row>
    <row r="294" ht="22.5" customHeight="1">
      <c r="A294" s="30"/>
      <c r="B294" s="31"/>
      <c r="C294" s="32"/>
      <c r="D294" s="33"/>
      <c r="E294" s="34"/>
      <c r="F294" s="34"/>
      <c r="G294" s="35"/>
      <c r="H294" s="34"/>
      <c r="I294" s="37"/>
    </row>
    <row r="295" ht="22.5" customHeight="1">
      <c r="A295" s="30"/>
      <c r="B295" s="31"/>
      <c r="C295" s="32"/>
      <c r="D295" s="33"/>
      <c r="E295" s="34"/>
      <c r="F295" s="34"/>
      <c r="G295" s="35"/>
      <c r="H295" s="34"/>
      <c r="I295" s="37"/>
    </row>
    <row r="296" ht="22.5" customHeight="1">
      <c r="A296" s="30"/>
      <c r="B296" s="40"/>
      <c r="C296" s="32"/>
      <c r="D296" s="33"/>
      <c r="E296" s="34"/>
      <c r="F296" s="34"/>
      <c r="G296" s="35"/>
      <c r="H296" s="34"/>
      <c r="I296" s="37"/>
    </row>
    <row r="297" ht="22.5" customHeight="1">
      <c r="A297" s="30"/>
      <c r="B297" s="31"/>
      <c r="C297" s="32"/>
      <c r="D297" s="33"/>
      <c r="E297" s="34"/>
      <c r="F297" s="34"/>
      <c r="G297" s="35"/>
      <c r="H297" s="34"/>
      <c r="I297" s="37"/>
    </row>
    <row r="298" ht="22.5" customHeight="1">
      <c r="A298" s="30"/>
      <c r="B298" s="31"/>
      <c r="C298" s="32"/>
      <c r="D298" s="33"/>
      <c r="E298" s="34"/>
      <c r="F298" s="34"/>
      <c r="G298" s="35"/>
      <c r="H298" s="34"/>
      <c r="I298" s="37"/>
    </row>
    <row r="299" ht="22.5" customHeight="1">
      <c r="A299" s="30"/>
      <c r="B299" s="31"/>
      <c r="C299" s="32"/>
      <c r="D299" s="33"/>
      <c r="E299" s="34"/>
      <c r="F299" s="34"/>
      <c r="G299" s="35"/>
      <c r="H299" s="34"/>
      <c r="I299" s="37"/>
    </row>
    <row r="300" ht="22.5" customHeight="1">
      <c r="A300" s="30"/>
      <c r="B300" s="31"/>
      <c r="C300" s="32"/>
      <c r="D300" s="33"/>
      <c r="E300" s="34"/>
      <c r="F300" s="34"/>
      <c r="G300" s="35"/>
      <c r="H300" s="34"/>
      <c r="I300" s="37"/>
    </row>
    <row r="301" ht="22.5" customHeight="1">
      <c r="A301" s="30"/>
      <c r="B301" s="31"/>
      <c r="C301" s="32"/>
      <c r="D301" s="33"/>
      <c r="E301" s="34"/>
      <c r="F301" s="34"/>
      <c r="G301" s="35"/>
      <c r="H301" s="34"/>
      <c r="I301" s="37"/>
    </row>
    <row r="302" ht="22.5" customHeight="1">
      <c r="A302" s="30"/>
      <c r="B302" s="31"/>
      <c r="C302" s="32"/>
      <c r="D302" s="33"/>
      <c r="E302" s="34"/>
      <c r="F302" s="34"/>
      <c r="G302" s="35"/>
      <c r="H302" s="34"/>
      <c r="I302" s="37"/>
    </row>
    <row r="303" ht="22.5" customHeight="1">
      <c r="A303" s="30"/>
      <c r="B303" s="39"/>
      <c r="C303" s="32"/>
      <c r="D303" s="33"/>
      <c r="E303" s="34"/>
      <c r="F303" s="34"/>
      <c r="G303" s="35"/>
      <c r="H303" s="34"/>
      <c r="I303" s="37"/>
    </row>
    <row r="304" ht="22.5" customHeight="1">
      <c r="A304" s="30"/>
      <c r="B304" s="39"/>
      <c r="C304" s="32"/>
      <c r="D304" s="33"/>
      <c r="E304" s="34"/>
      <c r="F304" s="34"/>
      <c r="G304" s="35"/>
      <c r="H304" s="34"/>
      <c r="I304" s="37"/>
    </row>
    <row r="305" ht="22.5" customHeight="1">
      <c r="A305" s="30"/>
      <c r="B305" s="39"/>
      <c r="C305" s="32"/>
      <c r="D305" s="33"/>
      <c r="E305" s="34"/>
      <c r="F305" s="34"/>
      <c r="G305" s="35"/>
      <c r="H305" s="34"/>
      <c r="I305" s="37"/>
    </row>
    <row r="306" ht="22.5" customHeight="1">
      <c r="A306" s="30"/>
      <c r="B306" s="40"/>
      <c r="C306" s="32"/>
      <c r="D306" s="33"/>
      <c r="E306" s="34"/>
      <c r="F306" s="34"/>
      <c r="G306" s="35"/>
      <c r="H306" s="34"/>
      <c r="I306" s="37"/>
    </row>
    <row r="307" ht="22.5" customHeight="1">
      <c r="A307" s="30"/>
      <c r="B307" s="31"/>
      <c r="C307" s="32"/>
      <c r="D307" s="33"/>
      <c r="E307" s="34"/>
      <c r="F307" s="34"/>
      <c r="G307" s="35"/>
      <c r="H307" s="34"/>
      <c r="I307" s="37"/>
    </row>
    <row r="308" ht="22.5" customHeight="1">
      <c r="A308" s="30"/>
      <c r="B308" s="31"/>
      <c r="C308" s="32"/>
      <c r="D308" s="33"/>
      <c r="E308" s="34"/>
      <c r="F308" s="34"/>
      <c r="G308" s="35"/>
      <c r="H308" s="34"/>
      <c r="I308" s="37"/>
    </row>
    <row r="309" ht="22.5" customHeight="1">
      <c r="A309" s="30"/>
      <c r="B309" s="31"/>
      <c r="C309" s="32"/>
      <c r="D309" s="33"/>
      <c r="E309" s="34"/>
      <c r="F309" s="34"/>
      <c r="G309" s="35"/>
      <c r="H309" s="34"/>
      <c r="I309" s="37"/>
    </row>
    <row r="310" ht="22.5" customHeight="1">
      <c r="A310" s="30"/>
      <c r="B310" s="31"/>
      <c r="C310" s="32"/>
      <c r="D310" s="33"/>
      <c r="E310" s="34"/>
      <c r="F310" s="34"/>
      <c r="G310" s="35"/>
      <c r="H310" s="34"/>
      <c r="I310" s="37"/>
    </row>
    <row r="311" ht="22.5" customHeight="1">
      <c r="A311" s="30"/>
      <c r="B311" s="31"/>
      <c r="C311" s="32"/>
      <c r="D311" s="33"/>
      <c r="E311" s="34"/>
      <c r="F311" s="34"/>
      <c r="G311" s="35"/>
      <c r="H311" s="34"/>
      <c r="I311" s="37"/>
    </row>
    <row r="312" ht="22.5" customHeight="1">
      <c r="A312" s="30"/>
      <c r="B312" s="31"/>
      <c r="C312" s="32"/>
      <c r="D312" s="33"/>
      <c r="E312" s="34"/>
      <c r="F312" s="34"/>
      <c r="G312" s="35"/>
      <c r="H312" s="34"/>
      <c r="I312" s="37"/>
    </row>
    <row r="313" ht="22.5" customHeight="1">
      <c r="A313" s="30"/>
      <c r="B313" s="31"/>
      <c r="C313" s="32"/>
      <c r="D313" s="33"/>
      <c r="E313" s="34"/>
      <c r="F313" s="34"/>
      <c r="G313" s="35"/>
      <c r="H313" s="34"/>
      <c r="I313" s="37"/>
    </row>
    <row r="314" ht="22.5" customHeight="1">
      <c r="A314" s="30"/>
      <c r="B314" s="31"/>
      <c r="C314" s="32"/>
      <c r="D314" s="33"/>
      <c r="E314" s="34"/>
      <c r="F314" s="34"/>
      <c r="G314" s="35"/>
      <c r="H314" s="34"/>
      <c r="I314" s="37"/>
    </row>
    <row r="315" ht="22.5" customHeight="1">
      <c r="A315" s="30"/>
      <c r="B315" s="31"/>
      <c r="C315" s="32"/>
      <c r="D315" s="33"/>
      <c r="E315" s="34"/>
      <c r="F315" s="34"/>
      <c r="G315" s="35"/>
      <c r="H315" s="34"/>
      <c r="I315" s="37"/>
    </row>
    <row r="316" ht="22.5" customHeight="1">
      <c r="A316" s="30"/>
      <c r="B316" s="40"/>
      <c r="C316" s="32"/>
      <c r="D316" s="33"/>
      <c r="E316" s="34"/>
      <c r="F316" s="34"/>
      <c r="G316" s="35"/>
      <c r="H316" s="34"/>
      <c r="I316" s="37"/>
    </row>
    <row r="317" ht="22.5" customHeight="1">
      <c r="A317" s="30"/>
      <c r="B317" s="31"/>
      <c r="C317" s="32"/>
      <c r="D317" s="33"/>
      <c r="E317" s="34"/>
      <c r="F317" s="34"/>
      <c r="G317" s="35"/>
      <c r="H317" s="34"/>
      <c r="I317" s="37"/>
    </row>
    <row r="318" ht="22.5" customHeight="1">
      <c r="A318" s="30"/>
      <c r="B318" s="31"/>
      <c r="C318" s="32"/>
      <c r="D318" s="33"/>
      <c r="E318" s="34"/>
      <c r="F318" s="34"/>
      <c r="G318" s="35"/>
      <c r="H318" s="34"/>
      <c r="I318" s="37"/>
    </row>
    <row r="319" ht="22.5" customHeight="1">
      <c r="A319" s="30"/>
      <c r="B319" s="31"/>
      <c r="C319" s="32"/>
      <c r="D319" s="33"/>
      <c r="E319" s="34"/>
      <c r="F319" s="34"/>
      <c r="G319" s="35"/>
      <c r="H319" s="34"/>
      <c r="I319" s="37"/>
    </row>
    <row r="320" ht="22.5" customHeight="1">
      <c r="A320" s="30"/>
      <c r="B320" s="40"/>
      <c r="C320" s="32"/>
      <c r="D320" s="33"/>
      <c r="E320" s="34"/>
      <c r="F320" s="34"/>
      <c r="G320" s="35"/>
      <c r="H320" s="34"/>
      <c r="I320" s="37"/>
    </row>
    <row r="321" ht="22.5" customHeight="1">
      <c r="A321" s="30"/>
      <c r="B321" s="31"/>
      <c r="C321" s="32"/>
      <c r="D321" s="33"/>
      <c r="E321" s="34"/>
      <c r="F321" s="34"/>
      <c r="G321" s="35"/>
      <c r="H321" s="34"/>
      <c r="I321" s="37"/>
    </row>
    <row r="322" ht="22.5" customHeight="1">
      <c r="A322" s="30"/>
      <c r="B322" s="31"/>
      <c r="C322" s="32"/>
      <c r="D322" s="33"/>
      <c r="E322" s="34"/>
      <c r="F322" s="34"/>
      <c r="G322" s="35"/>
      <c r="H322" s="34"/>
      <c r="I322" s="37"/>
    </row>
    <row r="323" ht="22.5" customHeight="1">
      <c r="A323" s="30"/>
      <c r="B323" s="31"/>
      <c r="C323" s="32"/>
      <c r="D323" s="33"/>
      <c r="E323" s="34"/>
      <c r="F323" s="34"/>
      <c r="G323" s="35"/>
      <c r="H323" s="34"/>
      <c r="I323" s="37"/>
    </row>
    <row r="324" ht="22.5" customHeight="1">
      <c r="A324" s="30"/>
      <c r="B324" s="31"/>
      <c r="C324" s="32"/>
      <c r="D324" s="33"/>
      <c r="E324" s="34"/>
      <c r="F324" s="34"/>
      <c r="G324" s="35"/>
      <c r="H324" s="34"/>
      <c r="I324" s="37"/>
    </row>
    <row r="325" ht="22.5" customHeight="1">
      <c r="A325" s="30"/>
      <c r="B325" s="31"/>
      <c r="C325" s="32"/>
      <c r="D325" s="33"/>
      <c r="E325" s="34"/>
      <c r="F325" s="34"/>
      <c r="G325" s="35"/>
      <c r="H325" s="34"/>
      <c r="I325" s="37"/>
    </row>
    <row r="326" ht="22.5" customHeight="1">
      <c r="A326" s="30"/>
      <c r="B326" s="31"/>
      <c r="C326" s="32"/>
      <c r="D326" s="33"/>
      <c r="E326" s="34"/>
      <c r="F326" s="34"/>
      <c r="G326" s="35"/>
      <c r="H326" s="34"/>
      <c r="I326" s="37"/>
    </row>
    <row r="327" ht="22.5" customHeight="1">
      <c r="A327" s="30"/>
      <c r="B327" s="31"/>
      <c r="C327" s="32"/>
      <c r="D327" s="33"/>
      <c r="E327" s="34"/>
      <c r="F327" s="34"/>
      <c r="G327" s="35"/>
      <c r="H327" s="34"/>
      <c r="I327" s="37"/>
    </row>
    <row r="328" ht="22.5" customHeight="1">
      <c r="A328" s="30"/>
      <c r="B328" s="31"/>
      <c r="C328" s="32"/>
      <c r="D328" s="33"/>
      <c r="E328" s="34"/>
      <c r="F328" s="34"/>
      <c r="G328" s="35"/>
      <c r="H328" s="34"/>
      <c r="I328" s="37"/>
    </row>
    <row r="329" ht="22.5" customHeight="1">
      <c r="A329" s="30"/>
      <c r="B329" s="31"/>
      <c r="C329" s="32"/>
      <c r="D329" s="33"/>
      <c r="E329" s="34"/>
      <c r="F329" s="34"/>
      <c r="G329" s="35"/>
      <c r="H329" s="34"/>
      <c r="I329" s="37"/>
    </row>
    <row r="330" ht="22.5" customHeight="1">
      <c r="A330" s="30"/>
      <c r="B330" s="31"/>
      <c r="C330" s="32"/>
      <c r="D330" s="33"/>
      <c r="E330" s="34"/>
      <c r="F330" s="34"/>
      <c r="G330" s="35"/>
      <c r="H330" s="34"/>
      <c r="I330" s="37"/>
    </row>
    <row r="331" ht="22.5" customHeight="1">
      <c r="A331" s="30"/>
      <c r="B331" s="31"/>
      <c r="C331" s="32"/>
      <c r="D331" s="33"/>
      <c r="E331" s="34"/>
      <c r="F331" s="34"/>
      <c r="G331" s="35"/>
      <c r="H331" s="34"/>
      <c r="I331" s="37"/>
    </row>
    <row r="332" ht="22.5" customHeight="1">
      <c r="A332" s="30"/>
      <c r="B332" s="31"/>
      <c r="C332" s="32"/>
      <c r="D332" s="33"/>
      <c r="E332" s="34"/>
      <c r="F332" s="34"/>
      <c r="G332" s="35"/>
      <c r="H332" s="34"/>
      <c r="I332" s="37"/>
    </row>
    <row r="333" ht="22.5" customHeight="1">
      <c r="A333" s="30"/>
      <c r="B333" s="31"/>
      <c r="C333" s="32"/>
      <c r="D333" s="33"/>
      <c r="E333" s="34"/>
      <c r="F333" s="34"/>
      <c r="G333" s="35"/>
      <c r="H333" s="34"/>
      <c r="I333" s="37"/>
    </row>
    <row r="334" ht="22.5" customHeight="1">
      <c r="A334" s="30"/>
      <c r="B334" s="31"/>
      <c r="C334" s="32"/>
      <c r="D334" s="33"/>
      <c r="E334" s="34"/>
      <c r="F334" s="34"/>
      <c r="G334" s="35"/>
      <c r="H334" s="34"/>
      <c r="I334" s="37"/>
    </row>
    <row r="335" ht="22.5" customHeight="1">
      <c r="A335" s="30"/>
      <c r="B335" s="40"/>
      <c r="C335" s="32"/>
      <c r="D335" s="33"/>
      <c r="E335" s="34"/>
      <c r="F335" s="34"/>
      <c r="G335" s="35"/>
      <c r="H335" s="34"/>
      <c r="I335" s="37"/>
    </row>
    <row r="336" ht="22.5" customHeight="1">
      <c r="A336" s="30"/>
      <c r="B336" s="31"/>
      <c r="C336" s="32"/>
      <c r="D336" s="33"/>
      <c r="E336" s="34"/>
      <c r="F336" s="34"/>
      <c r="G336" s="35"/>
      <c r="H336" s="34"/>
      <c r="I336" s="37"/>
    </row>
    <row r="337" ht="22.5" customHeight="1">
      <c r="A337" s="30"/>
      <c r="B337" s="40"/>
      <c r="C337" s="32"/>
      <c r="D337" s="33"/>
      <c r="E337" s="34"/>
      <c r="F337" s="34"/>
      <c r="G337" s="35"/>
      <c r="H337" s="34"/>
      <c r="I337" s="37"/>
    </row>
    <row r="338" ht="22.5" customHeight="1">
      <c r="A338" s="30"/>
      <c r="B338" s="31"/>
      <c r="C338" s="32"/>
      <c r="D338" s="33"/>
      <c r="E338" s="34"/>
      <c r="F338" s="34"/>
      <c r="G338" s="35"/>
      <c r="H338" s="34"/>
      <c r="I338" s="37"/>
    </row>
    <row r="339" ht="22.5" customHeight="1">
      <c r="A339" s="30"/>
      <c r="B339" s="31"/>
      <c r="C339" s="32"/>
      <c r="D339" s="33"/>
      <c r="E339" s="34"/>
      <c r="F339" s="34"/>
      <c r="G339" s="35"/>
      <c r="H339" s="34"/>
      <c r="I339" s="37"/>
    </row>
    <row r="340" ht="22.5" customHeight="1">
      <c r="A340" s="30"/>
      <c r="B340" s="31"/>
      <c r="C340" s="32"/>
      <c r="D340" s="33"/>
      <c r="E340" s="34"/>
      <c r="F340" s="34"/>
      <c r="G340" s="35"/>
      <c r="H340" s="34"/>
      <c r="I340" s="37"/>
    </row>
    <row r="341" ht="22.5" customHeight="1">
      <c r="A341" s="30"/>
      <c r="B341" s="31"/>
      <c r="C341" s="32"/>
      <c r="D341" s="33"/>
      <c r="E341" s="34"/>
      <c r="F341" s="34"/>
      <c r="G341" s="35"/>
      <c r="H341" s="34"/>
      <c r="I341" s="37"/>
    </row>
    <row r="342" ht="22.5" customHeight="1">
      <c r="A342" s="30"/>
      <c r="B342" s="40"/>
      <c r="C342" s="32"/>
      <c r="D342" s="33"/>
      <c r="E342" s="34"/>
      <c r="F342" s="34"/>
      <c r="G342" s="35"/>
      <c r="H342" s="34"/>
      <c r="I342" s="37"/>
    </row>
    <row r="343" ht="22.5" customHeight="1">
      <c r="A343" s="30"/>
      <c r="B343" s="31"/>
      <c r="C343" s="32"/>
      <c r="D343" s="33"/>
      <c r="E343" s="34"/>
      <c r="F343" s="34"/>
      <c r="G343" s="35"/>
      <c r="H343" s="34"/>
      <c r="I343" s="37"/>
    </row>
    <row r="344" ht="22.5" customHeight="1">
      <c r="A344" s="30"/>
      <c r="B344" s="31"/>
      <c r="C344" s="32"/>
      <c r="D344" s="33"/>
      <c r="E344" s="34"/>
      <c r="F344" s="34"/>
      <c r="G344" s="35"/>
      <c r="H344" s="34"/>
      <c r="I344" s="37"/>
    </row>
    <row r="345" ht="22.5" customHeight="1">
      <c r="A345" s="30"/>
      <c r="B345" s="31"/>
      <c r="C345" s="32"/>
      <c r="D345" s="33"/>
      <c r="E345" s="34"/>
      <c r="F345" s="34"/>
      <c r="G345" s="35"/>
      <c r="H345" s="34"/>
      <c r="I345" s="37"/>
    </row>
    <row r="346" ht="22.5" customHeight="1">
      <c r="A346" s="30"/>
      <c r="B346" s="31"/>
      <c r="C346" s="32"/>
      <c r="D346" s="33"/>
      <c r="E346" s="34"/>
      <c r="F346" s="34"/>
      <c r="G346" s="35"/>
      <c r="H346" s="34"/>
      <c r="I346" s="37"/>
    </row>
    <row r="347" ht="22.5" customHeight="1">
      <c r="A347" s="30"/>
      <c r="B347" s="31"/>
      <c r="C347" s="32"/>
      <c r="D347" s="33"/>
      <c r="E347" s="34"/>
      <c r="F347" s="34"/>
      <c r="G347" s="35"/>
      <c r="H347" s="34"/>
      <c r="I347" s="37"/>
    </row>
    <row r="348" ht="22.5" customHeight="1">
      <c r="A348" s="30"/>
      <c r="B348" s="31"/>
      <c r="C348" s="32"/>
      <c r="D348" s="33"/>
      <c r="E348" s="34"/>
      <c r="F348" s="34"/>
      <c r="G348" s="35"/>
      <c r="H348" s="34"/>
      <c r="I348" s="37"/>
    </row>
    <row r="349" ht="22.5" customHeight="1">
      <c r="A349" s="30"/>
      <c r="B349" s="31"/>
      <c r="C349" s="32"/>
      <c r="D349" s="33"/>
      <c r="E349" s="34"/>
      <c r="F349" s="34"/>
      <c r="G349" s="35"/>
      <c r="H349" s="34"/>
      <c r="I349" s="37"/>
    </row>
    <row r="350" ht="22.5" customHeight="1">
      <c r="A350" s="30"/>
      <c r="B350" s="31"/>
      <c r="C350" s="32"/>
      <c r="D350" s="33"/>
      <c r="E350" s="34"/>
      <c r="F350" s="34"/>
      <c r="G350" s="35"/>
      <c r="H350" s="34"/>
      <c r="I350" s="37"/>
    </row>
    <row r="351" ht="22.5" customHeight="1">
      <c r="A351" s="30"/>
      <c r="B351" s="31"/>
      <c r="C351" s="32"/>
      <c r="D351" s="33"/>
      <c r="E351" s="34"/>
      <c r="F351" s="34"/>
      <c r="G351" s="35"/>
      <c r="H351" s="34"/>
      <c r="I351" s="37"/>
    </row>
    <row r="352" ht="22.5" customHeight="1">
      <c r="A352" s="30"/>
      <c r="B352" s="31"/>
      <c r="C352" s="32"/>
      <c r="D352" s="33"/>
      <c r="E352" s="34"/>
      <c r="F352" s="34"/>
      <c r="G352" s="35"/>
      <c r="H352" s="34"/>
      <c r="I352" s="37"/>
    </row>
    <row r="353" ht="22.5" customHeight="1">
      <c r="A353" s="30"/>
      <c r="B353" s="31"/>
      <c r="C353" s="32"/>
      <c r="D353" s="33"/>
      <c r="E353" s="34"/>
      <c r="F353" s="34"/>
      <c r="G353" s="35"/>
      <c r="H353" s="34"/>
      <c r="I353" s="37"/>
    </row>
    <row r="354" ht="22.5" customHeight="1">
      <c r="A354" s="30"/>
      <c r="B354" s="31"/>
      <c r="C354" s="32"/>
      <c r="D354" s="33"/>
      <c r="E354" s="34"/>
      <c r="F354" s="34"/>
      <c r="G354" s="35"/>
      <c r="H354" s="34"/>
      <c r="I354" s="37"/>
    </row>
    <row r="355" ht="22.5" customHeight="1">
      <c r="A355" s="30"/>
      <c r="B355" s="31"/>
      <c r="C355" s="32"/>
      <c r="D355" s="33"/>
      <c r="E355" s="34"/>
      <c r="F355" s="34"/>
      <c r="G355" s="35"/>
      <c r="H355" s="34"/>
      <c r="I355" s="37"/>
    </row>
    <row r="356" ht="22.5" customHeight="1">
      <c r="A356" s="30"/>
      <c r="B356" s="31"/>
      <c r="C356" s="32"/>
      <c r="D356" s="33"/>
      <c r="E356" s="34"/>
      <c r="F356" s="34"/>
      <c r="G356" s="35"/>
      <c r="H356" s="34"/>
      <c r="I356" s="37"/>
    </row>
    <row r="357" ht="22.5" customHeight="1">
      <c r="A357" s="30"/>
      <c r="B357" s="31"/>
      <c r="C357" s="32"/>
      <c r="D357" s="33"/>
      <c r="E357" s="34"/>
      <c r="F357" s="34"/>
      <c r="G357" s="35"/>
      <c r="H357" s="34"/>
      <c r="I357" s="37"/>
    </row>
    <row r="358" ht="22.5" customHeight="1">
      <c r="A358" s="30"/>
      <c r="B358" s="31"/>
      <c r="C358" s="32"/>
      <c r="D358" s="33"/>
      <c r="E358" s="34"/>
      <c r="F358" s="34"/>
      <c r="G358" s="35"/>
      <c r="H358" s="34"/>
      <c r="I358" s="37"/>
    </row>
    <row r="359" ht="22.5" customHeight="1">
      <c r="A359" s="30"/>
      <c r="B359" s="31"/>
      <c r="C359" s="32"/>
      <c r="D359" s="33"/>
      <c r="E359" s="34"/>
      <c r="F359" s="34"/>
      <c r="G359" s="35"/>
      <c r="H359" s="34"/>
      <c r="I359" s="37"/>
    </row>
    <row r="360" ht="22.5" customHeight="1">
      <c r="A360" s="30"/>
      <c r="B360" s="31"/>
      <c r="C360" s="32"/>
      <c r="D360" s="33"/>
      <c r="E360" s="34"/>
      <c r="F360" s="34"/>
      <c r="G360" s="35"/>
      <c r="H360" s="34"/>
      <c r="I360" s="37"/>
    </row>
    <row r="361" ht="22.5" customHeight="1">
      <c r="A361" s="30"/>
      <c r="B361" s="31"/>
      <c r="C361" s="32"/>
      <c r="D361" s="33"/>
      <c r="E361" s="34"/>
      <c r="F361" s="34"/>
      <c r="G361" s="35"/>
      <c r="H361" s="34"/>
      <c r="I361" s="37"/>
    </row>
    <row r="362" ht="22.5" customHeight="1">
      <c r="A362" s="30"/>
      <c r="B362" s="31"/>
      <c r="C362" s="32"/>
      <c r="D362" s="33"/>
      <c r="E362" s="34"/>
      <c r="F362" s="34"/>
      <c r="G362" s="35"/>
      <c r="H362" s="34"/>
      <c r="I362" s="37"/>
    </row>
    <row r="363" ht="22.5" customHeight="1">
      <c r="A363" s="30"/>
      <c r="B363" s="31"/>
      <c r="C363" s="32"/>
      <c r="D363" s="33"/>
      <c r="E363" s="34"/>
      <c r="F363" s="34"/>
      <c r="G363" s="35"/>
      <c r="H363" s="34"/>
      <c r="I363" s="37"/>
    </row>
    <row r="364" ht="22.5" customHeight="1">
      <c r="A364" s="30"/>
      <c r="B364" s="40"/>
      <c r="C364" s="32"/>
      <c r="D364" s="33"/>
      <c r="E364" s="34"/>
      <c r="F364" s="34"/>
      <c r="G364" s="35"/>
      <c r="H364" s="34"/>
      <c r="I364" s="37"/>
    </row>
    <row r="365" ht="22.5" customHeight="1">
      <c r="A365" s="30"/>
      <c r="B365" s="31"/>
      <c r="C365" s="32"/>
      <c r="D365" s="33"/>
      <c r="E365" s="34"/>
      <c r="F365" s="34"/>
      <c r="G365" s="35"/>
      <c r="H365" s="34"/>
      <c r="I365" s="37"/>
    </row>
    <row r="366" ht="22.5" customHeight="1">
      <c r="A366" s="30"/>
      <c r="B366" s="31"/>
      <c r="C366" s="32"/>
      <c r="D366" s="33"/>
      <c r="E366" s="34"/>
      <c r="F366" s="34"/>
      <c r="G366" s="35"/>
      <c r="H366" s="34"/>
      <c r="I366" s="37"/>
    </row>
    <row r="367" ht="22.5" customHeight="1">
      <c r="A367" s="30"/>
      <c r="B367" s="31"/>
      <c r="C367" s="32"/>
      <c r="D367" s="33"/>
      <c r="E367" s="34"/>
      <c r="F367" s="34"/>
      <c r="G367" s="35"/>
      <c r="H367" s="34"/>
      <c r="I367" s="37"/>
    </row>
    <row r="368" ht="22.5" customHeight="1">
      <c r="A368" s="30"/>
      <c r="B368" s="31"/>
      <c r="C368" s="32"/>
      <c r="D368" s="33"/>
      <c r="E368" s="34"/>
      <c r="F368" s="34"/>
      <c r="G368" s="35"/>
      <c r="H368" s="34"/>
      <c r="I368" s="38"/>
    </row>
    <row r="369" ht="22.5" customHeight="1">
      <c r="A369" s="30"/>
      <c r="B369" s="39"/>
      <c r="C369" s="32"/>
      <c r="D369" s="33"/>
      <c r="E369" s="34"/>
      <c r="F369" s="34"/>
      <c r="G369" s="35"/>
      <c r="H369" s="34"/>
      <c r="I369" s="37"/>
    </row>
    <row r="370" ht="22.5" customHeight="1">
      <c r="A370" s="30"/>
      <c r="B370" s="31"/>
      <c r="C370" s="32"/>
      <c r="D370" s="33"/>
      <c r="E370" s="34"/>
      <c r="F370" s="34"/>
      <c r="G370" s="35"/>
      <c r="H370" s="34"/>
      <c r="I370" s="37"/>
    </row>
    <row r="371" ht="22.5" customHeight="1">
      <c r="A371" s="30"/>
      <c r="B371" s="31"/>
      <c r="C371" s="32"/>
      <c r="D371" s="33"/>
      <c r="E371" s="34"/>
      <c r="F371" s="34"/>
      <c r="G371" s="35"/>
      <c r="H371" s="34"/>
      <c r="I371" s="37"/>
    </row>
    <row r="372" ht="22.5" customHeight="1">
      <c r="A372" s="30"/>
      <c r="B372" s="31"/>
      <c r="C372" s="32"/>
      <c r="D372" s="33"/>
      <c r="E372" s="34"/>
      <c r="F372" s="34"/>
      <c r="G372" s="35"/>
      <c r="H372" s="34"/>
      <c r="I372" s="37"/>
    </row>
    <row r="373" ht="22.5" customHeight="1">
      <c r="A373" s="30"/>
      <c r="B373" s="39"/>
      <c r="C373" s="32"/>
      <c r="D373" s="33"/>
      <c r="E373" s="34"/>
      <c r="F373" s="34"/>
      <c r="G373" s="35"/>
      <c r="H373" s="34"/>
      <c r="I373" s="37"/>
    </row>
    <row r="374" ht="22.5" customHeight="1">
      <c r="A374" s="30"/>
      <c r="B374" s="31"/>
      <c r="C374" s="32"/>
      <c r="D374" s="33"/>
      <c r="E374" s="34"/>
      <c r="F374" s="34"/>
      <c r="G374" s="35"/>
      <c r="H374" s="34"/>
      <c r="I374" s="37"/>
    </row>
    <row r="375" ht="22.5" customHeight="1">
      <c r="A375" s="30"/>
      <c r="B375" s="39"/>
      <c r="C375" s="32"/>
      <c r="D375" s="33"/>
      <c r="E375" s="34"/>
      <c r="F375" s="34"/>
      <c r="G375" s="35"/>
      <c r="H375" s="34"/>
      <c r="I375" s="37"/>
    </row>
    <row r="376" ht="22.5" customHeight="1">
      <c r="A376" s="30"/>
      <c r="B376" s="31"/>
      <c r="C376" s="32"/>
      <c r="D376" s="33"/>
      <c r="E376" s="34"/>
      <c r="F376" s="34"/>
      <c r="G376" s="35"/>
      <c r="H376" s="34"/>
      <c r="I376" s="37"/>
    </row>
    <row r="377" ht="22.5" customHeight="1">
      <c r="A377" s="30"/>
      <c r="B377" s="31"/>
      <c r="C377" s="32"/>
      <c r="D377" s="33"/>
      <c r="E377" s="34"/>
      <c r="F377" s="34"/>
      <c r="G377" s="35"/>
      <c r="H377" s="34"/>
      <c r="I377" s="37"/>
    </row>
    <row r="378" ht="22.5" customHeight="1">
      <c r="A378" s="30"/>
      <c r="B378" s="31"/>
      <c r="C378" s="32"/>
      <c r="D378" s="33"/>
      <c r="E378" s="34"/>
      <c r="F378" s="34"/>
      <c r="G378" s="35"/>
      <c r="H378" s="34"/>
      <c r="I378" s="37"/>
    </row>
    <row r="379" ht="22.5" customHeight="1">
      <c r="A379" s="30"/>
      <c r="B379" s="31"/>
      <c r="C379" s="32"/>
      <c r="D379" s="33"/>
      <c r="E379" s="34"/>
      <c r="F379" s="34"/>
      <c r="G379" s="35"/>
      <c r="H379" s="34"/>
      <c r="I379" s="37"/>
    </row>
    <row r="380" ht="22.5" customHeight="1">
      <c r="A380" s="30"/>
      <c r="B380" s="31"/>
      <c r="C380" s="32"/>
      <c r="D380" s="33"/>
      <c r="E380" s="34"/>
      <c r="F380" s="34"/>
      <c r="G380" s="35"/>
      <c r="H380" s="34"/>
      <c r="I380" s="37"/>
    </row>
    <row r="381" ht="22.5" customHeight="1">
      <c r="A381" s="30"/>
      <c r="B381" s="31"/>
      <c r="C381" s="32"/>
      <c r="D381" s="33"/>
      <c r="E381" s="34"/>
      <c r="F381" s="34"/>
      <c r="G381" s="35"/>
      <c r="H381" s="34"/>
      <c r="I381" s="37"/>
    </row>
    <row r="382" ht="22.5" customHeight="1">
      <c r="A382" s="30"/>
      <c r="B382" s="31"/>
      <c r="C382" s="32"/>
      <c r="D382" s="33"/>
      <c r="E382" s="34"/>
      <c r="F382" s="34"/>
      <c r="G382" s="35"/>
      <c r="H382" s="34"/>
      <c r="I382" s="37"/>
    </row>
    <row r="383" ht="22.5" customHeight="1">
      <c r="A383" s="30"/>
      <c r="B383" s="31"/>
      <c r="C383" s="32"/>
      <c r="D383" s="33"/>
      <c r="E383" s="34"/>
      <c r="F383" s="34"/>
      <c r="G383" s="35"/>
      <c r="H383" s="34"/>
      <c r="I383" s="37"/>
    </row>
    <row r="384" ht="22.5" customHeight="1">
      <c r="A384" s="30"/>
      <c r="B384" s="31"/>
      <c r="C384" s="32"/>
      <c r="D384" s="33"/>
      <c r="E384" s="34"/>
      <c r="F384" s="34"/>
      <c r="G384" s="35"/>
      <c r="H384" s="34"/>
      <c r="I384" s="37"/>
    </row>
    <row r="385" ht="22.5" customHeight="1">
      <c r="A385" s="30"/>
      <c r="B385" s="31"/>
      <c r="C385" s="32"/>
      <c r="D385" s="33"/>
      <c r="E385" s="34"/>
      <c r="F385" s="34"/>
      <c r="G385" s="35"/>
      <c r="H385" s="34"/>
      <c r="I385" s="37"/>
    </row>
    <row r="386" ht="22.5" customHeight="1">
      <c r="A386" s="30"/>
      <c r="B386" s="40"/>
      <c r="C386" s="32"/>
      <c r="D386" s="33"/>
      <c r="E386" s="34"/>
      <c r="F386" s="34"/>
      <c r="G386" s="35"/>
      <c r="H386" s="34"/>
      <c r="I386" s="37"/>
    </row>
    <row r="387" ht="22.5" customHeight="1">
      <c r="A387" s="30"/>
      <c r="B387" s="31"/>
      <c r="C387" s="32"/>
      <c r="D387" s="33"/>
      <c r="E387" s="34"/>
      <c r="F387" s="34"/>
      <c r="G387" s="35"/>
      <c r="H387" s="34"/>
      <c r="I387" s="37"/>
    </row>
    <row r="388" ht="22.5" customHeight="1">
      <c r="A388" s="30"/>
      <c r="B388" s="31"/>
      <c r="C388" s="32"/>
      <c r="D388" s="33"/>
      <c r="E388" s="34"/>
      <c r="F388" s="34"/>
      <c r="G388" s="35"/>
      <c r="H388" s="34"/>
      <c r="I388" s="37"/>
    </row>
    <row r="389" ht="22.5" customHeight="1">
      <c r="A389" s="30"/>
      <c r="B389" s="31"/>
      <c r="C389" s="32"/>
      <c r="D389" s="33"/>
      <c r="E389" s="34"/>
      <c r="F389" s="34"/>
      <c r="G389" s="35"/>
      <c r="H389" s="34"/>
      <c r="I389" s="37"/>
    </row>
    <row r="390" ht="22.5" customHeight="1">
      <c r="A390" s="30"/>
      <c r="B390" s="31"/>
      <c r="C390" s="32"/>
      <c r="D390" s="33"/>
      <c r="E390" s="34"/>
      <c r="F390" s="34"/>
      <c r="G390" s="35"/>
      <c r="H390" s="34"/>
      <c r="I390" s="37"/>
    </row>
    <row r="391" ht="22.5" customHeight="1">
      <c r="A391" s="30"/>
      <c r="B391" s="31"/>
      <c r="C391" s="32"/>
      <c r="D391" s="33"/>
      <c r="E391" s="34"/>
      <c r="F391" s="34"/>
      <c r="G391" s="35"/>
      <c r="H391" s="34"/>
      <c r="I391" s="37"/>
    </row>
    <row r="392" ht="22.5" customHeight="1">
      <c r="A392" s="30"/>
      <c r="B392" s="31"/>
      <c r="C392" s="32"/>
      <c r="D392" s="33"/>
      <c r="E392" s="34"/>
      <c r="F392" s="34"/>
      <c r="G392" s="35"/>
      <c r="H392" s="34"/>
      <c r="I392" s="37"/>
    </row>
    <row r="393" ht="22.5" customHeight="1">
      <c r="A393" s="30"/>
      <c r="B393" s="39"/>
      <c r="C393" s="32"/>
      <c r="D393" s="33"/>
      <c r="E393" s="34"/>
      <c r="F393" s="34"/>
      <c r="G393" s="35"/>
      <c r="H393" s="34"/>
      <c r="I393" s="37"/>
    </row>
    <row r="394" ht="22.5" customHeight="1">
      <c r="A394" s="30"/>
      <c r="B394" s="39"/>
      <c r="C394" s="32"/>
      <c r="D394" s="33"/>
      <c r="E394" s="34"/>
      <c r="F394" s="34"/>
      <c r="G394" s="35"/>
      <c r="H394" s="34"/>
      <c r="I394" s="37"/>
    </row>
    <row r="395" ht="22.5" customHeight="1">
      <c r="A395" s="30"/>
      <c r="B395" s="39"/>
      <c r="C395" s="32"/>
      <c r="D395" s="33"/>
      <c r="E395" s="34"/>
      <c r="F395" s="34"/>
      <c r="G395" s="35"/>
      <c r="H395" s="34"/>
      <c r="I395" s="37"/>
    </row>
    <row r="396" ht="22.5" customHeight="1">
      <c r="A396" s="30"/>
      <c r="B396" s="40"/>
      <c r="C396" s="32"/>
      <c r="D396" s="33"/>
      <c r="E396" s="34"/>
      <c r="F396" s="34"/>
      <c r="G396" s="35"/>
      <c r="H396" s="34"/>
      <c r="I396" s="37"/>
    </row>
    <row r="397" ht="22.5" customHeight="1">
      <c r="A397" s="30"/>
      <c r="B397" s="31"/>
      <c r="C397" s="32"/>
      <c r="D397" s="33"/>
      <c r="E397" s="34"/>
      <c r="F397" s="34"/>
      <c r="G397" s="35"/>
      <c r="H397" s="34"/>
      <c r="I397" s="37"/>
    </row>
    <row r="398" ht="22.5" customHeight="1">
      <c r="A398" s="30"/>
      <c r="B398" s="31"/>
      <c r="C398" s="32"/>
      <c r="D398" s="33"/>
      <c r="E398" s="34"/>
      <c r="F398" s="34"/>
      <c r="G398" s="35"/>
      <c r="H398" s="34"/>
      <c r="I398" s="37"/>
    </row>
    <row r="399" ht="22.5" customHeight="1">
      <c r="A399" s="30"/>
      <c r="B399" s="31"/>
      <c r="C399" s="32"/>
      <c r="D399" s="33"/>
      <c r="E399" s="34"/>
      <c r="F399" s="34"/>
      <c r="G399" s="35"/>
      <c r="H399" s="34"/>
      <c r="I399" s="37"/>
    </row>
    <row r="400" ht="22.5" customHeight="1">
      <c r="A400" s="30"/>
      <c r="B400" s="31"/>
      <c r="C400" s="32"/>
      <c r="D400" s="33"/>
      <c r="E400" s="34"/>
      <c r="F400" s="34"/>
      <c r="G400" s="35"/>
      <c r="H400" s="34"/>
      <c r="I400" s="37"/>
    </row>
    <row r="401" ht="22.5" customHeight="1">
      <c r="A401" s="30"/>
      <c r="B401" s="31"/>
      <c r="C401" s="32"/>
      <c r="D401" s="33"/>
      <c r="E401" s="34"/>
      <c r="F401" s="34"/>
      <c r="G401" s="35"/>
      <c r="H401" s="34"/>
      <c r="I401" s="37"/>
    </row>
    <row r="402" ht="22.5" customHeight="1">
      <c r="A402" s="30"/>
      <c r="B402" s="31"/>
      <c r="C402" s="32"/>
      <c r="D402" s="33"/>
      <c r="E402" s="34"/>
      <c r="F402" s="34"/>
      <c r="G402" s="35"/>
      <c r="H402" s="34"/>
      <c r="I402" s="37"/>
    </row>
    <row r="403" ht="22.5" customHeight="1">
      <c r="A403" s="30"/>
      <c r="B403" s="31"/>
      <c r="C403" s="32"/>
      <c r="D403" s="33"/>
      <c r="E403" s="34"/>
      <c r="F403" s="34"/>
      <c r="G403" s="35"/>
      <c r="H403" s="34"/>
      <c r="I403" s="37"/>
    </row>
    <row r="404" ht="22.5" customHeight="1">
      <c r="A404" s="30"/>
      <c r="B404" s="31"/>
      <c r="C404" s="32"/>
      <c r="D404" s="33"/>
      <c r="E404" s="34"/>
      <c r="F404" s="34"/>
      <c r="G404" s="35"/>
      <c r="H404" s="34"/>
      <c r="I404" s="37"/>
    </row>
    <row r="405" ht="22.5" customHeight="1">
      <c r="A405" s="30"/>
      <c r="B405" s="31"/>
      <c r="C405" s="32"/>
      <c r="D405" s="33"/>
      <c r="E405" s="34"/>
      <c r="F405" s="34"/>
      <c r="G405" s="35"/>
      <c r="H405" s="34"/>
      <c r="I405" s="37"/>
    </row>
    <row r="406" ht="22.5" customHeight="1">
      <c r="A406" s="30"/>
      <c r="B406" s="40"/>
      <c r="C406" s="32"/>
      <c r="D406" s="33"/>
      <c r="E406" s="34"/>
      <c r="F406" s="34"/>
      <c r="G406" s="35"/>
      <c r="H406" s="34"/>
      <c r="I406" s="37"/>
    </row>
    <row r="407" ht="22.5" customHeight="1">
      <c r="A407" s="30"/>
      <c r="B407" s="31"/>
      <c r="C407" s="32"/>
      <c r="D407" s="33"/>
      <c r="E407" s="34"/>
      <c r="F407" s="34"/>
      <c r="G407" s="35"/>
      <c r="H407" s="34"/>
      <c r="I407" s="37"/>
    </row>
    <row r="408" ht="22.5" customHeight="1">
      <c r="A408" s="30"/>
      <c r="B408" s="31"/>
      <c r="C408" s="32"/>
      <c r="D408" s="33"/>
      <c r="E408" s="34"/>
      <c r="F408" s="34"/>
      <c r="G408" s="35"/>
      <c r="H408" s="34"/>
      <c r="I408" s="37"/>
    </row>
    <row r="409" ht="22.5" customHeight="1">
      <c r="A409" s="30"/>
      <c r="B409" s="31"/>
      <c r="C409" s="32"/>
      <c r="D409" s="33"/>
      <c r="E409" s="34"/>
      <c r="F409" s="34"/>
      <c r="G409" s="35"/>
      <c r="H409" s="34"/>
      <c r="I409" s="37"/>
    </row>
    <row r="410" ht="22.5" customHeight="1">
      <c r="A410" s="30"/>
      <c r="B410" s="40"/>
      <c r="C410" s="32"/>
      <c r="D410" s="33"/>
      <c r="E410" s="34"/>
      <c r="F410" s="34"/>
      <c r="G410" s="35"/>
      <c r="H410" s="34"/>
      <c r="I410" s="37"/>
    </row>
    <row r="411" ht="22.5" customHeight="1">
      <c r="A411" s="30"/>
      <c r="B411" s="31"/>
      <c r="C411" s="32"/>
      <c r="D411" s="33"/>
      <c r="E411" s="34"/>
      <c r="F411" s="34"/>
      <c r="G411" s="35"/>
      <c r="H411" s="34"/>
      <c r="I411" s="37"/>
    </row>
    <row r="412" ht="22.5" customHeight="1">
      <c r="A412" s="30"/>
      <c r="B412" s="31"/>
      <c r="C412" s="32"/>
      <c r="D412" s="33"/>
      <c r="E412" s="34"/>
      <c r="F412" s="34"/>
      <c r="G412" s="35"/>
      <c r="H412" s="34"/>
      <c r="I412" s="37"/>
    </row>
    <row r="413" ht="22.5" customHeight="1">
      <c r="A413" s="30"/>
      <c r="B413" s="31"/>
      <c r="C413" s="32"/>
      <c r="D413" s="33"/>
      <c r="E413" s="34"/>
      <c r="F413" s="34"/>
      <c r="G413" s="35"/>
      <c r="H413" s="34"/>
      <c r="I413" s="37"/>
    </row>
    <row r="414" ht="22.5" customHeight="1">
      <c r="A414" s="30"/>
      <c r="B414" s="31"/>
      <c r="C414" s="32"/>
      <c r="D414" s="33"/>
      <c r="E414" s="34"/>
      <c r="F414" s="34"/>
      <c r="G414" s="35"/>
      <c r="H414" s="34"/>
      <c r="I414" s="37"/>
    </row>
    <row r="415" ht="22.5" customHeight="1">
      <c r="A415" s="30"/>
      <c r="B415" s="31"/>
      <c r="C415" s="32"/>
      <c r="D415" s="33"/>
      <c r="E415" s="34"/>
      <c r="F415" s="34"/>
      <c r="G415" s="35"/>
      <c r="H415" s="34"/>
      <c r="I415" s="37"/>
    </row>
    <row r="416" ht="22.5" customHeight="1">
      <c r="A416" s="30"/>
      <c r="B416" s="31"/>
      <c r="C416" s="32"/>
      <c r="D416" s="33"/>
      <c r="E416" s="34"/>
      <c r="F416" s="34"/>
      <c r="G416" s="35"/>
      <c r="H416" s="34"/>
      <c r="I416" s="37"/>
    </row>
    <row r="417" ht="22.5" customHeight="1">
      <c r="A417" s="30"/>
      <c r="B417" s="31"/>
      <c r="C417" s="32"/>
      <c r="D417" s="33"/>
      <c r="E417" s="34"/>
      <c r="F417" s="34"/>
      <c r="G417" s="35"/>
      <c r="H417" s="34"/>
      <c r="I417" s="37"/>
    </row>
    <row r="418" ht="22.5" customHeight="1">
      <c r="A418" s="30"/>
      <c r="B418" s="31"/>
      <c r="C418" s="32"/>
      <c r="D418" s="33"/>
      <c r="E418" s="34"/>
      <c r="F418" s="34"/>
      <c r="G418" s="35"/>
      <c r="H418" s="34"/>
      <c r="I418" s="37"/>
    </row>
    <row r="419" ht="22.5" customHeight="1">
      <c r="A419" s="30"/>
      <c r="B419" s="31"/>
      <c r="C419" s="32"/>
      <c r="D419" s="33"/>
      <c r="E419" s="34"/>
      <c r="F419" s="34"/>
      <c r="G419" s="35"/>
      <c r="H419" s="34"/>
      <c r="I419" s="37"/>
    </row>
    <row r="420" ht="22.5" customHeight="1">
      <c r="A420" s="30"/>
      <c r="B420" s="31"/>
      <c r="C420" s="32"/>
      <c r="D420" s="33"/>
      <c r="E420" s="34"/>
      <c r="F420" s="34"/>
      <c r="G420" s="35"/>
      <c r="H420" s="34"/>
      <c r="I420" s="37"/>
    </row>
    <row r="421" ht="22.5" customHeight="1">
      <c r="A421" s="30"/>
      <c r="B421" s="31"/>
      <c r="C421" s="32"/>
      <c r="D421" s="33"/>
      <c r="E421" s="34"/>
      <c r="F421" s="34"/>
      <c r="G421" s="35"/>
      <c r="H421" s="34"/>
      <c r="I421" s="37"/>
    </row>
    <row r="422" ht="22.5" customHeight="1">
      <c r="A422" s="30"/>
      <c r="B422" s="31"/>
      <c r="C422" s="32"/>
      <c r="D422" s="33"/>
      <c r="E422" s="34"/>
      <c r="F422" s="34"/>
      <c r="G422" s="35"/>
      <c r="H422" s="34"/>
      <c r="I422" s="37"/>
    </row>
    <row r="423" ht="22.5" customHeight="1">
      <c r="A423" s="30"/>
      <c r="B423" s="31"/>
      <c r="C423" s="32"/>
      <c r="D423" s="33"/>
      <c r="E423" s="34"/>
      <c r="F423" s="34"/>
      <c r="G423" s="35"/>
      <c r="H423" s="34"/>
      <c r="I423" s="37"/>
    </row>
    <row r="424" ht="22.5" customHeight="1">
      <c r="A424" s="30"/>
      <c r="B424" s="31"/>
      <c r="C424" s="32"/>
      <c r="D424" s="33"/>
      <c r="E424" s="34"/>
      <c r="F424" s="34"/>
      <c r="G424" s="35"/>
      <c r="H424" s="34"/>
      <c r="I424" s="37"/>
    </row>
    <row r="425" ht="22.5" customHeight="1">
      <c r="A425" s="30"/>
      <c r="B425" s="40"/>
      <c r="C425" s="32"/>
      <c r="D425" s="33"/>
      <c r="E425" s="34"/>
      <c r="F425" s="34"/>
      <c r="G425" s="35"/>
      <c r="H425" s="34"/>
      <c r="I425" s="37"/>
    </row>
    <row r="426" ht="22.5" customHeight="1">
      <c r="A426" s="30"/>
      <c r="B426" s="31"/>
      <c r="C426" s="32"/>
      <c r="D426" s="33"/>
      <c r="E426" s="34"/>
      <c r="F426" s="34"/>
      <c r="G426" s="35"/>
      <c r="H426" s="34"/>
      <c r="I426" s="37"/>
    </row>
    <row r="427" ht="22.5" customHeight="1">
      <c r="A427" s="30"/>
      <c r="B427" s="40"/>
      <c r="C427" s="32"/>
      <c r="D427" s="33"/>
      <c r="E427" s="34"/>
      <c r="F427" s="34"/>
      <c r="G427" s="35"/>
      <c r="H427" s="34"/>
      <c r="I427" s="37"/>
    </row>
    <row r="428" ht="22.5" customHeight="1">
      <c r="A428" s="30"/>
      <c r="B428" s="31"/>
      <c r="C428" s="32"/>
      <c r="D428" s="33"/>
      <c r="E428" s="34"/>
      <c r="F428" s="34"/>
      <c r="G428" s="35"/>
      <c r="H428" s="34"/>
      <c r="I428" s="37"/>
    </row>
    <row r="429" ht="22.5" customHeight="1">
      <c r="A429" s="30"/>
      <c r="B429" s="31"/>
      <c r="C429" s="32"/>
      <c r="D429" s="33"/>
      <c r="E429" s="34"/>
      <c r="F429" s="34"/>
      <c r="G429" s="35"/>
      <c r="H429" s="34"/>
      <c r="I429" s="37"/>
    </row>
    <row r="430" ht="22.5" customHeight="1">
      <c r="A430" s="30"/>
      <c r="B430" s="31"/>
      <c r="C430" s="32"/>
      <c r="D430" s="33"/>
      <c r="E430" s="34"/>
      <c r="F430" s="34"/>
      <c r="G430" s="35"/>
      <c r="H430" s="34"/>
      <c r="I430" s="37"/>
    </row>
    <row r="431" ht="22.5" customHeight="1">
      <c r="A431" s="30"/>
      <c r="B431" s="31"/>
      <c r="C431" s="32"/>
      <c r="D431" s="33"/>
      <c r="E431" s="34"/>
      <c r="F431" s="34"/>
      <c r="G431" s="35"/>
      <c r="H431" s="34"/>
      <c r="I431" s="37"/>
    </row>
    <row r="432" ht="22.5" customHeight="1">
      <c r="A432" s="30"/>
      <c r="B432" s="40"/>
      <c r="C432" s="32"/>
      <c r="D432" s="33"/>
      <c r="E432" s="34"/>
      <c r="F432" s="34"/>
      <c r="G432" s="35"/>
      <c r="H432" s="34"/>
      <c r="I432" s="37"/>
    </row>
    <row r="433" ht="22.5" customHeight="1">
      <c r="A433" s="30"/>
      <c r="B433" s="31"/>
      <c r="C433" s="32"/>
      <c r="D433" s="33"/>
      <c r="E433" s="34"/>
      <c r="F433" s="34"/>
      <c r="G433" s="35"/>
      <c r="H433" s="34"/>
      <c r="I433" s="37"/>
    </row>
    <row r="434" ht="22.5" customHeight="1">
      <c r="A434" s="30"/>
      <c r="B434" s="31"/>
      <c r="C434" s="32"/>
      <c r="D434" s="33"/>
      <c r="E434" s="34"/>
      <c r="F434" s="34"/>
      <c r="G434" s="35"/>
      <c r="H434" s="34"/>
      <c r="I434" s="37"/>
    </row>
    <row r="435" ht="22.5" customHeight="1">
      <c r="A435" s="30"/>
      <c r="B435" s="31"/>
      <c r="C435" s="32"/>
      <c r="D435" s="33"/>
      <c r="E435" s="34"/>
      <c r="F435" s="34"/>
      <c r="G435" s="35"/>
      <c r="H435" s="34"/>
      <c r="I435" s="37"/>
    </row>
    <row r="436" ht="22.5" customHeight="1">
      <c r="A436" s="30"/>
      <c r="B436" s="31"/>
      <c r="C436" s="32"/>
      <c r="D436" s="33"/>
      <c r="E436" s="34"/>
      <c r="F436" s="34"/>
      <c r="G436" s="35"/>
      <c r="H436" s="34"/>
      <c r="I436" s="37"/>
    </row>
    <row r="437" ht="22.5" customHeight="1">
      <c r="A437" s="30"/>
      <c r="B437" s="31"/>
      <c r="C437" s="32"/>
      <c r="D437" s="33"/>
      <c r="E437" s="34"/>
      <c r="F437" s="34"/>
      <c r="G437" s="35"/>
      <c r="H437" s="34"/>
      <c r="I437" s="37"/>
    </row>
    <row r="438" ht="22.5" customHeight="1">
      <c r="A438" s="30"/>
      <c r="B438" s="31"/>
      <c r="C438" s="32"/>
      <c r="D438" s="33"/>
      <c r="E438" s="34"/>
      <c r="F438" s="34"/>
      <c r="G438" s="35"/>
      <c r="H438" s="34"/>
      <c r="I438" s="37"/>
    </row>
    <row r="439" ht="22.5" customHeight="1">
      <c r="A439" s="30"/>
      <c r="B439" s="31"/>
      <c r="C439" s="32"/>
      <c r="D439" s="33"/>
      <c r="E439" s="34"/>
      <c r="F439" s="34"/>
      <c r="G439" s="35"/>
      <c r="H439" s="34"/>
      <c r="I439" s="37"/>
    </row>
    <row r="440" ht="22.5" customHeight="1">
      <c r="A440" s="30"/>
      <c r="B440" s="31"/>
      <c r="C440" s="32"/>
      <c r="D440" s="33"/>
      <c r="E440" s="34"/>
      <c r="F440" s="34"/>
      <c r="G440" s="35"/>
      <c r="H440" s="34"/>
      <c r="I440" s="37"/>
    </row>
    <row r="441" ht="22.5" customHeight="1">
      <c r="A441" s="30"/>
      <c r="B441" s="31"/>
      <c r="C441" s="32"/>
      <c r="D441" s="33"/>
      <c r="E441" s="34"/>
      <c r="F441" s="34"/>
      <c r="G441" s="35"/>
      <c r="H441" s="34"/>
      <c r="I441" s="37"/>
    </row>
    <row r="442" ht="22.5" customHeight="1">
      <c r="A442" s="30"/>
      <c r="B442" s="31"/>
      <c r="C442" s="32"/>
      <c r="D442" s="33"/>
      <c r="E442" s="34"/>
      <c r="F442" s="34"/>
      <c r="G442" s="35"/>
      <c r="H442" s="34"/>
      <c r="I442" s="37"/>
    </row>
    <row r="443" ht="22.5" customHeight="1">
      <c r="A443" s="30"/>
      <c r="B443" s="31"/>
      <c r="C443" s="32"/>
      <c r="D443" s="33"/>
      <c r="E443" s="34"/>
      <c r="F443" s="34"/>
      <c r="G443" s="35"/>
      <c r="H443" s="34"/>
      <c r="I443" s="37"/>
    </row>
    <row r="444" ht="22.5" customHeight="1">
      <c r="A444" s="30"/>
      <c r="B444" s="31"/>
      <c r="C444" s="32"/>
      <c r="D444" s="33"/>
      <c r="E444" s="34"/>
      <c r="F444" s="34"/>
      <c r="G444" s="35"/>
      <c r="H444" s="34"/>
      <c r="I444" s="37"/>
    </row>
    <row r="445" ht="22.5" customHeight="1">
      <c r="A445" s="30"/>
      <c r="B445" s="31"/>
      <c r="C445" s="32"/>
      <c r="D445" s="33"/>
      <c r="E445" s="34"/>
      <c r="F445" s="34"/>
      <c r="G445" s="35"/>
      <c r="H445" s="34"/>
      <c r="I445" s="37"/>
    </row>
    <row r="446" ht="22.5" customHeight="1">
      <c r="A446" s="30"/>
      <c r="B446" s="31"/>
      <c r="C446" s="32"/>
      <c r="D446" s="33"/>
      <c r="E446" s="34"/>
      <c r="F446" s="34"/>
      <c r="G446" s="35"/>
      <c r="H446" s="34"/>
      <c r="I446" s="37"/>
    </row>
    <row r="447" ht="22.5" customHeight="1">
      <c r="A447" s="30"/>
      <c r="B447" s="31"/>
      <c r="C447" s="32"/>
      <c r="D447" s="33"/>
      <c r="E447" s="34"/>
      <c r="F447" s="34"/>
      <c r="G447" s="35"/>
      <c r="H447" s="34"/>
      <c r="I447" s="37"/>
    </row>
    <row r="448" ht="22.5" customHeight="1">
      <c r="A448" s="30"/>
      <c r="B448" s="31"/>
      <c r="C448" s="32"/>
      <c r="D448" s="33"/>
      <c r="E448" s="34"/>
      <c r="F448" s="34"/>
      <c r="G448" s="35"/>
      <c r="H448" s="34"/>
      <c r="I448" s="37"/>
    </row>
    <row r="449" ht="22.5" customHeight="1">
      <c r="A449" s="30"/>
      <c r="B449" s="31"/>
      <c r="C449" s="32"/>
      <c r="D449" s="33"/>
      <c r="E449" s="34"/>
      <c r="F449" s="34"/>
      <c r="G449" s="35"/>
      <c r="H449" s="34"/>
      <c r="I449" s="37"/>
    </row>
    <row r="450" ht="22.5" customHeight="1">
      <c r="A450" s="30"/>
      <c r="B450" s="31"/>
      <c r="C450" s="32"/>
      <c r="D450" s="33"/>
      <c r="E450" s="34"/>
      <c r="F450" s="34"/>
      <c r="G450" s="35"/>
      <c r="H450" s="34"/>
      <c r="I450" s="37"/>
    </row>
    <row r="451" ht="22.5" customHeight="1">
      <c r="A451" s="30"/>
      <c r="B451" s="31"/>
      <c r="C451" s="32"/>
      <c r="D451" s="33"/>
      <c r="E451" s="34"/>
      <c r="F451" s="34"/>
      <c r="G451" s="35"/>
      <c r="H451" s="34"/>
      <c r="I451" s="37"/>
    </row>
    <row r="452" ht="22.5" customHeight="1">
      <c r="A452" s="30"/>
      <c r="B452" s="31"/>
      <c r="C452" s="32"/>
      <c r="D452" s="33"/>
      <c r="E452" s="34"/>
      <c r="F452" s="34"/>
      <c r="G452" s="35"/>
      <c r="H452" s="34"/>
      <c r="I452" s="37"/>
    </row>
    <row r="453" ht="22.5" customHeight="1">
      <c r="A453" s="30"/>
      <c r="B453" s="31"/>
      <c r="C453" s="32"/>
      <c r="D453" s="33"/>
      <c r="E453" s="34"/>
      <c r="F453" s="34"/>
      <c r="G453" s="35"/>
      <c r="H453" s="34"/>
      <c r="I453" s="37"/>
    </row>
    <row r="454" ht="22.5" customHeight="1">
      <c r="A454" s="30"/>
      <c r="B454" s="40"/>
      <c r="C454" s="32"/>
      <c r="D454" s="33"/>
      <c r="E454" s="34"/>
      <c r="F454" s="34"/>
      <c r="G454" s="35"/>
      <c r="H454" s="34"/>
      <c r="I454" s="37"/>
    </row>
    <row r="455" ht="22.5" customHeight="1">
      <c r="A455" s="30"/>
      <c r="B455" s="31"/>
      <c r="C455" s="32"/>
      <c r="D455" s="33"/>
      <c r="E455" s="34"/>
      <c r="F455" s="34"/>
      <c r="G455" s="35"/>
      <c r="H455" s="34"/>
      <c r="I455" s="37"/>
    </row>
    <row r="456" ht="22.5" customHeight="1">
      <c r="A456" s="30"/>
      <c r="B456" s="31"/>
      <c r="C456" s="32"/>
      <c r="D456" s="33"/>
      <c r="E456" s="34"/>
      <c r="F456" s="34"/>
      <c r="G456" s="35"/>
      <c r="H456" s="34"/>
      <c r="I456" s="37"/>
    </row>
    <row r="457" ht="22.5" customHeight="1">
      <c r="A457" s="30"/>
      <c r="B457" s="31"/>
      <c r="C457" s="32"/>
      <c r="D457" s="33"/>
      <c r="E457" s="34"/>
      <c r="F457" s="34"/>
      <c r="G457" s="35"/>
      <c r="H457" s="34"/>
      <c r="I457" s="37"/>
    </row>
    <row r="458" ht="22.5" customHeight="1">
      <c r="A458" s="30"/>
      <c r="B458" s="31"/>
      <c r="C458" s="32"/>
      <c r="D458" s="33"/>
      <c r="E458" s="34"/>
      <c r="F458" s="34"/>
      <c r="G458" s="35"/>
      <c r="H458" s="34"/>
      <c r="I458" s="38"/>
    </row>
    <row r="459" ht="22.5" customHeight="1">
      <c r="A459" s="30"/>
      <c r="B459" s="39"/>
      <c r="C459" s="32"/>
      <c r="D459" s="33"/>
      <c r="E459" s="34"/>
      <c r="F459" s="34"/>
      <c r="G459" s="35"/>
      <c r="H459" s="34"/>
      <c r="I459" s="37"/>
    </row>
    <row r="460" ht="22.5" customHeight="1">
      <c r="A460" s="30"/>
      <c r="B460" s="31"/>
      <c r="C460" s="32"/>
      <c r="D460" s="33"/>
      <c r="E460" s="34"/>
      <c r="F460" s="34"/>
      <c r="G460" s="35"/>
      <c r="H460" s="34"/>
      <c r="I460" s="37"/>
    </row>
    <row r="461" ht="22.5" customHeight="1">
      <c r="A461" s="30"/>
      <c r="B461" s="31"/>
      <c r="C461" s="32"/>
      <c r="D461" s="33"/>
      <c r="E461" s="34"/>
      <c r="F461" s="34"/>
      <c r="G461" s="35"/>
      <c r="H461" s="34"/>
      <c r="I461" s="37"/>
    </row>
    <row r="462" ht="22.5" customHeight="1">
      <c r="A462" s="30"/>
      <c r="B462" s="31"/>
      <c r="C462" s="32"/>
      <c r="D462" s="33"/>
      <c r="E462" s="34"/>
      <c r="F462" s="34"/>
      <c r="G462" s="35"/>
      <c r="H462" s="34"/>
      <c r="I462" s="37"/>
    </row>
    <row r="463" ht="22.5" customHeight="1">
      <c r="A463" s="30"/>
      <c r="B463" s="39"/>
      <c r="C463" s="32"/>
      <c r="D463" s="33"/>
      <c r="E463" s="34"/>
      <c r="F463" s="34"/>
      <c r="G463" s="35"/>
      <c r="H463" s="34"/>
      <c r="I463" s="37"/>
    </row>
    <row r="464" ht="22.5" customHeight="1">
      <c r="A464" s="30"/>
      <c r="B464" s="31"/>
      <c r="C464" s="32"/>
      <c r="D464" s="33"/>
      <c r="E464" s="34"/>
      <c r="F464" s="34"/>
      <c r="G464" s="35"/>
      <c r="H464" s="34"/>
      <c r="I464" s="37"/>
    </row>
    <row r="465" ht="22.5" customHeight="1">
      <c r="A465" s="30"/>
      <c r="B465" s="39"/>
      <c r="C465" s="32"/>
      <c r="D465" s="33"/>
      <c r="E465" s="34"/>
      <c r="F465" s="34"/>
      <c r="G465" s="35"/>
      <c r="H465" s="34"/>
      <c r="I465" s="37"/>
    </row>
    <row r="466" ht="22.5" customHeight="1">
      <c r="A466" s="30"/>
      <c r="B466" s="31"/>
      <c r="C466" s="32"/>
      <c r="D466" s="33"/>
      <c r="E466" s="34"/>
      <c r="F466" s="34"/>
      <c r="G466" s="35"/>
      <c r="H466" s="34"/>
      <c r="I466" s="37"/>
    </row>
    <row r="467" ht="22.5" customHeight="1">
      <c r="A467" s="30"/>
      <c r="B467" s="31"/>
      <c r="C467" s="32"/>
      <c r="D467" s="33"/>
      <c r="E467" s="34"/>
      <c r="F467" s="34"/>
      <c r="G467" s="35"/>
      <c r="H467" s="34"/>
      <c r="I467" s="37"/>
    </row>
    <row r="468" ht="22.5" customHeight="1">
      <c r="A468" s="30"/>
      <c r="B468" s="31"/>
      <c r="C468" s="32"/>
      <c r="D468" s="33"/>
      <c r="E468" s="34"/>
      <c r="F468" s="34"/>
      <c r="G468" s="35"/>
      <c r="H468" s="34"/>
      <c r="I468" s="37"/>
    </row>
    <row r="469" ht="22.5" customHeight="1">
      <c r="A469" s="30"/>
      <c r="B469" s="31"/>
      <c r="C469" s="32"/>
      <c r="D469" s="33"/>
      <c r="E469" s="34"/>
      <c r="F469" s="34"/>
      <c r="G469" s="35"/>
      <c r="H469" s="34"/>
      <c r="I469" s="37"/>
    </row>
    <row r="470" ht="22.5" customHeight="1">
      <c r="A470" s="30"/>
      <c r="B470" s="31"/>
      <c r="C470" s="32"/>
      <c r="D470" s="33"/>
      <c r="E470" s="34"/>
      <c r="F470" s="34"/>
      <c r="G470" s="35"/>
      <c r="H470" s="34"/>
      <c r="I470" s="37"/>
    </row>
    <row r="471" ht="22.5" customHeight="1">
      <c r="A471" s="30"/>
      <c r="B471" s="31"/>
      <c r="C471" s="32"/>
      <c r="D471" s="33"/>
      <c r="E471" s="34"/>
      <c r="F471" s="34"/>
      <c r="G471" s="35"/>
      <c r="H471" s="34"/>
      <c r="I471" s="37"/>
    </row>
    <row r="472" ht="22.5" customHeight="1">
      <c r="A472" s="30"/>
      <c r="B472" s="31"/>
      <c r="C472" s="32"/>
      <c r="D472" s="33"/>
      <c r="E472" s="34"/>
      <c r="F472" s="34"/>
      <c r="G472" s="35"/>
      <c r="H472" s="34"/>
      <c r="I472" s="37"/>
    </row>
    <row r="473" ht="22.5" customHeight="1">
      <c r="A473" s="30"/>
      <c r="B473" s="31"/>
      <c r="C473" s="32"/>
      <c r="D473" s="33"/>
      <c r="E473" s="34"/>
      <c r="F473" s="34"/>
      <c r="G473" s="35"/>
      <c r="H473" s="34"/>
      <c r="I473" s="37"/>
    </row>
    <row r="474" ht="22.5" customHeight="1">
      <c r="A474" s="30"/>
      <c r="B474" s="31"/>
      <c r="C474" s="32"/>
      <c r="D474" s="33"/>
      <c r="E474" s="34"/>
      <c r="F474" s="34"/>
      <c r="G474" s="35"/>
      <c r="H474" s="34"/>
      <c r="I474" s="37"/>
    </row>
    <row r="475" ht="22.5" customHeight="1">
      <c r="A475" s="30"/>
      <c r="B475" s="31"/>
      <c r="C475" s="32"/>
      <c r="D475" s="33"/>
      <c r="E475" s="34"/>
      <c r="F475" s="34"/>
      <c r="G475" s="35"/>
      <c r="H475" s="34"/>
      <c r="I475" s="37"/>
    </row>
    <row r="476" ht="22.5" customHeight="1">
      <c r="A476" s="30"/>
      <c r="B476" s="40"/>
      <c r="C476" s="32"/>
      <c r="D476" s="33"/>
      <c r="E476" s="34"/>
      <c r="F476" s="34"/>
      <c r="G476" s="35"/>
      <c r="H476" s="34"/>
      <c r="I476" s="37"/>
    </row>
    <row r="477" ht="22.5" customHeight="1">
      <c r="A477" s="30"/>
      <c r="B477" s="31"/>
      <c r="C477" s="32"/>
      <c r="D477" s="33"/>
      <c r="E477" s="34"/>
      <c r="F477" s="34"/>
      <c r="G477" s="35"/>
      <c r="H477" s="34"/>
      <c r="I477" s="37"/>
    </row>
    <row r="478" ht="22.5" customHeight="1">
      <c r="A478" s="30"/>
      <c r="B478" s="31"/>
      <c r="C478" s="32"/>
      <c r="D478" s="33"/>
      <c r="E478" s="34"/>
      <c r="F478" s="34"/>
      <c r="G478" s="35"/>
      <c r="H478" s="34"/>
      <c r="I478" s="37"/>
    </row>
    <row r="479" ht="22.5" customHeight="1">
      <c r="A479" s="30"/>
      <c r="B479" s="31"/>
      <c r="C479" s="32"/>
      <c r="D479" s="33"/>
      <c r="E479" s="34"/>
      <c r="F479" s="34"/>
      <c r="G479" s="35"/>
      <c r="H479" s="34"/>
      <c r="I479" s="37"/>
    </row>
    <row r="480" ht="22.5" customHeight="1">
      <c r="A480" s="30"/>
      <c r="B480" s="31"/>
      <c r="C480" s="32"/>
      <c r="D480" s="33"/>
      <c r="E480" s="34"/>
      <c r="F480" s="34"/>
      <c r="G480" s="35"/>
      <c r="H480" s="34"/>
      <c r="I480" s="37"/>
    </row>
    <row r="481" ht="22.5" customHeight="1">
      <c r="A481" s="30"/>
      <c r="B481" s="31"/>
      <c r="C481" s="32"/>
      <c r="D481" s="33"/>
      <c r="E481" s="34"/>
      <c r="F481" s="34"/>
      <c r="G481" s="35"/>
      <c r="H481" s="34"/>
      <c r="I481" s="37"/>
    </row>
    <row r="482" ht="22.5" customHeight="1">
      <c r="A482" s="30"/>
      <c r="B482" s="31"/>
      <c r="C482" s="32"/>
      <c r="D482" s="33"/>
      <c r="E482" s="34"/>
      <c r="F482" s="34"/>
      <c r="G482" s="35"/>
      <c r="H482" s="34"/>
      <c r="I482" s="37"/>
    </row>
    <row r="483" ht="22.5" customHeight="1">
      <c r="A483" s="30"/>
      <c r="B483" s="39"/>
      <c r="C483" s="32"/>
      <c r="D483" s="33"/>
      <c r="E483" s="34"/>
      <c r="F483" s="34"/>
      <c r="G483" s="35"/>
      <c r="H483" s="34"/>
      <c r="I483" s="37"/>
    </row>
    <row r="484" ht="22.5" customHeight="1">
      <c r="A484" s="30"/>
      <c r="B484" s="39"/>
      <c r="C484" s="32"/>
      <c r="D484" s="33"/>
      <c r="E484" s="34"/>
      <c r="F484" s="34"/>
      <c r="G484" s="35"/>
      <c r="H484" s="34"/>
      <c r="I484" s="37"/>
    </row>
    <row r="485" ht="22.5" customHeight="1">
      <c r="A485" s="30"/>
      <c r="B485" s="39"/>
      <c r="C485" s="32"/>
      <c r="D485" s="33"/>
      <c r="E485" s="34"/>
      <c r="F485" s="34"/>
      <c r="G485" s="35"/>
      <c r="H485" s="34"/>
      <c r="I485" s="37"/>
    </row>
    <row r="486" ht="22.5" customHeight="1">
      <c r="A486" s="30"/>
      <c r="B486" s="40"/>
      <c r="C486" s="32"/>
      <c r="D486" s="33"/>
      <c r="E486" s="34"/>
      <c r="F486" s="34"/>
      <c r="G486" s="35"/>
      <c r="H486" s="34"/>
      <c r="I486" s="37"/>
    </row>
    <row r="487" ht="22.5" customHeight="1">
      <c r="A487" s="30"/>
      <c r="B487" s="31"/>
      <c r="C487" s="32"/>
      <c r="D487" s="33"/>
      <c r="E487" s="34"/>
      <c r="F487" s="34"/>
      <c r="G487" s="35"/>
      <c r="H487" s="34"/>
      <c r="I487" s="37"/>
    </row>
    <row r="488" ht="22.5" customHeight="1">
      <c r="A488" s="30"/>
      <c r="B488" s="31"/>
      <c r="C488" s="32"/>
      <c r="D488" s="33"/>
      <c r="E488" s="34"/>
      <c r="F488" s="34"/>
      <c r="G488" s="35"/>
      <c r="H488" s="34"/>
      <c r="I488" s="37"/>
    </row>
    <row r="489" ht="22.5" customHeight="1">
      <c r="A489" s="30"/>
      <c r="B489" s="31"/>
      <c r="C489" s="32"/>
      <c r="D489" s="33"/>
      <c r="E489" s="34"/>
      <c r="F489" s="34"/>
      <c r="G489" s="35"/>
      <c r="H489" s="34"/>
      <c r="I489" s="37"/>
    </row>
    <row r="490" ht="22.5" customHeight="1">
      <c r="A490" s="30"/>
      <c r="B490" s="31"/>
      <c r="C490" s="32"/>
      <c r="D490" s="33"/>
      <c r="E490" s="34"/>
      <c r="F490" s="34"/>
      <c r="G490" s="35"/>
      <c r="H490" s="34"/>
      <c r="I490" s="37"/>
    </row>
    <row r="491" ht="22.5" customHeight="1">
      <c r="A491" s="30"/>
      <c r="B491" s="31"/>
      <c r="C491" s="32"/>
      <c r="D491" s="33"/>
      <c r="E491" s="34"/>
      <c r="F491" s="34"/>
      <c r="G491" s="35"/>
      <c r="H491" s="34"/>
      <c r="I491" s="37"/>
    </row>
    <row r="492" ht="22.5" customHeight="1">
      <c r="A492" s="30"/>
      <c r="B492" s="31"/>
      <c r="C492" s="32"/>
      <c r="D492" s="33"/>
      <c r="E492" s="34"/>
      <c r="F492" s="34"/>
      <c r="G492" s="35"/>
      <c r="H492" s="34"/>
      <c r="I492" s="37"/>
    </row>
    <row r="493" ht="22.5" customHeight="1">
      <c r="A493" s="30"/>
      <c r="B493" s="31"/>
      <c r="C493" s="32"/>
      <c r="D493" s="33"/>
      <c r="E493" s="34"/>
      <c r="F493" s="34"/>
      <c r="G493" s="35"/>
      <c r="H493" s="34"/>
      <c r="I493" s="37"/>
    </row>
    <row r="494" ht="22.5" customHeight="1">
      <c r="A494" s="30"/>
      <c r="B494" s="31"/>
      <c r="C494" s="32"/>
      <c r="D494" s="33"/>
      <c r="E494" s="34"/>
      <c r="F494" s="34"/>
      <c r="G494" s="35"/>
      <c r="H494" s="34"/>
      <c r="I494" s="37"/>
    </row>
    <row r="495" ht="22.5" customHeight="1">
      <c r="A495" s="30"/>
      <c r="B495" s="31"/>
      <c r="C495" s="32"/>
      <c r="D495" s="33"/>
      <c r="E495" s="34"/>
      <c r="F495" s="34"/>
      <c r="G495" s="35"/>
      <c r="H495" s="34"/>
      <c r="I495" s="37"/>
    </row>
    <row r="496" ht="22.5" customHeight="1">
      <c r="A496" s="30"/>
      <c r="B496" s="40"/>
      <c r="C496" s="32"/>
      <c r="D496" s="33"/>
      <c r="E496" s="34"/>
      <c r="F496" s="34"/>
      <c r="G496" s="35"/>
      <c r="H496" s="34"/>
      <c r="I496" s="37"/>
    </row>
    <row r="497" ht="22.5" customHeight="1">
      <c r="A497" s="30"/>
      <c r="B497" s="31"/>
      <c r="C497" s="32"/>
      <c r="D497" s="33"/>
      <c r="E497" s="34"/>
      <c r="F497" s="34"/>
      <c r="G497" s="35"/>
      <c r="H497" s="34"/>
      <c r="I497" s="37"/>
    </row>
    <row r="498" ht="22.5" customHeight="1">
      <c r="A498" s="30"/>
      <c r="B498" s="31"/>
      <c r="C498" s="32"/>
      <c r="D498" s="33"/>
      <c r="E498" s="34"/>
      <c r="F498" s="34"/>
      <c r="G498" s="35"/>
      <c r="H498" s="34"/>
      <c r="I498" s="37"/>
    </row>
    <row r="499" ht="22.5" customHeight="1">
      <c r="A499" s="30"/>
      <c r="B499" s="31"/>
      <c r="C499" s="32"/>
      <c r="D499" s="33"/>
      <c r="E499" s="34"/>
      <c r="F499" s="34"/>
      <c r="G499" s="35"/>
      <c r="H499" s="34"/>
      <c r="I499" s="37"/>
    </row>
    <row r="500" ht="22.5" customHeight="1">
      <c r="A500" s="30"/>
      <c r="B500" s="40"/>
      <c r="C500" s="32"/>
      <c r="D500" s="33"/>
      <c r="E500" s="34"/>
      <c r="F500" s="34"/>
      <c r="G500" s="35"/>
      <c r="H500" s="34"/>
      <c r="I500" s="37"/>
    </row>
    <row r="501" ht="22.5" customHeight="1">
      <c r="A501" s="30"/>
      <c r="B501" s="31"/>
      <c r="C501" s="32"/>
      <c r="D501" s="33"/>
      <c r="E501" s="34"/>
      <c r="F501" s="34"/>
      <c r="G501" s="35"/>
      <c r="H501" s="34"/>
      <c r="I501" s="37"/>
    </row>
    <row r="502" ht="22.5" customHeight="1">
      <c r="A502" s="30"/>
      <c r="B502" s="31"/>
      <c r="C502" s="32"/>
      <c r="D502" s="33"/>
      <c r="E502" s="34"/>
      <c r="F502" s="34"/>
      <c r="G502" s="35"/>
      <c r="H502" s="34"/>
      <c r="I502" s="37"/>
    </row>
    <row r="503" ht="22.5" customHeight="1">
      <c r="A503" s="30"/>
      <c r="B503" s="31"/>
      <c r="C503" s="32"/>
      <c r="D503" s="33"/>
      <c r="E503" s="34"/>
      <c r="F503" s="34"/>
      <c r="G503" s="35"/>
      <c r="H503" s="34"/>
      <c r="I503" s="37"/>
    </row>
    <row r="504" ht="22.5" customHeight="1">
      <c r="A504" s="30"/>
      <c r="B504" s="31"/>
      <c r="C504" s="32"/>
      <c r="D504" s="33"/>
      <c r="E504" s="34"/>
      <c r="F504" s="34"/>
      <c r="G504" s="35"/>
      <c r="H504" s="34"/>
      <c r="I504" s="37"/>
    </row>
    <row r="505" ht="22.5" customHeight="1">
      <c r="A505" s="30"/>
      <c r="B505" s="31"/>
      <c r="C505" s="32"/>
      <c r="D505" s="33"/>
      <c r="E505" s="34"/>
      <c r="F505" s="34"/>
      <c r="G505" s="35"/>
      <c r="H505" s="34"/>
      <c r="I505" s="37"/>
    </row>
    <row r="506" ht="22.5" customHeight="1">
      <c r="A506" s="30"/>
      <c r="B506" s="31"/>
      <c r="C506" s="32"/>
      <c r="D506" s="33"/>
      <c r="E506" s="34"/>
      <c r="F506" s="34"/>
      <c r="G506" s="35"/>
      <c r="H506" s="34"/>
      <c r="I506" s="37"/>
    </row>
    <row r="507" ht="22.5" customHeight="1">
      <c r="A507" s="30"/>
      <c r="B507" s="31"/>
      <c r="C507" s="32"/>
      <c r="D507" s="33"/>
      <c r="E507" s="34"/>
      <c r="F507" s="34"/>
      <c r="G507" s="35"/>
      <c r="H507" s="34"/>
      <c r="I507" s="37"/>
    </row>
    <row r="508" ht="22.5" customHeight="1">
      <c r="A508" s="30"/>
      <c r="B508" s="31"/>
      <c r="C508" s="32"/>
      <c r="D508" s="33"/>
      <c r="E508" s="34"/>
      <c r="F508" s="34"/>
      <c r="G508" s="35"/>
      <c r="H508" s="34"/>
      <c r="I508" s="37"/>
    </row>
    <row r="509" ht="22.5" customHeight="1">
      <c r="A509" s="30"/>
      <c r="B509" s="31"/>
      <c r="C509" s="32"/>
      <c r="D509" s="33"/>
      <c r="E509" s="34"/>
      <c r="F509" s="34"/>
      <c r="G509" s="35"/>
      <c r="H509" s="34"/>
      <c r="I509" s="37"/>
    </row>
    <row r="510" ht="22.5" customHeight="1">
      <c r="A510" s="30"/>
      <c r="B510" s="31"/>
      <c r="C510" s="32"/>
      <c r="D510" s="33"/>
      <c r="E510" s="34"/>
      <c r="F510" s="34"/>
      <c r="G510" s="35"/>
      <c r="H510" s="34"/>
      <c r="I510" s="37"/>
    </row>
    <row r="511" ht="22.5" customHeight="1">
      <c r="A511" s="30"/>
      <c r="B511" s="31"/>
      <c r="C511" s="32"/>
      <c r="D511" s="33"/>
      <c r="E511" s="34"/>
      <c r="F511" s="34"/>
      <c r="G511" s="35"/>
      <c r="H511" s="34"/>
      <c r="I511" s="37"/>
    </row>
    <row r="512" ht="22.5" customHeight="1">
      <c r="A512" s="30"/>
      <c r="B512" s="31"/>
      <c r="C512" s="32"/>
      <c r="D512" s="33"/>
      <c r="E512" s="34"/>
      <c r="F512" s="34"/>
      <c r="G512" s="35"/>
      <c r="H512" s="34"/>
      <c r="I512" s="37"/>
    </row>
    <row r="513" ht="22.5" customHeight="1">
      <c r="A513" s="30"/>
      <c r="B513" s="31"/>
      <c r="C513" s="32"/>
      <c r="D513" s="33"/>
      <c r="E513" s="34"/>
      <c r="F513" s="34"/>
      <c r="G513" s="35"/>
      <c r="H513" s="34"/>
      <c r="I513" s="37"/>
    </row>
    <row r="514" ht="22.5" customHeight="1">
      <c r="A514" s="30"/>
      <c r="B514" s="31"/>
      <c r="C514" s="32"/>
      <c r="D514" s="33"/>
      <c r="E514" s="34"/>
      <c r="F514" s="34"/>
      <c r="G514" s="35"/>
      <c r="H514" s="34"/>
      <c r="I514" s="37"/>
    </row>
    <row r="515" ht="22.5" customHeight="1">
      <c r="A515" s="30"/>
      <c r="B515" s="40"/>
      <c r="C515" s="32"/>
      <c r="D515" s="33"/>
      <c r="E515" s="34"/>
      <c r="F515" s="34"/>
      <c r="G515" s="35"/>
      <c r="H515" s="34"/>
      <c r="I515" s="37"/>
    </row>
    <row r="516" ht="22.5" customHeight="1">
      <c r="A516" s="30"/>
      <c r="B516" s="31"/>
      <c r="C516" s="32"/>
      <c r="D516" s="33"/>
      <c r="E516" s="34"/>
      <c r="F516" s="34"/>
      <c r="G516" s="35"/>
      <c r="H516" s="34"/>
      <c r="I516" s="37"/>
    </row>
    <row r="517" ht="22.5" customHeight="1">
      <c r="A517" s="30"/>
      <c r="B517" s="40"/>
      <c r="C517" s="32"/>
      <c r="D517" s="33"/>
      <c r="E517" s="34"/>
      <c r="F517" s="34"/>
      <c r="G517" s="35"/>
      <c r="H517" s="34"/>
      <c r="I517" s="37"/>
    </row>
    <row r="518" ht="22.5" customHeight="1">
      <c r="A518" s="30"/>
      <c r="B518" s="31"/>
      <c r="C518" s="32"/>
      <c r="D518" s="33"/>
      <c r="E518" s="34"/>
      <c r="F518" s="34"/>
      <c r="G518" s="35"/>
      <c r="H518" s="34"/>
      <c r="I518" s="37"/>
    </row>
    <row r="519" ht="22.5" customHeight="1">
      <c r="A519" s="30"/>
      <c r="B519" s="31"/>
      <c r="C519" s="32"/>
      <c r="D519" s="33"/>
      <c r="E519" s="34"/>
      <c r="F519" s="34"/>
      <c r="G519" s="35"/>
      <c r="H519" s="34"/>
      <c r="I519" s="37"/>
    </row>
    <row r="520" ht="22.5" customHeight="1">
      <c r="A520" s="30"/>
      <c r="B520" s="31"/>
      <c r="C520" s="32"/>
      <c r="D520" s="33"/>
      <c r="E520" s="34"/>
      <c r="F520" s="34"/>
      <c r="G520" s="35"/>
      <c r="H520" s="34"/>
      <c r="I520" s="37"/>
    </row>
    <row r="521" ht="22.5" customHeight="1">
      <c r="A521" s="30"/>
      <c r="B521" s="31"/>
      <c r="C521" s="32"/>
      <c r="D521" s="33"/>
      <c r="E521" s="34"/>
      <c r="F521" s="34"/>
      <c r="G521" s="35"/>
      <c r="H521" s="34"/>
      <c r="I521" s="37"/>
    </row>
    <row r="522" ht="22.5" customHeight="1">
      <c r="A522" s="30"/>
      <c r="B522" s="40"/>
      <c r="C522" s="32"/>
      <c r="D522" s="33"/>
      <c r="E522" s="34"/>
      <c r="F522" s="34"/>
      <c r="G522" s="35"/>
      <c r="H522" s="34"/>
      <c r="I522" s="37"/>
    </row>
    <row r="523" ht="22.5" customHeight="1">
      <c r="A523" s="30"/>
      <c r="B523" s="31"/>
      <c r="C523" s="32"/>
      <c r="D523" s="33"/>
      <c r="E523" s="34"/>
      <c r="F523" s="34"/>
      <c r="G523" s="35"/>
      <c r="H523" s="34"/>
      <c r="I523" s="37"/>
    </row>
    <row r="524" ht="22.5" customHeight="1">
      <c r="A524" s="30"/>
      <c r="B524" s="31"/>
      <c r="C524" s="32"/>
      <c r="D524" s="33"/>
      <c r="E524" s="34"/>
      <c r="F524" s="34"/>
      <c r="G524" s="35"/>
      <c r="H524" s="34"/>
      <c r="I524" s="37"/>
    </row>
    <row r="525" ht="22.5" customHeight="1">
      <c r="A525" s="30"/>
      <c r="B525" s="31"/>
      <c r="C525" s="32"/>
      <c r="D525" s="33"/>
      <c r="E525" s="34"/>
      <c r="F525" s="34"/>
      <c r="G525" s="35"/>
      <c r="H525" s="34"/>
      <c r="I525" s="37"/>
    </row>
    <row r="526" ht="22.5" customHeight="1">
      <c r="A526" s="30"/>
      <c r="B526" s="31"/>
      <c r="C526" s="32"/>
      <c r="D526" s="33"/>
      <c r="E526" s="34"/>
      <c r="F526" s="34"/>
      <c r="G526" s="35"/>
      <c r="H526" s="34"/>
      <c r="I526" s="37"/>
    </row>
    <row r="527" ht="22.5" customHeight="1">
      <c r="A527" s="30"/>
      <c r="B527" s="31"/>
      <c r="C527" s="32"/>
      <c r="D527" s="33"/>
      <c r="E527" s="34"/>
      <c r="F527" s="34"/>
      <c r="G527" s="35"/>
      <c r="H527" s="34"/>
      <c r="I527" s="37"/>
    </row>
    <row r="528" ht="22.5" customHeight="1">
      <c r="A528" s="30"/>
      <c r="B528" s="31"/>
      <c r="C528" s="32"/>
      <c r="D528" s="33"/>
      <c r="E528" s="34"/>
      <c r="F528" s="34"/>
      <c r="G528" s="35"/>
      <c r="H528" s="34"/>
      <c r="I528" s="37"/>
    </row>
    <row r="529" ht="22.5" customHeight="1">
      <c r="A529" s="30"/>
      <c r="B529" s="31"/>
      <c r="C529" s="32"/>
      <c r="D529" s="33"/>
      <c r="E529" s="34"/>
      <c r="F529" s="34"/>
      <c r="G529" s="35"/>
      <c r="H529" s="34"/>
      <c r="I529" s="37"/>
    </row>
    <row r="530" ht="22.5" customHeight="1">
      <c r="A530" s="30"/>
      <c r="B530" s="31"/>
      <c r="C530" s="32"/>
      <c r="D530" s="33"/>
      <c r="E530" s="34"/>
      <c r="F530" s="34"/>
      <c r="G530" s="35"/>
      <c r="H530" s="34"/>
      <c r="I530" s="37"/>
    </row>
    <row r="531" ht="22.5" customHeight="1">
      <c r="A531" s="30"/>
      <c r="B531" s="31"/>
      <c r="C531" s="32"/>
      <c r="D531" s="33"/>
      <c r="E531" s="34"/>
      <c r="F531" s="34"/>
      <c r="G531" s="35"/>
      <c r="H531" s="34"/>
      <c r="I531" s="37"/>
    </row>
    <row r="532" ht="22.5" customHeight="1">
      <c r="A532" s="30"/>
      <c r="B532" s="31"/>
      <c r="C532" s="32"/>
      <c r="D532" s="33"/>
      <c r="E532" s="34"/>
      <c r="F532" s="34"/>
      <c r="G532" s="35"/>
      <c r="H532" s="34"/>
      <c r="I532" s="37"/>
    </row>
    <row r="533" ht="22.5" customHeight="1">
      <c r="A533" s="30"/>
      <c r="B533" s="31"/>
      <c r="C533" s="32"/>
      <c r="D533" s="33"/>
      <c r="E533" s="34"/>
      <c r="F533" s="34"/>
      <c r="G533" s="35"/>
      <c r="H533" s="34"/>
      <c r="I533" s="37"/>
    </row>
    <row r="534" ht="22.5" customHeight="1">
      <c r="A534" s="30"/>
      <c r="B534" s="31"/>
      <c r="C534" s="32"/>
      <c r="D534" s="33"/>
      <c r="E534" s="34"/>
      <c r="F534" s="34"/>
      <c r="G534" s="35"/>
      <c r="H534" s="34"/>
      <c r="I534" s="37"/>
    </row>
    <row r="535" ht="22.5" customHeight="1">
      <c r="A535" s="30"/>
      <c r="B535" s="31"/>
      <c r="C535" s="32"/>
      <c r="D535" s="33"/>
      <c r="E535" s="34"/>
      <c r="F535" s="34"/>
      <c r="G535" s="35"/>
      <c r="H535" s="34"/>
      <c r="I535" s="37"/>
    </row>
    <row r="536" ht="22.5" customHeight="1">
      <c r="A536" s="30"/>
      <c r="B536" s="31"/>
      <c r="C536" s="32"/>
      <c r="D536" s="33"/>
      <c r="E536" s="34"/>
      <c r="F536" s="34"/>
      <c r="G536" s="35"/>
      <c r="H536" s="34"/>
      <c r="I536" s="37"/>
    </row>
    <row r="537" ht="22.5" customHeight="1">
      <c r="A537" s="30"/>
      <c r="B537" s="31"/>
      <c r="C537" s="32"/>
      <c r="D537" s="33"/>
      <c r="E537" s="34"/>
      <c r="F537" s="34"/>
      <c r="G537" s="35"/>
      <c r="H537" s="34"/>
      <c r="I537" s="37"/>
    </row>
    <row r="538" ht="22.5" customHeight="1">
      <c r="A538" s="30"/>
      <c r="B538" s="31"/>
      <c r="C538" s="32"/>
      <c r="D538" s="33"/>
      <c r="E538" s="34"/>
      <c r="F538" s="34"/>
      <c r="G538" s="35"/>
      <c r="H538" s="34"/>
      <c r="I538" s="37"/>
    </row>
    <row r="539" ht="22.5" customHeight="1">
      <c r="A539" s="30"/>
      <c r="B539" s="31"/>
      <c r="C539" s="32"/>
      <c r="D539" s="33"/>
      <c r="E539" s="34"/>
      <c r="F539" s="34"/>
      <c r="G539" s="35"/>
      <c r="H539" s="34"/>
      <c r="I539" s="37"/>
    </row>
    <row r="540" ht="22.5" customHeight="1">
      <c r="A540" s="30"/>
      <c r="B540" s="31"/>
      <c r="C540" s="32"/>
      <c r="D540" s="33"/>
      <c r="E540" s="34"/>
      <c r="F540" s="34"/>
      <c r="G540" s="35"/>
      <c r="H540" s="34"/>
      <c r="I540" s="37"/>
    </row>
    <row r="541" ht="22.5" customHeight="1">
      <c r="A541" s="30"/>
      <c r="B541" s="31"/>
      <c r="C541" s="32"/>
      <c r="D541" s="33"/>
      <c r="E541" s="34"/>
      <c r="F541" s="34"/>
      <c r="G541" s="35"/>
      <c r="H541" s="34"/>
      <c r="I541" s="37"/>
    </row>
    <row r="542" ht="22.5" customHeight="1">
      <c r="A542" s="30"/>
      <c r="B542" s="31"/>
      <c r="C542" s="32"/>
      <c r="D542" s="33"/>
      <c r="E542" s="34"/>
      <c r="F542" s="34"/>
      <c r="G542" s="35"/>
      <c r="H542" s="34"/>
      <c r="I542" s="37"/>
    </row>
    <row r="543" ht="22.5" customHeight="1">
      <c r="A543" s="30"/>
      <c r="B543" s="31"/>
      <c r="C543" s="32"/>
      <c r="D543" s="33"/>
      <c r="E543" s="34"/>
      <c r="F543" s="34"/>
      <c r="G543" s="35"/>
      <c r="H543" s="34"/>
      <c r="I543" s="37"/>
    </row>
    <row r="544" ht="22.5" customHeight="1">
      <c r="A544" s="30"/>
      <c r="B544" s="40"/>
      <c r="C544" s="32"/>
      <c r="D544" s="33"/>
      <c r="E544" s="34"/>
      <c r="F544" s="34"/>
      <c r="G544" s="35"/>
      <c r="H544" s="34"/>
      <c r="I544" s="37"/>
    </row>
    <row r="545" ht="22.5" customHeight="1">
      <c r="A545" s="30"/>
      <c r="B545" s="31"/>
      <c r="C545" s="32"/>
      <c r="D545" s="33"/>
      <c r="E545" s="34"/>
      <c r="F545" s="34"/>
      <c r="G545" s="35"/>
      <c r="H545" s="34"/>
      <c r="I545" s="37"/>
    </row>
    <row r="546" ht="22.5" customHeight="1">
      <c r="A546" s="30"/>
      <c r="B546" s="31"/>
      <c r="C546" s="32"/>
      <c r="D546" s="33"/>
      <c r="E546" s="34"/>
      <c r="F546" s="34"/>
      <c r="G546" s="35"/>
      <c r="H546" s="34"/>
      <c r="I546" s="37"/>
    </row>
    <row r="547" ht="22.5" customHeight="1">
      <c r="A547" s="30"/>
      <c r="B547" s="31"/>
      <c r="C547" s="32"/>
      <c r="D547" s="33"/>
      <c r="E547" s="34"/>
      <c r="F547" s="34"/>
      <c r="G547" s="35"/>
      <c r="H547" s="34"/>
      <c r="I547" s="37"/>
    </row>
    <row r="548" ht="22.5" customHeight="1">
      <c r="A548" s="30"/>
      <c r="B548" s="31"/>
      <c r="C548" s="32"/>
      <c r="D548" s="33"/>
      <c r="E548" s="34"/>
      <c r="F548" s="34"/>
      <c r="G548" s="35"/>
      <c r="H548" s="34"/>
      <c r="I548" s="38"/>
    </row>
    <row r="549" ht="22.5" customHeight="1">
      <c r="A549" s="30"/>
      <c r="B549" s="39"/>
      <c r="C549" s="32"/>
      <c r="D549" s="33"/>
      <c r="E549" s="34"/>
      <c r="F549" s="34"/>
      <c r="G549" s="35"/>
      <c r="H549" s="34"/>
      <c r="I549" s="37"/>
    </row>
    <row r="550" ht="22.5" customHeight="1">
      <c r="A550" s="30"/>
      <c r="B550" s="31"/>
      <c r="C550" s="32"/>
      <c r="D550" s="33"/>
      <c r="E550" s="34"/>
      <c r="F550" s="34"/>
      <c r="G550" s="35"/>
      <c r="H550" s="34"/>
      <c r="I550" s="37"/>
    </row>
    <row r="551" ht="22.5" customHeight="1">
      <c r="A551" s="30"/>
      <c r="B551" s="31"/>
      <c r="C551" s="32"/>
      <c r="D551" s="33"/>
      <c r="E551" s="34"/>
      <c r="F551" s="34"/>
      <c r="G551" s="35"/>
      <c r="H551" s="34"/>
      <c r="I551" s="37"/>
    </row>
    <row r="552" ht="22.5" customHeight="1">
      <c r="A552" s="30"/>
      <c r="B552" s="31"/>
      <c r="C552" s="32"/>
      <c r="D552" s="33"/>
      <c r="E552" s="34"/>
      <c r="F552" s="34"/>
      <c r="G552" s="35"/>
      <c r="H552" s="34"/>
      <c r="I552" s="37"/>
    </row>
    <row r="553" ht="22.5" customHeight="1">
      <c r="A553" s="30"/>
      <c r="B553" s="39"/>
      <c r="C553" s="32"/>
      <c r="D553" s="33"/>
      <c r="E553" s="34"/>
      <c r="F553" s="34"/>
      <c r="G553" s="35"/>
      <c r="H553" s="34"/>
      <c r="I553" s="37"/>
    </row>
    <row r="554" ht="22.5" customHeight="1">
      <c r="A554" s="30"/>
      <c r="B554" s="31"/>
      <c r="C554" s="32"/>
      <c r="D554" s="33"/>
      <c r="E554" s="34"/>
      <c r="F554" s="34"/>
      <c r="G554" s="35"/>
      <c r="H554" s="34"/>
      <c r="I554" s="37"/>
    </row>
    <row r="555" ht="22.5" customHeight="1">
      <c r="A555" s="30"/>
      <c r="B555" s="39"/>
      <c r="C555" s="32"/>
      <c r="D555" s="33"/>
      <c r="E555" s="34"/>
      <c r="F555" s="34"/>
      <c r="G555" s="35"/>
      <c r="H555" s="34"/>
      <c r="I555" s="37"/>
    </row>
    <row r="556" ht="22.5" customHeight="1">
      <c r="A556" s="30"/>
      <c r="B556" s="31"/>
      <c r="C556" s="32"/>
      <c r="D556" s="33"/>
      <c r="E556" s="34"/>
      <c r="F556" s="34"/>
      <c r="G556" s="35"/>
      <c r="H556" s="34"/>
      <c r="I556" s="37"/>
    </row>
    <row r="557" ht="22.5" customHeight="1">
      <c r="A557" s="30"/>
      <c r="B557" s="31"/>
      <c r="C557" s="32"/>
      <c r="D557" s="33"/>
      <c r="E557" s="34"/>
      <c r="F557" s="34"/>
      <c r="G557" s="35"/>
      <c r="H557" s="34"/>
      <c r="I557" s="37"/>
    </row>
    <row r="558" ht="22.5" customHeight="1">
      <c r="A558" s="30"/>
      <c r="B558" s="31"/>
      <c r="C558" s="32"/>
      <c r="D558" s="33"/>
      <c r="E558" s="34"/>
      <c r="F558" s="34"/>
      <c r="G558" s="35"/>
      <c r="H558" s="34"/>
      <c r="I558" s="37"/>
    </row>
    <row r="559" ht="22.5" customHeight="1">
      <c r="A559" s="30"/>
      <c r="B559" s="31"/>
      <c r="C559" s="32"/>
      <c r="D559" s="33"/>
      <c r="E559" s="34"/>
      <c r="F559" s="34"/>
      <c r="G559" s="35"/>
      <c r="H559" s="34"/>
      <c r="I559" s="37"/>
    </row>
    <row r="560" ht="22.5" customHeight="1">
      <c r="A560" s="30"/>
      <c r="B560" s="31"/>
      <c r="C560" s="32"/>
      <c r="D560" s="33"/>
      <c r="E560" s="34"/>
      <c r="F560" s="34"/>
      <c r="G560" s="35"/>
      <c r="H560" s="34"/>
      <c r="I560" s="37"/>
    </row>
    <row r="561" ht="22.5" customHeight="1">
      <c r="A561" s="30"/>
      <c r="B561" s="31"/>
      <c r="C561" s="32"/>
      <c r="D561" s="33"/>
      <c r="E561" s="34"/>
      <c r="F561" s="34"/>
      <c r="G561" s="35"/>
      <c r="H561" s="34"/>
      <c r="I561" s="37"/>
    </row>
    <row r="562" ht="22.5" customHeight="1">
      <c r="A562" s="30"/>
      <c r="B562" s="31"/>
      <c r="C562" s="32"/>
      <c r="D562" s="33"/>
      <c r="E562" s="34"/>
      <c r="F562" s="34"/>
      <c r="G562" s="35"/>
      <c r="H562" s="34"/>
      <c r="I562" s="37"/>
    </row>
    <row r="563" ht="22.5" customHeight="1">
      <c r="A563" s="30"/>
      <c r="B563" s="31"/>
      <c r="C563" s="32"/>
      <c r="D563" s="33"/>
      <c r="E563" s="34"/>
      <c r="F563" s="34"/>
      <c r="G563" s="35"/>
      <c r="H563" s="34"/>
      <c r="I563" s="37"/>
    </row>
    <row r="564" ht="22.5" customHeight="1">
      <c r="A564" s="30"/>
      <c r="B564" s="31"/>
      <c r="C564" s="32"/>
      <c r="D564" s="33"/>
      <c r="E564" s="34"/>
      <c r="F564" s="34"/>
      <c r="G564" s="35"/>
      <c r="H564" s="34"/>
      <c r="I564" s="37"/>
    </row>
    <row r="565" ht="22.5" customHeight="1">
      <c r="A565" s="30"/>
      <c r="B565" s="31"/>
      <c r="C565" s="32"/>
      <c r="D565" s="33"/>
      <c r="E565" s="34"/>
      <c r="F565" s="34"/>
      <c r="G565" s="35"/>
      <c r="H565" s="34"/>
      <c r="I565" s="37"/>
    </row>
    <row r="566" ht="22.5" customHeight="1">
      <c r="A566" s="30"/>
      <c r="B566" s="40"/>
      <c r="C566" s="32"/>
      <c r="D566" s="33"/>
      <c r="E566" s="34"/>
      <c r="F566" s="34"/>
      <c r="G566" s="35"/>
      <c r="H566" s="34"/>
      <c r="I566" s="37"/>
    </row>
    <row r="567" ht="22.5" customHeight="1">
      <c r="A567" s="30"/>
      <c r="B567" s="31"/>
      <c r="C567" s="32"/>
      <c r="D567" s="33"/>
      <c r="E567" s="34"/>
      <c r="F567" s="34"/>
      <c r="G567" s="35"/>
      <c r="H567" s="34"/>
      <c r="I567" s="37"/>
    </row>
    <row r="568" ht="22.5" customHeight="1">
      <c r="A568" s="30"/>
      <c r="B568" s="31"/>
      <c r="C568" s="32"/>
      <c r="D568" s="33"/>
      <c r="E568" s="34"/>
      <c r="F568" s="34"/>
      <c r="G568" s="35"/>
      <c r="H568" s="34"/>
      <c r="I568" s="37"/>
    </row>
    <row r="569" ht="22.5" customHeight="1">
      <c r="A569" s="30"/>
      <c r="B569" s="31"/>
      <c r="C569" s="32"/>
      <c r="D569" s="33"/>
      <c r="E569" s="34"/>
      <c r="F569" s="34"/>
      <c r="G569" s="35"/>
      <c r="H569" s="34"/>
      <c r="I569" s="37"/>
    </row>
    <row r="570" ht="22.5" customHeight="1">
      <c r="A570" s="30"/>
      <c r="B570" s="31"/>
      <c r="C570" s="32"/>
      <c r="D570" s="33"/>
      <c r="E570" s="34"/>
      <c r="F570" s="34"/>
      <c r="G570" s="35"/>
      <c r="H570" s="34"/>
      <c r="I570" s="37"/>
    </row>
    <row r="571" ht="22.5" customHeight="1">
      <c r="A571" s="30"/>
      <c r="B571" s="31"/>
      <c r="C571" s="32"/>
      <c r="D571" s="33"/>
      <c r="E571" s="34"/>
      <c r="F571" s="34"/>
      <c r="G571" s="35"/>
      <c r="H571" s="34"/>
      <c r="I571" s="37"/>
    </row>
    <row r="572" ht="22.5" customHeight="1">
      <c r="A572" s="30"/>
      <c r="B572" s="31"/>
      <c r="C572" s="32"/>
      <c r="D572" s="33"/>
      <c r="E572" s="34"/>
      <c r="F572" s="34"/>
      <c r="G572" s="35"/>
      <c r="H572" s="34"/>
      <c r="I572" s="37"/>
    </row>
    <row r="573" ht="22.5" customHeight="1">
      <c r="A573" s="30"/>
      <c r="B573" s="39"/>
      <c r="C573" s="32"/>
      <c r="D573" s="33"/>
      <c r="E573" s="34"/>
      <c r="F573" s="34"/>
      <c r="G573" s="35"/>
      <c r="H573" s="34"/>
      <c r="I573" s="37"/>
    </row>
    <row r="574" ht="22.5" customHeight="1">
      <c r="A574" s="30"/>
      <c r="B574" s="39"/>
      <c r="C574" s="32"/>
      <c r="D574" s="33"/>
      <c r="E574" s="34"/>
      <c r="F574" s="34"/>
      <c r="G574" s="35"/>
      <c r="H574" s="34"/>
      <c r="I574" s="37"/>
    </row>
    <row r="575" ht="22.5" customHeight="1">
      <c r="A575" s="30"/>
      <c r="B575" s="39"/>
      <c r="C575" s="32"/>
      <c r="D575" s="33"/>
      <c r="E575" s="34"/>
      <c r="F575" s="34"/>
      <c r="G575" s="35"/>
      <c r="H575" s="34"/>
      <c r="I575" s="37"/>
    </row>
    <row r="576" ht="22.5" customHeight="1">
      <c r="A576" s="30"/>
      <c r="B576" s="40"/>
      <c r="C576" s="32"/>
      <c r="D576" s="33"/>
      <c r="E576" s="34"/>
      <c r="F576" s="34"/>
      <c r="G576" s="35"/>
      <c r="H576" s="34"/>
      <c r="I576" s="37"/>
    </row>
    <row r="577" ht="22.5" customHeight="1">
      <c r="A577" s="30"/>
      <c r="B577" s="31"/>
      <c r="C577" s="32"/>
      <c r="D577" s="33"/>
      <c r="E577" s="34"/>
      <c r="F577" s="34"/>
      <c r="G577" s="35"/>
      <c r="H577" s="34"/>
      <c r="I577" s="37"/>
    </row>
    <row r="578" ht="22.5" customHeight="1">
      <c r="A578" s="30"/>
      <c r="B578" s="31"/>
      <c r="C578" s="32"/>
      <c r="D578" s="33"/>
      <c r="E578" s="34"/>
      <c r="F578" s="34"/>
      <c r="G578" s="35"/>
      <c r="H578" s="34"/>
      <c r="I578" s="37"/>
    </row>
    <row r="579" ht="22.5" customHeight="1">
      <c r="A579" s="30"/>
      <c r="B579" s="31"/>
      <c r="C579" s="32"/>
      <c r="D579" s="33"/>
      <c r="E579" s="34"/>
      <c r="F579" s="34"/>
      <c r="G579" s="35"/>
      <c r="H579" s="34"/>
      <c r="I579" s="37"/>
    </row>
    <row r="580" ht="22.5" customHeight="1">
      <c r="A580" s="30"/>
      <c r="B580" s="31"/>
      <c r="C580" s="32"/>
      <c r="D580" s="33"/>
      <c r="E580" s="34"/>
      <c r="F580" s="34"/>
      <c r="G580" s="35"/>
      <c r="H580" s="34"/>
      <c r="I580" s="37"/>
    </row>
    <row r="581" ht="22.5" customHeight="1">
      <c r="A581" s="30"/>
      <c r="B581" s="31"/>
      <c r="C581" s="32"/>
      <c r="D581" s="33"/>
      <c r="E581" s="34"/>
      <c r="F581" s="34"/>
      <c r="G581" s="35"/>
      <c r="H581" s="34"/>
      <c r="I581" s="37"/>
    </row>
    <row r="582" ht="22.5" customHeight="1">
      <c r="A582" s="30"/>
      <c r="B582" s="31"/>
      <c r="C582" s="32"/>
      <c r="D582" s="33"/>
      <c r="E582" s="34"/>
      <c r="F582" s="34"/>
      <c r="G582" s="35"/>
      <c r="H582" s="34"/>
      <c r="I582" s="37"/>
    </row>
    <row r="583" ht="22.5" customHeight="1">
      <c r="A583" s="30"/>
      <c r="B583" s="31"/>
      <c r="C583" s="32"/>
      <c r="D583" s="33"/>
      <c r="E583" s="34"/>
      <c r="F583" s="34"/>
      <c r="G583" s="35"/>
      <c r="H583" s="34"/>
      <c r="I583" s="37"/>
    </row>
    <row r="584" ht="22.5" customHeight="1">
      <c r="A584" s="30"/>
      <c r="B584" s="31"/>
      <c r="C584" s="32"/>
      <c r="D584" s="33"/>
      <c r="E584" s="34"/>
      <c r="F584" s="34"/>
      <c r="G584" s="35"/>
      <c r="H584" s="34"/>
      <c r="I584" s="37"/>
    </row>
    <row r="585" ht="22.5" customHeight="1">
      <c r="A585" s="30"/>
      <c r="B585" s="31"/>
      <c r="C585" s="32"/>
      <c r="D585" s="33"/>
      <c r="E585" s="34"/>
      <c r="F585" s="34"/>
      <c r="G585" s="35"/>
      <c r="H585" s="34"/>
      <c r="I585" s="37"/>
    </row>
    <row r="586" ht="22.5" customHeight="1">
      <c r="A586" s="30"/>
      <c r="B586" s="40"/>
      <c r="C586" s="32"/>
      <c r="D586" s="33"/>
      <c r="E586" s="34"/>
      <c r="F586" s="34"/>
      <c r="G586" s="35"/>
      <c r="H586" s="34"/>
      <c r="I586" s="37"/>
    </row>
    <row r="587" ht="22.5" customHeight="1">
      <c r="A587" s="30"/>
      <c r="B587" s="31"/>
      <c r="C587" s="32"/>
      <c r="D587" s="33"/>
      <c r="E587" s="34"/>
      <c r="F587" s="34"/>
      <c r="G587" s="35"/>
      <c r="H587" s="34"/>
      <c r="I587" s="37"/>
    </row>
    <row r="588" ht="22.5" customHeight="1">
      <c r="A588" s="30"/>
      <c r="B588" s="31"/>
      <c r="C588" s="32"/>
      <c r="D588" s="33"/>
      <c r="E588" s="34"/>
      <c r="F588" s="34"/>
      <c r="G588" s="35"/>
      <c r="H588" s="34"/>
      <c r="I588" s="37"/>
    </row>
    <row r="589" ht="22.5" customHeight="1">
      <c r="A589" s="30"/>
      <c r="B589" s="31"/>
      <c r="C589" s="32"/>
      <c r="D589" s="33"/>
      <c r="E589" s="34"/>
      <c r="F589" s="34"/>
      <c r="G589" s="35"/>
      <c r="H589" s="34"/>
      <c r="I589" s="37"/>
    </row>
    <row r="590" ht="22.5" customHeight="1">
      <c r="A590" s="30"/>
      <c r="B590" s="40"/>
      <c r="C590" s="32"/>
      <c r="D590" s="33"/>
      <c r="E590" s="34"/>
      <c r="F590" s="34"/>
      <c r="G590" s="35"/>
      <c r="H590" s="34"/>
      <c r="I590" s="37"/>
    </row>
    <row r="591" ht="22.5" customHeight="1">
      <c r="A591" s="30"/>
      <c r="B591" s="31"/>
      <c r="C591" s="32"/>
      <c r="D591" s="33"/>
      <c r="E591" s="34"/>
      <c r="F591" s="34"/>
      <c r="G591" s="35"/>
      <c r="H591" s="34"/>
      <c r="I591" s="37"/>
    </row>
    <row r="592" ht="22.5" customHeight="1">
      <c r="A592" s="30"/>
      <c r="B592" s="31"/>
      <c r="C592" s="32"/>
      <c r="D592" s="33"/>
      <c r="E592" s="34"/>
      <c r="F592" s="34"/>
      <c r="G592" s="35"/>
      <c r="H592" s="34"/>
      <c r="I592" s="37"/>
    </row>
    <row r="593" ht="22.5" customHeight="1">
      <c r="A593" s="30"/>
      <c r="B593" s="31"/>
      <c r="C593" s="32"/>
      <c r="D593" s="33"/>
      <c r="E593" s="34"/>
      <c r="F593" s="34"/>
      <c r="G593" s="35"/>
      <c r="H593" s="34"/>
      <c r="I593" s="37"/>
    </row>
    <row r="594" ht="22.5" customHeight="1">
      <c r="A594" s="30"/>
      <c r="B594" s="31"/>
      <c r="C594" s="32"/>
      <c r="D594" s="33"/>
      <c r="E594" s="34"/>
      <c r="F594" s="34"/>
      <c r="G594" s="35"/>
      <c r="H594" s="34"/>
      <c r="I594" s="37"/>
    </row>
    <row r="595" ht="22.5" customHeight="1">
      <c r="A595" s="30"/>
      <c r="B595" s="31"/>
      <c r="C595" s="32"/>
      <c r="D595" s="33"/>
      <c r="E595" s="34"/>
      <c r="F595" s="34"/>
      <c r="G595" s="35"/>
      <c r="H595" s="34"/>
      <c r="I595" s="37"/>
    </row>
    <row r="596" ht="22.5" customHeight="1">
      <c r="A596" s="30"/>
      <c r="B596" s="31"/>
      <c r="C596" s="32"/>
      <c r="D596" s="33"/>
      <c r="E596" s="34"/>
      <c r="F596" s="34"/>
      <c r="G596" s="35"/>
      <c r="H596" s="34"/>
      <c r="I596" s="37"/>
    </row>
    <row r="597" ht="22.5" customHeight="1">
      <c r="A597" s="30"/>
      <c r="B597" s="31"/>
      <c r="C597" s="32"/>
      <c r="D597" s="33"/>
      <c r="E597" s="34"/>
      <c r="F597" s="34"/>
      <c r="G597" s="35"/>
      <c r="H597" s="34"/>
      <c r="I597" s="37"/>
    </row>
    <row r="598" ht="22.5" customHeight="1">
      <c r="A598" s="30"/>
      <c r="B598" s="31"/>
      <c r="C598" s="32"/>
      <c r="D598" s="33"/>
      <c r="E598" s="34"/>
      <c r="F598" s="34"/>
      <c r="G598" s="35"/>
      <c r="H598" s="34"/>
      <c r="I598" s="37"/>
    </row>
    <row r="599" ht="22.5" customHeight="1">
      <c r="A599" s="30"/>
      <c r="B599" s="31"/>
      <c r="C599" s="32"/>
      <c r="D599" s="33"/>
      <c r="E599" s="34"/>
      <c r="F599" s="34"/>
      <c r="G599" s="35"/>
      <c r="H599" s="34"/>
      <c r="I599" s="37"/>
    </row>
    <row r="600" ht="22.5" customHeight="1">
      <c r="A600" s="30"/>
      <c r="B600" s="31"/>
      <c r="C600" s="32"/>
      <c r="D600" s="33"/>
      <c r="E600" s="34"/>
      <c r="F600" s="34"/>
      <c r="G600" s="35"/>
      <c r="H600" s="34"/>
      <c r="I600" s="37"/>
    </row>
    <row r="601" ht="22.5" customHeight="1">
      <c r="A601" s="30"/>
      <c r="B601" s="31"/>
      <c r="C601" s="32"/>
      <c r="D601" s="33"/>
      <c r="E601" s="34"/>
      <c r="F601" s="34"/>
      <c r="G601" s="35"/>
      <c r="H601" s="34"/>
      <c r="I601" s="37"/>
    </row>
    <row r="602" ht="22.5" customHeight="1">
      <c r="A602" s="30"/>
      <c r="B602" s="31"/>
      <c r="C602" s="32"/>
      <c r="D602" s="33"/>
      <c r="E602" s="34"/>
      <c r="F602" s="34"/>
      <c r="G602" s="35"/>
      <c r="H602" s="34"/>
      <c r="I602" s="37"/>
    </row>
    <row r="603" ht="22.5" customHeight="1">
      <c r="A603" s="30"/>
      <c r="B603" s="31"/>
      <c r="C603" s="32"/>
      <c r="D603" s="33"/>
      <c r="E603" s="34"/>
      <c r="F603" s="34"/>
      <c r="G603" s="35"/>
      <c r="H603" s="34"/>
      <c r="I603" s="37"/>
    </row>
    <row r="604" ht="22.5" customHeight="1">
      <c r="A604" s="30"/>
      <c r="B604" s="31"/>
      <c r="C604" s="32"/>
      <c r="D604" s="33"/>
      <c r="E604" s="34"/>
      <c r="F604" s="34"/>
      <c r="G604" s="35"/>
      <c r="H604" s="34"/>
      <c r="I604" s="37"/>
    </row>
    <row r="605" ht="22.5" customHeight="1">
      <c r="A605" s="30"/>
      <c r="B605" s="40"/>
      <c r="C605" s="32"/>
      <c r="D605" s="33"/>
      <c r="E605" s="34"/>
      <c r="F605" s="34"/>
      <c r="G605" s="35"/>
      <c r="H605" s="34"/>
      <c r="I605" s="37"/>
    </row>
    <row r="606" ht="22.5" customHeight="1">
      <c r="A606" s="30"/>
      <c r="B606" s="31"/>
      <c r="C606" s="32"/>
      <c r="D606" s="33"/>
      <c r="E606" s="34"/>
      <c r="F606" s="34"/>
      <c r="G606" s="35"/>
      <c r="H606" s="34"/>
      <c r="I606" s="37"/>
    </row>
    <row r="607" ht="22.5" customHeight="1">
      <c r="A607" s="30"/>
      <c r="B607" s="40"/>
      <c r="C607" s="32"/>
      <c r="D607" s="33"/>
      <c r="E607" s="34"/>
      <c r="F607" s="34"/>
      <c r="G607" s="35"/>
      <c r="H607" s="34"/>
      <c r="I607" s="37"/>
    </row>
    <row r="608" ht="22.5" customHeight="1">
      <c r="A608" s="30"/>
      <c r="B608" s="31"/>
      <c r="C608" s="32"/>
      <c r="D608" s="33"/>
      <c r="E608" s="34"/>
      <c r="F608" s="34"/>
      <c r="G608" s="35"/>
      <c r="H608" s="34"/>
      <c r="I608" s="37"/>
    </row>
    <row r="609" ht="22.5" customHeight="1">
      <c r="A609" s="30"/>
      <c r="B609" s="31"/>
      <c r="C609" s="32"/>
      <c r="D609" s="33"/>
      <c r="E609" s="34"/>
      <c r="F609" s="34"/>
      <c r="G609" s="35"/>
      <c r="H609" s="34"/>
      <c r="I609" s="37"/>
    </row>
    <row r="610" ht="22.5" customHeight="1">
      <c r="A610" s="30"/>
      <c r="B610" s="31"/>
      <c r="C610" s="32"/>
      <c r="D610" s="33"/>
      <c r="E610" s="34"/>
      <c r="F610" s="34"/>
      <c r="G610" s="35"/>
      <c r="H610" s="34"/>
      <c r="I610" s="37"/>
    </row>
    <row r="611" ht="22.5" customHeight="1">
      <c r="A611" s="30"/>
      <c r="B611" s="31"/>
      <c r="C611" s="32"/>
      <c r="D611" s="33"/>
      <c r="E611" s="34"/>
      <c r="F611" s="34"/>
      <c r="G611" s="35"/>
      <c r="H611" s="34"/>
      <c r="I611" s="37"/>
    </row>
    <row r="612" ht="22.5" customHeight="1">
      <c r="A612" s="30"/>
      <c r="B612" s="40"/>
      <c r="C612" s="32"/>
      <c r="D612" s="33"/>
      <c r="E612" s="34"/>
      <c r="F612" s="34"/>
      <c r="G612" s="35"/>
      <c r="H612" s="34"/>
      <c r="I612" s="37"/>
    </row>
    <row r="613" ht="22.5" customHeight="1">
      <c r="A613" s="30"/>
      <c r="B613" s="31"/>
      <c r="C613" s="32"/>
      <c r="D613" s="33"/>
      <c r="E613" s="34"/>
      <c r="F613" s="34"/>
      <c r="G613" s="35"/>
      <c r="H613" s="34"/>
      <c r="I613" s="37"/>
    </row>
    <row r="614" ht="22.5" customHeight="1">
      <c r="A614" s="30"/>
      <c r="B614" s="31"/>
      <c r="C614" s="32"/>
      <c r="D614" s="33"/>
      <c r="E614" s="34"/>
      <c r="F614" s="34"/>
      <c r="G614" s="35"/>
      <c r="H614" s="34"/>
      <c r="I614" s="37"/>
    </row>
    <row r="615" ht="22.5" customHeight="1">
      <c r="A615" s="30"/>
      <c r="B615" s="31"/>
      <c r="C615" s="32"/>
      <c r="D615" s="33"/>
      <c r="E615" s="34"/>
      <c r="F615" s="34"/>
      <c r="G615" s="35"/>
      <c r="H615" s="34"/>
      <c r="I615" s="37"/>
    </row>
    <row r="616" ht="22.5" customHeight="1">
      <c r="A616" s="30"/>
      <c r="B616" s="31"/>
      <c r="C616" s="32"/>
      <c r="D616" s="33"/>
      <c r="E616" s="34"/>
      <c r="F616" s="34"/>
      <c r="G616" s="35"/>
      <c r="H616" s="34"/>
      <c r="I616" s="37"/>
    </row>
    <row r="617" ht="22.5" customHeight="1">
      <c r="A617" s="30"/>
      <c r="B617" s="31"/>
      <c r="C617" s="32"/>
      <c r="D617" s="33"/>
      <c r="E617" s="34"/>
      <c r="F617" s="34"/>
      <c r="G617" s="35"/>
      <c r="H617" s="34"/>
      <c r="I617" s="37"/>
    </row>
    <row r="618" ht="22.5" customHeight="1">
      <c r="A618" s="30"/>
      <c r="B618" s="31"/>
      <c r="C618" s="32"/>
      <c r="D618" s="33"/>
      <c r="E618" s="34"/>
      <c r="F618" s="34"/>
      <c r="G618" s="35"/>
      <c r="H618" s="34"/>
      <c r="I618" s="37"/>
    </row>
    <row r="619" ht="22.5" customHeight="1">
      <c r="A619" s="30"/>
      <c r="B619" s="31"/>
      <c r="C619" s="32"/>
      <c r="D619" s="33"/>
      <c r="E619" s="34"/>
      <c r="F619" s="34"/>
      <c r="G619" s="35"/>
      <c r="H619" s="34"/>
      <c r="I619" s="37"/>
    </row>
    <row r="620" ht="22.5" customHeight="1">
      <c r="A620" s="30"/>
      <c r="B620" s="31"/>
      <c r="C620" s="32"/>
      <c r="D620" s="33"/>
      <c r="E620" s="34"/>
      <c r="F620" s="34"/>
      <c r="G620" s="35"/>
      <c r="H620" s="34"/>
      <c r="I620" s="37"/>
    </row>
    <row r="621" ht="22.5" customHeight="1">
      <c r="A621" s="30"/>
      <c r="B621" s="31"/>
      <c r="C621" s="32"/>
      <c r="D621" s="33"/>
      <c r="E621" s="34"/>
      <c r="F621" s="34"/>
      <c r="G621" s="35"/>
      <c r="H621" s="34"/>
      <c r="I621" s="37"/>
    </row>
    <row r="622" ht="22.5" customHeight="1">
      <c r="A622" s="30"/>
      <c r="B622" s="31"/>
      <c r="C622" s="32"/>
      <c r="D622" s="33"/>
      <c r="E622" s="34"/>
      <c r="F622" s="34"/>
      <c r="G622" s="35"/>
      <c r="H622" s="34"/>
      <c r="I622" s="37"/>
    </row>
    <row r="623" ht="22.5" customHeight="1">
      <c r="A623" s="30"/>
      <c r="B623" s="31"/>
      <c r="C623" s="32"/>
      <c r="D623" s="33"/>
      <c r="E623" s="34"/>
      <c r="F623" s="34"/>
      <c r="G623" s="35"/>
      <c r="H623" s="34"/>
      <c r="I623" s="37"/>
    </row>
    <row r="624" ht="22.5" customHeight="1">
      <c r="A624" s="30"/>
      <c r="B624" s="31"/>
      <c r="C624" s="32"/>
      <c r="D624" s="33"/>
      <c r="E624" s="34"/>
      <c r="F624" s="34"/>
      <c r="G624" s="35"/>
      <c r="H624" s="34"/>
      <c r="I624" s="37"/>
    </row>
    <row r="625" ht="22.5" customHeight="1">
      <c r="A625" s="30"/>
      <c r="B625" s="31"/>
      <c r="C625" s="32"/>
      <c r="D625" s="33"/>
      <c r="E625" s="34"/>
      <c r="F625" s="34"/>
      <c r="G625" s="35"/>
      <c r="H625" s="34"/>
      <c r="I625" s="37"/>
    </row>
    <row r="626" ht="22.5" customHeight="1">
      <c r="A626" s="30"/>
      <c r="B626" s="31"/>
      <c r="C626" s="32"/>
      <c r="D626" s="33"/>
      <c r="E626" s="34"/>
      <c r="F626" s="34"/>
      <c r="G626" s="35"/>
      <c r="H626" s="34"/>
      <c r="I626" s="37"/>
    </row>
    <row r="627" ht="22.5" customHeight="1">
      <c r="A627" s="30"/>
      <c r="B627" s="31"/>
      <c r="C627" s="32"/>
      <c r="D627" s="33"/>
      <c r="E627" s="34"/>
      <c r="F627" s="34"/>
      <c r="G627" s="35"/>
      <c r="H627" s="34"/>
      <c r="I627" s="37"/>
    </row>
    <row r="628" ht="22.5" customHeight="1">
      <c r="A628" s="30"/>
      <c r="B628" s="31"/>
      <c r="C628" s="32"/>
      <c r="D628" s="33"/>
      <c r="E628" s="34"/>
      <c r="F628" s="34"/>
      <c r="G628" s="35"/>
      <c r="H628" s="34"/>
      <c r="I628" s="37"/>
    </row>
    <row r="629" ht="22.5" customHeight="1">
      <c r="A629" s="30"/>
      <c r="B629" s="31"/>
      <c r="C629" s="32"/>
      <c r="D629" s="33"/>
      <c r="E629" s="34"/>
      <c r="F629" s="34"/>
      <c r="G629" s="35"/>
      <c r="H629" s="34"/>
      <c r="I629" s="37"/>
    </row>
    <row r="630" ht="22.5" customHeight="1">
      <c r="A630" s="30"/>
      <c r="B630" s="31"/>
      <c r="C630" s="32"/>
      <c r="D630" s="33"/>
      <c r="E630" s="34"/>
      <c r="F630" s="34"/>
      <c r="G630" s="35"/>
      <c r="H630" s="34"/>
      <c r="I630" s="37"/>
    </row>
    <row r="631" ht="22.5" customHeight="1">
      <c r="A631" s="30"/>
      <c r="B631" s="31"/>
      <c r="C631" s="32"/>
      <c r="D631" s="33"/>
      <c r="E631" s="34"/>
      <c r="F631" s="34"/>
      <c r="G631" s="35"/>
      <c r="H631" s="34"/>
      <c r="I631" s="37"/>
    </row>
    <row r="632" ht="22.5" customHeight="1">
      <c r="A632" s="30"/>
      <c r="B632" s="31"/>
      <c r="C632" s="32"/>
      <c r="D632" s="33"/>
      <c r="E632" s="34"/>
      <c r="F632" s="34"/>
      <c r="G632" s="35"/>
      <c r="H632" s="34"/>
      <c r="I632" s="37"/>
    </row>
    <row r="633" ht="22.5" customHeight="1">
      <c r="A633" s="30"/>
      <c r="B633" s="31"/>
      <c r="C633" s="32"/>
      <c r="D633" s="33"/>
      <c r="E633" s="34"/>
      <c r="F633" s="34"/>
      <c r="G633" s="35"/>
      <c r="H633" s="34"/>
      <c r="I633" s="37"/>
    </row>
    <row r="634" ht="22.5" customHeight="1">
      <c r="A634" s="30"/>
      <c r="B634" s="40"/>
      <c r="C634" s="32"/>
      <c r="D634" s="33"/>
      <c r="E634" s="34"/>
      <c r="F634" s="34"/>
      <c r="G634" s="35"/>
      <c r="H634" s="34"/>
      <c r="I634" s="37"/>
    </row>
    <row r="635" ht="22.5" customHeight="1">
      <c r="A635" s="30"/>
      <c r="B635" s="31"/>
      <c r="C635" s="32"/>
      <c r="D635" s="33"/>
      <c r="E635" s="34"/>
      <c r="F635" s="34"/>
      <c r="G635" s="35"/>
      <c r="H635" s="34"/>
      <c r="I635" s="37"/>
    </row>
    <row r="636" ht="22.5" customHeight="1">
      <c r="A636" s="30"/>
      <c r="B636" s="31"/>
      <c r="C636" s="32"/>
      <c r="D636" s="33"/>
      <c r="E636" s="34"/>
      <c r="F636" s="34"/>
      <c r="G636" s="35"/>
      <c r="H636" s="34"/>
      <c r="I636" s="37"/>
    </row>
    <row r="637" ht="22.5" customHeight="1">
      <c r="A637" s="30"/>
      <c r="B637" s="31"/>
      <c r="C637" s="32"/>
      <c r="D637" s="33"/>
      <c r="E637" s="34"/>
      <c r="F637" s="34"/>
      <c r="G637" s="35"/>
      <c r="H637" s="34"/>
      <c r="I637" s="37"/>
    </row>
    <row r="638" ht="22.5" customHeight="1">
      <c r="A638" s="30"/>
      <c r="B638" s="31"/>
      <c r="C638" s="32"/>
      <c r="D638" s="33"/>
      <c r="E638" s="34"/>
      <c r="F638" s="34"/>
      <c r="G638" s="35"/>
      <c r="H638" s="34"/>
      <c r="I638" s="38"/>
    </row>
    <row r="639" ht="22.5" customHeight="1">
      <c r="A639" s="30"/>
      <c r="B639" s="39"/>
      <c r="C639" s="32"/>
      <c r="D639" s="33"/>
      <c r="E639" s="34"/>
      <c r="F639" s="34"/>
      <c r="G639" s="35"/>
      <c r="H639" s="34"/>
      <c r="I639" s="37"/>
    </row>
    <row r="640" ht="22.5" customHeight="1">
      <c r="A640" s="30"/>
      <c r="B640" s="31"/>
      <c r="C640" s="32"/>
      <c r="D640" s="33"/>
      <c r="E640" s="34"/>
      <c r="F640" s="34"/>
      <c r="G640" s="35"/>
      <c r="H640" s="34"/>
      <c r="I640" s="37"/>
    </row>
    <row r="641" ht="22.5" customHeight="1">
      <c r="A641" s="30"/>
      <c r="B641" s="31"/>
      <c r="C641" s="32"/>
      <c r="D641" s="33"/>
      <c r="E641" s="34"/>
      <c r="F641" s="34"/>
      <c r="G641" s="35"/>
      <c r="H641" s="34"/>
      <c r="I641" s="37"/>
    </row>
    <row r="642" ht="22.5" customHeight="1">
      <c r="A642" s="30"/>
      <c r="B642" s="31"/>
      <c r="C642" s="32"/>
      <c r="D642" s="33"/>
      <c r="E642" s="34"/>
      <c r="F642" s="34"/>
      <c r="G642" s="35"/>
      <c r="H642" s="34"/>
      <c r="I642" s="37"/>
    </row>
    <row r="643" ht="22.5" customHeight="1">
      <c r="A643" s="30"/>
      <c r="B643" s="39"/>
      <c r="C643" s="32"/>
      <c r="D643" s="33"/>
      <c r="E643" s="34"/>
      <c r="F643" s="34"/>
      <c r="G643" s="35"/>
      <c r="H643" s="34"/>
      <c r="I643" s="37"/>
    </row>
    <row r="644" ht="22.5" customHeight="1">
      <c r="A644" s="30"/>
      <c r="B644" s="31"/>
      <c r="C644" s="32"/>
      <c r="D644" s="33"/>
      <c r="E644" s="34"/>
      <c r="F644" s="34"/>
      <c r="G644" s="35"/>
      <c r="H644" s="34"/>
      <c r="I644" s="37"/>
    </row>
    <row r="645" ht="22.5" customHeight="1">
      <c r="A645" s="30"/>
      <c r="B645" s="39"/>
      <c r="C645" s="32"/>
      <c r="D645" s="33"/>
      <c r="E645" s="34"/>
      <c r="F645" s="34"/>
      <c r="G645" s="35"/>
      <c r="H645" s="34"/>
      <c r="I645" s="37"/>
    </row>
    <row r="646" ht="22.5" customHeight="1">
      <c r="A646" s="30"/>
      <c r="B646" s="31"/>
      <c r="C646" s="32"/>
      <c r="D646" s="33"/>
      <c r="E646" s="34"/>
      <c r="F646" s="34"/>
      <c r="G646" s="35"/>
      <c r="H646" s="34"/>
      <c r="I646" s="37"/>
    </row>
    <row r="647" ht="22.5" customHeight="1">
      <c r="A647" s="30"/>
      <c r="B647" s="31"/>
      <c r="C647" s="32"/>
      <c r="D647" s="33"/>
      <c r="E647" s="34"/>
      <c r="F647" s="34"/>
      <c r="G647" s="35"/>
      <c r="H647" s="34"/>
      <c r="I647" s="37"/>
    </row>
    <row r="648" ht="22.5" customHeight="1">
      <c r="A648" s="30"/>
      <c r="B648" s="31"/>
      <c r="C648" s="32"/>
      <c r="D648" s="33"/>
      <c r="E648" s="34"/>
      <c r="F648" s="34"/>
      <c r="G648" s="35"/>
      <c r="H648" s="34"/>
      <c r="I648" s="37"/>
    </row>
    <row r="649" ht="22.5" customHeight="1">
      <c r="A649" s="30"/>
      <c r="B649" s="31"/>
      <c r="C649" s="32"/>
      <c r="D649" s="33"/>
      <c r="E649" s="34"/>
      <c r="F649" s="34"/>
      <c r="G649" s="35"/>
      <c r="H649" s="34"/>
      <c r="I649" s="37"/>
    </row>
    <row r="650" ht="22.5" customHeight="1">
      <c r="A650" s="30"/>
      <c r="B650" s="31"/>
      <c r="C650" s="32"/>
      <c r="D650" s="33"/>
      <c r="E650" s="34"/>
      <c r="F650" s="34"/>
      <c r="G650" s="35"/>
      <c r="H650" s="34"/>
      <c r="I650" s="37"/>
    </row>
    <row r="651" ht="22.5" customHeight="1">
      <c r="A651" s="30"/>
      <c r="B651" s="31"/>
      <c r="C651" s="32"/>
      <c r="D651" s="33"/>
      <c r="E651" s="34"/>
      <c r="F651" s="34"/>
      <c r="G651" s="35"/>
      <c r="H651" s="34"/>
      <c r="I651" s="37"/>
    </row>
    <row r="652" ht="22.5" customHeight="1">
      <c r="A652" s="30"/>
      <c r="B652" s="31"/>
      <c r="C652" s="32"/>
      <c r="D652" s="33"/>
      <c r="E652" s="34"/>
      <c r="F652" s="34"/>
      <c r="G652" s="35"/>
      <c r="H652" s="34"/>
      <c r="I652" s="37"/>
    </row>
    <row r="653" ht="22.5" customHeight="1">
      <c r="A653" s="30"/>
      <c r="B653" s="31"/>
      <c r="C653" s="32"/>
      <c r="D653" s="33"/>
      <c r="E653" s="34"/>
      <c r="F653" s="34"/>
      <c r="G653" s="35"/>
      <c r="H653" s="34"/>
      <c r="I653" s="37"/>
    </row>
    <row r="654" ht="22.5" customHeight="1">
      <c r="A654" s="30"/>
      <c r="B654" s="31"/>
      <c r="C654" s="32"/>
      <c r="D654" s="33"/>
      <c r="E654" s="34"/>
      <c r="F654" s="34"/>
      <c r="G654" s="35"/>
      <c r="H654" s="34"/>
      <c r="I654" s="37"/>
    </row>
    <row r="655" ht="22.5" customHeight="1">
      <c r="A655" s="30"/>
      <c r="B655" s="31"/>
      <c r="C655" s="32"/>
      <c r="D655" s="33"/>
      <c r="E655" s="34"/>
      <c r="F655" s="34"/>
      <c r="G655" s="35"/>
      <c r="H655" s="34"/>
      <c r="I655" s="37"/>
    </row>
    <row r="656" ht="22.5" customHeight="1">
      <c r="A656" s="30"/>
      <c r="B656" s="40"/>
      <c r="C656" s="32"/>
      <c r="D656" s="33"/>
      <c r="E656" s="34"/>
      <c r="F656" s="34"/>
      <c r="G656" s="35"/>
      <c r="H656" s="34"/>
      <c r="I656" s="37"/>
    </row>
    <row r="657" ht="22.5" customHeight="1">
      <c r="A657" s="30"/>
      <c r="B657" s="31"/>
      <c r="C657" s="32"/>
      <c r="D657" s="33"/>
      <c r="E657" s="34"/>
      <c r="F657" s="34"/>
      <c r="G657" s="35"/>
      <c r="H657" s="34"/>
      <c r="I657" s="37"/>
    </row>
    <row r="658" ht="22.5" customHeight="1">
      <c r="A658" s="30"/>
      <c r="B658" s="31"/>
      <c r="C658" s="32"/>
      <c r="D658" s="33"/>
      <c r="E658" s="34"/>
      <c r="F658" s="34"/>
      <c r="G658" s="35"/>
      <c r="H658" s="34"/>
      <c r="I658" s="37"/>
    </row>
    <row r="659" ht="22.5" customHeight="1">
      <c r="A659" s="30"/>
      <c r="B659" s="31"/>
      <c r="C659" s="32"/>
      <c r="D659" s="33"/>
      <c r="E659" s="34"/>
      <c r="F659" s="34"/>
      <c r="G659" s="35"/>
      <c r="H659" s="34"/>
      <c r="I659" s="37"/>
    </row>
    <row r="660" ht="22.5" customHeight="1">
      <c r="A660" s="30"/>
      <c r="B660" s="31"/>
      <c r="C660" s="32"/>
      <c r="D660" s="33"/>
      <c r="E660" s="34"/>
      <c r="F660" s="34"/>
      <c r="G660" s="35"/>
      <c r="H660" s="34"/>
      <c r="I660" s="37"/>
    </row>
    <row r="661" ht="22.5" customHeight="1">
      <c r="A661" s="30"/>
      <c r="B661" s="31"/>
      <c r="C661" s="32"/>
      <c r="D661" s="33"/>
      <c r="E661" s="34"/>
      <c r="F661" s="34"/>
      <c r="G661" s="35"/>
      <c r="H661" s="34"/>
      <c r="I661" s="37"/>
    </row>
    <row r="662" ht="22.5" customHeight="1">
      <c r="A662" s="30"/>
      <c r="B662" s="31"/>
      <c r="C662" s="32"/>
      <c r="D662" s="33"/>
      <c r="E662" s="34"/>
      <c r="F662" s="34"/>
      <c r="G662" s="35"/>
      <c r="H662" s="34"/>
      <c r="I662" s="37"/>
    </row>
    <row r="663" ht="22.5" customHeight="1">
      <c r="A663" s="30"/>
      <c r="B663" s="39"/>
      <c r="C663" s="32"/>
      <c r="D663" s="33"/>
      <c r="E663" s="34"/>
      <c r="F663" s="34"/>
      <c r="G663" s="35"/>
      <c r="H663" s="34"/>
      <c r="I663" s="37"/>
    </row>
    <row r="664" ht="22.5" customHeight="1">
      <c r="A664" s="30"/>
      <c r="B664" s="39"/>
      <c r="C664" s="32"/>
      <c r="D664" s="33"/>
      <c r="E664" s="34"/>
      <c r="F664" s="34"/>
      <c r="G664" s="35"/>
      <c r="H664" s="34"/>
      <c r="I664" s="37"/>
    </row>
    <row r="665" ht="22.5" customHeight="1">
      <c r="A665" s="30"/>
      <c r="B665" s="39"/>
      <c r="C665" s="32"/>
      <c r="D665" s="33"/>
      <c r="E665" s="34"/>
      <c r="F665" s="34"/>
      <c r="G665" s="35"/>
      <c r="H665" s="34"/>
      <c r="I665" s="37"/>
    </row>
    <row r="666" ht="22.5" customHeight="1">
      <c r="A666" s="30"/>
      <c r="B666" s="40"/>
      <c r="C666" s="32"/>
      <c r="D666" s="33"/>
      <c r="E666" s="34"/>
      <c r="F666" s="34"/>
      <c r="G666" s="35"/>
      <c r="H666" s="34"/>
      <c r="I666" s="37"/>
    </row>
    <row r="667" ht="22.5" customHeight="1">
      <c r="A667" s="30"/>
      <c r="B667" s="31"/>
      <c r="C667" s="32"/>
      <c r="D667" s="33"/>
      <c r="E667" s="34"/>
      <c r="F667" s="34"/>
      <c r="G667" s="35"/>
      <c r="H667" s="34"/>
      <c r="I667" s="37"/>
    </row>
    <row r="668" ht="22.5" customHeight="1">
      <c r="A668" s="30"/>
      <c r="B668" s="31"/>
      <c r="C668" s="32"/>
      <c r="D668" s="33"/>
      <c r="E668" s="34"/>
      <c r="F668" s="34"/>
      <c r="G668" s="35"/>
      <c r="H668" s="34"/>
      <c r="I668" s="37"/>
    </row>
    <row r="669" ht="22.5" customHeight="1">
      <c r="A669" s="30"/>
      <c r="B669" s="31"/>
      <c r="C669" s="32"/>
      <c r="D669" s="33"/>
      <c r="E669" s="34"/>
      <c r="F669" s="34"/>
      <c r="G669" s="35"/>
      <c r="H669" s="34"/>
      <c r="I669" s="37"/>
    </row>
    <row r="670" ht="22.5" customHeight="1">
      <c r="A670" s="30"/>
      <c r="B670" s="31"/>
      <c r="C670" s="32"/>
      <c r="D670" s="33"/>
      <c r="E670" s="34"/>
      <c r="F670" s="34"/>
      <c r="G670" s="35"/>
      <c r="H670" s="34"/>
      <c r="I670" s="37"/>
    </row>
    <row r="671" ht="22.5" customHeight="1">
      <c r="A671" s="30"/>
      <c r="B671" s="31"/>
      <c r="C671" s="32"/>
      <c r="D671" s="33"/>
      <c r="E671" s="34"/>
      <c r="F671" s="34"/>
      <c r="G671" s="35"/>
      <c r="H671" s="34"/>
      <c r="I671" s="37"/>
    </row>
    <row r="672" ht="22.5" customHeight="1">
      <c r="A672" s="30"/>
      <c r="B672" s="31"/>
      <c r="C672" s="32"/>
      <c r="D672" s="33"/>
      <c r="E672" s="34"/>
      <c r="F672" s="34"/>
      <c r="G672" s="35"/>
      <c r="H672" s="34"/>
      <c r="I672" s="37"/>
    </row>
    <row r="673" ht="22.5" customHeight="1">
      <c r="A673" s="30"/>
      <c r="B673" s="31"/>
      <c r="C673" s="32"/>
      <c r="D673" s="33"/>
      <c r="E673" s="34"/>
      <c r="F673" s="34"/>
      <c r="G673" s="35"/>
      <c r="H673" s="34"/>
      <c r="I673" s="37"/>
    </row>
    <row r="674" ht="22.5" customHeight="1">
      <c r="A674" s="30"/>
      <c r="B674" s="31"/>
      <c r="C674" s="32"/>
      <c r="D674" s="33"/>
      <c r="E674" s="34"/>
      <c r="F674" s="34"/>
      <c r="G674" s="35"/>
      <c r="H674" s="34"/>
      <c r="I674" s="37"/>
    </row>
    <row r="675" ht="22.5" customHeight="1">
      <c r="A675" s="30"/>
      <c r="B675" s="31"/>
      <c r="C675" s="32"/>
      <c r="D675" s="33"/>
      <c r="E675" s="34"/>
      <c r="F675" s="34"/>
      <c r="G675" s="35"/>
      <c r="H675" s="34"/>
      <c r="I675" s="37"/>
    </row>
    <row r="676" ht="22.5" customHeight="1">
      <c r="A676" s="30"/>
      <c r="B676" s="40"/>
      <c r="C676" s="32"/>
      <c r="D676" s="33"/>
      <c r="E676" s="34"/>
      <c r="F676" s="34"/>
      <c r="G676" s="35"/>
      <c r="H676" s="34"/>
      <c r="I676" s="37"/>
    </row>
    <row r="677" ht="22.5" customHeight="1">
      <c r="A677" s="30"/>
      <c r="B677" s="31"/>
      <c r="C677" s="32"/>
      <c r="D677" s="33"/>
      <c r="E677" s="34"/>
      <c r="F677" s="34"/>
      <c r="G677" s="35"/>
      <c r="H677" s="34"/>
      <c r="I677" s="37"/>
    </row>
    <row r="678" ht="22.5" customHeight="1">
      <c r="A678" s="30"/>
      <c r="B678" s="31"/>
      <c r="C678" s="32"/>
      <c r="D678" s="33"/>
      <c r="E678" s="34"/>
      <c r="F678" s="34"/>
      <c r="G678" s="35"/>
      <c r="H678" s="34"/>
      <c r="I678" s="37"/>
    </row>
    <row r="679" ht="22.5" customHeight="1">
      <c r="A679" s="30"/>
      <c r="B679" s="31"/>
      <c r="C679" s="32"/>
      <c r="D679" s="33"/>
      <c r="E679" s="34"/>
      <c r="F679" s="34"/>
      <c r="G679" s="35"/>
      <c r="H679" s="34"/>
      <c r="I679" s="37"/>
    </row>
    <row r="680" ht="22.5" customHeight="1">
      <c r="A680" s="30"/>
      <c r="B680" s="40"/>
      <c r="C680" s="32"/>
      <c r="D680" s="33"/>
      <c r="E680" s="34"/>
      <c r="F680" s="34"/>
      <c r="G680" s="35"/>
      <c r="H680" s="34"/>
      <c r="I680" s="37"/>
    </row>
    <row r="681" ht="22.5" customHeight="1">
      <c r="A681" s="30"/>
      <c r="B681" s="31"/>
      <c r="C681" s="32"/>
      <c r="D681" s="33"/>
      <c r="E681" s="34"/>
      <c r="F681" s="34"/>
      <c r="G681" s="35"/>
      <c r="H681" s="34"/>
      <c r="I681" s="37"/>
    </row>
    <row r="682" ht="22.5" customHeight="1">
      <c r="A682" s="30"/>
      <c r="B682" s="31"/>
      <c r="C682" s="32"/>
      <c r="D682" s="33"/>
      <c r="E682" s="34"/>
      <c r="F682" s="34"/>
      <c r="G682" s="35"/>
      <c r="H682" s="34"/>
      <c r="I682" s="37"/>
    </row>
    <row r="683" ht="22.5" customHeight="1">
      <c r="A683" s="30"/>
      <c r="B683" s="31"/>
      <c r="C683" s="32"/>
      <c r="D683" s="33"/>
      <c r="E683" s="34"/>
      <c r="F683" s="34"/>
      <c r="G683" s="35"/>
      <c r="H683" s="34"/>
      <c r="I683" s="37"/>
    </row>
    <row r="684" ht="22.5" customHeight="1">
      <c r="A684" s="30"/>
      <c r="B684" s="31"/>
      <c r="C684" s="32"/>
      <c r="D684" s="33"/>
      <c r="E684" s="34"/>
      <c r="F684" s="34"/>
      <c r="G684" s="35"/>
      <c r="H684" s="34"/>
      <c r="I684" s="37"/>
    </row>
    <row r="685" ht="22.5" customHeight="1">
      <c r="A685" s="30"/>
      <c r="B685" s="31"/>
      <c r="C685" s="32"/>
      <c r="D685" s="33"/>
      <c r="E685" s="34"/>
      <c r="F685" s="34"/>
      <c r="G685" s="35"/>
      <c r="H685" s="34"/>
      <c r="I685" s="37"/>
    </row>
    <row r="686" ht="22.5" customHeight="1">
      <c r="A686" s="30"/>
      <c r="B686" s="31"/>
      <c r="C686" s="32"/>
      <c r="D686" s="33"/>
      <c r="E686" s="34"/>
      <c r="F686" s="34"/>
      <c r="G686" s="35"/>
      <c r="H686" s="34"/>
      <c r="I686" s="37"/>
    </row>
    <row r="687" ht="22.5" customHeight="1">
      <c r="A687" s="30"/>
      <c r="B687" s="31"/>
      <c r="C687" s="32"/>
      <c r="D687" s="33"/>
      <c r="E687" s="34"/>
      <c r="F687" s="34"/>
      <c r="G687" s="35"/>
      <c r="H687" s="34"/>
      <c r="I687" s="37"/>
    </row>
    <row r="688" ht="22.5" customHeight="1">
      <c r="A688" s="30"/>
      <c r="B688" s="31"/>
      <c r="C688" s="32"/>
      <c r="D688" s="33"/>
      <c r="E688" s="34"/>
      <c r="F688" s="34"/>
      <c r="G688" s="35"/>
      <c r="H688" s="34"/>
      <c r="I688" s="37"/>
    </row>
    <row r="689" ht="22.5" customHeight="1">
      <c r="A689" s="30"/>
      <c r="B689" s="31"/>
      <c r="C689" s="32"/>
      <c r="D689" s="33"/>
      <c r="E689" s="34"/>
      <c r="F689" s="34"/>
      <c r="G689" s="35"/>
      <c r="H689" s="34"/>
      <c r="I689" s="37"/>
    </row>
    <row r="690" ht="22.5" customHeight="1">
      <c r="A690" s="30"/>
      <c r="B690" s="31"/>
      <c r="C690" s="32"/>
      <c r="D690" s="33"/>
      <c r="E690" s="34"/>
      <c r="F690" s="34"/>
      <c r="G690" s="35"/>
      <c r="H690" s="34"/>
      <c r="I690" s="37"/>
    </row>
    <row r="691" ht="22.5" customHeight="1">
      <c r="A691" s="30"/>
      <c r="B691" s="31"/>
      <c r="C691" s="32"/>
      <c r="D691" s="33"/>
      <c r="E691" s="34"/>
      <c r="F691" s="34"/>
      <c r="G691" s="35"/>
      <c r="H691" s="34"/>
      <c r="I691" s="37"/>
    </row>
    <row r="692" ht="22.5" customHeight="1">
      <c r="A692" s="30"/>
      <c r="B692" s="31"/>
      <c r="C692" s="32"/>
      <c r="D692" s="33"/>
      <c r="E692" s="34"/>
      <c r="F692" s="34"/>
      <c r="G692" s="35"/>
      <c r="H692" s="34"/>
      <c r="I692" s="37"/>
    </row>
    <row r="693" ht="22.5" customHeight="1">
      <c r="A693" s="30"/>
      <c r="B693" s="31"/>
      <c r="C693" s="32"/>
      <c r="D693" s="33"/>
      <c r="E693" s="34"/>
      <c r="F693" s="34"/>
      <c r="G693" s="35"/>
      <c r="H693" s="34"/>
      <c r="I693" s="37"/>
    </row>
    <row r="694" ht="22.5" customHeight="1">
      <c r="A694" s="30"/>
      <c r="B694" s="31"/>
      <c r="C694" s="32"/>
      <c r="D694" s="33"/>
      <c r="E694" s="34"/>
      <c r="F694" s="34"/>
      <c r="G694" s="35"/>
      <c r="H694" s="34"/>
      <c r="I694" s="37"/>
    </row>
    <row r="695" ht="22.5" customHeight="1">
      <c r="A695" s="30"/>
      <c r="B695" s="40"/>
      <c r="C695" s="32"/>
      <c r="D695" s="33"/>
      <c r="E695" s="34"/>
      <c r="F695" s="34"/>
      <c r="G695" s="35"/>
      <c r="H695" s="34"/>
      <c r="I695" s="37"/>
    </row>
    <row r="696" ht="22.5" customHeight="1">
      <c r="A696" s="30"/>
      <c r="B696" s="31"/>
      <c r="C696" s="32"/>
      <c r="D696" s="33"/>
      <c r="E696" s="34"/>
      <c r="F696" s="34"/>
      <c r="G696" s="35"/>
      <c r="H696" s="34"/>
      <c r="I696" s="37"/>
    </row>
    <row r="697" ht="22.5" customHeight="1">
      <c r="A697" s="30"/>
      <c r="B697" s="40"/>
      <c r="C697" s="32"/>
      <c r="D697" s="33"/>
      <c r="E697" s="34"/>
      <c r="F697" s="34"/>
      <c r="G697" s="35"/>
      <c r="H697" s="34"/>
      <c r="I697" s="37"/>
    </row>
    <row r="698" ht="22.5" customHeight="1">
      <c r="A698" s="30"/>
      <c r="B698" s="31"/>
      <c r="C698" s="32"/>
      <c r="D698" s="33"/>
      <c r="E698" s="34"/>
      <c r="F698" s="34"/>
      <c r="G698" s="35"/>
      <c r="H698" s="34"/>
      <c r="I698" s="37"/>
    </row>
    <row r="699" ht="22.5" customHeight="1">
      <c r="A699" s="30"/>
      <c r="B699" s="31"/>
      <c r="C699" s="32"/>
      <c r="D699" s="33"/>
      <c r="E699" s="34"/>
      <c r="F699" s="34"/>
      <c r="G699" s="35"/>
      <c r="H699" s="34"/>
      <c r="I699" s="37"/>
    </row>
    <row r="700" ht="22.5" customHeight="1">
      <c r="A700" s="30"/>
      <c r="B700" s="31"/>
      <c r="C700" s="32"/>
      <c r="D700" s="33"/>
      <c r="E700" s="34"/>
      <c r="F700" s="34"/>
      <c r="G700" s="35"/>
      <c r="H700" s="34"/>
      <c r="I700" s="37"/>
    </row>
    <row r="701" ht="22.5" customHeight="1">
      <c r="A701" s="30"/>
      <c r="B701" s="31"/>
      <c r="C701" s="32"/>
      <c r="D701" s="33"/>
      <c r="E701" s="34"/>
      <c r="F701" s="34"/>
      <c r="G701" s="35"/>
      <c r="H701" s="34"/>
      <c r="I701" s="37"/>
    </row>
    <row r="702" ht="22.5" customHeight="1">
      <c r="A702" s="30"/>
      <c r="B702" s="40"/>
      <c r="C702" s="32"/>
      <c r="D702" s="33"/>
      <c r="E702" s="34"/>
      <c r="F702" s="34"/>
      <c r="G702" s="35"/>
      <c r="H702" s="34"/>
      <c r="I702" s="37"/>
    </row>
    <row r="703" ht="22.5" customHeight="1">
      <c r="A703" s="30"/>
      <c r="B703" s="31"/>
      <c r="C703" s="32"/>
      <c r="D703" s="33"/>
      <c r="E703" s="34"/>
      <c r="F703" s="34"/>
      <c r="G703" s="35"/>
      <c r="H703" s="34"/>
      <c r="I703" s="37"/>
    </row>
    <row r="704" ht="22.5" customHeight="1">
      <c r="A704" s="30"/>
      <c r="B704" s="31"/>
      <c r="C704" s="32"/>
      <c r="D704" s="33"/>
      <c r="E704" s="34"/>
      <c r="F704" s="34"/>
      <c r="G704" s="35"/>
      <c r="H704" s="34"/>
      <c r="I704" s="37"/>
    </row>
    <row r="705" ht="22.5" customHeight="1">
      <c r="A705" s="30"/>
      <c r="B705" s="31"/>
      <c r="C705" s="32"/>
      <c r="D705" s="33"/>
      <c r="E705" s="34"/>
      <c r="F705" s="34"/>
      <c r="G705" s="35"/>
      <c r="H705" s="34"/>
      <c r="I705" s="37"/>
    </row>
    <row r="706" ht="22.5" customHeight="1">
      <c r="A706" s="30"/>
      <c r="B706" s="31"/>
      <c r="C706" s="32"/>
      <c r="D706" s="33"/>
      <c r="E706" s="34"/>
      <c r="F706" s="34"/>
      <c r="G706" s="35"/>
      <c r="H706" s="34"/>
      <c r="I706" s="37"/>
    </row>
    <row r="707" ht="22.5" customHeight="1">
      <c r="A707" s="30"/>
      <c r="B707" s="31"/>
      <c r="C707" s="32"/>
      <c r="D707" s="33"/>
      <c r="E707" s="34"/>
      <c r="F707" s="34"/>
      <c r="G707" s="35"/>
      <c r="H707" s="34"/>
      <c r="I707" s="37"/>
    </row>
    <row r="708" ht="22.5" customHeight="1">
      <c r="A708" s="30"/>
      <c r="B708" s="31"/>
      <c r="C708" s="32"/>
      <c r="D708" s="33"/>
      <c r="E708" s="34"/>
      <c r="F708" s="34"/>
      <c r="G708" s="35"/>
      <c r="H708" s="34"/>
      <c r="I708" s="37"/>
    </row>
    <row r="709" ht="22.5" customHeight="1">
      <c r="A709" s="30"/>
      <c r="B709" s="31"/>
      <c r="C709" s="32"/>
      <c r="D709" s="33"/>
      <c r="E709" s="34"/>
      <c r="F709" s="34"/>
      <c r="G709" s="35"/>
      <c r="H709" s="34"/>
      <c r="I709" s="37"/>
    </row>
    <row r="710" ht="22.5" customHeight="1">
      <c r="A710" s="30"/>
      <c r="B710" s="31"/>
      <c r="C710" s="32"/>
      <c r="D710" s="33"/>
      <c r="E710" s="34"/>
      <c r="F710" s="34"/>
      <c r="G710" s="35"/>
      <c r="H710" s="34"/>
      <c r="I710" s="37"/>
    </row>
    <row r="711" ht="22.5" customHeight="1">
      <c r="A711" s="30"/>
      <c r="B711" s="31"/>
      <c r="C711" s="32"/>
      <c r="D711" s="33"/>
      <c r="E711" s="34"/>
      <c r="F711" s="34"/>
      <c r="G711" s="35"/>
      <c r="H711" s="34"/>
      <c r="I711" s="37"/>
    </row>
    <row r="712" ht="22.5" customHeight="1">
      <c r="A712" s="30"/>
      <c r="B712" s="31"/>
      <c r="C712" s="32"/>
      <c r="D712" s="33"/>
      <c r="E712" s="34"/>
      <c r="F712" s="34"/>
      <c r="G712" s="35"/>
      <c r="H712" s="34"/>
      <c r="I712" s="37"/>
    </row>
    <row r="713" ht="22.5" customHeight="1">
      <c r="A713" s="30"/>
      <c r="B713" s="31"/>
      <c r="C713" s="32"/>
      <c r="D713" s="33"/>
      <c r="E713" s="34"/>
      <c r="F713" s="34"/>
      <c r="G713" s="35"/>
      <c r="H713" s="34"/>
      <c r="I713" s="37"/>
    </row>
    <row r="714" ht="22.5" customHeight="1">
      <c r="A714" s="30"/>
      <c r="B714" s="31"/>
      <c r="C714" s="32"/>
      <c r="D714" s="33"/>
      <c r="E714" s="34"/>
      <c r="F714" s="34"/>
      <c r="G714" s="35"/>
      <c r="H714" s="34"/>
      <c r="I714" s="37"/>
    </row>
    <row r="715" ht="22.5" customHeight="1">
      <c r="A715" s="30"/>
      <c r="B715" s="31"/>
      <c r="C715" s="32"/>
      <c r="D715" s="33"/>
      <c r="E715" s="34"/>
      <c r="F715" s="34"/>
      <c r="G715" s="35"/>
      <c r="H715" s="34"/>
      <c r="I715" s="37"/>
    </row>
    <row r="716" ht="22.5" customHeight="1">
      <c r="A716" s="30"/>
      <c r="B716" s="31"/>
      <c r="C716" s="32"/>
      <c r="D716" s="33"/>
      <c r="E716" s="34"/>
      <c r="F716" s="34"/>
      <c r="G716" s="35"/>
      <c r="H716" s="34"/>
      <c r="I716" s="37"/>
    </row>
    <row r="717" ht="22.5" customHeight="1">
      <c r="A717" s="30"/>
      <c r="B717" s="31"/>
      <c r="C717" s="32"/>
      <c r="D717" s="33"/>
      <c r="E717" s="34"/>
      <c r="F717" s="34"/>
      <c r="G717" s="35"/>
      <c r="H717" s="34"/>
      <c r="I717" s="37"/>
    </row>
    <row r="718" ht="22.5" customHeight="1">
      <c r="A718" s="30"/>
      <c r="B718" s="31"/>
      <c r="C718" s="32"/>
      <c r="D718" s="33"/>
      <c r="E718" s="34"/>
      <c r="F718" s="34"/>
      <c r="G718" s="35"/>
      <c r="H718" s="34"/>
      <c r="I718" s="37"/>
    </row>
    <row r="719" ht="22.5" customHeight="1">
      <c r="A719" s="30"/>
      <c r="B719" s="31"/>
      <c r="C719" s="32"/>
      <c r="D719" s="33"/>
      <c r="E719" s="34"/>
      <c r="F719" s="34"/>
      <c r="G719" s="35"/>
      <c r="H719" s="34"/>
      <c r="I719" s="37"/>
    </row>
    <row r="720" ht="22.5" customHeight="1">
      <c r="A720" s="30"/>
      <c r="B720" s="31"/>
      <c r="C720" s="32"/>
      <c r="D720" s="33"/>
      <c r="E720" s="34"/>
      <c r="F720" s="34"/>
      <c r="G720" s="35"/>
      <c r="H720" s="34"/>
      <c r="I720" s="37"/>
    </row>
    <row r="721" ht="22.5" customHeight="1">
      <c r="A721" s="30"/>
      <c r="B721" s="31"/>
      <c r="C721" s="32"/>
      <c r="D721" s="33"/>
      <c r="E721" s="34"/>
      <c r="F721" s="34"/>
      <c r="G721" s="35"/>
      <c r="H721" s="34"/>
      <c r="I721" s="37"/>
    </row>
    <row r="722" ht="22.5" customHeight="1">
      <c r="A722" s="30"/>
      <c r="B722" s="31"/>
      <c r="C722" s="32"/>
      <c r="D722" s="33"/>
      <c r="E722" s="34"/>
      <c r="F722" s="34"/>
      <c r="G722" s="35"/>
      <c r="H722" s="34"/>
      <c r="I722" s="37"/>
    </row>
    <row r="723" ht="22.5" customHeight="1">
      <c r="A723" s="30"/>
      <c r="B723" s="31"/>
      <c r="C723" s="32"/>
      <c r="D723" s="33"/>
      <c r="E723" s="34"/>
      <c r="F723" s="34"/>
      <c r="G723" s="35"/>
      <c r="H723" s="34"/>
      <c r="I723" s="37"/>
    </row>
    <row r="724" ht="22.5" customHeight="1">
      <c r="A724" s="30"/>
      <c r="B724" s="40"/>
      <c r="C724" s="32"/>
      <c r="D724" s="33"/>
      <c r="E724" s="34"/>
      <c r="F724" s="34"/>
      <c r="G724" s="35"/>
      <c r="H724" s="34"/>
      <c r="I724" s="37"/>
    </row>
    <row r="725" ht="22.5" customHeight="1">
      <c r="A725" s="30"/>
      <c r="B725" s="31"/>
      <c r="C725" s="32"/>
      <c r="D725" s="33"/>
      <c r="E725" s="34"/>
      <c r="F725" s="34"/>
      <c r="G725" s="35"/>
      <c r="H725" s="34"/>
      <c r="I725" s="37"/>
    </row>
    <row r="726" ht="22.5" customHeight="1">
      <c r="A726" s="30"/>
      <c r="B726" s="31"/>
      <c r="C726" s="32"/>
      <c r="D726" s="33"/>
      <c r="E726" s="34"/>
      <c r="F726" s="34"/>
      <c r="G726" s="35"/>
      <c r="H726" s="34"/>
      <c r="I726" s="37"/>
    </row>
    <row r="727" ht="22.5" customHeight="1">
      <c r="A727" s="30"/>
      <c r="B727" s="31"/>
      <c r="C727" s="32"/>
      <c r="D727" s="33"/>
      <c r="E727" s="34"/>
      <c r="F727" s="34"/>
      <c r="G727" s="35"/>
      <c r="H727" s="34"/>
      <c r="I727" s="37"/>
    </row>
    <row r="728" ht="22.5" customHeight="1">
      <c r="A728" s="30"/>
      <c r="B728" s="31"/>
      <c r="C728" s="32"/>
      <c r="D728" s="33"/>
      <c r="E728" s="34"/>
      <c r="F728" s="34"/>
      <c r="G728" s="35"/>
      <c r="H728" s="34"/>
      <c r="I728" s="38"/>
    </row>
    <row r="729" ht="22.5" customHeight="1">
      <c r="A729" s="30"/>
      <c r="B729" s="39"/>
      <c r="C729" s="32"/>
      <c r="D729" s="33"/>
      <c r="E729" s="34"/>
      <c r="F729" s="34"/>
      <c r="G729" s="35"/>
      <c r="H729" s="34"/>
      <c r="I729" s="37"/>
    </row>
    <row r="730" ht="22.5" customHeight="1">
      <c r="A730" s="30"/>
      <c r="B730" s="31"/>
      <c r="C730" s="32"/>
      <c r="D730" s="33"/>
      <c r="E730" s="34"/>
      <c r="F730" s="34"/>
      <c r="G730" s="35"/>
      <c r="H730" s="34"/>
      <c r="I730" s="37"/>
    </row>
    <row r="731" ht="22.5" customHeight="1">
      <c r="A731" s="30"/>
      <c r="B731" s="31"/>
      <c r="C731" s="32"/>
      <c r="D731" s="33"/>
      <c r="E731" s="34"/>
      <c r="F731" s="34"/>
      <c r="G731" s="35"/>
      <c r="H731" s="34"/>
      <c r="I731" s="37"/>
    </row>
    <row r="732" ht="22.5" customHeight="1">
      <c r="A732" s="30"/>
      <c r="B732" s="31"/>
      <c r="C732" s="32"/>
      <c r="D732" s="33"/>
      <c r="E732" s="34"/>
      <c r="F732" s="34"/>
      <c r="G732" s="35"/>
      <c r="H732" s="34"/>
      <c r="I732" s="37"/>
    </row>
    <row r="733" ht="22.5" customHeight="1">
      <c r="A733" s="30"/>
      <c r="B733" s="39"/>
      <c r="C733" s="32"/>
      <c r="D733" s="33"/>
      <c r="E733" s="34"/>
      <c r="F733" s="34"/>
      <c r="G733" s="35"/>
      <c r="H733" s="34"/>
      <c r="I733" s="37"/>
    </row>
    <row r="734" ht="22.5" customHeight="1">
      <c r="A734" s="30"/>
      <c r="B734" s="31"/>
      <c r="C734" s="32"/>
      <c r="D734" s="33"/>
      <c r="E734" s="34"/>
      <c r="F734" s="34"/>
      <c r="G734" s="35"/>
      <c r="H734" s="34"/>
      <c r="I734" s="37"/>
    </row>
    <row r="735" ht="22.5" customHeight="1">
      <c r="A735" s="30"/>
      <c r="B735" s="39"/>
      <c r="C735" s="32"/>
      <c r="D735" s="33"/>
      <c r="E735" s="34"/>
      <c r="F735" s="34"/>
      <c r="G735" s="35"/>
      <c r="H735" s="34"/>
      <c r="I735" s="37"/>
    </row>
    <row r="736" ht="22.5" customHeight="1">
      <c r="A736" s="30"/>
      <c r="B736" s="31"/>
      <c r="C736" s="32"/>
      <c r="D736" s="33"/>
      <c r="E736" s="34"/>
      <c r="F736" s="34"/>
      <c r="G736" s="35"/>
      <c r="H736" s="34"/>
      <c r="I736" s="37"/>
    </row>
    <row r="737" ht="22.5" customHeight="1">
      <c r="A737" s="30"/>
      <c r="B737" s="31"/>
      <c r="C737" s="32"/>
      <c r="D737" s="33"/>
      <c r="E737" s="34"/>
      <c r="F737" s="34"/>
      <c r="G737" s="35"/>
      <c r="H737" s="34"/>
      <c r="I737" s="37"/>
    </row>
    <row r="738" ht="22.5" customHeight="1">
      <c r="A738" s="30"/>
      <c r="B738" s="31"/>
      <c r="C738" s="32"/>
      <c r="D738" s="33"/>
      <c r="E738" s="34"/>
      <c r="F738" s="34"/>
      <c r="G738" s="35"/>
      <c r="H738" s="34"/>
      <c r="I738" s="37"/>
    </row>
    <row r="739" ht="22.5" customHeight="1">
      <c r="A739" s="30"/>
      <c r="B739" s="31"/>
      <c r="C739" s="32"/>
      <c r="D739" s="33"/>
      <c r="E739" s="34"/>
      <c r="F739" s="34"/>
      <c r="G739" s="35"/>
      <c r="H739" s="34"/>
      <c r="I739" s="37"/>
    </row>
    <row r="740" ht="22.5" customHeight="1">
      <c r="A740" s="30"/>
      <c r="B740" s="31"/>
      <c r="C740" s="32"/>
      <c r="D740" s="33"/>
      <c r="E740" s="34"/>
      <c r="F740" s="34"/>
      <c r="G740" s="35"/>
      <c r="H740" s="34"/>
      <c r="I740" s="37"/>
    </row>
    <row r="741" ht="22.5" customHeight="1">
      <c r="A741" s="30"/>
      <c r="B741" s="31"/>
      <c r="C741" s="32"/>
      <c r="D741" s="33"/>
      <c r="E741" s="34"/>
      <c r="F741" s="34"/>
      <c r="G741" s="35"/>
      <c r="H741" s="34"/>
      <c r="I741" s="37"/>
    </row>
    <row r="742" ht="22.5" customHeight="1">
      <c r="A742" s="30"/>
      <c r="B742" s="31"/>
      <c r="C742" s="32"/>
      <c r="D742" s="33"/>
      <c r="E742" s="34"/>
      <c r="F742" s="34"/>
      <c r="G742" s="35"/>
      <c r="H742" s="34"/>
      <c r="I742" s="37"/>
    </row>
    <row r="743" ht="22.5" customHeight="1">
      <c r="A743" s="30"/>
      <c r="B743" s="31"/>
      <c r="C743" s="32"/>
      <c r="D743" s="33"/>
      <c r="E743" s="34"/>
      <c r="F743" s="34"/>
      <c r="G743" s="35"/>
      <c r="H743" s="34"/>
      <c r="I743" s="37"/>
    </row>
    <row r="744" ht="22.5" customHeight="1">
      <c r="A744" s="30"/>
      <c r="B744" s="31"/>
      <c r="C744" s="32"/>
      <c r="D744" s="33"/>
      <c r="E744" s="34"/>
      <c r="F744" s="34"/>
      <c r="G744" s="35"/>
      <c r="H744" s="34"/>
      <c r="I744" s="37"/>
    </row>
    <row r="745" ht="22.5" customHeight="1">
      <c r="A745" s="30"/>
      <c r="B745" s="31"/>
      <c r="C745" s="32"/>
      <c r="D745" s="33"/>
      <c r="E745" s="34"/>
      <c r="F745" s="34"/>
      <c r="G745" s="35"/>
      <c r="H745" s="34"/>
      <c r="I745" s="37"/>
    </row>
    <row r="746" ht="22.5" customHeight="1">
      <c r="A746" s="30"/>
      <c r="B746" s="40"/>
      <c r="C746" s="32"/>
      <c r="D746" s="33"/>
      <c r="E746" s="34"/>
      <c r="F746" s="34"/>
      <c r="G746" s="35"/>
      <c r="H746" s="34"/>
      <c r="I746" s="37"/>
    </row>
    <row r="747" ht="22.5" customHeight="1">
      <c r="A747" s="30"/>
      <c r="B747" s="31"/>
      <c r="C747" s="32"/>
      <c r="D747" s="33"/>
      <c r="E747" s="34"/>
      <c r="F747" s="34"/>
      <c r="G747" s="35"/>
      <c r="H747" s="34"/>
      <c r="I747" s="37"/>
    </row>
    <row r="748" ht="22.5" customHeight="1">
      <c r="A748" s="30"/>
      <c r="B748" s="31"/>
      <c r="C748" s="32"/>
      <c r="D748" s="33"/>
      <c r="E748" s="34"/>
      <c r="F748" s="34"/>
      <c r="G748" s="35"/>
      <c r="H748" s="34"/>
      <c r="I748" s="37"/>
    </row>
    <row r="749" ht="22.5" customHeight="1">
      <c r="A749" s="30"/>
      <c r="B749" s="31"/>
      <c r="C749" s="32"/>
      <c r="D749" s="33"/>
      <c r="E749" s="34"/>
      <c r="F749" s="34"/>
      <c r="G749" s="35"/>
      <c r="H749" s="34"/>
      <c r="I749" s="37"/>
    </row>
    <row r="750" ht="22.5" customHeight="1">
      <c r="A750" s="30"/>
      <c r="B750" s="31"/>
      <c r="C750" s="32"/>
      <c r="D750" s="33"/>
      <c r="E750" s="34"/>
      <c r="F750" s="34"/>
      <c r="G750" s="35"/>
      <c r="H750" s="34"/>
      <c r="I750" s="37"/>
    </row>
    <row r="751" ht="22.5" customHeight="1">
      <c r="A751" s="30"/>
      <c r="B751" s="31"/>
      <c r="C751" s="32"/>
      <c r="D751" s="33"/>
      <c r="E751" s="34"/>
      <c r="F751" s="34"/>
      <c r="G751" s="35"/>
      <c r="H751" s="34"/>
      <c r="I751" s="37"/>
    </row>
    <row r="752" ht="22.5" customHeight="1">
      <c r="A752" s="30"/>
      <c r="B752" s="31"/>
      <c r="C752" s="32"/>
      <c r="D752" s="33"/>
      <c r="E752" s="34"/>
      <c r="F752" s="34"/>
      <c r="G752" s="35"/>
      <c r="H752" s="34"/>
      <c r="I752" s="37"/>
    </row>
    <row r="753" ht="22.5" customHeight="1">
      <c r="A753" s="30"/>
      <c r="B753" s="39"/>
      <c r="C753" s="32"/>
      <c r="D753" s="33"/>
      <c r="E753" s="34"/>
      <c r="F753" s="34"/>
      <c r="G753" s="35"/>
      <c r="H753" s="34"/>
      <c r="I753" s="37"/>
    </row>
    <row r="754" ht="22.5" customHeight="1">
      <c r="A754" s="30"/>
      <c r="B754" s="39"/>
      <c r="C754" s="32"/>
      <c r="D754" s="33"/>
      <c r="E754" s="34"/>
      <c r="F754" s="34"/>
      <c r="G754" s="35"/>
      <c r="H754" s="34"/>
      <c r="I754" s="37"/>
    </row>
    <row r="755" ht="22.5" customHeight="1">
      <c r="A755" s="30"/>
      <c r="B755" s="39"/>
      <c r="C755" s="32"/>
      <c r="D755" s="33"/>
      <c r="E755" s="34"/>
      <c r="F755" s="34"/>
      <c r="G755" s="35"/>
      <c r="H755" s="34"/>
      <c r="I755" s="37"/>
    </row>
    <row r="756" ht="22.5" customHeight="1">
      <c r="A756" s="30"/>
      <c r="B756" s="40"/>
      <c r="C756" s="32"/>
      <c r="D756" s="33"/>
      <c r="E756" s="34"/>
      <c r="F756" s="34"/>
      <c r="G756" s="35"/>
      <c r="H756" s="34"/>
      <c r="I756" s="37"/>
    </row>
    <row r="757" ht="22.5" customHeight="1">
      <c r="A757" s="30"/>
      <c r="B757" s="31"/>
      <c r="C757" s="32"/>
      <c r="D757" s="33"/>
      <c r="E757" s="34"/>
      <c r="F757" s="34"/>
      <c r="G757" s="35"/>
      <c r="H757" s="34"/>
      <c r="I757" s="37"/>
    </row>
    <row r="758" ht="22.5" customHeight="1">
      <c r="A758" s="30"/>
      <c r="B758" s="31"/>
      <c r="C758" s="32"/>
      <c r="D758" s="33"/>
      <c r="E758" s="34"/>
      <c r="F758" s="34"/>
      <c r="G758" s="35"/>
      <c r="H758" s="34"/>
      <c r="I758" s="37"/>
    </row>
    <row r="759" ht="22.5" customHeight="1">
      <c r="A759" s="30"/>
      <c r="B759" s="31"/>
      <c r="C759" s="32"/>
      <c r="D759" s="33"/>
      <c r="E759" s="34"/>
      <c r="F759" s="34"/>
      <c r="G759" s="35"/>
      <c r="H759" s="34"/>
      <c r="I759" s="37"/>
    </row>
    <row r="760" ht="22.5" customHeight="1">
      <c r="A760" s="30"/>
      <c r="B760" s="31"/>
      <c r="C760" s="32"/>
      <c r="D760" s="33"/>
      <c r="E760" s="34"/>
      <c r="F760" s="34"/>
      <c r="G760" s="35"/>
      <c r="H760" s="34"/>
      <c r="I760" s="37"/>
    </row>
    <row r="761" ht="22.5" customHeight="1">
      <c r="A761" s="30"/>
      <c r="B761" s="31"/>
      <c r="C761" s="32"/>
      <c r="D761" s="33"/>
      <c r="E761" s="34"/>
      <c r="F761" s="34"/>
      <c r="G761" s="35"/>
      <c r="H761" s="34"/>
      <c r="I761" s="37"/>
    </row>
    <row r="762" ht="22.5" customHeight="1">
      <c r="A762" s="30"/>
      <c r="B762" s="31"/>
      <c r="C762" s="32"/>
      <c r="D762" s="33"/>
      <c r="E762" s="34"/>
      <c r="F762" s="34"/>
      <c r="G762" s="35"/>
      <c r="H762" s="34"/>
      <c r="I762" s="37"/>
    </row>
    <row r="763" ht="22.5" customHeight="1">
      <c r="A763" s="30"/>
      <c r="B763" s="31"/>
      <c r="C763" s="32"/>
      <c r="D763" s="33"/>
      <c r="E763" s="34"/>
      <c r="F763" s="34"/>
      <c r="G763" s="35"/>
      <c r="H763" s="34"/>
      <c r="I763" s="37"/>
    </row>
    <row r="764" ht="22.5" customHeight="1">
      <c r="A764" s="30"/>
      <c r="B764" s="31"/>
      <c r="C764" s="32"/>
      <c r="D764" s="33"/>
      <c r="E764" s="34"/>
      <c r="F764" s="34"/>
      <c r="G764" s="35"/>
      <c r="H764" s="34"/>
      <c r="I764" s="37"/>
    </row>
    <row r="765" ht="22.5" customHeight="1">
      <c r="A765" s="30"/>
      <c r="B765" s="31"/>
      <c r="C765" s="32"/>
      <c r="D765" s="33"/>
      <c r="E765" s="34"/>
      <c r="F765" s="34"/>
      <c r="G765" s="35"/>
      <c r="H765" s="34"/>
      <c r="I765" s="37"/>
    </row>
    <row r="766" ht="22.5" customHeight="1">
      <c r="A766" s="30"/>
      <c r="B766" s="40"/>
      <c r="C766" s="32"/>
      <c r="D766" s="33"/>
      <c r="E766" s="34"/>
      <c r="F766" s="34"/>
      <c r="G766" s="35"/>
      <c r="H766" s="34"/>
      <c r="I766" s="37"/>
    </row>
    <row r="767" ht="22.5" customHeight="1">
      <c r="A767" s="30"/>
      <c r="B767" s="31"/>
      <c r="C767" s="32"/>
      <c r="D767" s="33"/>
      <c r="E767" s="34"/>
      <c r="F767" s="34"/>
      <c r="G767" s="35"/>
      <c r="H767" s="34"/>
      <c r="I767" s="37"/>
    </row>
    <row r="768" ht="22.5" customHeight="1">
      <c r="A768" s="30"/>
      <c r="B768" s="31"/>
      <c r="C768" s="32"/>
      <c r="D768" s="33"/>
      <c r="E768" s="34"/>
      <c r="F768" s="34"/>
      <c r="G768" s="35"/>
      <c r="H768" s="34"/>
      <c r="I768" s="37"/>
    </row>
    <row r="769" ht="22.5" customHeight="1">
      <c r="A769" s="30"/>
      <c r="B769" s="31"/>
      <c r="C769" s="32"/>
      <c r="D769" s="33"/>
      <c r="E769" s="34"/>
      <c r="F769" s="34"/>
      <c r="G769" s="35"/>
      <c r="H769" s="34"/>
      <c r="I769" s="37"/>
    </row>
    <row r="770" ht="22.5" customHeight="1">
      <c r="A770" s="30"/>
      <c r="B770" s="40"/>
      <c r="C770" s="32"/>
      <c r="D770" s="33"/>
      <c r="E770" s="34"/>
      <c r="F770" s="34"/>
      <c r="G770" s="35"/>
      <c r="H770" s="34"/>
      <c r="I770" s="37"/>
    </row>
    <row r="771" ht="22.5" customHeight="1">
      <c r="A771" s="30"/>
      <c r="B771" s="31"/>
      <c r="C771" s="32"/>
      <c r="D771" s="33"/>
      <c r="E771" s="34"/>
      <c r="F771" s="34"/>
      <c r="G771" s="35"/>
      <c r="H771" s="34"/>
      <c r="I771" s="37"/>
    </row>
    <row r="772" ht="22.5" customHeight="1">
      <c r="A772" s="30"/>
      <c r="B772" s="31"/>
      <c r="C772" s="32"/>
      <c r="D772" s="33"/>
      <c r="E772" s="34"/>
      <c r="F772" s="34"/>
      <c r="G772" s="35"/>
      <c r="H772" s="34"/>
      <c r="I772" s="37"/>
    </row>
    <row r="773" ht="22.5" customHeight="1">
      <c r="A773" s="30"/>
      <c r="B773" s="31"/>
      <c r="C773" s="32"/>
      <c r="D773" s="33"/>
      <c r="E773" s="34"/>
      <c r="F773" s="34"/>
      <c r="G773" s="35"/>
      <c r="H773" s="34"/>
      <c r="I773" s="37"/>
    </row>
    <row r="774" ht="22.5" customHeight="1">
      <c r="A774" s="30"/>
      <c r="B774" s="31"/>
      <c r="C774" s="32"/>
      <c r="D774" s="33"/>
      <c r="E774" s="34"/>
      <c r="F774" s="34"/>
      <c r="G774" s="35"/>
      <c r="H774" s="34"/>
      <c r="I774" s="37"/>
    </row>
    <row r="775" ht="22.5" customHeight="1">
      <c r="A775" s="30"/>
      <c r="B775" s="31"/>
      <c r="C775" s="32"/>
      <c r="D775" s="33"/>
      <c r="E775" s="34"/>
      <c r="F775" s="34"/>
      <c r="G775" s="35"/>
      <c r="H775" s="34"/>
      <c r="I775" s="37"/>
    </row>
    <row r="776" ht="22.5" customHeight="1">
      <c r="A776" s="30"/>
      <c r="B776" s="31"/>
      <c r="C776" s="32"/>
      <c r="D776" s="33"/>
      <c r="E776" s="34"/>
      <c r="F776" s="34"/>
      <c r="G776" s="35"/>
      <c r="H776" s="34"/>
      <c r="I776" s="37"/>
    </row>
    <row r="777" ht="22.5" customHeight="1">
      <c r="A777" s="30"/>
      <c r="B777" s="31"/>
      <c r="C777" s="32"/>
      <c r="D777" s="33"/>
      <c r="E777" s="34"/>
      <c r="F777" s="34"/>
      <c r="G777" s="35"/>
      <c r="H777" s="34"/>
      <c r="I777" s="37"/>
    </row>
    <row r="778" ht="22.5" customHeight="1">
      <c r="A778" s="30"/>
      <c r="B778" s="31"/>
      <c r="C778" s="32"/>
      <c r="D778" s="33"/>
      <c r="E778" s="34"/>
      <c r="F778" s="34"/>
      <c r="G778" s="35"/>
      <c r="H778" s="34"/>
      <c r="I778" s="37"/>
    </row>
    <row r="779" ht="22.5" customHeight="1">
      <c r="A779" s="30"/>
      <c r="B779" s="31"/>
      <c r="C779" s="32"/>
      <c r="D779" s="33"/>
      <c r="E779" s="34"/>
      <c r="F779" s="34"/>
      <c r="G779" s="35"/>
      <c r="H779" s="34"/>
      <c r="I779" s="37"/>
    </row>
    <row r="780" ht="22.5" customHeight="1">
      <c r="A780" s="30"/>
      <c r="B780" s="31"/>
      <c r="C780" s="32"/>
      <c r="D780" s="33"/>
      <c r="E780" s="34"/>
      <c r="F780" s="34"/>
      <c r="G780" s="35"/>
      <c r="H780" s="34"/>
      <c r="I780" s="37"/>
    </row>
    <row r="781" ht="22.5" customHeight="1">
      <c r="A781" s="30"/>
      <c r="B781" s="31"/>
      <c r="C781" s="32"/>
      <c r="D781" s="33"/>
      <c r="E781" s="34"/>
      <c r="F781" s="34"/>
      <c r="G781" s="35"/>
      <c r="H781" s="34"/>
      <c r="I781" s="37"/>
    </row>
    <row r="782" ht="22.5" customHeight="1">
      <c r="A782" s="30"/>
      <c r="B782" s="31"/>
      <c r="C782" s="32"/>
      <c r="D782" s="33"/>
      <c r="E782" s="34"/>
      <c r="F782" s="34"/>
      <c r="G782" s="35"/>
      <c r="H782" s="34"/>
      <c r="I782" s="37"/>
    </row>
    <row r="783" ht="22.5" customHeight="1">
      <c r="A783" s="30"/>
      <c r="B783" s="31"/>
      <c r="C783" s="32"/>
      <c r="D783" s="33"/>
      <c r="E783" s="34"/>
      <c r="F783" s="34"/>
      <c r="G783" s="35"/>
      <c r="H783" s="34"/>
      <c r="I783" s="37"/>
    </row>
    <row r="784" ht="22.5" customHeight="1">
      <c r="A784" s="30"/>
      <c r="B784" s="31"/>
      <c r="C784" s="32"/>
      <c r="D784" s="33"/>
      <c r="E784" s="34"/>
      <c r="F784" s="34"/>
      <c r="G784" s="35"/>
      <c r="H784" s="34"/>
      <c r="I784" s="37"/>
    </row>
    <row r="785" ht="22.5" customHeight="1">
      <c r="A785" s="30"/>
      <c r="B785" s="40"/>
      <c r="C785" s="32"/>
      <c r="D785" s="33"/>
      <c r="E785" s="34"/>
      <c r="F785" s="34"/>
      <c r="G785" s="35"/>
      <c r="H785" s="34"/>
      <c r="I785" s="37"/>
    </row>
    <row r="786" ht="22.5" customHeight="1">
      <c r="A786" s="30"/>
      <c r="B786" s="31"/>
      <c r="C786" s="32"/>
      <c r="D786" s="33"/>
      <c r="E786" s="34"/>
      <c r="F786" s="34"/>
      <c r="G786" s="35"/>
      <c r="H786" s="34"/>
      <c r="I786" s="37"/>
    </row>
    <row r="787" ht="22.5" customHeight="1">
      <c r="A787" s="30"/>
      <c r="B787" s="40"/>
      <c r="C787" s="32"/>
      <c r="D787" s="33"/>
      <c r="E787" s="34"/>
      <c r="F787" s="34"/>
      <c r="G787" s="35"/>
      <c r="H787" s="34"/>
      <c r="I787" s="37"/>
    </row>
    <row r="788" ht="22.5" customHeight="1">
      <c r="A788" s="30"/>
      <c r="B788" s="31"/>
      <c r="C788" s="32"/>
      <c r="D788" s="33"/>
      <c r="E788" s="34"/>
      <c r="F788" s="34"/>
      <c r="G788" s="35"/>
      <c r="H788" s="34"/>
      <c r="I788" s="37"/>
    </row>
    <row r="789" ht="22.5" customHeight="1">
      <c r="A789" s="30"/>
      <c r="B789" s="31"/>
      <c r="C789" s="32"/>
      <c r="D789" s="33"/>
      <c r="E789" s="34"/>
      <c r="F789" s="34"/>
      <c r="G789" s="35"/>
      <c r="H789" s="34"/>
      <c r="I789" s="37"/>
    </row>
    <row r="790" ht="22.5" customHeight="1">
      <c r="A790" s="30"/>
      <c r="B790" s="31"/>
      <c r="C790" s="32"/>
      <c r="D790" s="33"/>
      <c r="E790" s="34"/>
      <c r="F790" s="34"/>
      <c r="G790" s="35"/>
      <c r="H790" s="34"/>
      <c r="I790" s="37"/>
    </row>
    <row r="791" ht="22.5" customHeight="1">
      <c r="A791" s="30"/>
      <c r="B791" s="31"/>
      <c r="C791" s="32"/>
      <c r="D791" s="33"/>
      <c r="E791" s="34"/>
      <c r="F791" s="34"/>
      <c r="G791" s="35"/>
      <c r="H791" s="34"/>
      <c r="I791" s="37"/>
    </row>
    <row r="792" ht="22.5" customHeight="1">
      <c r="A792" s="30"/>
      <c r="B792" s="40"/>
      <c r="C792" s="32"/>
      <c r="D792" s="33"/>
      <c r="E792" s="34"/>
      <c r="F792" s="34"/>
      <c r="G792" s="35"/>
      <c r="H792" s="34"/>
      <c r="I792" s="37"/>
    </row>
    <row r="793" ht="22.5" customHeight="1">
      <c r="A793" s="30"/>
      <c r="B793" s="31"/>
      <c r="C793" s="32"/>
      <c r="D793" s="33"/>
      <c r="E793" s="34"/>
      <c r="F793" s="34"/>
      <c r="G793" s="35"/>
      <c r="H793" s="34"/>
      <c r="I793" s="37"/>
    </row>
    <row r="794" ht="22.5" customHeight="1">
      <c r="A794" s="30"/>
      <c r="B794" s="31"/>
      <c r="C794" s="32"/>
      <c r="D794" s="33"/>
      <c r="E794" s="34"/>
      <c r="F794" s="34"/>
      <c r="G794" s="35"/>
      <c r="H794" s="34"/>
      <c r="I794" s="37"/>
    </row>
    <row r="795" ht="22.5" customHeight="1">
      <c r="A795" s="30"/>
      <c r="B795" s="31"/>
      <c r="C795" s="32"/>
      <c r="D795" s="33"/>
      <c r="E795" s="34"/>
      <c r="F795" s="34"/>
      <c r="G795" s="35"/>
      <c r="H795" s="34"/>
      <c r="I795" s="37"/>
    </row>
    <row r="796" ht="22.5" customHeight="1">
      <c r="A796" s="30"/>
      <c r="B796" s="31"/>
      <c r="C796" s="32"/>
      <c r="D796" s="33"/>
      <c r="E796" s="34"/>
      <c r="F796" s="34"/>
      <c r="G796" s="35"/>
      <c r="H796" s="34"/>
      <c r="I796" s="37"/>
    </row>
    <row r="797" ht="22.5" customHeight="1">
      <c r="A797" s="30"/>
      <c r="B797" s="31"/>
      <c r="C797" s="32"/>
      <c r="D797" s="33"/>
      <c r="E797" s="34"/>
      <c r="F797" s="34"/>
      <c r="G797" s="35"/>
      <c r="H797" s="34"/>
      <c r="I797" s="37"/>
    </row>
    <row r="798" ht="22.5" customHeight="1">
      <c r="A798" s="30"/>
      <c r="B798" s="31"/>
      <c r="C798" s="32"/>
      <c r="D798" s="33"/>
      <c r="E798" s="34"/>
      <c r="F798" s="34"/>
      <c r="G798" s="35"/>
      <c r="H798" s="34"/>
      <c r="I798" s="37"/>
    </row>
    <row r="799" ht="22.5" customHeight="1">
      <c r="A799" s="30"/>
      <c r="B799" s="31"/>
      <c r="C799" s="32"/>
      <c r="D799" s="33"/>
      <c r="E799" s="34"/>
      <c r="F799" s="34"/>
      <c r="G799" s="35"/>
      <c r="H799" s="34"/>
      <c r="I799" s="37"/>
    </row>
    <row r="800" ht="22.5" customHeight="1">
      <c r="A800" s="30"/>
      <c r="B800" s="31"/>
      <c r="C800" s="32"/>
      <c r="D800" s="33"/>
      <c r="E800" s="34"/>
      <c r="F800" s="34"/>
      <c r="G800" s="35"/>
      <c r="H800" s="34"/>
      <c r="I800" s="37"/>
    </row>
    <row r="801" ht="22.5" customHeight="1">
      <c r="A801" s="30"/>
      <c r="B801" s="31"/>
      <c r="C801" s="32"/>
      <c r="D801" s="33"/>
      <c r="E801" s="34"/>
      <c r="F801" s="34"/>
      <c r="G801" s="35"/>
      <c r="H801" s="34"/>
      <c r="I801" s="37"/>
    </row>
    <row r="802" ht="22.5" customHeight="1">
      <c r="A802" s="30"/>
      <c r="B802" s="31"/>
      <c r="C802" s="32"/>
      <c r="D802" s="33"/>
      <c r="E802" s="34"/>
      <c r="F802" s="34"/>
      <c r="G802" s="35"/>
      <c r="H802" s="34"/>
      <c r="I802" s="37"/>
    </row>
    <row r="803" ht="22.5" customHeight="1">
      <c r="A803" s="30"/>
      <c r="B803" s="31"/>
      <c r="C803" s="32"/>
      <c r="D803" s="33"/>
      <c r="E803" s="34"/>
      <c r="F803" s="34"/>
      <c r="G803" s="35"/>
      <c r="H803" s="34"/>
      <c r="I803" s="37"/>
    </row>
    <row r="804" ht="22.5" customHeight="1">
      <c r="A804" s="30"/>
      <c r="B804" s="31"/>
      <c r="C804" s="32"/>
      <c r="D804" s="33"/>
      <c r="E804" s="34"/>
      <c r="F804" s="34"/>
      <c r="G804" s="35"/>
      <c r="H804" s="34"/>
      <c r="I804" s="37"/>
    </row>
    <row r="805" ht="22.5" customHeight="1">
      <c r="A805" s="30"/>
      <c r="B805" s="31"/>
      <c r="C805" s="32"/>
      <c r="D805" s="33"/>
      <c r="E805" s="34"/>
      <c r="F805" s="34"/>
      <c r="G805" s="35"/>
      <c r="H805" s="34"/>
      <c r="I805" s="37"/>
    </row>
    <row r="806" ht="22.5" customHeight="1">
      <c r="A806" s="30"/>
      <c r="B806" s="31"/>
      <c r="C806" s="32"/>
      <c r="D806" s="33"/>
      <c r="E806" s="34"/>
      <c r="F806" s="34"/>
      <c r="G806" s="35"/>
      <c r="H806" s="34"/>
      <c r="I806" s="37"/>
    </row>
    <row r="807" ht="22.5" customHeight="1">
      <c r="A807" s="30"/>
      <c r="B807" s="31"/>
      <c r="C807" s="32"/>
      <c r="D807" s="33"/>
      <c r="E807" s="34"/>
      <c r="F807" s="34"/>
      <c r="G807" s="35"/>
      <c r="H807" s="34"/>
      <c r="I807" s="37"/>
    </row>
    <row r="808" ht="22.5" customHeight="1">
      <c r="A808" s="30"/>
      <c r="B808" s="31"/>
      <c r="C808" s="32"/>
      <c r="D808" s="33"/>
      <c r="E808" s="34"/>
      <c r="F808" s="34"/>
      <c r="G808" s="35"/>
      <c r="H808" s="34"/>
      <c r="I808" s="37"/>
    </row>
    <row r="809" ht="22.5" customHeight="1">
      <c r="A809" s="30"/>
      <c r="B809" s="31"/>
      <c r="C809" s="32"/>
      <c r="D809" s="33"/>
      <c r="E809" s="34"/>
      <c r="F809" s="34"/>
      <c r="G809" s="35"/>
      <c r="H809" s="34"/>
      <c r="I809" s="37"/>
    </row>
    <row r="810" ht="22.5" customHeight="1">
      <c r="A810" s="30"/>
      <c r="B810" s="31"/>
      <c r="C810" s="32"/>
      <c r="D810" s="33"/>
      <c r="E810" s="34"/>
      <c r="F810" s="34"/>
      <c r="G810" s="35"/>
      <c r="H810" s="34"/>
      <c r="I810" s="37"/>
    </row>
    <row r="811" ht="22.5" customHeight="1">
      <c r="A811" s="30"/>
      <c r="B811" s="31"/>
      <c r="C811" s="32"/>
      <c r="D811" s="33"/>
      <c r="E811" s="34"/>
      <c r="F811" s="34"/>
      <c r="G811" s="35"/>
      <c r="H811" s="34"/>
      <c r="I811" s="37"/>
    </row>
    <row r="812" ht="22.5" customHeight="1">
      <c r="A812" s="30"/>
      <c r="B812" s="31"/>
      <c r="C812" s="32"/>
      <c r="D812" s="33"/>
      <c r="E812" s="34"/>
      <c r="F812" s="34"/>
      <c r="G812" s="35"/>
      <c r="H812" s="34"/>
      <c r="I812" s="37"/>
    </row>
    <row r="813" ht="22.5" customHeight="1">
      <c r="A813" s="30"/>
      <c r="B813" s="31"/>
      <c r="C813" s="32"/>
      <c r="D813" s="33"/>
      <c r="E813" s="34"/>
      <c r="F813" s="34"/>
      <c r="G813" s="35"/>
      <c r="H813" s="34"/>
      <c r="I813" s="37"/>
    </row>
    <row r="814" ht="22.5" customHeight="1">
      <c r="A814" s="30"/>
      <c r="B814" s="40"/>
      <c r="C814" s="32"/>
      <c r="D814" s="33"/>
      <c r="E814" s="34"/>
      <c r="F814" s="34"/>
      <c r="G814" s="35"/>
      <c r="H814" s="34"/>
      <c r="I814" s="37"/>
    </row>
    <row r="815" ht="22.5" customHeight="1">
      <c r="A815" s="30"/>
      <c r="B815" s="31"/>
      <c r="C815" s="32"/>
      <c r="D815" s="33"/>
      <c r="E815" s="34"/>
      <c r="F815" s="34"/>
      <c r="G815" s="35"/>
      <c r="H815" s="34"/>
      <c r="I815" s="37"/>
    </row>
    <row r="816" ht="22.5" customHeight="1">
      <c r="A816" s="30"/>
      <c r="B816" s="31"/>
      <c r="C816" s="32"/>
      <c r="D816" s="33"/>
      <c r="E816" s="34"/>
      <c r="F816" s="34"/>
      <c r="G816" s="35"/>
      <c r="H816" s="34"/>
      <c r="I816" s="37"/>
    </row>
    <row r="817" ht="22.5" customHeight="1">
      <c r="A817" s="30"/>
      <c r="B817" s="31"/>
      <c r="C817" s="32"/>
      <c r="D817" s="33"/>
      <c r="E817" s="34"/>
      <c r="F817" s="34"/>
      <c r="G817" s="35"/>
      <c r="H817" s="34"/>
      <c r="I817" s="37"/>
    </row>
    <row r="818" ht="22.5" customHeight="1">
      <c r="A818" s="30"/>
      <c r="B818" s="31"/>
      <c r="C818" s="32"/>
      <c r="D818" s="33"/>
      <c r="E818" s="34"/>
      <c r="F818" s="34"/>
      <c r="G818" s="35"/>
      <c r="H818" s="34"/>
      <c r="I818" s="38"/>
    </row>
    <row r="819" ht="22.5" customHeight="1">
      <c r="A819" s="30"/>
      <c r="B819" s="39"/>
      <c r="C819" s="32"/>
      <c r="D819" s="33"/>
      <c r="E819" s="34"/>
      <c r="F819" s="34"/>
      <c r="G819" s="35"/>
      <c r="H819" s="34"/>
      <c r="I819" s="37"/>
    </row>
    <row r="820" ht="22.5" customHeight="1">
      <c r="A820" s="30"/>
      <c r="B820" s="31"/>
      <c r="C820" s="32"/>
      <c r="D820" s="33"/>
      <c r="E820" s="34"/>
      <c r="F820" s="34"/>
      <c r="G820" s="35"/>
      <c r="H820" s="34"/>
      <c r="I820" s="37"/>
    </row>
    <row r="821" ht="22.5" customHeight="1">
      <c r="A821" s="30"/>
      <c r="B821" s="31"/>
      <c r="C821" s="32"/>
      <c r="D821" s="33"/>
      <c r="E821" s="34"/>
      <c r="F821" s="34"/>
      <c r="G821" s="35"/>
      <c r="H821" s="34"/>
      <c r="I821" s="37"/>
    </row>
    <row r="822" ht="22.5" customHeight="1">
      <c r="A822" s="30"/>
      <c r="B822" s="31"/>
      <c r="C822" s="32"/>
      <c r="D822" s="33"/>
      <c r="E822" s="34"/>
      <c r="F822" s="34"/>
      <c r="G822" s="35"/>
      <c r="H822" s="34"/>
      <c r="I822" s="37"/>
    </row>
    <row r="823" ht="22.5" customHeight="1">
      <c r="A823" s="30"/>
      <c r="B823" s="39"/>
      <c r="C823" s="32"/>
      <c r="D823" s="33"/>
      <c r="E823" s="34"/>
      <c r="F823" s="34"/>
      <c r="G823" s="35"/>
      <c r="H823" s="34"/>
      <c r="I823" s="37"/>
    </row>
    <row r="824" ht="22.5" customHeight="1">
      <c r="A824" s="30"/>
      <c r="B824" s="31"/>
      <c r="C824" s="32"/>
      <c r="D824" s="33"/>
      <c r="E824" s="34"/>
      <c r="F824" s="34"/>
      <c r="G824" s="35"/>
      <c r="H824" s="34"/>
      <c r="I824" s="37"/>
    </row>
    <row r="825" ht="22.5" customHeight="1">
      <c r="A825" s="30"/>
      <c r="B825" s="39"/>
      <c r="C825" s="32"/>
      <c r="D825" s="33"/>
      <c r="E825" s="34"/>
      <c r="F825" s="34"/>
      <c r="G825" s="35"/>
      <c r="H825" s="34"/>
      <c r="I825" s="37"/>
    </row>
    <row r="826" ht="22.5" customHeight="1">
      <c r="A826" s="30"/>
      <c r="B826" s="31"/>
      <c r="C826" s="32"/>
      <c r="D826" s="33"/>
      <c r="E826" s="34"/>
      <c r="F826" s="34"/>
      <c r="G826" s="35"/>
      <c r="H826" s="34"/>
      <c r="I826" s="37"/>
    </row>
    <row r="827" ht="22.5" customHeight="1">
      <c r="A827" s="30"/>
      <c r="B827" s="31"/>
      <c r="C827" s="32"/>
      <c r="D827" s="33"/>
      <c r="E827" s="34"/>
      <c r="F827" s="34"/>
      <c r="G827" s="35"/>
      <c r="H827" s="34"/>
      <c r="I827" s="37"/>
    </row>
    <row r="828" ht="22.5" customHeight="1">
      <c r="A828" s="30"/>
      <c r="B828" s="31"/>
      <c r="C828" s="32"/>
      <c r="D828" s="33"/>
      <c r="E828" s="34"/>
      <c r="F828" s="34"/>
      <c r="G828" s="35"/>
      <c r="H828" s="34"/>
      <c r="I828" s="37"/>
    </row>
    <row r="829" ht="22.5" customHeight="1">
      <c r="A829" s="30"/>
      <c r="B829" s="31"/>
      <c r="C829" s="32"/>
      <c r="D829" s="33"/>
      <c r="E829" s="34"/>
      <c r="F829" s="34"/>
      <c r="G829" s="35"/>
      <c r="H829" s="34"/>
      <c r="I829" s="37"/>
    </row>
    <row r="830" ht="22.5" customHeight="1">
      <c r="A830" s="30"/>
      <c r="B830" s="31"/>
      <c r="C830" s="32"/>
      <c r="D830" s="33"/>
      <c r="E830" s="34"/>
      <c r="F830" s="34"/>
      <c r="G830" s="35"/>
      <c r="H830" s="34"/>
      <c r="I830" s="37"/>
    </row>
    <row r="831" ht="22.5" customHeight="1">
      <c r="A831" s="30"/>
      <c r="B831" s="31"/>
      <c r="C831" s="32"/>
      <c r="D831" s="33"/>
      <c r="E831" s="34"/>
      <c r="F831" s="34"/>
      <c r="G831" s="35"/>
      <c r="H831" s="34"/>
      <c r="I831" s="37"/>
    </row>
    <row r="832" ht="22.5" customHeight="1">
      <c r="A832" s="30"/>
      <c r="B832" s="31"/>
      <c r="C832" s="32"/>
      <c r="D832" s="33"/>
      <c r="E832" s="34"/>
      <c r="F832" s="34"/>
      <c r="G832" s="35"/>
      <c r="H832" s="34"/>
      <c r="I832" s="37"/>
    </row>
    <row r="833" ht="22.5" customHeight="1">
      <c r="A833" s="30"/>
      <c r="B833" s="31"/>
      <c r="C833" s="32"/>
      <c r="D833" s="33"/>
      <c r="E833" s="34"/>
      <c r="F833" s="34"/>
      <c r="G833" s="35"/>
      <c r="H833" s="34"/>
      <c r="I833" s="37"/>
    </row>
    <row r="834" ht="22.5" customHeight="1">
      <c r="A834" s="30"/>
      <c r="B834" s="31"/>
      <c r="C834" s="32"/>
      <c r="D834" s="33"/>
      <c r="E834" s="34"/>
      <c r="F834" s="34"/>
      <c r="G834" s="35"/>
      <c r="H834" s="34"/>
      <c r="I834" s="37"/>
    </row>
    <row r="835" ht="22.5" customHeight="1">
      <c r="A835" s="30"/>
      <c r="B835" s="31"/>
      <c r="C835" s="32"/>
      <c r="D835" s="33"/>
      <c r="E835" s="34"/>
      <c r="F835" s="34"/>
      <c r="G835" s="35"/>
      <c r="H835" s="34"/>
      <c r="I835" s="37"/>
    </row>
    <row r="836" ht="22.5" customHeight="1">
      <c r="A836" s="30"/>
      <c r="B836" s="40"/>
      <c r="C836" s="32"/>
      <c r="D836" s="33"/>
      <c r="E836" s="34"/>
      <c r="F836" s="34"/>
      <c r="G836" s="35"/>
      <c r="H836" s="34"/>
      <c r="I836" s="37"/>
    </row>
    <row r="837" ht="22.5" customHeight="1">
      <c r="A837" s="30"/>
      <c r="B837" s="31"/>
      <c r="C837" s="32"/>
      <c r="D837" s="33"/>
      <c r="E837" s="34"/>
      <c r="F837" s="34"/>
      <c r="G837" s="35"/>
      <c r="H837" s="34"/>
      <c r="I837" s="37"/>
    </row>
    <row r="838" ht="22.5" customHeight="1">
      <c r="A838" s="30"/>
      <c r="B838" s="31"/>
      <c r="C838" s="32"/>
      <c r="D838" s="33"/>
      <c r="E838" s="34"/>
      <c r="F838" s="34"/>
      <c r="G838" s="35"/>
      <c r="H838" s="34"/>
      <c r="I838" s="37"/>
    </row>
    <row r="839" ht="22.5" customHeight="1">
      <c r="A839" s="30"/>
      <c r="B839" s="31"/>
      <c r="C839" s="32"/>
      <c r="D839" s="33"/>
      <c r="E839" s="34"/>
      <c r="F839" s="34"/>
      <c r="G839" s="35"/>
      <c r="H839" s="34"/>
      <c r="I839" s="37"/>
    </row>
    <row r="840" ht="22.5" customHeight="1">
      <c r="A840" s="30"/>
      <c r="B840" s="31"/>
      <c r="C840" s="32"/>
      <c r="D840" s="33"/>
      <c r="E840" s="34"/>
      <c r="F840" s="34"/>
      <c r="G840" s="35"/>
      <c r="H840" s="34"/>
      <c r="I840" s="37"/>
    </row>
    <row r="841" ht="22.5" customHeight="1">
      <c r="A841" s="30"/>
      <c r="B841" s="31"/>
      <c r="C841" s="32"/>
      <c r="D841" s="33"/>
      <c r="E841" s="34"/>
      <c r="F841" s="34"/>
      <c r="G841" s="35"/>
      <c r="H841" s="34"/>
      <c r="I841" s="37"/>
    </row>
    <row r="842" ht="22.5" customHeight="1">
      <c r="A842" s="30"/>
      <c r="B842" s="31"/>
      <c r="C842" s="32"/>
      <c r="D842" s="33"/>
      <c r="E842" s="34"/>
      <c r="F842" s="34"/>
      <c r="G842" s="35"/>
      <c r="H842" s="34"/>
      <c r="I842" s="37"/>
    </row>
    <row r="843" ht="22.5" customHeight="1">
      <c r="A843" s="30"/>
      <c r="B843" s="39"/>
      <c r="C843" s="32"/>
      <c r="D843" s="33"/>
      <c r="E843" s="34"/>
      <c r="F843" s="34"/>
      <c r="G843" s="35"/>
      <c r="H843" s="34"/>
      <c r="I843" s="37"/>
    </row>
    <row r="844" ht="22.5" customHeight="1">
      <c r="A844" s="30"/>
      <c r="B844" s="39"/>
      <c r="C844" s="32"/>
      <c r="D844" s="33"/>
      <c r="E844" s="34"/>
      <c r="F844" s="34"/>
      <c r="G844" s="35"/>
      <c r="H844" s="34"/>
      <c r="I844" s="37"/>
    </row>
    <row r="845" ht="22.5" customHeight="1">
      <c r="A845" s="30"/>
      <c r="B845" s="39"/>
      <c r="C845" s="32"/>
      <c r="D845" s="33"/>
      <c r="E845" s="34"/>
      <c r="F845" s="34"/>
      <c r="G845" s="35"/>
      <c r="H845" s="34"/>
      <c r="I845" s="37"/>
    </row>
    <row r="846" ht="22.5" customHeight="1">
      <c r="A846" s="30"/>
      <c r="B846" s="40"/>
      <c r="C846" s="32"/>
      <c r="D846" s="33"/>
      <c r="E846" s="34"/>
      <c r="F846" s="34"/>
      <c r="G846" s="35"/>
      <c r="H846" s="34"/>
      <c r="I846" s="37"/>
    </row>
    <row r="847" ht="22.5" customHeight="1">
      <c r="A847" s="30"/>
      <c r="B847" s="31"/>
      <c r="C847" s="32"/>
      <c r="D847" s="33"/>
      <c r="E847" s="34"/>
      <c r="F847" s="34"/>
      <c r="G847" s="35"/>
      <c r="H847" s="34"/>
      <c r="I847" s="37"/>
    </row>
    <row r="848" ht="22.5" customHeight="1">
      <c r="A848" s="30"/>
      <c r="B848" s="31"/>
      <c r="C848" s="32"/>
      <c r="D848" s="33"/>
      <c r="E848" s="34"/>
      <c r="F848" s="34"/>
      <c r="G848" s="35"/>
      <c r="H848" s="34"/>
      <c r="I848" s="37"/>
    </row>
    <row r="849" ht="22.5" customHeight="1">
      <c r="A849" s="30"/>
      <c r="B849" s="31"/>
      <c r="C849" s="32"/>
      <c r="D849" s="33"/>
      <c r="E849" s="34"/>
      <c r="F849" s="34"/>
      <c r="G849" s="35"/>
      <c r="H849" s="34"/>
      <c r="I849" s="37"/>
    </row>
    <row r="850" ht="22.5" customHeight="1">
      <c r="A850" s="30"/>
      <c r="B850" s="31"/>
      <c r="C850" s="32"/>
      <c r="D850" s="33"/>
      <c r="E850" s="34"/>
      <c r="F850" s="34"/>
      <c r="G850" s="35"/>
      <c r="H850" s="34"/>
      <c r="I850" s="37"/>
    </row>
    <row r="851" ht="22.5" customHeight="1">
      <c r="A851" s="30"/>
      <c r="B851" s="31"/>
      <c r="C851" s="32"/>
      <c r="D851" s="33"/>
      <c r="E851" s="34"/>
      <c r="F851" s="34"/>
      <c r="G851" s="35"/>
      <c r="H851" s="34"/>
      <c r="I851" s="37"/>
    </row>
    <row r="852" ht="22.5" customHeight="1">
      <c r="A852" s="30"/>
      <c r="B852" s="31"/>
      <c r="C852" s="32"/>
      <c r="D852" s="33"/>
      <c r="E852" s="34"/>
      <c r="F852" s="34"/>
      <c r="G852" s="35"/>
      <c r="H852" s="34"/>
      <c r="I852" s="37"/>
    </row>
    <row r="853" ht="22.5" customHeight="1">
      <c r="A853" s="30"/>
      <c r="B853" s="31"/>
      <c r="C853" s="32"/>
      <c r="D853" s="33"/>
      <c r="E853" s="34"/>
      <c r="F853" s="34"/>
      <c r="G853" s="35"/>
      <c r="H853" s="34"/>
      <c r="I853" s="37"/>
    </row>
    <row r="854" ht="22.5" customHeight="1">
      <c r="A854" s="30"/>
      <c r="B854" s="31"/>
      <c r="C854" s="32"/>
      <c r="D854" s="33"/>
      <c r="E854" s="34"/>
      <c r="F854" s="34"/>
      <c r="G854" s="35"/>
      <c r="H854" s="34"/>
      <c r="I854" s="37"/>
    </row>
    <row r="855" ht="22.5" customHeight="1">
      <c r="A855" s="30"/>
      <c r="B855" s="31"/>
      <c r="C855" s="32"/>
      <c r="D855" s="33"/>
      <c r="E855" s="34"/>
      <c r="F855" s="34"/>
      <c r="G855" s="35"/>
      <c r="H855" s="34"/>
      <c r="I855" s="37"/>
    </row>
    <row r="856" ht="22.5" customHeight="1">
      <c r="A856" s="30"/>
      <c r="B856" s="40"/>
      <c r="C856" s="32"/>
      <c r="D856" s="33"/>
      <c r="E856" s="34"/>
      <c r="F856" s="34"/>
      <c r="G856" s="35"/>
      <c r="H856" s="34"/>
      <c r="I856" s="37"/>
    </row>
    <row r="857" ht="22.5" customHeight="1">
      <c r="A857" s="30"/>
      <c r="B857" s="31"/>
      <c r="C857" s="32"/>
      <c r="D857" s="33"/>
      <c r="E857" s="34"/>
      <c r="F857" s="34"/>
      <c r="G857" s="35"/>
      <c r="H857" s="34"/>
      <c r="I857" s="37"/>
    </row>
    <row r="858" ht="22.5" customHeight="1">
      <c r="A858" s="30"/>
      <c r="B858" s="31"/>
      <c r="C858" s="32"/>
      <c r="D858" s="33"/>
      <c r="E858" s="34"/>
      <c r="F858" s="34"/>
      <c r="G858" s="35"/>
      <c r="H858" s="34"/>
      <c r="I858" s="37"/>
    </row>
    <row r="859" ht="22.5" customHeight="1">
      <c r="A859" s="30"/>
      <c r="B859" s="31"/>
      <c r="C859" s="32"/>
      <c r="D859" s="33"/>
      <c r="E859" s="34"/>
      <c r="F859" s="34"/>
      <c r="G859" s="35"/>
      <c r="H859" s="34"/>
      <c r="I859" s="37"/>
    </row>
    <row r="860" ht="22.5" customHeight="1">
      <c r="A860" s="30"/>
      <c r="B860" s="40"/>
      <c r="C860" s="32"/>
      <c r="D860" s="33"/>
      <c r="E860" s="34"/>
      <c r="F860" s="34"/>
      <c r="G860" s="35"/>
      <c r="H860" s="34"/>
      <c r="I860" s="37"/>
    </row>
    <row r="861" ht="22.5" customHeight="1">
      <c r="A861" s="30"/>
      <c r="B861" s="31"/>
      <c r="C861" s="32"/>
      <c r="D861" s="33"/>
      <c r="E861" s="34"/>
      <c r="F861" s="34"/>
      <c r="G861" s="35"/>
      <c r="H861" s="34"/>
      <c r="I861" s="37"/>
    </row>
    <row r="862" ht="22.5" customHeight="1">
      <c r="A862" s="30"/>
      <c r="B862" s="31"/>
      <c r="C862" s="32"/>
      <c r="D862" s="33"/>
      <c r="E862" s="34"/>
      <c r="F862" s="34"/>
      <c r="G862" s="35"/>
      <c r="H862" s="34"/>
      <c r="I862" s="37"/>
    </row>
    <row r="863" ht="22.5" customHeight="1">
      <c r="A863" s="30"/>
      <c r="B863" s="31"/>
      <c r="C863" s="32"/>
      <c r="D863" s="33"/>
      <c r="E863" s="34"/>
      <c r="F863" s="34"/>
      <c r="G863" s="35"/>
      <c r="H863" s="34"/>
      <c r="I863" s="37"/>
    </row>
    <row r="864" ht="22.5" customHeight="1">
      <c r="A864" s="30"/>
      <c r="B864" s="31"/>
      <c r="C864" s="32"/>
      <c r="D864" s="33"/>
      <c r="E864" s="34"/>
      <c r="F864" s="34"/>
      <c r="G864" s="35"/>
      <c r="H864" s="34"/>
      <c r="I864" s="37"/>
    </row>
    <row r="865" ht="22.5" customHeight="1">
      <c r="A865" s="30"/>
      <c r="B865" s="31"/>
      <c r="C865" s="32"/>
      <c r="D865" s="33"/>
      <c r="E865" s="34"/>
      <c r="F865" s="34"/>
      <c r="G865" s="35"/>
      <c r="H865" s="34"/>
      <c r="I865" s="37"/>
    </row>
    <row r="866" ht="22.5" customHeight="1">
      <c r="A866" s="30"/>
      <c r="B866" s="31"/>
      <c r="C866" s="32"/>
      <c r="D866" s="33"/>
      <c r="E866" s="34"/>
      <c r="F866" s="34"/>
      <c r="G866" s="35"/>
      <c r="H866" s="34"/>
      <c r="I866" s="37"/>
    </row>
    <row r="867" ht="22.5" customHeight="1">
      <c r="A867" s="30"/>
      <c r="B867" s="31"/>
      <c r="C867" s="32"/>
      <c r="D867" s="33"/>
      <c r="E867" s="34"/>
      <c r="F867" s="34"/>
      <c r="G867" s="35"/>
      <c r="H867" s="34"/>
      <c r="I867" s="37"/>
    </row>
    <row r="868" ht="22.5" customHeight="1">
      <c r="A868" s="30"/>
      <c r="B868" s="31"/>
      <c r="C868" s="32"/>
      <c r="D868" s="33"/>
      <c r="E868" s="34"/>
      <c r="F868" s="34"/>
      <c r="G868" s="35"/>
      <c r="H868" s="34"/>
      <c r="I868" s="37"/>
    </row>
    <row r="869" ht="22.5" customHeight="1">
      <c r="A869" s="30"/>
      <c r="B869" s="31"/>
      <c r="C869" s="32"/>
      <c r="D869" s="33"/>
      <c r="E869" s="34"/>
      <c r="F869" s="34"/>
      <c r="G869" s="35"/>
      <c r="H869" s="34"/>
      <c r="I869" s="37"/>
    </row>
    <row r="870" ht="22.5" customHeight="1">
      <c r="A870" s="30"/>
      <c r="B870" s="31"/>
      <c r="C870" s="32"/>
      <c r="D870" s="33"/>
      <c r="E870" s="34"/>
      <c r="F870" s="34"/>
      <c r="G870" s="35"/>
      <c r="H870" s="34"/>
      <c r="I870" s="37"/>
    </row>
    <row r="871" ht="22.5" customHeight="1">
      <c r="A871" s="30"/>
      <c r="B871" s="31"/>
      <c r="C871" s="32"/>
      <c r="D871" s="33"/>
      <c r="E871" s="34"/>
      <c r="F871" s="34"/>
      <c r="G871" s="35"/>
      <c r="H871" s="34"/>
      <c r="I871" s="37"/>
    </row>
    <row r="872" ht="22.5" customHeight="1">
      <c r="A872" s="30"/>
      <c r="B872" s="31"/>
      <c r="C872" s="32"/>
      <c r="D872" s="33"/>
      <c r="E872" s="34"/>
      <c r="F872" s="34"/>
      <c r="G872" s="35"/>
      <c r="H872" s="34"/>
      <c r="I872" s="37"/>
    </row>
    <row r="873" ht="22.5" customHeight="1">
      <c r="A873" s="30"/>
      <c r="B873" s="31"/>
      <c r="C873" s="32"/>
      <c r="D873" s="33"/>
      <c r="E873" s="34"/>
      <c r="F873" s="34"/>
      <c r="G873" s="35"/>
      <c r="H873" s="34"/>
      <c r="I873" s="37"/>
    </row>
    <row r="874" ht="22.5" customHeight="1">
      <c r="A874" s="30"/>
      <c r="B874" s="31"/>
      <c r="C874" s="32"/>
      <c r="D874" s="33"/>
      <c r="E874" s="34"/>
      <c r="F874" s="34"/>
      <c r="G874" s="35"/>
      <c r="H874" s="34"/>
      <c r="I874" s="37"/>
    </row>
    <row r="875" ht="22.5" customHeight="1">
      <c r="A875" s="30"/>
      <c r="B875" s="40"/>
      <c r="C875" s="32"/>
      <c r="D875" s="33"/>
      <c r="E875" s="34"/>
      <c r="F875" s="34"/>
      <c r="G875" s="35"/>
      <c r="H875" s="34"/>
      <c r="I875" s="37"/>
    </row>
    <row r="876" ht="22.5" customHeight="1">
      <c r="A876" s="30"/>
      <c r="B876" s="31"/>
      <c r="C876" s="32"/>
      <c r="D876" s="33"/>
      <c r="E876" s="34"/>
      <c r="F876" s="34"/>
      <c r="G876" s="35"/>
      <c r="H876" s="34"/>
      <c r="I876" s="37"/>
    </row>
    <row r="877" ht="22.5" customHeight="1">
      <c r="A877" s="30"/>
      <c r="B877" s="40"/>
      <c r="C877" s="32"/>
      <c r="D877" s="33"/>
      <c r="E877" s="34"/>
      <c r="F877" s="34"/>
      <c r="G877" s="35"/>
      <c r="H877" s="34"/>
      <c r="I877" s="37"/>
    </row>
    <row r="878" ht="22.5" customHeight="1">
      <c r="A878" s="30"/>
      <c r="B878" s="31"/>
      <c r="C878" s="32"/>
      <c r="D878" s="33"/>
      <c r="E878" s="34"/>
      <c r="F878" s="34"/>
      <c r="G878" s="35"/>
      <c r="H878" s="34"/>
      <c r="I878" s="37"/>
    </row>
    <row r="879" ht="22.5" customHeight="1">
      <c r="A879" s="30"/>
      <c r="B879" s="31"/>
      <c r="C879" s="32"/>
      <c r="D879" s="33"/>
      <c r="E879" s="34"/>
      <c r="F879" s="34"/>
      <c r="G879" s="35"/>
      <c r="H879" s="34"/>
      <c r="I879" s="37"/>
    </row>
    <row r="880" ht="22.5" customHeight="1">
      <c r="A880" s="30"/>
      <c r="B880" s="31"/>
      <c r="C880" s="32"/>
      <c r="D880" s="33"/>
      <c r="E880" s="34"/>
      <c r="F880" s="34"/>
      <c r="G880" s="35"/>
      <c r="H880" s="34"/>
      <c r="I880" s="37"/>
    </row>
    <row r="881" ht="22.5" customHeight="1">
      <c r="A881" s="30"/>
      <c r="B881" s="31"/>
      <c r="C881" s="32"/>
      <c r="D881" s="33"/>
      <c r="E881" s="34"/>
      <c r="F881" s="34"/>
      <c r="G881" s="35"/>
      <c r="H881" s="34"/>
      <c r="I881" s="37"/>
    </row>
    <row r="882" ht="22.5" customHeight="1">
      <c r="A882" s="30"/>
      <c r="B882" s="40"/>
      <c r="C882" s="32"/>
      <c r="D882" s="33"/>
      <c r="E882" s="34"/>
      <c r="F882" s="34"/>
      <c r="G882" s="35"/>
      <c r="H882" s="34"/>
      <c r="I882" s="37"/>
    </row>
    <row r="883" ht="22.5" customHeight="1">
      <c r="A883" s="30"/>
      <c r="B883" s="31"/>
      <c r="C883" s="32"/>
      <c r="D883" s="33"/>
      <c r="E883" s="34"/>
      <c r="F883" s="34"/>
      <c r="G883" s="35"/>
      <c r="H883" s="34"/>
      <c r="I883" s="37"/>
    </row>
    <row r="884" ht="22.5" customHeight="1">
      <c r="A884" s="30"/>
      <c r="B884" s="31"/>
      <c r="C884" s="32"/>
      <c r="D884" s="33"/>
      <c r="E884" s="34"/>
      <c r="F884" s="34"/>
      <c r="G884" s="35"/>
      <c r="H884" s="34"/>
      <c r="I884" s="37"/>
    </row>
    <row r="885" ht="22.5" customHeight="1">
      <c r="A885" s="30"/>
      <c r="B885" s="31"/>
      <c r="C885" s="32"/>
      <c r="D885" s="33"/>
      <c r="E885" s="34"/>
      <c r="F885" s="34"/>
      <c r="G885" s="35"/>
      <c r="H885" s="34"/>
      <c r="I885" s="37"/>
    </row>
    <row r="886" ht="22.5" customHeight="1">
      <c r="A886" s="30"/>
      <c r="B886" s="31"/>
      <c r="C886" s="32"/>
      <c r="D886" s="33"/>
      <c r="E886" s="34"/>
      <c r="F886" s="34"/>
      <c r="G886" s="35"/>
      <c r="H886" s="34"/>
      <c r="I886" s="37"/>
    </row>
    <row r="887" ht="22.5" customHeight="1">
      <c r="A887" s="30"/>
      <c r="B887" s="31"/>
      <c r="C887" s="32"/>
      <c r="D887" s="33"/>
      <c r="E887" s="34"/>
      <c r="F887" s="34"/>
      <c r="G887" s="35"/>
      <c r="H887" s="34"/>
      <c r="I887" s="37"/>
    </row>
    <row r="888" ht="22.5" customHeight="1">
      <c r="A888" s="30"/>
      <c r="B888" s="31"/>
      <c r="C888" s="32"/>
      <c r="D888" s="33"/>
      <c r="E888" s="34"/>
      <c r="F888" s="34"/>
      <c r="G888" s="35"/>
      <c r="H888" s="34"/>
      <c r="I888" s="37"/>
    </row>
    <row r="889" ht="22.5" customHeight="1">
      <c r="A889" s="30"/>
      <c r="B889" s="31"/>
      <c r="C889" s="32"/>
      <c r="D889" s="33"/>
      <c r="E889" s="34"/>
      <c r="F889" s="34"/>
      <c r="G889" s="35"/>
      <c r="H889" s="34"/>
      <c r="I889" s="37"/>
    </row>
    <row r="890" ht="22.5" customHeight="1">
      <c r="A890" s="30"/>
      <c r="B890" s="31"/>
      <c r="C890" s="32"/>
      <c r="D890" s="33"/>
      <c r="E890" s="34"/>
      <c r="F890" s="34"/>
      <c r="G890" s="35"/>
      <c r="H890" s="34"/>
      <c r="I890" s="37"/>
    </row>
    <row r="891" ht="22.5" customHeight="1">
      <c r="A891" s="30"/>
      <c r="B891" s="31"/>
      <c r="C891" s="32"/>
      <c r="D891" s="33"/>
      <c r="E891" s="34"/>
      <c r="F891" s="34"/>
      <c r="G891" s="35"/>
      <c r="H891" s="34"/>
      <c r="I891" s="37"/>
    </row>
    <row r="892" ht="22.5" customHeight="1">
      <c r="A892" s="30"/>
      <c r="B892" s="31"/>
      <c r="C892" s="32"/>
      <c r="D892" s="33"/>
      <c r="E892" s="34"/>
      <c r="F892" s="34"/>
      <c r="G892" s="35"/>
      <c r="H892" s="34"/>
      <c r="I892" s="37"/>
    </row>
    <row r="893" ht="22.5" customHeight="1">
      <c r="A893" s="30"/>
      <c r="B893" s="31"/>
      <c r="C893" s="32"/>
      <c r="D893" s="33"/>
      <c r="E893" s="34"/>
      <c r="F893" s="34"/>
      <c r="G893" s="35"/>
      <c r="H893" s="34"/>
      <c r="I893" s="37"/>
    </row>
    <row r="894" ht="22.5" customHeight="1">
      <c r="A894" s="30"/>
      <c r="B894" s="31"/>
      <c r="C894" s="32"/>
      <c r="D894" s="33"/>
      <c r="E894" s="34"/>
      <c r="F894" s="34"/>
      <c r="G894" s="35"/>
      <c r="H894" s="34"/>
      <c r="I894" s="37"/>
    </row>
    <row r="895" ht="22.5" customHeight="1">
      <c r="A895" s="30"/>
      <c r="B895" s="31"/>
      <c r="C895" s="32"/>
      <c r="D895" s="33"/>
      <c r="E895" s="34"/>
      <c r="F895" s="34"/>
      <c r="G895" s="35"/>
      <c r="H895" s="34"/>
      <c r="I895" s="37"/>
    </row>
    <row r="896" ht="22.5" customHeight="1">
      <c r="A896" s="30"/>
      <c r="B896" s="31"/>
      <c r="C896" s="32"/>
      <c r="D896" s="33"/>
      <c r="E896" s="34"/>
      <c r="F896" s="34"/>
      <c r="G896" s="35"/>
      <c r="H896" s="34"/>
      <c r="I896" s="37"/>
    </row>
    <row r="897" ht="22.5" customHeight="1">
      <c r="A897" s="30"/>
      <c r="B897" s="31"/>
      <c r="C897" s="32"/>
      <c r="D897" s="33"/>
      <c r="E897" s="34"/>
      <c r="F897" s="34"/>
      <c r="G897" s="35"/>
      <c r="H897" s="34"/>
      <c r="I897" s="37"/>
    </row>
    <row r="898" ht="22.5" customHeight="1">
      <c r="A898" s="30"/>
      <c r="B898" s="31"/>
      <c r="C898" s="32"/>
      <c r="D898" s="33"/>
      <c r="E898" s="34"/>
      <c r="F898" s="34"/>
      <c r="G898" s="35"/>
      <c r="H898" s="34"/>
      <c r="I898" s="37"/>
    </row>
    <row r="899" ht="22.5" customHeight="1">
      <c r="A899" s="30"/>
      <c r="B899" s="31"/>
      <c r="C899" s="32"/>
      <c r="D899" s="33"/>
      <c r="E899" s="34"/>
      <c r="F899" s="34"/>
      <c r="G899" s="35"/>
      <c r="H899" s="34"/>
      <c r="I899" s="37"/>
    </row>
    <row r="900" ht="22.5" customHeight="1">
      <c r="A900" s="30"/>
      <c r="B900" s="31"/>
      <c r="C900" s="32"/>
      <c r="D900" s="33"/>
      <c r="E900" s="34"/>
      <c r="F900" s="34"/>
      <c r="G900" s="35"/>
      <c r="H900" s="34"/>
      <c r="I900" s="37"/>
    </row>
    <row r="901" ht="22.5" customHeight="1">
      <c r="A901" s="30"/>
      <c r="B901" s="31"/>
      <c r="C901" s="32"/>
      <c r="D901" s="33"/>
      <c r="E901" s="34"/>
      <c r="F901" s="34"/>
      <c r="G901" s="35"/>
      <c r="H901" s="34"/>
      <c r="I901" s="37"/>
    </row>
    <row r="902" ht="22.5" customHeight="1">
      <c r="A902" s="30"/>
      <c r="B902" s="31"/>
      <c r="C902" s="32"/>
      <c r="D902" s="33"/>
      <c r="E902" s="34"/>
      <c r="F902" s="34"/>
      <c r="G902" s="35"/>
      <c r="H902" s="34"/>
      <c r="I902" s="37"/>
    </row>
    <row r="903" ht="22.5" customHeight="1">
      <c r="A903" s="30"/>
      <c r="B903" s="31"/>
      <c r="C903" s="32"/>
      <c r="D903" s="33"/>
      <c r="E903" s="34"/>
      <c r="F903" s="34"/>
      <c r="G903" s="35"/>
      <c r="H903" s="34"/>
      <c r="I903" s="37"/>
    </row>
    <row r="904" ht="22.5" customHeight="1">
      <c r="A904" s="30"/>
      <c r="B904" s="40"/>
      <c r="C904" s="32"/>
      <c r="D904" s="33"/>
      <c r="E904" s="34"/>
      <c r="F904" s="34"/>
      <c r="G904" s="35"/>
      <c r="H904" s="34"/>
      <c r="I904" s="37"/>
    </row>
    <row r="905" ht="22.5" customHeight="1">
      <c r="A905" s="30"/>
      <c r="B905" s="31"/>
      <c r="C905" s="32"/>
      <c r="D905" s="33"/>
      <c r="E905" s="34"/>
      <c r="F905" s="34"/>
      <c r="G905" s="35"/>
      <c r="H905" s="34"/>
      <c r="I905" s="37"/>
    </row>
    <row r="906" ht="22.5" customHeight="1">
      <c r="A906" s="30"/>
      <c r="B906" s="31"/>
      <c r="C906" s="32"/>
      <c r="D906" s="33"/>
      <c r="E906" s="34"/>
      <c r="F906" s="34"/>
      <c r="G906" s="35"/>
      <c r="H906" s="34"/>
      <c r="I906" s="37"/>
    </row>
    <row r="907" ht="22.5" customHeight="1">
      <c r="A907" s="30"/>
      <c r="B907" s="31"/>
      <c r="C907" s="32"/>
      <c r="D907" s="33"/>
      <c r="E907" s="34"/>
      <c r="F907" s="34"/>
      <c r="G907" s="35"/>
      <c r="H907" s="34"/>
      <c r="I907" s="37"/>
    </row>
    <row r="908" ht="22.5" customHeight="1">
      <c r="A908" s="30"/>
      <c r="B908" s="31"/>
      <c r="C908" s="32"/>
      <c r="D908" s="33"/>
      <c r="E908" s="34"/>
      <c r="F908" s="34"/>
      <c r="G908" s="35"/>
      <c r="H908" s="34"/>
      <c r="I908" s="38"/>
    </row>
    <row r="909" ht="22.5" customHeight="1">
      <c r="A909" s="30"/>
      <c r="B909" s="39"/>
      <c r="C909" s="32"/>
      <c r="D909" s="33"/>
      <c r="E909" s="34"/>
      <c r="F909" s="34"/>
      <c r="G909" s="35"/>
      <c r="H909" s="34"/>
      <c r="I909" s="37"/>
    </row>
    <row r="910" ht="22.5" customHeight="1">
      <c r="A910" s="30"/>
      <c r="B910" s="31"/>
      <c r="C910" s="32"/>
      <c r="D910" s="33"/>
      <c r="E910" s="34"/>
      <c r="F910" s="34"/>
      <c r="G910" s="35"/>
      <c r="H910" s="34"/>
      <c r="I910" s="37"/>
    </row>
    <row r="911" ht="22.5" customHeight="1">
      <c r="A911" s="30"/>
      <c r="B911" s="31"/>
      <c r="C911" s="32"/>
      <c r="D911" s="33"/>
      <c r="E911" s="34"/>
      <c r="F911" s="34"/>
      <c r="G911" s="35"/>
      <c r="H911" s="34"/>
      <c r="I911" s="37"/>
    </row>
    <row r="912" ht="22.5" customHeight="1">
      <c r="A912" s="30"/>
      <c r="B912" s="31"/>
      <c r="C912" s="32"/>
      <c r="D912" s="33"/>
      <c r="E912" s="34"/>
      <c r="F912" s="34"/>
      <c r="G912" s="35"/>
      <c r="H912" s="34"/>
      <c r="I912" s="37"/>
    </row>
    <row r="913" ht="22.5" customHeight="1">
      <c r="A913" s="30"/>
      <c r="B913" s="39"/>
      <c r="C913" s="32"/>
      <c r="D913" s="33"/>
      <c r="E913" s="34"/>
      <c r="F913" s="34"/>
      <c r="G913" s="35"/>
      <c r="H913" s="34"/>
      <c r="I913" s="37"/>
    </row>
    <row r="914" ht="22.5" customHeight="1">
      <c r="A914" s="30"/>
      <c r="B914" s="31"/>
      <c r="C914" s="32"/>
      <c r="D914" s="33"/>
      <c r="E914" s="34"/>
      <c r="F914" s="34"/>
      <c r="G914" s="35"/>
      <c r="H914" s="34"/>
      <c r="I914" s="37"/>
    </row>
    <row r="915" ht="22.5" customHeight="1">
      <c r="A915" s="30"/>
      <c r="B915" s="39"/>
      <c r="C915" s="32"/>
      <c r="D915" s="33"/>
      <c r="E915" s="34"/>
      <c r="F915" s="34"/>
      <c r="G915" s="35"/>
      <c r="H915" s="34"/>
      <c r="I915" s="37"/>
    </row>
    <row r="916" ht="22.5" customHeight="1">
      <c r="A916" s="30"/>
      <c r="B916" s="31"/>
      <c r="C916" s="32"/>
      <c r="D916" s="33"/>
      <c r="E916" s="34"/>
      <c r="F916" s="34"/>
      <c r="G916" s="35"/>
      <c r="H916" s="34"/>
      <c r="I916" s="37"/>
    </row>
    <row r="917" ht="22.5" customHeight="1">
      <c r="A917" s="30"/>
      <c r="B917" s="31"/>
      <c r="C917" s="32"/>
      <c r="D917" s="33"/>
      <c r="E917" s="34"/>
      <c r="F917" s="34"/>
      <c r="G917" s="35"/>
      <c r="H917" s="34"/>
      <c r="I917" s="37"/>
    </row>
    <row r="918" ht="22.5" customHeight="1">
      <c r="A918" s="30"/>
      <c r="B918" s="31"/>
      <c r="C918" s="32"/>
      <c r="D918" s="33"/>
      <c r="E918" s="34"/>
      <c r="F918" s="34"/>
      <c r="G918" s="35"/>
      <c r="H918" s="34"/>
      <c r="I918" s="37"/>
    </row>
    <row r="919" ht="22.5" customHeight="1">
      <c r="A919" s="30"/>
      <c r="B919" s="31"/>
      <c r="C919" s="32"/>
      <c r="D919" s="33"/>
      <c r="E919" s="34"/>
      <c r="F919" s="34"/>
      <c r="G919" s="35"/>
      <c r="H919" s="34"/>
      <c r="I919" s="37"/>
    </row>
    <row r="920" ht="22.5" customHeight="1">
      <c r="A920" s="30"/>
      <c r="B920" s="31"/>
      <c r="C920" s="32"/>
      <c r="D920" s="33"/>
      <c r="E920" s="34"/>
      <c r="F920" s="34"/>
      <c r="G920" s="35"/>
      <c r="H920" s="34"/>
      <c r="I920" s="37"/>
    </row>
    <row r="921" ht="22.5" customHeight="1">
      <c r="A921" s="30"/>
      <c r="B921" s="31"/>
      <c r="C921" s="32"/>
      <c r="D921" s="33"/>
      <c r="E921" s="34"/>
      <c r="F921" s="34"/>
      <c r="G921" s="35"/>
      <c r="H921" s="34"/>
      <c r="I921" s="37"/>
    </row>
    <row r="922" ht="22.5" customHeight="1">
      <c r="A922" s="30"/>
      <c r="B922" s="31"/>
      <c r="C922" s="32"/>
      <c r="D922" s="33"/>
      <c r="E922" s="34"/>
      <c r="F922" s="34"/>
      <c r="G922" s="35"/>
      <c r="H922" s="34"/>
      <c r="I922" s="37"/>
    </row>
    <row r="923" ht="22.5" customHeight="1">
      <c r="A923" s="30"/>
      <c r="B923" s="31"/>
      <c r="C923" s="32"/>
      <c r="D923" s="33"/>
      <c r="E923" s="34"/>
      <c r="F923" s="34"/>
      <c r="G923" s="35"/>
      <c r="H923" s="34"/>
      <c r="I923" s="37"/>
    </row>
    <row r="924" ht="22.5" customHeight="1">
      <c r="A924" s="30"/>
      <c r="B924" s="31"/>
      <c r="C924" s="32"/>
      <c r="D924" s="33"/>
      <c r="E924" s="34"/>
      <c r="F924" s="34"/>
      <c r="G924" s="35"/>
      <c r="H924" s="34"/>
      <c r="I924" s="37"/>
    </row>
    <row r="925" ht="22.5" customHeight="1">
      <c r="A925" s="30"/>
      <c r="B925" s="31"/>
      <c r="C925" s="32"/>
      <c r="D925" s="33"/>
      <c r="E925" s="34"/>
      <c r="F925" s="34"/>
      <c r="G925" s="35"/>
      <c r="H925" s="34"/>
      <c r="I925" s="37"/>
    </row>
    <row r="926" ht="22.5" customHeight="1">
      <c r="A926" s="30"/>
      <c r="B926" s="40"/>
      <c r="C926" s="32"/>
      <c r="D926" s="33"/>
      <c r="E926" s="34"/>
      <c r="F926" s="34"/>
      <c r="G926" s="35"/>
      <c r="H926" s="34"/>
      <c r="I926" s="37"/>
    </row>
    <row r="927" ht="22.5" customHeight="1">
      <c r="A927" s="30"/>
      <c r="B927" s="31"/>
      <c r="C927" s="32"/>
      <c r="D927" s="33"/>
      <c r="E927" s="34"/>
      <c r="F927" s="34"/>
      <c r="G927" s="35"/>
      <c r="H927" s="34"/>
      <c r="I927" s="37"/>
    </row>
    <row r="928" ht="22.5" customHeight="1">
      <c r="A928" s="30"/>
      <c r="B928" s="31"/>
      <c r="C928" s="32"/>
      <c r="D928" s="33"/>
      <c r="E928" s="34"/>
      <c r="F928" s="34"/>
      <c r="G928" s="35"/>
      <c r="H928" s="34"/>
      <c r="I928" s="37"/>
    </row>
    <row r="929" ht="22.5" customHeight="1">
      <c r="A929" s="30"/>
      <c r="B929" s="31"/>
      <c r="C929" s="32"/>
      <c r="D929" s="33"/>
      <c r="E929" s="34"/>
      <c r="F929" s="34"/>
      <c r="G929" s="35"/>
      <c r="H929" s="34"/>
      <c r="I929" s="37"/>
    </row>
    <row r="930" ht="22.5" customHeight="1">
      <c r="A930" s="30"/>
      <c r="B930" s="31"/>
      <c r="C930" s="32"/>
      <c r="D930" s="33"/>
      <c r="E930" s="34"/>
      <c r="F930" s="34"/>
      <c r="G930" s="35"/>
      <c r="H930" s="34"/>
      <c r="I930" s="37"/>
    </row>
    <row r="931" ht="22.5" customHeight="1">
      <c r="A931" s="30"/>
      <c r="B931" s="31"/>
      <c r="C931" s="32"/>
      <c r="D931" s="33"/>
      <c r="E931" s="34"/>
      <c r="F931" s="34"/>
      <c r="G931" s="35"/>
      <c r="H931" s="34"/>
      <c r="I931" s="37"/>
    </row>
    <row r="932" ht="22.5" customHeight="1">
      <c r="A932" s="30"/>
      <c r="B932" s="31"/>
      <c r="C932" s="32"/>
      <c r="D932" s="33"/>
      <c r="E932" s="34"/>
      <c r="F932" s="34"/>
      <c r="G932" s="35"/>
      <c r="H932" s="34"/>
      <c r="I932" s="37"/>
    </row>
    <row r="933" ht="22.5" customHeight="1">
      <c r="A933" s="30"/>
      <c r="B933" s="39"/>
      <c r="C933" s="32"/>
      <c r="D933" s="33"/>
      <c r="E933" s="34"/>
      <c r="F933" s="34"/>
      <c r="G933" s="35"/>
      <c r="H933" s="34"/>
      <c r="I933" s="37"/>
    </row>
    <row r="934" ht="22.5" customHeight="1">
      <c r="A934" s="30"/>
      <c r="B934" s="39"/>
      <c r="C934" s="32"/>
      <c r="D934" s="33"/>
      <c r="E934" s="34"/>
      <c r="F934" s="34"/>
      <c r="G934" s="35"/>
      <c r="H934" s="34"/>
      <c r="I934" s="37"/>
    </row>
    <row r="935" ht="22.5" customHeight="1">
      <c r="A935" s="30"/>
      <c r="B935" s="39"/>
      <c r="C935" s="32"/>
      <c r="D935" s="33"/>
      <c r="E935" s="34"/>
      <c r="F935" s="34"/>
      <c r="G935" s="35"/>
      <c r="H935" s="34"/>
      <c r="I935" s="37"/>
    </row>
    <row r="936" ht="22.5" customHeight="1">
      <c r="A936" s="30"/>
      <c r="B936" s="40"/>
      <c r="C936" s="32"/>
      <c r="D936" s="33"/>
      <c r="E936" s="34"/>
      <c r="F936" s="34"/>
      <c r="G936" s="35"/>
      <c r="H936" s="34"/>
      <c r="I936" s="37"/>
    </row>
    <row r="937" ht="22.5" customHeight="1">
      <c r="A937" s="30"/>
      <c r="B937" s="31"/>
      <c r="C937" s="32"/>
      <c r="D937" s="33"/>
      <c r="E937" s="34"/>
      <c r="F937" s="34"/>
      <c r="G937" s="35"/>
      <c r="H937" s="34"/>
      <c r="I937" s="37"/>
    </row>
    <row r="938" ht="22.5" customHeight="1">
      <c r="A938" s="30"/>
      <c r="B938" s="31"/>
      <c r="C938" s="32"/>
      <c r="D938" s="33"/>
      <c r="E938" s="34"/>
      <c r="F938" s="34"/>
      <c r="G938" s="35"/>
      <c r="H938" s="34"/>
      <c r="I938" s="37"/>
    </row>
    <row r="939" ht="22.5" customHeight="1">
      <c r="A939" s="30"/>
      <c r="B939" s="31"/>
      <c r="C939" s="32"/>
      <c r="D939" s="33"/>
      <c r="E939" s="34"/>
      <c r="F939" s="34"/>
      <c r="G939" s="35"/>
      <c r="H939" s="34"/>
      <c r="I939" s="37"/>
    </row>
    <row r="940" ht="22.5" customHeight="1">
      <c r="A940" s="30"/>
      <c r="B940" s="31"/>
      <c r="C940" s="32"/>
      <c r="D940" s="33"/>
      <c r="E940" s="34"/>
      <c r="F940" s="34"/>
      <c r="G940" s="35"/>
      <c r="H940" s="34"/>
      <c r="I940" s="37"/>
    </row>
    <row r="941" ht="22.5" customHeight="1">
      <c r="A941" s="30"/>
      <c r="B941" s="31"/>
      <c r="C941" s="32"/>
      <c r="D941" s="33"/>
      <c r="E941" s="34"/>
      <c r="F941" s="34"/>
      <c r="G941" s="35"/>
      <c r="H941" s="34"/>
      <c r="I941" s="37"/>
    </row>
    <row r="942" ht="22.5" customHeight="1">
      <c r="A942" s="30"/>
      <c r="B942" s="31"/>
      <c r="C942" s="32"/>
      <c r="D942" s="33"/>
      <c r="E942" s="34"/>
      <c r="F942" s="34"/>
      <c r="G942" s="35"/>
      <c r="H942" s="34"/>
      <c r="I942" s="37"/>
    </row>
    <row r="943" ht="22.5" customHeight="1">
      <c r="A943" s="30"/>
      <c r="B943" s="31"/>
      <c r="C943" s="32"/>
      <c r="D943" s="33"/>
      <c r="E943" s="34"/>
      <c r="F943" s="34"/>
      <c r="G943" s="35"/>
      <c r="H943" s="34"/>
      <c r="I943" s="37"/>
    </row>
    <row r="944" ht="22.5" customHeight="1">
      <c r="A944" s="30"/>
      <c r="B944" s="31"/>
      <c r="C944" s="32"/>
      <c r="D944" s="33"/>
      <c r="E944" s="34"/>
      <c r="F944" s="34"/>
      <c r="G944" s="35"/>
      <c r="H944" s="34"/>
      <c r="I944" s="37"/>
    </row>
    <row r="945" ht="22.5" customHeight="1">
      <c r="A945" s="30"/>
      <c r="B945" s="31"/>
      <c r="C945" s="32"/>
      <c r="D945" s="33"/>
      <c r="E945" s="34"/>
      <c r="F945" s="34"/>
      <c r="G945" s="35"/>
      <c r="H945" s="34"/>
      <c r="I945" s="37"/>
    </row>
    <row r="946" ht="22.5" customHeight="1">
      <c r="A946" s="30"/>
      <c r="B946" s="40"/>
      <c r="C946" s="32"/>
      <c r="D946" s="33"/>
      <c r="E946" s="34"/>
      <c r="F946" s="34"/>
      <c r="G946" s="35"/>
      <c r="H946" s="34"/>
      <c r="I946" s="37"/>
    </row>
    <row r="947" ht="22.5" customHeight="1">
      <c r="A947" s="30"/>
      <c r="B947" s="31"/>
      <c r="C947" s="32"/>
      <c r="D947" s="33"/>
      <c r="E947" s="34"/>
      <c r="F947" s="34"/>
      <c r="G947" s="35"/>
      <c r="H947" s="34"/>
      <c r="I947" s="37"/>
    </row>
    <row r="948" ht="22.5" customHeight="1">
      <c r="A948" s="30"/>
      <c r="B948" s="31"/>
      <c r="C948" s="32"/>
      <c r="D948" s="33"/>
      <c r="E948" s="34"/>
      <c r="F948" s="34"/>
      <c r="G948" s="35"/>
      <c r="H948" s="34"/>
      <c r="I948" s="37"/>
    </row>
    <row r="949" ht="22.5" customHeight="1">
      <c r="A949" s="30"/>
      <c r="B949" s="31"/>
      <c r="C949" s="32"/>
      <c r="D949" s="33"/>
      <c r="E949" s="34"/>
      <c r="F949" s="34"/>
      <c r="G949" s="35"/>
      <c r="H949" s="34"/>
      <c r="I949" s="37"/>
    </row>
    <row r="950" ht="22.5" customHeight="1">
      <c r="A950" s="30"/>
      <c r="B950" s="40"/>
      <c r="C950" s="32"/>
      <c r="D950" s="33"/>
      <c r="E950" s="34"/>
      <c r="F950" s="34"/>
      <c r="G950" s="35"/>
      <c r="H950" s="34"/>
      <c r="I950" s="37"/>
    </row>
    <row r="951" ht="22.5" customHeight="1">
      <c r="A951" s="30"/>
      <c r="B951" s="31"/>
      <c r="C951" s="32"/>
      <c r="D951" s="33"/>
      <c r="E951" s="34"/>
      <c r="F951" s="34"/>
      <c r="G951" s="35"/>
      <c r="H951" s="34"/>
      <c r="I951" s="37"/>
    </row>
    <row r="952" ht="22.5" customHeight="1">
      <c r="A952" s="30"/>
      <c r="B952" s="31"/>
      <c r="C952" s="32"/>
      <c r="D952" s="33"/>
      <c r="E952" s="34"/>
      <c r="F952" s="34"/>
      <c r="G952" s="35"/>
      <c r="H952" s="34"/>
      <c r="I952" s="37"/>
    </row>
    <row r="953" ht="22.5" customHeight="1">
      <c r="A953" s="30"/>
      <c r="B953" s="31"/>
      <c r="C953" s="32"/>
      <c r="D953" s="33"/>
      <c r="E953" s="34"/>
      <c r="F953" s="34"/>
      <c r="G953" s="35"/>
      <c r="H953" s="34"/>
      <c r="I953" s="37"/>
    </row>
    <row r="954" ht="22.5" customHeight="1">
      <c r="A954" s="30"/>
      <c r="B954" s="31"/>
      <c r="C954" s="32"/>
      <c r="D954" s="33"/>
      <c r="E954" s="34"/>
      <c r="F954" s="34"/>
      <c r="G954" s="35"/>
      <c r="H954" s="34"/>
      <c r="I954" s="37"/>
    </row>
    <row r="955" ht="22.5" customHeight="1">
      <c r="A955" s="30"/>
      <c r="B955" s="31"/>
      <c r="C955" s="32"/>
      <c r="D955" s="33"/>
      <c r="E955" s="34"/>
      <c r="F955" s="34"/>
      <c r="G955" s="35"/>
      <c r="H955" s="34"/>
      <c r="I955" s="37"/>
    </row>
    <row r="956" ht="22.5" customHeight="1">
      <c r="A956" s="30"/>
      <c r="B956" s="31"/>
      <c r="C956" s="32"/>
      <c r="D956" s="33"/>
      <c r="E956" s="34"/>
      <c r="F956" s="34"/>
      <c r="G956" s="35"/>
      <c r="H956" s="34"/>
      <c r="I956" s="37"/>
    </row>
    <row r="957" ht="22.5" customHeight="1">
      <c r="A957" s="30"/>
      <c r="B957" s="31"/>
      <c r="C957" s="32"/>
      <c r="D957" s="33"/>
      <c r="E957" s="34"/>
      <c r="F957" s="34"/>
      <c r="G957" s="35"/>
      <c r="H957" s="34"/>
      <c r="I957" s="37"/>
    </row>
    <row r="958" ht="22.5" customHeight="1">
      <c r="A958" s="30"/>
      <c r="B958" s="31"/>
      <c r="C958" s="32"/>
      <c r="D958" s="33"/>
      <c r="E958" s="34"/>
      <c r="F958" s="34"/>
      <c r="G958" s="35"/>
      <c r="H958" s="34"/>
      <c r="I958" s="37"/>
    </row>
    <row r="959" ht="22.5" customHeight="1">
      <c r="A959" s="30"/>
      <c r="B959" s="31"/>
      <c r="C959" s="32"/>
      <c r="D959" s="33"/>
      <c r="E959" s="34"/>
      <c r="F959" s="34"/>
      <c r="G959" s="35"/>
      <c r="H959" s="34"/>
      <c r="I959" s="37"/>
    </row>
    <row r="960" ht="22.5" customHeight="1">
      <c r="A960" s="30"/>
      <c r="B960" s="31"/>
      <c r="C960" s="32"/>
      <c r="D960" s="33"/>
      <c r="E960" s="34"/>
      <c r="F960" s="34"/>
      <c r="G960" s="35"/>
      <c r="H960" s="34"/>
      <c r="I960" s="37"/>
    </row>
    <row r="961" ht="22.5" customHeight="1">
      <c r="A961" s="30"/>
      <c r="B961" s="31"/>
      <c r="C961" s="32"/>
      <c r="D961" s="33"/>
      <c r="E961" s="34"/>
      <c r="F961" s="34"/>
      <c r="G961" s="35"/>
      <c r="H961" s="34"/>
      <c r="I961" s="37"/>
    </row>
    <row r="962" ht="22.5" customHeight="1">
      <c r="A962" s="30"/>
      <c r="B962" s="31"/>
      <c r="C962" s="32"/>
      <c r="D962" s="33"/>
      <c r="E962" s="34"/>
      <c r="F962" s="34"/>
      <c r="G962" s="35"/>
      <c r="H962" s="34"/>
      <c r="I962" s="37"/>
    </row>
    <row r="963" ht="22.5" customHeight="1">
      <c r="A963" s="30"/>
      <c r="B963" s="31"/>
      <c r="C963" s="32"/>
      <c r="D963" s="33"/>
      <c r="E963" s="34"/>
      <c r="F963" s="34"/>
      <c r="G963" s="35"/>
      <c r="H963" s="34"/>
      <c r="I963" s="37"/>
    </row>
    <row r="964" ht="22.5" customHeight="1">
      <c r="A964" s="30"/>
      <c r="B964" s="31"/>
      <c r="C964" s="32"/>
      <c r="D964" s="33"/>
      <c r="E964" s="34"/>
      <c r="F964" s="34"/>
      <c r="G964" s="35"/>
      <c r="H964" s="34"/>
      <c r="I964" s="37"/>
    </row>
    <row r="965" ht="22.5" customHeight="1">
      <c r="A965" s="30"/>
      <c r="B965" s="40"/>
      <c r="C965" s="32"/>
      <c r="D965" s="33"/>
      <c r="E965" s="34"/>
      <c r="F965" s="34"/>
      <c r="G965" s="35"/>
      <c r="H965" s="34"/>
      <c r="I965" s="37"/>
    </row>
    <row r="966" ht="22.5" customHeight="1">
      <c r="A966" s="30"/>
      <c r="B966" s="31"/>
      <c r="C966" s="32"/>
      <c r="D966" s="33"/>
      <c r="E966" s="34"/>
      <c r="F966" s="34"/>
      <c r="G966" s="35"/>
      <c r="H966" s="34"/>
      <c r="I966" s="37"/>
    </row>
    <row r="967" ht="22.5" customHeight="1">
      <c r="A967" s="30"/>
      <c r="B967" s="40"/>
      <c r="C967" s="32"/>
      <c r="D967" s="33"/>
      <c r="E967" s="34"/>
      <c r="F967" s="34"/>
      <c r="G967" s="35"/>
      <c r="H967" s="34"/>
      <c r="I967" s="37"/>
    </row>
    <row r="968" ht="22.5" customHeight="1">
      <c r="A968" s="30"/>
      <c r="B968" s="31"/>
      <c r="C968" s="32"/>
      <c r="D968" s="33"/>
      <c r="E968" s="34"/>
      <c r="F968" s="34"/>
      <c r="G968" s="35"/>
      <c r="H968" s="34"/>
      <c r="I968" s="37"/>
    </row>
    <row r="969" ht="22.5" customHeight="1">
      <c r="A969" s="30"/>
      <c r="B969" s="31"/>
      <c r="C969" s="32"/>
      <c r="D969" s="33"/>
      <c r="E969" s="34"/>
      <c r="F969" s="34"/>
      <c r="G969" s="35"/>
      <c r="H969" s="34"/>
      <c r="I969" s="37"/>
    </row>
    <row r="970" ht="22.5" customHeight="1">
      <c r="A970" s="30"/>
      <c r="B970" s="31"/>
      <c r="C970" s="32"/>
      <c r="D970" s="33"/>
      <c r="E970" s="34"/>
      <c r="F970" s="34"/>
      <c r="G970" s="35"/>
      <c r="H970" s="34"/>
      <c r="I970" s="37"/>
    </row>
    <row r="971" ht="22.5" customHeight="1">
      <c r="A971" s="30"/>
      <c r="B971" s="31"/>
      <c r="C971" s="32"/>
      <c r="D971" s="33"/>
      <c r="E971" s="34"/>
      <c r="F971" s="34"/>
      <c r="G971" s="35"/>
      <c r="H971" s="34"/>
      <c r="I971" s="37"/>
    </row>
    <row r="972" ht="22.5" customHeight="1">
      <c r="A972" s="30"/>
      <c r="B972" s="40"/>
      <c r="C972" s="32"/>
      <c r="D972" s="33"/>
      <c r="E972" s="34"/>
      <c r="F972" s="34"/>
      <c r="G972" s="35"/>
      <c r="H972" s="34"/>
      <c r="I972" s="37"/>
    </row>
    <row r="973" ht="22.5" customHeight="1">
      <c r="A973" s="30"/>
      <c r="B973" s="31"/>
      <c r="C973" s="32"/>
      <c r="D973" s="33"/>
      <c r="E973" s="34"/>
      <c r="F973" s="34"/>
      <c r="G973" s="35"/>
      <c r="H973" s="34"/>
      <c r="I973" s="37"/>
    </row>
    <row r="974" ht="22.5" customHeight="1">
      <c r="A974" s="30"/>
      <c r="B974" s="31"/>
      <c r="C974" s="32"/>
      <c r="D974" s="33"/>
      <c r="E974" s="34"/>
      <c r="F974" s="34"/>
      <c r="G974" s="35"/>
      <c r="H974" s="34"/>
      <c r="I974" s="37"/>
    </row>
    <row r="975" ht="22.5" customHeight="1">
      <c r="A975" s="30"/>
      <c r="B975" s="31"/>
      <c r="C975" s="32"/>
      <c r="D975" s="33"/>
      <c r="E975" s="34"/>
      <c r="F975" s="34"/>
      <c r="G975" s="35"/>
      <c r="H975" s="34"/>
      <c r="I975" s="37"/>
    </row>
    <row r="976" ht="22.5" customHeight="1">
      <c r="A976" s="30"/>
      <c r="B976" s="31"/>
      <c r="C976" s="32"/>
      <c r="D976" s="33"/>
      <c r="E976" s="34"/>
      <c r="F976" s="34"/>
      <c r="G976" s="35"/>
      <c r="H976" s="34"/>
      <c r="I976" s="37"/>
    </row>
    <row r="977" ht="22.5" customHeight="1">
      <c r="A977" s="30"/>
      <c r="B977" s="31"/>
      <c r="C977" s="32"/>
      <c r="D977" s="33"/>
      <c r="E977" s="34"/>
      <c r="F977" s="34"/>
      <c r="G977" s="35"/>
      <c r="H977" s="34"/>
      <c r="I977" s="37"/>
    </row>
    <row r="978" ht="22.5" customHeight="1">
      <c r="A978" s="30"/>
      <c r="B978" s="31"/>
      <c r="C978" s="32"/>
      <c r="D978" s="33"/>
      <c r="E978" s="34"/>
      <c r="F978" s="34"/>
      <c r="G978" s="35"/>
      <c r="H978" s="34"/>
      <c r="I978" s="37"/>
    </row>
    <row r="979" ht="22.5" customHeight="1">
      <c r="A979" s="30"/>
      <c r="B979" s="31"/>
      <c r="C979" s="32"/>
      <c r="D979" s="33"/>
      <c r="E979" s="34"/>
      <c r="F979" s="34"/>
      <c r="G979" s="35"/>
      <c r="H979" s="34"/>
      <c r="I979" s="37"/>
    </row>
    <row r="980" ht="22.5" customHeight="1">
      <c r="A980" s="30"/>
      <c r="B980" s="31"/>
      <c r="C980" s="32"/>
      <c r="D980" s="33"/>
      <c r="E980" s="34"/>
      <c r="F980" s="34"/>
      <c r="G980" s="35"/>
      <c r="H980" s="34"/>
      <c r="I980" s="37"/>
    </row>
    <row r="981" ht="22.5" customHeight="1">
      <c r="A981" s="30"/>
      <c r="B981" s="31"/>
      <c r="C981" s="32"/>
      <c r="D981" s="33"/>
      <c r="E981" s="34"/>
      <c r="F981" s="34"/>
      <c r="G981" s="35"/>
      <c r="H981" s="34"/>
      <c r="I981" s="37"/>
    </row>
    <row r="982" ht="22.5" customHeight="1">
      <c r="A982" s="30"/>
      <c r="B982" s="31"/>
      <c r="C982" s="32"/>
      <c r="D982" s="33"/>
      <c r="E982" s="34"/>
      <c r="F982" s="34"/>
      <c r="G982" s="35"/>
      <c r="H982" s="34"/>
      <c r="I982" s="37"/>
    </row>
    <row r="983" ht="22.5" customHeight="1">
      <c r="A983" s="30"/>
      <c r="B983" s="31"/>
      <c r="C983" s="32"/>
      <c r="D983" s="33"/>
      <c r="E983" s="34"/>
      <c r="F983" s="34"/>
      <c r="G983" s="35"/>
      <c r="H983" s="34"/>
      <c r="I983" s="37"/>
    </row>
    <row r="984" ht="22.5" customHeight="1">
      <c r="A984" s="30"/>
      <c r="B984" s="31"/>
      <c r="C984" s="32"/>
      <c r="D984" s="33"/>
      <c r="E984" s="34"/>
      <c r="F984" s="34"/>
      <c r="G984" s="35"/>
      <c r="H984" s="34"/>
      <c r="I984" s="37"/>
    </row>
    <row r="985" ht="22.5" customHeight="1">
      <c r="A985" s="30"/>
      <c r="B985" s="31"/>
      <c r="C985" s="32"/>
      <c r="D985" s="33"/>
      <c r="E985" s="34"/>
      <c r="F985" s="34"/>
      <c r="G985" s="35"/>
      <c r="H985" s="34"/>
      <c r="I985" s="37"/>
    </row>
    <row r="986" ht="22.5" customHeight="1">
      <c r="A986" s="30"/>
      <c r="B986" s="31"/>
      <c r="C986" s="32"/>
      <c r="D986" s="33"/>
      <c r="E986" s="34"/>
      <c r="F986" s="34"/>
      <c r="G986" s="35"/>
      <c r="H986" s="34"/>
      <c r="I986" s="37"/>
    </row>
    <row r="987" ht="22.5" customHeight="1">
      <c r="A987" s="30"/>
      <c r="B987" s="31"/>
      <c r="C987" s="32"/>
      <c r="D987" s="33"/>
      <c r="E987" s="34"/>
      <c r="F987" s="34"/>
      <c r="G987" s="35"/>
      <c r="H987" s="34"/>
      <c r="I987" s="37"/>
    </row>
    <row r="988" ht="22.5" customHeight="1">
      <c r="A988" s="30"/>
      <c r="B988" s="31"/>
      <c r="C988" s="32"/>
      <c r="D988" s="33"/>
      <c r="E988" s="34"/>
      <c r="F988" s="34"/>
      <c r="G988" s="35"/>
      <c r="H988" s="34"/>
      <c r="I988" s="37"/>
    </row>
    <row r="989" ht="22.5" customHeight="1">
      <c r="A989" s="30"/>
      <c r="B989" s="31"/>
      <c r="C989" s="32"/>
      <c r="D989" s="33"/>
      <c r="E989" s="34"/>
      <c r="F989" s="34"/>
      <c r="G989" s="35"/>
      <c r="H989" s="34"/>
      <c r="I989" s="37"/>
    </row>
    <row r="990" ht="22.5" customHeight="1">
      <c r="A990" s="30"/>
      <c r="B990" s="31"/>
      <c r="C990" s="32"/>
      <c r="D990" s="33"/>
      <c r="E990" s="34"/>
      <c r="F990" s="34"/>
      <c r="G990" s="35"/>
      <c r="H990" s="34"/>
      <c r="I990" s="37"/>
    </row>
    <row r="991" ht="22.5" customHeight="1">
      <c r="A991" s="30"/>
      <c r="B991" s="31"/>
      <c r="C991" s="32"/>
      <c r="D991" s="33"/>
      <c r="E991" s="34"/>
      <c r="F991" s="34"/>
      <c r="G991" s="35"/>
      <c r="H991" s="34"/>
      <c r="I991" s="37"/>
    </row>
    <row r="992" ht="22.5" customHeight="1">
      <c r="A992" s="30"/>
      <c r="B992" s="31"/>
      <c r="C992" s="32"/>
      <c r="D992" s="33"/>
      <c r="E992" s="34"/>
      <c r="F992" s="34"/>
      <c r="G992" s="35"/>
      <c r="H992" s="34"/>
      <c r="I992" s="37"/>
    </row>
    <row r="993" ht="22.5" customHeight="1">
      <c r="A993" s="30"/>
      <c r="B993" s="31"/>
      <c r="C993" s="32"/>
      <c r="D993" s="33"/>
      <c r="E993" s="34"/>
      <c r="F993" s="34"/>
      <c r="G993" s="35"/>
      <c r="H993" s="34"/>
      <c r="I993" s="37"/>
    </row>
    <row r="994" ht="22.5" customHeight="1">
      <c r="A994" s="30"/>
      <c r="B994" s="40"/>
      <c r="C994" s="32"/>
      <c r="D994" s="33"/>
      <c r="E994" s="34"/>
      <c r="F994" s="34"/>
      <c r="G994" s="35"/>
      <c r="H994" s="34"/>
      <c r="I994" s="37"/>
    </row>
    <row r="995" ht="22.5" customHeight="1">
      <c r="A995" s="30"/>
      <c r="B995" s="31"/>
      <c r="C995" s="32"/>
      <c r="D995" s="33"/>
      <c r="E995" s="34"/>
      <c r="F995" s="34"/>
      <c r="G995" s="35"/>
      <c r="H995" s="34"/>
      <c r="I995" s="37"/>
    </row>
    <row r="996" ht="22.5" customHeight="1">
      <c r="A996" s="30"/>
      <c r="B996" s="31"/>
      <c r="C996" s="32"/>
      <c r="D996" s="33"/>
      <c r="E996" s="34"/>
      <c r="F996" s="34"/>
      <c r="G996" s="35"/>
      <c r="H996" s="34"/>
      <c r="I996" s="37"/>
    </row>
    <row r="997" ht="22.5" customHeight="1">
      <c r="A997" s="30"/>
      <c r="B997" s="31"/>
      <c r="C997" s="32"/>
      <c r="D997" s="33"/>
      <c r="E997" s="34"/>
      <c r="F997" s="34"/>
      <c r="G997" s="35"/>
      <c r="H997" s="34"/>
      <c r="I997" s="37"/>
    </row>
    <row r="998" ht="22.5" customHeight="1">
      <c r="A998" s="30"/>
      <c r="B998" s="31"/>
      <c r="C998" s="32"/>
      <c r="D998" s="33"/>
      <c r="E998" s="34"/>
      <c r="F998" s="34"/>
      <c r="G998" s="35"/>
      <c r="H998" s="34"/>
      <c r="I998" s="38"/>
    </row>
    <row r="999" ht="22.5" customHeight="1">
      <c r="A999" s="30"/>
      <c r="B999" s="39"/>
      <c r="C999" s="32"/>
      <c r="D999" s="33"/>
      <c r="E999" s="34"/>
      <c r="F999" s="34"/>
      <c r="G999" s="35"/>
      <c r="H999" s="34"/>
      <c r="I999" s="37"/>
    </row>
    <row r="1000" ht="22.5" customHeight="1">
      <c r="A1000" s="30"/>
      <c r="B1000" s="31"/>
      <c r="C1000" s="32"/>
      <c r="D1000" s="33"/>
      <c r="E1000" s="34"/>
      <c r="F1000" s="34"/>
      <c r="G1000" s="35"/>
      <c r="H1000" s="34"/>
      <c r="I1000" s="37"/>
    </row>
    <row r="1001" ht="22.5" customHeight="1">
      <c r="A1001" s="30"/>
      <c r="B1001" s="31"/>
      <c r="C1001" s="32"/>
      <c r="D1001" s="33"/>
      <c r="E1001" s="34"/>
      <c r="F1001" s="34"/>
      <c r="G1001" s="35"/>
      <c r="H1001" s="34"/>
      <c r="I1001" s="37"/>
    </row>
    <row r="1002" ht="22.5" customHeight="1">
      <c r="A1002" s="30"/>
      <c r="B1002" s="31"/>
      <c r="C1002" s="32"/>
      <c r="D1002" s="33"/>
      <c r="E1002" s="34"/>
      <c r="F1002" s="34"/>
      <c r="G1002" s="35"/>
      <c r="H1002" s="34"/>
      <c r="I1002" s="37"/>
    </row>
    <row r="1003" ht="22.5" customHeight="1">
      <c r="A1003" s="30"/>
      <c r="B1003" s="39"/>
      <c r="C1003" s="32"/>
      <c r="D1003" s="33"/>
      <c r="E1003" s="34"/>
      <c r="F1003" s="34"/>
      <c r="G1003" s="35"/>
      <c r="H1003" s="34"/>
      <c r="I1003" s="37"/>
    </row>
    <row r="1004" ht="22.5" customHeight="1">
      <c r="A1004" s="30"/>
      <c r="B1004" s="31"/>
      <c r="C1004" s="32"/>
      <c r="D1004" s="33"/>
      <c r="E1004" s="34"/>
      <c r="F1004" s="34"/>
      <c r="G1004" s="35"/>
      <c r="H1004" s="34"/>
      <c r="I1004" s="37"/>
    </row>
    <row r="1005" ht="22.5" customHeight="1">
      <c r="A1005" s="30"/>
      <c r="B1005" s="39"/>
      <c r="C1005" s="32"/>
      <c r="D1005" s="33"/>
      <c r="E1005" s="34"/>
      <c r="F1005" s="34"/>
      <c r="G1005" s="35"/>
      <c r="H1005" s="34"/>
      <c r="I1005" s="37"/>
    </row>
    <row r="1006" ht="22.5" customHeight="1">
      <c r="A1006" s="30"/>
      <c r="B1006" s="31"/>
      <c r="C1006" s="32"/>
      <c r="D1006" s="33"/>
      <c r="E1006" s="34"/>
      <c r="F1006" s="34"/>
      <c r="G1006" s="35"/>
      <c r="H1006" s="34"/>
      <c r="I1006" s="37"/>
    </row>
    <row r="1007" ht="22.5" customHeight="1">
      <c r="A1007" s="30"/>
      <c r="B1007" s="31"/>
      <c r="C1007" s="32"/>
      <c r="D1007" s="33"/>
      <c r="E1007" s="34"/>
      <c r="F1007" s="34"/>
      <c r="G1007" s="35"/>
      <c r="H1007" s="34"/>
      <c r="I1007" s="37"/>
    </row>
    <row r="1008" ht="22.5" customHeight="1">
      <c r="A1008" s="30"/>
      <c r="B1008" s="31"/>
      <c r="C1008" s="32"/>
      <c r="D1008" s="33"/>
      <c r="E1008" s="34"/>
      <c r="F1008" s="34"/>
      <c r="G1008" s="35"/>
      <c r="H1008" s="34"/>
      <c r="I1008" s="37"/>
    </row>
    <row r="1009" ht="22.5" customHeight="1">
      <c r="A1009" s="30"/>
      <c r="B1009" s="31"/>
      <c r="C1009" s="32"/>
      <c r="D1009" s="33"/>
      <c r="E1009" s="34"/>
      <c r="F1009" s="34"/>
      <c r="G1009" s="35"/>
      <c r="H1009" s="34"/>
      <c r="I1009" s="37"/>
    </row>
    <row r="1010" ht="22.5" customHeight="1">
      <c r="A1010" s="30"/>
      <c r="B1010" s="31"/>
      <c r="C1010" s="32"/>
      <c r="D1010" s="33"/>
      <c r="E1010" s="34"/>
      <c r="F1010" s="34"/>
      <c r="G1010" s="35"/>
      <c r="H1010" s="34"/>
      <c r="I1010" s="37"/>
    </row>
    <row r="1011" ht="22.5" customHeight="1">
      <c r="A1011" s="30"/>
      <c r="B1011" s="31"/>
      <c r="C1011" s="32"/>
      <c r="D1011" s="33"/>
      <c r="E1011" s="34"/>
      <c r="F1011" s="34"/>
      <c r="G1011" s="35"/>
      <c r="H1011" s="34"/>
      <c r="I1011" s="37"/>
    </row>
    <row r="1012" ht="22.5" customHeight="1">
      <c r="A1012" s="30"/>
      <c r="B1012" s="31"/>
      <c r="C1012" s="32"/>
      <c r="D1012" s="33"/>
      <c r="E1012" s="34"/>
      <c r="F1012" s="34"/>
      <c r="G1012" s="35"/>
      <c r="H1012" s="34"/>
      <c r="I1012" s="37"/>
    </row>
    <row r="1013" ht="22.5" customHeight="1">
      <c r="A1013" s="30"/>
      <c r="B1013" s="31"/>
      <c r="C1013" s="32"/>
      <c r="D1013" s="33"/>
      <c r="E1013" s="34"/>
      <c r="F1013" s="34"/>
      <c r="G1013" s="35"/>
      <c r="H1013" s="34"/>
      <c r="I1013" s="37"/>
    </row>
    <row r="1014" ht="22.5" customHeight="1">
      <c r="A1014" s="30"/>
      <c r="B1014" s="31"/>
      <c r="C1014" s="32"/>
      <c r="D1014" s="33"/>
      <c r="E1014" s="34"/>
      <c r="F1014" s="34"/>
      <c r="G1014" s="35"/>
      <c r="H1014" s="34"/>
      <c r="I1014" s="37"/>
    </row>
    <row r="1015" ht="22.5" customHeight="1">
      <c r="A1015" s="30"/>
      <c r="B1015" s="31"/>
      <c r="C1015" s="32"/>
      <c r="D1015" s="33"/>
      <c r="E1015" s="34"/>
      <c r="F1015" s="34"/>
      <c r="G1015" s="35"/>
      <c r="H1015" s="34"/>
      <c r="I1015" s="37"/>
    </row>
    <row r="1016" ht="22.5" customHeight="1">
      <c r="A1016" s="30"/>
      <c r="B1016" s="40"/>
      <c r="C1016" s="32"/>
      <c r="D1016" s="33"/>
      <c r="E1016" s="34"/>
      <c r="F1016" s="34"/>
      <c r="G1016" s="35"/>
      <c r="H1016" s="34"/>
      <c r="I1016" s="37"/>
    </row>
    <row r="1017" ht="22.5" customHeight="1">
      <c r="A1017" s="30"/>
      <c r="B1017" s="31"/>
      <c r="C1017" s="32"/>
      <c r="D1017" s="33"/>
      <c r="E1017" s="34"/>
      <c r="F1017" s="34"/>
      <c r="G1017" s="35"/>
      <c r="H1017" s="34"/>
      <c r="I1017" s="37"/>
    </row>
    <row r="1018" ht="22.5" customHeight="1">
      <c r="A1018" s="30"/>
      <c r="B1018" s="31"/>
      <c r="C1018" s="32"/>
      <c r="D1018" s="33"/>
      <c r="E1018" s="34"/>
      <c r="F1018" s="34"/>
      <c r="G1018" s="35"/>
      <c r="H1018" s="34"/>
      <c r="I1018" s="37"/>
    </row>
    <row r="1019" ht="22.5" customHeight="1">
      <c r="A1019" s="30"/>
      <c r="B1019" s="31"/>
      <c r="C1019" s="32"/>
      <c r="D1019" s="33"/>
      <c r="E1019" s="34"/>
      <c r="F1019" s="34"/>
      <c r="G1019" s="35"/>
      <c r="H1019" s="34"/>
      <c r="I1019" s="37"/>
    </row>
    <row r="1020" ht="22.5" customHeight="1">
      <c r="A1020" s="30"/>
      <c r="B1020" s="31"/>
      <c r="C1020" s="32"/>
      <c r="D1020" s="33"/>
      <c r="E1020" s="34"/>
      <c r="F1020" s="34"/>
      <c r="G1020" s="35"/>
      <c r="H1020" s="34"/>
      <c r="I1020" s="37"/>
    </row>
    <row r="1021" ht="22.5" customHeight="1">
      <c r="A1021" s="30"/>
      <c r="B1021" s="31"/>
      <c r="C1021" s="32"/>
      <c r="D1021" s="33"/>
      <c r="E1021" s="34"/>
      <c r="F1021" s="34"/>
      <c r="G1021" s="35"/>
      <c r="H1021" s="34"/>
      <c r="I1021" s="37"/>
    </row>
    <row r="1022" ht="22.5" customHeight="1">
      <c r="A1022" s="30"/>
      <c r="B1022" s="31"/>
      <c r="C1022" s="32"/>
      <c r="D1022" s="33"/>
      <c r="E1022" s="34"/>
      <c r="F1022" s="34"/>
      <c r="G1022" s="35"/>
      <c r="H1022" s="34"/>
      <c r="I1022" s="37"/>
    </row>
    <row r="1023" ht="22.5" customHeight="1">
      <c r="A1023" s="30"/>
      <c r="B1023" s="39"/>
      <c r="C1023" s="32"/>
      <c r="D1023" s="33"/>
      <c r="E1023" s="34"/>
      <c r="F1023" s="34"/>
      <c r="G1023" s="35"/>
      <c r="H1023" s="34"/>
      <c r="I1023" s="37"/>
    </row>
    <row r="1024" ht="22.5" customHeight="1">
      <c r="A1024" s="30"/>
      <c r="B1024" s="39"/>
      <c r="C1024" s="32"/>
      <c r="D1024" s="33"/>
      <c r="E1024" s="34"/>
      <c r="F1024" s="34"/>
      <c r="G1024" s="35"/>
      <c r="H1024" s="34"/>
      <c r="I1024" s="37"/>
    </row>
    <row r="1025" ht="22.5" customHeight="1">
      <c r="A1025" s="30"/>
      <c r="B1025" s="39"/>
      <c r="C1025" s="32"/>
      <c r="D1025" s="33"/>
      <c r="E1025" s="34"/>
      <c r="F1025" s="34"/>
      <c r="G1025" s="35"/>
      <c r="H1025" s="34"/>
      <c r="I1025" s="37"/>
    </row>
    <row r="1026" ht="22.5" customHeight="1">
      <c r="A1026" s="30"/>
      <c r="B1026" s="40"/>
      <c r="C1026" s="32"/>
      <c r="D1026" s="33"/>
      <c r="E1026" s="34"/>
      <c r="F1026" s="34"/>
      <c r="G1026" s="35"/>
      <c r="H1026" s="34"/>
      <c r="I1026" s="37"/>
    </row>
    <row r="1027" ht="22.5" customHeight="1">
      <c r="A1027" s="30"/>
      <c r="B1027" s="31"/>
      <c r="C1027" s="32"/>
      <c r="D1027" s="33"/>
      <c r="E1027" s="34"/>
      <c r="F1027" s="34"/>
      <c r="G1027" s="35"/>
      <c r="H1027" s="34"/>
      <c r="I1027" s="37"/>
    </row>
    <row r="1028" ht="22.5" customHeight="1">
      <c r="A1028" s="30"/>
      <c r="B1028" s="31"/>
      <c r="C1028" s="32"/>
      <c r="D1028" s="33"/>
      <c r="E1028" s="34"/>
      <c r="F1028" s="34"/>
      <c r="G1028" s="35"/>
      <c r="H1028" s="34"/>
      <c r="I1028" s="37"/>
    </row>
    <row r="1029" ht="22.5" customHeight="1">
      <c r="A1029" s="30"/>
      <c r="B1029" s="31"/>
      <c r="C1029" s="32"/>
      <c r="D1029" s="33"/>
      <c r="E1029" s="34"/>
      <c r="F1029" s="34"/>
      <c r="G1029" s="35"/>
      <c r="H1029" s="34"/>
      <c r="I1029" s="37"/>
    </row>
    <row r="1030" ht="22.5" customHeight="1">
      <c r="A1030" s="30"/>
      <c r="B1030" s="31"/>
      <c r="C1030" s="32"/>
      <c r="D1030" s="33"/>
      <c r="E1030" s="34"/>
      <c r="F1030" s="34"/>
      <c r="G1030" s="35"/>
      <c r="H1030" s="34"/>
      <c r="I1030" s="37"/>
    </row>
    <row r="1031" ht="22.5" customHeight="1">
      <c r="A1031" s="30"/>
      <c r="B1031" s="31"/>
      <c r="C1031" s="32"/>
      <c r="D1031" s="33"/>
      <c r="E1031" s="34"/>
      <c r="F1031" s="34"/>
      <c r="G1031" s="35"/>
      <c r="H1031" s="34"/>
      <c r="I1031" s="37"/>
    </row>
    <row r="1032" ht="22.5" customHeight="1">
      <c r="A1032" s="30"/>
      <c r="B1032" s="31"/>
      <c r="C1032" s="32"/>
      <c r="D1032" s="33"/>
      <c r="E1032" s="34"/>
      <c r="F1032" s="34"/>
      <c r="G1032" s="35"/>
      <c r="H1032" s="34"/>
      <c r="I1032" s="37"/>
    </row>
    <row r="1033" ht="22.5" customHeight="1">
      <c r="A1033" s="30"/>
      <c r="B1033" s="31"/>
      <c r="C1033" s="32"/>
      <c r="D1033" s="33"/>
      <c r="E1033" s="34"/>
      <c r="F1033" s="34"/>
      <c r="G1033" s="35"/>
      <c r="H1033" s="34"/>
      <c r="I1033" s="37"/>
    </row>
    <row r="1034" ht="22.5" customHeight="1">
      <c r="A1034" s="30"/>
      <c r="B1034" s="31"/>
      <c r="C1034" s="32"/>
      <c r="D1034" s="33"/>
      <c r="E1034" s="34"/>
      <c r="F1034" s="34"/>
      <c r="G1034" s="35"/>
      <c r="H1034" s="34"/>
      <c r="I1034" s="37"/>
    </row>
    <row r="1035" ht="22.5" customHeight="1">
      <c r="A1035" s="30"/>
      <c r="B1035" s="31"/>
      <c r="C1035" s="32"/>
      <c r="D1035" s="33"/>
      <c r="E1035" s="34"/>
      <c r="F1035" s="34"/>
      <c r="G1035" s="35"/>
      <c r="H1035" s="34"/>
      <c r="I1035" s="37"/>
    </row>
    <row r="1036" ht="22.5" customHeight="1">
      <c r="A1036" s="30"/>
      <c r="B1036" s="40"/>
      <c r="C1036" s="32"/>
      <c r="D1036" s="33"/>
      <c r="E1036" s="34"/>
      <c r="F1036" s="34"/>
      <c r="G1036" s="35"/>
      <c r="H1036" s="34"/>
      <c r="I1036" s="37"/>
    </row>
    <row r="1037" ht="22.5" customHeight="1">
      <c r="A1037" s="30"/>
      <c r="B1037" s="31"/>
      <c r="C1037" s="32"/>
      <c r="D1037" s="33"/>
      <c r="E1037" s="34"/>
      <c r="F1037" s="34"/>
      <c r="G1037" s="35"/>
      <c r="H1037" s="34"/>
      <c r="I1037" s="37"/>
    </row>
    <row r="1038" ht="22.5" customHeight="1">
      <c r="A1038" s="30"/>
      <c r="B1038" s="31"/>
      <c r="C1038" s="32"/>
      <c r="D1038" s="33"/>
      <c r="E1038" s="34"/>
      <c r="F1038" s="34"/>
      <c r="G1038" s="35"/>
      <c r="H1038" s="34"/>
      <c r="I1038" s="37"/>
    </row>
    <row r="1039" ht="22.5" customHeight="1">
      <c r="A1039" s="30"/>
      <c r="B1039" s="31"/>
      <c r="C1039" s="32"/>
      <c r="D1039" s="33"/>
      <c r="E1039" s="34"/>
      <c r="F1039" s="34"/>
      <c r="G1039" s="35"/>
      <c r="H1039" s="34"/>
      <c r="I1039" s="37"/>
    </row>
    <row r="1040" ht="22.5" customHeight="1">
      <c r="A1040" s="30"/>
      <c r="B1040" s="40"/>
      <c r="C1040" s="32"/>
      <c r="D1040" s="33"/>
      <c r="E1040" s="34"/>
      <c r="F1040" s="34"/>
      <c r="G1040" s="35"/>
      <c r="H1040" s="34"/>
      <c r="I1040" s="37"/>
    </row>
    <row r="1041" ht="22.5" customHeight="1">
      <c r="A1041" s="30"/>
      <c r="B1041" s="31"/>
      <c r="C1041" s="32"/>
      <c r="D1041" s="33"/>
      <c r="E1041" s="34"/>
      <c r="F1041" s="34"/>
      <c r="G1041" s="35"/>
      <c r="H1041" s="34"/>
      <c r="I1041" s="37"/>
    </row>
    <row r="1042" ht="22.5" customHeight="1">
      <c r="A1042" s="30"/>
      <c r="B1042" s="31"/>
      <c r="C1042" s="32"/>
      <c r="D1042" s="33"/>
      <c r="E1042" s="34"/>
      <c r="F1042" s="34"/>
      <c r="G1042" s="35"/>
      <c r="H1042" s="34"/>
      <c r="I1042" s="37"/>
    </row>
    <row r="1043" ht="22.5" customHeight="1">
      <c r="A1043" s="30"/>
      <c r="B1043" s="31"/>
      <c r="C1043" s="32"/>
      <c r="D1043" s="33"/>
      <c r="E1043" s="34"/>
      <c r="F1043" s="34"/>
      <c r="G1043" s="35"/>
      <c r="H1043" s="34"/>
      <c r="I1043" s="37"/>
    </row>
    <row r="1044" ht="22.5" customHeight="1">
      <c r="A1044" s="30"/>
      <c r="B1044" s="31"/>
      <c r="C1044" s="32"/>
      <c r="D1044" s="33"/>
      <c r="E1044" s="34"/>
      <c r="F1044" s="34"/>
      <c r="G1044" s="35"/>
      <c r="H1044" s="34"/>
      <c r="I1044" s="37"/>
    </row>
    <row r="1045" ht="22.5" customHeight="1">
      <c r="A1045" s="30"/>
      <c r="B1045" s="31"/>
      <c r="C1045" s="32"/>
      <c r="D1045" s="33"/>
      <c r="E1045" s="34"/>
      <c r="F1045" s="34"/>
      <c r="G1045" s="35"/>
      <c r="H1045" s="34"/>
      <c r="I1045" s="37"/>
    </row>
    <row r="1046" ht="22.5" customHeight="1">
      <c r="A1046" s="30"/>
      <c r="B1046" s="31"/>
      <c r="C1046" s="32"/>
      <c r="D1046" s="33"/>
      <c r="E1046" s="34"/>
      <c r="F1046" s="34"/>
      <c r="G1046" s="35"/>
      <c r="H1046" s="34"/>
      <c r="I1046" s="37"/>
    </row>
    <row r="1047" ht="22.5" customHeight="1">
      <c r="A1047" s="30"/>
      <c r="B1047" s="31"/>
      <c r="C1047" s="32"/>
      <c r="D1047" s="33"/>
      <c r="E1047" s="34"/>
      <c r="F1047" s="34"/>
      <c r="G1047" s="35"/>
      <c r="H1047" s="34"/>
      <c r="I1047" s="37"/>
    </row>
    <row r="1048" ht="22.5" customHeight="1">
      <c r="A1048" s="30"/>
      <c r="B1048" s="31"/>
      <c r="C1048" s="32"/>
      <c r="D1048" s="33"/>
      <c r="E1048" s="34"/>
      <c r="F1048" s="34"/>
      <c r="G1048" s="35"/>
      <c r="H1048" s="34"/>
      <c r="I1048" s="37"/>
    </row>
    <row r="1049" ht="22.5" customHeight="1">
      <c r="A1049" s="30"/>
      <c r="B1049" s="31"/>
      <c r="C1049" s="32"/>
      <c r="D1049" s="33"/>
      <c r="E1049" s="34"/>
      <c r="F1049" s="34"/>
      <c r="G1049" s="35"/>
      <c r="H1049" s="34"/>
      <c r="I1049" s="37"/>
    </row>
    <row r="1050" ht="22.5" customHeight="1">
      <c r="A1050" s="30"/>
      <c r="B1050" s="31"/>
      <c r="C1050" s="32"/>
      <c r="D1050" s="33"/>
      <c r="E1050" s="34"/>
      <c r="F1050" s="34"/>
      <c r="G1050" s="35"/>
      <c r="H1050" s="34"/>
      <c r="I1050" s="37"/>
    </row>
    <row r="1051" ht="22.5" customHeight="1">
      <c r="A1051" s="30"/>
      <c r="B1051" s="31"/>
      <c r="C1051" s="32"/>
      <c r="D1051" s="33"/>
      <c r="E1051" s="34"/>
      <c r="F1051" s="34"/>
      <c r="G1051" s="35"/>
      <c r="H1051" s="34"/>
      <c r="I1051" s="37"/>
    </row>
    <row r="1052" ht="22.5" customHeight="1">
      <c r="A1052" s="30"/>
      <c r="B1052" s="31"/>
      <c r="C1052" s="32"/>
      <c r="D1052" s="33"/>
      <c r="E1052" s="34"/>
      <c r="F1052" s="34"/>
      <c r="G1052" s="35"/>
      <c r="H1052" s="34"/>
      <c r="I1052" s="37"/>
    </row>
    <row r="1053" ht="22.5" customHeight="1">
      <c r="A1053" s="30"/>
      <c r="B1053" s="31"/>
      <c r="C1053" s="32"/>
      <c r="D1053" s="33"/>
      <c r="E1053" s="34"/>
      <c r="F1053" s="34"/>
      <c r="G1053" s="35"/>
      <c r="H1053" s="34"/>
      <c r="I1053" s="37"/>
    </row>
    <row r="1054" ht="22.5" customHeight="1">
      <c r="A1054" s="30"/>
      <c r="B1054" s="31"/>
      <c r="C1054" s="32"/>
      <c r="D1054" s="33"/>
      <c r="E1054" s="34"/>
      <c r="F1054" s="34"/>
      <c r="G1054" s="35"/>
      <c r="H1054" s="34"/>
      <c r="I1054" s="37"/>
    </row>
    <row r="1055" ht="22.5" customHeight="1">
      <c r="A1055" s="30"/>
      <c r="B1055" s="40"/>
      <c r="C1055" s="32"/>
      <c r="D1055" s="33"/>
      <c r="E1055" s="34"/>
      <c r="F1055" s="34"/>
      <c r="G1055" s="35"/>
      <c r="H1055" s="34"/>
      <c r="I1055" s="37"/>
    </row>
    <row r="1056" ht="22.5" customHeight="1">
      <c r="A1056" s="30"/>
      <c r="B1056" s="31"/>
      <c r="C1056" s="32"/>
      <c r="D1056" s="33"/>
      <c r="E1056" s="34"/>
      <c r="F1056" s="34"/>
      <c r="G1056" s="35"/>
      <c r="H1056" s="34"/>
      <c r="I1056" s="37"/>
    </row>
    <row r="1057" ht="22.5" customHeight="1">
      <c r="A1057" s="30"/>
      <c r="B1057" s="40"/>
      <c r="C1057" s="32"/>
      <c r="D1057" s="33"/>
      <c r="E1057" s="34"/>
      <c r="F1057" s="34"/>
      <c r="G1057" s="35"/>
      <c r="H1057" s="34"/>
      <c r="I1057" s="37"/>
    </row>
    <row r="1058" ht="22.5" customHeight="1">
      <c r="A1058" s="30"/>
      <c r="B1058" s="31"/>
      <c r="C1058" s="32"/>
      <c r="D1058" s="33"/>
      <c r="E1058" s="34"/>
      <c r="F1058" s="34"/>
      <c r="G1058" s="35"/>
      <c r="H1058" s="34"/>
      <c r="I1058" s="37"/>
    </row>
    <row r="1059" ht="22.5" customHeight="1">
      <c r="A1059" s="30"/>
      <c r="B1059" s="31"/>
      <c r="C1059" s="32"/>
      <c r="D1059" s="33"/>
      <c r="E1059" s="34"/>
      <c r="F1059" s="34"/>
      <c r="G1059" s="35"/>
      <c r="H1059" s="34"/>
      <c r="I1059" s="37"/>
    </row>
    <row r="1060" ht="22.5" customHeight="1">
      <c r="A1060" s="30"/>
      <c r="B1060" s="31"/>
      <c r="C1060" s="32"/>
      <c r="D1060" s="33"/>
      <c r="E1060" s="34"/>
      <c r="F1060" s="34"/>
      <c r="G1060" s="35"/>
      <c r="H1060" s="34"/>
      <c r="I1060" s="37"/>
    </row>
    <row r="1061" ht="22.5" customHeight="1">
      <c r="A1061" s="30"/>
      <c r="B1061" s="31"/>
      <c r="C1061" s="32"/>
      <c r="D1061" s="33"/>
      <c r="E1061" s="34"/>
      <c r="F1061" s="34"/>
      <c r="G1061" s="35"/>
      <c r="H1061" s="34"/>
      <c r="I1061" s="37"/>
    </row>
    <row r="1062" ht="22.5" customHeight="1">
      <c r="A1062" s="30"/>
      <c r="B1062" s="40"/>
      <c r="C1062" s="32"/>
      <c r="D1062" s="33"/>
      <c r="E1062" s="34"/>
      <c r="F1062" s="34"/>
      <c r="G1062" s="35"/>
      <c r="H1062" s="34"/>
      <c r="I1062" s="37"/>
    </row>
    <row r="1063" ht="22.5" customHeight="1">
      <c r="A1063" s="30"/>
      <c r="B1063" s="31"/>
      <c r="C1063" s="32"/>
      <c r="D1063" s="33"/>
      <c r="E1063" s="34"/>
      <c r="F1063" s="34"/>
      <c r="G1063" s="35"/>
      <c r="H1063" s="34"/>
      <c r="I1063" s="37"/>
    </row>
    <row r="1064" ht="22.5" customHeight="1">
      <c r="A1064" s="30"/>
      <c r="B1064" s="31"/>
      <c r="C1064" s="32"/>
      <c r="D1064" s="33"/>
      <c r="E1064" s="34"/>
      <c r="F1064" s="34"/>
      <c r="G1064" s="35"/>
      <c r="H1064" s="34"/>
      <c r="I1064" s="37"/>
    </row>
    <row r="1065" ht="22.5" customHeight="1">
      <c r="A1065" s="30"/>
      <c r="B1065" s="31"/>
      <c r="C1065" s="32"/>
      <c r="D1065" s="33"/>
      <c r="E1065" s="34"/>
      <c r="F1065" s="34"/>
      <c r="G1065" s="35"/>
      <c r="H1065" s="34"/>
      <c r="I1065" s="37"/>
    </row>
    <row r="1066" ht="22.5" customHeight="1">
      <c r="A1066" s="30"/>
      <c r="B1066" s="31"/>
      <c r="C1066" s="32"/>
      <c r="D1066" s="33"/>
      <c r="E1066" s="34"/>
      <c r="F1066" s="34"/>
      <c r="G1066" s="35"/>
      <c r="H1066" s="34"/>
      <c r="I1066" s="37"/>
    </row>
    <row r="1067" ht="22.5" customHeight="1">
      <c r="A1067" s="30"/>
      <c r="B1067" s="31"/>
      <c r="C1067" s="32"/>
      <c r="D1067" s="33"/>
      <c r="E1067" s="34"/>
      <c r="F1067" s="34"/>
      <c r="G1067" s="35"/>
      <c r="H1067" s="34"/>
      <c r="I1067" s="37"/>
    </row>
    <row r="1068" ht="22.5" customHeight="1">
      <c r="A1068" s="30"/>
      <c r="B1068" s="31"/>
      <c r="C1068" s="32"/>
      <c r="D1068" s="33"/>
      <c r="E1068" s="34"/>
      <c r="F1068" s="34"/>
      <c r="G1068" s="35"/>
      <c r="H1068" s="34"/>
      <c r="I1068" s="37"/>
    </row>
    <row r="1069" ht="22.5" customHeight="1">
      <c r="A1069" s="30"/>
      <c r="B1069" s="31"/>
      <c r="C1069" s="32"/>
      <c r="D1069" s="33"/>
      <c r="E1069" s="34"/>
      <c r="F1069" s="34"/>
      <c r="G1069" s="35"/>
      <c r="H1069" s="34"/>
      <c r="I1069" s="37"/>
    </row>
    <row r="1070" ht="22.5" customHeight="1">
      <c r="A1070" s="30"/>
      <c r="B1070" s="31"/>
      <c r="C1070" s="32"/>
      <c r="D1070" s="33"/>
      <c r="E1070" s="34"/>
      <c r="F1070" s="34"/>
      <c r="G1070" s="35"/>
      <c r="H1070" s="34"/>
      <c r="I1070" s="37"/>
    </row>
    <row r="1071" ht="22.5" customHeight="1">
      <c r="A1071" s="30"/>
      <c r="B1071" s="31"/>
      <c r="C1071" s="32"/>
      <c r="D1071" s="33"/>
      <c r="E1071" s="34"/>
      <c r="F1071" s="34"/>
      <c r="G1071" s="35"/>
      <c r="H1071" s="34"/>
      <c r="I1071" s="37"/>
    </row>
    <row r="1072" ht="22.5" customHeight="1">
      <c r="A1072" s="30"/>
      <c r="B1072" s="31"/>
      <c r="C1072" s="32"/>
      <c r="D1072" s="33"/>
      <c r="E1072" s="34"/>
      <c r="F1072" s="34"/>
      <c r="G1072" s="35"/>
      <c r="H1072" s="34"/>
      <c r="I1072" s="37"/>
    </row>
    <row r="1073" ht="22.5" customHeight="1">
      <c r="A1073" s="30"/>
      <c r="B1073" s="31"/>
      <c r="C1073" s="32"/>
      <c r="D1073" s="33"/>
      <c r="E1073" s="34"/>
      <c r="F1073" s="34"/>
      <c r="G1073" s="35"/>
      <c r="H1073" s="34"/>
      <c r="I1073" s="37"/>
    </row>
    <row r="1074" ht="22.5" customHeight="1">
      <c r="A1074" s="30"/>
      <c r="B1074" s="31"/>
      <c r="C1074" s="32"/>
      <c r="D1074" s="33"/>
      <c r="E1074" s="34"/>
      <c r="F1074" s="34"/>
      <c r="G1074" s="35"/>
      <c r="H1074" s="34"/>
      <c r="I1074" s="37"/>
    </row>
    <row r="1075" ht="22.5" customHeight="1">
      <c r="A1075" s="30"/>
      <c r="B1075" s="31"/>
      <c r="C1075" s="32"/>
      <c r="D1075" s="33"/>
      <c r="E1075" s="34"/>
      <c r="F1075" s="34"/>
      <c r="G1075" s="35"/>
      <c r="H1075" s="34"/>
      <c r="I1075" s="37"/>
    </row>
    <row r="1076" ht="22.5" customHeight="1">
      <c r="A1076" s="30"/>
      <c r="B1076" s="31"/>
      <c r="C1076" s="32"/>
      <c r="D1076" s="33"/>
      <c r="E1076" s="34"/>
      <c r="F1076" s="34"/>
      <c r="G1076" s="35"/>
      <c r="H1076" s="34"/>
      <c r="I1076" s="37"/>
    </row>
    <row r="1077" ht="22.5" customHeight="1">
      <c r="A1077" s="30"/>
      <c r="B1077" s="31"/>
      <c r="C1077" s="32"/>
      <c r="D1077" s="33"/>
      <c r="E1077" s="34"/>
      <c r="F1077" s="34"/>
      <c r="G1077" s="35"/>
      <c r="H1077" s="34"/>
      <c r="I1077" s="37"/>
    </row>
    <row r="1078" ht="22.5" customHeight="1">
      <c r="A1078" s="30"/>
      <c r="B1078" s="31"/>
      <c r="C1078" s="32"/>
      <c r="D1078" s="33"/>
      <c r="E1078" s="34"/>
      <c r="F1078" s="34"/>
      <c r="G1078" s="35"/>
      <c r="H1078" s="34"/>
      <c r="I1078" s="37"/>
    </row>
    <row r="1079" ht="22.5" customHeight="1">
      <c r="A1079" s="30"/>
      <c r="B1079" s="31"/>
      <c r="C1079" s="32"/>
      <c r="D1079" s="33"/>
      <c r="E1079" s="34"/>
      <c r="F1079" s="34"/>
      <c r="G1079" s="35"/>
      <c r="H1079" s="34"/>
      <c r="I1079" s="37"/>
    </row>
    <row r="1080" ht="22.5" customHeight="1">
      <c r="A1080" s="30"/>
      <c r="B1080" s="31"/>
      <c r="C1080" s="32"/>
      <c r="D1080" s="33"/>
      <c r="E1080" s="34"/>
      <c r="F1080" s="34"/>
      <c r="G1080" s="35"/>
      <c r="H1080" s="34"/>
      <c r="I1080" s="37"/>
    </row>
    <row r="1081" ht="22.5" customHeight="1">
      <c r="A1081" s="30"/>
      <c r="B1081" s="31"/>
      <c r="C1081" s="32"/>
      <c r="D1081" s="33"/>
      <c r="E1081" s="34"/>
      <c r="F1081" s="34"/>
      <c r="G1081" s="35"/>
      <c r="H1081" s="34"/>
      <c r="I1081" s="37"/>
    </row>
    <row r="1082" ht="22.5" customHeight="1">
      <c r="A1082" s="30"/>
      <c r="B1082" s="31"/>
      <c r="C1082" s="32"/>
      <c r="D1082" s="33"/>
      <c r="E1082" s="34"/>
      <c r="F1082" s="34"/>
      <c r="G1082" s="35"/>
      <c r="H1082" s="34"/>
      <c r="I1082" s="37"/>
    </row>
    <row r="1083" ht="22.5" customHeight="1">
      <c r="A1083" s="30"/>
      <c r="B1083" s="31"/>
      <c r="C1083" s="32"/>
      <c r="D1083" s="33"/>
      <c r="E1083" s="34"/>
      <c r="F1083" s="34"/>
      <c r="G1083" s="35"/>
      <c r="H1083" s="34"/>
      <c r="I1083" s="37"/>
    </row>
    <row r="1084" ht="22.5" customHeight="1">
      <c r="A1084" s="30"/>
      <c r="B1084" s="40"/>
      <c r="C1084" s="32"/>
      <c r="D1084" s="33"/>
      <c r="E1084" s="34"/>
      <c r="F1084" s="34"/>
      <c r="G1084" s="35"/>
      <c r="H1084" s="34"/>
      <c r="I1084" s="37"/>
    </row>
    <row r="1085" ht="22.5" customHeight="1">
      <c r="A1085" s="30"/>
      <c r="B1085" s="31"/>
      <c r="C1085" s="32"/>
      <c r="D1085" s="33"/>
      <c r="E1085" s="34"/>
      <c r="F1085" s="34"/>
      <c r="G1085" s="35"/>
      <c r="H1085" s="34"/>
      <c r="I1085" s="37"/>
    </row>
    <row r="1086" ht="22.5" customHeight="1">
      <c r="A1086" s="30"/>
      <c r="B1086" s="31"/>
      <c r="C1086" s="32"/>
      <c r="D1086" s="33"/>
      <c r="E1086" s="34"/>
      <c r="F1086" s="34"/>
      <c r="G1086" s="35"/>
      <c r="H1086" s="34"/>
      <c r="I1086" s="37"/>
    </row>
    <row r="1087" ht="22.5" customHeight="1">
      <c r="A1087" s="30"/>
      <c r="B1087" s="31"/>
      <c r="C1087" s="32"/>
      <c r="D1087" s="33"/>
      <c r="E1087" s="34"/>
      <c r="F1087" s="34"/>
      <c r="G1087" s="35"/>
      <c r="H1087" s="34"/>
      <c r="I1087" s="37"/>
    </row>
    <row r="1088" ht="22.5" customHeight="1">
      <c r="A1088" s="30"/>
      <c r="B1088" s="31"/>
      <c r="C1088" s="32"/>
      <c r="D1088" s="33"/>
      <c r="E1088" s="34"/>
      <c r="F1088" s="34"/>
      <c r="G1088" s="35"/>
      <c r="H1088" s="34"/>
      <c r="I1088" s="38"/>
    </row>
    <row r="1089" ht="22.5" customHeight="1">
      <c r="A1089" s="30"/>
      <c r="B1089" s="39"/>
      <c r="C1089" s="32"/>
      <c r="D1089" s="33"/>
      <c r="E1089" s="34"/>
      <c r="F1089" s="34"/>
      <c r="G1089" s="35"/>
      <c r="H1089" s="34"/>
      <c r="I1089" s="37"/>
    </row>
    <row r="1090" ht="22.5" customHeight="1">
      <c r="A1090" s="30"/>
      <c r="B1090" s="31"/>
      <c r="C1090" s="32"/>
      <c r="D1090" s="33"/>
      <c r="E1090" s="34"/>
      <c r="F1090" s="34"/>
      <c r="G1090" s="35"/>
      <c r="H1090" s="34"/>
      <c r="I1090" s="37"/>
    </row>
    <row r="1091" ht="22.5" customHeight="1">
      <c r="A1091" s="30"/>
      <c r="B1091" s="31"/>
      <c r="C1091" s="32"/>
      <c r="D1091" s="33"/>
      <c r="E1091" s="34"/>
      <c r="F1091" s="34"/>
      <c r="G1091" s="35"/>
      <c r="H1091" s="34"/>
      <c r="I1091" s="37"/>
    </row>
    <row r="1092" ht="22.5" customHeight="1">
      <c r="A1092" s="30"/>
      <c r="B1092" s="31"/>
      <c r="C1092" s="32"/>
      <c r="D1092" s="33"/>
      <c r="E1092" s="34"/>
      <c r="F1092" s="34"/>
      <c r="G1092" s="35"/>
      <c r="H1092" s="34"/>
      <c r="I1092" s="37"/>
    </row>
    <row r="1093" ht="22.5" customHeight="1">
      <c r="A1093" s="30"/>
      <c r="B1093" s="39"/>
      <c r="C1093" s="32"/>
      <c r="D1093" s="33"/>
      <c r="E1093" s="34"/>
      <c r="F1093" s="34"/>
      <c r="G1093" s="35"/>
      <c r="H1093" s="34"/>
      <c r="I1093" s="37"/>
    </row>
    <row r="1094" ht="22.5" customHeight="1">
      <c r="A1094" s="30"/>
      <c r="B1094" s="31"/>
      <c r="C1094" s="32"/>
      <c r="D1094" s="33"/>
      <c r="E1094" s="34"/>
      <c r="F1094" s="34"/>
      <c r="G1094" s="35"/>
      <c r="H1094" s="34"/>
      <c r="I1094" s="37"/>
    </row>
    <row r="1095" ht="22.5" customHeight="1">
      <c r="A1095" s="30"/>
      <c r="B1095" s="39"/>
      <c r="C1095" s="32"/>
      <c r="D1095" s="33"/>
      <c r="E1095" s="34"/>
      <c r="F1095" s="34"/>
      <c r="G1095" s="35"/>
      <c r="H1095" s="34"/>
      <c r="I1095" s="37"/>
    </row>
    <row r="1096" ht="22.5" customHeight="1">
      <c r="A1096" s="30"/>
      <c r="B1096" s="31"/>
      <c r="C1096" s="32"/>
      <c r="D1096" s="33"/>
      <c r="E1096" s="34"/>
      <c r="F1096" s="34"/>
      <c r="G1096" s="35"/>
      <c r="H1096" s="34"/>
      <c r="I1096" s="37"/>
    </row>
    <row r="1097" ht="22.5" customHeight="1">
      <c r="A1097" s="30"/>
      <c r="B1097" s="31"/>
      <c r="C1097" s="32"/>
      <c r="D1097" s="33"/>
      <c r="E1097" s="34"/>
      <c r="F1097" s="34"/>
      <c r="G1097" s="35"/>
      <c r="H1097" s="34"/>
      <c r="I1097" s="37"/>
    </row>
    <row r="1098" ht="22.5" customHeight="1">
      <c r="A1098" s="30"/>
      <c r="B1098" s="31"/>
      <c r="C1098" s="32"/>
      <c r="D1098" s="33"/>
      <c r="E1098" s="34"/>
      <c r="F1098" s="34"/>
      <c r="G1098" s="35"/>
      <c r="H1098" s="34"/>
      <c r="I1098" s="37"/>
    </row>
    <row r="1099" ht="22.5" customHeight="1">
      <c r="A1099" s="30"/>
      <c r="B1099" s="31"/>
      <c r="C1099" s="32"/>
      <c r="D1099" s="33"/>
      <c r="E1099" s="34"/>
      <c r="F1099" s="34"/>
      <c r="G1099" s="35"/>
      <c r="H1099" s="34"/>
      <c r="I1099" s="37"/>
    </row>
    <row r="1100" ht="22.5" customHeight="1">
      <c r="A1100" s="30"/>
      <c r="B1100" s="31"/>
      <c r="C1100" s="32"/>
      <c r="D1100" s="33"/>
      <c r="E1100" s="34"/>
      <c r="F1100" s="34"/>
      <c r="G1100" s="35"/>
      <c r="H1100" s="34"/>
      <c r="I1100" s="37"/>
    </row>
    <row r="1101" ht="22.5" customHeight="1">
      <c r="A1101" s="30"/>
      <c r="B1101" s="31"/>
      <c r="C1101" s="32"/>
      <c r="D1101" s="33"/>
      <c r="E1101" s="34"/>
      <c r="F1101" s="34"/>
      <c r="G1101" s="35"/>
      <c r="H1101" s="34"/>
      <c r="I1101" s="37"/>
    </row>
    <row r="1102" ht="22.5" customHeight="1">
      <c r="A1102" s="30"/>
      <c r="B1102" s="31"/>
      <c r="C1102" s="32"/>
      <c r="D1102" s="33"/>
      <c r="E1102" s="34"/>
      <c r="F1102" s="34"/>
      <c r="G1102" s="35"/>
      <c r="H1102" s="34"/>
      <c r="I1102" s="37"/>
    </row>
    <row r="1103" ht="22.5" customHeight="1">
      <c r="A1103" s="30"/>
      <c r="B1103" s="31"/>
      <c r="C1103" s="32"/>
      <c r="D1103" s="33"/>
      <c r="E1103" s="34"/>
      <c r="F1103" s="34"/>
      <c r="G1103" s="35"/>
      <c r="H1103" s="34"/>
      <c r="I1103" s="37"/>
    </row>
    <row r="1104" ht="22.5" customHeight="1">
      <c r="A1104" s="30"/>
      <c r="B1104" s="31"/>
      <c r="C1104" s="32"/>
      <c r="D1104" s="33"/>
      <c r="E1104" s="34"/>
      <c r="F1104" s="34"/>
      <c r="G1104" s="35"/>
      <c r="H1104" s="34"/>
      <c r="I1104" s="37"/>
    </row>
    <row r="1105" ht="22.5" customHeight="1">
      <c r="A1105" s="30"/>
      <c r="B1105" s="31"/>
      <c r="C1105" s="32"/>
      <c r="D1105" s="33"/>
      <c r="E1105" s="34"/>
      <c r="F1105" s="34"/>
      <c r="G1105" s="35"/>
      <c r="H1105" s="34"/>
      <c r="I1105" s="37"/>
    </row>
    <row r="1106" ht="22.5" customHeight="1">
      <c r="A1106" s="30"/>
      <c r="B1106" s="40"/>
      <c r="C1106" s="32"/>
      <c r="D1106" s="33"/>
      <c r="E1106" s="34"/>
      <c r="F1106" s="34"/>
      <c r="G1106" s="35"/>
      <c r="H1106" s="34"/>
      <c r="I1106" s="37"/>
    </row>
    <row r="1107" ht="22.5" customHeight="1">
      <c r="A1107" s="30"/>
      <c r="B1107" s="31"/>
      <c r="C1107" s="32"/>
      <c r="D1107" s="33"/>
      <c r="E1107" s="34"/>
      <c r="F1107" s="34"/>
      <c r="G1107" s="35"/>
      <c r="H1107" s="34"/>
      <c r="I1107" s="37"/>
    </row>
    <row r="1108" ht="22.5" customHeight="1">
      <c r="A1108" s="30"/>
      <c r="B1108" s="31"/>
      <c r="C1108" s="32"/>
      <c r="D1108" s="33"/>
      <c r="E1108" s="34"/>
      <c r="F1108" s="34"/>
      <c r="G1108" s="35"/>
      <c r="H1108" s="34"/>
      <c r="I1108" s="37"/>
    </row>
    <row r="1109" ht="22.5" customHeight="1">
      <c r="A1109" s="30"/>
      <c r="B1109" s="31"/>
      <c r="C1109" s="32"/>
      <c r="D1109" s="33"/>
      <c r="E1109" s="34"/>
      <c r="F1109" s="34"/>
      <c r="G1109" s="35"/>
      <c r="H1109" s="34"/>
      <c r="I1109" s="37"/>
    </row>
    <row r="1110" ht="22.5" customHeight="1">
      <c r="A1110" s="30"/>
      <c r="B1110" s="31"/>
      <c r="C1110" s="32"/>
      <c r="D1110" s="33"/>
      <c r="E1110" s="34"/>
      <c r="F1110" s="34"/>
      <c r="G1110" s="35"/>
      <c r="H1110" s="34"/>
      <c r="I1110" s="37"/>
    </row>
    <row r="1111" ht="22.5" customHeight="1">
      <c r="A1111" s="30"/>
      <c r="B1111" s="31"/>
      <c r="C1111" s="32"/>
      <c r="D1111" s="33"/>
      <c r="E1111" s="34"/>
      <c r="F1111" s="34"/>
      <c r="G1111" s="35"/>
      <c r="H1111" s="34"/>
      <c r="I1111" s="37"/>
    </row>
    <row r="1112" ht="22.5" customHeight="1">
      <c r="A1112" s="30"/>
      <c r="B1112" s="31"/>
      <c r="C1112" s="32"/>
      <c r="D1112" s="33"/>
      <c r="E1112" s="34"/>
      <c r="F1112" s="34"/>
      <c r="G1112" s="35"/>
      <c r="H1112" s="34"/>
      <c r="I1112" s="37"/>
    </row>
    <row r="1113" ht="22.5" customHeight="1">
      <c r="A1113" s="30"/>
      <c r="B1113" s="39"/>
      <c r="C1113" s="32"/>
      <c r="D1113" s="33"/>
      <c r="E1113" s="34"/>
      <c r="F1113" s="34"/>
      <c r="G1113" s="35"/>
      <c r="H1113" s="34"/>
      <c r="I1113" s="37"/>
    </row>
    <row r="1114" ht="22.5" customHeight="1">
      <c r="A1114" s="30"/>
      <c r="B1114" s="39"/>
      <c r="C1114" s="32"/>
      <c r="D1114" s="33"/>
      <c r="E1114" s="34"/>
      <c r="F1114" s="34"/>
      <c r="G1114" s="35"/>
      <c r="H1114" s="34"/>
      <c r="I1114" s="37"/>
    </row>
    <row r="1115" ht="22.5" customHeight="1">
      <c r="A1115" s="30"/>
      <c r="B1115" s="39"/>
      <c r="C1115" s="32"/>
      <c r="D1115" s="33"/>
      <c r="E1115" s="34"/>
      <c r="F1115" s="34"/>
      <c r="G1115" s="35"/>
      <c r="H1115" s="34"/>
      <c r="I1115" s="37"/>
    </row>
    <row r="1116" ht="22.5" customHeight="1">
      <c r="A1116" s="30"/>
      <c r="B1116" s="40"/>
      <c r="C1116" s="32"/>
      <c r="D1116" s="33"/>
      <c r="E1116" s="34"/>
      <c r="F1116" s="34"/>
      <c r="G1116" s="35"/>
      <c r="H1116" s="34"/>
      <c r="I1116" s="37"/>
    </row>
    <row r="1117" ht="22.5" customHeight="1">
      <c r="A1117" s="30"/>
      <c r="B1117" s="31"/>
      <c r="C1117" s="32"/>
      <c r="D1117" s="33"/>
      <c r="E1117" s="34"/>
      <c r="F1117" s="34"/>
      <c r="G1117" s="35"/>
      <c r="H1117" s="34"/>
      <c r="I1117" s="37"/>
    </row>
    <row r="1118" ht="22.5" customHeight="1">
      <c r="A1118" s="30"/>
      <c r="B1118" s="31"/>
      <c r="C1118" s="32"/>
      <c r="D1118" s="33"/>
      <c r="E1118" s="34"/>
      <c r="F1118" s="34"/>
      <c r="G1118" s="35"/>
      <c r="H1118" s="34"/>
      <c r="I1118" s="37"/>
    </row>
    <row r="1119" ht="22.5" customHeight="1">
      <c r="A1119" s="30"/>
      <c r="B1119" s="31"/>
      <c r="C1119" s="32"/>
      <c r="D1119" s="33"/>
      <c r="E1119" s="34"/>
      <c r="F1119" s="34"/>
      <c r="G1119" s="35"/>
      <c r="H1119" s="34"/>
      <c r="I1119" s="37"/>
    </row>
    <row r="1120" ht="22.5" customHeight="1">
      <c r="A1120" s="30"/>
      <c r="B1120" s="31"/>
      <c r="C1120" s="32"/>
      <c r="D1120" s="33"/>
      <c r="E1120" s="34"/>
      <c r="F1120" s="34"/>
      <c r="G1120" s="35"/>
      <c r="H1120" s="34"/>
      <c r="I1120" s="37"/>
    </row>
    <row r="1121" ht="22.5" customHeight="1">
      <c r="A1121" s="30"/>
      <c r="B1121" s="31"/>
      <c r="C1121" s="32"/>
      <c r="D1121" s="33"/>
      <c r="E1121" s="34"/>
      <c r="F1121" s="34"/>
      <c r="G1121" s="35"/>
      <c r="H1121" s="34"/>
      <c r="I1121" s="37"/>
    </row>
    <row r="1122" ht="22.5" customHeight="1">
      <c r="A1122" s="30"/>
      <c r="B1122" s="31"/>
      <c r="C1122" s="32"/>
      <c r="D1122" s="33"/>
      <c r="E1122" s="34"/>
      <c r="F1122" s="34"/>
      <c r="G1122" s="35"/>
      <c r="H1122" s="34"/>
      <c r="I1122" s="37"/>
    </row>
    <row r="1123" ht="22.5" customHeight="1">
      <c r="A1123" s="30"/>
      <c r="B1123" s="31"/>
      <c r="C1123" s="32"/>
      <c r="D1123" s="33"/>
      <c r="E1123" s="34"/>
      <c r="F1123" s="34"/>
      <c r="G1123" s="35"/>
      <c r="H1123" s="34"/>
      <c r="I1123" s="37"/>
    </row>
    <row r="1124" ht="22.5" customHeight="1">
      <c r="A1124" s="30"/>
      <c r="B1124" s="31"/>
      <c r="C1124" s="32"/>
      <c r="D1124" s="33"/>
      <c r="E1124" s="34"/>
      <c r="F1124" s="34"/>
      <c r="G1124" s="35"/>
      <c r="H1124" s="34"/>
      <c r="I1124" s="37"/>
    </row>
    <row r="1125" ht="22.5" customHeight="1">
      <c r="A1125" s="30"/>
      <c r="B1125" s="31"/>
      <c r="C1125" s="32"/>
      <c r="D1125" s="33"/>
      <c r="E1125" s="34"/>
      <c r="F1125" s="34"/>
      <c r="G1125" s="35"/>
      <c r="H1125" s="34"/>
      <c r="I1125" s="37"/>
    </row>
    <row r="1126" ht="22.5" customHeight="1">
      <c r="A1126" s="30"/>
      <c r="B1126" s="40"/>
      <c r="C1126" s="32"/>
      <c r="D1126" s="33"/>
      <c r="E1126" s="34"/>
      <c r="F1126" s="34"/>
      <c r="G1126" s="35"/>
      <c r="H1126" s="34"/>
      <c r="I1126" s="37"/>
    </row>
    <row r="1127" ht="22.5" customHeight="1">
      <c r="A1127" s="30"/>
      <c r="B1127" s="31"/>
      <c r="C1127" s="32"/>
      <c r="D1127" s="33"/>
      <c r="E1127" s="34"/>
      <c r="F1127" s="34"/>
      <c r="G1127" s="35"/>
      <c r="H1127" s="34"/>
      <c r="I1127" s="37"/>
    </row>
    <row r="1128" ht="22.5" customHeight="1">
      <c r="A1128" s="30"/>
      <c r="B1128" s="31"/>
      <c r="C1128" s="32"/>
      <c r="D1128" s="33"/>
      <c r="E1128" s="34"/>
      <c r="F1128" s="34"/>
      <c r="G1128" s="35"/>
      <c r="H1128" s="34"/>
      <c r="I1128" s="37"/>
    </row>
    <row r="1129" ht="22.5" customHeight="1">
      <c r="A1129" s="30"/>
      <c r="B1129" s="31"/>
      <c r="C1129" s="32"/>
      <c r="D1129" s="33"/>
      <c r="E1129" s="34"/>
      <c r="F1129" s="34"/>
      <c r="G1129" s="35"/>
      <c r="H1129" s="34"/>
      <c r="I1129" s="37"/>
    </row>
    <row r="1130" ht="22.5" customHeight="1">
      <c r="A1130" s="30"/>
      <c r="B1130" s="40"/>
      <c r="C1130" s="32"/>
      <c r="D1130" s="33"/>
      <c r="E1130" s="34"/>
      <c r="F1130" s="34"/>
      <c r="G1130" s="35"/>
      <c r="H1130" s="34"/>
      <c r="I1130" s="37"/>
    </row>
    <row r="1131" ht="22.5" customHeight="1">
      <c r="A1131" s="30"/>
      <c r="B1131" s="31"/>
      <c r="C1131" s="32"/>
      <c r="D1131" s="33"/>
      <c r="E1131" s="34"/>
      <c r="F1131" s="34"/>
      <c r="G1131" s="35"/>
      <c r="H1131" s="34"/>
      <c r="I1131" s="37"/>
    </row>
    <row r="1132" ht="22.5" customHeight="1">
      <c r="A1132" s="30"/>
      <c r="B1132" s="31"/>
      <c r="C1132" s="32"/>
      <c r="D1132" s="33"/>
      <c r="E1132" s="34"/>
      <c r="F1132" s="34"/>
      <c r="G1132" s="35"/>
      <c r="H1132" s="34"/>
      <c r="I1132" s="37"/>
    </row>
    <row r="1133" ht="22.5" customHeight="1">
      <c r="A1133" s="30"/>
      <c r="B1133" s="31"/>
      <c r="C1133" s="32"/>
      <c r="D1133" s="33"/>
      <c r="E1133" s="34"/>
      <c r="F1133" s="34"/>
      <c r="G1133" s="35"/>
      <c r="H1133" s="34"/>
      <c r="I1133" s="37"/>
    </row>
    <row r="1134" ht="22.5" customHeight="1">
      <c r="A1134" s="30"/>
      <c r="B1134" s="31"/>
      <c r="C1134" s="32"/>
      <c r="D1134" s="33"/>
      <c r="E1134" s="34"/>
      <c r="F1134" s="34"/>
      <c r="G1134" s="35"/>
      <c r="H1134" s="34"/>
      <c r="I1134" s="37"/>
    </row>
    <row r="1135" ht="22.5" customHeight="1">
      <c r="A1135" s="30"/>
      <c r="B1135" s="31"/>
      <c r="C1135" s="32"/>
      <c r="D1135" s="33"/>
      <c r="E1135" s="34"/>
      <c r="F1135" s="34"/>
      <c r="G1135" s="35"/>
      <c r="H1135" s="34"/>
      <c r="I1135" s="37"/>
    </row>
    <row r="1136" ht="22.5" customHeight="1">
      <c r="A1136" s="30"/>
      <c r="B1136" s="31"/>
      <c r="C1136" s="32"/>
      <c r="D1136" s="33"/>
      <c r="E1136" s="34"/>
      <c r="F1136" s="34"/>
      <c r="G1136" s="35"/>
      <c r="H1136" s="34"/>
      <c r="I1136" s="37"/>
    </row>
    <row r="1137" ht="22.5" customHeight="1">
      <c r="A1137" s="30"/>
      <c r="B1137" s="31"/>
      <c r="C1137" s="32"/>
      <c r="D1137" s="33"/>
      <c r="E1137" s="34"/>
      <c r="F1137" s="34"/>
      <c r="G1137" s="35"/>
      <c r="H1137" s="34"/>
      <c r="I1137" s="37"/>
    </row>
    <row r="1138" ht="22.5" customHeight="1">
      <c r="A1138" s="30"/>
      <c r="B1138" s="31"/>
      <c r="C1138" s="32"/>
      <c r="D1138" s="33"/>
      <c r="E1138" s="34"/>
      <c r="F1138" s="34"/>
      <c r="G1138" s="35"/>
      <c r="H1138" s="34"/>
      <c r="I1138" s="37"/>
    </row>
    <row r="1139" ht="22.5" customHeight="1">
      <c r="A1139" s="30"/>
      <c r="B1139" s="31"/>
      <c r="C1139" s="32"/>
      <c r="D1139" s="33"/>
      <c r="E1139" s="34"/>
      <c r="F1139" s="34"/>
      <c r="G1139" s="35"/>
      <c r="H1139" s="34"/>
      <c r="I1139" s="37"/>
    </row>
    <row r="1140" ht="22.5" customHeight="1">
      <c r="A1140" s="30"/>
      <c r="B1140" s="31"/>
      <c r="C1140" s="32"/>
      <c r="D1140" s="33"/>
      <c r="E1140" s="34"/>
      <c r="F1140" s="34"/>
      <c r="G1140" s="35"/>
      <c r="H1140" s="34"/>
      <c r="I1140" s="37"/>
    </row>
    <row r="1141" ht="22.5" customHeight="1">
      <c r="A1141" s="30"/>
      <c r="B1141" s="31"/>
      <c r="C1141" s="32"/>
      <c r="D1141" s="33"/>
      <c r="E1141" s="34"/>
      <c r="F1141" s="34"/>
      <c r="G1141" s="35"/>
      <c r="H1141" s="34"/>
      <c r="I1141" s="37"/>
    </row>
    <row r="1142" ht="22.5" customHeight="1">
      <c r="A1142" s="30"/>
      <c r="B1142" s="31"/>
      <c r="C1142" s="32"/>
      <c r="D1142" s="33"/>
      <c r="E1142" s="34"/>
      <c r="F1142" s="34"/>
      <c r="G1142" s="35"/>
      <c r="H1142" s="34"/>
      <c r="I1142" s="37"/>
    </row>
    <row r="1143" ht="22.5" customHeight="1">
      <c r="A1143" s="30"/>
      <c r="B1143" s="31"/>
      <c r="C1143" s="32"/>
      <c r="D1143" s="33"/>
      <c r="E1143" s="34"/>
      <c r="F1143" s="34"/>
      <c r="G1143" s="35"/>
      <c r="H1143" s="34"/>
      <c r="I1143" s="37"/>
    </row>
    <row r="1144" ht="22.5" customHeight="1">
      <c r="A1144" s="30"/>
      <c r="B1144" s="31"/>
      <c r="C1144" s="32"/>
      <c r="D1144" s="33"/>
      <c r="E1144" s="34"/>
      <c r="F1144" s="34"/>
      <c r="G1144" s="35"/>
      <c r="H1144" s="34"/>
      <c r="I1144" s="37"/>
    </row>
    <row r="1145" ht="22.5" customHeight="1">
      <c r="A1145" s="30"/>
      <c r="B1145" s="40"/>
      <c r="C1145" s="32"/>
      <c r="D1145" s="33"/>
      <c r="E1145" s="34"/>
      <c r="F1145" s="34"/>
      <c r="G1145" s="35"/>
      <c r="H1145" s="34"/>
      <c r="I1145" s="37"/>
    </row>
    <row r="1146" ht="22.5" customHeight="1">
      <c r="A1146" s="30"/>
      <c r="B1146" s="31"/>
      <c r="C1146" s="32"/>
      <c r="D1146" s="33"/>
      <c r="E1146" s="34"/>
      <c r="F1146" s="34"/>
      <c r="G1146" s="35"/>
      <c r="H1146" s="34"/>
      <c r="I1146" s="37"/>
    </row>
    <row r="1147" ht="22.5" customHeight="1">
      <c r="A1147" s="30"/>
      <c r="B1147" s="40"/>
      <c r="C1147" s="32"/>
      <c r="D1147" s="33"/>
      <c r="E1147" s="34"/>
      <c r="F1147" s="34"/>
      <c r="G1147" s="35"/>
      <c r="H1147" s="34"/>
      <c r="I1147" s="37"/>
    </row>
    <row r="1148" ht="22.5" customHeight="1">
      <c r="A1148" s="30"/>
      <c r="B1148" s="31"/>
      <c r="C1148" s="32"/>
      <c r="D1148" s="33"/>
      <c r="E1148" s="34"/>
      <c r="F1148" s="34"/>
      <c r="G1148" s="35"/>
      <c r="H1148" s="34"/>
      <c r="I1148" s="37"/>
    </row>
    <row r="1149" ht="22.5" customHeight="1">
      <c r="A1149" s="30"/>
      <c r="B1149" s="31"/>
      <c r="C1149" s="32"/>
      <c r="D1149" s="33"/>
      <c r="E1149" s="34"/>
      <c r="F1149" s="34"/>
      <c r="G1149" s="35"/>
      <c r="H1149" s="34"/>
      <c r="I1149" s="37"/>
    </row>
    <row r="1150" ht="22.5" customHeight="1">
      <c r="A1150" s="30"/>
      <c r="B1150" s="31"/>
      <c r="C1150" s="32"/>
      <c r="D1150" s="33"/>
      <c r="E1150" s="34"/>
      <c r="F1150" s="34"/>
      <c r="G1150" s="35"/>
      <c r="H1150" s="34"/>
      <c r="I1150" s="37"/>
    </row>
    <row r="1151" ht="22.5" customHeight="1">
      <c r="A1151" s="30"/>
      <c r="B1151" s="31"/>
      <c r="C1151" s="32"/>
      <c r="D1151" s="33"/>
      <c r="E1151" s="34"/>
      <c r="F1151" s="34"/>
      <c r="G1151" s="35"/>
      <c r="H1151" s="34"/>
      <c r="I1151" s="37"/>
    </row>
    <row r="1152" ht="22.5" customHeight="1">
      <c r="A1152" s="30"/>
      <c r="B1152" s="40"/>
      <c r="C1152" s="32"/>
      <c r="D1152" s="33"/>
      <c r="E1152" s="34"/>
      <c r="F1152" s="34"/>
      <c r="G1152" s="35"/>
      <c r="H1152" s="34"/>
      <c r="I1152" s="37"/>
    </row>
    <row r="1153" ht="22.5" customHeight="1">
      <c r="A1153" s="30"/>
      <c r="B1153" s="31"/>
      <c r="C1153" s="32"/>
      <c r="D1153" s="33"/>
      <c r="E1153" s="34"/>
      <c r="F1153" s="34"/>
      <c r="G1153" s="35"/>
      <c r="H1153" s="34"/>
      <c r="I1153" s="37"/>
    </row>
    <row r="1154" ht="22.5" customHeight="1">
      <c r="A1154" s="30"/>
      <c r="B1154" s="31"/>
      <c r="C1154" s="32"/>
      <c r="D1154" s="33"/>
      <c r="E1154" s="34"/>
      <c r="F1154" s="34"/>
      <c r="G1154" s="35"/>
      <c r="H1154" s="34"/>
      <c r="I1154" s="37"/>
    </row>
    <row r="1155" ht="22.5" customHeight="1">
      <c r="A1155" s="30"/>
      <c r="B1155" s="31"/>
      <c r="C1155" s="32"/>
      <c r="D1155" s="33"/>
      <c r="E1155" s="34"/>
      <c r="F1155" s="34"/>
      <c r="G1155" s="35"/>
      <c r="H1155" s="34"/>
      <c r="I1155" s="37"/>
    </row>
    <row r="1156" ht="22.5" customHeight="1">
      <c r="A1156" s="30"/>
      <c r="B1156" s="31"/>
      <c r="C1156" s="32"/>
      <c r="D1156" s="33"/>
      <c r="E1156" s="34"/>
      <c r="F1156" s="34"/>
      <c r="G1156" s="35"/>
      <c r="H1156" s="34"/>
      <c r="I1156" s="37"/>
    </row>
    <row r="1157" ht="22.5" customHeight="1">
      <c r="A1157" s="30"/>
      <c r="B1157" s="31"/>
      <c r="C1157" s="32"/>
      <c r="D1157" s="33"/>
      <c r="E1157" s="34"/>
      <c r="F1157" s="34"/>
      <c r="G1157" s="35"/>
      <c r="H1157" s="34"/>
      <c r="I1157" s="37"/>
    </row>
    <row r="1158" ht="22.5" customHeight="1">
      <c r="A1158" s="30"/>
      <c r="B1158" s="31"/>
      <c r="C1158" s="32"/>
      <c r="D1158" s="33"/>
      <c r="E1158" s="34"/>
      <c r="F1158" s="34"/>
      <c r="G1158" s="35"/>
      <c r="H1158" s="34"/>
      <c r="I1158" s="37"/>
    </row>
    <row r="1159" ht="22.5" customHeight="1">
      <c r="A1159" s="30"/>
      <c r="B1159" s="31"/>
      <c r="C1159" s="32"/>
      <c r="D1159" s="33"/>
      <c r="E1159" s="34"/>
      <c r="F1159" s="34"/>
      <c r="G1159" s="35"/>
      <c r="H1159" s="34"/>
      <c r="I1159" s="37"/>
    </row>
    <row r="1160" ht="22.5" customHeight="1">
      <c r="A1160" s="30"/>
      <c r="B1160" s="31"/>
      <c r="C1160" s="32"/>
      <c r="D1160" s="33"/>
      <c r="E1160" s="34"/>
      <c r="F1160" s="34"/>
      <c r="G1160" s="35"/>
      <c r="H1160" s="34"/>
      <c r="I1160" s="37"/>
    </row>
    <row r="1161" ht="22.5" customHeight="1">
      <c r="A1161" s="30"/>
      <c r="B1161" s="31"/>
      <c r="C1161" s="32"/>
      <c r="D1161" s="33"/>
      <c r="E1161" s="34"/>
      <c r="F1161" s="34"/>
      <c r="G1161" s="35"/>
      <c r="H1161" s="34"/>
      <c r="I1161" s="37"/>
    </row>
    <row r="1162" ht="22.5" customHeight="1">
      <c r="A1162" s="30"/>
      <c r="B1162" s="31"/>
      <c r="C1162" s="32"/>
      <c r="D1162" s="33"/>
      <c r="E1162" s="34"/>
      <c r="F1162" s="34"/>
      <c r="G1162" s="35"/>
      <c r="H1162" s="34"/>
      <c r="I1162" s="37"/>
    </row>
    <row r="1163" ht="22.5" customHeight="1">
      <c r="A1163" s="30"/>
      <c r="B1163" s="31"/>
      <c r="C1163" s="32"/>
      <c r="D1163" s="33"/>
      <c r="E1163" s="34"/>
      <c r="F1163" s="34"/>
      <c r="G1163" s="35"/>
      <c r="H1163" s="34"/>
      <c r="I1163" s="37"/>
    </row>
    <row r="1164" ht="22.5" customHeight="1">
      <c r="A1164" s="30"/>
      <c r="B1164" s="31"/>
      <c r="C1164" s="32"/>
      <c r="D1164" s="33"/>
      <c r="E1164" s="34"/>
      <c r="F1164" s="34"/>
      <c r="G1164" s="35"/>
      <c r="H1164" s="34"/>
      <c r="I1164" s="37"/>
    </row>
    <row r="1165" ht="22.5" customHeight="1">
      <c r="A1165" s="30"/>
      <c r="B1165" s="31"/>
      <c r="C1165" s="32"/>
      <c r="D1165" s="33"/>
      <c r="E1165" s="34"/>
      <c r="F1165" s="34"/>
      <c r="G1165" s="35"/>
      <c r="H1165" s="34"/>
      <c r="I1165" s="37"/>
    </row>
    <row r="1166" ht="22.5" customHeight="1">
      <c r="A1166" s="30"/>
      <c r="B1166" s="31"/>
      <c r="C1166" s="32"/>
      <c r="D1166" s="33"/>
      <c r="E1166" s="34"/>
      <c r="F1166" s="34"/>
      <c r="G1166" s="35"/>
      <c r="H1166" s="34"/>
      <c r="I1166" s="37"/>
    </row>
    <row r="1167" ht="22.5" customHeight="1">
      <c r="A1167" s="30"/>
      <c r="B1167" s="31"/>
      <c r="C1167" s="32"/>
      <c r="D1167" s="33"/>
      <c r="E1167" s="34"/>
      <c r="F1167" s="34"/>
      <c r="G1167" s="35"/>
      <c r="H1167" s="34"/>
      <c r="I1167" s="37"/>
    </row>
    <row r="1168" ht="22.5" customHeight="1">
      <c r="A1168" s="30"/>
      <c r="B1168" s="31"/>
      <c r="C1168" s="32"/>
      <c r="D1168" s="33"/>
      <c r="E1168" s="34"/>
      <c r="F1168" s="34"/>
      <c r="G1168" s="35"/>
      <c r="H1168" s="34"/>
      <c r="I1168" s="37"/>
    </row>
    <row r="1169" ht="22.5" customHeight="1">
      <c r="A1169" s="30"/>
      <c r="B1169" s="31"/>
      <c r="C1169" s="32"/>
      <c r="D1169" s="33"/>
      <c r="E1169" s="34"/>
      <c r="F1169" s="34"/>
      <c r="G1169" s="35"/>
      <c r="H1169" s="34"/>
      <c r="I1169" s="37"/>
    </row>
    <row r="1170" ht="22.5" customHeight="1">
      <c r="A1170" s="30"/>
      <c r="B1170" s="31"/>
      <c r="C1170" s="32"/>
      <c r="D1170" s="33"/>
      <c r="E1170" s="34"/>
      <c r="F1170" s="34"/>
      <c r="G1170" s="35"/>
      <c r="H1170" s="34"/>
      <c r="I1170" s="37"/>
    </row>
    <row r="1171" ht="22.5" customHeight="1">
      <c r="A1171" s="30"/>
      <c r="B1171" s="31"/>
      <c r="C1171" s="32"/>
      <c r="D1171" s="33"/>
      <c r="E1171" s="34"/>
      <c r="F1171" s="34"/>
      <c r="G1171" s="35"/>
      <c r="H1171" s="34"/>
      <c r="I1171" s="37"/>
    </row>
    <row r="1172" ht="22.5" customHeight="1">
      <c r="A1172" s="30"/>
      <c r="B1172" s="31"/>
      <c r="C1172" s="32"/>
      <c r="D1172" s="33"/>
      <c r="E1172" s="34"/>
      <c r="F1172" s="34"/>
      <c r="G1172" s="35"/>
      <c r="H1172" s="34"/>
      <c r="I1172" s="37"/>
    </row>
    <row r="1173" ht="22.5" customHeight="1">
      <c r="A1173" s="30"/>
      <c r="B1173" s="31"/>
      <c r="C1173" s="32"/>
      <c r="D1173" s="33"/>
      <c r="E1173" s="34"/>
      <c r="F1173" s="34"/>
      <c r="G1173" s="35"/>
      <c r="H1173" s="34"/>
      <c r="I1173" s="37"/>
    </row>
    <row r="1174" ht="22.5" customHeight="1">
      <c r="A1174" s="30"/>
      <c r="B1174" s="40"/>
      <c r="C1174" s="32"/>
      <c r="D1174" s="33"/>
      <c r="E1174" s="34"/>
      <c r="F1174" s="34"/>
      <c r="G1174" s="35"/>
      <c r="H1174" s="34"/>
      <c r="I1174" s="37"/>
    </row>
    <row r="1175" ht="22.5" customHeight="1">
      <c r="A1175" s="30"/>
      <c r="B1175" s="31"/>
      <c r="C1175" s="32"/>
      <c r="D1175" s="33"/>
      <c r="E1175" s="34"/>
      <c r="F1175" s="34"/>
      <c r="G1175" s="35"/>
      <c r="H1175" s="34"/>
      <c r="I1175" s="37"/>
    </row>
    <row r="1176" ht="22.5" customHeight="1">
      <c r="A1176" s="30"/>
      <c r="B1176" s="31"/>
      <c r="C1176" s="32"/>
      <c r="D1176" s="33"/>
      <c r="E1176" s="34"/>
      <c r="F1176" s="34"/>
      <c r="G1176" s="35"/>
      <c r="H1176" s="34"/>
      <c r="I1176" s="37"/>
    </row>
    <row r="1177" ht="22.5" customHeight="1">
      <c r="A1177" s="30"/>
      <c r="B1177" s="31"/>
      <c r="C1177" s="32"/>
      <c r="D1177" s="33"/>
      <c r="E1177" s="34"/>
      <c r="F1177" s="34"/>
      <c r="G1177" s="35"/>
      <c r="H1177" s="34"/>
      <c r="I1177" s="37"/>
    </row>
    <row r="1178" ht="22.5" customHeight="1">
      <c r="A1178" s="30"/>
      <c r="B1178" s="31"/>
      <c r="C1178" s="32"/>
      <c r="D1178" s="33"/>
      <c r="E1178" s="34"/>
      <c r="F1178" s="34"/>
      <c r="G1178" s="35"/>
      <c r="H1178" s="34"/>
      <c r="I1178" s="38"/>
    </row>
    <row r="1179" ht="22.5" customHeight="1">
      <c r="A1179" s="30"/>
      <c r="B1179" s="39"/>
      <c r="C1179" s="32"/>
      <c r="D1179" s="33"/>
      <c r="E1179" s="34"/>
      <c r="F1179" s="34"/>
      <c r="G1179" s="35"/>
      <c r="H1179" s="34"/>
      <c r="I1179" s="37"/>
    </row>
    <row r="1180" ht="22.5" customHeight="1">
      <c r="A1180" s="30"/>
      <c r="B1180" s="31"/>
      <c r="C1180" s="32"/>
      <c r="D1180" s="33"/>
      <c r="E1180" s="34"/>
      <c r="F1180" s="34"/>
      <c r="G1180" s="35"/>
      <c r="H1180" s="34"/>
      <c r="I1180" s="37"/>
    </row>
    <row r="1181" ht="22.5" customHeight="1">
      <c r="A1181" s="30"/>
      <c r="B1181" s="31"/>
      <c r="C1181" s="32"/>
      <c r="D1181" s="33"/>
      <c r="E1181" s="34"/>
      <c r="F1181" s="34"/>
      <c r="G1181" s="35"/>
      <c r="H1181" s="34"/>
      <c r="I1181" s="37"/>
    </row>
    <row r="1182" ht="22.5" customHeight="1">
      <c r="A1182" s="30"/>
      <c r="B1182" s="31"/>
      <c r="C1182" s="32"/>
      <c r="D1182" s="33"/>
      <c r="E1182" s="34"/>
      <c r="F1182" s="34"/>
      <c r="G1182" s="35"/>
      <c r="H1182" s="34"/>
      <c r="I1182" s="37"/>
    </row>
    <row r="1183" ht="22.5" customHeight="1">
      <c r="A1183" s="30"/>
      <c r="B1183" s="39"/>
      <c r="C1183" s="32"/>
      <c r="D1183" s="33"/>
      <c r="E1183" s="34"/>
      <c r="F1183" s="34"/>
      <c r="G1183" s="35"/>
      <c r="H1183" s="34"/>
      <c r="I1183" s="37"/>
    </row>
    <row r="1184" ht="22.5" customHeight="1">
      <c r="A1184" s="30"/>
      <c r="B1184" s="31"/>
      <c r="C1184" s="32"/>
      <c r="D1184" s="33"/>
      <c r="E1184" s="34"/>
      <c r="F1184" s="34"/>
      <c r="G1184" s="35"/>
      <c r="H1184" s="34"/>
      <c r="I1184" s="37"/>
    </row>
    <row r="1185" ht="22.5" customHeight="1">
      <c r="A1185" s="30"/>
      <c r="B1185" s="39"/>
      <c r="C1185" s="32"/>
      <c r="D1185" s="33"/>
      <c r="E1185" s="34"/>
      <c r="F1185" s="34"/>
      <c r="G1185" s="35"/>
      <c r="H1185" s="34"/>
      <c r="I1185" s="37"/>
    </row>
    <row r="1186" ht="22.5" customHeight="1">
      <c r="A1186" s="30"/>
      <c r="B1186" s="31"/>
      <c r="C1186" s="32"/>
      <c r="D1186" s="33"/>
      <c r="E1186" s="34"/>
      <c r="F1186" s="34"/>
      <c r="G1186" s="35"/>
      <c r="H1186" s="34"/>
      <c r="I1186" s="37"/>
    </row>
    <row r="1187" ht="22.5" customHeight="1">
      <c r="A1187" s="30"/>
      <c r="B1187" s="31"/>
      <c r="C1187" s="32"/>
      <c r="D1187" s="33"/>
      <c r="E1187" s="34"/>
      <c r="F1187" s="34"/>
      <c r="G1187" s="35"/>
      <c r="H1187" s="34"/>
      <c r="I1187" s="37"/>
    </row>
    <row r="1188" ht="22.5" customHeight="1">
      <c r="A1188" s="30"/>
      <c r="B1188" s="31"/>
      <c r="C1188" s="32"/>
      <c r="D1188" s="33"/>
      <c r="E1188" s="34"/>
      <c r="F1188" s="34"/>
      <c r="G1188" s="35"/>
      <c r="H1188" s="34"/>
      <c r="I1188" s="37"/>
    </row>
    <row r="1189" ht="22.5" customHeight="1">
      <c r="A1189" s="30"/>
      <c r="B1189" s="31"/>
      <c r="C1189" s="32"/>
      <c r="D1189" s="33"/>
      <c r="E1189" s="34"/>
      <c r="F1189" s="34"/>
      <c r="G1189" s="35"/>
      <c r="H1189" s="34"/>
      <c r="I1189" s="37"/>
    </row>
    <row r="1190" ht="22.5" customHeight="1">
      <c r="A1190" s="30"/>
      <c r="B1190" s="31"/>
      <c r="C1190" s="32"/>
      <c r="D1190" s="33"/>
      <c r="E1190" s="34"/>
      <c r="F1190" s="34"/>
      <c r="G1190" s="35"/>
      <c r="H1190" s="34"/>
      <c r="I1190" s="37"/>
    </row>
    <row r="1191" ht="22.5" customHeight="1">
      <c r="A1191" s="30"/>
      <c r="B1191" s="31"/>
      <c r="C1191" s="32"/>
      <c r="D1191" s="33"/>
      <c r="E1191" s="34"/>
      <c r="F1191" s="34"/>
      <c r="G1191" s="35"/>
      <c r="H1191" s="34"/>
      <c r="I1191" s="37"/>
    </row>
    <row r="1192" ht="22.5" customHeight="1">
      <c r="A1192" s="30"/>
      <c r="B1192" s="31"/>
      <c r="C1192" s="32"/>
      <c r="D1192" s="33"/>
      <c r="E1192" s="34"/>
      <c r="F1192" s="34"/>
      <c r="G1192" s="35"/>
      <c r="H1192" s="34"/>
      <c r="I1192" s="37"/>
    </row>
    <row r="1193" ht="22.5" customHeight="1">
      <c r="A1193" s="30"/>
      <c r="B1193" s="31"/>
      <c r="C1193" s="32"/>
      <c r="D1193" s="33"/>
      <c r="E1193" s="34"/>
      <c r="F1193" s="34"/>
      <c r="G1193" s="35"/>
      <c r="H1193" s="34"/>
      <c r="I1193" s="37"/>
    </row>
    <row r="1194" ht="22.5" customHeight="1">
      <c r="A1194" s="30"/>
      <c r="B1194" s="31"/>
      <c r="C1194" s="32"/>
      <c r="D1194" s="33"/>
      <c r="E1194" s="34"/>
      <c r="F1194" s="34"/>
      <c r="G1194" s="35"/>
      <c r="H1194" s="34"/>
      <c r="I1194" s="37"/>
    </row>
    <row r="1195" ht="22.5" customHeight="1">
      <c r="A1195" s="30"/>
      <c r="B1195" s="31"/>
      <c r="C1195" s="32"/>
      <c r="D1195" s="33"/>
      <c r="E1195" s="34"/>
      <c r="F1195" s="34"/>
      <c r="G1195" s="35"/>
      <c r="H1195" s="34"/>
      <c r="I1195" s="37"/>
    </row>
    <row r="1196" ht="22.5" customHeight="1">
      <c r="A1196" s="30"/>
      <c r="B1196" s="40"/>
      <c r="C1196" s="32"/>
      <c r="D1196" s="33"/>
      <c r="E1196" s="34"/>
      <c r="F1196" s="34"/>
      <c r="G1196" s="35"/>
      <c r="H1196" s="34"/>
      <c r="I1196" s="37"/>
    </row>
    <row r="1197" ht="22.5" customHeight="1">
      <c r="A1197" s="30"/>
      <c r="B1197" s="31"/>
      <c r="C1197" s="32"/>
      <c r="D1197" s="33"/>
      <c r="E1197" s="34"/>
      <c r="F1197" s="34"/>
      <c r="G1197" s="35"/>
      <c r="H1197" s="34"/>
      <c r="I1197" s="37"/>
    </row>
    <row r="1198" ht="22.5" customHeight="1">
      <c r="A1198" s="30"/>
      <c r="B1198" s="31"/>
      <c r="C1198" s="32"/>
      <c r="D1198" s="33"/>
      <c r="E1198" s="34"/>
      <c r="F1198" s="34"/>
      <c r="G1198" s="35"/>
      <c r="H1198" s="34"/>
      <c r="I1198" s="37"/>
    </row>
    <row r="1199" ht="22.5" customHeight="1">
      <c r="A1199" s="30"/>
      <c r="B1199" s="31"/>
      <c r="C1199" s="32"/>
      <c r="D1199" s="33"/>
      <c r="E1199" s="34"/>
      <c r="F1199" s="34"/>
      <c r="G1199" s="35"/>
      <c r="H1199" s="34"/>
      <c r="I1199" s="37"/>
    </row>
    <row r="1200" ht="22.5" customHeight="1">
      <c r="A1200" s="30"/>
      <c r="B1200" s="31"/>
      <c r="C1200" s="32"/>
      <c r="D1200" s="33"/>
      <c r="E1200" s="34"/>
      <c r="F1200" s="34"/>
      <c r="G1200" s="35"/>
      <c r="H1200" s="34"/>
      <c r="I1200" s="37"/>
    </row>
    <row r="1201" ht="22.5" customHeight="1">
      <c r="A1201" s="30"/>
      <c r="B1201" s="31"/>
      <c r="C1201" s="32"/>
      <c r="D1201" s="33"/>
      <c r="E1201" s="34"/>
      <c r="F1201" s="34"/>
      <c r="G1201" s="35"/>
      <c r="H1201" s="34"/>
      <c r="I1201" s="37"/>
    </row>
    <row r="1202" ht="22.5" customHeight="1">
      <c r="A1202" s="30"/>
      <c r="B1202" s="31"/>
      <c r="C1202" s="32"/>
      <c r="D1202" s="33"/>
      <c r="E1202" s="34"/>
      <c r="F1202" s="34"/>
      <c r="G1202" s="35"/>
      <c r="H1202" s="34"/>
      <c r="I1202" s="37"/>
    </row>
    <row r="1203" ht="22.5" customHeight="1">
      <c r="A1203" s="30"/>
      <c r="B1203" s="39"/>
      <c r="C1203" s="32"/>
      <c r="D1203" s="33"/>
      <c r="E1203" s="34"/>
      <c r="F1203" s="34"/>
      <c r="G1203" s="35"/>
      <c r="H1203" s="34"/>
      <c r="I1203" s="37"/>
    </row>
    <row r="1204" ht="22.5" customHeight="1">
      <c r="A1204" s="30"/>
      <c r="B1204" s="39"/>
      <c r="C1204" s="32"/>
      <c r="D1204" s="33"/>
      <c r="E1204" s="34"/>
      <c r="F1204" s="34"/>
      <c r="G1204" s="35"/>
      <c r="H1204" s="34"/>
      <c r="I1204" s="37"/>
    </row>
    <row r="1205" ht="22.5" customHeight="1">
      <c r="A1205" s="30"/>
      <c r="B1205" s="39"/>
      <c r="C1205" s="32"/>
      <c r="D1205" s="33"/>
      <c r="E1205" s="34"/>
      <c r="F1205" s="34"/>
      <c r="G1205" s="35"/>
      <c r="H1205" s="34"/>
      <c r="I1205" s="37"/>
    </row>
    <row r="1206" ht="22.5" customHeight="1">
      <c r="A1206" s="30"/>
      <c r="B1206" s="40"/>
      <c r="C1206" s="32"/>
      <c r="D1206" s="33"/>
      <c r="E1206" s="34"/>
      <c r="F1206" s="34"/>
      <c r="G1206" s="35"/>
      <c r="H1206" s="34"/>
      <c r="I1206" s="37"/>
    </row>
    <row r="1207" ht="22.5" customHeight="1">
      <c r="A1207" s="30"/>
      <c r="B1207" s="31"/>
      <c r="C1207" s="32"/>
      <c r="D1207" s="33"/>
      <c r="E1207" s="34"/>
      <c r="F1207" s="34"/>
      <c r="G1207" s="35"/>
      <c r="H1207" s="34"/>
      <c r="I1207" s="37"/>
    </row>
    <row r="1208" ht="22.5" customHeight="1">
      <c r="A1208" s="30"/>
      <c r="B1208" s="31"/>
      <c r="C1208" s="32"/>
      <c r="D1208" s="33"/>
      <c r="E1208" s="34"/>
      <c r="F1208" s="34"/>
      <c r="G1208" s="35"/>
      <c r="H1208" s="34"/>
      <c r="I1208" s="37"/>
    </row>
    <row r="1209" ht="22.5" customHeight="1">
      <c r="A1209" s="30"/>
      <c r="B1209" s="31"/>
      <c r="C1209" s="32"/>
      <c r="D1209" s="33"/>
      <c r="E1209" s="34"/>
      <c r="F1209" s="34"/>
      <c r="G1209" s="35"/>
      <c r="H1209" s="34"/>
      <c r="I1209" s="37"/>
    </row>
    <row r="1210" ht="22.5" customHeight="1">
      <c r="A1210" s="30"/>
      <c r="B1210" s="31"/>
      <c r="C1210" s="32"/>
      <c r="D1210" s="33"/>
      <c r="E1210" s="34"/>
      <c r="F1210" s="34"/>
      <c r="G1210" s="35"/>
      <c r="H1210" s="34"/>
      <c r="I1210" s="37"/>
    </row>
    <row r="1211" ht="22.5" customHeight="1">
      <c r="A1211" s="30"/>
      <c r="B1211" s="31"/>
      <c r="C1211" s="32"/>
      <c r="D1211" s="33"/>
      <c r="E1211" s="34"/>
      <c r="F1211" s="34"/>
      <c r="G1211" s="35"/>
      <c r="H1211" s="34"/>
      <c r="I1211" s="37"/>
    </row>
    <row r="1212" ht="22.5" customHeight="1">
      <c r="A1212" s="30"/>
      <c r="B1212" s="31"/>
      <c r="C1212" s="32"/>
      <c r="D1212" s="33"/>
      <c r="E1212" s="34"/>
      <c r="F1212" s="34"/>
      <c r="G1212" s="35"/>
      <c r="H1212" s="34"/>
      <c r="I1212" s="37"/>
    </row>
    <row r="1213" ht="22.5" customHeight="1">
      <c r="A1213" s="30"/>
      <c r="B1213" s="31"/>
      <c r="C1213" s="32"/>
      <c r="D1213" s="33"/>
      <c r="E1213" s="34"/>
      <c r="F1213" s="34"/>
      <c r="G1213" s="35"/>
      <c r="H1213" s="34"/>
      <c r="I1213" s="37"/>
    </row>
    <row r="1214" ht="22.5" customHeight="1">
      <c r="A1214" s="30"/>
      <c r="B1214" s="31"/>
      <c r="C1214" s="32"/>
      <c r="D1214" s="33"/>
      <c r="E1214" s="34"/>
      <c r="F1214" s="34"/>
      <c r="G1214" s="35"/>
      <c r="H1214" s="34"/>
      <c r="I1214" s="37"/>
    </row>
    <row r="1215" ht="22.5" customHeight="1">
      <c r="A1215" s="30"/>
      <c r="B1215" s="31"/>
      <c r="C1215" s="32"/>
      <c r="D1215" s="33"/>
      <c r="E1215" s="34"/>
      <c r="F1215" s="34"/>
      <c r="G1215" s="35"/>
      <c r="H1215" s="34"/>
      <c r="I1215" s="37"/>
    </row>
    <row r="1216" ht="22.5" customHeight="1">
      <c r="A1216" s="30"/>
      <c r="B1216" s="40"/>
      <c r="C1216" s="32"/>
      <c r="D1216" s="33"/>
      <c r="E1216" s="34"/>
      <c r="F1216" s="34"/>
      <c r="G1216" s="35"/>
      <c r="H1216" s="34"/>
      <c r="I1216" s="37"/>
    </row>
    <row r="1217" ht="22.5" customHeight="1">
      <c r="A1217" s="30"/>
      <c r="B1217" s="31"/>
      <c r="C1217" s="32"/>
      <c r="D1217" s="33"/>
      <c r="E1217" s="34"/>
      <c r="F1217" s="34"/>
      <c r="G1217" s="35"/>
      <c r="H1217" s="34"/>
      <c r="I1217" s="37"/>
    </row>
    <row r="1218" ht="22.5" customHeight="1">
      <c r="A1218" s="30"/>
      <c r="B1218" s="31"/>
      <c r="C1218" s="32"/>
      <c r="D1218" s="33"/>
      <c r="E1218" s="34"/>
      <c r="F1218" s="34"/>
      <c r="G1218" s="35"/>
      <c r="H1218" s="34"/>
      <c r="I1218" s="37"/>
    </row>
    <row r="1219" ht="22.5" customHeight="1">
      <c r="A1219" s="30"/>
      <c r="B1219" s="31"/>
      <c r="C1219" s="32"/>
      <c r="D1219" s="33"/>
      <c r="E1219" s="34"/>
      <c r="F1219" s="34"/>
      <c r="G1219" s="35"/>
      <c r="H1219" s="34"/>
      <c r="I1219" s="37"/>
    </row>
    <row r="1220" ht="22.5" customHeight="1">
      <c r="A1220" s="30"/>
      <c r="B1220" s="40"/>
      <c r="C1220" s="32"/>
      <c r="D1220" s="33"/>
      <c r="E1220" s="34"/>
      <c r="F1220" s="34"/>
      <c r="G1220" s="35"/>
      <c r="H1220" s="34"/>
      <c r="I1220" s="37"/>
    </row>
    <row r="1221" ht="22.5" customHeight="1">
      <c r="A1221" s="30"/>
      <c r="B1221" s="31"/>
      <c r="C1221" s="32"/>
      <c r="D1221" s="33"/>
      <c r="E1221" s="34"/>
      <c r="F1221" s="34"/>
      <c r="G1221" s="35"/>
      <c r="H1221" s="34"/>
      <c r="I1221" s="37"/>
    </row>
    <row r="1222" ht="22.5" customHeight="1">
      <c r="A1222" s="30"/>
      <c r="B1222" s="31"/>
      <c r="C1222" s="32"/>
      <c r="D1222" s="33"/>
      <c r="E1222" s="34"/>
      <c r="F1222" s="34"/>
      <c r="G1222" s="35"/>
      <c r="H1222" s="34"/>
      <c r="I1222" s="37"/>
    </row>
    <row r="1223" ht="22.5" customHeight="1">
      <c r="A1223" s="30"/>
      <c r="B1223" s="31"/>
      <c r="C1223" s="32"/>
      <c r="D1223" s="33"/>
      <c r="E1223" s="34"/>
      <c r="F1223" s="34"/>
      <c r="G1223" s="35"/>
      <c r="H1223" s="34"/>
      <c r="I1223" s="37"/>
    </row>
    <row r="1224" ht="22.5" customHeight="1">
      <c r="A1224" s="30"/>
      <c r="B1224" s="31"/>
      <c r="C1224" s="32"/>
      <c r="D1224" s="33"/>
      <c r="E1224" s="34"/>
      <c r="F1224" s="34"/>
      <c r="G1224" s="35"/>
      <c r="H1224" s="34"/>
      <c r="I1224" s="37"/>
    </row>
    <row r="1225" ht="22.5" customHeight="1">
      <c r="A1225" s="30"/>
      <c r="B1225" s="31"/>
      <c r="C1225" s="32"/>
      <c r="D1225" s="33"/>
      <c r="E1225" s="34"/>
      <c r="F1225" s="34"/>
      <c r="G1225" s="35"/>
      <c r="H1225" s="34"/>
      <c r="I1225" s="37"/>
    </row>
    <row r="1226" ht="22.5" customHeight="1">
      <c r="A1226" s="30"/>
      <c r="B1226" s="31"/>
      <c r="C1226" s="32"/>
      <c r="D1226" s="33"/>
      <c r="E1226" s="34"/>
      <c r="F1226" s="34"/>
      <c r="G1226" s="35"/>
      <c r="H1226" s="34"/>
      <c r="I1226" s="37"/>
    </row>
    <row r="1227" ht="22.5" customHeight="1">
      <c r="A1227" s="30"/>
      <c r="B1227" s="31"/>
      <c r="C1227" s="32"/>
      <c r="D1227" s="33"/>
      <c r="E1227" s="34"/>
      <c r="F1227" s="34"/>
      <c r="G1227" s="35"/>
      <c r="H1227" s="34"/>
      <c r="I1227" s="37"/>
    </row>
    <row r="1228" ht="22.5" customHeight="1">
      <c r="A1228" s="30"/>
      <c r="B1228" s="31"/>
      <c r="C1228" s="32"/>
      <c r="D1228" s="33"/>
      <c r="E1228" s="34"/>
      <c r="F1228" s="34"/>
      <c r="G1228" s="35"/>
      <c r="H1228" s="34"/>
      <c r="I1228" s="37"/>
    </row>
    <row r="1229" ht="22.5" customHeight="1">
      <c r="A1229" s="30"/>
      <c r="B1229" s="31"/>
      <c r="C1229" s="32"/>
      <c r="D1229" s="33"/>
      <c r="E1229" s="34"/>
      <c r="F1229" s="34"/>
      <c r="G1229" s="35"/>
      <c r="H1229" s="34"/>
      <c r="I1229" s="37"/>
    </row>
    <row r="1230" ht="22.5" customHeight="1">
      <c r="A1230" s="30"/>
      <c r="B1230" s="31"/>
      <c r="C1230" s="32"/>
      <c r="D1230" s="33"/>
      <c r="E1230" s="34"/>
      <c r="F1230" s="34"/>
      <c r="G1230" s="35"/>
      <c r="H1230" s="34"/>
      <c r="I1230" s="37"/>
    </row>
    <row r="1231" ht="22.5" customHeight="1">
      <c r="A1231" s="30"/>
      <c r="B1231" s="31"/>
      <c r="C1231" s="32"/>
      <c r="D1231" s="33"/>
      <c r="E1231" s="34"/>
      <c r="F1231" s="34"/>
      <c r="G1231" s="35"/>
      <c r="H1231" s="34"/>
      <c r="I1231" s="37"/>
    </row>
    <row r="1232" ht="22.5" customHeight="1">
      <c r="A1232" s="30"/>
      <c r="B1232" s="31"/>
      <c r="C1232" s="32"/>
      <c r="D1232" s="33"/>
      <c r="E1232" s="34"/>
      <c r="F1232" s="34"/>
      <c r="G1232" s="35"/>
      <c r="H1232" s="34"/>
      <c r="I1232" s="37"/>
    </row>
    <row r="1233" ht="22.5" customHeight="1">
      <c r="A1233" s="30"/>
      <c r="B1233" s="31"/>
      <c r="C1233" s="32"/>
      <c r="D1233" s="33"/>
      <c r="E1233" s="34"/>
      <c r="F1233" s="34"/>
      <c r="G1233" s="35"/>
      <c r="H1233" s="34"/>
      <c r="I1233" s="37"/>
    </row>
    <row r="1234" ht="22.5" customHeight="1">
      <c r="A1234" s="30"/>
      <c r="B1234" s="31"/>
      <c r="C1234" s="32"/>
      <c r="D1234" s="33"/>
      <c r="E1234" s="34"/>
      <c r="F1234" s="34"/>
      <c r="G1234" s="35"/>
      <c r="H1234" s="34"/>
      <c r="I1234" s="37"/>
    </row>
    <row r="1235" ht="22.5" customHeight="1">
      <c r="A1235" s="30"/>
      <c r="B1235" s="40"/>
      <c r="C1235" s="32"/>
      <c r="D1235" s="33"/>
      <c r="E1235" s="34"/>
      <c r="F1235" s="34"/>
      <c r="G1235" s="35"/>
      <c r="H1235" s="34"/>
      <c r="I1235" s="37"/>
    </row>
    <row r="1236" ht="22.5" customHeight="1">
      <c r="A1236" s="30"/>
      <c r="B1236" s="31"/>
      <c r="C1236" s="32"/>
      <c r="D1236" s="33"/>
      <c r="E1236" s="34"/>
      <c r="F1236" s="34"/>
      <c r="G1236" s="35"/>
      <c r="H1236" s="34"/>
      <c r="I1236" s="37"/>
    </row>
    <row r="1237" ht="22.5" customHeight="1">
      <c r="A1237" s="30"/>
      <c r="B1237" s="40"/>
      <c r="C1237" s="32"/>
      <c r="D1237" s="33"/>
      <c r="E1237" s="34"/>
      <c r="F1237" s="34"/>
      <c r="G1237" s="35"/>
      <c r="H1237" s="34"/>
      <c r="I1237" s="37"/>
    </row>
    <row r="1238" ht="22.5" customHeight="1">
      <c r="A1238" s="30"/>
      <c r="B1238" s="31"/>
      <c r="C1238" s="32"/>
      <c r="D1238" s="33"/>
      <c r="E1238" s="34"/>
      <c r="F1238" s="34"/>
      <c r="G1238" s="35"/>
      <c r="H1238" s="34"/>
      <c r="I1238" s="37"/>
    </row>
    <row r="1239" ht="22.5" customHeight="1">
      <c r="A1239" s="30"/>
      <c r="B1239" s="31"/>
      <c r="C1239" s="32"/>
      <c r="D1239" s="33"/>
      <c r="E1239" s="34"/>
      <c r="F1239" s="34"/>
      <c r="G1239" s="35"/>
      <c r="H1239" s="34"/>
      <c r="I1239" s="37"/>
    </row>
    <row r="1240" ht="22.5" customHeight="1">
      <c r="A1240" s="30"/>
      <c r="B1240" s="31"/>
      <c r="C1240" s="32"/>
      <c r="D1240" s="33"/>
      <c r="E1240" s="34"/>
      <c r="F1240" s="34"/>
      <c r="G1240" s="35"/>
      <c r="H1240" s="34"/>
      <c r="I1240" s="37"/>
    </row>
    <row r="1241" ht="22.5" customHeight="1">
      <c r="A1241" s="30"/>
      <c r="B1241" s="31"/>
      <c r="C1241" s="32"/>
      <c r="D1241" s="33"/>
      <c r="E1241" s="34"/>
      <c r="F1241" s="34"/>
      <c r="G1241" s="35"/>
      <c r="H1241" s="34"/>
      <c r="I1241" s="37"/>
    </row>
    <row r="1242" ht="22.5" customHeight="1">
      <c r="A1242" s="30"/>
      <c r="B1242" s="40"/>
      <c r="C1242" s="32"/>
      <c r="D1242" s="33"/>
      <c r="E1242" s="34"/>
      <c r="F1242" s="34"/>
      <c r="G1242" s="35"/>
      <c r="H1242" s="34"/>
      <c r="I1242" s="37"/>
    </row>
    <row r="1243" ht="22.5" customHeight="1">
      <c r="A1243" s="30"/>
      <c r="B1243" s="31"/>
      <c r="C1243" s="32"/>
      <c r="D1243" s="33"/>
      <c r="E1243" s="34"/>
      <c r="F1243" s="34"/>
      <c r="G1243" s="35"/>
      <c r="H1243" s="34"/>
      <c r="I1243" s="37"/>
    </row>
    <row r="1244" ht="22.5" customHeight="1">
      <c r="A1244" s="30"/>
      <c r="B1244" s="31"/>
      <c r="C1244" s="32"/>
      <c r="D1244" s="33"/>
      <c r="E1244" s="34"/>
      <c r="F1244" s="34"/>
      <c r="G1244" s="35"/>
      <c r="H1244" s="34"/>
      <c r="I1244" s="37"/>
    </row>
    <row r="1245" ht="22.5" customHeight="1">
      <c r="A1245" s="30"/>
      <c r="B1245" s="31"/>
      <c r="C1245" s="32"/>
      <c r="D1245" s="33"/>
      <c r="E1245" s="34"/>
      <c r="F1245" s="34"/>
      <c r="G1245" s="35"/>
      <c r="H1245" s="34"/>
      <c r="I1245" s="37"/>
    </row>
    <row r="1246" ht="22.5" customHeight="1">
      <c r="A1246" s="30"/>
      <c r="B1246" s="31"/>
      <c r="C1246" s="32"/>
      <c r="D1246" s="33"/>
      <c r="E1246" s="34"/>
      <c r="F1246" s="34"/>
      <c r="G1246" s="35"/>
      <c r="H1246" s="34"/>
      <c r="I1246" s="37"/>
    </row>
    <row r="1247" ht="22.5" customHeight="1">
      <c r="A1247" s="30"/>
      <c r="B1247" s="31"/>
      <c r="C1247" s="32"/>
      <c r="D1247" s="33"/>
      <c r="E1247" s="34"/>
      <c r="F1247" s="34"/>
      <c r="G1247" s="35"/>
      <c r="H1247" s="34"/>
      <c r="I1247" s="37"/>
    </row>
    <row r="1248" ht="22.5" customHeight="1">
      <c r="A1248" s="30"/>
      <c r="B1248" s="31"/>
      <c r="C1248" s="32"/>
      <c r="D1248" s="33"/>
      <c r="E1248" s="34"/>
      <c r="F1248" s="34"/>
      <c r="G1248" s="35"/>
      <c r="H1248" s="34"/>
      <c r="I1248" s="37"/>
    </row>
    <row r="1249" ht="22.5" customHeight="1">
      <c r="A1249" s="30"/>
      <c r="B1249" s="31"/>
      <c r="C1249" s="32"/>
      <c r="D1249" s="33"/>
      <c r="E1249" s="34"/>
      <c r="F1249" s="34"/>
      <c r="G1249" s="35"/>
      <c r="H1249" s="34"/>
      <c r="I1249" s="37"/>
    </row>
    <row r="1250" ht="22.5" customHeight="1">
      <c r="A1250" s="30"/>
      <c r="B1250" s="31"/>
      <c r="C1250" s="32"/>
      <c r="D1250" s="33"/>
      <c r="E1250" s="34"/>
      <c r="F1250" s="34"/>
      <c r="G1250" s="35"/>
      <c r="H1250" s="34"/>
      <c r="I1250" s="37"/>
    </row>
    <row r="1251" ht="22.5" customHeight="1">
      <c r="A1251" s="30"/>
      <c r="B1251" s="31"/>
      <c r="C1251" s="32"/>
      <c r="D1251" s="33"/>
      <c r="E1251" s="34"/>
      <c r="F1251" s="34"/>
      <c r="G1251" s="35"/>
      <c r="H1251" s="34"/>
      <c r="I1251" s="37"/>
    </row>
    <row r="1252" ht="22.5" customHeight="1">
      <c r="A1252" s="30"/>
      <c r="B1252" s="31"/>
      <c r="C1252" s="32"/>
      <c r="D1252" s="33"/>
      <c r="E1252" s="34"/>
      <c r="F1252" s="34"/>
      <c r="G1252" s="35"/>
      <c r="H1252" s="34"/>
      <c r="I1252" s="37"/>
    </row>
    <row r="1253" ht="22.5" customHeight="1">
      <c r="A1253" s="30"/>
      <c r="B1253" s="31"/>
      <c r="C1253" s="32"/>
      <c r="D1253" s="33"/>
      <c r="E1253" s="34"/>
      <c r="F1253" s="34"/>
      <c r="G1253" s="35"/>
      <c r="H1253" s="34"/>
      <c r="I1253" s="37"/>
    </row>
    <row r="1254" ht="22.5" customHeight="1">
      <c r="A1254" s="30"/>
      <c r="B1254" s="31"/>
      <c r="C1254" s="32"/>
      <c r="D1254" s="33"/>
      <c r="E1254" s="34"/>
      <c r="F1254" s="34"/>
      <c r="G1254" s="35"/>
      <c r="H1254" s="34"/>
      <c r="I1254" s="37"/>
    </row>
    <row r="1255" ht="22.5" customHeight="1">
      <c r="A1255" s="30"/>
      <c r="B1255" s="31"/>
      <c r="C1255" s="32"/>
      <c r="D1255" s="33"/>
      <c r="E1255" s="34"/>
      <c r="F1255" s="34"/>
      <c r="G1255" s="35"/>
      <c r="H1255" s="34"/>
      <c r="I1255" s="37"/>
    </row>
    <row r="1256" ht="22.5" customHeight="1">
      <c r="A1256" s="30"/>
      <c r="B1256" s="31"/>
      <c r="C1256" s="32"/>
      <c r="D1256" s="33"/>
      <c r="E1256" s="34"/>
      <c r="F1256" s="34"/>
      <c r="G1256" s="35"/>
      <c r="H1256" s="34"/>
      <c r="I1256" s="37"/>
    </row>
    <row r="1257" ht="22.5" customHeight="1">
      <c r="A1257" s="30"/>
      <c r="B1257" s="31"/>
      <c r="C1257" s="32"/>
      <c r="D1257" s="33"/>
      <c r="E1257" s="34"/>
      <c r="F1257" s="34"/>
      <c r="G1257" s="35"/>
      <c r="H1257" s="34"/>
      <c r="I1257" s="37"/>
    </row>
    <row r="1258" ht="22.5" customHeight="1">
      <c r="A1258" s="30"/>
      <c r="B1258" s="31"/>
      <c r="C1258" s="32"/>
      <c r="D1258" s="33"/>
      <c r="E1258" s="34"/>
      <c r="F1258" s="34"/>
      <c r="G1258" s="35"/>
      <c r="H1258" s="34"/>
      <c r="I1258" s="37"/>
    </row>
    <row r="1259" ht="22.5" customHeight="1">
      <c r="A1259" s="30"/>
      <c r="B1259" s="31"/>
      <c r="C1259" s="32"/>
      <c r="D1259" s="33"/>
      <c r="E1259" s="34"/>
      <c r="F1259" s="34"/>
      <c r="G1259" s="35"/>
      <c r="H1259" s="34"/>
      <c r="I1259" s="37"/>
    </row>
    <row r="1260" ht="22.5" customHeight="1">
      <c r="A1260" s="30"/>
      <c r="B1260" s="31"/>
      <c r="C1260" s="32"/>
      <c r="D1260" s="33"/>
      <c r="E1260" s="34"/>
      <c r="F1260" s="34"/>
      <c r="G1260" s="35"/>
      <c r="H1260" s="34"/>
      <c r="I1260" s="37"/>
    </row>
    <row r="1261" ht="22.5" customHeight="1">
      <c r="A1261" s="30"/>
      <c r="B1261" s="31"/>
      <c r="C1261" s="32"/>
      <c r="D1261" s="33"/>
      <c r="E1261" s="34"/>
      <c r="F1261" s="34"/>
      <c r="G1261" s="35"/>
      <c r="H1261" s="34"/>
      <c r="I1261" s="37"/>
    </row>
    <row r="1262" ht="22.5" customHeight="1">
      <c r="A1262" s="30"/>
      <c r="B1262" s="31"/>
      <c r="C1262" s="32"/>
      <c r="D1262" s="33"/>
      <c r="E1262" s="34"/>
      <c r="F1262" s="34"/>
      <c r="G1262" s="35"/>
      <c r="H1262" s="34"/>
      <c r="I1262" s="37"/>
    </row>
    <row r="1263" ht="22.5" customHeight="1">
      <c r="A1263" s="30"/>
      <c r="B1263" s="31"/>
      <c r="C1263" s="32"/>
      <c r="D1263" s="33"/>
      <c r="E1263" s="34"/>
      <c r="F1263" s="34"/>
      <c r="G1263" s="35"/>
      <c r="H1263" s="34"/>
      <c r="I1263" s="37"/>
    </row>
    <row r="1264" ht="22.5" customHeight="1">
      <c r="A1264" s="30"/>
      <c r="B1264" s="40"/>
      <c r="C1264" s="32"/>
      <c r="D1264" s="33"/>
      <c r="E1264" s="34"/>
      <c r="F1264" s="34"/>
      <c r="G1264" s="35"/>
      <c r="H1264" s="34"/>
      <c r="I1264" s="37"/>
    </row>
    <row r="1265" ht="22.5" customHeight="1">
      <c r="A1265" s="30"/>
      <c r="B1265" s="31"/>
      <c r="C1265" s="32"/>
      <c r="D1265" s="33"/>
      <c r="E1265" s="34"/>
      <c r="F1265" s="34"/>
      <c r="G1265" s="35"/>
      <c r="H1265" s="34"/>
      <c r="I1265" s="37"/>
    </row>
    <row r="1266" ht="22.5" customHeight="1">
      <c r="A1266" s="30"/>
      <c r="B1266" s="31"/>
      <c r="C1266" s="32"/>
      <c r="D1266" s="33"/>
      <c r="E1266" s="34"/>
      <c r="F1266" s="34"/>
      <c r="G1266" s="35"/>
      <c r="H1266" s="34"/>
      <c r="I1266" s="37"/>
    </row>
    <row r="1267" ht="22.5" customHeight="1">
      <c r="A1267" s="30"/>
      <c r="B1267" s="31"/>
      <c r="C1267" s="32"/>
      <c r="D1267" s="33"/>
      <c r="E1267" s="34"/>
      <c r="F1267" s="34"/>
      <c r="G1267" s="35"/>
      <c r="H1267" s="34"/>
      <c r="I1267" s="37"/>
    </row>
    <row r="1268" ht="22.5" customHeight="1">
      <c r="A1268" s="30"/>
      <c r="B1268" s="31"/>
      <c r="C1268" s="32"/>
      <c r="D1268" s="33"/>
      <c r="E1268" s="34"/>
      <c r="F1268" s="34"/>
      <c r="G1268" s="35"/>
      <c r="H1268" s="34"/>
      <c r="I1268" s="38"/>
    </row>
    <row r="1269" ht="22.5" customHeight="1">
      <c r="A1269" s="30"/>
      <c r="B1269" s="39"/>
      <c r="C1269" s="32"/>
      <c r="D1269" s="33"/>
      <c r="E1269" s="34"/>
      <c r="F1269" s="34"/>
      <c r="G1269" s="35"/>
      <c r="H1269" s="34"/>
      <c r="I1269" s="37"/>
    </row>
    <row r="1270" ht="22.5" customHeight="1">
      <c r="A1270" s="30"/>
      <c r="B1270" s="31"/>
      <c r="C1270" s="32"/>
      <c r="D1270" s="33"/>
      <c r="E1270" s="34"/>
      <c r="F1270" s="34"/>
      <c r="G1270" s="35"/>
      <c r="H1270" s="34"/>
      <c r="I1270" s="37"/>
    </row>
    <row r="1271" ht="22.5" customHeight="1">
      <c r="A1271" s="30"/>
      <c r="B1271" s="31"/>
      <c r="C1271" s="32"/>
      <c r="D1271" s="33"/>
      <c r="E1271" s="34"/>
      <c r="F1271" s="34"/>
      <c r="G1271" s="35"/>
      <c r="H1271" s="34"/>
      <c r="I1271" s="37"/>
    </row>
    <row r="1272" ht="22.5" customHeight="1">
      <c r="A1272" s="30"/>
      <c r="B1272" s="31"/>
      <c r="C1272" s="32"/>
      <c r="D1272" s="33"/>
      <c r="E1272" s="34"/>
      <c r="F1272" s="34"/>
      <c r="G1272" s="35"/>
      <c r="H1272" s="34"/>
      <c r="I1272" s="37"/>
    </row>
    <row r="1273" ht="22.5" customHeight="1">
      <c r="A1273" s="30"/>
      <c r="B1273" s="39"/>
      <c r="C1273" s="32"/>
      <c r="D1273" s="33"/>
      <c r="E1273" s="34"/>
      <c r="F1273" s="34"/>
      <c r="G1273" s="35"/>
      <c r="H1273" s="34"/>
      <c r="I1273" s="37"/>
    </row>
    <row r="1274" ht="22.5" customHeight="1">
      <c r="A1274" s="30"/>
      <c r="B1274" s="31"/>
      <c r="C1274" s="32"/>
      <c r="D1274" s="33"/>
      <c r="E1274" s="34"/>
      <c r="F1274" s="34"/>
      <c r="G1274" s="35"/>
      <c r="H1274" s="34"/>
      <c r="I1274" s="37"/>
    </row>
    <row r="1275" ht="22.5" customHeight="1">
      <c r="A1275" s="30"/>
      <c r="B1275" s="39"/>
      <c r="C1275" s="32"/>
      <c r="D1275" s="33"/>
      <c r="E1275" s="34"/>
      <c r="F1275" s="34"/>
      <c r="G1275" s="35"/>
      <c r="H1275" s="34"/>
      <c r="I1275" s="37"/>
    </row>
    <row r="1276" ht="22.5" customHeight="1">
      <c r="A1276" s="30"/>
      <c r="B1276" s="31"/>
      <c r="C1276" s="32"/>
      <c r="D1276" s="33"/>
      <c r="E1276" s="34"/>
      <c r="F1276" s="34"/>
      <c r="G1276" s="35"/>
      <c r="H1276" s="34"/>
      <c r="I1276" s="37"/>
    </row>
    <row r="1277" ht="22.5" customHeight="1">
      <c r="A1277" s="30"/>
      <c r="B1277" s="31"/>
      <c r="C1277" s="32"/>
      <c r="D1277" s="33"/>
      <c r="E1277" s="34"/>
      <c r="F1277" s="34"/>
      <c r="G1277" s="35"/>
      <c r="H1277" s="34"/>
      <c r="I1277" s="37"/>
    </row>
    <row r="1278" ht="22.5" customHeight="1">
      <c r="A1278" s="30"/>
      <c r="B1278" s="31"/>
      <c r="C1278" s="32"/>
      <c r="D1278" s="33"/>
      <c r="E1278" s="34"/>
      <c r="F1278" s="34"/>
      <c r="G1278" s="35"/>
      <c r="H1278" s="34"/>
      <c r="I1278" s="37"/>
    </row>
    <row r="1279" ht="22.5" customHeight="1">
      <c r="A1279" s="30"/>
      <c r="B1279" s="31"/>
      <c r="C1279" s="32"/>
      <c r="D1279" s="33"/>
      <c r="E1279" s="34"/>
      <c r="F1279" s="34"/>
      <c r="G1279" s="35"/>
      <c r="H1279" s="34"/>
      <c r="I1279" s="37"/>
    </row>
    <row r="1280" ht="22.5" customHeight="1">
      <c r="A1280" s="30"/>
      <c r="B1280" s="31"/>
      <c r="C1280" s="32"/>
      <c r="D1280" s="33"/>
      <c r="E1280" s="34"/>
      <c r="F1280" s="34"/>
      <c r="G1280" s="35"/>
      <c r="H1280" s="34"/>
      <c r="I1280" s="37"/>
    </row>
    <row r="1281" ht="22.5" customHeight="1">
      <c r="A1281" s="30"/>
      <c r="B1281" s="31"/>
      <c r="C1281" s="32"/>
      <c r="D1281" s="33"/>
      <c r="E1281" s="34"/>
      <c r="F1281" s="34"/>
      <c r="G1281" s="35"/>
      <c r="H1281" s="34"/>
      <c r="I1281" s="37"/>
    </row>
    <row r="1282" ht="22.5" customHeight="1">
      <c r="A1282" s="30"/>
      <c r="B1282" s="31"/>
      <c r="C1282" s="32"/>
      <c r="D1282" s="33"/>
      <c r="E1282" s="34"/>
      <c r="F1282" s="34"/>
      <c r="G1282" s="35"/>
      <c r="H1282" s="34"/>
      <c r="I1282" s="37"/>
    </row>
    <row r="1283" ht="22.5" customHeight="1">
      <c r="A1283" s="30"/>
      <c r="B1283" s="31"/>
      <c r="C1283" s="32"/>
      <c r="D1283" s="33"/>
      <c r="E1283" s="34"/>
      <c r="F1283" s="34"/>
      <c r="G1283" s="35"/>
      <c r="H1283" s="34"/>
      <c r="I1283" s="37"/>
    </row>
    <row r="1284" ht="22.5" customHeight="1">
      <c r="A1284" s="30"/>
      <c r="B1284" s="31"/>
      <c r="C1284" s="32"/>
      <c r="D1284" s="33"/>
      <c r="E1284" s="34"/>
      <c r="F1284" s="34"/>
      <c r="G1284" s="35"/>
      <c r="H1284" s="34"/>
      <c r="I1284" s="37"/>
    </row>
    <row r="1285" ht="22.5" customHeight="1">
      <c r="A1285" s="30"/>
      <c r="B1285" s="31"/>
      <c r="C1285" s="32"/>
      <c r="D1285" s="33"/>
      <c r="E1285" s="34"/>
      <c r="F1285" s="34"/>
      <c r="G1285" s="35"/>
      <c r="H1285" s="34"/>
      <c r="I1285" s="37"/>
    </row>
    <row r="1286" ht="22.5" customHeight="1">
      <c r="A1286" s="30"/>
      <c r="B1286" s="40"/>
      <c r="C1286" s="32"/>
      <c r="D1286" s="33"/>
      <c r="E1286" s="34"/>
      <c r="F1286" s="34"/>
      <c r="G1286" s="35"/>
      <c r="H1286" s="34"/>
      <c r="I1286" s="37"/>
    </row>
    <row r="1287" ht="22.5" customHeight="1">
      <c r="A1287" s="30"/>
      <c r="B1287" s="31"/>
      <c r="C1287" s="32"/>
      <c r="D1287" s="33"/>
      <c r="E1287" s="34"/>
      <c r="F1287" s="34"/>
      <c r="G1287" s="35"/>
      <c r="H1287" s="34"/>
      <c r="I1287" s="37"/>
    </row>
    <row r="1288" ht="22.5" customHeight="1">
      <c r="A1288" s="30"/>
      <c r="B1288" s="31"/>
      <c r="C1288" s="32"/>
      <c r="D1288" s="33"/>
      <c r="E1288" s="34"/>
      <c r="F1288" s="34"/>
      <c r="G1288" s="35"/>
      <c r="H1288" s="34"/>
      <c r="I1288" s="37"/>
    </row>
    <row r="1289" ht="22.5" customHeight="1">
      <c r="A1289" s="30"/>
      <c r="B1289" s="31"/>
      <c r="C1289" s="32"/>
      <c r="D1289" s="33"/>
      <c r="E1289" s="34"/>
      <c r="F1289" s="34"/>
      <c r="G1289" s="35"/>
      <c r="H1289" s="34"/>
      <c r="I1289" s="37"/>
    </row>
    <row r="1290" ht="22.5" customHeight="1">
      <c r="A1290" s="30"/>
      <c r="B1290" s="31"/>
      <c r="C1290" s="32"/>
      <c r="D1290" s="33"/>
      <c r="E1290" s="34"/>
      <c r="F1290" s="34"/>
      <c r="G1290" s="35"/>
      <c r="H1290" s="34"/>
      <c r="I1290" s="37"/>
    </row>
    <row r="1291" ht="22.5" customHeight="1">
      <c r="A1291" s="30"/>
      <c r="B1291" s="31"/>
      <c r="C1291" s="32"/>
      <c r="D1291" s="33"/>
      <c r="E1291" s="34"/>
      <c r="F1291" s="34"/>
      <c r="G1291" s="35"/>
      <c r="H1291" s="34"/>
      <c r="I1291" s="37"/>
    </row>
    <row r="1292" ht="22.5" customHeight="1">
      <c r="A1292" s="30"/>
      <c r="B1292" s="31"/>
      <c r="C1292" s="32"/>
      <c r="D1292" s="33"/>
      <c r="E1292" s="34"/>
      <c r="F1292" s="34"/>
      <c r="G1292" s="35"/>
      <c r="H1292" s="34"/>
      <c r="I1292" s="37"/>
    </row>
    <row r="1293" ht="22.5" customHeight="1">
      <c r="A1293" s="30"/>
      <c r="B1293" s="39"/>
      <c r="C1293" s="32"/>
      <c r="D1293" s="33"/>
      <c r="E1293" s="34"/>
      <c r="F1293" s="34"/>
      <c r="G1293" s="35"/>
      <c r="H1293" s="34"/>
      <c r="I1293" s="37"/>
    </row>
    <row r="1294" ht="22.5" customHeight="1">
      <c r="A1294" s="30"/>
      <c r="B1294" s="39"/>
      <c r="C1294" s="32"/>
      <c r="D1294" s="33"/>
      <c r="E1294" s="34"/>
      <c r="F1294" s="34"/>
      <c r="G1294" s="35"/>
      <c r="H1294" s="34"/>
      <c r="I1294" s="37"/>
    </row>
    <row r="1295" ht="22.5" customHeight="1">
      <c r="A1295" s="30"/>
      <c r="B1295" s="39"/>
      <c r="C1295" s="32"/>
      <c r="D1295" s="33"/>
      <c r="E1295" s="34"/>
      <c r="F1295" s="34"/>
      <c r="G1295" s="35"/>
      <c r="H1295" s="34"/>
      <c r="I1295" s="37"/>
    </row>
    <row r="1296" ht="22.5" customHeight="1">
      <c r="A1296" s="30"/>
      <c r="B1296" s="40"/>
      <c r="C1296" s="32"/>
      <c r="D1296" s="33"/>
      <c r="E1296" s="34"/>
      <c r="F1296" s="34"/>
      <c r="G1296" s="35"/>
      <c r="H1296" s="34"/>
      <c r="I1296" s="37"/>
    </row>
    <row r="1297" ht="22.5" customHeight="1">
      <c r="A1297" s="30"/>
      <c r="B1297" s="31"/>
      <c r="C1297" s="32"/>
      <c r="D1297" s="33"/>
      <c r="E1297" s="34"/>
      <c r="F1297" s="34"/>
      <c r="G1297" s="35"/>
      <c r="H1297" s="34"/>
      <c r="I1297" s="37"/>
    </row>
    <row r="1298" ht="22.5" customHeight="1">
      <c r="A1298" s="30"/>
      <c r="B1298" s="31"/>
      <c r="C1298" s="32"/>
      <c r="D1298" s="33"/>
      <c r="E1298" s="34"/>
      <c r="F1298" s="34"/>
      <c r="G1298" s="35"/>
      <c r="H1298" s="34"/>
      <c r="I1298" s="37"/>
    </row>
    <row r="1299" ht="22.5" customHeight="1">
      <c r="A1299" s="30"/>
      <c r="B1299" s="31"/>
      <c r="C1299" s="32"/>
      <c r="D1299" s="33"/>
      <c r="E1299" s="34"/>
      <c r="F1299" s="34"/>
      <c r="G1299" s="35"/>
      <c r="H1299" s="34"/>
      <c r="I1299" s="37"/>
    </row>
    <row r="1300" ht="22.5" customHeight="1">
      <c r="A1300" s="30"/>
      <c r="B1300" s="31"/>
      <c r="C1300" s="32"/>
      <c r="D1300" s="33"/>
      <c r="E1300" s="34"/>
      <c r="F1300" s="34"/>
      <c r="G1300" s="35"/>
      <c r="H1300" s="34"/>
      <c r="I1300" s="37"/>
    </row>
    <row r="1301" ht="22.5" customHeight="1">
      <c r="A1301" s="30"/>
      <c r="B1301" s="31"/>
      <c r="C1301" s="32"/>
      <c r="D1301" s="33"/>
      <c r="E1301" s="34"/>
      <c r="F1301" s="34"/>
      <c r="G1301" s="35"/>
      <c r="H1301" s="34"/>
      <c r="I1301" s="37"/>
    </row>
    <row r="1302" ht="22.5" customHeight="1">
      <c r="A1302" s="30"/>
      <c r="B1302" s="31"/>
      <c r="C1302" s="32"/>
      <c r="D1302" s="33"/>
      <c r="E1302" s="34"/>
      <c r="F1302" s="34"/>
      <c r="G1302" s="35"/>
      <c r="H1302" s="34"/>
      <c r="I1302" s="37"/>
    </row>
    <row r="1303" ht="22.5" customHeight="1">
      <c r="A1303" s="30"/>
      <c r="B1303" s="31"/>
      <c r="C1303" s="32"/>
      <c r="D1303" s="33"/>
      <c r="E1303" s="34"/>
      <c r="F1303" s="34"/>
      <c r="G1303" s="35"/>
      <c r="H1303" s="34"/>
      <c r="I1303" s="37"/>
    </row>
    <row r="1304" ht="22.5" customHeight="1">
      <c r="A1304" s="30"/>
      <c r="B1304" s="31"/>
      <c r="C1304" s="32"/>
      <c r="D1304" s="33"/>
      <c r="E1304" s="34"/>
      <c r="F1304" s="34"/>
      <c r="G1304" s="35"/>
      <c r="H1304" s="34"/>
      <c r="I1304" s="37"/>
    </row>
    <row r="1305" ht="22.5" customHeight="1">
      <c r="A1305" s="30"/>
      <c r="B1305" s="31"/>
      <c r="C1305" s="32"/>
      <c r="D1305" s="33"/>
      <c r="E1305" s="34"/>
      <c r="F1305" s="34"/>
      <c r="G1305" s="35"/>
      <c r="H1305" s="34"/>
      <c r="I1305" s="37"/>
    </row>
    <row r="1306" ht="22.5" customHeight="1">
      <c r="A1306" s="30"/>
      <c r="B1306" s="40"/>
      <c r="C1306" s="32"/>
      <c r="D1306" s="33"/>
      <c r="E1306" s="34"/>
      <c r="F1306" s="34"/>
      <c r="G1306" s="35"/>
      <c r="H1306" s="34"/>
      <c r="I1306" s="37"/>
    </row>
    <row r="1307" ht="22.5" customHeight="1">
      <c r="A1307" s="30"/>
      <c r="B1307" s="31"/>
      <c r="C1307" s="32"/>
      <c r="D1307" s="33"/>
      <c r="E1307" s="34"/>
      <c r="F1307" s="34"/>
      <c r="G1307" s="35"/>
      <c r="H1307" s="34"/>
      <c r="I1307" s="37"/>
    </row>
    <row r="1308" ht="22.5" customHeight="1">
      <c r="A1308" s="30"/>
      <c r="B1308" s="31"/>
      <c r="C1308" s="32"/>
      <c r="D1308" s="33"/>
      <c r="E1308" s="34"/>
      <c r="F1308" s="34"/>
      <c r="G1308" s="35"/>
      <c r="H1308" s="34"/>
      <c r="I1308" s="37"/>
    </row>
    <row r="1309" ht="22.5" customHeight="1">
      <c r="A1309" s="30"/>
      <c r="B1309" s="31"/>
      <c r="C1309" s="32"/>
      <c r="D1309" s="33"/>
      <c r="E1309" s="34"/>
      <c r="F1309" s="34"/>
      <c r="G1309" s="35"/>
      <c r="H1309" s="34"/>
      <c r="I1309" s="37"/>
    </row>
    <row r="1310" ht="22.5" customHeight="1">
      <c r="A1310" s="30"/>
      <c r="B1310" s="40"/>
      <c r="C1310" s="32"/>
      <c r="D1310" s="33"/>
      <c r="E1310" s="34"/>
      <c r="F1310" s="34"/>
      <c r="G1310" s="35"/>
      <c r="H1310" s="34"/>
      <c r="I1310" s="37"/>
    </row>
    <row r="1311" ht="22.5" customHeight="1">
      <c r="A1311" s="30"/>
      <c r="B1311" s="31"/>
      <c r="C1311" s="32"/>
      <c r="D1311" s="33"/>
      <c r="E1311" s="34"/>
      <c r="F1311" s="34"/>
      <c r="G1311" s="35"/>
      <c r="H1311" s="34"/>
      <c r="I1311" s="37"/>
    </row>
    <row r="1312" ht="22.5" customHeight="1">
      <c r="A1312" s="30"/>
      <c r="B1312" s="31"/>
      <c r="C1312" s="32"/>
      <c r="D1312" s="33"/>
      <c r="E1312" s="34"/>
      <c r="F1312" s="34"/>
      <c r="G1312" s="35"/>
      <c r="H1312" s="34"/>
      <c r="I1312" s="37"/>
    </row>
    <row r="1313" ht="22.5" customHeight="1">
      <c r="A1313" s="30"/>
      <c r="B1313" s="31"/>
      <c r="C1313" s="32"/>
      <c r="D1313" s="33"/>
      <c r="E1313" s="34"/>
      <c r="F1313" s="34"/>
      <c r="G1313" s="35"/>
      <c r="H1313" s="34"/>
      <c r="I1313" s="37"/>
    </row>
    <row r="1314" ht="22.5" customHeight="1">
      <c r="A1314" s="30"/>
      <c r="B1314" s="31"/>
      <c r="C1314" s="32"/>
      <c r="D1314" s="33"/>
      <c r="E1314" s="34"/>
      <c r="F1314" s="34"/>
      <c r="G1314" s="35"/>
      <c r="H1314" s="34"/>
      <c r="I1314" s="37"/>
    </row>
    <row r="1315" ht="22.5" customHeight="1">
      <c r="A1315" s="30"/>
      <c r="B1315" s="31"/>
      <c r="C1315" s="32"/>
      <c r="D1315" s="33"/>
      <c r="E1315" s="34"/>
      <c r="F1315" s="34"/>
      <c r="G1315" s="35"/>
      <c r="H1315" s="34"/>
      <c r="I1315" s="37"/>
    </row>
    <row r="1316" ht="22.5" customHeight="1">
      <c r="A1316" s="30"/>
      <c r="B1316" s="31"/>
      <c r="C1316" s="32"/>
      <c r="D1316" s="33"/>
      <c r="E1316" s="34"/>
      <c r="F1316" s="34"/>
      <c r="G1316" s="35"/>
      <c r="H1316" s="34"/>
      <c r="I1316" s="37"/>
    </row>
    <row r="1317" ht="22.5" customHeight="1">
      <c r="A1317" s="30"/>
      <c r="B1317" s="31"/>
      <c r="C1317" s="32"/>
      <c r="D1317" s="33"/>
      <c r="E1317" s="34"/>
      <c r="F1317" s="34"/>
      <c r="G1317" s="35"/>
      <c r="H1317" s="34"/>
      <c r="I1317" s="37"/>
    </row>
    <row r="1318" ht="22.5" customHeight="1">
      <c r="A1318" s="30"/>
      <c r="B1318" s="31"/>
      <c r="C1318" s="32"/>
      <c r="D1318" s="33"/>
      <c r="E1318" s="34"/>
      <c r="F1318" s="34"/>
      <c r="G1318" s="35"/>
      <c r="H1318" s="34"/>
      <c r="I1318" s="37"/>
    </row>
    <row r="1319" ht="22.5" customHeight="1">
      <c r="A1319" s="30"/>
      <c r="B1319" s="31"/>
      <c r="C1319" s="32"/>
      <c r="D1319" s="33"/>
      <c r="E1319" s="34"/>
      <c r="F1319" s="34"/>
      <c r="G1319" s="35"/>
      <c r="H1319" s="34"/>
      <c r="I1319" s="37"/>
    </row>
    <row r="1320" ht="22.5" customHeight="1">
      <c r="A1320" s="30"/>
      <c r="B1320" s="31"/>
      <c r="C1320" s="32"/>
      <c r="D1320" s="33"/>
      <c r="E1320" s="34"/>
      <c r="F1320" s="34"/>
      <c r="G1320" s="35"/>
      <c r="H1320" s="34"/>
      <c r="I1320" s="37"/>
    </row>
    <row r="1321" ht="22.5" customHeight="1">
      <c r="A1321" s="30"/>
      <c r="B1321" s="31"/>
      <c r="C1321" s="32"/>
      <c r="D1321" s="33"/>
      <c r="E1321" s="34"/>
      <c r="F1321" s="34"/>
      <c r="G1321" s="35"/>
      <c r="H1321" s="34"/>
      <c r="I1321" s="37"/>
    </row>
    <row r="1322" ht="22.5" customHeight="1">
      <c r="A1322" s="30"/>
      <c r="B1322" s="31"/>
      <c r="C1322" s="32"/>
      <c r="D1322" s="33"/>
      <c r="E1322" s="34"/>
      <c r="F1322" s="34"/>
      <c r="G1322" s="35"/>
      <c r="H1322" s="34"/>
      <c r="I1322" s="37"/>
    </row>
    <row r="1323" ht="22.5" customHeight="1">
      <c r="A1323" s="30"/>
      <c r="B1323" s="31"/>
      <c r="C1323" s="32"/>
      <c r="D1323" s="33"/>
      <c r="E1323" s="34"/>
      <c r="F1323" s="34"/>
      <c r="G1323" s="35"/>
      <c r="H1323" s="34"/>
      <c r="I1323" s="37"/>
    </row>
    <row r="1324" ht="22.5" customHeight="1">
      <c r="A1324" s="30"/>
      <c r="B1324" s="31"/>
      <c r="C1324" s="32"/>
      <c r="D1324" s="33"/>
      <c r="E1324" s="34"/>
      <c r="F1324" s="34"/>
      <c r="G1324" s="35"/>
      <c r="H1324" s="34"/>
      <c r="I1324" s="37"/>
    </row>
    <row r="1325" ht="22.5" customHeight="1">
      <c r="A1325" s="30"/>
      <c r="B1325" s="40"/>
      <c r="C1325" s="32"/>
      <c r="D1325" s="33"/>
      <c r="E1325" s="34"/>
      <c r="F1325" s="34"/>
      <c r="G1325" s="35"/>
      <c r="H1325" s="34"/>
      <c r="I1325" s="37"/>
    </row>
    <row r="1326" ht="22.5" customHeight="1">
      <c r="A1326" s="30"/>
      <c r="B1326" s="31"/>
      <c r="C1326" s="32"/>
      <c r="D1326" s="33"/>
      <c r="E1326" s="34"/>
      <c r="F1326" s="34"/>
      <c r="G1326" s="35"/>
      <c r="H1326" s="34"/>
      <c r="I1326" s="37"/>
    </row>
    <row r="1327" ht="22.5" customHeight="1">
      <c r="A1327" s="30"/>
      <c r="B1327" s="40"/>
      <c r="C1327" s="32"/>
      <c r="D1327" s="33"/>
      <c r="E1327" s="34"/>
      <c r="F1327" s="34"/>
      <c r="G1327" s="35"/>
      <c r="H1327" s="34"/>
      <c r="I1327" s="37"/>
    </row>
    <row r="1328" ht="22.5" customHeight="1">
      <c r="A1328" s="30"/>
      <c r="B1328" s="31"/>
      <c r="C1328" s="32"/>
      <c r="D1328" s="33"/>
      <c r="E1328" s="34"/>
      <c r="F1328" s="34"/>
      <c r="G1328" s="35"/>
      <c r="H1328" s="34"/>
      <c r="I1328" s="37"/>
    </row>
    <row r="1329" ht="22.5" customHeight="1">
      <c r="A1329" s="30"/>
      <c r="B1329" s="31"/>
      <c r="C1329" s="32"/>
      <c r="D1329" s="33"/>
      <c r="E1329" s="34"/>
      <c r="F1329" s="34"/>
      <c r="G1329" s="35"/>
      <c r="H1329" s="34"/>
      <c r="I1329" s="37"/>
    </row>
    <row r="1330" ht="22.5" customHeight="1">
      <c r="A1330" s="30"/>
      <c r="B1330" s="31"/>
      <c r="C1330" s="32"/>
      <c r="D1330" s="33"/>
      <c r="E1330" s="34"/>
      <c r="F1330" s="34"/>
      <c r="G1330" s="35"/>
      <c r="H1330" s="34"/>
      <c r="I1330" s="37"/>
    </row>
    <row r="1331" ht="22.5" customHeight="1">
      <c r="A1331" s="30"/>
      <c r="B1331" s="31"/>
      <c r="C1331" s="32"/>
      <c r="D1331" s="33"/>
      <c r="E1331" s="34"/>
      <c r="F1331" s="34"/>
      <c r="G1331" s="35"/>
      <c r="H1331" s="34"/>
      <c r="I1331" s="37"/>
    </row>
    <row r="1332" ht="22.5" customHeight="1">
      <c r="A1332" s="30"/>
      <c r="B1332" s="40"/>
      <c r="C1332" s="32"/>
      <c r="D1332" s="33"/>
      <c r="E1332" s="34"/>
      <c r="F1332" s="34"/>
      <c r="G1332" s="35"/>
      <c r="H1332" s="34"/>
      <c r="I1332" s="37"/>
    </row>
    <row r="1333" ht="22.5" customHeight="1">
      <c r="A1333" s="30"/>
      <c r="B1333" s="31"/>
      <c r="C1333" s="32"/>
      <c r="D1333" s="33"/>
      <c r="E1333" s="34"/>
      <c r="F1333" s="34"/>
      <c r="G1333" s="35"/>
      <c r="H1333" s="34"/>
      <c r="I1333" s="37"/>
    </row>
    <row r="1334" ht="22.5" customHeight="1">
      <c r="A1334" s="30"/>
      <c r="B1334" s="31"/>
      <c r="C1334" s="32"/>
      <c r="D1334" s="33"/>
      <c r="E1334" s="34"/>
      <c r="F1334" s="34"/>
      <c r="G1334" s="35"/>
      <c r="H1334" s="34"/>
      <c r="I1334" s="37"/>
    </row>
    <row r="1335" ht="22.5" customHeight="1">
      <c r="A1335" s="30"/>
      <c r="B1335" s="31"/>
      <c r="C1335" s="32"/>
      <c r="D1335" s="33"/>
      <c r="E1335" s="34"/>
      <c r="F1335" s="34"/>
      <c r="G1335" s="35"/>
      <c r="H1335" s="34"/>
      <c r="I1335" s="37"/>
    </row>
    <row r="1336" ht="22.5" customHeight="1">
      <c r="A1336" s="30"/>
      <c r="B1336" s="31"/>
      <c r="C1336" s="32"/>
      <c r="D1336" s="33"/>
      <c r="E1336" s="34"/>
      <c r="F1336" s="34"/>
      <c r="G1336" s="35"/>
      <c r="H1336" s="34"/>
      <c r="I1336" s="37"/>
    </row>
    <row r="1337" ht="22.5" customHeight="1">
      <c r="A1337" s="30"/>
      <c r="B1337" s="31"/>
      <c r="C1337" s="32"/>
      <c r="D1337" s="33"/>
      <c r="E1337" s="34"/>
      <c r="F1337" s="34"/>
      <c r="G1337" s="35"/>
      <c r="H1337" s="34"/>
      <c r="I1337" s="37"/>
    </row>
    <row r="1338" ht="22.5" customHeight="1">
      <c r="A1338" s="30"/>
      <c r="B1338" s="31"/>
      <c r="C1338" s="32"/>
      <c r="D1338" s="33"/>
      <c r="E1338" s="34"/>
      <c r="F1338" s="34"/>
      <c r="G1338" s="35"/>
      <c r="H1338" s="34"/>
      <c r="I1338" s="37"/>
    </row>
    <row r="1339" ht="22.5" customHeight="1">
      <c r="A1339" s="30"/>
      <c r="B1339" s="31"/>
      <c r="C1339" s="32"/>
      <c r="D1339" s="33"/>
      <c r="E1339" s="34"/>
      <c r="F1339" s="34"/>
      <c r="G1339" s="35"/>
      <c r="H1339" s="34"/>
      <c r="I1339" s="37"/>
    </row>
    <row r="1340" ht="22.5" customHeight="1">
      <c r="A1340" s="30"/>
      <c r="B1340" s="31"/>
      <c r="C1340" s="32"/>
      <c r="D1340" s="33"/>
      <c r="E1340" s="34"/>
      <c r="F1340" s="34"/>
      <c r="G1340" s="35"/>
      <c r="H1340" s="34"/>
      <c r="I1340" s="37"/>
    </row>
    <row r="1341" ht="22.5" customHeight="1">
      <c r="A1341" s="30"/>
      <c r="B1341" s="31"/>
      <c r="C1341" s="32"/>
      <c r="D1341" s="33"/>
      <c r="E1341" s="34"/>
      <c r="F1341" s="34"/>
      <c r="G1341" s="35"/>
      <c r="H1341" s="34"/>
      <c r="I1341" s="37"/>
    </row>
    <row r="1342" ht="22.5" customHeight="1">
      <c r="A1342" s="30"/>
      <c r="B1342" s="31"/>
      <c r="C1342" s="32"/>
      <c r="D1342" s="33"/>
      <c r="E1342" s="34"/>
      <c r="F1342" s="34"/>
      <c r="G1342" s="35"/>
      <c r="H1342" s="34"/>
      <c r="I1342" s="37"/>
    </row>
    <row r="1343" ht="22.5" customHeight="1">
      <c r="A1343" s="30"/>
      <c r="B1343" s="31"/>
      <c r="C1343" s="32"/>
      <c r="D1343" s="33"/>
      <c r="E1343" s="34"/>
      <c r="F1343" s="34"/>
      <c r="G1343" s="35"/>
      <c r="H1343" s="34"/>
      <c r="I1343" s="37"/>
    </row>
    <row r="1344" ht="22.5" customHeight="1">
      <c r="A1344" s="30"/>
      <c r="B1344" s="31"/>
      <c r="C1344" s="32"/>
      <c r="D1344" s="33"/>
      <c r="E1344" s="34"/>
      <c r="F1344" s="34"/>
      <c r="G1344" s="35"/>
      <c r="H1344" s="34"/>
      <c r="I1344" s="37"/>
    </row>
    <row r="1345" ht="22.5" customHeight="1">
      <c r="A1345" s="30"/>
      <c r="B1345" s="31"/>
      <c r="C1345" s="32"/>
      <c r="D1345" s="33"/>
      <c r="E1345" s="34"/>
      <c r="F1345" s="34"/>
      <c r="G1345" s="35"/>
      <c r="H1345" s="34"/>
      <c r="I1345" s="37"/>
    </row>
    <row r="1346" ht="22.5" customHeight="1">
      <c r="A1346" s="30"/>
      <c r="B1346" s="31"/>
      <c r="C1346" s="32"/>
      <c r="D1346" s="33"/>
      <c r="E1346" s="34"/>
      <c r="F1346" s="34"/>
      <c r="G1346" s="35"/>
      <c r="H1346" s="34"/>
      <c r="I1346" s="37"/>
    </row>
    <row r="1347" ht="22.5" customHeight="1">
      <c r="A1347" s="30"/>
      <c r="B1347" s="31"/>
      <c r="C1347" s="32"/>
      <c r="D1347" s="33"/>
      <c r="E1347" s="34"/>
      <c r="F1347" s="34"/>
      <c r="G1347" s="35"/>
      <c r="H1347" s="34"/>
      <c r="I1347" s="37"/>
    </row>
    <row r="1348" ht="22.5" customHeight="1">
      <c r="A1348" s="30"/>
      <c r="B1348" s="31"/>
      <c r="C1348" s="32"/>
      <c r="D1348" s="33"/>
      <c r="E1348" s="34"/>
      <c r="F1348" s="34"/>
      <c r="G1348" s="35"/>
      <c r="H1348" s="34"/>
      <c r="I1348" s="37"/>
    </row>
    <row r="1349" ht="22.5" customHeight="1">
      <c r="A1349" s="30"/>
      <c r="B1349" s="31"/>
      <c r="C1349" s="32"/>
      <c r="D1349" s="33"/>
      <c r="E1349" s="34"/>
      <c r="F1349" s="34"/>
      <c r="G1349" s="35"/>
      <c r="H1349" s="34"/>
      <c r="I1349" s="37"/>
    </row>
    <row r="1350" ht="22.5" customHeight="1">
      <c r="A1350" s="30"/>
      <c r="B1350" s="31"/>
      <c r="C1350" s="32"/>
      <c r="D1350" s="33"/>
      <c r="E1350" s="34"/>
      <c r="F1350" s="34"/>
      <c r="G1350" s="35"/>
      <c r="H1350" s="34"/>
      <c r="I1350" s="37"/>
    </row>
    <row r="1351" ht="22.5" customHeight="1">
      <c r="A1351" s="30"/>
      <c r="B1351" s="31"/>
      <c r="C1351" s="32"/>
      <c r="D1351" s="33"/>
      <c r="E1351" s="34"/>
      <c r="F1351" s="34"/>
      <c r="G1351" s="35"/>
      <c r="H1351" s="34"/>
      <c r="I1351" s="37"/>
    </row>
    <row r="1352" ht="22.5" customHeight="1">
      <c r="A1352" s="30"/>
      <c r="B1352" s="31"/>
      <c r="C1352" s="32"/>
      <c r="D1352" s="33"/>
      <c r="E1352" s="34"/>
      <c r="F1352" s="34"/>
      <c r="G1352" s="35"/>
      <c r="H1352" s="34"/>
      <c r="I1352" s="37"/>
    </row>
    <row r="1353" ht="22.5" customHeight="1">
      <c r="A1353" s="30"/>
      <c r="B1353" s="31"/>
      <c r="C1353" s="32"/>
      <c r="D1353" s="33"/>
      <c r="E1353" s="34"/>
      <c r="F1353" s="34"/>
      <c r="G1353" s="35"/>
      <c r="H1353" s="34"/>
      <c r="I1353" s="37"/>
    </row>
    <row r="1354" ht="22.5" customHeight="1">
      <c r="A1354" s="30"/>
      <c r="B1354" s="40"/>
      <c r="C1354" s="32"/>
      <c r="D1354" s="33"/>
      <c r="E1354" s="34"/>
      <c r="F1354" s="34"/>
      <c r="G1354" s="35"/>
      <c r="H1354" s="34"/>
      <c r="I1354" s="37"/>
    </row>
    <row r="1355" ht="22.5" customHeight="1">
      <c r="A1355" s="30"/>
      <c r="B1355" s="31"/>
      <c r="C1355" s="32"/>
      <c r="D1355" s="33"/>
      <c r="E1355" s="34"/>
      <c r="F1355" s="34"/>
      <c r="G1355" s="35"/>
      <c r="H1355" s="34"/>
      <c r="I1355" s="37"/>
    </row>
    <row r="1356" ht="22.5" customHeight="1">
      <c r="A1356" s="30"/>
      <c r="B1356" s="31"/>
      <c r="C1356" s="32"/>
      <c r="D1356" s="33"/>
      <c r="E1356" s="34"/>
      <c r="F1356" s="34"/>
      <c r="G1356" s="35"/>
      <c r="H1356" s="34"/>
      <c r="I1356" s="37"/>
    </row>
    <row r="1357" ht="22.5" customHeight="1">
      <c r="A1357" s="30"/>
      <c r="B1357" s="31"/>
      <c r="C1357" s="32"/>
      <c r="D1357" s="33"/>
      <c r="E1357" s="34"/>
      <c r="F1357" s="34"/>
      <c r="G1357" s="35"/>
      <c r="H1357" s="34"/>
      <c r="I1357" s="37"/>
    </row>
    <row r="1358" ht="22.5" customHeight="1">
      <c r="A1358" s="30"/>
      <c r="B1358" s="31"/>
      <c r="C1358" s="32"/>
      <c r="D1358" s="33"/>
      <c r="E1358" s="34"/>
      <c r="F1358" s="34"/>
      <c r="G1358" s="35"/>
      <c r="H1358" s="34"/>
      <c r="I1358" s="38"/>
    </row>
    <row r="1359" ht="22.5" customHeight="1">
      <c r="A1359" s="30"/>
      <c r="B1359" s="39"/>
      <c r="C1359" s="32"/>
      <c r="D1359" s="33"/>
      <c r="E1359" s="34"/>
      <c r="F1359" s="34"/>
      <c r="G1359" s="35"/>
      <c r="H1359" s="34"/>
      <c r="I1359" s="37"/>
    </row>
    <row r="1360" ht="22.5" customHeight="1">
      <c r="A1360" s="30"/>
      <c r="B1360" s="31"/>
      <c r="C1360" s="32"/>
      <c r="D1360" s="33"/>
      <c r="E1360" s="34"/>
      <c r="F1360" s="34"/>
      <c r="G1360" s="35"/>
      <c r="H1360" s="34"/>
      <c r="I1360" s="37"/>
    </row>
    <row r="1361" ht="22.5" customHeight="1">
      <c r="A1361" s="30"/>
      <c r="B1361" s="31"/>
      <c r="C1361" s="32"/>
      <c r="D1361" s="33"/>
      <c r="E1361" s="34"/>
      <c r="F1361" s="34"/>
      <c r="G1361" s="35"/>
      <c r="H1361" s="34"/>
      <c r="I1361" s="37"/>
    </row>
    <row r="1362" ht="22.5" customHeight="1">
      <c r="A1362" s="30"/>
      <c r="B1362" s="31"/>
      <c r="C1362" s="32"/>
      <c r="D1362" s="33"/>
      <c r="E1362" s="34"/>
      <c r="F1362" s="34"/>
      <c r="G1362" s="35"/>
      <c r="H1362" s="34"/>
      <c r="I1362" s="37"/>
    </row>
    <row r="1363" ht="22.5" customHeight="1">
      <c r="A1363" s="30"/>
      <c r="B1363" s="39"/>
      <c r="C1363" s="32"/>
      <c r="D1363" s="33"/>
      <c r="E1363" s="34"/>
      <c r="F1363" s="34"/>
      <c r="G1363" s="35"/>
      <c r="H1363" s="34"/>
      <c r="I1363" s="37"/>
    </row>
    <row r="1364" ht="22.5" customHeight="1">
      <c r="A1364" s="30"/>
      <c r="B1364" s="31"/>
      <c r="C1364" s="32"/>
      <c r="D1364" s="33"/>
      <c r="E1364" s="34"/>
      <c r="F1364" s="34"/>
      <c r="G1364" s="35"/>
      <c r="H1364" s="34"/>
      <c r="I1364" s="37"/>
    </row>
    <row r="1365" ht="22.5" customHeight="1">
      <c r="A1365" s="30"/>
      <c r="B1365" s="39"/>
      <c r="C1365" s="32"/>
      <c r="D1365" s="33"/>
      <c r="E1365" s="34"/>
      <c r="F1365" s="34"/>
      <c r="G1365" s="35"/>
      <c r="H1365" s="34"/>
      <c r="I1365" s="37"/>
    </row>
    <row r="1366" ht="22.5" customHeight="1">
      <c r="A1366" s="30"/>
      <c r="B1366" s="31"/>
      <c r="C1366" s="32"/>
      <c r="D1366" s="33"/>
      <c r="E1366" s="34"/>
      <c r="F1366" s="34"/>
      <c r="G1366" s="35"/>
      <c r="H1366" s="34"/>
      <c r="I1366" s="37"/>
    </row>
    <row r="1367" ht="22.5" customHeight="1">
      <c r="A1367" s="30"/>
      <c r="B1367" s="31"/>
      <c r="C1367" s="32"/>
      <c r="D1367" s="33"/>
      <c r="E1367" s="34"/>
      <c r="F1367" s="34"/>
      <c r="G1367" s="35"/>
      <c r="H1367" s="34"/>
      <c r="I1367" s="37"/>
    </row>
    <row r="1368" ht="22.5" customHeight="1">
      <c r="A1368" s="30"/>
      <c r="B1368" s="31"/>
      <c r="C1368" s="32"/>
      <c r="D1368" s="33"/>
      <c r="E1368" s="34"/>
      <c r="F1368" s="34"/>
      <c r="G1368" s="35"/>
      <c r="H1368" s="34"/>
      <c r="I1368" s="37"/>
    </row>
    <row r="1369" ht="22.5" customHeight="1">
      <c r="A1369" s="30"/>
      <c r="B1369" s="31"/>
      <c r="C1369" s="32"/>
      <c r="D1369" s="33"/>
      <c r="E1369" s="34"/>
      <c r="F1369" s="34"/>
      <c r="G1369" s="35"/>
      <c r="H1369" s="34"/>
      <c r="I1369" s="37"/>
    </row>
    <row r="1370" ht="22.5" customHeight="1">
      <c r="A1370" s="30"/>
      <c r="B1370" s="31"/>
      <c r="C1370" s="32"/>
      <c r="D1370" s="33"/>
      <c r="E1370" s="34"/>
      <c r="F1370" s="34"/>
      <c r="G1370" s="35"/>
      <c r="H1370" s="34"/>
      <c r="I1370" s="37"/>
    </row>
    <row r="1371" ht="22.5" customHeight="1">
      <c r="A1371" s="30"/>
      <c r="B1371" s="31"/>
      <c r="C1371" s="32"/>
      <c r="D1371" s="33"/>
      <c r="E1371" s="34"/>
      <c r="F1371" s="34"/>
      <c r="G1371" s="35"/>
      <c r="H1371" s="34"/>
      <c r="I1371" s="37"/>
    </row>
    <row r="1372" ht="22.5" customHeight="1">
      <c r="A1372" s="30"/>
      <c r="B1372" s="31"/>
      <c r="C1372" s="32"/>
      <c r="D1372" s="33"/>
      <c r="E1372" s="34"/>
      <c r="F1372" s="34"/>
      <c r="G1372" s="35"/>
      <c r="H1372" s="34"/>
      <c r="I1372" s="37"/>
    </row>
    <row r="1373" ht="22.5" customHeight="1">
      <c r="A1373" s="30"/>
      <c r="B1373" s="31"/>
      <c r="C1373" s="32"/>
      <c r="D1373" s="33"/>
      <c r="E1373" s="34"/>
      <c r="F1373" s="34"/>
      <c r="G1373" s="35"/>
      <c r="H1373" s="34"/>
      <c r="I1373" s="37"/>
    </row>
    <row r="1374" ht="22.5" customHeight="1">
      <c r="A1374" s="30"/>
      <c r="B1374" s="31"/>
      <c r="C1374" s="32"/>
      <c r="D1374" s="33"/>
      <c r="E1374" s="34"/>
      <c r="F1374" s="34"/>
      <c r="G1374" s="35"/>
      <c r="H1374" s="34"/>
      <c r="I1374" s="37"/>
    </row>
    <row r="1375" ht="22.5" customHeight="1">
      <c r="A1375" s="30"/>
      <c r="B1375" s="31"/>
      <c r="C1375" s="32"/>
      <c r="D1375" s="33"/>
      <c r="E1375" s="34"/>
      <c r="F1375" s="34"/>
      <c r="G1375" s="35"/>
      <c r="H1375" s="34"/>
      <c r="I1375" s="37"/>
    </row>
    <row r="1376" ht="22.5" customHeight="1">
      <c r="A1376" s="30"/>
      <c r="B1376" s="40"/>
      <c r="C1376" s="32"/>
      <c r="D1376" s="33"/>
      <c r="E1376" s="34"/>
      <c r="F1376" s="34"/>
      <c r="G1376" s="35"/>
      <c r="H1376" s="34"/>
      <c r="I1376" s="37"/>
    </row>
    <row r="1377" ht="22.5" customHeight="1">
      <c r="A1377" s="30"/>
      <c r="B1377" s="31"/>
      <c r="C1377" s="32"/>
      <c r="D1377" s="33"/>
      <c r="E1377" s="34"/>
      <c r="F1377" s="34"/>
      <c r="G1377" s="35"/>
      <c r="H1377" s="34"/>
      <c r="I1377" s="37"/>
    </row>
    <row r="1378" ht="22.5" customHeight="1">
      <c r="A1378" s="30"/>
      <c r="B1378" s="31"/>
      <c r="C1378" s="32"/>
      <c r="D1378" s="33"/>
      <c r="E1378" s="34"/>
      <c r="F1378" s="34"/>
      <c r="G1378" s="35"/>
      <c r="H1378" s="34"/>
      <c r="I1378" s="37"/>
    </row>
    <row r="1379" ht="22.5" customHeight="1">
      <c r="A1379" s="30"/>
      <c r="B1379" s="31"/>
      <c r="C1379" s="32"/>
      <c r="D1379" s="33"/>
      <c r="E1379" s="34"/>
      <c r="F1379" s="34"/>
      <c r="G1379" s="35"/>
      <c r="H1379" s="34"/>
      <c r="I1379" s="37"/>
    </row>
    <row r="1380" ht="22.5" customHeight="1">
      <c r="A1380" s="30"/>
      <c r="B1380" s="31"/>
      <c r="C1380" s="32"/>
      <c r="D1380" s="33"/>
      <c r="E1380" s="34"/>
      <c r="F1380" s="34"/>
      <c r="G1380" s="35"/>
      <c r="H1380" s="34"/>
      <c r="I1380" s="37"/>
    </row>
    <row r="1381" ht="22.5" customHeight="1">
      <c r="A1381" s="30"/>
      <c r="B1381" s="31"/>
      <c r="C1381" s="32"/>
      <c r="D1381" s="33"/>
      <c r="E1381" s="34"/>
      <c r="F1381" s="34"/>
      <c r="G1381" s="35"/>
      <c r="H1381" s="34"/>
      <c r="I1381" s="37"/>
    </row>
    <row r="1382" ht="22.5" customHeight="1">
      <c r="A1382" s="30"/>
      <c r="B1382" s="31"/>
      <c r="C1382" s="32"/>
      <c r="D1382" s="33"/>
      <c r="E1382" s="34"/>
      <c r="F1382" s="34"/>
      <c r="G1382" s="35"/>
      <c r="H1382" s="34"/>
      <c r="I1382" s="37"/>
    </row>
    <row r="1383" ht="22.5" customHeight="1">
      <c r="A1383" s="30"/>
      <c r="B1383" s="39"/>
      <c r="C1383" s="32"/>
      <c r="D1383" s="33"/>
      <c r="E1383" s="34"/>
      <c r="F1383" s="34"/>
      <c r="G1383" s="35"/>
      <c r="H1383" s="34"/>
      <c r="I1383" s="37"/>
    </row>
    <row r="1384" ht="22.5" customHeight="1">
      <c r="A1384" s="30"/>
      <c r="B1384" s="39"/>
      <c r="C1384" s="32"/>
      <c r="D1384" s="33"/>
      <c r="E1384" s="34"/>
      <c r="F1384" s="34"/>
      <c r="G1384" s="35"/>
      <c r="H1384" s="34"/>
      <c r="I1384" s="37"/>
    </row>
    <row r="1385" ht="22.5" customHeight="1">
      <c r="A1385" s="30"/>
      <c r="B1385" s="39"/>
      <c r="C1385" s="32"/>
      <c r="D1385" s="33"/>
      <c r="E1385" s="34"/>
      <c r="F1385" s="34"/>
      <c r="G1385" s="35"/>
      <c r="H1385" s="34"/>
      <c r="I1385" s="37"/>
    </row>
    <row r="1386" ht="22.5" customHeight="1">
      <c r="A1386" s="30"/>
      <c r="B1386" s="40"/>
      <c r="C1386" s="32"/>
      <c r="D1386" s="33"/>
      <c r="E1386" s="34"/>
      <c r="F1386" s="34"/>
      <c r="G1386" s="35"/>
      <c r="H1386" s="34"/>
      <c r="I1386" s="37"/>
    </row>
    <row r="1387" ht="22.5" customHeight="1">
      <c r="A1387" s="30"/>
      <c r="B1387" s="31"/>
      <c r="C1387" s="32"/>
      <c r="D1387" s="33"/>
      <c r="E1387" s="34"/>
      <c r="F1387" s="34"/>
      <c r="G1387" s="35"/>
      <c r="H1387" s="34"/>
      <c r="I1387" s="37"/>
    </row>
    <row r="1388" ht="22.5" customHeight="1">
      <c r="A1388" s="30"/>
      <c r="B1388" s="31"/>
      <c r="C1388" s="32"/>
      <c r="D1388" s="33"/>
      <c r="E1388" s="34"/>
      <c r="F1388" s="34"/>
      <c r="G1388" s="35"/>
      <c r="H1388" s="34"/>
      <c r="I1388" s="37"/>
    </row>
    <row r="1389" ht="22.5" customHeight="1">
      <c r="A1389" s="30"/>
      <c r="B1389" s="31"/>
      <c r="C1389" s="32"/>
      <c r="D1389" s="33"/>
      <c r="E1389" s="34"/>
      <c r="F1389" s="34"/>
      <c r="G1389" s="35"/>
      <c r="H1389" s="34"/>
      <c r="I1389" s="37"/>
    </row>
    <row r="1390" ht="22.5" customHeight="1">
      <c r="A1390" s="30"/>
      <c r="B1390" s="31"/>
      <c r="C1390" s="32"/>
      <c r="D1390" s="33"/>
      <c r="E1390" s="34"/>
      <c r="F1390" s="34"/>
      <c r="G1390" s="35"/>
      <c r="H1390" s="34"/>
      <c r="I1390" s="37"/>
    </row>
    <row r="1391" ht="22.5" customHeight="1">
      <c r="A1391" s="30"/>
      <c r="B1391" s="31"/>
      <c r="C1391" s="32"/>
      <c r="D1391" s="33"/>
      <c r="E1391" s="34"/>
      <c r="F1391" s="34"/>
      <c r="G1391" s="35"/>
      <c r="H1391" s="34"/>
      <c r="I1391" s="37"/>
    </row>
    <row r="1392" ht="22.5" customHeight="1">
      <c r="A1392" s="30"/>
      <c r="B1392" s="31"/>
      <c r="C1392" s="32"/>
      <c r="D1392" s="33"/>
      <c r="E1392" s="34"/>
      <c r="F1392" s="34"/>
      <c r="G1392" s="35"/>
      <c r="H1392" s="34"/>
      <c r="I1392" s="37"/>
    </row>
    <row r="1393" ht="22.5" customHeight="1">
      <c r="A1393" s="30"/>
      <c r="B1393" s="31"/>
      <c r="C1393" s="32"/>
      <c r="D1393" s="33"/>
      <c r="E1393" s="34"/>
      <c r="F1393" s="34"/>
      <c r="G1393" s="35"/>
      <c r="H1393" s="34"/>
      <c r="I1393" s="37"/>
    </row>
    <row r="1394" ht="22.5" customHeight="1">
      <c r="A1394" s="30"/>
      <c r="B1394" s="31"/>
      <c r="C1394" s="32"/>
      <c r="D1394" s="33"/>
      <c r="E1394" s="34"/>
      <c r="F1394" s="34"/>
      <c r="G1394" s="35"/>
      <c r="H1394" s="34"/>
      <c r="I1394" s="37"/>
    </row>
    <row r="1395" ht="22.5" customHeight="1">
      <c r="A1395" s="30"/>
      <c r="B1395" s="31"/>
      <c r="C1395" s="32"/>
      <c r="D1395" s="33"/>
      <c r="E1395" s="34"/>
      <c r="F1395" s="34"/>
      <c r="G1395" s="35"/>
      <c r="H1395" s="34"/>
      <c r="I1395" s="37"/>
    </row>
    <row r="1396" ht="22.5" customHeight="1">
      <c r="A1396" s="30"/>
      <c r="B1396" s="40"/>
      <c r="C1396" s="32"/>
      <c r="D1396" s="33"/>
      <c r="E1396" s="34"/>
      <c r="F1396" s="34"/>
      <c r="G1396" s="35"/>
      <c r="H1396" s="34"/>
      <c r="I1396" s="37"/>
    </row>
    <row r="1397" ht="22.5" customHeight="1">
      <c r="A1397" s="30"/>
      <c r="B1397" s="31"/>
      <c r="C1397" s="32"/>
      <c r="D1397" s="33"/>
      <c r="E1397" s="34"/>
      <c r="F1397" s="34"/>
      <c r="G1397" s="35"/>
      <c r="H1397" s="34"/>
      <c r="I1397" s="37"/>
    </row>
    <row r="1398" ht="22.5" customHeight="1">
      <c r="A1398" s="30"/>
      <c r="B1398" s="31"/>
      <c r="C1398" s="32"/>
      <c r="D1398" s="33"/>
      <c r="E1398" s="34"/>
      <c r="F1398" s="34"/>
      <c r="G1398" s="35"/>
      <c r="H1398" s="34"/>
      <c r="I1398" s="37"/>
    </row>
    <row r="1399" ht="22.5" customHeight="1">
      <c r="A1399" s="30"/>
      <c r="B1399" s="31"/>
      <c r="C1399" s="32"/>
      <c r="D1399" s="33"/>
      <c r="E1399" s="34"/>
      <c r="F1399" s="34"/>
      <c r="G1399" s="35"/>
      <c r="H1399" s="34"/>
      <c r="I1399" s="37"/>
    </row>
    <row r="1400" ht="22.5" customHeight="1">
      <c r="A1400" s="30"/>
      <c r="B1400" s="40"/>
      <c r="C1400" s="32"/>
      <c r="D1400" s="33"/>
      <c r="E1400" s="34"/>
      <c r="F1400" s="34"/>
      <c r="G1400" s="35"/>
      <c r="H1400" s="34"/>
      <c r="I1400" s="37"/>
    </row>
    <row r="1401" ht="22.5" customHeight="1">
      <c r="A1401" s="30"/>
      <c r="B1401" s="31"/>
      <c r="C1401" s="32"/>
      <c r="D1401" s="33"/>
      <c r="E1401" s="34"/>
      <c r="F1401" s="34"/>
      <c r="G1401" s="35"/>
      <c r="H1401" s="34"/>
      <c r="I1401" s="37"/>
    </row>
    <row r="1402" ht="22.5" customHeight="1">
      <c r="A1402" s="30"/>
      <c r="B1402" s="31"/>
      <c r="C1402" s="32"/>
      <c r="D1402" s="33"/>
      <c r="E1402" s="34"/>
      <c r="F1402" s="34"/>
      <c r="G1402" s="35"/>
      <c r="H1402" s="34"/>
      <c r="I1402" s="37"/>
    </row>
    <row r="1403" ht="22.5" customHeight="1">
      <c r="A1403" s="30"/>
      <c r="B1403" s="31"/>
      <c r="C1403" s="32"/>
      <c r="D1403" s="33"/>
      <c r="E1403" s="34"/>
      <c r="F1403" s="34"/>
      <c r="G1403" s="35"/>
      <c r="H1403" s="34"/>
      <c r="I1403" s="37"/>
    </row>
    <row r="1404" ht="22.5" customHeight="1">
      <c r="A1404" s="30"/>
      <c r="B1404" s="31"/>
      <c r="C1404" s="32"/>
      <c r="D1404" s="33"/>
      <c r="E1404" s="34"/>
      <c r="F1404" s="34"/>
      <c r="G1404" s="35"/>
      <c r="H1404" s="34"/>
      <c r="I1404" s="37"/>
    </row>
    <row r="1405" ht="22.5" customHeight="1">
      <c r="A1405" s="30"/>
      <c r="B1405" s="31"/>
      <c r="C1405" s="32"/>
      <c r="D1405" s="33"/>
      <c r="E1405" s="34"/>
      <c r="F1405" s="34"/>
      <c r="G1405" s="35"/>
      <c r="H1405" s="34"/>
      <c r="I1405" s="37"/>
    </row>
    <row r="1406" ht="22.5" customHeight="1">
      <c r="A1406" s="30"/>
      <c r="B1406" s="31"/>
      <c r="C1406" s="32"/>
      <c r="D1406" s="33"/>
      <c r="E1406" s="34"/>
      <c r="F1406" s="34"/>
      <c r="G1406" s="35"/>
      <c r="H1406" s="34"/>
      <c r="I1406" s="37"/>
    </row>
    <row r="1407" ht="22.5" customHeight="1">
      <c r="A1407" s="30"/>
      <c r="B1407" s="31"/>
      <c r="C1407" s="32"/>
      <c r="D1407" s="33"/>
      <c r="E1407" s="34"/>
      <c r="F1407" s="34"/>
      <c r="G1407" s="35"/>
      <c r="H1407" s="34"/>
      <c r="I1407" s="37"/>
    </row>
    <row r="1408" ht="22.5" customHeight="1">
      <c r="A1408" s="30"/>
      <c r="B1408" s="31"/>
      <c r="C1408" s="32"/>
      <c r="D1408" s="33"/>
      <c r="E1408" s="34"/>
      <c r="F1408" s="34"/>
      <c r="G1408" s="35"/>
      <c r="H1408" s="34"/>
      <c r="I1408" s="37"/>
    </row>
    <row r="1409" ht="22.5" customHeight="1">
      <c r="A1409" s="30"/>
      <c r="B1409" s="31"/>
      <c r="C1409" s="32"/>
      <c r="D1409" s="33"/>
      <c r="E1409" s="34"/>
      <c r="F1409" s="34"/>
      <c r="G1409" s="35"/>
      <c r="H1409" s="34"/>
      <c r="I1409" s="37"/>
    </row>
    <row r="1410" ht="22.5" customHeight="1">
      <c r="A1410" s="30"/>
      <c r="B1410" s="31"/>
      <c r="C1410" s="32"/>
      <c r="D1410" s="33"/>
      <c r="E1410" s="34"/>
      <c r="F1410" s="34"/>
      <c r="G1410" s="35"/>
      <c r="H1410" s="34"/>
      <c r="I1410" s="37"/>
    </row>
    <row r="1411" ht="22.5" customHeight="1">
      <c r="A1411" s="30"/>
      <c r="B1411" s="31"/>
      <c r="C1411" s="32"/>
      <c r="D1411" s="33"/>
      <c r="E1411" s="34"/>
      <c r="F1411" s="34"/>
      <c r="G1411" s="35"/>
      <c r="H1411" s="34"/>
      <c r="I1411" s="37"/>
    </row>
    <row r="1412" ht="22.5" customHeight="1">
      <c r="A1412" s="30"/>
      <c r="B1412" s="31"/>
      <c r="C1412" s="32"/>
      <c r="D1412" s="33"/>
      <c r="E1412" s="34"/>
      <c r="F1412" s="34"/>
      <c r="G1412" s="35"/>
      <c r="H1412" s="34"/>
      <c r="I1412" s="37"/>
    </row>
    <row r="1413" ht="22.5" customHeight="1">
      <c r="A1413" s="30"/>
      <c r="B1413" s="31"/>
      <c r="C1413" s="32"/>
      <c r="D1413" s="33"/>
      <c r="E1413" s="34"/>
      <c r="F1413" s="34"/>
      <c r="G1413" s="35"/>
      <c r="H1413" s="34"/>
      <c r="I1413" s="37"/>
    </row>
    <row r="1414" ht="22.5" customHeight="1">
      <c r="A1414" s="30"/>
      <c r="B1414" s="31"/>
      <c r="C1414" s="32"/>
      <c r="D1414" s="33"/>
      <c r="E1414" s="34"/>
      <c r="F1414" s="34"/>
      <c r="G1414" s="35"/>
      <c r="H1414" s="34"/>
      <c r="I1414" s="37"/>
    </row>
    <row r="1415" ht="22.5" customHeight="1">
      <c r="A1415" s="30"/>
      <c r="B1415" s="40"/>
      <c r="C1415" s="32"/>
      <c r="D1415" s="33"/>
      <c r="E1415" s="34"/>
      <c r="F1415" s="34"/>
      <c r="G1415" s="35"/>
      <c r="H1415" s="34"/>
      <c r="I1415" s="37"/>
    </row>
    <row r="1416" ht="22.5" customHeight="1">
      <c r="A1416" s="30"/>
      <c r="B1416" s="31"/>
      <c r="C1416" s="32"/>
      <c r="D1416" s="33"/>
      <c r="E1416" s="34"/>
      <c r="F1416" s="34"/>
      <c r="G1416" s="35"/>
      <c r="H1416" s="34"/>
      <c r="I1416" s="37"/>
    </row>
    <row r="1417" ht="22.5" customHeight="1">
      <c r="A1417" s="30"/>
      <c r="B1417" s="40"/>
      <c r="C1417" s="32"/>
      <c r="D1417" s="33"/>
      <c r="E1417" s="34"/>
      <c r="F1417" s="34"/>
      <c r="G1417" s="35"/>
      <c r="H1417" s="34"/>
      <c r="I1417" s="37"/>
    </row>
    <row r="1418" ht="22.5" customHeight="1">
      <c r="A1418" s="30"/>
      <c r="B1418" s="31"/>
      <c r="C1418" s="32"/>
      <c r="D1418" s="33"/>
      <c r="E1418" s="34"/>
      <c r="F1418" s="34"/>
      <c r="G1418" s="35"/>
      <c r="H1418" s="34"/>
      <c r="I1418" s="37"/>
    </row>
    <row r="1419" ht="22.5" customHeight="1">
      <c r="A1419" s="30"/>
      <c r="B1419" s="31"/>
      <c r="C1419" s="32"/>
      <c r="D1419" s="33"/>
      <c r="E1419" s="34"/>
      <c r="F1419" s="34"/>
      <c r="G1419" s="35"/>
      <c r="H1419" s="34"/>
      <c r="I1419" s="37"/>
    </row>
    <row r="1420" ht="22.5" customHeight="1">
      <c r="A1420" s="30"/>
      <c r="B1420" s="31"/>
      <c r="C1420" s="32"/>
      <c r="D1420" s="33"/>
      <c r="E1420" s="34"/>
      <c r="F1420" s="34"/>
      <c r="G1420" s="35"/>
      <c r="H1420" s="34"/>
      <c r="I1420" s="37"/>
    </row>
    <row r="1421" ht="22.5" customHeight="1">
      <c r="A1421" s="30"/>
      <c r="B1421" s="31"/>
      <c r="C1421" s="32"/>
      <c r="D1421" s="33"/>
      <c r="E1421" s="34"/>
      <c r="F1421" s="34"/>
      <c r="G1421" s="35"/>
      <c r="H1421" s="34"/>
      <c r="I1421" s="37"/>
    </row>
    <row r="1422" ht="22.5" customHeight="1">
      <c r="A1422" s="30"/>
      <c r="B1422" s="40"/>
      <c r="C1422" s="32"/>
      <c r="D1422" s="33"/>
      <c r="E1422" s="34"/>
      <c r="F1422" s="34"/>
      <c r="G1422" s="35"/>
      <c r="H1422" s="34"/>
      <c r="I1422" s="37"/>
    </row>
    <row r="1423" ht="22.5" customHeight="1">
      <c r="A1423" s="30"/>
      <c r="B1423" s="31"/>
      <c r="C1423" s="32"/>
      <c r="D1423" s="33"/>
      <c r="E1423" s="34"/>
      <c r="F1423" s="34"/>
      <c r="G1423" s="35"/>
      <c r="H1423" s="34"/>
      <c r="I1423" s="37"/>
    </row>
    <row r="1424" ht="22.5" customHeight="1">
      <c r="A1424" s="30"/>
      <c r="B1424" s="31"/>
      <c r="C1424" s="32"/>
      <c r="D1424" s="33"/>
      <c r="E1424" s="34"/>
      <c r="F1424" s="34"/>
      <c r="G1424" s="35"/>
      <c r="H1424" s="34"/>
      <c r="I1424" s="37"/>
    </row>
    <row r="1425" ht="22.5" customHeight="1">
      <c r="A1425" s="30"/>
      <c r="B1425" s="31"/>
      <c r="C1425" s="32"/>
      <c r="D1425" s="33"/>
      <c r="E1425" s="34"/>
      <c r="F1425" s="34"/>
      <c r="G1425" s="35"/>
      <c r="H1425" s="34"/>
      <c r="I1425" s="37"/>
    </row>
    <row r="1426" ht="22.5" customHeight="1">
      <c r="A1426" s="30"/>
      <c r="B1426" s="31"/>
      <c r="C1426" s="32"/>
      <c r="D1426" s="33"/>
      <c r="E1426" s="34"/>
      <c r="F1426" s="34"/>
      <c r="G1426" s="35"/>
      <c r="H1426" s="34"/>
      <c r="I1426" s="37"/>
    </row>
    <row r="1427" ht="22.5" customHeight="1">
      <c r="A1427" s="30"/>
      <c r="B1427" s="31"/>
      <c r="C1427" s="32"/>
      <c r="D1427" s="33"/>
      <c r="E1427" s="34"/>
      <c r="F1427" s="34"/>
      <c r="G1427" s="35"/>
      <c r="H1427" s="34"/>
      <c r="I1427" s="37"/>
    </row>
    <row r="1428" ht="22.5" customHeight="1">
      <c r="A1428" s="30"/>
      <c r="B1428" s="31"/>
      <c r="C1428" s="32"/>
      <c r="D1428" s="33"/>
      <c r="E1428" s="34"/>
      <c r="F1428" s="34"/>
      <c r="G1428" s="35"/>
      <c r="H1428" s="34"/>
      <c r="I1428" s="37"/>
    </row>
    <row r="1429" ht="22.5" customHeight="1">
      <c r="A1429" s="30"/>
      <c r="B1429" s="31"/>
      <c r="C1429" s="32"/>
      <c r="D1429" s="33"/>
      <c r="E1429" s="34"/>
      <c r="F1429" s="34"/>
      <c r="G1429" s="35"/>
      <c r="H1429" s="34"/>
      <c r="I1429" s="37"/>
    </row>
    <row r="1430" ht="22.5" customHeight="1">
      <c r="A1430" s="30"/>
      <c r="B1430" s="31"/>
      <c r="C1430" s="32"/>
      <c r="D1430" s="33"/>
      <c r="E1430" s="34"/>
      <c r="F1430" s="34"/>
      <c r="G1430" s="35"/>
      <c r="H1430" s="34"/>
      <c r="I1430" s="37"/>
    </row>
    <row r="1431" ht="22.5" customHeight="1">
      <c r="A1431" s="30"/>
      <c r="B1431" s="31"/>
      <c r="C1431" s="32"/>
      <c r="D1431" s="33"/>
      <c r="E1431" s="34"/>
      <c r="F1431" s="34"/>
      <c r="G1431" s="35"/>
      <c r="H1431" s="34"/>
      <c r="I1431" s="37"/>
    </row>
    <row r="1432" ht="22.5" customHeight="1">
      <c r="A1432" s="30"/>
      <c r="B1432" s="31"/>
      <c r="C1432" s="32"/>
      <c r="D1432" s="33"/>
      <c r="E1432" s="34"/>
      <c r="F1432" s="34"/>
      <c r="G1432" s="35"/>
      <c r="H1432" s="34"/>
      <c r="I1432" s="37"/>
    </row>
    <row r="1433" ht="22.5" customHeight="1">
      <c r="A1433" s="30"/>
      <c r="B1433" s="31"/>
      <c r="C1433" s="32"/>
      <c r="D1433" s="33"/>
      <c r="E1433" s="34"/>
      <c r="F1433" s="34"/>
      <c r="G1433" s="35"/>
      <c r="H1433" s="34"/>
      <c r="I1433" s="37"/>
    </row>
    <row r="1434" ht="22.5" customHeight="1">
      <c r="A1434" s="30"/>
      <c r="B1434" s="31"/>
      <c r="C1434" s="32"/>
      <c r="D1434" s="33"/>
      <c r="E1434" s="34"/>
      <c r="F1434" s="34"/>
      <c r="G1434" s="35"/>
      <c r="H1434" s="34"/>
      <c r="I1434" s="37"/>
    </row>
    <row r="1435" ht="22.5" customHeight="1">
      <c r="A1435" s="30"/>
      <c r="B1435" s="31"/>
      <c r="C1435" s="32"/>
      <c r="D1435" s="33"/>
      <c r="E1435" s="34"/>
      <c r="F1435" s="34"/>
      <c r="G1435" s="35"/>
      <c r="H1435" s="34"/>
      <c r="I1435" s="37"/>
    </row>
    <row r="1436" ht="22.5" customHeight="1">
      <c r="A1436" s="30"/>
      <c r="B1436" s="31"/>
      <c r="C1436" s="32"/>
      <c r="D1436" s="33"/>
      <c r="E1436" s="34"/>
      <c r="F1436" s="34"/>
      <c r="G1436" s="35"/>
      <c r="H1436" s="34"/>
      <c r="I1436" s="37"/>
    </row>
    <row r="1437" ht="22.5" customHeight="1">
      <c r="A1437" s="30"/>
      <c r="B1437" s="31"/>
      <c r="C1437" s="32"/>
      <c r="D1437" s="33"/>
      <c r="E1437" s="34"/>
      <c r="F1437" s="34"/>
      <c r="G1437" s="35"/>
      <c r="H1437" s="34"/>
      <c r="I1437" s="37"/>
    </row>
    <row r="1438" ht="22.5" customHeight="1">
      <c r="A1438" s="30"/>
      <c r="B1438" s="31"/>
      <c r="C1438" s="32"/>
      <c r="D1438" s="33"/>
      <c r="E1438" s="34"/>
      <c r="F1438" s="34"/>
      <c r="G1438" s="35"/>
      <c r="H1438" s="34"/>
      <c r="I1438" s="37"/>
    </row>
    <row r="1439" ht="22.5" customHeight="1">
      <c r="A1439" s="30"/>
      <c r="B1439" s="31"/>
      <c r="C1439" s="32"/>
      <c r="D1439" s="33"/>
      <c r="E1439" s="34"/>
      <c r="F1439" s="34"/>
      <c r="G1439" s="35"/>
      <c r="H1439" s="34"/>
      <c r="I1439" s="37"/>
    </row>
    <row r="1440" ht="22.5" customHeight="1">
      <c r="A1440" s="30"/>
      <c r="B1440" s="31"/>
      <c r="C1440" s="32"/>
      <c r="D1440" s="33"/>
      <c r="E1440" s="34"/>
      <c r="F1440" s="34"/>
      <c r="G1440" s="35"/>
      <c r="H1440" s="34"/>
      <c r="I1440" s="37"/>
    </row>
    <row r="1441" ht="22.5" customHeight="1">
      <c r="A1441" s="30"/>
      <c r="B1441" s="31"/>
      <c r="C1441" s="32"/>
      <c r="D1441" s="33"/>
      <c r="E1441" s="34"/>
      <c r="F1441" s="34"/>
      <c r="G1441" s="35"/>
      <c r="H1441" s="34"/>
      <c r="I1441" s="37"/>
    </row>
    <row r="1442" ht="22.5" customHeight="1">
      <c r="A1442" s="30"/>
      <c r="B1442" s="31"/>
      <c r="C1442" s="32"/>
      <c r="D1442" s="33"/>
      <c r="E1442" s="34"/>
      <c r="F1442" s="34"/>
      <c r="G1442" s="35"/>
      <c r="H1442" s="34"/>
      <c r="I1442" s="37"/>
    </row>
    <row r="1443" ht="22.5" customHeight="1">
      <c r="A1443" s="30"/>
      <c r="B1443" s="31"/>
      <c r="C1443" s="32"/>
      <c r="D1443" s="33"/>
      <c r="E1443" s="34"/>
      <c r="F1443" s="34"/>
      <c r="G1443" s="35"/>
      <c r="H1443" s="34"/>
      <c r="I1443" s="37"/>
    </row>
    <row r="1444" ht="22.5" customHeight="1">
      <c r="A1444" s="30"/>
      <c r="B1444" s="40"/>
      <c r="C1444" s="32"/>
      <c r="D1444" s="33"/>
      <c r="E1444" s="34"/>
      <c r="F1444" s="34"/>
      <c r="G1444" s="35"/>
      <c r="H1444" s="34"/>
      <c r="I1444" s="37"/>
    </row>
    <row r="1445" ht="22.5" customHeight="1">
      <c r="A1445" s="30"/>
      <c r="B1445" s="31"/>
      <c r="C1445" s="32"/>
      <c r="D1445" s="33"/>
      <c r="E1445" s="34"/>
      <c r="F1445" s="34"/>
      <c r="G1445" s="35"/>
      <c r="H1445" s="34"/>
      <c r="I1445" s="37"/>
    </row>
    <row r="1446" ht="22.5" customHeight="1">
      <c r="A1446" s="30"/>
      <c r="B1446" s="31"/>
      <c r="C1446" s="32"/>
      <c r="D1446" s="33"/>
      <c r="E1446" s="34"/>
      <c r="F1446" s="34"/>
      <c r="G1446" s="35"/>
      <c r="H1446" s="34"/>
      <c r="I1446" s="37"/>
    </row>
    <row r="1447" ht="22.5" customHeight="1">
      <c r="A1447" s="30"/>
      <c r="B1447" s="31"/>
      <c r="C1447" s="32"/>
      <c r="D1447" s="33"/>
      <c r="E1447" s="34"/>
      <c r="F1447" s="34"/>
      <c r="G1447" s="35"/>
      <c r="H1447" s="34"/>
      <c r="I1447" s="37"/>
    </row>
    <row r="1448" ht="22.5" customHeight="1">
      <c r="A1448" s="30"/>
      <c r="B1448" s="31"/>
      <c r="C1448" s="32"/>
      <c r="D1448" s="33"/>
      <c r="E1448" s="34"/>
      <c r="F1448" s="34"/>
      <c r="G1448" s="35"/>
      <c r="H1448" s="34"/>
      <c r="I1448" s="38"/>
    </row>
    <row r="1449" ht="22.5" customHeight="1">
      <c r="A1449" s="30"/>
      <c r="B1449" s="39"/>
      <c r="C1449" s="32"/>
      <c r="D1449" s="33"/>
      <c r="E1449" s="34"/>
      <c r="F1449" s="34"/>
      <c r="G1449" s="35"/>
      <c r="H1449" s="34"/>
      <c r="I1449" s="37"/>
    </row>
    <row r="1450" ht="22.5" customHeight="1">
      <c r="A1450" s="30"/>
      <c r="B1450" s="31"/>
      <c r="C1450" s="32"/>
      <c r="D1450" s="33"/>
      <c r="E1450" s="34"/>
      <c r="F1450" s="34"/>
      <c r="G1450" s="35"/>
      <c r="H1450" s="34"/>
      <c r="I1450" s="37"/>
    </row>
    <row r="1451" ht="22.5" customHeight="1">
      <c r="A1451" s="30"/>
      <c r="B1451" s="31"/>
      <c r="C1451" s="32"/>
      <c r="D1451" s="33"/>
      <c r="E1451" s="34"/>
      <c r="F1451" s="34"/>
      <c r="G1451" s="35"/>
      <c r="H1451" s="34"/>
      <c r="I1451" s="37"/>
    </row>
    <row r="1452" ht="22.5" customHeight="1">
      <c r="A1452" s="30"/>
      <c r="B1452" s="31"/>
      <c r="C1452" s="32"/>
      <c r="D1452" s="33"/>
      <c r="E1452" s="34"/>
      <c r="F1452" s="34"/>
      <c r="G1452" s="35"/>
      <c r="H1452" s="34"/>
      <c r="I1452" s="37"/>
    </row>
    <row r="1453" ht="22.5" customHeight="1">
      <c r="A1453" s="30"/>
      <c r="B1453" s="39"/>
      <c r="C1453" s="32"/>
      <c r="D1453" s="33"/>
      <c r="E1453" s="34"/>
      <c r="F1453" s="34"/>
      <c r="G1453" s="35"/>
      <c r="H1453" s="34"/>
      <c r="I1453" s="37"/>
    </row>
    <row r="1454" ht="22.5" customHeight="1">
      <c r="A1454" s="30"/>
      <c r="B1454" s="31"/>
      <c r="C1454" s="32"/>
      <c r="D1454" s="33"/>
      <c r="E1454" s="34"/>
      <c r="F1454" s="34"/>
      <c r="G1454" s="35"/>
      <c r="H1454" s="34"/>
      <c r="I1454" s="37"/>
    </row>
    <row r="1455" ht="22.5" customHeight="1">
      <c r="A1455" s="30"/>
      <c r="B1455" s="39"/>
      <c r="C1455" s="32"/>
      <c r="D1455" s="33"/>
      <c r="E1455" s="34"/>
      <c r="F1455" s="34"/>
      <c r="G1455" s="35"/>
      <c r="H1455" s="34"/>
      <c r="I1455" s="37"/>
    </row>
    <row r="1456" ht="22.5" customHeight="1">
      <c r="A1456" s="30"/>
      <c r="B1456" s="31"/>
      <c r="C1456" s="32"/>
      <c r="D1456" s="33"/>
      <c r="E1456" s="34"/>
      <c r="F1456" s="34"/>
      <c r="G1456" s="35"/>
      <c r="H1456" s="34"/>
      <c r="I1456" s="37"/>
    </row>
    <row r="1457" ht="22.5" customHeight="1">
      <c r="A1457" s="30"/>
      <c r="B1457" s="31"/>
      <c r="C1457" s="32"/>
      <c r="D1457" s="33"/>
      <c r="E1457" s="34"/>
      <c r="F1457" s="34"/>
      <c r="G1457" s="35"/>
      <c r="H1457" s="34"/>
      <c r="I1457" s="37"/>
    </row>
    <row r="1458" ht="22.5" customHeight="1">
      <c r="A1458" s="30"/>
      <c r="B1458" s="31"/>
      <c r="C1458" s="32"/>
      <c r="D1458" s="33"/>
      <c r="E1458" s="34"/>
      <c r="F1458" s="34"/>
      <c r="G1458" s="35"/>
      <c r="H1458" s="34"/>
      <c r="I1458" s="37"/>
    </row>
    <row r="1459" ht="22.5" customHeight="1">
      <c r="A1459" s="30"/>
      <c r="B1459" s="31"/>
      <c r="C1459" s="32"/>
      <c r="D1459" s="33"/>
      <c r="E1459" s="34"/>
      <c r="F1459" s="34"/>
      <c r="G1459" s="35"/>
      <c r="H1459" s="34"/>
      <c r="I1459" s="37"/>
    </row>
    <row r="1460" ht="22.5" customHeight="1">
      <c r="A1460" s="30"/>
      <c r="B1460" s="31"/>
      <c r="C1460" s="32"/>
      <c r="D1460" s="33"/>
      <c r="E1460" s="34"/>
      <c r="F1460" s="34"/>
      <c r="G1460" s="35"/>
      <c r="H1460" s="34"/>
      <c r="I1460" s="37"/>
    </row>
    <row r="1461" ht="22.5" customHeight="1">
      <c r="A1461" s="30"/>
      <c r="B1461" s="31"/>
      <c r="C1461" s="32"/>
      <c r="D1461" s="33"/>
      <c r="E1461" s="34"/>
      <c r="F1461" s="34"/>
      <c r="G1461" s="35"/>
      <c r="H1461" s="34"/>
      <c r="I1461" s="37"/>
    </row>
    <row r="1462" ht="22.5" customHeight="1">
      <c r="A1462" s="30"/>
      <c r="B1462" s="31"/>
      <c r="C1462" s="32"/>
      <c r="D1462" s="33"/>
      <c r="E1462" s="34"/>
      <c r="F1462" s="34"/>
      <c r="G1462" s="35"/>
      <c r="H1462" s="34"/>
      <c r="I1462" s="37"/>
    </row>
    <row r="1463" ht="22.5" customHeight="1">
      <c r="A1463" s="30"/>
      <c r="B1463" s="31"/>
      <c r="C1463" s="32"/>
      <c r="D1463" s="33"/>
      <c r="E1463" s="34"/>
      <c r="F1463" s="34"/>
      <c r="G1463" s="35"/>
      <c r="H1463" s="34"/>
      <c r="I1463" s="37"/>
    </row>
    <row r="1464" ht="22.5" customHeight="1">
      <c r="A1464" s="30"/>
      <c r="B1464" s="31"/>
      <c r="C1464" s="32"/>
      <c r="D1464" s="33"/>
      <c r="E1464" s="34"/>
      <c r="F1464" s="34"/>
      <c r="G1464" s="35"/>
      <c r="H1464" s="34"/>
      <c r="I1464" s="37"/>
    </row>
    <row r="1465" ht="22.5" customHeight="1">
      <c r="A1465" s="30"/>
      <c r="B1465" s="31"/>
      <c r="C1465" s="32"/>
      <c r="D1465" s="33"/>
      <c r="E1465" s="34"/>
      <c r="F1465" s="34"/>
      <c r="G1465" s="35"/>
      <c r="H1465" s="34"/>
      <c r="I1465" s="37"/>
    </row>
    <row r="1466" ht="22.5" customHeight="1">
      <c r="A1466" s="30"/>
      <c r="B1466" s="40"/>
      <c r="C1466" s="32"/>
      <c r="D1466" s="33"/>
      <c r="E1466" s="34"/>
      <c r="F1466" s="34"/>
      <c r="G1466" s="35"/>
      <c r="H1466" s="34"/>
      <c r="I1466" s="37"/>
    </row>
    <row r="1467" ht="22.5" customHeight="1">
      <c r="A1467" s="30"/>
      <c r="B1467" s="31"/>
      <c r="C1467" s="32"/>
      <c r="D1467" s="33"/>
      <c r="E1467" s="34"/>
      <c r="F1467" s="34"/>
      <c r="G1467" s="35"/>
      <c r="H1467" s="34"/>
      <c r="I1467" s="37"/>
    </row>
    <row r="1468" ht="22.5" customHeight="1">
      <c r="A1468" s="30"/>
      <c r="B1468" s="31"/>
      <c r="C1468" s="32"/>
      <c r="D1468" s="33"/>
      <c r="E1468" s="34"/>
      <c r="F1468" s="34"/>
      <c r="G1468" s="35"/>
      <c r="H1468" s="34"/>
      <c r="I1468" s="37"/>
    </row>
    <row r="1469" ht="22.5" customHeight="1">
      <c r="A1469" s="30"/>
      <c r="B1469" s="31"/>
      <c r="C1469" s="32"/>
      <c r="D1469" s="33"/>
      <c r="E1469" s="34"/>
      <c r="F1469" s="34"/>
      <c r="G1469" s="35"/>
      <c r="H1469" s="34"/>
      <c r="I1469" s="37"/>
    </row>
    <row r="1470" ht="22.5" customHeight="1">
      <c r="A1470" s="30"/>
      <c r="B1470" s="31"/>
      <c r="C1470" s="32"/>
      <c r="D1470" s="33"/>
      <c r="E1470" s="34"/>
      <c r="F1470" s="34"/>
      <c r="G1470" s="35"/>
      <c r="H1470" s="34"/>
      <c r="I1470" s="37"/>
    </row>
    <row r="1471" ht="22.5" customHeight="1">
      <c r="A1471" s="30"/>
      <c r="B1471" s="31"/>
      <c r="C1471" s="32"/>
      <c r="D1471" s="33"/>
      <c r="E1471" s="34"/>
      <c r="F1471" s="34"/>
      <c r="G1471" s="35"/>
      <c r="H1471" s="34"/>
      <c r="I1471" s="37"/>
    </row>
    <row r="1472" ht="22.5" customHeight="1">
      <c r="A1472" s="30"/>
      <c r="B1472" s="31"/>
      <c r="C1472" s="32"/>
      <c r="D1472" s="33"/>
      <c r="E1472" s="34"/>
      <c r="F1472" s="34"/>
      <c r="G1472" s="35"/>
      <c r="H1472" s="34"/>
      <c r="I1472" s="37"/>
    </row>
    <row r="1473" ht="22.5" customHeight="1">
      <c r="A1473" s="30"/>
      <c r="B1473" s="39"/>
      <c r="C1473" s="32"/>
      <c r="D1473" s="33"/>
      <c r="E1473" s="34"/>
      <c r="F1473" s="34"/>
      <c r="G1473" s="35"/>
      <c r="H1473" s="34"/>
      <c r="I1473" s="37"/>
    </row>
    <row r="1474" ht="22.5" customHeight="1">
      <c r="A1474" s="30"/>
      <c r="B1474" s="39"/>
      <c r="C1474" s="32"/>
      <c r="D1474" s="33"/>
      <c r="E1474" s="34"/>
      <c r="F1474" s="34"/>
      <c r="G1474" s="35"/>
      <c r="H1474" s="34"/>
      <c r="I1474" s="37"/>
    </row>
    <row r="1475" ht="22.5" customHeight="1">
      <c r="A1475" s="30"/>
      <c r="B1475" s="39"/>
      <c r="C1475" s="32"/>
      <c r="D1475" s="33"/>
      <c r="E1475" s="34"/>
      <c r="F1475" s="34"/>
      <c r="G1475" s="35"/>
      <c r="H1475" s="34"/>
      <c r="I1475" s="37"/>
    </row>
    <row r="1476" ht="22.5" customHeight="1">
      <c r="A1476" s="30"/>
      <c r="B1476" s="40"/>
      <c r="C1476" s="32"/>
      <c r="D1476" s="33"/>
      <c r="E1476" s="34"/>
      <c r="F1476" s="34"/>
      <c r="G1476" s="35"/>
      <c r="H1476" s="34"/>
      <c r="I1476" s="37"/>
    </row>
    <row r="1477" ht="22.5" customHeight="1">
      <c r="A1477" s="30"/>
      <c r="B1477" s="31"/>
      <c r="C1477" s="32"/>
      <c r="D1477" s="33"/>
      <c r="E1477" s="34"/>
      <c r="F1477" s="34"/>
      <c r="G1477" s="35"/>
      <c r="H1477" s="34"/>
      <c r="I1477" s="37"/>
    </row>
    <row r="1478" ht="22.5" customHeight="1">
      <c r="A1478" s="30"/>
      <c r="B1478" s="31"/>
      <c r="C1478" s="32"/>
      <c r="D1478" s="33"/>
      <c r="E1478" s="34"/>
      <c r="F1478" s="34"/>
      <c r="G1478" s="35"/>
      <c r="H1478" s="34"/>
      <c r="I1478" s="37"/>
    </row>
    <row r="1479" ht="22.5" customHeight="1">
      <c r="A1479" s="30"/>
      <c r="B1479" s="31"/>
      <c r="C1479" s="32"/>
      <c r="D1479" s="33"/>
      <c r="E1479" s="34"/>
      <c r="F1479" s="34"/>
      <c r="G1479" s="35"/>
      <c r="H1479" s="34"/>
      <c r="I1479" s="37"/>
    </row>
    <row r="1480" ht="22.5" customHeight="1">
      <c r="A1480" s="30"/>
      <c r="B1480" s="31"/>
      <c r="C1480" s="32"/>
      <c r="D1480" s="33"/>
      <c r="E1480" s="34"/>
      <c r="F1480" s="34"/>
      <c r="G1480" s="35"/>
      <c r="H1480" s="34"/>
      <c r="I1480" s="37"/>
    </row>
    <row r="1481" ht="22.5" customHeight="1">
      <c r="A1481" s="30"/>
      <c r="B1481" s="31"/>
      <c r="C1481" s="32"/>
      <c r="D1481" s="33"/>
      <c r="E1481" s="34"/>
      <c r="F1481" s="34"/>
      <c r="G1481" s="35"/>
      <c r="H1481" s="34"/>
      <c r="I1481" s="37"/>
    </row>
    <row r="1482" ht="22.5" customHeight="1">
      <c r="A1482" s="30"/>
      <c r="B1482" s="31"/>
      <c r="C1482" s="32"/>
      <c r="D1482" s="33"/>
      <c r="E1482" s="34"/>
      <c r="F1482" s="34"/>
      <c r="G1482" s="35"/>
      <c r="H1482" s="34"/>
      <c r="I1482" s="37"/>
    </row>
    <row r="1483" ht="22.5" customHeight="1">
      <c r="A1483" s="30"/>
      <c r="B1483" s="31"/>
      <c r="C1483" s="32"/>
      <c r="D1483" s="33"/>
      <c r="E1483" s="34"/>
      <c r="F1483" s="34"/>
      <c r="G1483" s="35"/>
      <c r="H1483" s="34"/>
      <c r="I1483" s="37"/>
    </row>
    <row r="1484" ht="22.5" customHeight="1">
      <c r="A1484" s="30"/>
      <c r="B1484" s="31"/>
      <c r="C1484" s="32"/>
      <c r="D1484" s="33"/>
      <c r="E1484" s="34"/>
      <c r="F1484" s="34"/>
      <c r="G1484" s="35"/>
      <c r="H1484" s="34"/>
      <c r="I1484" s="37"/>
    </row>
    <row r="1485" ht="22.5" customHeight="1">
      <c r="A1485" s="30"/>
      <c r="B1485" s="31"/>
      <c r="C1485" s="32"/>
      <c r="D1485" s="33"/>
      <c r="E1485" s="34"/>
      <c r="F1485" s="34"/>
      <c r="G1485" s="35"/>
      <c r="H1485" s="34"/>
      <c r="I1485" s="37"/>
    </row>
    <row r="1486" ht="22.5" customHeight="1">
      <c r="A1486" s="30"/>
      <c r="B1486" s="40"/>
      <c r="C1486" s="32"/>
      <c r="D1486" s="33"/>
      <c r="E1486" s="34"/>
      <c r="F1486" s="34"/>
      <c r="G1486" s="35"/>
      <c r="H1486" s="34"/>
      <c r="I1486" s="37"/>
    </row>
    <row r="1487" ht="22.5" customHeight="1">
      <c r="A1487" s="30"/>
      <c r="B1487" s="31"/>
      <c r="C1487" s="32"/>
      <c r="D1487" s="33"/>
      <c r="E1487" s="34"/>
      <c r="F1487" s="34"/>
      <c r="G1487" s="35"/>
      <c r="H1487" s="34"/>
      <c r="I1487" s="37"/>
    </row>
    <row r="1488" ht="22.5" customHeight="1">
      <c r="A1488" s="30"/>
      <c r="B1488" s="31"/>
      <c r="C1488" s="32"/>
      <c r="D1488" s="33"/>
      <c r="E1488" s="34"/>
      <c r="F1488" s="34"/>
      <c r="G1488" s="35"/>
      <c r="H1488" s="34"/>
      <c r="I1488" s="37"/>
    </row>
    <row r="1489" ht="22.5" customHeight="1">
      <c r="A1489" s="30"/>
      <c r="B1489" s="31"/>
      <c r="C1489" s="32"/>
      <c r="D1489" s="33"/>
      <c r="E1489" s="34"/>
      <c r="F1489" s="34"/>
      <c r="G1489" s="35"/>
      <c r="H1489" s="34"/>
      <c r="I1489" s="37"/>
    </row>
    <row r="1490" ht="22.5" customHeight="1">
      <c r="A1490" s="30"/>
      <c r="B1490" s="40"/>
      <c r="C1490" s="32"/>
      <c r="D1490" s="33"/>
      <c r="E1490" s="34"/>
      <c r="F1490" s="34"/>
      <c r="G1490" s="35"/>
      <c r="H1490" s="34"/>
      <c r="I1490" s="37"/>
    </row>
    <row r="1491" ht="22.5" customHeight="1">
      <c r="A1491" s="30"/>
      <c r="B1491" s="31"/>
      <c r="C1491" s="32"/>
      <c r="D1491" s="33"/>
      <c r="E1491" s="34"/>
      <c r="F1491" s="34"/>
      <c r="G1491" s="35"/>
      <c r="H1491" s="34"/>
      <c r="I1491" s="37"/>
    </row>
    <row r="1492" ht="22.5" customHeight="1">
      <c r="A1492" s="30"/>
      <c r="B1492" s="31"/>
      <c r="C1492" s="32"/>
      <c r="D1492" s="33"/>
      <c r="E1492" s="34"/>
      <c r="F1492" s="34"/>
      <c r="G1492" s="35"/>
      <c r="H1492" s="34"/>
      <c r="I1492" s="37"/>
    </row>
    <row r="1493" ht="22.5" customHeight="1">
      <c r="A1493" s="30"/>
      <c r="B1493" s="31"/>
      <c r="C1493" s="32"/>
      <c r="D1493" s="33"/>
      <c r="E1493" s="34"/>
      <c r="F1493" s="34"/>
      <c r="G1493" s="35"/>
      <c r="H1493" s="34"/>
      <c r="I1493" s="37"/>
    </row>
    <row r="1494" ht="22.5" customHeight="1">
      <c r="A1494" s="30"/>
      <c r="B1494" s="31"/>
      <c r="C1494" s="32"/>
      <c r="D1494" s="33"/>
      <c r="E1494" s="34"/>
      <c r="F1494" s="34"/>
      <c r="G1494" s="35"/>
      <c r="H1494" s="34"/>
      <c r="I1494" s="37"/>
    </row>
    <row r="1495" ht="22.5" customHeight="1">
      <c r="A1495" s="30"/>
      <c r="B1495" s="31"/>
      <c r="C1495" s="32"/>
      <c r="D1495" s="33"/>
      <c r="E1495" s="34"/>
      <c r="F1495" s="34"/>
      <c r="G1495" s="35"/>
      <c r="H1495" s="34"/>
      <c r="I1495" s="37"/>
    </row>
    <row r="1496" ht="22.5" customHeight="1">
      <c r="A1496" s="30"/>
      <c r="B1496" s="31"/>
      <c r="C1496" s="32"/>
      <c r="D1496" s="33"/>
      <c r="E1496" s="34"/>
      <c r="F1496" s="34"/>
      <c r="G1496" s="35"/>
      <c r="H1496" s="34"/>
      <c r="I1496" s="37"/>
    </row>
    <row r="1497" ht="22.5" customHeight="1">
      <c r="A1497" s="30"/>
      <c r="B1497" s="31"/>
      <c r="C1497" s="32"/>
      <c r="D1497" s="33"/>
      <c r="E1497" s="34"/>
      <c r="F1497" s="34"/>
      <c r="G1497" s="35"/>
      <c r="H1497" s="34"/>
      <c r="I1497" s="37"/>
    </row>
    <row r="1498" ht="22.5" customHeight="1">
      <c r="A1498" s="30"/>
      <c r="B1498" s="31"/>
      <c r="C1498" s="32"/>
      <c r="D1498" s="33"/>
      <c r="E1498" s="34"/>
      <c r="F1498" s="34"/>
      <c r="G1498" s="35"/>
      <c r="H1498" s="34"/>
      <c r="I1498" s="37"/>
    </row>
    <row r="1499" ht="22.5" customHeight="1">
      <c r="A1499" s="30"/>
      <c r="B1499" s="31"/>
      <c r="C1499" s="32"/>
      <c r="D1499" s="33"/>
      <c r="E1499" s="34"/>
      <c r="F1499" s="34"/>
      <c r="G1499" s="35"/>
      <c r="H1499" s="34"/>
      <c r="I1499" s="37"/>
    </row>
    <row r="1500" ht="22.5" customHeight="1">
      <c r="A1500" s="30"/>
      <c r="B1500" s="31"/>
      <c r="C1500" s="32"/>
      <c r="D1500" s="33"/>
      <c r="E1500" s="34"/>
      <c r="F1500" s="34"/>
      <c r="G1500" s="35"/>
      <c r="H1500" s="34"/>
      <c r="I1500" s="37"/>
    </row>
    <row r="1501" ht="22.5" customHeight="1">
      <c r="A1501" s="30"/>
      <c r="B1501" s="31"/>
      <c r="C1501" s="32"/>
      <c r="D1501" s="33"/>
      <c r="E1501" s="34"/>
      <c r="F1501" s="34"/>
      <c r="G1501" s="35"/>
      <c r="H1501" s="34"/>
      <c r="I1501" s="37"/>
    </row>
    <row r="1502" ht="22.5" customHeight="1">
      <c r="A1502" s="30"/>
      <c r="B1502" s="31"/>
      <c r="C1502" s="32"/>
      <c r="D1502" s="33"/>
      <c r="E1502" s="34"/>
      <c r="F1502" s="34"/>
      <c r="G1502" s="35"/>
      <c r="H1502" s="34"/>
      <c r="I1502" s="37"/>
    </row>
    <row r="1503" ht="22.5" customHeight="1">
      <c r="A1503" s="30"/>
      <c r="B1503" s="31"/>
      <c r="C1503" s="32"/>
      <c r="D1503" s="33"/>
      <c r="E1503" s="34"/>
      <c r="F1503" s="34"/>
      <c r="G1503" s="35"/>
      <c r="H1503" s="34"/>
      <c r="I1503" s="37"/>
    </row>
    <row r="1504" ht="22.5" customHeight="1">
      <c r="A1504" s="30"/>
      <c r="B1504" s="31"/>
      <c r="C1504" s="32"/>
      <c r="D1504" s="33"/>
      <c r="E1504" s="34"/>
      <c r="F1504" s="34"/>
      <c r="G1504" s="35"/>
      <c r="H1504" s="34"/>
      <c r="I1504" s="37"/>
    </row>
    <row r="1505" ht="22.5" customHeight="1">
      <c r="A1505" s="30"/>
      <c r="B1505" s="40"/>
      <c r="C1505" s="32"/>
      <c r="D1505" s="33"/>
      <c r="E1505" s="34"/>
      <c r="F1505" s="34"/>
      <c r="G1505" s="35"/>
      <c r="H1505" s="34"/>
      <c r="I1505" s="37"/>
    </row>
    <row r="1506" ht="22.5" customHeight="1">
      <c r="A1506" s="30"/>
      <c r="B1506" s="31"/>
      <c r="C1506" s="32"/>
      <c r="D1506" s="33"/>
      <c r="E1506" s="34"/>
      <c r="F1506" s="34"/>
      <c r="G1506" s="35"/>
      <c r="H1506" s="34"/>
      <c r="I1506" s="37"/>
    </row>
    <row r="1507" ht="22.5" customHeight="1">
      <c r="A1507" s="30"/>
      <c r="B1507" s="40"/>
      <c r="C1507" s="32"/>
      <c r="D1507" s="33"/>
      <c r="E1507" s="34"/>
      <c r="F1507" s="34"/>
      <c r="G1507" s="35"/>
      <c r="H1507" s="34"/>
      <c r="I1507" s="37"/>
    </row>
    <row r="1508" ht="22.5" customHeight="1">
      <c r="A1508" s="30"/>
      <c r="B1508" s="31"/>
      <c r="C1508" s="32"/>
      <c r="D1508" s="33"/>
      <c r="E1508" s="34"/>
      <c r="F1508" s="34"/>
      <c r="G1508" s="35"/>
      <c r="H1508" s="34"/>
      <c r="I1508" s="37"/>
    </row>
    <row r="1509" ht="22.5" customHeight="1">
      <c r="A1509" s="30"/>
      <c r="B1509" s="31"/>
      <c r="C1509" s="32"/>
      <c r="D1509" s="33"/>
      <c r="E1509" s="34"/>
      <c r="F1509" s="34"/>
      <c r="G1509" s="35"/>
      <c r="H1509" s="34"/>
      <c r="I1509" s="37"/>
    </row>
    <row r="1510" ht="22.5" customHeight="1">
      <c r="A1510" s="30"/>
      <c r="B1510" s="31"/>
      <c r="C1510" s="32"/>
      <c r="D1510" s="33"/>
      <c r="E1510" s="34"/>
      <c r="F1510" s="34"/>
      <c r="G1510" s="35"/>
      <c r="H1510" s="34"/>
      <c r="I1510" s="37"/>
    </row>
    <row r="1511" ht="22.5" customHeight="1">
      <c r="A1511" s="30"/>
      <c r="B1511" s="31"/>
      <c r="C1511" s="32"/>
      <c r="D1511" s="33"/>
      <c r="E1511" s="34"/>
      <c r="F1511" s="34"/>
      <c r="G1511" s="35"/>
      <c r="H1511" s="34"/>
      <c r="I1511" s="37"/>
    </row>
    <row r="1512" ht="22.5" customHeight="1">
      <c r="A1512" s="30"/>
      <c r="B1512" s="40"/>
      <c r="C1512" s="32"/>
      <c r="D1512" s="33"/>
      <c r="E1512" s="34"/>
      <c r="F1512" s="34"/>
      <c r="G1512" s="35"/>
      <c r="H1512" s="34"/>
      <c r="I1512" s="37"/>
    </row>
    <row r="1513" ht="22.5" customHeight="1">
      <c r="A1513" s="30"/>
      <c r="B1513" s="31"/>
      <c r="C1513" s="32"/>
      <c r="D1513" s="33"/>
      <c r="E1513" s="34"/>
      <c r="F1513" s="34"/>
      <c r="G1513" s="35"/>
      <c r="H1513" s="34"/>
      <c r="I1513" s="37"/>
    </row>
    <row r="1514" ht="22.5" customHeight="1">
      <c r="A1514" s="30"/>
      <c r="B1514" s="31"/>
      <c r="C1514" s="32"/>
      <c r="D1514" s="33"/>
      <c r="E1514" s="34"/>
      <c r="F1514" s="34"/>
      <c r="G1514" s="35"/>
      <c r="H1514" s="34"/>
      <c r="I1514" s="37"/>
    </row>
    <row r="1515" ht="22.5" customHeight="1">
      <c r="A1515" s="30"/>
      <c r="B1515" s="31"/>
      <c r="C1515" s="32"/>
      <c r="D1515" s="33"/>
      <c r="E1515" s="34"/>
      <c r="F1515" s="34"/>
      <c r="G1515" s="35"/>
      <c r="H1515" s="34"/>
      <c r="I1515" s="37"/>
    </row>
    <row r="1516" ht="22.5" customHeight="1">
      <c r="A1516" s="30"/>
      <c r="B1516" s="31"/>
      <c r="C1516" s="32"/>
      <c r="D1516" s="33"/>
      <c r="E1516" s="34"/>
      <c r="F1516" s="34"/>
      <c r="G1516" s="35"/>
      <c r="H1516" s="34"/>
      <c r="I1516" s="37"/>
    </row>
    <row r="1517" ht="22.5" customHeight="1">
      <c r="A1517" s="30"/>
      <c r="B1517" s="31"/>
      <c r="C1517" s="32"/>
      <c r="D1517" s="33"/>
      <c r="E1517" s="34"/>
      <c r="F1517" s="34"/>
      <c r="G1517" s="35"/>
      <c r="H1517" s="34"/>
      <c r="I1517" s="37"/>
    </row>
    <row r="1518" ht="22.5" customHeight="1">
      <c r="A1518" s="30"/>
      <c r="B1518" s="31"/>
      <c r="C1518" s="32"/>
      <c r="D1518" s="33"/>
      <c r="E1518" s="34"/>
      <c r="F1518" s="34"/>
      <c r="G1518" s="35"/>
      <c r="H1518" s="34"/>
      <c r="I1518" s="37"/>
    </row>
    <row r="1519" ht="22.5" customHeight="1">
      <c r="A1519" s="30"/>
      <c r="B1519" s="31"/>
      <c r="C1519" s="32"/>
      <c r="D1519" s="33"/>
      <c r="E1519" s="34"/>
      <c r="F1519" s="34"/>
      <c r="G1519" s="35"/>
      <c r="H1519" s="34"/>
      <c r="I1519" s="37"/>
    </row>
    <row r="1520" ht="22.5" customHeight="1">
      <c r="A1520" s="30"/>
      <c r="B1520" s="31"/>
      <c r="C1520" s="32"/>
      <c r="D1520" s="33"/>
      <c r="E1520" s="34"/>
      <c r="F1520" s="34"/>
      <c r="G1520" s="35"/>
      <c r="H1520" s="34"/>
      <c r="I1520" s="37"/>
    </row>
    <row r="1521" ht="22.5" customHeight="1">
      <c r="A1521" s="30"/>
      <c r="B1521" s="31"/>
      <c r="C1521" s="32"/>
      <c r="D1521" s="33"/>
      <c r="E1521" s="34"/>
      <c r="F1521" s="34"/>
      <c r="G1521" s="35"/>
      <c r="H1521" s="34"/>
      <c r="I1521" s="37"/>
    </row>
    <row r="1522" ht="22.5" customHeight="1">
      <c r="A1522" s="30"/>
      <c r="B1522" s="31"/>
      <c r="C1522" s="32"/>
      <c r="D1522" s="33"/>
      <c r="E1522" s="34"/>
      <c r="F1522" s="34"/>
      <c r="G1522" s="35"/>
      <c r="H1522" s="34"/>
      <c r="I1522" s="37"/>
    </row>
    <row r="1523" ht="22.5" customHeight="1">
      <c r="A1523" s="30"/>
      <c r="B1523" s="31"/>
      <c r="C1523" s="32"/>
      <c r="D1523" s="33"/>
      <c r="E1523" s="34"/>
      <c r="F1523" s="34"/>
      <c r="G1523" s="35"/>
      <c r="H1523" s="34"/>
      <c r="I1523" s="37"/>
    </row>
    <row r="1524" ht="22.5" customHeight="1">
      <c r="A1524" s="30"/>
      <c r="B1524" s="31"/>
      <c r="C1524" s="32"/>
      <c r="D1524" s="33"/>
      <c r="E1524" s="34"/>
      <c r="F1524" s="34"/>
      <c r="G1524" s="35"/>
      <c r="H1524" s="34"/>
      <c r="I1524" s="37"/>
    </row>
    <row r="1525" ht="22.5" customHeight="1">
      <c r="A1525" s="30"/>
      <c r="B1525" s="31"/>
      <c r="C1525" s="32"/>
      <c r="D1525" s="33"/>
      <c r="E1525" s="34"/>
      <c r="F1525" s="34"/>
      <c r="G1525" s="35"/>
      <c r="H1525" s="34"/>
      <c r="I1525" s="37"/>
    </row>
    <row r="1526" ht="22.5" customHeight="1">
      <c r="A1526" s="30"/>
      <c r="B1526" s="31"/>
      <c r="C1526" s="32"/>
      <c r="D1526" s="33"/>
      <c r="E1526" s="34"/>
      <c r="F1526" s="34"/>
      <c r="G1526" s="35"/>
      <c r="H1526" s="34"/>
      <c r="I1526" s="37"/>
    </row>
    <row r="1527" ht="22.5" customHeight="1">
      <c r="A1527" s="30"/>
      <c r="B1527" s="31"/>
      <c r="C1527" s="32"/>
      <c r="D1527" s="33"/>
      <c r="E1527" s="34"/>
      <c r="F1527" s="34"/>
      <c r="G1527" s="35"/>
      <c r="H1527" s="34"/>
      <c r="I1527" s="37"/>
    </row>
    <row r="1528" ht="22.5" customHeight="1">
      <c r="A1528" s="30"/>
      <c r="B1528" s="31"/>
      <c r="C1528" s="32"/>
      <c r="D1528" s="33"/>
      <c r="E1528" s="34"/>
      <c r="F1528" s="34"/>
      <c r="G1528" s="35"/>
      <c r="H1528" s="34"/>
      <c r="I1528" s="37"/>
    </row>
    <row r="1529" ht="22.5" customHeight="1">
      <c r="A1529" s="30"/>
      <c r="B1529" s="31"/>
      <c r="C1529" s="32"/>
      <c r="D1529" s="33"/>
      <c r="E1529" s="34"/>
      <c r="F1529" s="34"/>
      <c r="G1529" s="35"/>
      <c r="H1529" s="34"/>
      <c r="I1529" s="37"/>
    </row>
    <row r="1530" ht="22.5" customHeight="1">
      <c r="A1530" s="30"/>
      <c r="B1530" s="31"/>
      <c r="C1530" s="32"/>
      <c r="D1530" s="33"/>
      <c r="E1530" s="34"/>
      <c r="F1530" s="34"/>
      <c r="G1530" s="35"/>
      <c r="H1530" s="34"/>
      <c r="I1530" s="37"/>
    </row>
    <row r="1531" ht="22.5" customHeight="1">
      <c r="A1531" s="30"/>
      <c r="B1531" s="31"/>
      <c r="C1531" s="32"/>
      <c r="D1531" s="33"/>
      <c r="E1531" s="34"/>
      <c r="F1531" s="34"/>
      <c r="G1531" s="35"/>
      <c r="H1531" s="34"/>
      <c r="I1531" s="37"/>
    </row>
    <row r="1532" ht="22.5" customHeight="1">
      <c r="A1532" s="30"/>
      <c r="B1532" s="31"/>
      <c r="C1532" s="32"/>
      <c r="D1532" s="33"/>
      <c r="E1532" s="34"/>
      <c r="F1532" s="34"/>
      <c r="G1532" s="35"/>
      <c r="H1532" s="34"/>
      <c r="I1532" s="37"/>
    </row>
    <row r="1533" ht="22.5" customHeight="1">
      <c r="A1533" s="30"/>
      <c r="B1533" s="31"/>
      <c r="C1533" s="32"/>
      <c r="D1533" s="33"/>
      <c r="E1533" s="34"/>
      <c r="F1533" s="34"/>
      <c r="G1533" s="35"/>
      <c r="H1533" s="34"/>
      <c r="I1533" s="37"/>
    </row>
    <row r="1534" ht="22.5" customHeight="1">
      <c r="A1534" s="30"/>
      <c r="B1534" s="40"/>
      <c r="C1534" s="32"/>
      <c r="D1534" s="33"/>
      <c r="E1534" s="34"/>
      <c r="F1534" s="34"/>
      <c r="G1534" s="35"/>
      <c r="H1534" s="34"/>
      <c r="I1534" s="37"/>
    </row>
    <row r="1535" ht="22.5" customHeight="1">
      <c r="A1535" s="30"/>
      <c r="B1535" s="31"/>
      <c r="C1535" s="32"/>
      <c r="D1535" s="33"/>
      <c r="E1535" s="34"/>
      <c r="F1535" s="34"/>
      <c r="G1535" s="35"/>
      <c r="H1535" s="34"/>
      <c r="I1535" s="37"/>
    </row>
    <row r="1536" ht="22.5" customHeight="1">
      <c r="A1536" s="30"/>
      <c r="B1536" s="31"/>
      <c r="C1536" s="32"/>
      <c r="D1536" s="33"/>
      <c r="E1536" s="34"/>
      <c r="F1536" s="34"/>
      <c r="G1536" s="35"/>
      <c r="H1536" s="34"/>
      <c r="I1536" s="37"/>
    </row>
    <row r="1537" ht="22.5" customHeight="1">
      <c r="A1537" s="30"/>
      <c r="B1537" s="31"/>
      <c r="C1537" s="32"/>
      <c r="D1537" s="33"/>
      <c r="E1537" s="34"/>
      <c r="F1537" s="34"/>
      <c r="G1537" s="35"/>
      <c r="H1537" s="34"/>
      <c r="I1537" s="37"/>
    </row>
    <row r="1538" ht="22.5" customHeight="1">
      <c r="A1538" s="30"/>
      <c r="B1538" s="31"/>
      <c r="C1538" s="32"/>
      <c r="D1538" s="33"/>
      <c r="E1538" s="34"/>
      <c r="F1538" s="34"/>
      <c r="G1538" s="35"/>
      <c r="H1538" s="34"/>
      <c r="I1538" s="38"/>
    </row>
    <row r="1539" ht="22.5" customHeight="1">
      <c r="A1539" s="30"/>
      <c r="B1539" s="39"/>
      <c r="C1539" s="32"/>
      <c r="D1539" s="33"/>
      <c r="E1539" s="34"/>
      <c r="F1539" s="34"/>
      <c r="G1539" s="35"/>
      <c r="H1539" s="34"/>
      <c r="I1539" s="37"/>
    </row>
    <row r="1540" ht="22.5" customHeight="1">
      <c r="A1540" s="30"/>
      <c r="B1540" s="31"/>
      <c r="C1540" s="32"/>
      <c r="D1540" s="33"/>
      <c r="E1540" s="34"/>
      <c r="F1540" s="34"/>
      <c r="G1540" s="35"/>
      <c r="H1540" s="34"/>
      <c r="I1540" s="37"/>
    </row>
    <row r="1541" ht="22.5" customHeight="1">
      <c r="A1541" s="30"/>
      <c r="B1541" s="31"/>
      <c r="C1541" s="32"/>
      <c r="D1541" s="33"/>
      <c r="E1541" s="34"/>
      <c r="F1541" s="34"/>
      <c r="G1541" s="35"/>
      <c r="H1541" s="34"/>
      <c r="I1541" s="37"/>
    </row>
    <row r="1542" ht="22.5" customHeight="1">
      <c r="A1542" s="30"/>
      <c r="B1542" s="31"/>
      <c r="C1542" s="32"/>
      <c r="D1542" s="33"/>
      <c r="E1542" s="34"/>
      <c r="F1542" s="34"/>
      <c r="G1542" s="35"/>
      <c r="H1542" s="34"/>
      <c r="I1542" s="37"/>
    </row>
    <row r="1543" ht="22.5" customHeight="1">
      <c r="A1543" s="30"/>
      <c r="B1543" s="39"/>
      <c r="C1543" s="32"/>
      <c r="D1543" s="33"/>
      <c r="E1543" s="34"/>
      <c r="F1543" s="34"/>
      <c r="G1543" s="35"/>
      <c r="H1543" s="34"/>
      <c r="I1543" s="37"/>
    </row>
    <row r="1544" ht="22.5" customHeight="1">
      <c r="A1544" s="30"/>
      <c r="B1544" s="31"/>
      <c r="C1544" s="32"/>
      <c r="D1544" s="33"/>
      <c r="E1544" s="34"/>
      <c r="F1544" s="34"/>
      <c r="G1544" s="35"/>
      <c r="H1544" s="34"/>
      <c r="I1544" s="37"/>
    </row>
    <row r="1545" ht="22.5" customHeight="1">
      <c r="A1545" s="30"/>
      <c r="B1545" s="39"/>
      <c r="C1545" s="32"/>
      <c r="D1545" s="33"/>
      <c r="E1545" s="34"/>
      <c r="F1545" s="34"/>
      <c r="G1545" s="35"/>
      <c r="H1545" s="34"/>
      <c r="I1545" s="37"/>
    </row>
    <row r="1546" ht="22.5" customHeight="1">
      <c r="A1546" s="30"/>
      <c r="B1546" s="31"/>
      <c r="C1546" s="32"/>
      <c r="D1546" s="33"/>
      <c r="E1546" s="34"/>
      <c r="F1546" s="34"/>
      <c r="G1546" s="35"/>
      <c r="H1546" s="34"/>
      <c r="I1546" s="37"/>
    </row>
    <row r="1547" ht="22.5" customHeight="1">
      <c r="A1547" s="30"/>
      <c r="B1547" s="31"/>
      <c r="C1547" s="32"/>
      <c r="D1547" s="33"/>
      <c r="E1547" s="34"/>
      <c r="F1547" s="34"/>
      <c r="G1547" s="35"/>
      <c r="H1547" s="34"/>
      <c r="I1547" s="37"/>
    </row>
    <row r="1548" ht="22.5" customHeight="1">
      <c r="A1548" s="30"/>
      <c r="B1548" s="31"/>
      <c r="C1548" s="32"/>
      <c r="D1548" s="33"/>
      <c r="E1548" s="34"/>
      <c r="F1548" s="34"/>
      <c r="G1548" s="35"/>
      <c r="H1548" s="34"/>
      <c r="I1548" s="37"/>
    </row>
    <row r="1549" ht="22.5" customHeight="1">
      <c r="A1549" s="30"/>
      <c r="B1549" s="31"/>
      <c r="C1549" s="32"/>
      <c r="D1549" s="33"/>
      <c r="E1549" s="34"/>
      <c r="F1549" s="34"/>
      <c r="G1549" s="35"/>
      <c r="H1549" s="34"/>
      <c r="I1549" s="37"/>
    </row>
    <row r="1550" ht="22.5" customHeight="1">
      <c r="A1550" s="30"/>
      <c r="B1550" s="31"/>
      <c r="C1550" s="32"/>
      <c r="D1550" s="33"/>
      <c r="E1550" s="34"/>
      <c r="F1550" s="34"/>
      <c r="G1550" s="35"/>
      <c r="H1550" s="34"/>
      <c r="I1550" s="37"/>
    </row>
    <row r="1551" ht="22.5" customHeight="1">
      <c r="A1551" s="30"/>
      <c r="B1551" s="31"/>
      <c r="C1551" s="32"/>
      <c r="D1551" s="33"/>
      <c r="E1551" s="34"/>
      <c r="F1551" s="34"/>
      <c r="G1551" s="35"/>
      <c r="H1551" s="34"/>
      <c r="I1551" s="37"/>
    </row>
    <row r="1552" ht="22.5" customHeight="1">
      <c r="A1552" s="30"/>
      <c r="B1552" s="31"/>
      <c r="C1552" s="32"/>
      <c r="D1552" s="33"/>
      <c r="E1552" s="34"/>
      <c r="F1552" s="34"/>
      <c r="G1552" s="35"/>
      <c r="H1552" s="34"/>
      <c r="I1552" s="37"/>
    </row>
    <row r="1553" ht="22.5" customHeight="1">
      <c r="A1553" s="30"/>
      <c r="B1553" s="31"/>
      <c r="C1553" s="32"/>
      <c r="D1553" s="33"/>
      <c r="E1553" s="34"/>
      <c r="F1553" s="34"/>
      <c r="G1553" s="35"/>
      <c r="H1553" s="34"/>
      <c r="I1553" s="37"/>
    </row>
    <row r="1554" ht="22.5" customHeight="1">
      <c r="A1554" s="30"/>
      <c r="B1554" s="31"/>
      <c r="C1554" s="32"/>
      <c r="D1554" s="33"/>
      <c r="E1554" s="34"/>
      <c r="F1554" s="34"/>
      <c r="G1554" s="35"/>
      <c r="H1554" s="34"/>
      <c r="I1554" s="37"/>
    </row>
    <row r="1555" ht="22.5" customHeight="1">
      <c r="A1555" s="30"/>
      <c r="B1555" s="31"/>
      <c r="C1555" s="32"/>
      <c r="D1555" s="33"/>
      <c r="E1555" s="34"/>
      <c r="F1555" s="34"/>
      <c r="G1555" s="35"/>
      <c r="H1555" s="34"/>
      <c r="I1555" s="37"/>
    </row>
    <row r="1556" ht="22.5" customHeight="1">
      <c r="A1556" s="30"/>
      <c r="B1556" s="40"/>
      <c r="C1556" s="32"/>
      <c r="D1556" s="33"/>
      <c r="E1556" s="34"/>
      <c r="F1556" s="34"/>
      <c r="G1556" s="35"/>
      <c r="H1556" s="34"/>
      <c r="I1556" s="37"/>
    </row>
    <row r="1557" ht="22.5" customHeight="1">
      <c r="A1557" s="30"/>
      <c r="B1557" s="31"/>
      <c r="C1557" s="32"/>
      <c r="D1557" s="33"/>
      <c r="E1557" s="34"/>
      <c r="F1557" s="34"/>
      <c r="G1557" s="35"/>
      <c r="H1557" s="34"/>
      <c r="I1557" s="37"/>
    </row>
    <row r="1558" ht="22.5" customHeight="1">
      <c r="A1558" s="30"/>
      <c r="B1558" s="31"/>
      <c r="C1558" s="32"/>
      <c r="D1558" s="33"/>
      <c r="E1558" s="34"/>
      <c r="F1558" s="34"/>
      <c r="G1558" s="35"/>
      <c r="H1558" s="34"/>
      <c r="I1558" s="37"/>
    </row>
    <row r="1559" ht="22.5" customHeight="1">
      <c r="A1559" s="30"/>
      <c r="B1559" s="31"/>
      <c r="C1559" s="32"/>
      <c r="D1559" s="33"/>
      <c r="E1559" s="34"/>
      <c r="F1559" s="34"/>
      <c r="G1559" s="35"/>
      <c r="H1559" s="34"/>
      <c r="I1559" s="37"/>
    </row>
    <row r="1560" ht="22.5" customHeight="1">
      <c r="A1560" s="30"/>
      <c r="B1560" s="31"/>
      <c r="C1560" s="32"/>
      <c r="D1560" s="33"/>
      <c r="E1560" s="34"/>
      <c r="F1560" s="34"/>
      <c r="G1560" s="35"/>
      <c r="H1560" s="34"/>
      <c r="I1560" s="37"/>
    </row>
    <row r="1561" ht="22.5" customHeight="1">
      <c r="A1561" s="30"/>
      <c r="B1561" s="31"/>
      <c r="C1561" s="32"/>
      <c r="D1561" s="33"/>
      <c r="E1561" s="34"/>
      <c r="F1561" s="34"/>
      <c r="G1561" s="35"/>
      <c r="H1561" s="34"/>
      <c r="I1561" s="37"/>
    </row>
    <row r="1562" ht="22.5" customHeight="1">
      <c r="A1562" s="30"/>
      <c r="B1562" s="31"/>
      <c r="C1562" s="32"/>
      <c r="D1562" s="33"/>
      <c r="E1562" s="34"/>
      <c r="F1562" s="34"/>
      <c r="G1562" s="35"/>
      <c r="H1562" s="34"/>
      <c r="I1562" s="37"/>
    </row>
    <row r="1563" ht="22.5" customHeight="1">
      <c r="A1563" s="30"/>
      <c r="B1563" s="39"/>
      <c r="C1563" s="32"/>
      <c r="D1563" s="33"/>
      <c r="E1563" s="34"/>
      <c r="F1563" s="34"/>
      <c r="G1563" s="35"/>
      <c r="H1563" s="34"/>
      <c r="I1563" s="37"/>
    </row>
    <row r="1564" ht="22.5" customHeight="1">
      <c r="A1564" s="30"/>
      <c r="B1564" s="39"/>
      <c r="C1564" s="32"/>
      <c r="D1564" s="33"/>
      <c r="E1564" s="34"/>
      <c r="F1564" s="34"/>
      <c r="G1564" s="35"/>
      <c r="H1564" s="34"/>
      <c r="I1564" s="37"/>
    </row>
    <row r="1565" ht="22.5" customHeight="1">
      <c r="A1565" s="30"/>
      <c r="B1565" s="39"/>
      <c r="C1565" s="32"/>
      <c r="D1565" s="33"/>
      <c r="E1565" s="34"/>
      <c r="F1565" s="34"/>
      <c r="G1565" s="35"/>
      <c r="H1565" s="34"/>
      <c r="I1565" s="37"/>
    </row>
    <row r="1566" ht="22.5" customHeight="1">
      <c r="A1566" s="30"/>
      <c r="B1566" s="40"/>
      <c r="C1566" s="32"/>
      <c r="D1566" s="33"/>
      <c r="E1566" s="34"/>
      <c r="F1566" s="34"/>
      <c r="G1566" s="35"/>
      <c r="H1566" s="34"/>
      <c r="I1566" s="37"/>
    </row>
    <row r="1567" ht="22.5" customHeight="1">
      <c r="A1567" s="30"/>
      <c r="B1567" s="31"/>
      <c r="C1567" s="32"/>
      <c r="D1567" s="33"/>
      <c r="E1567" s="34"/>
      <c r="F1567" s="34"/>
      <c r="G1567" s="35"/>
      <c r="H1567" s="34"/>
      <c r="I1567" s="37"/>
    </row>
    <row r="1568" ht="22.5" customHeight="1">
      <c r="A1568" s="30"/>
      <c r="B1568" s="31"/>
      <c r="C1568" s="32"/>
      <c r="D1568" s="33"/>
      <c r="E1568" s="34"/>
      <c r="F1568" s="34"/>
      <c r="G1568" s="35"/>
      <c r="H1568" s="34"/>
      <c r="I1568" s="37"/>
    </row>
    <row r="1569" ht="22.5" customHeight="1">
      <c r="A1569" s="30"/>
      <c r="B1569" s="31"/>
      <c r="C1569" s="32"/>
      <c r="D1569" s="33"/>
      <c r="E1569" s="34"/>
      <c r="F1569" s="34"/>
      <c r="G1569" s="35"/>
      <c r="H1569" s="34"/>
      <c r="I1569" s="37"/>
    </row>
    <row r="1570" ht="22.5" customHeight="1">
      <c r="A1570" s="30"/>
      <c r="B1570" s="31"/>
      <c r="C1570" s="32"/>
      <c r="D1570" s="33"/>
      <c r="E1570" s="34"/>
      <c r="F1570" s="34"/>
      <c r="G1570" s="35"/>
      <c r="H1570" s="34"/>
      <c r="I1570" s="37"/>
    </row>
    <row r="1571" ht="22.5" customHeight="1">
      <c r="A1571" s="30"/>
      <c r="B1571" s="31"/>
      <c r="C1571" s="32"/>
      <c r="D1571" s="33"/>
      <c r="E1571" s="34"/>
      <c r="F1571" s="34"/>
      <c r="G1571" s="35"/>
      <c r="H1571" s="34"/>
      <c r="I1571" s="37"/>
    </row>
    <row r="1572" ht="22.5" customHeight="1">
      <c r="A1572" s="30"/>
      <c r="B1572" s="31"/>
      <c r="C1572" s="32"/>
      <c r="D1572" s="33"/>
      <c r="E1572" s="34"/>
      <c r="F1572" s="34"/>
      <c r="G1572" s="35"/>
      <c r="H1572" s="34"/>
      <c r="I1572" s="37"/>
    </row>
    <row r="1573" ht="22.5" customHeight="1">
      <c r="A1573" s="30"/>
      <c r="B1573" s="31"/>
      <c r="C1573" s="32"/>
      <c r="D1573" s="33"/>
      <c r="E1573" s="34"/>
      <c r="F1573" s="34"/>
      <c r="G1573" s="35"/>
      <c r="H1573" s="34"/>
      <c r="I1573" s="37"/>
    </row>
    <row r="1574" ht="22.5" customHeight="1">
      <c r="A1574" s="30"/>
      <c r="B1574" s="31"/>
      <c r="C1574" s="32"/>
      <c r="D1574" s="33"/>
      <c r="E1574" s="34"/>
      <c r="F1574" s="34"/>
      <c r="G1574" s="35"/>
      <c r="H1574" s="34"/>
      <c r="I1574" s="37"/>
    </row>
    <row r="1575" ht="22.5" customHeight="1">
      <c r="A1575" s="30"/>
      <c r="B1575" s="31"/>
      <c r="C1575" s="32"/>
      <c r="D1575" s="33"/>
      <c r="E1575" s="34"/>
      <c r="F1575" s="34"/>
      <c r="G1575" s="35"/>
      <c r="H1575" s="34"/>
      <c r="I1575" s="37"/>
    </row>
    <row r="1576" ht="22.5" customHeight="1">
      <c r="A1576" s="30"/>
      <c r="B1576" s="40"/>
      <c r="C1576" s="32"/>
      <c r="D1576" s="33"/>
      <c r="E1576" s="34"/>
      <c r="F1576" s="34"/>
      <c r="G1576" s="35"/>
      <c r="H1576" s="34"/>
      <c r="I1576" s="37"/>
    </row>
    <row r="1577" ht="22.5" customHeight="1">
      <c r="A1577" s="30"/>
      <c r="B1577" s="31"/>
      <c r="C1577" s="32"/>
      <c r="D1577" s="33"/>
      <c r="E1577" s="34"/>
      <c r="F1577" s="34"/>
      <c r="G1577" s="35"/>
      <c r="H1577" s="34"/>
      <c r="I1577" s="37"/>
    </row>
    <row r="1578" ht="22.5" customHeight="1">
      <c r="A1578" s="30"/>
      <c r="B1578" s="31"/>
      <c r="C1578" s="32"/>
      <c r="D1578" s="33"/>
      <c r="E1578" s="34"/>
      <c r="F1578" s="34"/>
      <c r="G1578" s="35"/>
      <c r="H1578" s="34"/>
      <c r="I1578" s="37"/>
    </row>
    <row r="1579" ht="22.5" customHeight="1">
      <c r="A1579" s="30"/>
      <c r="B1579" s="31"/>
      <c r="C1579" s="32"/>
      <c r="D1579" s="33"/>
      <c r="E1579" s="34"/>
      <c r="F1579" s="34"/>
      <c r="G1579" s="35"/>
      <c r="H1579" s="34"/>
      <c r="I1579" s="37"/>
    </row>
    <row r="1580" ht="22.5" customHeight="1">
      <c r="A1580" s="30"/>
      <c r="B1580" s="40"/>
      <c r="C1580" s="32"/>
      <c r="D1580" s="33"/>
      <c r="E1580" s="34"/>
      <c r="F1580" s="34"/>
      <c r="G1580" s="35"/>
      <c r="H1580" s="34"/>
      <c r="I1580" s="37"/>
    </row>
    <row r="1581" ht="22.5" customHeight="1">
      <c r="A1581" s="30"/>
      <c r="B1581" s="31"/>
      <c r="C1581" s="32"/>
      <c r="D1581" s="33"/>
      <c r="E1581" s="34"/>
      <c r="F1581" s="34"/>
      <c r="G1581" s="35"/>
      <c r="H1581" s="34"/>
      <c r="I1581" s="37"/>
    </row>
    <row r="1582" ht="22.5" customHeight="1">
      <c r="A1582" s="30"/>
      <c r="B1582" s="31"/>
      <c r="C1582" s="32"/>
      <c r="D1582" s="33"/>
      <c r="E1582" s="34"/>
      <c r="F1582" s="34"/>
      <c r="G1582" s="35"/>
      <c r="H1582" s="34"/>
      <c r="I1582" s="37"/>
    </row>
    <row r="1583" ht="22.5" customHeight="1">
      <c r="A1583" s="30"/>
      <c r="B1583" s="31"/>
      <c r="C1583" s="32"/>
      <c r="D1583" s="33"/>
      <c r="E1583" s="34"/>
      <c r="F1583" s="34"/>
      <c r="G1583" s="35"/>
      <c r="H1583" s="34"/>
      <c r="I1583" s="37"/>
    </row>
    <row r="1584" ht="22.5" customHeight="1">
      <c r="A1584" s="30"/>
      <c r="B1584" s="31"/>
      <c r="C1584" s="32"/>
      <c r="D1584" s="33"/>
      <c r="E1584" s="34"/>
      <c r="F1584" s="34"/>
      <c r="G1584" s="35"/>
      <c r="H1584" s="34"/>
      <c r="I1584" s="37"/>
    </row>
    <row r="1585" ht="22.5" customHeight="1">
      <c r="A1585" s="30"/>
      <c r="B1585" s="31"/>
      <c r="C1585" s="32"/>
      <c r="D1585" s="33"/>
      <c r="E1585" s="34"/>
      <c r="F1585" s="34"/>
      <c r="G1585" s="35"/>
      <c r="H1585" s="34"/>
      <c r="I1585" s="37"/>
    </row>
    <row r="1586" ht="22.5" customHeight="1">
      <c r="A1586" s="30"/>
      <c r="B1586" s="31"/>
      <c r="C1586" s="32"/>
      <c r="D1586" s="33"/>
      <c r="E1586" s="34"/>
      <c r="F1586" s="34"/>
      <c r="G1586" s="35"/>
      <c r="H1586" s="34"/>
      <c r="I1586" s="37"/>
    </row>
    <row r="1587" ht="22.5" customHeight="1">
      <c r="A1587" s="30"/>
      <c r="B1587" s="31"/>
      <c r="C1587" s="32"/>
      <c r="D1587" s="33"/>
      <c r="E1587" s="34"/>
      <c r="F1587" s="34"/>
      <c r="G1587" s="35"/>
      <c r="H1587" s="34"/>
      <c r="I1587" s="37"/>
    </row>
    <row r="1588" ht="22.5" customHeight="1">
      <c r="A1588" s="30"/>
      <c r="B1588" s="31"/>
      <c r="C1588" s="32"/>
      <c r="D1588" s="33"/>
      <c r="E1588" s="34"/>
      <c r="F1588" s="34"/>
      <c r="G1588" s="35"/>
      <c r="H1588" s="34"/>
      <c r="I1588" s="37"/>
    </row>
    <row r="1589" ht="22.5" customHeight="1">
      <c r="A1589" s="30"/>
      <c r="B1589" s="31"/>
      <c r="C1589" s="32"/>
      <c r="D1589" s="33"/>
      <c r="E1589" s="34"/>
      <c r="F1589" s="34"/>
      <c r="G1589" s="35"/>
      <c r="H1589" s="34"/>
      <c r="I1589" s="37"/>
    </row>
    <row r="1590" ht="22.5" customHeight="1">
      <c r="A1590" s="30"/>
      <c r="B1590" s="31"/>
      <c r="C1590" s="32"/>
      <c r="D1590" s="33"/>
      <c r="E1590" s="34"/>
      <c r="F1590" s="34"/>
      <c r="G1590" s="35"/>
      <c r="H1590" s="34"/>
      <c r="I1590" s="37"/>
    </row>
    <row r="1591" ht="22.5" customHeight="1">
      <c r="A1591" s="30"/>
      <c r="B1591" s="31"/>
      <c r="C1591" s="32"/>
      <c r="D1591" s="33"/>
      <c r="E1591" s="34"/>
      <c r="F1591" s="34"/>
      <c r="G1591" s="35"/>
      <c r="H1591" s="34"/>
      <c r="I1591" s="37"/>
    </row>
    <row r="1592" ht="22.5" customHeight="1">
      <c r="A1592" s="30"/>
      <c r="B1592" s="31"/>
      <c r="C1592" s="32"/>
      <c r="D1592" s="33"/>
      <c r="E1592" s="34"/>
      <c r="F1592" s="34"/>
      <c r="G1592" s="35"/>
      <c r="H1592" s="34"/>
      <c r="I1592" s="37"/>
    </row>
    <row r="1593" ht="22.5" customHeight="1">
      <c r="A1593" s="30"/>
      <c r="B1593" s="31"/>
      <c r="C1593" s="32"/>
      <c r="D1593" s="33"/>
      <c r="E1593" s="34"/>
      <c r="F1593" s="34"/>
      <c r="G1593" s="35"/>
      <c r="H1593" s="34"/>
      <c r="I1593" s="37"/>
    </row>
    <row r="1594" ht="22.5" customHeight="1">
      <c r="A1594" s="30"/>
      <c r="B1594" s="31"/>
      <c r="C1594" s="32"/>
      <c r="D1594" s="33"/>
      <c r="E1594" s="34"/>
      <c r="F1594" s="34"/>
      <c r="G1594" s="35"/>
      <c r="H1594" s="34"/>
      <c r="I1594" s="37"/>
    </row>
    <row r="1595" ht="22.5" customHeight="1">
      <c r="A1595" s="30"/>
      <c r="B1595" s="40"/>
      <c r="C1595" s="32"/>
      <c r="D1595" s="33"/>
      <c r="E1595" s="34"/>
      <c r="F1595" s="34"/>
      <c r="G1595" s="35"/>
      <c r="H1595" s="34"/>
      <c r="I1595" s="37"/>
    </row>
    <row r="1596" ht="22.5" customHeight="1">
      <c r="A1596" s="30"/>
      <c r="B1596" s="31"/>
      <c r="C1596" s="32"/>
      <c r="D1596" s="33"/>
      <c r="E1596" s="34"/>
      <c r="F1596" s="34"/>
      <c r="G1596" s="35"/>
      <c r="H1596" s="34"/>
      <c r="I1596" s="37"/>
    </row>
    <row r="1597" ht="22.5" customHeight="1">
      <c r="A1597" s="30"/>
      <c r="B1597" s="40"/>
      <c r="C1597" s="32"/>
      <c r="D1597" s="33"/>
      <c r="E1597" s="34"/>
      <c r="F1597" s="34"/>
      <c r="G1597" s="35"/>
      <c r="H1597" s="34"/>
      <c r="I1597" s="37"/>
    </row>
    <row r="1598" ht="22.5" customHeight="1">
      <c r="A1598" s="30"/>
      <c r="B1598" s="31"/>
      <c r="C1598" s="32"/>
      <c r="D1598" s="33"/>
      <c r="E1598" s="34"/>
      <c r="F1598" s="34"/>
      <c r="G1598" s="35"/>
      <c r="H1598" s="34"/>
      <c r="I1598" s="37"/>
    </row>
    <row r="1599" ht="22.5" customHeight="1">
      <c r="A1599" s="30"/>
      <c r="B1599" s="31"/>
      <c r="C1599" s="32"/>
      <c r="D1599" s="33"/>
      <c r="E1599" s="34"/>
      <c r="F1599" s="34"/>
      <c r="G1599" s="35"/>
      <c r="H1599" s="34"/>
      <c r="I1599" s="37"/>
    </row>
    <row r="1600" ht="22.5" customHeight="1">
      <c r="A1600" s="30"/>
      <c r="B1600" s="31"/>
      <c r="C1600" s="32"/>
      <c r="D1600" s="33"/>
      <c r="E1600" s="34"/>
      <c r="F1600" s="34"/>
      <c r="G1600" s="35"/>
      <c r="H1600" s="34"/>
      <c r="I1600" s="37"/>
    </row>
    <row r="1601" ht="22.5" customHeight="1">
      <c r="A1601" s="30"/>
      <c r="B1601" s="31"/>
      <c r="C1601" s="32"/>
      <c r="D1601" s="33"/>
      <c r="E1601" s="34"/>
      <c r="F1601" s="34"/>
      <c r="G1601" s="35"/>
      <c r="H1601" s="34"/>
      <c r="I1601" s="37"/>
    </row>
    <row r="1602" ht="22.5" customHeight="1">
      <c r="A1602" s="30"/>
      <c r="B1602" s="40"/>
      <c r="C1602" s="32"/>
      <c r="D1602" s="33"/>
      <c r="E1602" s="34"/>
      <c r="F1602" s="34"/>
      <c r="G1602" s="35"/>
      <c r="H1602" s="34"/>
      <c r="I1602" s="37"/>
    </row>
    <row r="1603" ht="22.5" customHeight="1">
      <c r="A1603" s="30"/>
      <c r="B1603" s="31"/>
      <c r="C1603" s="32"/>
      <c r="D1603" s="33"/>
      <c r="E1603" s="34"/>
      <c r="F1603" s="34"/>
      <c r="G1603" s="35"/>
      <c r="H1603" s="34"/>
      <c r="I1603" s="37"/>
    </row>
    <row r="1604" ht="22.5" customHeight="1">
      <c r="A1604" s="30"/>
      <c r="B1604" s="31"/>
      <c r="C1604" s="32"/>
      <c r="D1604" s="33"/>
      <c r="E1604" s="34"/>
      <c r="F1604" s="34"/>
      <c r="G1604" s="35"/>
      <c r="H1604" s="34"/>
      <c r="I1604" s="37"/>
    </row>
    <row r="1605" ht="22.5" customHeight="1">
      <c r="A1605" s="30"/>
      <c r="B1605" s="31"/>
      <c r="C1605" s="32"/>
      <c r="D1605" s="33"/>
      <c r="E1605" s="34"/>
      <c r="F1605" s="34"/>
      <c r="G1605" s="35"/>
      <c r="H1605" s="34"/>
      <c r="I1605" s="37"/>
    </row>
    <row r="1606" ht="22.5" customHeight="1">
      <c r="A1606" s="30"/>
      <c r="B1606" s="31"/>
      <c r="C1606" s="32"/>
      <c r="D1606" s="33"/>
      <c r="E1606" s="34"/>
      <c r="F1606" s="34"/>
      <c r="G1606" s="35"/>
      <c r="H1606" s="34"/>
      <c r="I1606" s="37"/>
    </row>
    <row r="1607" ht="22.5" customHeight="1">
      <c r="A1607" s="30"/>
      <c r="B1607" s="31"/>
      <c r="C1607" s="32"/>
      <c r="D1607" s="33"/>
      <c r="E1607" s="34"/>
      <c r="F1607" s="34"/>
      <c r="G1607" s="35"/>
      <c r="H1607" s="34"/>
      <c r="I1607" s="37"/>
    </row>
    <row r="1608" ht="22.5" customHeight="1">
      <c r="A1608" s="30"/>
      <c r="B1608" s="31"/>
      <c r="C1608" s="32"/>
      <c r="D1608" s="33"/>
      <c r="E1608" s="34"/>
      <c r="F1608" s="34"/>
      <c r="G1608" s="35"/>
      <c r="H1608" s="34"/>
      <c r="I1608" s="37"/>
    </row>
    <row r="1609" ht="22.5" customHeight="1">
      <c r="A1609" s="30"/>
      <c r="B1609" s="31"/>
      <c r="C1609" s="32"/>
      <c r="D1609" s="33"/>
      <c r="E1609" s="34"/>
      <c r="F1609" s="34"/>
      <c r="G1609" s="35"/>
      <c r="H1609" s="34"/>
      <c r="I1609" s="37"/>
    </row>
    <row r="1610" ht="22.5" customHeight="1">
      <c r="A1610" s="30"/>
      <c r="B1610" s="31"/>
      <c r="C1610" s="32"/>
      <c r="D1610" s="33"/>
      <c r="E1610" s="34"/>
      <c r="F1610" s="34"/>
      <c r="G1610" s="35"/>
      <c r="H1610" s="34"/>
      <c r="I1610" s="37"/>
    </row>
    <row r="1611" ht="22.5" customHeight="1">
      <c r="A1611" s="30"/>
      <c r="B1611" s="31"/>
      <c r="C1611" s="32"/>
      <c r="D1611" s="33"/>
      <c r="E1611" s="34"/>
      <c r="F1611" s="34"/>
      <c r="G1611" s="35"/>
      <c r="H1611" s="34"/>
      <c r="I1611" s="37"/>
    </row>
    <row r="1612" ht="22.5" customHeight="1">
      <c r="A1612" s="30"/>
      <c r="B1612" s="31"/>
      <c r="C1612" s="32"/>
      <c r="D1612" s="33"/>
      <c r="E1612" s="34"/>
      <c r="F1612" s="34"/>
      <c r="G1612" s="35"/>
      <c r="H1612" s="34"/>
      <c r="I1612" s="37"/>
    </row>
    <row r="1613" ht="22.5" customHeight="1">
      <c r="A1613" s="30"/>
      <c r="B1613" s="31"/>
      <c r="C1613" s="32"/>
      <c r="D1613" s="33"/>
      <c r="E1613" s="34"/>
      <c r="F1613" s="34"/>
      <c r="G1613" s="35"/>
      <c r="H1613" s="34"/>
      <c r="I1613" s="37"/>
    </row>
    <row r="1614" ht="22.5" customHeight="1">
      <c r="A1614" s="30"/>
      <c r="B1614" s="31"/>
      <c r="C1614" s="32"/>
      <c r="D1614" s="33"/>
      <c r="E1614" s="34"/>
      <c r="F1614" s="34"/>
      <c r="G1614" s="35"/>
      <c r="H1614" s="34"/>
      <c r="I1614" s="37"/>
    </row>
    <row r="1615" ht="22.5" customHeight="1">
      <c r="A1615" s="30"/>
      <c r="B1615" s="31"/>
      <c r="C1615" s="32"/>
      <c r="D1615" s="33"/>
      <c r="E1615" s="34"/>
      <c r="F1615" s="34"/>
      <c r="G1615" s="35"/>
      <c r="H1615" s="34"/>
      <c r="I1615" s="37"/>
    </row>
    <row r="1616" ht="22.5" customHeight="1">
      <c r="A1616" s="30"/>
      <c r="B1616" s="31"/>
      <c r="C1616" s="32"/>
      <c r="D1616" s="33"/>
      <c r="E1616" s="34"/>
      <c r="F1616" s="34"/>
      <c r="G1616" s="35"/>
      <c r="H1616" s="34"/>
      <c r="I1616" s="37"/>
    </row>
    <row r="1617" ht="22.5" customHeight="1">
      <c r="A1617" s="30"/>
      <c r="B1617" s="31"/>
      <c r="C1617" s="32"/>
      <c r="D1617" s="33"/>
      <c r="E1617" s="34"/>
      <c r="F1617" s="34"/>
      <c r="G1617" s="35"/>
      <c r="H1617" s="34"/>
      <c r="I1617" s="37"/>
    </row>
    <row r="1618" ht="22.5" customHeight="1">
      <c r="A1618" s="30"/>
      <c r="B1618" s="31"/>
      <c r="C1618" s="32"/>
      <c r="D1618" s="33"/>
      <c r="E1618" s="34"/>
      <c r="F1618" s="34"/>
      <c r="G1618" s="35"/>
      <c r="H1618" s="34"/>
      <c r="I1618" s="37"/>
    </row>
    <row r="1619" ht="22.5" customHeight="1">
      <c r="A1619" s="30"/>
      <c r="B1619" s="31"/>
      <c r="C1619" s="32"/>
      <c r="D1619" s="33"/>
      <c r="E1619" s="34"/>
      <c r="F1619" s="34"/>
      <c r="G1619" s="35"/>
      <c r="H1619" s="34"/>
      <c r="I1619" s="37"/>
    </row>
    <row r="1620" ht="22.5" customHeight="1">
      <c r="A1620" s="30"/>
      <c r="B1620" s="31"/>
      <c r="C1620" s="32"/>
      <c r="D1620" s="33"/>
      <c r="E1620" s="34"/>
      <c r="F1620" s="34"/>
      <c r="G1620" s="35"/>
      <c r="H1620" s="34"/>
      <c r="I1620" s="37"/>
    </row>
    <row r="1621" ht="22.5" customHeight="1">
      <c r="A1621" s="30"/>
      <c r="B1621" s="31"/>
      <c r="C1621" s="32"/>
      <c r="D1621" s="33"/>
      <c r="E1621" s="34"/>
      <c r="F1621" s="34"/>
      <c r="G1621" s="35"/>
      <c r="H1621" s="34"/>
      <c r="I1621" s="37"/>
    </row>
    <row r="1622" ht="22.5" customHeight="1">
      <c r="A1622" s="30"/>
      <c r="B1622" s="31"/>
      <c r="C1622" s="32"/>
      <c r="D1622" s="33"/>
      <c r="E1622" s="34"/>
      <c r="F1622" s="34"/>
      <c r="G1622" s="35"/>
      <c r="H1622" s="34"/>
      <c r="I1622" s="37"/>
    </row>
    <row r="1623" ht="22.5" customHeight="1">
      <c r="A1623" s="30"/>
      <c r="B1623" s="31"/>
      <c r="C1623" s="32"/>
      <c r="D1623" s="33"/>
      <c r="E1623" s="34"/>
      <c r="F1623" s="34"/>
      <c r="G1623" s="35"/>
      <c r="H1623" s="34"/>
      <c r="I1623" s="37"/>
    </row>
    <row r="1624" ht="22.5" customHeight="1">
      <c r="A1624" s="30"/>
      <c r="B1624" s="31"/>
      <c r="C1624" s="30"/>
      <c r="D1624" s="33"/>
      <c r="E1624" s="34"/>
      <c r="F1624" s="34"/>
      <c r="G1624" s="36"/>
      <c r="H1624" s="34"/>
      <c r="I1624" s="37"/>
    </row>
    <row r="1625" ht="22.5" customHeight="1">
      <c r="A1625" s="30"/>
      <c r="B1625" s="31"/>
      <c r="C1625" s="30"/>
      <c r="D1625" s="33"/>
      <c r="E1625" s="34"/>
      <c r="F1625" s="34"/>
      <c r="G1625" s="36"/>
      <c r="H1625" s="34"/>
      <c r="I1625" s="37"/>
    </row>
    <row r="1626" ht="22.5" customHeight="1">
      <c r="A1626" s="30"/>
      <c r="B1626" s="31"/>
      <c r="C1626" s="30"/>
      <c r="D1626" s="33"/>
      <c r="E1626" s="34"/>
      <c r="F1626" s="34"/>
      <c r="G1626" s="36"/>
      <c r="H1626" s="34"/>
      <c r="I1626" s="37"/>
    </row>
    <row r="1627" ht="22.5" customHeight="1">
      <c r="A1627" s="30"/>
      <c r="B1627" s="31"/>
      <c r="C1627" s="30"/>
      <c r="D1627" s="33"/>
      <c r="E1627" s="34"/>
      <c r="F1627" s="34"/>
      <c r="G1627" s="36"/>
      <c r="H1627" s="34"/>
      <c r="I1627" s="37"/>
    </row>
    <row r="1628" ht="22.5" customHeight="1">
      <c r="A1628" s="30"/>
      <c r="B1628" s="31"/>
      <c r="C1628" s="30"/>
      <c r="D1628" s="33"/>
      <c r="E1628" s="34"/>
      <c r="F1628" s="34"/>
      <c r="G1628" s="36"/>
      <c r="H1628" s="34"/>
      <c r="I1628" s="37"/>
    </row>
    <row r="1629" ht="22.5" customHeight="1">
      <c r="A1629" s="30"/>
      <c r="B1629" s="31"/>
      <c r="C1629" s="30"/>
      <c r="D1629" s="33"/>
      <c r="E1629" s="34"/>
      <c r="F1629" s="34"/>
      <c r="G1629" s="36"/>
      <c r="H1629" s="34"/>
      <c r="I1629" s="37"/>
    </row>
    <row r="1630" ht="22.5" customHeight="1">
      <c r="A1630" s="30"/>
      <c r="B1630" s="31"/>
      <c r="C1630" s="30"/>
      <c r="D1630" s="33"/>
      <c r="E1630" s="34"/>
      <c r="F1630" s="34"/>
      <c r="G1630" s="36"/>
      <c r="H1630" s="34"/>
      <c r="I1630" s="37"/>
    </row>
    <row r="1631" ht="22.5" customHeight="1">
      <c r="A1631" s="30"/>
      <c r="B1631" s="31"/>
      <c r="C1631" s="30"/>
      <c r="D1631" s="33"/>
      <c r="E1631" s="34"/>
      <c r="F1631" s="34"/>
      <c r="G1631" s="36"/>
      <c r="H1631" s="34"/>
      <c r="I1631" s="37"/>
    </row>
    <row r="1632" ht="22.5" customHeight="1">
      <c r="A1632" s="30"/>
      <c r="B1632" s="31"/>
      <c r="C1632" s="30"/>
      <c r="D1632" s="33"/>
      <c r="E1632" s="34"/>
      <c r="F1632" s="34"/>
      <c r="G1632" s="36"/>
      <c r="H1632" s="34"/>
      <c r="I1632" s="37"/>
    </row>
    <row r="1633" ht="22.5" customHeight="1">
      <c r="A1633" s="30"/>
      <c r="B1633" s="31"/>
      <c r="C1633" s="30"/>
      <c r="D1633" s="33"/>
      <c r="E1633" s="34"/>
      <c r="F1633" s="34"/>
      <c r="G1633" s="36"/>
      <c r="H1633" s="34"/>
      <c r="I1633" s="37"/>
    </row>
    <row r="1634" ht="22.5" customHeight="1">
      <c r="A1634" s="30"/>
      <c r="B1634" s="31"/>
      <c r="C1634" s="30"/>
      <c r="D1634" s="33"/>
      <c r="E1634" s="34"/>
      <c r="F1634" s="34"/>
      <c r="G1634" s="36"/>
      <c r="H1634" s="34"/>
      <c r="I1634" s="37"/>
    </row>
    <row r="1635" ht="22.5" customHeight="1">
      <c r="A1635" s="30"/>
      <c r="B1635" s="31"/>
      <c r="C1635" s="30"/>
      <c r="D1635" s="33"/>
      <c r="E1635" s="34"/>
      <c r="F1635" s="34"/>
      <c r="G1635" s="36"/>
      <c r="H1635" s="34"/>
      <c r="I1635" s="37"/>
    </row>
    <row r="1636" ht="22.5" customHeight="1">
      <c r="A1636" s="30"/>
      <c r="B1636" s="31"/>
      <c r="C1636" s="30"/>
      <c r="D1636" s="33"/>
      <c r="E1636" s="34"/>
      <c r="F1636" s="34"/>
      <c r="G1636" s="36"/>
      <c r="H1636" s="34"/>
      <c r="I1636" s="37"/>
    </row>
    <row r="1637" ht="22.5" customHeight="1">
      <c r="A1637" s="30"/>
      <c r="B1637" s="31"/>
      <c r="C1637" s="30"/>
      <c r="D1637" s="33"/>
      <c r="E1637" s="34"/>
      <c r="F1637" s="34"/>
      <c r="G1637" s="36"/>
      <c r="H1637" s="34"/>
      <c r="I1637" s="37"/>
    </row>
    <row r="1638" ht="22.5" customHeight="1">
      <c r="A1638" s="30"/>
      <c r="B1638" s="31"/>
      <c r="C1638" s="30"/>
      <c r="D1638" s="33"/>
      <c r="E1638" s="34"/>
      <c r="F1638" s="34"/>
      <c r="G1638" s="36"/>
      <c r="H1638" s="34"/>
      <c r="I1638" s="37"/>
    </row>
    <row r="1639" ht="22.5" customHeight="1">
      <c r="A1639" s="30"/>
      <c r="B1639" s="31"/>
      <c r="C1639" s="30"/>
      <c r="D1639" s="33"/>
      <c r="E1639" s="34"/>
      <c r="F1639" s="34"/>
      <c r="G1639" s="36"/>
      <c r="H1639" s="34"/>
      <c r="I1639" s="37"/>
    </row>
    <row r="1640" ht="22.5" customHeight="1">
      <c r="A1640" s="30"/>
      <c r="B1640" s="31"/>
      <c r="C1640" s="30"/>
      <c r="D1640" s="33"/>
      <c r="E1640" s="34"/>
      <c r="F1640" s="34"/>
      <c r="G1640" s="36"/>
      <c r="H1640" s="34"/>
      <c r="I1640" s="37"/>
    </row>
    <row r="1641" ht="22.5" customHeight="1">
      <c r="A1641" s="30"/>
      <c r="B1641" s="31"/>
      <c r="C1641" s="30"/>
      <c r="D1641" s="33"/>
      <c r="E1641" s="34"/>
      <c r="F1641" s="34"/>
      <c r="G1641" s="36"/>
      <c r="H1641" s="34"/>
      <c r="I1641" s="37"/>
    </row>
    <row r="1642" ht="22.5" customHeight="1">
      <c r="A1642" s="30"/>
      <c r="B1642" s="31"/>
      <c r="C1642" s="30"/>
      <c r="D1642" s="33"/>
      <c r="E1642" s="34"/>
      <c r="F1642" s="34"/>
      <c r="G1642" s="36"/>
      <c r="H1642" s="34"/>
      <c r="I1642" s="37"/>
    </row>
    <row r="1643" ht="22.5" customHeight="1">
      <c r="A1643" s="30"/>
      <c r="B1643" s="31"/>
      <c r="C1643" s="30"/>
      <c r="D1643" s="33"/>
      <c r="E1643" s="34"/>
      <c r="F1643" s="34"/>
      <c r="G1643" s="36"/>
      <c r="H1643" s="34"/>
      <c r="I1643" s="37"/>
    </row>
    <row r="1644" ht="22.5" customHeight="1">
      <c r="A1644" s="30"/>
      <c r="B1644" s="31"/>
      <c r="C1644" s="30"/>
      <c r="D1644" s="33"/>
      <c r="E1644" s="34"/>
      <c r="F1644" s="34"/>
      <c r="G1644" s="36"/>
      <c r="H1644" s="34"/>
      <c r="I1644" s="37"/>
    </row>
    <row r="1645" ht="22.5" customHeight="1">
      <c r="A1645" s="30"/>
      <c r="B1645" s="31"/>
      <c r="C1645" s="30"/>
      <c r="D1645" s="33"/>
      <c r="E1645" s="34"/>
      <c r="F1645" s="34"/>
      <c r="G1645" s="36"/>
      <c r="H1645" s="34"/>
      <c r="I1645" s="37"/>
    </row>
    <row r="1646" ht="22.5" customHeight="1">
      <c r="A1646" s="30"/>
      <c r="B1646" s="31"/>
      <c r="C1646" s="30"/>
      <c r="D1646" s="33"/>
      <c r="E1646" s="34"/>
      <c r="F1646" s="34"/>
      <c r="G1646" s="36"/>
      <c r="H1646" s="34"/>
      <c r="I1646" s="37"/>
    </row>
    <row r="1647" ht="22.5" customHeight="1">
      <c r="A1647" s="30"/>
      <c r="B1647" s="31"/>
      <c r="C1647" s="30"/>
      <c r="D1647" s="33"/>
      <c r="E1647" s="34"/>
      <c r="F1647" s="34"/>
      <c r="G1647" s="36"/>
      <c r="H1647" s="34"/>
      <c r="I1647" s="37"/>
    </row>
    <row r="1648" ht="22.5" customHeight="1">
      <c r="A1648" s="30"/>
      <c r="B1648" s="31"/>
      <c r="C1648" s="30"/>
      <c r="D1648" s="33"/>
      <c r="E1648" s="34"/>
      <c r="F1648" s="34"/>
      <c r="G1648" s="36"/>
      <c r="H1648" s="34"/>
      <c r="I1648" s="37"/>
    </row>
    <row r="1649" ht="22.5" customHeight="1">
      <c r="A1649" s="30"/>
      <c r="B1649" s="31"/>
      <c r="C1649" s="30"/>
      <c r="D1649" s="33"/>
      <c r="E1649" s="34"/>
      <c r="F1649" s="34"/>
      <c r="G1649" s="36"/>
      <c r="H1649" s="34"/>
      <c r="I1649" s="37"/>
    </row>
    <row r="1650" ht="22.5" customHeight="1">
      <c r="A1650" s="30"/>
      <c r="B1650" s="31"/>
      <c r="C1650" s="30"/>
      <c r="D1650" s="33"/>
      <c r="E1650" s="34"/>
      <c r="F1650" s="34"/>
      <c r="G1650" s="36"/>
      <c r="H1650" s="34"/>
      <c r="I1650" s="37"/>
    </row>
    <row r="1651" ht="22.5" customHeight="1">
      <c r="A1651" s="30"/>
      <c r="B1651" s="31"/>
      <c r="C1651" s="30"/>
      <c r="D1651" s="33"/>
      <c r="E1651" s="34"/>
      <c r="F1651" s="34"/>
      <c r="G1651" s="36"/>
      <c r="H1651" s="34"/>
      <c r="I1651" s="37"/>
    </row>
    <row r="1652" ht="22.5" customHeight="1">
      <c r="A1652" s="30"/>
      <c r="B1652" s="31"/>
      <c r="C1652" s="30"/>
      <c r="D1652" s="33"/>
      <c r="E1652" s="34"/>
      <c r="F1652" s="34"/>
      <c r="G1652" s="36"/>
      <c r="H1652" s="34"/>
      <c r="I1652" s="37"/>
    </row>
    <row r="1653" ht="22.5" customHeight="1">
      <c r="A1653" s="30"/>
      <c r="B1653" s="31"/>
      <c r="C1653" s="30"/>
      <c r="D1653" s="33"/>
      <c r="E1653" s="34"/>
      <c r="F1653" s="34"/>
      <c r="G1653" s="36"/>
      <c r="H1653" s="34"/>
      <c r="I1653" s="37"/>
    </row>
    <row r="1654" ht="22.5" customHeight="1">
      <c r="A1654" s="30"/>
      <c r="B1654" s="31"/>
      <c r="C1654" s="30"/>
      <c r="D1654" s="33"/>
      <c r="E1654" s="34"/>
      <c r="F1654" s="34"/>
      <c r="G1654" s="36"/>
      <c r="H1654" s="34"/>
      <c r="I1654" s="37"/>
    </row>
    <row r="1655" ht="22.5" customHeight="1">
      <c r="A1655" s="30"/>
      <c r="B1655" s="31"/>
      <c r="C1655" s="30"/>
      <c r="D1655" s="33"/>
      <c r="E1655" s="34"/>
      <c r="F1655" s="34"/>
      <c r="G1655" s="36"/>
      <c r="H1655" s="34"/>
      <c r="I1655" s="37"/>
    </row>
    <row r="1656" ht="22.5" customHeight="1">
      <c r="A1656" s="30"/>
      <c r="B1656" s="31"/>
      <c r="C1656" s="30"/>
      <c r="D1656" s="33"/>
      <c r="E1656" s="34"/>
      <c r="F1656" s="34"/>
      <c r="G1656" s="36"/>
      <c r="H1656" s="34"/>
      <c r="I1656" s="37"/>
    </row>
    <row r="1657" ht="22.5" customHeight="1">
      <c r="A1657" s="30"/>
      <c r="B1657" s="31"/>
      <c r="C1657" s="30"/>
      <c r="D1657" s="33"/>
      <c r="E1657" s="34"/>
      <c r="F1657" s="34"/>
      <c r="G1657" s="36"/>
      <c r="H1657" s="34"/>
      <c r="I1657" s="37"/>
    </row>
    <row r="1658" ht="22.5" customHeight="1">
      <c r="A1658" s="30"/>
      <c r="B1658" s="31"/>
      <c r="C1658" s="30"/>
      <c r="D1658" s="33"/>
      <c r="E1658" s="34"/>
      <c r="F1658" s="34"/>
      <c r="G1658" s="36"/>
      <c r="H1658" s="34"/>
      <c r="I1658" s="37"/>
    </row>
    <row r="1659" ht="22.5" customHeight="1">
      <c r="A1659" s="30"/>
      <c r="B1659" s="31"/>
      <c r="C1659" s="30"/>
      <c r="D1659" s="33"/>
      <c r="E1659" s="34"/>
      <c r="F1659" s="34"/>
      <c r="G1659" s="36"/>
      <c r="H1659" s="34"/>
      <c r="I1659" s="37"/>
    </row>
    <row r="1660" ht="22.5" customHeight="1">
      <c r="A1660" s="30"/>
      <c r="B1660" s="31"/>
      <c r="C1660" s="30"/>
      <c r="D1660" s="33"/>
      <c r="E1660" s="34"/>
      <c r="F1660" s="34"/>
      <c r="G1660" s="36"/>
      <c r="H1660" s="34"/>
      <c r="I1660" s="37"/>
    </row>
    <row r="1661" ht="22.5" customHeight="1">
      <c r="A1661" s="30"/>
      <c r="B1661" s="31"/>
      <c r="C1661" s="30"/>
      <c r="D1661" s="33"/>
      <c r="E1661" s="34"/>
      <c r="F1661" s="34"/>
      <c r="G1661" s="36"/>
      <c r="H1661" s="34"/>
      <c r="I1661" s="37"/>
    </row>
    <row r="1662" ht="22.5" customHeight="1">
      <c r="A1662" s="30"/>
      <c r="B1662" s="31"/>
      <c r="C1662" s="30"/>
      <c r="D1662" s="33"/>
      <c r="E1662" s="34"/>
      <c r="F1662" s="34"/>
      <c r="G1662" s="36"/>
      <c r="H1662" s="34"/>
      <c r="I1662" s="37"/>
    </row>
    <row r="1663" ht="22.5" customHeight="1">
      <c r="A1663" s="30"/>
      <c r="B1663" s="31"/>
      <c r="C1663" s="30"/>
      <c r="D1663" s="33"/>
      <c r="E1663" s="34"/>
      <c r="F1663" s="34"/>
      <c r="G1663" s="36"/>
      <c r="H1663" s="34"/>
      <c r="I1663" s="37"/>
    </row>
    <row r="1664" ht="22.5" customHeight="1">
      <c r="A1664" s="30"/>
      <c r="B1664" s="31"/>
      <c r="C1664" s="30"/>
      <c r="D1664" s="33"/>
      <c r="E1664" s="34"/>
      <c r="F1664" s="34"/>
      <c r="G1664" s="36"/>
      <c r="H1664" s="34"/>
      <c r="I1664" s="37"/>
    </row>
    <row r="1665" ht="22.5" customHeight="1">
      <c r="A1665" s="30"/>
      <c r="B1665" s="31"/>
      <c r="C1665" s="30"/>
      <c r="D1665" s="33"/>
      <c r="E1665" s="34"/>
      <c r="F1665" s="34"/>
      <c r="G1665" s="36"/>
      <c r="H1665" s="34"/>
      <c r="I1665" s="37"/>
    </row>
    <row r="1666" ht="22.5" customHeight="1">
      <c r="A1666" s="30"/>
      <c r="B1666" s="31"/>
      <c r="C1666" s="30"/>
      <c r="D1666" s="33"/>
      <c r="E1666" s="34"/>
      <c r="F1666" s="34"/>
      <c r="G1666" s="36"/>
      <c r="H1666" s="34"/>
      <c r="I1666" s="37"/>
    </row>
    <row r="1667" ht="22.5" customHeight="1">
      <c r="A1667" s="30"/>
      <c r="B1667" s="31"/>
      <c r="C1667" s="30"/>
      <c r="D1667" s="33"/>
      <c r="E1667" s="34"/>
      <c r="F1667" s="34"/>
      <c r="G1667" s="36"/>
      <c r="H1667" s="34"/>
      <c r="I1667" s="37"/>
    </row>
    <row r="1668" ht="22.5" customHeight="1">
      <c r="A1668" s="30"/>
      <c r="B1668" s="31"/>
      <c r="C1668" s="30"/>
      <c r="D1668" s="33"/>
      <c r="E1668" s="34"/>
      <c r="F1668" s="34"/>
      <c r="G1668" s="36"/>
      <c r="H1668" s="34"/>
      <c r="I1668" s="37"/>
    </row>
    <row r="1669" ht="22.5" customHeight="1">
      <c r="A1669" s="30"/>
      <c r="B1669" s="31"/>
      <c r="C1669" s="30"/>
      <c r="D1669" s="33"/>
      <c r="E1669" s="34"/>
      <c r="F1669" s="34"/>
      <c r="G1669" s="36"/>
      <c r="H1669" s="34"/>
      <c r="I1669" s="37"/>
    </row>
    <row r="1670" ht="22.5" customHeight="1">
      <c r="A1670" s="30"/>
      <c r="B1670" s="31"/>
      <c r="C1670" s="30"/>
      <c r="D1670" s="33"/>
      <c r="E1670" s="34"/>
      <c r="F1670" s="34"/>
      <c r="G1670" s="36"/>
      <c r="H1670" s="34"/>
      <c r="I1670" s="37"/>
    </row>
    <row r="1671" ht="22.5" customHeight="1">
      <c r="A1671" s="30"/>
      <c r="B1671" s="31"/>
      <c r="C1671" s="30"/>
      <c r="D1671" s="33"/>
      <c r="E1671" s="34"/>
      <c r="F1671" s="34"/>
      <c r="G1671" s="36"/>
      <c r="H1671" s="34"/>
      <c r="I1671" s="37"/>
    </row>
    <row r="1672" ht="22.5" customHeight="1">
      <c r="A1672" s="30"/>
      <c r="B1672" s="31"/>
      <c r="C1672" s="30"/>
      <c r="D1672" s="33"/>
      <c r="E1672" s="34"/>
      <c r="F1672" s="34"/>
      <c r="G1672" s="36"/>
      <c r="H1672" s="34"/>
      <c r="I1672" s="37"/>
    </row>
    <row r="1673" ht="22.5" customHeight="1">
      <c r="A1673" s="30"/>
      <c r="B1673" s="31"/>
      <c r="C1673" s="30"/>
      <c r="D1673" s="33"/>
      <c r="E1673" s="34"/>
      <c r="F1673" s="34"/>
      <c r="G1673" s="36"/>
      <c r="H1673" s="34"/>
      <c r="I1673" s="37"/>
    </row>
    <row r="1674" ht="22.5" customHeight="1">
      <c r="A1674" s="30"/>
      <c r="B1674" s="31"/>
      <c r="C1674" s="30"/>
      <c r="D1674" s="33"/>
      <c r="E1674" s="34"/>
      <c r="F1674" s="34"/>
      <c r="G1674" s="36"/>
      <c r="H1674" s="34"/>
      <c r="I1674" s="37"/>
    </row>
    <row r="1675" ht="22.5" customHeight="1">
      <c r="A1675" s="30"/>
      <c r="B1675" s="31"/>
      <c r="C1675" s="30"/>
      <c r="D1675" s="33"/>
      <c r="E1675" s="34"/>
      <c r="F1675" s="34"/>
      <c r="G1675" s="36"/>
      <c r="H1675" s="34"/>
      <c r="I1675" s="37"/>
    </row>
    <row r="1676" ht="22.5" customHeight="1">
      <c r="A1676" s="30"/>
      <c r="B1676" s="31"/>
      <c r="C1676" s="30"/>
      <c r="D1676" s="33"/>
      <c r="E1676" s="34"/>
      <c r="F1676" s="34"/>
      <c r="G1676" s="36"/>
      <c r="H1676" s="34"/>
      <c r="I1676" s="37"/>
    </row>
    <row r="1677" ht="22.5" customHeight="1">
      <c r="A1677" s="30"/>
      <c r="B1677" s="31"/>
      <c r="C1677" s="30"/>
      <c r="D1677" s="33"/>
      <c r="E1677" s="34"/>
      <c r="F1677" s="34"/>
      <c r="G1677" s="36"/>
      <c r="H1677" s="34"/>
      <c r="I1677" s="37"/>
    </row>
    <row r="1678" ht="22.5" customHeight="1">
      <c r="A1678" s="30"/>
      <c r="B1678" s="31"/>
      <c r="C1678" s="30"/>
      <c r="D1678" s="33"/>
      <c r="E1678" s="34"/>
      <c r="F1678" s="34"/>
      <c r="G1678" s="36"/>
      <c r="H1678" s="34"/>
      <c r="I1678" s="37"/>
    </row>
    <row r="1679" ht="22.5" customHeight="1">
      <c r="A1679" s="30"/>
      <c r="B1679" s="31"/>
      <c r="C1679" s="30"/>
      <c r="D1679" s="33"/>
      <c r="E1679" s="34"/>
      <c r="F1679" s="34"/>
      <c r="G1679" s="36"/>
      <c r="H1679" s="34"/>
      <c r="I1679" s="37"/>
    </row>
    <row r="1680" ht="22.5" customHeight="1">
      <c r="A1680" s="30"/>
      <c r="B1680" s="31"/>
      <c r="C1680" s="30"/>
      <c r="D1680" s="33"/>
      <c r="E1680" s="34"/>
      <c r="F1680" s="34"/>
      <c r="G1680" s="36"/>
      <c r="H1680" s="34"/>
      <c r="I1680" s="37"/>
    </row>
    <row r="1681" ht="22.5" customHeight="1">
      <c r="A1681" s="30"/>
      <c r="B1681" s="31"/>
      <c r="C1681" s="30"/>
      <c r="D1681" s="33"/>
      <c r="E1681" s="34"/>
      <c r="F1681" s="34"/>
      <c r="G1681" s="36"/>
      <c r="H1681" s="34"/>
      <c r="I1681" s="37"/>
    </row>
    <row r="1682" ht="22.5" customHeight="1">
      <c r="A1682" s="30"/>
      <c r="B1682" s="31"/>
      <c r="C1682" s="30"/>
      <c r="D1682" s="33"/>
      <c r="E1682" s="34"/>
      <c r="F1682" s="34"/>
      <c r="G1682" s="36"/>
      <c r="H1682" s="34"/>
      <c r="I1682" s="37"/>
    </row>
    <row r="1683" ht="22.5" customHeight="1">
      <c r="A1683" s="30"/>
      <c r="B1683" s="31"/>
      <c r="C1683" s="30"/>
      <c r="D1683" s="33"/>
      <c r="E1683" s="34"/>
      <c r="F1683" s="34"/>
      <c r="G1683" s="36"/>
      <c r="H1683" s="34"/>
      <c r="I1683" s="37"/>
    </row>
    <row r="1684" ht="22.5" customHeight="1">
      <c r="A1684" s="30"/>
      <c r="B1684" s="31"/>
      <c r="C1684" s="30"/>
      <c r="D1684" s="33"/>
      <c r="E1684" s="34"/>
      <c r="F1684" s="34"/>
      <c r="G1684" s="36"/>
      <c r="H1684" s="34"/>
      <c r="I1684" s="37"/>
    </row>
    <row r="1685" ht="22.5" customHeight="1">
      <c r="A1685" s="30"/>
      <c r="B1685" s="31"/>
      <c r="C1685" s="30"/>
      <c r="D1685" s="33"/>
      <c r="E1685" s="34"/>
      <c r="F1685" s="34"/>
      <c r="G1685" s="36"/>
      <c r="H1685" s="34"/>
      <c r="I1685" s="37"/>
    </row>
    <row r="1686" ht="22.5" customHeight="1">
      <c r="A1686" s="30"/>
      <c r="B1686" s="31"/>
      <c r="C1686" s="30"/>
      <c r="D1686" s="33"/>
      <c r="E1686" s="34"/>
      <c r="F1686" s="34"/>
      <c r="G1686" s="36"/>
      <c r="H1686" s="34"/>
      <c r="I1686" s="37"/>
    </row>
    <row r="1687" ht="22.5" customHeight="1">
      <c r="A1687" s="30"/>
      <c r="B1687" s="31"/>
      <c r="C1687" s="30"/>
      <c r="D1687" s="33"/>
      <c r="E1687" s="34"/>
      <c r="F1687" s="34"/>
      <c r="G1687" s="36"/>
      <c r="H1687" s="34"/>
      <c r="I1687" s="37"/>
    </row>
    <row r="1688" ht="22.5" customHeight="1">
      <c r="A1688" s="30"/>
      <c r="B1688" s="31"/>
      <c r="C1688" s="30"/>
      <c r="D1688" s="33"/>
      <c r="E1688" s="34"/>
      <c r="F1688" s="34"/>
      <c r="G1688" s="36"/>
      <c r="H1688" s="34"/>
      <c r="I1688" s="37"/>
    </row>
    <row r="1689" ht="22.5" customHeight="1">
      <c r="A1689" s="30"/>
      <c r="B1689" s="31"/>
      <c r="C1689" s="30"/>
      <c r="D1689" s="33"/>
      <c r="E1689" s="34"/>
      <c r="F1689" s="34"/>
      <c r="G1689" s="36"/>
      <c r="H1689" s="34"/>
      <c r="I1689" s="37"/>
    </row>
    <row r="1690" ht="22.5" customHeight="1">
      <c r="A1690" s="30"/>
      <c r="B1690" s="31"/>
      <c r="C1690" s="30"/>
      <c r="D1690" s="33"/>
      <c r="E1690" s="34"/>
      <c r="F1690" s="34"/>
      <c r="G1690" s="36"/>
      <c r="H1690" s="34"/>
      <c r="I1690" s="37"/>
    </row>
    <row r="1691" ht="22.5" customHeight="1">
      <c r="A1691" s="30"/>
      <c r="B1691" s="31"/>
      <c r="C1691" s="30"/>
      <c r="D1691" s="33"/>
      <c r="E1691" s="34"/>
      <c r="F1691" s="34"/>
      <c r="G1691" s="36"/>
      <c r="H1691" s="34"/>
      <c r="I1691" s="37"/>
    </row>
    <row r="1692" ht="22.5" customHeight="1">
      <c r="A1692" s="30"/>
      <c r="B1692" s="31"/>
      <c r="C1692" s="30"/>
      <c r="D1692" s="33"/>
      <c r="E1692" s="34"/>
      <c r="F1692" s="34"/>
      <c r="G1692" s="36"/>
      <c r="H1692" s="34"/>
      <c r="I1692" s="37"/>
    </row>
    <row r="1693" ht="22.5" customHeight="1">
      <c r="A1693" s="30"/>
      <c r="B1693" s="31"/>
      <c r="C1693" s="30"/>
      <c r="D1693" s="33"/>
      <c r="E1693" s="34"/>
      <c r="F1693" s="34"/>
      <c r="G1693" s="36"/>
      <c r="H1693" s="34"/>
      <c r="I1693" s="37"/>
    </row>
    <row r="1694" ht="22.5" customHeight="1">
      <c r="A1694" s="30"/>
      <c r="B1694" s="31"/>
      <c r="C1694" s="30"/>
      <c r="D1694" s="33"/>
      <c r="E1694" s="34"/>
      <c r="F1694" s="34"/>
      <c r="G1694" s="36"/>
      <c r="H1694" s="34"/>
      <c r="I1694" s="37"/>
    </row>
    <row r="1695" ht="22.5" customHeight="1">
      <c r="A1695" s="30"/>
      <c r="B1695" s="31"/>
      <c r="C1695" s="30"/>
      <c r="D1695" s="33"/>
      <c r="E1695" s="34"/>
      <c r="F1695" s="34"/>
      <c r="G1695" s="36"/>
      <c r="H1695" s="34"/>
      <c r="I1695" s="37"/>
    </row>
    <row r="1696" ht="22.5" customHeight="1">
      <c r="A1696" s="30"/>
      <c r="B1696" s="31"/>
      <c r="C1696" s="30"/>
      <c r="D1696" s="33"/>
      <c r="E1696" s="34"/>
      <c r="F1696" s="34"/>
      <c r="G1696" s="36"/>
      <c r="H1696" s="34"/>
      <c r="I1696" s="37"/>
    </row>
    <row r="1697" ht="22.5" customHeight="1">
      <c r="A1697" s="30"/>
      <c r="B1697" s="31"/>
      <c r="C1697" s="30"/>
      <c r="D1697" s="33"/>
      <c r="E1697" s="34"/>
      <c r="F1697" s="34"/>
      <c r="G1697" s="36"/>
      <c r="H1697" s="34"/>
      <c r="I1697" s="37"/>
    </row>
    <row r="1698" ht="22.5" customHeight="1">
      <c r="A1698" s="30"/>
      <c r="B1698" s="31"/>
      <c r="C1698" s="30"/>
      <c r="D1698" s="33"/>
      <c r="E1698" s="34"/>
      <c r="F1698" s="34"/>
      <c r="G1698" s="36"/>
      <c r="H1698" s="34"/>
      <c r="I1698" s="37"/>
    </row>
    <row r="1699" ht="22.5" customHeight="1">
      <c r="A1699" s="30"/>
      <c r="B1699" s="31"/>
      <c r="C1699" s="30"/>
      <c r="D1699" s="33"/>
      <c r="E1699" s="34"/>
      <c r="F1699" s="34"/>
      <c r="G1699" s="36"/>
      <c r="H1699" s="34"/>
      <c r="I1699" s="37"/>
    </row>
    <row r="1700" ht="22.5" customHeight="1">
      <c r="A1700" s="30"/>
      <c r="B1700" s="31"/>
      <c r="C1700" s="30"/>
      <c r="D1700" s="33"/>
      <c r="E1700" s="34"/>
      <c r="F1700" s="34"/>
      <c r="G1700" s="36"/>
      <c r="H1700" s="34"/>
      <c r="I1700" s="37"/>
    </row>
    <row r="1701" ht="22.5" customHeight="1">
      <c r="A1701" s="30"/>
      <c r="B1701" s="31"/>
      <c r="C1701" s="30"/>
      <c r="D1701" s="33"/>
      <c r="E1701" s="34"/>
      <c r="F1701" s="34"/>
      <c r="G1701" s="36"/>
      <c r="H1701" s="34"/>
      <c r="I1701" s="37"/>
    </row>
    <row r="1702" ht="22.5" customHeight="1">
      <c r="A1702" s="41"/>
      <c r="B1702" s="42"/>
      <c r="C1702" s="41"/>
      <c r="D1702" s="43"/>
      <c r="E1702" s="44"/>
      <c r="F1702" s="44"/>
      <c r="G1702" s="45"/>
      <c r="H1702" s="44"/>
      <c r="I1702" s="46"/>
    </row>
    <row r="1703" ht="22.5" customHeight="1">
      <c r="A1703" s="71"/>
      <c r="B1703" s="72"/>
      <c r="C1703" s="71"/>
      <c r="D1703" s="73"/>
      <c r="E1703" s="74"/>
      <c r="F1703" s="74"/>
      <c r="G1703" s="75"/>
      <c r="H1703" s="74"/>
      <c r="I1703" s="76"/>
    </row>
  </sheetData>
  <conditionalFormatting sqref="A5:I1702">
    <cfRule type="expression" dxfId="23" priority="1">
      <formula>$F5="BOLSA DE OXIGÊNIO"</formula>
    </cfRule>
  </conditionalFormatting>
  <conditionalFormatting sqref="A5:I1702">
    <cfRule type="expression" dxfId="17" priority="2">
      <formula>$F5="BOLSA DE SALV. ALTURA"</formula>
    </cfRule>
  </conditionalFormatting>
  <conditionalFormatting sqref="A5:I1702">
    <cfRule type="expression" dxfId="18" priority="3">
      <formula>$F5="BOLSA DE SALV ALTURA VERMELHA LACRADA"</formula>
    </cfRule>
  </conditionalFormatting>
  <conditionalFormatting sqref="A5:I1702">
    <cfRule type="expression" dxfId="19" priority="4">
      <formula>$F5="BOLSA DE SALV ALTURA CINZA LACRADA"</formula>
    </cfRule>
  </conditionalFormatting>
  <conditionalFormatting sqref="A5:I1702">
    <cfRule type="expression" dxfId="20" priority="5">
      <formula>$F5="BOX 06"</formula>
    </cfRule>
  </conditionalFormatting>
  <conditionalFormatting sqref="A5:I1702">
    <cfRule type="expression" dxfId="21" priority="6">
      <formula>$F5="BOX 07"</formula>
    </cfRule>
  </conditionalFormatting>
  <conditionalFormatting sqref="A5:I1702">
    <cfRule type="expression" dxfId="22" priority="7">
      <formula>$F5="BOX 08"</formula>
    </cfRule>
  </conditionalFormatting>
  <conditionalFormatting sqref="A6:I77">
    <cfRule type="expression" dxfId="24" priority="8">
      <formula>$F6="BOX TRASEIRO"</formula>
    </cfRule>
  </conditionalFormatting>
  <conditionalFormatting sqref="A6:I77">
    <cfRule type="expression" dxfId="25" priority="9">
      <formula>$F6="BOLSA DE RESGATE"</formula>
    </cfRule>
  </conditionalFormatting>
  <conditionalFormatting sqref="A5:I1702">
    <cfRule type="expression" dxfId="6" priority="10">
      <formula>$F5="BOLSA SALV. ALTURA (MERET)"</formula>
    </cfRule>
  </conditionalFormatting>
  <conditionalFormatting sqref="A5:I1702">
    <cfRule type="expression" dxfId="7" priority="11">
      <formula>$F5="BOX 01"</formula>
    </cfRule>
  </conditionalFormatting>
  <conditionalFormatting sqref="A5:I1702">
    <cfRule type="expression" dxfId="8" priority="12">
      <formula>$F5="BOX 02"</formula>
    </cfRule>
  </conditionalFormatting>
  <conditionalFormatting sqref="A5:I1702">
    <cfRule type="expression" dxfId="9" priority="13">
      <formula>$F5="BOX 03"</formula>
    </cfRule>
  </conditionalFormatting>
  <conditionalFormatting sqref="A5:I1702">
    <cfRule type="expression" dxfId="10" priority="14">
      <formula>$F5="BOX 04"</formula>
    </cfRule>
  </conditionalFormatting>
  <conditionalFormatting sqref="A5:I1702">
    <cfRule type="expression" dxfId="11" priority="15">
      <formula>$F5="BOX 05"</formula>
    </cfRule>
  </conditionalFormatting>
  <conditionalFormatting sqref="A5:I1702">
    <cfRule type="expression" dxfId="12" priority="16">
      <formula>$F5="BOX CENTRAL"</formula>
    </cfRule>
  </conditionalFormatting>
  <conditionalFormatting sqref="A5:I1702">
    <cfRule type="expression" dxfId="13" priority="17">
      <formula>$F5="BOX SUPERIOR 01"</formula>
    </cfRule>
  </conditionalFormatting>
  <conditionalFormatting sqref="A5:I1702">
    <cfRule type="expression" dxfId="14" priority="18">
      <formula>$F5="CABINE"</formula>
    </cfRule>
  </conditionalFormatting>
  <conditionalFormatting sqref="A5:I1702">
    <cfRule type="expression" dxfId="15" priority="19">
      <formula>$F5="CARROCERIA"</formula>
    </cfRule>
  </conditionalFormatting>
  <conditionalFormatting sqref="A5:I1702">
    <cfRule type="expression" dxfId="16" priority="20">
      <formula>$F5="CAIXA DE FERRAMENTA"</formula>
    </cfRule>
  </conditionalFormatting>
  <dataValidations>
    <dataValidation type="list" allowBlank="1" sqref="B2">
      <formula1>'Cadastro Automático VTRSEÇÃOMIL'!$C$1:$C1703</formula1>
    </dataValidation>
    <dataValidation allowBlank="1" showDropDown="1" sqref="B5:B1703"/>
    <dataValidation type="list" allowBlank="1" sqref="B1">
      <formula1>'Cadastro Automático VTRSEÇÃOMIL'!$B$1:$B1703</formula1>
    </dataValidation>
  </dataValidations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1"/>
  <tableParts count="2">
    <tablePart r:id="rId4"/>
    <tablePart r:id="rId5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20.38"/>
    <col customWidth="1" min="2" max="2" width="50.13"/>
    <col customWidth="1" min="3" max="3" width="9.5"/>
    <col customWidth="1" min="4" max="4" width="14.0"/>
    <col customWidth="1" min="5" max="5" width="17.75"/>
    <col customWidth="1" min="6" max="6" width="30.5"/>
    <col customWidth="1" min="7" max="7" width="14.25"/>
    <col customWidth="1" min="8" max="8" width="31.25"/>
    <col customWidth="1" min="9" max="9" width="81.38"/>
  </cols>
  <sheetData>
    <row r="1" ht="21.0" customHeight="1">
      <c r="A1" s="1" t="s">
        <v>0</v>
      </c>
      <c r="B1" s="2" t="s">
        <v>18</v>
      </c>
      <c r="C1" s="3"/>
      <c r="D1" s="3"/>
      <c r="E1" s="3"/>
      <c r="F1" s="3"/>
      <c r="G1" s="4"/>
      <c r="H1" s="49"/>
      <c r="I1" s="5"/>
    </row>
    <row r="2" ht="17.25" customHeight="1">
      <c r="A2" s="1" t="s">
        <v>2</v>
      </c>
      <c r="B2" s="2"/>
      <c r="C2" s="3"/>
      <c r="D2" s="3"/>
      <c r="E2" s="3"/>
      <c r="F2" s="3"/>
      <c r="G2" s="4"/>
      <c r="H2" s="49"/>
      <c r="I2" s="5"/>
    </row>
    <row r="3" ht="30.0" customHeight="1">
      <c r="A3" s="3"/>
      <c r="B3" s="48"/>
      <c r="C3" s="3"/>
      <c r="D3" s="3"/>
      <c r="E3" s="3"/>
      <c r="F3" s="3"/>
      <c r="G3" s="4"/>
      <c r="H3" s="49"/>
      <c r="I3" s="8"/>
    </row>
    <row r="4" ht="37.5" customHeight="1">
      <c r="A4" s="9" t="s">
        <v>14</v>
      </c>
      <c r="B4" s="10" t="s">
        <v>4</v>
      </c>
      <c r="C4" s="11" t="s">
        <v>5</v>
      </c>
      <c r="D4" s="12" t="s">
        <v>6</v>
      </c>
      <c r="E4" s="12" t="s">
        <v>0</v>
      </c>
      <c r="F4" s="12" t="s">
        <v>7</v>
      </c>
      <c r="G4" s="11" t="s">
        <v>8</v>
      </c>
      <c r="H4" s="50" t="s">
        <v>9</v>
      </c>
      <c r="I4" s="13" t="s">
        <v>10</v>
      </c>
    </row>
    <row r="5" ht="22.5" customHeight="1">
      <c r="A5" s="22"/>
      <c r="B5" s="23"/>
      <c r="C5" s="24"/>
      <c r="D5" s="25"/>
      <c r="E5" s="26"/>
      <c r="F5" s="26"/>
      <c r="G5" s="27"/>
      <c r="H5" s="26"/>
      <c r="I5" s="29"/>
    </row>
    <row r="6" ht="25.5" customHeight="1">
      <c r="A6" s="30">
        <f>IFERROR(__xludf.DUMMYFUNCTION("IF(B2&lt;&gt;"""",FILTER('Planilhas compilada ordem alfab'!A2:I1703,'Planilhas compilada ordem alfab'!E2:E1703=B1,'Planilhas compilada ordem alfab'!F2:F1703=B2),FILTER('Planilhas compilada ordem alfab'!A2:I1703,'Planilhas compilada ordem alfab'!E2:E1703=B1))"),1545.0)</f>
        <v>1545</v>
      </c>
      <c r="B6" s="31" t="str">
        <f>IFERROR(__xludf.DUMMYFUNCTION("""COMPUTED_VALUE""")," (KIT GUARANI) CONJ ACOPLAVEL A VEICULO, COMBATE INCENDIO -")</f>
        <v> (KIT GUARANI) CONJ ACOPLAVEL A VEICULO, COMBATE INCENDIO -</v>
      </c>
      <c r="C6" s="32">
        <f>IFERROR(__xludf.DUMMYFUNCTION("""COMPUTED_VALUE"""),1.0)</f>
        <v>1</v>
      </c>
      <c r="D6" s="33" t="str">
        <f>IFERROR(__xludf.DUMMYFUNCTION("""COMPUTED_VALUE"""),"VIATURA")</f>
        <v>VIATURA</v>
      </c>
      <c r="E6" s="34" t="str">
        <f>IFERROR(__xludf.DUMMYFUNCTION("""COMPUTED_VALUE"""),"1 - ASF2163")</f>
        <v>1 - ASF2163</v>
      </c>
      <c r="F6" s="34" t="str">
        <f>IFERROR(__xludf.DUMMYFUNCTION("""COMPUTED_VALUE"""),"CARROCERIA")</f>
        <v>CARROCERIA</v>
      </c>
      <c r="G6" s="35">
        <f>IFERROR(__xludf.DUMMYFUNCTION("""COMPUTED_VALUE"""),7.69312E7)</f>
        <v>76931200</v>
      </c>
      <c r="H6" s="34"/>
      <c r="I6" s="37" t="str">
        <f>IFERROR(__xludf.DUMMYFUNCTION("""COMPUTED_VALUE"""),"CONJ. DE COMBATE PICKUP TR C/ MANGUEIRA RESERVA (LARANJADA) + ESGUICHO 2 ESTÁGIOS + MANGUEIRA P/ ESCORVA AZUL.. ")</f>
        <v>CONJ. DE COMBATE PICKUP TR C/ MANGUEIRA RESERVA (LARANJADA) + ESGUICHO 2 ESTÁGIOS + MANGUEIRA P/ ESCORVA AZUL.. </v>
      </c>
    </row>
    <row r="7" ht="22.5" customHeight="1">
      <c r="A7" s="30">
        <f>IFERROR(__xludf.DUMMYFUNCTION("""COMPUTED_VALUE"""),183.0)</f>
        <v>183</v>
      </c>
      <c r="B7" s="31" t="str">
        <f>IFERROR(__xludf.DUMMYFUNCTION("""COMPUTED_VALUE"""),"ABAFADOR PARA COMBATE A INCENDIO FLORESTAL")</f>
        <v>ABAFADOR PARA COMBATE A INCENDIO FLORESTAL</v>
      </c>
      <c r="C7" s="32">
        <f>IFERROR(__xludf.DUMMYFUNCTION("""COMPUTED_VALUE"""),3.0)</f>
        <v>3</v>
      </c>
      <c r="D7" s="33" t="str">
        <f>IFERROR(__xludf.DUMMYFUNCTION("""COMPUTED_VALUE"""),"VIATURA")</f>
        <v>VIATURA</v>
      </c>
      <c r="E7" s="34" t="str">
        <f>IFERROR(__xludf.DUMMYFUNCTION("""COMPUTED_VALUE"""),"1 - ASF2163")</f>
        <v>1 - ASF2163</v>
      </c>
      <c r="F7" s="34"/>
      <c r="G7" s="35"/>
      <c r="H7" s="34"/>
      <c r="I7" s="37"/>
    </row>
    <row r="8" ht="22.5" customHeight="1">
      <c r="A8" s="30">
        <f>IFERROR(__xludf.DUMMYFUNCTION("""COMPUTED_VALUE"""),767.0)</f>
        <v>767</v>
      </c>
      <c r="B8" s="31" t="str">
        <f>IFERROR(__xludf.DUMMYFUNCTION("""COMPUTED_VALUE"""),"ANEMÔMETRO KESTREL")</f>
        <v>ANEMÔMETRO KESTREL</v>
      </c>
      <c r="C8" s="32">
        <f>IFERROR(__xludf.DUMMYFUNCTION("""COMPUTED_VALUE"""),1.0)</f>
        <v>1</v>
      </c>
      <c r="D8" s="33" t="str">
        <f>IFERROR(__xludf.DUMMYFUNCTION("""COMPUTED_VALUE"""),"VIATURA")</f>
        <v>VIATURA</v>
      </c>
      <c r="E8" s="34" t="str">
        <f>IFERROR(__xludf.DUMMYFUNCTION("""COMPUTED_VALUE"""),"1 - ASF2163")</f>
        <v>1 - ASF2163</v>
      </c>
      <c r="F8" s="34"/>
      <c r="G8" s="35"/>
      <c r="H8" s="34"/>
      <c r="I8" s="38"/>
    </row>
    <row r="9" ht="22.5" customHeight="1">
      <c r="A9" s="30">
        <f>IFERROR(__xludf.DUMMYFUNCTION("""COMPUTED_VALUE"""),180.0)</f>
        <v>180</v>
      </c>
      <c r="B9" s="39" t="str">
        <f>IFERROR(__xludf.DUMMYFUNCTION("""COMPUTED_VALUE"""),"BIDÃO")</f>
        <v>BIDÃO</v>
      </c>
      <c r="C9" s="32">
        <f>IFERROR(__xludf.DUMMYFUNCTION("""COMPUTED_VALUE"""),1.0)</f>
        <v>1</v>
      </c>
      <c r="D9" s="33" t="str">
        <f>IFERROR(__xludf.DUMMYFUNCTION("""COMPUTED_VALUE"""),"VIATURA")</f>
        <v>VIATURA</v>
      </c>
      <c r="E9" s="34" t="str">
        <f>IFERROR(__xludf.DUMMYFUNCTION("""COMPUTED_VALUE"""),"1 - ASF2163")</f>
        <v>1 - ASF2163</v>
      </c>
      <c r="F9" s="34"/>
      <c r="G9" s="35"/>
      <c r="H9" s="34"/>
      <c r="I9" s="37"/>
    </row>
    <row r="10" ht="22.5" customHeight="1">
      <c r="A10" s="30">
        <f>IFERROR(__xludf.DUMMYFUNCTION("""COMPUTED_VALUE"""),179.0)</f>
        <v>179</v>
      </c>
      <c r="B10" s="31" t="str">
        <f>IFERROR(__xludf.DUMMYFUNCTION("""COMPUTED_VALUE"""),"CATRACA 1,5 TON")</f>
        <v>CATRACA 1,5 TON</v>
      </c>
      <c r="C10" s="32">
        <f>IFERROR(__xludf.DUMMYFUNCTION("""COMPUTED_VALUE"""),2.0)</f>
        <v>2</v>
      </c>
      <c r="D10" s="33" t="str">
        <f>IFERROR(__xludf.DUMMYFUNCTION("""COMPUTED_VALUE"""),"VIATURA")</f>
        <v>VIATURA</v>
      </c>
      <c r="E10" s="34" t="str">
        <f>IFERROR(__xludf.DUMMYFUNCTION("""COMPUTED_VALUE"""),"1 - ASF2163")</f>
        <v>1 - ASF2163</v>
      </c>
      <c r="F10" s="34"/>
      <c r="G10" s="35">
        <f>IFERROR(__xludf.DUMMYFUNCTION("""COMPUTED_VALUE"""),45519.0)</f>
        <v>45519</v>
      </c>
      <c r="H10" s="34"/>
      <c r="I10" s="37" t="str">
        <f>IFERROR(__xludf.DUMMYFUNCTION("""COMPUTED_VALUE"""),"COM FITA")</f>
        <v>COM FITA</v>
      </c>
    </row>
    <row r="11" ht="22.5" customHeight="1">
      <c r="A11" s="30">
        <f>IFERROR(__xludf.DUMMYFUNCTION("""COMPUTED_VALUE"""),184.0)</f>
        <v>184</v>
      </c>
      <c r="B11" s="31" t="str">
        <f>IFERROR(__xludf.DUMMYFUNCTION("""COMPUTED_VALUE"""),"CONE SINALEIRO")</f>
        <v>CONE SINALEIRO</v>
      </c>
      <c r="C11" s="32">
        <f>IFERROR(__xludf.DUMMYFUNCTION("""COMPUTED_VALUE"""),6.0)</f>
        <v>6</v>
      </c>
      <c r="D11" s="33" t="str">
        <f>IFERROR(__xludf.DUMMYFUNCTION("""COMPUTED_VALUE"""),"VIATURA")</f>
        <v>VIATURA</v>
      </c>
      <c r="E11" s="34" t="str">
        <f>IFERROR(__xludf.DUMMYFUNCTION("""COMPUTED_VALUE"""),"1 - ASF2163")</f>
        <v>1 - ASF2163</v>
      </c>
      <c r="F11" s="34"/>
      <c r="G11" s="35"/>
      <c r="H11" s="34"/>
      <c r="I11" s="37"/>
    </row>
    <row r="12" ht="22.5" customHeight="1">
      <c r="A12" s="30">
        <f>IFERROR(__xludf.DUMMYFUNCTION("""COMPUTED_VALUE"""),751.0)</f>
        <v>751</v>
      </c>
      <c r="B12" s="31" t="str">
        <f>IFERROR(__xludf.DUMMYFUNCTION("""COMPUTED_VALUE"""),"LANTERNA TÁTICA NIGHTSTICK")</f>
        <v>LANTERNA TÁTICA NIGHTSTICK</v>
      </c>
      <c r="C12" s="32">
        <f>IFERROR(__xludf.DUMMYFUNCTION("""COMPUTED_VALUE"""),1.0)</f>
        <v>1</v>
      </c>
      <c r="D12" s="33" t="str">
        <f>IFERROR(__xludf.DUMMYFUNCTION("""COMPUTED_VALUE"""),"VIATURA")</f>
        <v>VIATURA</v>
      </c>
      <c r="E12" s="34" t="str">
        <f>IFERROR(__xludf.DUMMYFUNCTION("""COMPUTED_VALUE"""),"1 - ASF2163")</f>
        <v>1 - ASF2163</v>
      </c>
      <c r="F12" s="34"/>
      <c r="G12" s="35"/>
      <c r="H12" s="34"/>
      <c r="I12" s="37"/>
    </row>
    <row r="13" ht="22.5" customHeight="1">
      <c r="A13" s="30">
        <f>IFERROR(__xludf.DUMMYFUNCTION("""COMPUTED_VALUE"""),187.0)</f>
        <v>187</v>
      </c>
      <c r="B13" s="39" t="str">
        <f>IFERROR(__xludf.DUMMYFUNCTION("""COMPUTED_VALUE"""),"LUZ ROTATIVA DE EMERGÊNCIA VEICULAR")</f>
        <v>LUZ ROTATIVA DE EMERGÊNCIA VEICULAR</v>
      </c>
      <c r="C13" s="32">
        <f>IFERROR(__xludf.DUMMYFUNCTION("""COMPUTED_VALUE"""),1.0)</f>
        <v>1</v>
      </c>
      <c r="D13" s="33" t="str">
        <f>IFERROR(__xludf.DUMMYFUNCTION("""COMPUTED_VALUE"""),"VIATURA")</f>
        <v>VIATURA</v>
      </c>
      <c r="E13" s="34" t="str">
        <f>IFERROR(__xludf.DUMMYFUNCTION("""COMPUTED_VALUE"""),"1 - ASF2163")</f>
        <v>1 - ASF2163</v>
      </c>
      <c r="F13" s="34"/>
      <c r="G13" s="35"/>
      <c r="H13" s="34"/>
      <c r="I13" s="37"/>
    </row>
    <row r="14" ht="22.5" customHeight="1">
      <c r="A14" s="30">
        <f>IFERROR(__xludf.DUMMYFUNCTION("""COMPUTED_VALUE"""),186.0)</f>
        <v>186</v>
      </c>
      <c r="B14" s="31" t="str">
        <f>IFERROR(__xludf.DUMMYFUNCTION("""COMPUTED_VALUE"""),"MANUAL KIT GUARANI ")</f>
        <v>MANUAL KIT GUARANI </v>
      </c>
      <c r="C14" s="32">
        <f>IFERROR(__xludf.DUMMYFUNCTION("""COMPUTED_VALUE"""),1.0)</f>
        <v>1</v>
      </c>
      <c r="D14" s="33" t="str">
        <f>IFERROR(__xludf.DUMMYFUNCTION("""COMPUTED_VALUE"""),"VIATURA")</f>
        <v>VIATURA</v>
      </c>
      <c r="E14" s="34" t="str">
        <f>IFERROR(__xludf.DUMMYFUNCTION("""COMPUTED_VALUE"""),"1 - ASF2163")</f>
        <v>1 - ASF2163</v>
      </c>
      <c r="F14" s="34"/>
      <c r="G14" s="35"/>
      <c r="H14" s="34"/>
      <c r="I14" s="37"/>
    </row>
    <row r="15" ht="22.5" customHeight="1">
      <c r="A15" s="30">
        <f>IFERROR(__xludf.DUMMYFUNCTION("""COMPUTED_VALUE"""),185.0)</f>
        <v>185</v>
      </c>
      <c r="B15" s="39" t="str">
        <f>IFERROR(__xludf.DUMMYFUNCTION("""COMPUTED_VALUE"""),"MISTURADOR DE COMBUSTÍVEL STIHL")</f>
        <v>MISTURADOR DE COMBUSTÍVEL STIHL</v>
      </c>
      <c r="C15" s="32">
        <f>IFERROR(__xludf.DUMMYFUNCTION("""COMPUTED_VALUE"""),1.0)</f>
        <v>1</v>
      </c>
      <c r="D15" s="33" t="str">
        <f>IFERROR(__xludf.DUMMYFUNCTION("""COMPUTED_VALUE"""),"VIATURA")</f>
        <v>VIATURA</v>
      </c>
      <c r="E15" s="34" t="str">
        <f>IFERROR(__xludf.DUMMYFUNCTION("""COMPUTED_VALUE"""),"1 - ASF2163")</f>
        <v>1 - ASF2163</v>
      </c>
      <c r="F15" s="34"/>
      <c r="G15" s="35"/>
      <c r="H15" s="34"/>
      <c r="I15" s="37"/>
    </row>
    <row r="16" ht="22.5" customHeight="1">
      <c r="A16" s="30">
        <f>IFERROR(__xludf.DUMMYFUNCTION("""COMPUTED_VALUE"""),182.0)</f>
        <v>182</v>
      </c>
      <c r="B16" s="31" t="str">
        <f>IFERROR(__xludf.DUMMYFUNCTION("""COMPUTED_VALUE"""),"MOCHILA COSTAL (VALLFIREST) C/ ESGUICHO")</f>
        <v>MOCHILA COSTAL (VALLFIREST) C/ ESGUICHO</v>
      </c>
      <c r="C16" s="32">
        <f>IFERROR(__xludf.DUMMYFUNCTION("""COMPUTED_VALUE"""),1.0)</f>
        <v>1</v>
      </c>
      <c r="D16" s="33" t="str">
        <f>IFERROR(__xludf.DUMMYFUNCTION("""COMPUTED_VALUE"""),"VIATURA")</f>
        <v>VIATURA</v>
      </c>
      <c r="E16" s="34" t="str">
        <f>IFERROR(__xludf.DUMMYFUNCTION("""COMPUTED_VALUE"""),"1 - ASF2163")</f>
        <v>1 - ASF2163</v>
      </c>
      <c r="F16" s="34"/>
      <c r="G16" s="35"/>
      <c r="H16" s="34"/>
      <c r="I16" s="37"/>
    </row>
    <row r="17" ht="22.5" customHeight="1">
      <c r="A17" s="30">
        <f>IFERROR(__xludf.DUMMYFUNCTION("""COMPUTED_VALUE"""),178.0)</f>
        <v>178</v>
      </c>
      <c r="B17" s="31" t="str">
        <f>IFERROR(__xludf.DUMMYFUNCTION("""COMPUTED_VALUE"""),"PERNEIRA (PAR)")</f>
        <v>PERNEIRA (PAR)</v>
      </c>
      <c r="C17" s="32">
        <f>IFERROR(__xludf.DUMMYFUNCTION("""COMPUTED_VALUE"""),3.0)</f>
        <v>3</v>
      </c>
      <c r="D17" s="33" t="str">
        <f>IFERROR(__xludf.DUMMYFUNCTION("""COMPUTED_VALUE"""),"VIATURA")</f>
        <v>VIATURA</v>
      </c>
      <c r="E17" s="34" t="str">
        <f>IFERROR(__xludf.DUMMYFUNCTION("""COMPUTED_VALUE"""),"1 - ASF2163")</f>
        <v>1 - ASF2163</v>
      </c>
      <c r="F17" s="34"/>
      <c r="G17" s="35">
        <f>IFERROR(__xludf.DUMMYFUNCTION("""COMPUTED_VALUE"""),45519.0)</f>
        <v>45519</v>
      </c>
      <c r="H17" s="34"/>
      <c r="I17" s="37"/>
    </row>
    <row r="18" ht="22.5" customHeight="1">
      <c r="A18" s="30">
        <f>IFERROR(__xludf.DUMMYFUNCTION("""COMPUTED_VALUE"""),181.0)</f>
        <v>181</v>
      </c>
      <c r="B18" s="31" t="str">
        <f>IFERROR(__xludf.DUMMYFUNCTION("""COMPUTED_VALUE"""),"PINGA FOGO")</f>
        <v>PINGA FOGO</v>
      </c>
      <c r="C18" s="32">
        <f>IFERROR(__xludf.DUMMYFUNCTION("""COMPUTED_VALUE"""),1.0)</f>
        <v>1</v>
      </c>
      <c r="D18" s="33" t="str">
        <f>IFERROR(__xludf.DUMMYFUNCTION("""COMPUTED_VALUE"""),"VIATURA")</f>
        <v>VIATURA</v>
      </c>
      <c r="E18" s="34" t="str">
        <f>IFERROR(__xludf.DUMMYFUNCTION("""COMPUTED_VALUE"""),"1 - ASF2163")</f>
        <v>1 - ASF2163</v>
      </c>
      <c r="F18" s="34"/>
      <c r="G18" s="35">
        <f>IFERROR(__xludf.DUMMYFUNCTION("""COMPUTED_VALUE"""),45558.0)</f>
        <v>45558</v>
      </c>
      <c r="H18" s="34"/>
      <c r="I18" s="37"/>
    </row>
    <row r="19" ht="22.5" customHeight="1">
      <c r="A19" s="30">
        <f>IFERROR(__xludf.DUMMYFUNCTION("""COMPUTED_VALUE"""),1365.0)</f>
        <v>1365</v>
      </c>
      <c r="B19" s="31" t="str">
        <f>IFERROR(__xludf.DUMMYFUNCTION("""COMPUTED_VALUE"""),"RADIO TRANSCEPTOR -")</f>
        <v>RADIO TRANSCEPTOR -</v>
      </c>
      <c r="C19" s="32">
        <f>IFERROR(__xludf.DUMMYFUNCTION("""COMPUTED_VALUE"""),1.0)</f>
        <v>1</v>
      </c>
      <c r="D19" s="33" t="str">
        <f>IFERROR(__xludf.DUMMYFUNCTION("""COMPUTED_VALUE"""),"VIATURA")</f>
        <v>VIATURA</v>
      </c>
      <c r="E19" s="34" t="str">
        <f>IFERROR(__xludf.DUMMYFUNCTION("""COMPUTED_VALUE"""),"1 - ASF2163")</f>
        <v>1 - ASF2163</v>
      </c>
      <c r="F19" s="34"/>
      <c r="G19" s="35">
        <f>IFERROR(__xludf.DUMMYFUNCTION("""COMPUTED_VALUE"""),4.0364054E7)</f>
        <v>40364054</v>
      </c>
      <c r="H19" s="34"/>
      <c r="I19" s="37"/>
    </row>
    <row r="20" ht="22.5" customHeight="1">
      <c r="A20" s="30"/>
      <c r="B20" s="31"/>
      <c r="C20" s="32"/>
      <c r="D20" s="33"/>
      <c r="E20" s="34"/>
      <c r="F20" s="34"/>
      <c r="G20" s="35"/>
      <c r="H20" s="34"/>
      <c r="I20" s="37"/>
    </row>
    <row r="21" ht="22.5" customHeight="1">
      <c r="A21" s="30"/>
      <c r="B21" s="31"/>
      <c r="C21" s="32"/>
      <c r="D21" s="33"/>
      <c r="E21" s="34"/>
      <c r="F21" s="34"/>
      <c r="G21" s="35"/>
      <c r="H21" s="34"/>
      <c r="I21" s="37"/>
    </row>
    <row r="22" ht="22.5" customHeight="1">
      <c r="A22" s="30"/>
      <c r="B22" s="31"/>
      <c r="C22" s="32"/>
      <c r="D22" s="33"/>
      <c r="E22" s="34"/>
      <c r="F22" s="34"/>
      <c r="G22" s="35"/>
      <c r="H22" s="34"/>
      <c r="I22" s="37"/>
    </row>
    <row r="23" ht="22.5" customHeight="1">
      <c r="A23" s="30"/>
      <c r="B23" s="31"/>
      <c r="C23" s="32"/>
      <c r="D23" s="33"/>
      <c r="E23" s="34"/>
      <c r="F23" s="34"/>
      <c r="G23" s="35"/>
      <c r="H23" s="34"/>
      <c r="I23" s="37"/>
    </row>
    <row r="24" ht="22.5" customHeight="1">
      <c r="A24" s="30"/>
      <c r="B24" s="31"/>
      <c r="C24" s="32"/>
      <c r="D24" s="33"/>
      <c r="E24" s="34"/>
      <c r="F24" s="34"/>
      <c r="G24" s="35"/>
      <c r="H24" s="34"/>
      <c r="I24" s="37"/>
    </row>
    <row r="25" ht="22.5" customHeight="1">
      <c r="A25" s="30"/>
      <c r="B25" s="31"/>
      <c r="C25" s="32"/>
      <c r="D25" s="33"/>
      <c r="E25" s="34"/>
      <c r="F25" s="34"/>
      <c r="G25" s="35"/>
      <c r="H25" s="34"/>
      <c r="I25" s="37"/>
    </row>
    <row r="26" ht="22.5" customHeight="1">
      <c r="A26" s="30"/>
      <c r="B26" s="40"/>
      <c r="C26" s="32"/>
      <c r="D26" s="33"/>
      <c r="E26" s="34"/>
      <c r="F26" s="34"/>
      <c r="G26" s="35"/>
      <c r="H26" s="34"/>
      <c r="I26" s="37"/>
    </row>
    <row r="27" ht="22.5" customHeight="1">
      <c r="A27" s="30"/>
      <c r="B27" s="31"/>
      <c r="C27" s="32"/>
      <c r="D27" s="33"/>
      <c r="E27" s="34"/>
      <c r="F27" s="34"/>
      <c r="G27" s="35"/>
      <c r="H27" s="34"/>
      <c r="I27" s="37"/>
    </row>
    <row r="28" ht="22.5" customHeight="1">
      <c r="A28" s="30"/>
      <c r="B28" s="31"/>
      <c r="C28" s="32"/>
      <c r="D28" s="33"/>
      <c r="E28" s="34"/>
      <c r="F28" s="34"/>
      <c r="G28" s="35"/>
      <c r="H28" s="34"/>
      <c r="I28" s="37"/>
    </row>
    <row r="29" ht="22.5" customHeight="1">
      <c r="A29" s="30"/>
      <c r="B29" s="31"/>
      <c r="C29" s="32"/>
      <c r="D29" s="33"/>
      <c r="E29" s="34"/>
      <c r="F29" s="34"/>
      <c r="G29" s="35"/>
      <c r="H29" s="34"/>
      <c r="I29" s="37"/>
    </row>
    <row r="30" ht="22.5" customHeight="1">
      <c r="A30" s="30"/>
      <c r="B30" s="31"/>
      <c r="C30" s="32"/>
      <c r="D30" s="33"/>
      <c r="E30" s="34"/>
      <c r="F30" s="34"/>
      <c r="G30" s="35"/>
      <c r="H30" s="34"/>
      <c r="I30" s="37"/>
    </row>
    <row r="31" ht="22.5" customHeight="1">
      <c r="A31" s="30"/>
      <c r="B31" s="31"/>
      <c r="C31" s="32"/>
      <c r="D31" s="33"/>
      <c r="E31" s="34"/>
      <c r="F31" s="34"/>
      <c r="G31" s="35"/>
      <c r="H31" s="34"/>
      <c r="I31" s="37"/>
    </row>
    <row r="32" ht="22.5" customHeight="1">
      <c r="A32" s="30"/>
      <c r="B32" s="31"/>
      <c r="C32" s="32"/>
      <c r="D32" s="33"/>
      <c r="E32" s="34"/>
      <c r="F32" s="34"/>
      <c r="G32" s="35"/>
      <c r="H32" s="34"/>
      <c r="I32" s="37"/>
    </row>
    <row r="33" ht="22.5" customHeight="1">
      <c r="A33" s="30"/>
      <c r="B33" s="39"/>
      <c r="C33" s="32"/>
      <c r="D33" s="33"/>
      <c r="E33" s="34"/>
      <c r="F33" s="34"/>
      <c r="G33" s="35"/>
      <c r="H33" s="34"/>
      <c r="I33" s="37"/>
    </row>
    <row r="34" ht="22.5" customHeight="1">
      <c r="A34" s="30"/>
      <c r="B34" s="39"/>
      <c r="C34" s="32"/>
      <c r="D34" s="33"/>
      <c r="E34" s="34"/>
      <c r="F34" s="34"/>
      <c r="G34" s="35"/>
      <c r="H34" s="34"/>
      <c r="I34" s="37"/>
    </row>
    <row r="35" ht="22.5" customHeight="1">
      <c r="A35" s="30"/>
      <c r="B35" s="39"/>
      <c r="C35" s="32"/>
      <c r="D35" s="33"/>
      <c r="E35" s="34"/>
      <c r="F35" s="34"/>
      <c r="G35" s="35"/>
      <c r="H35" s="34"/>
      <c r="I35" s="37"/>
    </row>
    <row r="36" ht="22.5" customHeight="1">
      <c r="A36" s="30"/>
      <c r="B36" s="40"/>
      <c r="C36" s="32"/>
      <c r="D36" s="33"/>
      <c r="E36" s="34"/>
      <c r="F36" s="34"/>
      <c r="G36" s="35"/>
      <c r="H36" s="34"/>
      <c r="I36" s="37"/>
    </row>
    <row r="37" ht="22.5" customHeight="1">
      <c r="A37" s="30"/>
      <c r="B37" s="31"/>
      <c r="C37" s="32"/>
      <c r="D37" s="33"/>
      <c r="E37" s="34"/>
      <c r="F37" s="34"/>
      <c r="G37" s="35"/>
      <c r="H37" s="34"/>
      <c r="I37" s="37"/>
    </row>
    <row r="38" ht="22.5" customHeight="1">
      <c r="A38" s="30"/>
      <c r="B38" s="31"/>
      <c r="C38" s="32"/>
      <c r="D38" s="33"/>
      <c r="E38" s="34"/>
      <c r="F38" s="34"/>
      <c r="G38" s="35"/>
      <c r="H38" s="34"/>
      <c r="I38" s="37"/>
    </row>
    <row r="39" ht="22.5" customHeight="1">
      <c r="A39" s="30"/>
      <c r="B39" s="31"/>
      <c r="C39" s="32"/>
      <c r="D39" s="33"/>
      <c r="E39" s="34"/>
      <c r="F39" s="34"/>
      <c r="G39" s="35"/>
      <c r="H39" s="34"/>
      <c r="I39" s="37"/>
    </row>
    <row r="40" ht="22.5" customHeight="1">
      <c r="A40" s="30"/>
      <c r="B40" s="31"/>
      <c r="C40" s="32"/>
      <c r="D40" s="33"/>
      <c r="E40" s="34"/>
      <c r="F40" s="34"/>
      <c r="G40" s="35"/>
      <c r="H40" s="34"/>
      <c r="I40" s="37"/>
    </row>
    <row r="41" ht="22.5" customHeight="1">
      <c r="A41" s="30"/>
      <c r="B41" s="31"/>
      <c r="C41" s="32"/>
      <c r="D41" s="33"/>
      <c r="E41" s="34"/>
      <c r="F41" s="34"/>
      <c r="G41" s="35"/>
      <c r="H41" s="34"/>
      <c r="I41" s="37"/>
    </row>
    <row r="42" ht="22.5" customHeight="1">
      <c r="A42" s="30"/>
      <c r="B42" s="31"/>
      <c r="C42" s="32"/>
      <c r="D42" s="33"/>
      <c r="E42" s="34"/>
      <c r="F42" s="34"/>
      <c r="G42" s="35"/>
      <c r="H42" s="34"/>
      <c r="I42" s="37"/>
    </row>
    <row r="43" ht="22.5" customHeight="1">
      <c r="A43" s="30"/>
      <c r="B43" s="31"/>
      <c r="C43" s="32"/>
      <c r="D43" s="33"/>
      <c r="E43" s="34"/>
      <c r="F43" s="34"/>
      <c r="G43" s="35"/>
      <c r="H43" s="34"/>
      <c r="I43" s="37"/>
    </row>
    <row r="44" ht="22.5" customHeight="1">
      <c r="A44" s="30"/>
      <c r="B44" s="31"/>
      <c r="C44" s="32"/>
      <c r="D44" s="33"/>
      <c r="E44" s="34"/>
      <c r="F44" s="34"/>
      <c r="G44" s="35"/>
      <c r="H44" s="34"/>
      <c r="I44" s="37"/>
    </row>
    <row r="45" ht="22.5" customHeight="1">
      <c r="A45" s="30"/>
      <c r="B45" s="31"/>
      <c r="C45" s="32"/>
      <c r="D45" s="33"/>
      <c r="E45" s="34"/>
      <c r="F45" s="34"/>
      <c r="G45" s="35"/>
      <c r="H45" s="34"/>
      <c r="I45" s="37"/>
    </row>
    <row r="46" ht="22.5" customHeight="1">
      <c r="A46" s="30"/>
      <c r="B46" s="40"/>
      <c r="C46" s="32"/>
      <c r="D46" s="33"/>
      <c r="E46" s="34"/>
      <c r="F46" s="34"/>
      <c r="G46" s="35"/>
      <c r="H46" s="34"/>
      <c r="I46" s="37"/>
    </row>
    <row r="47" ht="22.5" customHeight="1">
      <c r="A47" s="30"/>
      <c r="B47" s="31"/>
      <c r="C47" s="32"/>
      <c r="D47" s="33"/>
      <c r="E47" s="34"/>
      <c r="F47" s="34"/>
      <c r="G47" s="35"/>
      <c r="H47" s="34"/>
      <c r="I47" s="37"/>
    </row>
    <row r="48" ht="22.5" customHeight="1">
      <c r="A48" s="30"/>
      <c r="B48" s="31"/>
      <c r="C48" s="32"/>
      <c r="D48" s="33"/>
      <c r="E48" s="34"/>
      <c r="F48" s="34"/>
      <c r="G48" s="35"/>
      <c r="H48" s="34"/>
      <c r="I48" s="37"/>
    </row>
    <row r="49" ht="22.5" customHeight="1">
      <c r="A49" s="30"/>
      <c r="B49" s="31"/>
      <c r="C49" s="32"/>
      <c r="D49" s="33"/>
      <c r="E49" s="34"/>
      <c r="F49" s="34"/>
      <c r="G49" s="35"/>
      <c r="H49" s="34"/>
      <c r="I49" s="37"/>
    </row>
    <row r="50" ht="22.5" customHeight="1">
      <c r="A50" s="30"/>
      <c r="B50" s="40"/>
      <c r="C50" s="32"/>
      <c r="D50" s="33"/>
      <c r="E50" s="34"/>
      <c r="F50" s="34"/>
      <c r="G50" s="35"/>
      <c r="H50" s="34"/>
      <c r="I50" s="37"/>
    </row>
    <row r="51" ht="22.5" customHeight="1">
      <c r="A51" s="30"/>
      <c r="B51" s="31"/>
      <c r="C51" s="32"/>
      <c r="D51" s="33"/>
      <c r="E51" s="34"/>
      <c r="F51" s="34"/>
      <c r="G51" s="35"/>
      <c r="H51" s="34"/>
      <c r="I51" s="37"/>
    </row>
    <row r="52" ht="22.5" customHeight="1">
      <c r="A52" s="30"/>
      <c r="B52" s="31"/>
      <c r="C52" s="32"/>
      <c r="D52" s="33"/>
      <c r="E52" s="34"/>
      <c r="F52" s="34"/>
      <c r="G52" s="35"/>
      <c r="H52" s="34"/>
      <c r="I52" s="37"/>
    </row>
    <row r="53" ht="22.5" customHeight="1">
      <c r="A53" s="30"/>
      <c r="B53" s="31"/>
      <c r="C53" s="32"/>
      <c r="D53" s="33"/>
      <c r="E53" s="34"/>
      <c r="F53" s="34"/>
      <c r="G53" s="35"/>
      <c r="H53" s="34"/>
      <c r="I53" s="37"/>
    </row>
    <row r="54" ht="22.5" customHeight="1">
      <c r="A54" s="30"/>
      <c r="B54" s="31"/>
      <c r="C54" s="32"/>
      <c r="D54" s="33"/>
      <c r="E54" s="34"/>
      <c r="F54" s="34"/>
      <c r="G54" s="35"/>
      <c r="H54" s="34"/>
      <c r="I54" s="37"/>
    </row>
    <row r="55" ht="22.5" customHeight="1">
      <c r="A55" s="30"/>
      <c r="B55" s="31"/>
      <c r="C55" s="32"/>
      <c r="D55" s="33"/>
      <c r="E55" s="34"/>
      <c r="F55" s="34"/>
      <c r="G55" s="35"/>
      <c r="H55" s="34"/>
      <c r="I55" s="37"/>
    </row>
    <row r="56" ht="22.5" customHeight="1">
      <c r="A56" s="30"/>
      <c r="B56" s="31"/>
      <c r="C56" s="32"/>
      <c r="D56" s="33"/>
      <c r="E56" s="34"/>
      <c r="F56" s="34"/>
      <c r="G56" s="35"/>
      <c r="H56" s="34"/>
      <c r="I56" s="37"/>
    </row>
    <row r="57" ht="22.5" customHeight="1">
      <c r="A57" s="30"/>
      <c r="B57" s="31"/>
      <c r="C57" s="32"/>
      <c r="D57" s="33"/>
      <c r="E57" s="34"/>
      <c r="F57" s="34"/>
      <c r="G57" s="35"/>
      <c r="H57" s="34"/>
      <c r="I57" s="37"/>
    </row>
    <row r="58" ht="22.5" customHeight="1">
      <c r="A58" s="30"/>
      <c r="B58" s="31"/>
      <c r="C58" s="32"/>
      <c r="D58" s="33"/>
      <c r="E58" s="34"/>
      <c r="F58" s="34"/>
      <c r="G58" s="35"/>
      <c r="H58" s="34"/>
      <c r="I58" s="37"/>
    </row>
    <row r="59" ht="22.5" customHeight="1">
      <c r="A59" s="30"/>
      <c r="B59" s="31"/>
      <c r="C59" s="32"/>
      <c r="D59" s="33"/>
      <c r="E59" s="34"/>
      <c r="F59" s="34"/>
      <c r="G59" s="35"/>
      <c r="H59" s="34"/>
      <c r="I59" s="37"/>
    </row>
    <row r="60" ht="22.5" customHeight="1">
      <c r="A60" s="30"/>
      <c r="B60" s="31"/>
      <c r="C60" s="32"/>
      <c r="D60" s="33"/>
      <c r="E60" s="34"/>
      <c r="F60" s="34"/>
      <c r="G60" s="35"/>
      <c r="H60" s="34"/>
      <c r="I60" s="37"/>
    </row>
    <row r="61" ht="22.5" customHeight="1">
      <c r="A61" s="30"/>
      <c r="B61" s="31"/>
      <c r="C61" s="32"/>
      <c r="D61" s="33"/>
      <c r="E61" s="34"/>
      <c r="F61" s="34"/>
      <c r="G61" s="35"/>
      <c r="H61" s="34"/>
      <c r="I61" s="37"/>
    </row>
    <row r="62" ht="22.5" customHeight="1">
      <c r="A62" s="30"/>
      <c r="B62" s="31"/>
      <c r="C62" s="32"/>
      <c r="D62" s="33"/>
      <c r="E62" s="34"/>
      <c r="F62" s="34"/>
      <c r="G62" s="35"/>
      <c r="H62" s="34"/>
      <c r="I62" s="37"/>
    </row>
    <row r="63" ht="22.5" customHeight="1">
      <c r="A63" s="30"/>
      <c r="B63" s="31"/>
      <c r="C63" s="32"/>
      <c r="D63" s="33"/>
      <c r="E63" s="34"/>
      <c r="F63" s="34"/>
      <c r="G63" s="35"/>
      <c r="H63" s="34"/>
      <c r="I63" s="37"/>
    </row>
    <row r="64" ht="22.5" customHeight="1">
      <c r="A64" s="30"/>
      <c r="B64" s="31"/>
      <c r="C64" s="32"/>
      <c r="D64" s="33"/>
      <c r="E64" s="34"/>
      <c r="F64" s="34"/>
      <c r="G64" s="35"/>
      <c r="H64" s="34"/>
      <c r="I64" s="37"/>
    </row>
    <row r="65" ht="22.5" customHeight="1">
      <c r="A65" s="30"/>
      <c r="B65" s="40"/>
      <c r="C65" s="32"/>
      <c r="D65" s="33"/>
      <c r="E65" s="34"/>
      <c r="F65" s="34"/>
      <c r="G65" s="35"/>
      <c r="H65" s="34"/>
      <c r="I65" s="37"/>
    </row>
    <row r="66" ht="22.5" customHeight="1">
      <c r="A66" s="30"/>
      <c r="B66" s="31"/>
      <c r="C66" s="32"/>
      <c r="D66" s="33"/>
      <c r="E66" s="34"/>
      <c r="F66" s="34"/>
      <c r="G66" s="35"/>
      <c r="H66" s="34"/>
      <c r="I66" s="37"/>
    </row>
    <row r="67" ht="22.5" customHeight="1">
      <c r="A67" s="30"/>
      <c r="B67" s="40"/>
      <c r="C67" s="32"/>
      <c r="D67" s="33"/>
      <c r="E67" s="34"/>
      <c r="F67" s="34"/>
      <c r="G67" s="35"/>
      <c r="H67" s="34"/>
      <c r="I67" s="37"/>
    </row>
    <row r="68" ht="22.5" customHeight="1">
      <c r="A68" s="30"/>
      <c r="B68" s="31"/>
      <c r="C68" s="32"/>
      <c r="D68" s="33"/>
      <c r="E68" s="34"/>
      <c r="F68" s="34"/>
      <c r="G68" s="35"/>
      <c r="H68" s="34"/>
      <c r="I68" s="37"/>
    </row>
    <row r="69" ht="22.5" customHeight="1">
      <c r="A69" s="30"/>
      <c r="B69" s="31"/>
      <c r="C69" s="32"/>
      <c r="D69" s="33"/>
      <c r="E69" s="34"/>
      <c r="F69" s="34"/>
      <c r="G69" s="35"/>
      <c r="H69" s="34"/>
      <c r="I69" s="37"/>
    </row>
    <row r="70" ht="22.5" customHeight="1">
      <c r="A70" s="30"/>
      <c r="B70" s="31"/>
      <c r="C70" s="32"/>
      <c r="D70" s="33"/>
      <c r="E70" s="34"/>
      <c r="F70" s="34"/>
      <c r="G70" s="35"/>
      <c r="H70" s="34"/>
      <c r="I70" s="37"/>
    </row>
    <row r="71" ht="22.5" customHeight="1">
      <c r="A71" s="30"/>
      <c r="B71" s="31"/>
      <c r="C71" s="32"/>
      <c r="D71" s="33"/>
      <c r="E71" s="34"/>
      <c r="F71" s="34"/>
      <c r="G71" s="35"/>
      <c r="H71" s="34"/>
      <c r="I71" s="37"/>
    </row>
    <row r="72" ht="22.5" customHeight="1">
      <c r="A72" s="30"/>
      <c r="B72" s="40"/>
      <c r="C72" s="32"/>
      <c r="D72" s="33"/>
      <c r="E72" s="34"/>
      <c r="F72" s="34"/>
      <c r="G72" s="35"/>
      <c r="H72" s="34"/>
      <c r="I72" s="37"/>
    </row>
    <row r="73" ht="22.5" customHeight="1">
      <c r="A73" s="30"/>
      <c r="B73" s="31"/>
      <c r="C73" s="32"/>
      <c r="D73" s="33"/>
      <c r="E73" s="34"/>
      <c r="F73" s="34"/>
      <c r="G73" s="35"/>
      <c r="H73" s="34"/>
      <c r="I73" s="37"/>
    </row>
    <row r="74" ht="22.5" customHeight="1">
      <c r="A74" s="30"/>
      <c r="B74" s="31"/>
      <c r="C74" s="32"/>
      <c r="D74" s="33"/>
      <c r="E74" s="34"/>
      <c r="F74" s="34"/>
      <c r="G74" s="35"/>
      <c r="H74" s="34"/>
      <c r="I74" s="37"/>
    </row>
    <row r="75" ht="22.5" customHeight="1">
      <c r="A75" s="30"/>
      <c r="B75" s="31"/>
      <c r="C75" s="32"/>
      <c r="D75" s="33"/>
      <c r="E75" s="34"/>
      <c r="F75" s="34"/>
      <c r="G75" s="35"/>
      <c r="H75" s="34"/>
      <c r="I75" s="37"/>
    </row>
    <row r="76" ht="22.5" customHeight="1">
      <c r="A76" s="30"/>
      <c r="B76" s="31"/>
      <c r="C76" s="32"/>
      <c r="D76" s="33"/>
      <c r="E76" s="34"/>
      <c r="F76" s="34"/>
      <c r="G76" s="35"/>
      <c r="H76" s="34"/>
      <c r="I76" s="37"/>
    </row>
    <row r="77" ht="22.5" customHeight="1">
      <c r="A77" s="30"/>
      <c r="B77" s="31"/>
      <c r="C77" s="32"/>
      <c r="D77" s="33"/>
      <c r="E77" s="34"/>
      <c r="F77" s="34"/>
      <c r="G77" s="35"/>
      <c r="H77" s="34"/>
      <c r="I77" s="37"/>
    </row>
    <row r="78" ht="22.5" customHeight="1">
      <c r="A78" s="30"/>
      <c r="B78" s="31"/>
      <c r="C78" s="32"/>
      <c r="D78" s="33"/>
      <c r="E78" s="34"/>
      <c r="F78" s="34"/>
      <c r="G78" s="35"/>
      <c r="H78" s="34"/>
      <c r="I78" s="37"/>
    </row>
    <row r="79" ht="22.5" customHeight="1">
      <c r="A79" s="30"/>
      <c r="B79" s="31"/>
      <c r="C79" s="32"/>
      <c r="D79" s="33"/>
      <c r="E79" s="34"/>
      <c r="F79" s="34"/>
      <c r="G79" s="35"/>
      <c r="H79" s="34"/>
      <c r="I79" s="37"/>
    </row>
    <row r="80" ht="22.5" customHeight="1">
      <c r="A80" s="30"/>
      <c r="B80" s="31"/>
      <c r="C80" s="32"/>
      <c r="D80" s="33"/>
      <c r="E80" s="34"/>
      <c r="F80" s="34"/>
      <c r="G80" s="35"/>
      <c r="H80" s="34"/>
      <c r="I80" s="37"/>
    </row>
    <row r="81" ht="22.5" customHeight="1">
      <c r="A81" s="30"/>
      <c r="B81" s="31"/>
      <c r="C81" s="32"/>
      <c r="D81" s="33"/>
      <c r="E81" s="34"/>
      <c r="F81" s="34"/>
      <c r="G81" s="35"/>
      <c r="H81" s="34"/>
      <c r="I81" s="37"/>
    </row>
    <row r="82" ht="22.5" customHeight="1">
      <c r="A82" s="30"/>
      <c r="B82" s="31"/>
      <c r="C82" s="32"/>
      <c r="D82" s="33"/>
      <c r="E82" s="34"/>
      <c r="F82" s="34"/>
      <c r="G82" s="35"/>
      <c r="H82" s="34"/>
      <c r="I82" s="37"/>
    </row>
    <row r="83" ht="22.5" customHeight="1">
      <c r="A83" s="30"/>
      <c r="B83" s="31"/>
      <c r="C83" s="32"/>
      <c r="D83" s="33"/>
      <c r="E83" s="34"/>
      <c r="F83" s="34"/>
      <c r="G83" s="35"/>
      <c r="H83" s="34"/>
      <c r="I83" s="37"/>
    </row>
    <row r="84" ht="22.5" customHeight="1">
      <c r="A84" s="30"/>
      <c r="B84" s="31"/>
      <c r="C84" s="32"/>
      <c r="D84" s="33"/>
      <c r="E84" s="34"/>
      <c r="F84" s="34"/>
      <c r="G84" s="35"/>
      <c r="H84" s="34"/>
      <c r="I84" s="37"/>
    </row>
    <row r="85" ht="22.5" customHeight="1">
      <c r="A85" s="30"/>
      <c r="B85" s="31"/>
      <c r="C85" s="32"/>
      <c r="D85" s="33"/>
      <c r="E85" s="34"/>
      <c r="F85" s="34"/>
      <c r="G85" s="35"/>
      <c r="H85" s="34"/>
      <c r="I85" s="37"/>
    </row>
    <row r="86" ht="22.5" customHeight="1">
      <c r="A86" s="30"/>
      <c r="B86" s="31"/>
      <c r="C86" s="32"/>
      <c r="D86" s="33"/>
      <c r="E86" s="34"/>
      <c r="F86" s="34"/>
      <c r="G86" s="35"/>
      <c r="H86" s="34"/>
      <c r="I86" s="37"/>
    </row>
    <row r="87" ht="22.5" customHeight="1">
      <c r="A87" s="30"/>
      <c r="B87" s="31"/>
      <c r="C87" s="32"/>
      <c r="D87" s="33"/>
      <c r="E87" s="34"/>
      <c r="F87" s="34"/>
      <c r="G87" s="35"/>
      <c r="H87" s="34"/>
      <c r="I87" s="37"/>
    </row>
    <row r="88" ht="22.5" customHeight="1">
      <c r="A88" s="30"/>
      <c r="B88" s="31"/>
      <c r="C88" s="32"/>
      <c r="D88" s="33"/>
      <c r="E88" s="34"/>
      <c r="F88" s="34"/>
      <c r="G88" s="35"/>
      <c r="H88" s="34"/>
      <c r="I88" s="37"/>
    </row>
    <row r="89" ht="22.5" customHeight="1">
      <c r="A89" s="30"/>
      <c r="B89" s="31"/>
      <c r="C89" s="32"/>
      <c r="D89" s="33"/>
      <c r="E89" s="34"/>
      <c r="F89" s="34"/>
      <c r="G89" s="35"/>
      <c r="H89" s="34"/>
      <c r="I89" s="37"/>
    </row>
    <row r="90" ht="22.5" customHeight="1">
      <c r="A90" s="30"/>
      <c r="B90" s="31"/>
      <c r="C90" s="32"/>
      <c r="D90" s="33"/>
      <c r="E90" s="34"/>
      <c r="F90" s="34"/>
      <c r="G90" s="35"/>
      <c r="H90" s="34"/>
      <c r="I90" s="37"/>
    </row>
    <row r="91" ht="22.5" customHeight="1">
      <c r="A91" s="30"/>
      <c r="B91" s="31"/>
      <c r="C91" s="32"/>
      <c r="D91" s="33"/>
      <c r="E91" s="34"/>
      <c r="F91" s="34"/>
      <c r="G91" s="35"/>
      <c r="H91" s="34"/>
      <c r="I91" s="37"/>
    </row>
    <row r="92" ht="22.5" customHeight="1">
      <c r="A92" s="30"/>
      <c r="B92" s="31"/>
      <c r="C92" s="32"/>
      <c r="D92" s="33"/>
      <c r="E92" s="34"/>
      <c r="F92" s="34"/>
      <c r="G92" s="35"/>
      <c r="H92" s="34"/>
      <c r="I92" s="37"/>
    </row>
    <row r="93" ht="22.5" customHeight="1">
      <c r="A93" s="30"/>
      <c r="B93" s="31"/>
      <c r="C93" s="32"/>
      <c r="D93" s="33"/>
      <c r="E93" s="34"/>
      <c r="F93" s="34"/>
      <c r="G93" s="35"/>
      <c r="H93" s="34"/>
      <c r="I93" s="37"/>
    </row>
    <row r="94" ht="22.5" customHeight="1">
      <c r="A94" s="30"/>
      <c r="B94" s="40"/>
      <c r="C94" s="32"/>
      <c r="D94" s="33"/>
      <c r="E94" s="34"/>
      <c r="F94" s="34"/>
      <c r="G94" s="35"/>
      <c r="H94" s="34"/>
      <c r="I94" s="37"/>
    </row>
    <row r="95" ht="22.5" customHeight="1">
      <c r="A95" s="30"/>
      <c r="B95" s="31"/>
      <c r="C95" s="32"/>
      <c r="D95" s="33"/>
      <c r="E95" s="34"/>
      <c r="F95" s="34"/>
      <c r="G95" s="35"/>
      <c r="H95" s="34"/>
      <c r="I95" s="37"/>
    </row>
    <row r="96" ht="22.5" customHeight="1">
      <c r="A96" s="30"/>
      <c r="B96" s="31"/>
      <c r="C96" s="32"/>
      <c r="D96" s="33"/>
      <c r="E96" s="34"/>
      <c r="F96" s="34"/>
      <c r="G96" s="35"/>
      <c r="H96" s="34"/>
      <c r="I96" s="37"/>
    </row>
    <row r="97" ht="22.5" customHeight="1">
      <c r="A97" s="30"/>
      <c r="B97" s="31"/>
      <c r="C97" s="32"/>
      <c r="D97" s="33"/>
      <c r="E97" s="34"/>
      <c r="F97" s="34"/>
      <c r="G97" s="35"/>
      <c r="H97" s="34"/>
      <c r="I97" s="37"/>
    </row>
    <row r="98" ht="22.5" customHeight="1">
      <c r="A98" s="30"/>
      <c r="B98" s="31"/>
      <c r="C98" s="32"/>
      <c r="D98" s="33"/>
      <c r="E98" s="34"/>
      <c r="F98" s="34"/>
      <c r="G98" s="35"/>
      <c r="H98" s="34"/>
      <c r="I98" s="38"/>
    </row>
    <row r="99" ht="22.5" customHeight="1">
      <c r="A99" s="30"/>
      <c r="B99" s="39"/>
      <c r="C99" s="32"/>
      <c r="D99" s="33"/>
      <c r="E99" s="34"/>
      <c r="F99" s="34"/>
      <c r="G99" s="35"/>
      <c r="H99" s="34"/>
      <c r="I99" s="37"/>
    </row>
    <row r="100" ht="22.5" customHeight="1">
      <c r="A100" s="30"/>
      <c r="B100" s="31"/>
      <c r="C100" s="32"/>
      <c r="D100" s="33"/>
      <c r="E100" s="34"/>
      <c r="F100" s="34"/>
      <c r="G100" s="35"/>
      <c r="H100" s="34"/>
      <c r="I100" s="37"/>
    </row>
    <row r="101" ht="22.5" customHeight="1">
      <c r="A101" s="30"/>
      <c r="B101" s="31"/>
      <c r="C101" s="32"/>
      <c r="D101" s="33"/>
      <c r="E101" s="34"/>
      <c r="F101" s="34"/>
      <c r="G101" s="35"/>
      <c r="H101" s="34"/>
      <c r="I101" s="37"/>
    </row>
    <row r="102" ht="22.5" customHeight="1">
      <c r="A102" s="30"/>
      <c r="B102" s="31"/>
      <c r="C102" s="32"/>
      <c r="D102" s="33"/>
      <c r="E102" s="34"/>
      <c r="F102" s="34"/>
      <c r="G102" s="35"/>
      <c r="H102" s="34"/>
      <c r="I102" s="37"/>
    </row>
    <row r="103" ht="22.5" customHeight="1">
      <c r="A103" s="30"/>
      <c r="B103" s="39"/>
      <c r="C103" s="32"/>
      <c r="D103" s="33"/>
      <c r="E103" s="34"/>
      <c r="F103" s="34"/>
      <c r="G103" s="35"/>
      <c r="H103" s="34"/>
      <c r="I103" s="37"/>
    </row>
    <row r="104" ht="22.5" customHeight="1">
      <c r="A104" s="30"/>
      <c r="B104" s="31"/>
      <c r="C104" s="32"/>
      <c r="D104" s="33"/>
      <c r="E104" s="34"/>
      <c r="F104" s="34"/>
      <c r="G104" s="35"/>
      <c r="H104" s="34"/>
      <c r="I104" s="37"/>
    </row>
    <row r="105" ht="22.5" customHeight="1">
      <c r="A105" s="30"/>
      <c r="B105" s="39"/>
      <c r="C105" s="32"/>
      <c r="D105" s="33"/>
      <c r="E105" s="34"/>
      <c r="F105" s="34"/>
      <c r="G105" s="35"/>
      <c r="H105" s="34"/>
      <c r="I105" s="37"/>
    </row>
    <row r="106" ht="22.5" customHeight="1">
      <c r="A106" s="30"/>
      <c r="B106" s="31"/>
      <c r="C106" s="32"/>
      <c r="D106" s="33"/>
      <c r="E106" s="34"/>
      <c r="F106" s="34"/>
      <c r="G106" s="35"/>
      <c r="H106" s="34"/>
      <c r="I106" s="37"/>
    </row>
    <row r="107" ht="22.5" customHeight="1">
      <c r="A107" s="30"/>
      <c r="B107" s="31"/>
      <c r="C107" s="32"/>
      <c r="D107" s="33"/>
      <c r="E107" s="34"/>
      <c r="F107" s="34"/>
      <c r="G107" s="35"/>
      <c r="H107" s="34"/>
      <c r="I107" s="37"/>
    </row>
    <row r="108" ht="22.5" customHeight="1">
      <c r="A108" s="30"/>
      <c r="B108" s="31"/>
      <c r="C108" s="32"/>
      <c r="D108" s="33"/>
      <c r="E108" s="34"/>
      <c r="F108" s="34"/>
      <c r="G108" s="35"/>
      <c r="H108" s="34"/>
      <c r="I108" s="37"/>
    </row>
    <row r="109" ht="22.5" customHeight="1">
      <c r="A109" s="30"/>
      <c r="B109" s="31"/>
      <c r="C109" s="32"/>
      <c r="D109" s="33"/>
      <c r="E109" s="34"/>
      <c r="F109" s="34"/>
      <c r="G109" s="35"/>
      <c r="H109" s="34"/>
      <c r="I109" s="37"/>
    </row>
    <row r="110" ht="22.5" customHeight="1">
      <c r="A110" s="30"/>
      <c r="B110" s="31"/>
      <c r="C110" s="32"/>
      <c r="D110" s="33"/>
      <c r="E110" s="34"/>
      <c r="F110" s="34"/>
      <c r="G110" s="35"/>
      <c r="H110" s="34"/>
      <c r="I110" s="37"/>
    </row>
    <row r="111" ht="22.5" customHeight="1">
      <c r="A111" s="30"/>
      <c r="B111" s="31"/>
      <c r="C111" s="32"/>
      <c r="D111" s="33"/>
      <c r="E111" s="34"/>
      <c r="F111" s="34"/>
      <c r="G111" s="35"/>
      <c r="H111" s="34"/>
      <c r="I111" s="37"/>
    </row>
    <row r="112" ht="22.5" customHeight="1">
      <c r="A112" s="30"/>
      <c r="B112" s="31"/>
      <c r="C112" s="32"/>
      <c r="D112" s="33"/>
      <c r="E112" s="34"/>
      <c r="F112" s="34"/>
      <c r="G112" s="35"/>
      <c r="H112" s="34"/>
      <c r="I112" s="37"/>
    </row>
    <row r="113" ht="22.5" customHeight="1">
      <c r="A113" s="30"/>
      <c r="B113" s="31"/>
      <c r="C113" s="32"/>
      <c r="D113" s="33"/>
      <c r="E113" s="34"/>
      <c r="F113" s="34"/>
      <c r="G113" s="35"/>
      <c r="H113" s="34"/>
      <c r="I113" s="37"/>
    </row>
    <row r="114" ht="22.5" customHeight="1">
      <c r="A114" s="30"/>
      <c r="B114" s="31"/>
      <c r="C114" s="32"/>
      <c r="D114" s="33"/>
      <c r="E114" s="34"/>
      <c r="F114" s="34"/>
      <c r="G114" s="35"/>
      <c r="H114" s="34"/>
      <c r="I114" s="37"/>
    </row>
    <row r="115" ht="22.5" customHeight="1">
      <c r="A115" s="30"/>
      <c r="B115" s="31"/>
      <c r="C115" s="32"/>
      <c r="D115" s="33"/>
      <c r="E115" s="34"/>
      <c r="F115" s="34"/>
      <c r="G115" s="35"/>
      <c r="H115" s="34"/>
      <c r="I115" s="37"/>
    </row>
    <row r="116" ht="22.5" customHeight="1">
      <c r="A116" s="30"/>
      <c r="B116" s="40"/>
      <c r="C116" s="32"/>
      <c r="D116" s="33"/>
      <c r="E116" s="34"/>
      <c r="F116" s="34"/>
      <c r="G116" s="35"/>
      <c r="H116" s="34"/>
      <c r="I116" s="37"/>
    </row>
    <row r="117" ht="22.5" customHeight="1">
      <c r="A117" s="30"/>
      <c r="B117" s="31"/>
      <c r="C117" s="32"/>
      <c r="D117" s="33"/>
      <c r="E117" s="34"/>
      <c r="F117" s="34"/>
      <c r="G117" s="35"/>
      <c r="H117" s="34"/>
      <c r="I117" s="37"/>
    </row>
    <row r="118" ht="22.5" customHeight="1">
      <c r="A118" s="30"/>
      <c r="B118" s="31"/>
      <c r="C118" s="32"/>
      <c r="D118" s="33"/>
      <c r="E118" s="34"/>
      <c r="F118" s="34"/>
      <c r="G118" s="35"/>
      <c r="H118" s="34"/>
      <c r="I118" s="37"/>
    </row>
    <row r="119" ht="22.5" customHeight="1">
      <c r="A119" s="30"/>
      <c r="B119" s="31"/>
      <c r="C119" s="32"/>
      <c r="D119" s="33"/>
      <c r="E119" s="34"/>
      <c r="F119" s="34"/>
      <c r="G119" s="35"/>
      <c r="H119" s="34"/>
      <c r="I119" s="37"/>
    </row>
    <row r="120" ht="22.5" customHeight="1">
      <c r="A120" s="30"/>
      <c r="B120" s="31"/>
      <c r="C120" s="32"/>
      <c r="D120" s="33"/>
      <c r="E120" s="34"/>
      <c r="F120" s="34"/>
      <c r="G120" s="35"/>
      <c r="H120" s="34"/>
      <c r="I120" s="37"/>
    </row>
    <row r="121" ht="22.5" customHeight="1">
      <c r="A121" s="30"/>
      <c r="B121" s="31"/>
      <c r="C121" s="32"/>
      <c r="D121" s="33"/>
      <c r="E121" s="34"/>
      <c r="F121" s="34"/>
      <c r="G121" s="35"/>
      <c r="H121" s="34"/>
      <c r="I121" s="37"/>
    </row>
    <row r="122" ht="22.5" customHeight="1">
      <c r="A122" s="30"/>
      <c r="B122" s="31"/>
      <c r="C122" s="32"/>
      <c r="D122" s="33"/>
      <c r="E122" s="34"/>
      <c r="F122" s="34"/>
      <c r="G122" s="35"/>
      <c r="H122" s="34"/>
      <c r="I122" s="37"/>
    </row>
    <row r="123" ht="22.5" customHeight="1">
      <c r="A123" s="30"/>
      <c r="B123" s="39"/>
      <c r="C123" s="32"/>
      <c r="D123" s="33"/>
      <c r="E123" s="34"/>
      <c r="F123" s="34"/>
      <c r="G123" s="35"/>
      <c r="H123" s="34"/>
      <c r="I123" s="37"/>
    </row>
    <row r="124" ht="22.5" customHeight="1">
      <c r="A124" s="30"/>
      <c r="B124" s="39"/>
      <c r="C124" s="32"/>
      <c r="D124" s="33"/>
      <c r="E124" s="34"/>
      <c r="F124" s="34"/>
      <c r="G124" s="35"/>
      <c r="H124" s="34"/>
      <c r="I124" s="37"/>
    </row>
    <row r="125" ht="22.5" customHeight="1">
      <c r="A125" s="30"/>
      <c r="B125" s="39"/>
      <c r="C125" s="32"/>
      <c r="D125" s="33"/>
      <c r="E125" s="34"/>
      <c r="F125" s="34"/>
      <c r="G125" s="35"/>
      <c r="H125" s="34"/>
      <c r="I125" s="37"/>
    </row>
    <row r="126" ht="22.5" customHeight="1">
      <c r="A126" s="30"/>
      <c r="B126" s="40"/>
      <c r="C126" s="32"/>
      <c r="D126" s="33"/>
      <c r="E126" s="34"/>
      <c r="F126" s="34"/>
      <c r="G126" s="35"/>
      <c r="H126" s="34"/>
      <c r="I126" s="37"/>
    </row>
    <row r="127" ht="22.5" customHeight="1">
      <c r="A127" s="30"/>
      <c r="B127" s="31"/>
      <c r="C127" s="32"/>
      <c r="D127" s="33"/>
      <c r="E127" s="34"/>
      <c r="F127" s="34"/>
      <c r="G127" s="35"/>
      <c r="H127" s="34"/>
      <c r="I127" s="37"/>
    </row>
    <row r="128" ht="22.5" customHeight="1">
      <c r="A128" s="30"/>
      <c r="B128" s="31"/>
      <c r="C128" s="32"/>
      <c r="D128" s="33"/>
      <c r="E128" s="34"/>
      <c r="F128" s="34"/>
      <c r="G128" s="35"/>
      <c r="H128" s="34"/>
      <c r="I128" s="37"/>
    </row>
    <row r="129" ht="22.5" customHeight="1">
      <c r="A129" s="30"/>
      <c r="B129" s="31"/>
      <c r="C129" s="32"/>
      <c r="D129" s="33"/>
      <c r="E129" s="34"/>
      <c r="F129" s="34"/>
      <c r="G129" s="35"/>
      <c r="H129" s="34"/>
      <c r="I129" s="37"/>
    </row>
    <row r="130" ht="22.5" customHeight="1">
      <c r="A130" s="30"/>
      <c r="B130" s="31"/>
      <c r="C130" s="32"/>
      <c r="D130" s="33"/>
      <c r="E130" s="34"/>
      <c r="F130" s="34"/>
      <c r="G130" s="35"/>
      <c r="H130" s="34"/>
      <c r="I130" s="37"/>
    </row>
    <row r="131" ht="22.5" customHeight="1">
      <c r="A131" s="30"/>
      <c r="B131" s="31"/>
      <c r="C131" s="32"/>
      <c r="D131" s="33"/>
      <c r="E131" s="34"/>
      <c r="F131" s="34"/>
      <c r="G131" s="35"/>
      <c r="H131" s="34"/>
      <c r="I131" s="37"/>
    </row>
    <row r="132" ht="22.5" customHeight="1">
      <c r="A132" s="30"/>
      <c r="B132" s="31"/>
      <c r="C132" s="32"/>
      <c r="D132" s="33"/>
      <c r="E132" s="34"/>
      <c r="F132" s="34"/>
      <c r="G132" s="35"/>
      <c r="H132" s="34"/>
      <c r="I132" s="37"/>
    </row>
    <row r="133" ht="22.5" customHeight="1">
      <c r="A133" s="30"/>
      <c r="B133" s="31"/>
      <c r="C133" s="32"/>
      <c r="D133" s="33"/>
      <c r="E133" s="34"/>
      <c r="F133" s="34"/>
      <c r="G133" s="35"/>
      <c r="H133" s="34"/>
      <c r="I133" s="37"/>
    </row>
    <row r="134" ht="22.5" customHeight="1">
      <c r="A134" s="30"/>
      <c r="B134" s="31"/>
      <c r="C134" s="32"/>
      <c r="D134" s="33"/>
      <c r="E134" s="34"/>
      <c r="F134" s="34"/>
      <c r="G134" s="35"/>
      <c r="H134" s="34"/>
      <c r="I134" s="37"/>
    </row>
    <row r="135" ht="22.5" customHeight="1">
      <c r="A135" s="30"/>
      <c r="B135" s="31"/>
      <c r="C135" s="32"/>
      <c r="D135" s="33"/>
      <c r="E135" s="34"/>
      <c r="F135" s="34"/>
      <c r="G135" s="35"/>
      <c r="H135" s="34"/>
      <c r="I135" s="37"/>
    </row>
    <row r="136" ht="22.5" customHeight="1">
      <c r="A136" s="30"/>
      <c r="B136" s="40"/>
      <c r="C136" s="32"/>
      <c r="D136" s="33"/>
      <c r="E136" s="34"/>
      <c r="F136" s="34"/>
      <c r="G136" s="35"/>
      <c r="H136" s="34"/>
      <c r="I136" s="37"/>
    </row>
    <row r="137" ht="22.5" customHeight="1">
      <c r="A137" s="30"/>
      <c r="B137" s="31"/>
      <c r="C137" s="32"/>
      <c r="D137" s="33"/>
      <c r="E137" s="34"/>
      <c r="F137" s="34"/>
      <c r="G137" s="35"/>
      <c r="H137" s="34"/>
      <c r="I137" s="37"/>
    </row>
    <row r="138" ht="22.5" customHeight="1">
      <c r="A138" s="30"/>
      <c r="B138" s="31"/>
      <c r="C138" s="32"/>
      <c r="D138" s="33"/>
      <c r="E138" s="34"/>
      <c r="F138" s="34"/>
      <c r="G138" s="35"/>
      <c r="H138" s="34"/>
      <c r="I138" s="37"/>
    </row>
    <row r="139" ht="22.5" customHeight="1">
      <c r="A139" s="30"/>
      <c r="B139" s="31"/>
      <c r="C139" s="32"/>
      <c r="D139" s="33"/>
      <c r="E139" s="34"/>
      <c r="F139" s="34"/>
      <c r="G139" s="35"/>
      <c r="H139" s="34"/>
      <c r="I139" s="37"/>
    </row>
    <row r="140" ht="22.5" customHeight="1">
      <c r="A140" s="30"/>
      <c r="B140" s="40"/>
      <c r="C140" s="32"/>
      <c r="D140" s="33"/>
      <c r="E140" s="34"/>
      <c r="F140" s="34"/>
      <c r="G140" s="35"/>
      <c r="H140" s="34"/>
      <c r="I140" s="37"/>
    </row>
    <row r="141" ht="22.5" customHeight="1">
      <c r="A141" s="30"/>
      <c r="B141" s="31"/>
      <c r="C141" s="32"/>
      <c r="D141" s="33"/>
      <c r="E141" s="34"/>
      <c r="F141" s="34"/>
      <c r="G141" s="35"/>
      <c r="H141" s="34"/>
      <c r="I141" s="37"/>
    </row>
    <row r="142" ht="22.5" customHeight="1">
      <c r="A142" s="30"/>
      <c r="B142" s="31"/>
      <c r="C142" s="32"/>
      <c r="D142" s="33"/>
      <c r="E142" s="34"/>
      <c r="F142" s="34"/>
      <c r="G142" s="35"/>
      <c r="H142" s="34"/>
      <c r="I142" s="37"/>
    </row>
    <row r="143" ht="22.5" customHeight="1">
      <c r="A143" s="30"/>
      <c r="B143" s="31"/>
      <c r="C143" s="32"/>
      <c r="D143" s="33"/>
      <c r="E143" s="34"/>
      <c r="F143" s="34"/>
      <c r="G143" s="35"/>
      <c r="H143" s="34"/>
      <c r="I143" s="37"/>
    </row>
    <row r="144" ht="22.5" customHeight="1">
      <c r="A144" s="30"/>
      <c r="B144" s="31"/>
      <c r="C144" s="32"/>
      <c r="D144" s="33"/>
      <c r="E144" s="34"/>
      <c r="F144" s="34"/>
      <c r="G144" s="35"/>
      <c r="H144" s="34"/>
      <c r="I144" s="37"/>
    </row>
    <row r="145" ht="22.5" customHeight="1">
      <c r="A145" s="30"/>
      <c r="B145" s="31"/>
      <c r="C145" s="32"/>
      <c r="D145" s="33"/>
      <c r="E145" s="34"/>
      <c r="F145" s="34"/>
      <c r="G145" s="35"/>
      <c r="H145" s="34"/>
      <c r="I145" s="37"/>
    </row>
    <row r="146" ht="22.5" customHeight="1">
      <c r="A146" s="30"/>
      <c r="B146" s="31"/>
      <c r="C146" s="32"/>
      <c r="D146" s="33"/>
      <c r="E146" s="34"/>
      <c r="F146" s="34"/>
      <c r="G146" s="35"/>
      <c r="H146" s="34"/>
      <c r="I146" s="37"/>
    </row>
    <row r="147" ht="22.5" customHeight="1">
      <c r="A147" s="30"/>
      <c r="B147" s="31"/>
      <c r="C147" s="32"/>
      <c r="D147" s="33"/>
      <c r="E147" s="34"/>
      <c r="F147" s="34"/>
      <c r="G147" s="35"/>
      <c r="H147" s="34"/>
      <c r="I147" s="37"/>
    </row>
    <row r="148" ht="22.5" customHeight="1">
      <c r="A148" s="30"/>
      <c r="B148" s="31"/>
      <c r="C148" s="32"/>
      <c r="D148" s="33"/>
      <c r="E148" s="34"/>
      <c r="F148" s="34"/>
      <c r="G148" s="35"/>
      <c r="H148" s="34"/>
      <c r="I148" s="37"/>
    </row>
    <row r="149" ht="22.5" customHeight="1">
      <c r="A149" s="30"/>
      <c r="B149" s="31"/>
      <c r="C149" s="32"/>
      <c r="D149" s="33"/>
      <c r="E149" s="34"/>
      <c r="F149" s="34"/>
      <c r="G149" s="35"/>
      <c r="H149" s="34"/>
      <c r="I149" s="37"/>
    </row>
    <row r="150" ht="22.5" customHeight="1">
      <c r="A150" s="30"/>
      <c r="B150" s="31"/>
      <c r="C150" s="32"/>
      <c r="D150" s="33"/>
      <c r="E150" s="34"/>
      <c r="F150" s="34"/>
      <c r="G150" s="35"/>
      <c r="H150" s="34"/>
      <c r="I150" s="37"/>
    </row>
    <row r="151" ht="22.5" customHeight="1">
      <c r="A151" s="30"/>
      <c r="B151" s="31"/>
      <c r="C151" s="32"/>
      <c r="D151" s="33"/>
      <c r="E151" s="34"/>
      <c r="F151" s="34"/>
      <c r="G151" s="35"/>
      <c r="H151" s="34"/>
      <c r="I151" s="37"/>
    </row>
    <row r="152" ht="22.5" customHeight="1">
      <c r="A152" s="30"/>
      <c r="B152" s="31"/>
      <c r="C152" s="32"/>
      <c r="D152" s="33"/>
      <c r="E152" s="34"/>
      <c r="F152" s="34"/>
      <c r="G152" s="35"/>
      <c r="H152" s="34"/>
      <c r="I152" s="37"/>
    </row>
    <row r="153" ht="22.5" customHeight="1">
      <c r="A153" s="30"/>
      <c r="B153" s="31"/>
      <c r="C153" s="32"/>
      <c r="D153" s="33"/>
      <c r="E153" s="34"/>
      <c r="F153" s="34"/>
      <c r="G153" s="35"/>
      <c r="H153" s="34"/>
      <c r="I153" s="37"/>
    </row>
    <row r="154" ht="22.5" customHeight="1">
      <c r="A154" s="30"/>
      <c r="B154" s="31"/>
      <c r="C154" s="32"/>
      <c r="D154" s="33"/>
      <c r="E154" s="34"/>
      <c r="F154" s="34"/>
      <c r="G154" s="35"/>
      <c r="H154" s="34"/>
      <c r="I154" s="37"/>
    </row>
    <row r="155" ht="22.5" customHeight="1">
      <c r="A155" s="30"/>
      <c r="B155" s="40"/>
      <c r="C155" s="32"/>
      <c r="D155" s="33"/>
      <c r="E155" s="34"/>
      <c r="F155" s="34"/>
      <c r="G155" s="35"/>
      <c r="H155" s="34"/>
      <c r="I155" s="37"/>
    </row>
    <row r="156" ht="22.5" customHeight="1">
      <c r="A156" s="30"/>
      <c r="B156" s="31"/>
      <c r="C156" s="32"/>
      <c r="D156" s="33"/>
      <c r="E156" s="34"/>
      <c r="F156" s="34"/>
      <c r="G156" s="35"/>
      <c r="H156" s="34"/>
      <c r="I156" s="37"/>
    </row>
    <row r="157" ht="22.5" customHeight="1">
      <c r="A157" s="30"/>
      <c r="B157" s="40"/>
      <c r="C157" s="32"/>
      <c r="D157" s="33"/>
      <c r="E157" s="34"/>
      <c r="F157" s="34"/>
      <c r="G157" s="35"/>
      <c r="H157" s="34"/>
      <c r="I157" s="37"/>
    </row>
    <row r="158" ht="22.5" customHeight="1">
      <c r="A158" s="30"/>
      <c r="B158" s="31"/>
      <c r="C158" s="32"/>
      <c r="D158" s="33"/>
      <c r="E158" s="34"/>
      <c r="F158" s="34"/>
      <c r="G158" s="35"/>
      <c r="H158" s="34"/>
      <c r="I158" s="37"/>
    </row>
    <row r="159" ht="22.5" customHeight="1">
      <c r="A159" s="30"/>
      <c r="B159" s="31"/>
      <c r="C159" s="32"/>
      <c r="D159" s="33"/>
      <c r="E159" s="34"/>
      <c r="F159" s="34"/>
      <c r="G159" s="35"/>
      <c r="H159" s="34"/>
      <c r="I159" s="37"/>
    </row>
    <row r="160" ht="22.5" customHeight="1">
      <c r="A160" s="30"/>
      <c r="B160" s="31"/>
      <c r="C160" s="32"/>
      <c r="D160" s="33"/>
      <c r="E160" s="34"/>
      <c r="F160" s="34"/>
      <c r="G160" s="35"/>
      <c r="H160" s="34"/>
      <c r="I160" s="37"/>
    </row>
    <row r="161" ht="22.5" customHeight="1">
      <c r="A161" s="30"/>
      <c r="B161" s="31"/>
      <c r="C161" s="32"/>
      <c r="D161" s="33"/>
      <c r="E161" s="34"/>
      <c r="F161" s="34"/>
      <c r="G161" s="35"/>
      <c r="H161" s="34"/>
      <c r="I161" s="37"/>
    </row>
    <row r="162" ht="22.5" customHeight="1">
      <c r="A162" s="30"/>
      <c r="B162" s="40"/>
      <c r="C162" s="32"/>
      <c r="D162" s="33"/>
      <c r="E162" s="34"/>
      <c r="F162" s="34"/>
      <c r="G162" s="35"/>
      <c r="H162" s="34"/>
      <c r="I162" s="37"/>
    </row>
    <row r="163" ht="22.5" customHeight="1">
      <c r="A163" s="30"/>
      <c r="B163" s="31"/>
      <c r="C163" s="32"/>
      <c r="D163" s="33"/>
      <c r="E163" s="34"/>
      <c r="F163" s="34"/>
      <c r="G163" s="35"/>
      <c r="H163" s="34"/>
      <c r="I163" s="37"/>
    </row>
    <row r="164" ht="22.5" customHeight="1">
      <c r="A164" s="30"/>
      <c r="B164" s="31"/>
      <c r="C164" s="32"/>
      <c r="D164" s="33"/>
      <c r="E164" s="34"/>
      <c r="F164" s="34"/>
      <c r="G164" s="35"/>
      <c r="H164" s="34"/>
      <c r="I164" s="37"/>
    </row>
    <row r="165" ht="22.5" customHeight="1">
      <c r="A165" s="30"/>
      <c r="B165" s="31"/>
      <c r="C165" s="32"/>
      <c r="D165" s="33"/>
      <c r="E165" s="34"/>
      <c r="F165" s="34"/>
      <c r="G165" s="35"/>
      <c r="H165" s="34"/>
      <c r="I165" s="37"/>
    </row>
    <row r="166" ht="22.5" customHeight="1">
      <c r="A166" s="30"/>
      <c r="B166" s="31"/>
      <c r="C166" s="32"/>
      <c r="D166" s="33"/>
      <c r="E166" s="34"/>
      <c r="F166" s="34"/>
      <c r="G166" s="35"/>
      <c r="H166" s="34"/>
      <c r="I166" s="37"/>
    </row>
    <row r="167" ht="22.5" customHeight="1">
      <c r="A167" s="30"/>
      <c r="B167" s="31"/>
      <c r="C167" s="32"/>
      <c r="D167" s="33"/>
      <c r="E167" s="34"/>
      <c r="F167" s="34"/>
      <c r="G167" s="35"/>
      <c r="H167" s="34"/>
      <c r="I167" s="37"/>
    </row>
    <row r="168" ht="22.5" customHeight="1">
      <c r="A168" s="30"/>
      <c r="B168" s="31"/>
      <c r="C168" s="32"/>
      <c r="D168" s="33"/>
      <c r="E168" s="34"/>
      <c r="F168" s="34"/>
      <c r="G168" s="35"/>
      <c r="H168" s="34"/>
      <c r="I168" s="37"/>
    </row>
    <row r="169" ht="22.5" customHeight="1">
      <c r="A169" s="30"/>
      <c r="B169" s="31"/>
      <c r="C169" s="32"/>
      <c r="D169" s="33"/>
      <c r="E169" s="34"/>
      <c r="F169" s="34"/>
      <c r="G169" s="35"/>
      <c r="H169" s="34"/>
      <c r="I169" s="37"/>
    </row>
    <row r="170" ht="22.5" customHeight="1">
      <c r="A170" s="30"/>
      <c r="B170" s="31"/>
      <c r="C170" s="32"/>
      <c r="D170" s="33"/>
      <c r="E170" s="34"/>
      <c r="F170" s="34"/>
      <c r="G170" s="35"/>
      <c r="H170" s="34"/>
      <c r="I170" s="37"/>
    </row>
    <row r="171" ht="22.5" customHeight="1">
      <c r="A171" s="30"/>
      <c r="B171" s="31"/>
      <c r="C171" s="32"/>
      <c r="D171" s="33"/>
      <c r="E171" s="34"/>
      <c r="F171" s="34"/>
      <c r="G171" s="35"/>
      <c r="H171" s="34"/>
      <c r="I171" s="37"/>
    </row>
    <row r="172" ht="22.5" customHeight="1">
      <c r="A172" s="30"/>
      <c r="B172" s="31"/>
      <c r="C172" s="32"/>
      <c r="D172" s="33"/>
      <c r="E172" s="34"/>
      <c r="F172" s="34"/>
      <c r="G172" s="35"/>
      <c r="H172" s="34"/>
      <c r="I172" s="37"/>
    </row>
    <row r="173" ht="22.5" customHeight="1">
      <c r="A173" s="30"/>
      <c r="B173" s="31"/>
      <c r="C173" s="32"/>
      <c r="D173" s="33"/>
      <c r="E173" s="34"/>
      <c r="F173" s="34"/>
      <c r="G173" s="35"/>
      <c r="H173" s="34"/>
      <c r="I173" s="37"/>
    </row>
    <row r="174" ht="22.5" customHeight="1">
      <c r="A174" s="30"/>
      <c r="B174" s="31"/>
      <c r="C174" s="32"/>
      <c r="D174" s="33"/>
      <c r="E174" s="34"/>
      <c r="F174" s="34"/>
      <c r="G174" s="35"/>
      <c r="H174" s="34"/>
      <c r="I174" s="37"/>
    </row>
    <row r="175" ht="22.5" customHeight="1">
      <c r="A175" s="30"/>
      <c r="B175" s="31"/>
      <c r="C175" s="32"/>
      <c r="D175" s="33"/>
      <c r="E175" s="34"/>
      <c r="F175" s="34"/>
      <c r="G175" s="35"/>
      <c r="H175" s="34"/>
      <c r="I175" s="37"/>
    </row>
    <row r="176" ht="22.5" customHeight="1">
      <c r="A176" s="30"/>
      <c r="B176" s="31"/>
      <c r="C176" s="32"/>
      <c r="D176" s="33"/>
      <c r="E176" s="34"/>
      <c r="F176" s="34"/>
      <c r="G176" s="35"/>
      <c r="H176" s="34"/>
      <c r="I176" s="37"/>
    </row>
    <row r="177" ht="22.5" customHeight="1">
      <c r="A177" s="30"/>
      <c r="B177" s="31"/>
      <c r="C177" s="32"/>
      <c r="D177" s="33"/>
      <c r="E177" s="34"/>
      <c r="F177" s="34"/>
      <c r="G177" s="35"/>
      <c r="H177" s="34"/>
      <c r="I177" s="37"/>
    </row>
    <row r="178" ht="22.5" customHeight="1">
      <c r="A178" s="30"/>
      <c r="B178" s="31"/>
      <c r="C178" s="32"/>
      <c r="D178" s="33"/>
      <c r="E178" s="34"/>
      <c r="F178" s="34"/>
      <c r="G178" s="35"/>
      <c r="H178" s="34"/>
      <c r="I178" s="37"/>
    </row>
    <row r="179" ht="22.5" customHeight="1">
      <c r="A179" s="30"/>
      <c r="B179" s="31"/>
      <c r="C179" s="32"/>
      <c r="D179" s="33"/>
      <c r="E179" s="34"/>
      <c r="F179" s="34"/>
      <c r="G179" s="35"/>
      <c r="H179" s="34"/>
      <c r="I179" s="37"/>
    </row>
    <row r="180" ht="22.5" customHeight="1">
      <c r="A180" s="30"/>
      <c r="B180" s="31"/>
      <c r="C180" s="32"/>
      <c r="D180" s="33"/>
      <c r="E180" s="34"/>
      <c r="F180" s="34"/>
      <c r="G180" s="35"/>
      <c r="H180" s="34"/>
      <c r="I180" s="37"/>
    </row>
    <row r="181" ht="22.5" customHeight="1">
      <c r="A181" s="30"/>
      <c r="B181" s="31"/>
      <c r="C181" s="32"/>
      <c r="D181" s="33"/>
      <c r="E181" s="34"/>
      <c r="F181" s="34"/>
      <c r="G181" s="35"/>
      <c r="H181" s="34"/>
      <c r="I181" s="37"/>
    </row>
    <row r="182" ht="22.5" customHeight="1">
      <c r="A182" s="30"/>
      <c r="B182" s="31"/>
      <c r="C182" s="32"/>
      <c r="D182" s="33"/>
      <c r="E182" s="34"/>
      <c r="F182" s="34"/>
      <c r="G182" s="35"/>
      <c r="H182" s="34"/>
      <c r="I182" s="37"/>
    </row>
    <row r="183" ht="22.5" customHeight="1">
      <c r="A183" s="30"/>
      <c r="B183" s="31"/>
      <c r="C183" s="32"/>
      <c r="D183" s="33"/>
      <c r="E183" s="34"/>
      <c r="F183" s="34"/>
      <c r="G183" s="35"/>
      <c r="H183" s="34"/>
      <c r="I183" s="37"/>
    </row>
    <row r="184" ht="22.5" customHeight="1">
      <c r="A184" s="30"/>
      <c r="B184" s="40"/>
      <c r="C184" s="32"/>
      <c r="D184" s="33"/>
      <c r="E184" s="34"/>
      <c r="F184" s="34"/>
      <c r="G184" s="35"/>
      <c r="H184" s="34"/>
      <c r="I184" s="37"/>
    </row>
    <row r="185" ht="22.5" customHeight="1">
      <c r="A185" s="30"/>
      <c r="B185" s="31"/>
      <c r="C185" s="32"/>
      <c r="D185" s="33"/>
      <c r="E185" s="34"/>
      <c r="F185" s="34"/>
      <c r="G185" s="35"/>
      <c r="H185" s="34"/>
      <c r="I185" s="37"/>
    </row>
    <row r="186" ht="22.5" customHeight="1">
      <c r="A186" s="30"/>
      <c r="B186" s="31"/>
      <c r="C186" s="32"/>
      <c r="D186" s="33"/>
      <c r="E186" s="34"/>
      <c r="F186" s="34"/>
      <c r="G186" s="35"/>
      <c r="H186" s="34"/>
      <c r="I186" s="37"/>
    </row>
    <row r="187" ht="22.5" customHeight="1">
      <c r="A187" s="30"/>
      <c r="B187" s="31"/>
      <c r="C187" s="32"/>
      <c r="D187" s="33"/>
      <c r="E187" s="34"/>
      <c r="F187" s="34"/>
      <c r="G187" s="35"/>
      <c r="H187" s="34"/>
      <c r="I187" s="37"/>
    </row>
    <row r="188" ht="22.5" customHeight="1">
      <c r="A188" s="30"/>
      <c r="B188" s="31"/>
      <c r="C188" s="32"/>
      <c r="D188" s="33"/>
      <c r="E188" s="34"/>
      <c r="F188" s="34"/>
      <c r="G188" s="35"/>
      <c r="H188" s="34"/>
      <c r="I188" s="38"/>
    </row>
    <row r="189" ht="22.5" customHeight="1">
      <c r="A189" s="30"/>
      <c r="B189" s="39"/>
      <c r="C189" s="32"/>
      <c r="D189" s="33"/>
      <c r="E189" s="34"/>
      <c r="F189" s="34"/>
      <c r="G189" s="35"/>
      <c r="H189" s="34"/>
      <c r="I189" s="37"/>
    </row>
    <row r="190" ht="22.5" customHeight="1">
      <c r="A190" s="30"/>
      <c r="B190" s="31"/>
      <c r="C190" s="32"/>
      <c r="D190" s="33"/>
      <c r="E190" s="34"/>
      <c r="F190" s="34"/>
      <c r="G190" s="35"/>
      <c r="H190" s="34"/>
      <c r="I190" s="37"/>
    </row>
    <row r="191" ht="22.5" customHeight="1">
      <c r="A191" s="30"/>
      <c r="B191" s="31"/>
      <c r="C191" s="32"/>
      <c r="D191" s="33"/>
      <c r="E191" s="34"/>
      <c r="F191" s="34"/>
      <c r="G191" s="35"/>
      <c r="H191" s="34"/>
      <c r="I191" s="37"/>
    </row>
    <row r="192" ht="22.5" customHeight="1">
      <c r="A192" s="30"/>
      <c r="B192" s="31"/>
      <c r="C192" s="32"/>
      <c r="D192" s="33"/>
      <c r="E192" s="34"/>
      <c r="F192" s="34"/>
      <c r="G192" s="35"/>
      <c r="H192" s="34"/>
      <c r="I192" s="37"/>
    </row>
    <row r="193" ht="22.5" customHeight="1">
      <c r="A193" s="30"/>
      <c r="B193" s="39"/>
      <c r="C193" s="32"/>
      <c r="D193" s="33"/>
      <c r="E193" s="34"/>
      <c r="F193" s="34"/>
      <c r="G193" s="35"/>
      <c r="H193" s="34"/>
      <c r="I193" s="37"/>
    </row>
    <row r="194" ht="22.5" customHeight="1">
      <c r="A194" s="30"/>
      <c r="B194" s="31"/>
      <c r="C194" s="32"/>
      <c r="D194" s="33"/>
      <c r="E194" s="34"/>
      <c r="F194" s="34"/>
      <c r="G194" s="35"/>
      <c r="H194" s="34"/>
      <c r="I194" s="37"/>
    </row>
    <row r="195" ht="22.5" customHeight="1">
      <c r="A195" s="30"/>
      <c r="B195" s="39"/>
      <c r="C195" s="32"/>
      <c r="D195" s="33"/>
      <c r="E195" s="34"/>
      <c r="F195" s="34"/>
      <c r="G195" s="35"/>
      <c r="H195" s="34"/>
      <c r="I195" s="37"/>
    </row>
    <row r="196" ht="22.5" customHeight="1">
      <c r="A196" s="30"/>
      <c r="B196" s="31"/>
      <c r="C196" s="32"/>
      <c r="D196" s="33"/>
      <c r="E196" s="34"/>
      <c r="F196" s="34"/>
      <c r="G196" s="35"/>
      <c r="H196" s="34"/>
      <c r="I196" s="37"/>
    </row>
    <row r="197" ht="22.5" customHeight="1">
      <c r="A197" s="30"/>
      <c r="B197" s="31"/>
      <c r="C197" s="32"/>
      <c r="D197" s="33"/>
      <c r="E197" s="34"/>
      <c r="F197" s="34"/>
      <c r="G197" s="35"/>
      <c r="H197" s="34"/>
      <c r="I197" s="37"/>
    </row>
    <row r="198" ht="22.5" customHeight="1">
      <c r="A198" s="30"/>
      <c r="B198" s="31"/>
      <c r="C198" s="32"/>
      <c r="D198" s="33"/>
      <c r="E198" s="34"/>
      <c r="F198" s="34"/>
      <c r="G198" s="35"/>
      <c r="H198" s="34"/>
      <c r="I198" s="37"/>
    </row>
    <row r="199" ht="22.5" customHeight="1">
      <c r="A199" s="30"/>
      <c r="B199" s="31"/>
      <c r="C199" s="32"/>
      <c r="D199" s="33"/>
      <c r="E199" s="34"/>
      <c r="F199" s="34"/>
      <c r="G199" s="35"/>
      <c r="H199" s="34"/>
      <c r="I199" s="37"/>
    </row>
    <row r="200" ht="22.5" customHeight="1">
      <c r="A200" s="30"/>
      <c r="B200" s="31"/>
      <c r="C200" s="32"/>
      <c r="D200" s="33"/>
      <c r="E200" s="34"/>
      <c r="F200" s="34"/>
      <c r="G200" s="35"/>
      <c r="H200" s="34"/>
      <c r="I200" s="37"/>
    </row>
    <row r="201" ht="22.5" customHeight="1">
      <c r="A201" s="30"/>
      <c r="B201" s="31"/>
      <c r="C201" s="32"/>
      <c r="D201" s="33"/>
      <c r="E201" s="34"/>
      <c r="F201" s="34"/>
      <c r="G201" s="35"/>
      <c r="H201" s="34"/>
      <c r="I201" s="37"/>
    </row>
    <row r="202" ht="22.5" customHeight="1">
      <c r="A202" s="30"/>
      <c r="B202" s="31"/>
      <c r="C202" s="32"/>
      <c r="D202" s="33"/>
      <c r="E202" s="34"/>
      <c r="F202" s="34"/>
      <c r="G202" s="35"/>
      <c r="H202" s="34"/>
      <c r="I202" s="37"/>
    </row>
    <row r="203" ht="22.5" customHeight="1">
      <c r="A203" s="30"/>
      <c r="B203" s="31"/>
      <c r="C203" s="32"/>
      <c r="D203" s="33"/>
      <c r="E203" s="34"/>
      <c r="F203" s="34"/>
      <c r="G203" s="35"/>
      <c r="H203" s="34"/>
      <c r="I203" s="37"/>
    </row>
    <row r="204" ht="22.5" customHeight="1">
      <c r="A204" s="30"/>
      <c r="B204" s="31"/>
      <c r="C204" s="32"/>
      <c r="D204" s="33"/>
      <c r="E204" s="34"/>
      <c r="F204" s="34"/>
      <c r="G204" s="35"/>
      <c r="H204" s="34"/>
      <c r="I204" s="37"/>
    </row>
    <row r="205" ht="22.5" customHeight="1">
      <c r="A205" s="30"/>
      <c r="B205" s="31"/>
      <c r="C205" s="32"/>
      <c r="D205" s="33"/>
      <c r="E205" s="34"/>
      <c r="F205" s="34"/>
      <c r="G205" s="35"/>
      <c r="H205" s="34"/>
      <c r="I205" s="37"/>
    </row>
    <row r="206" ht="22.5" customHeight="1">
      <c r="A206" s="30"/>
      <c r="B206" s="40"/>
      <c r="C206" s="32"/>
      <c r="D206" s="33"/>
      <c r="E206" s="34"/>
      <c r="F206" s="34"/>
      <c r="G206" s="35"/>
      <c r="H206" s="34"/>
      <c r="I206" s="37"/>
    </row>
    <row r="207" ht="22.5" customHeight="1">
      <c r="A207" s="30"/>
      <c r="B207" s="31"/>
      <c r="C207" s="32"/>
      <c r="D207" s="33"/>
      <c r="E207" s="34"/>
      <c r="F207" s="34"/>
      <c r="G207" s="35"/>
      <c r="H207" s="34"/>
      <c r="I207" s="37"/>
    </row>
    <row r="208" ht="22.5" customHeight="1">
      <c r="A208" s="30"/>
      <c r="B208" s="31"/>
      <c r="C208" s="32"/>
      <c r="D208" s="33"/>
      <c r="E208" s="34"/>
      <c r="F208" s="34"/>
      <c r="G208" s="35"/>
      <c r="H208" s="34"/>
      <c r="I208" s="37"/>
    </row>
    <row r="209" ht="22.5" customHeight="1">
      <c r="A209" s="30"/>
      <c r="B209" s="31"/>
      <c r="C209" s="32"/>
      <c r="D209" s="33"/>
      <c r="E209" s="34"/>
      <c r="F209" s="34"/>
      <c r="G209" s="35"/>
      <c r="H209" s="34"/>
      <c r="I209" s="37"/>
    </row>
    <row r="210" ht="22.5" customHeight="1">
      <c r="A210" s="30"/>
      <c r="B210" s="31"/>
      <c r="C210" s="32"/>
      <c r="D210" s="33"/>
      <c r="E210" s="34"/>
      <c r="F210" s="34"/>
      <c r="G210" s="35"/>
      <c r="H210" s="34"/>
      <c r="I210" s="37"/>
    </row>
    <row r="211" ht="22.5" customHeight="1">
      <c r="A211" s="30"/>
      <c r="B211" s="31"/>
      <c r="C211" s="32"/>
      <c r="D211" s="33"/>
      <c r="E211" s="34"/>
      <c r="F211" s="34"/>
      <c r="G211" s="35"/>
      <c r="H211" s="34"/>
      <c r="I211" s="37"/>
    </row>
    <row r="212" ht="22.5" customHeight="1">
      <c r="A212" s="30"/>
      <c r="B212" s="31"/>
      <c r="C212" s="32"/>
      <c r="D212" s="33"/>
      <c r="E212" s="34"/>
      <c r="F212" s="34"/>
      <c r="G212" s="35"/>
      <c r="H212" s="34"/>
      <c r="I212" s="37"/>
    </row>
    <row r="213" ht="22.5" customHeight="1">
      <c r="A213" s="30"/>
      <c r="B213" s="39"/>
      <c r="C213" s="32"/>
      <c r="D213" s="33"/>
      <c r="E213" s="34"/>
      <c r="F213" s="34"/>
      <c r="G213" s="35"/>
      <c r="H213" s="34"/>
      <c r="I213" s="37"/>
    </row>
    <row r="214" ht="22.5" customHeight="1">
      <c r="A214" s="30"/>
      <c r="B214" s="39"/>
      <c r="C214" s="32"/>
      <c r="D214" s="33"/>
      <c r="E214" s="34"/>
      <c r="F214" s="34"/>
      <c r="G214" s="35"/>
      <c r="H214" s="34"/>
      <c r="I214" s="37"/>
    </row>
    <row r="215" ht="22.5" customHeight="1">
      <c r="A215" s="30"/>
      <c r="B215" s="39"/>
      <c r="C215" s="32"/>
      <c r="D215" s="33"/>
      <c r="E215" s="34"/>
      <c r="F215" s="34"/>
      <c r="G215" s="35"/>
      <c r="H215" s="34"/>
      <c r="I215" s="37"/>
    </row>
    <row r="216" ht="22.5" customHeight="1">
      <c r="A216" s="30"/>
      <c r="B216" s="40"/>
      <c r="C216" s="32"/>
      <c r="D216" s="33"/>
      <c r="E216" s="34"/>
      <c r="F216" s="34"/>
      <c r="G216" s="35"/>
      <c r="H216" s="34"/>
      <c r="I216" s="37"/>
    </row>
    <row r="217" ht="22.5" customHeight="1">
      <c r="A217" s="30"/>
      <c r="B217" s="31"/>
      <c r="C217" s="32"/>
      <c r="D217" s="33"/>
      <c r="E217" s="34"/>
      <c r="F217" s="34"/>
      <c r="G217" s="35"/>
      <c r="H217" s="34"/>
      <c r="I217" s="37"/>
    </row>
    <row r="218" ht="22.5" customHeight="1">
      <c r="A218" s="30"/>
      <c r="B218" s="31"/>
      <c r="C218" s="32"/>
      <c r="D218" s="33"/>
      <c r="E218" s="34"/>
      <c r="F218" s="34"/>
      <c r="G218" s="35"/>
      <c r="H218" s="34"/>
      <c r="I218" s="37"/>
    </row>
    <row r="219" ht="22.5" customHeight="1">
      <c r="A219" s="30"/>
      <c r="B219" s="31"/>
      <c r="C219" s="32"/>
      <c r="D219" s="33"/>
      <c r="E219" s="34"/>
      <c r="F219" s="34"/>
      <c r="G219" s="35"/>
      <c r="H219" s="34"/>
      <c r="I219" s="37"/>
    </row>
    <row r="220" ht="22.5" customHeight="1">
      <c r="A220" s="30"/>
      <c r="B220" s="31"/>
      <c r="C220" s="32"/>
      <c r="D220" s="33"/>
      <c r="E220" s="34"/>
      <c r="F220" s="34"/>
      <c r="G220" s="35"/>
      <c r="H220" s="34"/>
      <c r="I220" s="37"/>
    </row>
    <row r="221" ht="22.5" customHeight="1">
      <c r="A221" s="30"/>
      <c r="B221" s="31"/>
      <c r="C221" s="32"/>
      <c r="D221" s="33"/>
      <c r="E221" s="34"/>
      <c r="F221" s="34"/>
      <c r="G221" s="35"/>
      <c r="H221" s="34"/>
      <c r="I221" s="37"/>
    </row>
    <row r="222" ht="22.5" customHeight="1">
      <c r="A222" s="30"/>
      <c r="B222" s="31"/>
      <c r="C222" s="32"/>
      <c r="D222" s="33"/>
      <c r="E222" s="34"/>
      <c r="F222" s="34"/>
      <c r="G222" s="35"/>
      <c r="H222" s="34"/>
      <c r="I222" s="37"/>
    </row>
    <row r="223" ht="22.5" customHeight="1">
      <c r="A223" s="30"/>
      <c r="B223" s="31"/>
      <c r="C223" s="32"/>
      <c r="D223" s="33"/>
      <c r="E223" s="34"/>
      <c r="F223" s="34"/>
      <c r="G223" s="35"/>
      <c r="H223" s="34"/>
      <c r="I223" s="37"/>
    </row>
    <row r="224" ht="22.5" customHeight="1">
      <c r="A224" s="30"/>
      <c r="B224" s="31"/>
      <c r="C224" s="32"/>
      <c r="D224" s="33"/>
      <c r="E224" s="34"/>
      <c r="F224" s="34"/>
      <c r="G224" s="35"/>
      <c r="H224" s="34"/>
      <c r="I224" s="37"/>
    </row>
    <row r="225" ht="22.5" customHeight="1">
      <c r="A225" s="30"/>
      <c r="B225" s="31"/>
      <c r="C225" s="32"/>
      <c r="D225" s="33"/>
      <c r="E225" s="34"/>
      <c r="F225" s="34"/>
      <c r="G225" s="35"/>
      <c r="H225" s="34"/>
      <c r="I225" s="37"/>
    </row>
    <row r="226" ht="22.5" customHeight="1">
      <c r="A226" s="30"/>
      <c r="B226" s="40"/>
      <c r="C226" s="32"/>
      <c r="D226" s="33"/>
      <c r="E226" s="34"/>
      <c r="F226" s="34"/>
      <c r="G226" s="35"/>
      <c r="H226" s="34"/>
      <c r="I226" s="37"/>
    </row>
    <row r="227" ht="22.5" customHeight="1">
      <c r="A227" s="30"/>
      <c r="B227" s="31"/>
      <c r="C227" s="32"/>
      <c r="D227" s="33"/>
      <c r="E227" s="34"/>
      <c r="F227" s="34"/>
      <c r="G227" s="35"/>
      <c r="H227" s="34"/>
      <c r="I227" s="37"/>
    </row>
    <row r="228" ht="22.5" customHeight="1">
      <c r="A228" s="30"/>
      <c r="B228" s="31"/>
      <c r="C228" s="32"/>
      <c r="D228" s="33"/>
      <c r="E228" s="34"/>
      <c r="F228" s="34"/>
      <c r="G228" s="35"/>
      <c r="H228" s="34"/>
      <c r="I228" s="37"/>
    </row>
    <row r="229" ht="22.5" customHeight="1">
      <c r="A229" s="30"/>
      <c r="B229" s="31"/>
      <c r="C229" s="32"/>
      <c r="D229" s="33"/>
      <c r="E229" s="34"/>
      <c r="F229" s="34"/>
      <c r="G229" s="35"/>
      <c r="H229" s="34"/>
      <c r="I229" s="37"/>
    </row>
    <row r="230" ht="22.5" customHeight="1">
      <c r="A230" s="30"/>
      <c r="B230" s="40"/>
      <c r="C230" s="32"/>
      <c r="D230" s="33"/>
      <c r="E230" s="34"/>
      <c r="F230" s="34"/>
      <c r="G230" s="35"/>
      <c r="H230" s="34"/>
      <c r="I230" s="37"/>
    </row>
    <row r="231" ht="22.5" customHeight="1">
      <c r="A231" s="30"/>
      <c r="B231" s="31"/>
      <c r="C231" s="32"/>
      <c r="D231" s="33"/>
      <c r="E231" s="34"/>
      <c r="F231" s="34"/>
      <c r="G231" s="35"/>
      <c r="H231" s="34"/>
      <c r="I231" s="37"/>
    </row>
    <row r="232" ht="22.5" customHeight="1">
      <c r="A232" s="30"/>
      <c r="B232" s="31"/>
      <c r="C232" s="32"/>
      <c r="D232" s="33"/>
      <c r="E232" s="34"/>
      <c r="F232" s="34"/>
      <c r="G232" s="35"/>
      <c r="H232" s="34"/>
      <c r="I232" s="37"/>
    </row>
    <row r="233" ht="22.5" customHeight="1">
      <c r="A233" s="30"/>
      <c r="B233" s="31"/>
      <c r="C233" s="32"/>
      <c r="D233" s="33"/>
      <c r="E233" s="34"/>
      <c r="F233" s="34"/>
      <c r="G233" s="35"/>
      <c r="H233" s="34"/>
      <c r="I233" s="37"/>
    </row>
    <row r="234" ht="22.5" customHeight="1">
      <c r="A234" s="30"/>
      <c r="B234" s="31"/>
      <c r="C234" s="32"/>
      <c r="D234" s="33"/>
      <c r="E234" s="34"/>
      <c r="F234" s="34"/>
      <c r="G234" s="35"/>
      <c r="H234" s="34"/>
      <c r="I234" s="37"/>
    </row>
    <row r="235" ht="22.5" customHeight="1">
      <c r="A235" s="30"/>
      <c r="B235" s="31"/>
      <c r="C235" s="32"/>
      <c r="D235" s="33"/>
      <c r="E235" s="34"/>
      <c r="F235" s="34"/>
      <c r="G235" s="35"/>
      <c r="H235" s="34"/>
      <c r="I235" s="37"/>
    </row>
    <row r="236" ht="22.5" customHeight="1">
      <c r="A236" s="30"/>
      <c r="B236" s="31"/>
      <c r="C236" s="32"/>
      <c r="D236" s="33"/>
      <c r="E236" s="34"/>
      <c r="F236" s="34"/>
      <c r="G236" s="35"/>
      <c r="H236" s="34"/>
      <c r="I236" s="37"/>
    </row>
    <row r="237" ht="22.5" customHeight="1">
      <c r="A237" s="30"/>
      <c r="B237" s="31"/>
      <c r="C237" s="32"/>
      <c r="D237" s="33"/>
      <c r="E237" s="34"/>
      <c r="F237" s="34"/>
      <c r="G237" s="35"/>
      <c r="H237" s="34"/>
      <c r="I237" s="37"/>
    </row>
    <row r="238" ht="22.5" customHeight="1">
      <c r="A238" s="30"/>
      <c r="B238" s="31"/>
      <c r="C238" s="32"/>
      <c r="D238" s="33"/>
      <c r="E238" s="34"/>
      <c r="F238" s="34"/>
      <c r="G238" s="35"/>
      <c r="H238" s="34"/>
      <c r="I238" s="37"/>
    </row>
    <row r="239" ht="22.5" customHeight="1">
      <c r="A239" s="30"/>
      <c r="B239" s="31"/>
      <c r="C239" s="32"/>
      <c r="D239" s="33"/>
      <c r="E239" s="34"/>
      <c r="F239" s="34"/>
      <c r="G239" s="35"/>
      <c r="H239" s="34"/>
      <c r="I239" s="37"/>
    </row>
    <row r="240" ht="22.5" customHeight="1">
      <c r="A240" s="30"/>
      <c r="B240" s="31"/>
      <c r="C240" s="32"/>
      <c r="D240" s="33"/>
      <c r="E240" s="34"/>
      <c r="F240" s="34"/>
      <c r="G240" s="35"/>
      <c r="H240" s="34"/>
      <c r="I240" s="37"/>
    </row>
    <row r="241" ht="22.5" customHeight="1">
      <c r="A241" s="30"/>
      <c r="B241" s="31"/>
      <c r="C241" s="32"/>
      <c r="D241" s="33"/>
      <c r="E241" s="34"/>
      <c r="F241" s="34"/>
      <c r="G241" s="35"/>
      <c r="H241" s="34"/>
      <c r="I241" s="37"/>
    </row>
    <row r="242" ht="22.5" customHeight="1">
      <c r="A242" s="30"/>
      <c r="B242" s="31"/>
      <c r="C242" s="32"/>
      <c r="D242" s="33"/>
      <c r="E242" s="34"/>
      <c r="F242" s="34"/>
      <c r="G242" s="35"/>
      <c r="H242" s="34"/>
      <c r="I242" s="37"/>
    </row>
    <row r="243" ht="22.5" customHeight="1">
      <c r="A243" s="30"/>
      <c r="B243" s="31"/>
      <c r="C243" s="32"/>
      <c r="D243" s="33"/>
      <c r="E243" s="34"/>
      <c r="F243" s="34"/>
      <c r="G243" s="35"/>
      <c r="H243" s="34"/>
      <c r="I243" s="37"/>
    </row>
    <row r="244" ht="22.5" customHeight="1">
      <c r="A244" s="30"/>
      <c r="B244" s="31"/>
      <c r="C244" s="32"/>
      <c r="D244" s="33"/>
      <c r="E244" s="34"/>
      <c r="F244" s="34"/>
      <c r="G244" s="35"/>
      <c r="H244" s="34"/>
      <c r="I244" s="37"/>
    </row>
    <row r="245" ht="22.5" customHeight="1">
      <c r="A245" s="30"/>
      <c r="B245" s="40"/>
      <c r="C245" s="32"/>
      <c r="D245" s="33"/>
      <c r="E245" s="34"/>
      <c r="F245" s="34"/>
      <c r="G245" s="35"/>
      <c r="H245" s="34"/>
      <c r="I245" s="37"/>
    </row>
    <row r="246" ht="22.5" customHeight="1">
      <c r="A246" s="30"/>
      <c r="B246" s="31"/>
      <c r="C246" s="32"/>
      <c r="D246" s="33"/>
      <c r="E246" s="34"/>
      <c r="F246" s="34"/>
      <c r="G246" s="35"/>
      <c r="H246" s="34"/>
      <c r="I246" s="37"/>
    </row>
    <row r="247" ht="22.5" customHeight="1">
      <c r="A247" s="30"/>
      <c r="B247" s="40"/>
      <c r="C247" s="32"/>
      <c r="D247" s="33"/>
      <c r="E247" s="34"/>
      <c r="F247" s="34"/>
      <c r="G247" s="35"/>
      <c r="H247" s="34"/>
      <c r="I247" s="37"/>
    </row>
    <row r="248" ht="22.5" customHeight="1">
      <c r="A248" s="30"/>
      <c r="B248" s="31"/>
      <c r="C248" s="32"/>
      <c r="D248" s="33"/>
      <c r="E248" s="34"/>
      <c r="F248" s="34"/>
      <c r="G248" s="35"/>
      <c r="H248" s="34"/>
      <c r="I248" s="37"/>
    </row>
    <row r="249" ht="22.5" customHeight="1">
      <c r="A249" s="30"/>
      <c r="B249" s="31"/>
      <c r="C249" s="32"/>
      <c r="D249" s="33"/>
      <c r="E249" s="34"/>
      <c r="F249" s="34"/>
      <c r="G249" s="35"/>
      <c r="H249" s="34"/>
      <c r="I249" s="37"/>
    </row>
    <row r="250" ht="22.5" customHeight="1">
      <c r="A250" s="30"/>
      <c r="B250" s="31"/>
      <c r="C250" s="32"/>
      <c r="D250" s="33"/>
      <c r="E250" s="34"/>
      <c r="F250" s="34"/>
      <c r="G250" s="35"/>
      <c r="H250" s="34"/>
      <c r="I250" s="37"/>
    </row>
    <row r="251" ht="22.5" customHeight="1">
      <c r="A251" s="30"/>
      <c r="B251" s="31"/>
      <c r="C251" s="32"/>
      <c r="D251" s="33"/>
      <c r="E251" s="34"/>
      <c r="F251" s="34"/>
      <c r="G251" s="35"/>
      <c r="H251" s="34"/>
      <c r="I251" s="37"/>
    </row>
    <row r="252" ht="22.5" customHeight="1">
      <c r="A252" s="30"/>
      <c r="B252" s="40"/>
      <c r="C252" s="32"/>
      <c r="D252" s="33"/>
      <c r="E252" s="34"/>
      <c r="F252" s="34"/>
      <c r="G252" s="35"/>
      <c r="H252" s="34"/>
      <c r="I252" s="37"/>
    </row>
    <row r="253" ht="22.5" customHeight="1">
      <c r="A253" s="30"/>
      <c r="B253" s="31"/>
      <c r="C253" s="32"/>
      <c r="D253" s="33"/>
      <c r="E253" s="34"/>
      <c r="F253" s="34"/>
      <c r="G253" s="35"/>
      <c r="H253" s="34"/>
      <c r="I253" s="37"/>
    </row>
    <row r="254" ht="22.5" customHeight="1">
      <c r="A254" s="30"/>
      <c r="B254" s="31"/>
      <c r="C254" s="32"/>
      <c r="D254" s="33"/>
      <c r="E254" s="34"/>
      <c r="F254" s="34"/>
      <c r="G254" s="35"/>
      <c r="H254" s="34"/>
      <c r="I254" s="37"/>
    </row>
    <row r="255" ht="22.5" customHeight="1">
      <c r="A255" s="30"/>
      <c r="B255" s="31"/>
      <c r="C255" s="32"/>
      <c r="D255" s="33"/>
      <c r="E255" s="34"/>
      <c r="F255" s="34"/>
      <c r="G255" s="35"/>
      <c r="H255" s="34"/>
      <c r="I255" s="37"/>
    </row>
    <row r="256" ht="22.5" customHeight="1">
      <c r="A256" s="30"/>
      <c r="B256" s="31"/>
      <c r="C256" s="32"/>
      <c r="D256" s="33"/>
      <c r="E256" s="34"/>
      <c r="F256" s="34"/>
      <c r="G256" s="35"/>
      <c r="H256" s="34"/>
      <c r="I256" s="37"/>
    </row>
    <row r="257" ht="22.5" customHeight="1">
      <c r="A257" s="30"/>
      <c r="B257" s="31"/>
      <c r="C257" s="32"/>
      <c r="D257" s="33"/>
      <c r="E257" s="34"/>
      <c r="F257" s="34"/>
      <c r="G257" s="35"/>
      <c r="H257" s="34"/>
      <c r="I257" s="37"/>
    </row>
    <row r="258" ht="22.5" customHeight="1">
      <c r="A258" s="30"/>
      <c r="B258" s="31"/>
      <c r="C258" s="32"/>
      <c r="D258" s="33"/>
      <c r="E258" s="34"/>
      <c r="F258" s="34"/>
      <c r="G258" s="35"/>
      <c r="H258" s="34"/>
      <c r="I258" s="37"/>
    </row>
    <row r="259" ht="22.5" customHeight="1">
      <c r="A259" s="30"/>
      <c r="B259" s="31"/>
      <c r="C259" s="32"/>
      <c r="D259" s="33"/>
      <c r="E259" s="34"/>
      <c r="F259" s="34"/>
      <c r="G259" s="35"/>
      <c r="H259" s="34"/>
      <c r="I259" s="37"/>
    </row>
    <row r="260" ht="22.5" customHeight="1">
      <c r="A260" s="30"/>
      <c r="B260" s="31"/>
      <c r="C260" s="32"/>
      <c r="D260" s="33"/>
      <c r="E260" s="34"/>
      <c r="F260" s="34"/>
      <c r="G260" s="35"/>
      <c r="H260" s="34"/>
      <c r="I260" s="37"/>
    </row>
    <row r="261" ht="22.5" customHeight="1">
      <c r="A261" s="30"/>
      <c r="B261" s="31"/>
      <c r="C261" s="32"/>
      <c r="D261" s="33"/>
      <c r="E261" s="34"/>
      <c r="F261" s="34"/>
      <c r="G261" s="35"/>
      <c r="H261" s="34"/>
      <c r="I261" s="37"/>
    </row>
    <row r="262" ht="22.5" customHeight="1">
      <c r="A262" s="30"/>
      <c r="B262" s="31"/>
      <c r="C262" s="32"/>
      <c r="D262" s="33"/>
      <c r="E262" s="34"/>
      <c r="F262" s="34"/>
      <c r="G262" s="35"/>
      <c r="H262" s="34"/>
      <c r="I262" s="37"/>
    </row>
    <row r="263" ht="22.5" customHeight="1">
      <c r="A263" s="30"/>
      <c r="B263" s="31"/>
      <c r="C263" s="32"/>
      <c r="D263" s="33"/>
      <c r="E263" s="34"/>
      <c r="F263" s="34"/>
      <c r="G263" s="35"/>
      <c r="H263" s="34"/>
      <c r="I263" s="37"/>
    </row>
    <row r="264" ht="22.5" customHeight="1">
      <c r="A264" s="30"/>
      <c r="B264" s="31"/>
      <c r="C264" s="32"/>
      <c r="D264" s="33"/>
      <c r="E264" s="34"/>
      <c r="F264" s="34"/>
      <c r="G264" s="35"/>
      <c r="H264" s="34"/>
      <c r="I264" s="37"/>
    </row>
    <row r="265" ht="22.5" customHeight="1">
      <c r="A265" s="30"/>
      <c r="B265" s="31"/>
      <c r="C265" s="32"/>
      <c r="D265" s="33"/>
      <c r="E265" s="34"/>
      <c r="F265" s="34"/>
      <c r="G265" s="35"/>
      <c r="H265" s="34"/>
      <c r="I265" s="37"/>
    </row>
    <row r="266" ht="22.5" customHeight="1">
      <c r="A266" s="30"/>
      <c r="B266" s="31"/>
      <c r="C266" s="32"/>
      <c r="D266" s="33"/>
      <c r="E266" s="34"/>
      <c r="F266" s="34"/>
      <c r="G266" s="35"/>
      <c r="H266" s="34"/>
      <c r="I266" s="37"/>
    </row>
    <row r="267" ht="22.5" customHeight="1">
      <c r="A267" s="30"/>
      <c r="B267" s="31"/>
      <c r="C267" s="32"/>
      <c r="D267" s="33"/>
      <c r="E267" s="34"/>
      <c r="F267" s="34"/>
      <c r="G267" s="35"/>
      <c r="H267" s="34"/>
      <c r="I267" s="37"/>
    </row>
    <row r="268" ht="22.5" customHeight="1">
      <c r="A268" s="30"/>
      <c r="B268" s="31"/>
      <c r="C268" s="32"/>
      <c r="D268" s="33"/>
      <c r="E268" s="34"/>
      <c r="F268" s="34"/>
      <c r="G268" s="35"/>
      <c r="H268" s="34"/>
      <c r="I268" s="37"/>
    </row>
    <row r="269" ht="22.5" customHeight="1">
      <c r="A269" s="30"/>
      <c r="B269" s="31"/>
      <c r="C269" s="32"/>
      <c r="D269" s="33"/>
      <c r="E269" s="34"/>
      <c r="F269" s="34"/>
      <c r="G269" s="35"/>
      <c r="H269" s="34"/>
      <c r="I269" s="37"/>
    </row>
    <row r="270" ht="22.5" customHeight="1">
      <c r="A270" s="30"/>
      <c r="B270" s="31"/>
      <c r="C270" s="32"/>
      <c r="D270" s="33"/>
      <c r="E270" s="34"/>
      <c r="F270" s="34"/>
      <c r="G270" s="35"/>
      <c r="H270" s="34"/>
      <c r="I270" s="37"/>
    </row>
    <row r="271" ht="22.5" customHeight="1">
      <c r="A271" s="30"/>
      <c r="B271" s="31"/>
      <c r="C271" s="32"/>
      <c r="D271" s="33"/>
      <c r="E271" s="34"/>
      <c r="F271" s="34"/>
      <c r="G271" s="35"/>
      <c r="H271" s="34"/>
      <c r="I271" s="37"/>
    </row>
    <row r="272" ht="22.5" customHeight="1">
      <c r="A272" s="30"/>
      <c r="B272" s="31"/>
      <c r="C272" s="32"/>
      <c r="D272" s="33"/>
      <c r="E272" s="34"/>
      <c r="F272" s="34"/>
      <c r="G272" s="35"/>
      <c r="H272" s="34"/>
      <c r="I272" s="37"/>
    </row>
    <row r="273" ht="22.5" customHeight="1">
      <c r="A273" s="30"/>
      <c r="B273" s="31"/>
      <c r="C273" s="32"/>
      <c r="D273" s="33"/>
      <c r="E273" s="34"/>
      <c r="F273" s="34"/>
      <c r="G273" s="35"/>
      <c r="H273" s="34"/>
      <c r="I273" s="37"/>
    </row>
    <row r="274" ht="22.5" customHeight="1">
      <c r="A274" s="30"/>
      <c r="B274" s="40"/>
      <c r="C274" s="32"/>
      <c r="D274" s="33"/>
      <c r="E274" s="34"/>
      <c r="F274" s="34"/>
      <c r="G274" s="35"/>
      <c r="H274" s="34"/>
      <c r="I274" s="37"/>
    </row>
    <row r="275" ht="22.5" customHeight="1">
      <c r="A275" s="30"/>
      <c r="B275" s="31"/>
      <c r="C275" s="32"/>
      <c r="D275" s="33"/>
      <c r="E275" s="34"/>
      <c r="F275" s="34"/>
      <c r="G275" s="35"/>
      <c r="H275" s="34"/>
      <c r="I275" s="37"/>
    </row>
    <row r="276" ht="22.5" customHeight="1">
      <c r="A276" s="30"/>
      <c r="B276" s="31"/>
      <c r="C276" s="32"/>
      <c r="D276" s="33"/>
      <c r="E276" s="34"/>
      <c r="F276" s="34"/>
      <c r="G276" s="35"/>
      <c r="H276" s="34"/>
      <c r="I276" s="37"/>
    </row>
    <row r="277" ht="22.5" customHeight="1">
      <c r="A277" s="30"/>
      <c r="B277" s="31"/>
      <c r="C277" s="32"/>
      <c r="D277" s="33"/>
      <c r="E277" s="34"/>
      <c r="F277" s="34"/>
      <c r="G277" s="35"/>
      <c r="H277" s="34"/>
      <c r="I277" s="37"/>
    </row>
    <row r="278" ht="22.5" customHeight="1">
      <c r="A278" s="30"/>
      <c r="B278" s="31"/>
      <c r="C278" s="32"/>
      <c r="D278" s="33"/>
      <c r="E278" s="34"/>
      <c r="F278" s="34"/>
      <c r="G278" s="35"/>
      <c r="H278" s="34"/>
      <c r="I278" s="38"/>
    </row>
    <row r="279" ht="22.5" customHeight="1">
      <c r="A279" s="30"/>
      <c r="B279" s="39"/>
      <c r="C279" s="32"/>
      <c r="D279" s="33"/>
      <c r="E279" s="34"/>
      <c r="F279" s="34"/>
      <c r="G279" s="35"/>
      <c r="H279" s="34"/>
      <c r="I279" s="37"/>
    </row>
    <row r="280" ht="22.5" customHeight="1">
      <c r="A280" s="30"/>
      <c r="B280" s="31"/>
      <c r="C280" s="32"/>
      <c r="D280" s="33"/>
      <c r="E280" s="34"/>
      <c r="F280" s="34"/>
      <c r="G280" s="35"/>
      <c r="H280" s="34"/>
      <c r="I280" s="37"/>
    </row>
    <row r="281" ht="22.5" customHeight="1">
      <c r="A281" s="30"/>
      <c r="B281" s="31"/>
      <c r="C281" s="32"/>
      <c r="D281" s="33"/>
      <c r="E281" s="34"/>
      <c r="F281" s="34"/>
      <c r="G281" s="35"/>
      <c r="H281" s="34"/>
      <c r="I281" s="37"/>
    </row>
    <row r="282" ht="22.5" customHeight="1">
      <c r="A282" s="30"/>
      <c r="B282" s="31"/>
      <c r="C282" s="32"/>
      <c r="D282" s="33"/>
      <c r="E282" s="34"/>
      <c r="F282" s="34"/>
      <c r="G282" s="35"/>
      <c r="H282" s="34"/>
      <c r="I282" s="37"/>
    </row>
    <row r="283" ht="22.5" customHeight="1">
      <c r="A283" s="30"/>
      <c r="B283" s="39"/>
      <c r="C283" s="32"/>
      <c r="D283" s="33"/>
      <c r="E283" s="34"/>
      <c r="F283" s="34"/>
      <c r="G283" s="35"/>
      <c r="H283" s="34"/>
      <c r="I283" s="37"/>
    </row>
    <row r="284" ht="22.5" customHeight="1">
      <c r="A284" s="30"/>
      <c r="B284" s="31"/>
      <c r="C284" s="32"/>
      <c r="D284" s="33"/>
      <c r="E284" s="34"/>
      <c r="F284" s="34"/>
      <c r="G284" s="35"/>
      <c r="H284" s="34"/>
      <c r="I284" s="37"/>
    </row>
    <row r="285" ht="22.5" customHeight="1">
      <c r="A285" s="30"/>
      <c r="B285" s="39"/>
      <c r="C285" s="32"/>
      <c r="D285" s="33"/>
      <c r="E285" s="34"/>
      <c r="F285" s="34"/>
      <c r="G285" s="35"/>
      <c r="H285" s="34"/>
      <c r="I285" s="37"/>
    </row>
    <row r="286" ht="22.5" customHeight="1">
      <c r="A286" s="30"/>
      <c r="B286" s="31"/>
      <c r="C286" s="32"/>
      <c r="D286" s="33"/>
      <c r="E286" s="34"/>
      <c r="F286" s="34"/>
      <c r="G286" s="35"/>
      <c r="H286" s="34"/>
      <c r="I286" s="37"/>
    </row>
    <row r="287" ht="22.5" customHeight="1">
      <c r="A287" s="30"/>
      <c r="B287" s="31"/>
      <c r="C287" s="32"/>
      <c r="D287" s="33"/>
      <c r="E287" s="34"/>
      <c r="F287" s="34"/>
      <c r="G287" s="35"/>
      <c r="H287" s="34"/>
      <c r="I287" s="37"/>
    </row>
    <row r="288" ht="22.5" customHeight="1">
      <c r="A288" s="30"/>
      <c r="B288" s="31"/>
      <c r="C288" s="32"/>
      <c r="D288" s="33"/>
      <c r="E288" s="34"/>
      <c r="F288" s="34"/>
      <c r="G288" s="35"/>
      <c r="H288" s="34"/>
      <c r="I288" s="37"/>
    </row>
    <row r="289" ht="22.5" customHeight="1">
      <c r="A289" s="30"/>
      <c r="B289" s="31"/>
      <c r="C289" s="32"/>
      <c r="D289" s="33"/>
      <c r="E289" s="34"/>
      <c r="F289" s="34"/>
      <c r="G289" s="35"/>
      <c r="H289" s="34"/>
      <c r="I289" s="37"/>
    </row>
    <row r="290" ht="22.5" customHeight="1">
      <c r="A290" s="30"/>
      <c r="B290" s="31"/>
      <c r="C290" s="32"/>
      <c r="D290" s="33"/>
      <c r="E290" s="34"/>
      <c r="F290" s="34"/>
      <c r="G290" s="35"/>
      <c r="H290" s="34"/>
      <c r="I290" s="37"/>
    </row>
    <row r="291" ht="22.5" customHeight="1">
      <c r="A291" s="30"/>
      <c r="B291" s="31"/>
      <c r="C291" s="32"/>
      <c r="D291" s="33"/>
      <c r="E291" s="34"/>
      <c r="F291" s="34"/>
      <c r="G291" s="35"/>
      <c r="H291" s="34"/>
      <c r="I291" s="37"/>
    </row>
    <row r="292" ht="22.5" customHeight="1">
      <c r="A292" s="30"/>
      <c r="B292" s="31"/>
      <c r="C292" s="32"/>
      <c r="D292" s="33"/>
      <c r="E292" s="34"/>
      <c r="F292" s="34"/>
      <c r="G292" s="35"/>
      <c r="H292" s="34"/>
      <c r="I292" s="37"/>
    </row>
    <row r="293" ht="22.5" customHeight="1">
      <c r="A293" s="30"/>
      <c r="B293" s="31"/>
      <c r="C293" s="32"/>
      <c r="D293" s="33"/>
      <c r="E293" s="34"/>
      <c r="F293" s="34"/>
      <c r="G293" s="35"/>
      <c r="H293" s="34"/>
      <c r="I293" s="37"/>
    </row>
    <row r="294" ht="22.5" customHeight="1">
      <c r="A294" s="30"/>
      <c r="B294" s="31"/>
      <c r="C294" s="32"/>
      <c r="D294" s="33"/>
      <c r="E294" s="34"/>
      <c r="F294" s="34"/>
      <c r="G294" s="35"/>
      <c r="H294" s="34"/>
      <c r="I294" s="37"/>
    </row>
    <row r="295" ht="22.5" customHeight="1">
      <c r="A295" s="30"/>
      <c r="B295" s="31"/>
      <c r="C295" s="32"/>
      <c r="D295" s="33"/>
      <c r="E295" s="34"/>
      <c r="F295" s="34"/>
      <c r="G295" s="35"/>
      <c r="H295" s="34"/>
      <c r="I295" s="37"/>
    </row>
    <row r="296" ht="22.5" customHeight="1">
      <c r="A296" s="30"/>
      <c r="B296" s="40"/>
      <c r="C296" s="32"/>
      <c r="D296" s="33"/>
      <c r="E296" s="34"/>
      <c r="F296" s="34"/>
      <c r="G296" s="35"/>
      <c r="H296" s="34"/>
      <c r="I296" s="37"/>
    </row>
    <row r="297" ht="22.5" customHeight="1">
      <c r="A297" s="30"/>
      <c r="B297" s="31"/>
      <c r="C297" s="32"/>
      <c r="D297" s="33"/>
      <c r="E297" s="34"/>
      <c r="F297" s="34"/>
      <c r="G297" s="35"/>
      <c r="H297" s="34"/>
      <c r="I297" s="37"/>
    </row>
    <row r="298" ht="22.5" customHeight="1">
      <c r="A298" s="30"/>
      <c r="B298" s="31"/>
      <c r="C298" s="32"/>
      <c r="D298" s="33"/>
      <c r="E298" s="34"/>
      <c r="F298" s="34"/>
      <c r="G298" s="35"/>
      <c r="H298" s="34"/>
      <c r="I298" s="37"/>
    </row>
    <row r="299" ht="22.5" customHeight="1">
      <c r="A299" s="30"/>
      <c r="B299" s="31"/>
      <c r="C299" s="32"/>
      <c r="D299" s="33"/>
      <c r="E299" s="34"/>
      <c r="F299" s="34"/>
      <c r="G299" s="35"/>
      <c r="H299" s="34"/>
      <c r="I299" s="37"/>
    </row>
    <row r="300" ht="22.5" customHeight="1">
      <c r="A300" s="30"/>
      <c r="B300" s="31"/>
      <c r="C300" s="32"/>
      <c r="D300" s="33"/>
      <c r="E300" s="34"/>
      <c r="F300" s="34"/>
      <c r="G300" s="35"/>
      <c r="H300" s="34"/>
      <c r="I300" s="37"/>
    </row>
    <row r="301" ht="22.5" customHeight="1">
      <c r="A301" s="30"/>
      <c r="B301" s="31"/>
      <c r="C301" s="32"/>
      <c r="D301" s="33"/>
      <c r="E301" s="34"/>
      <c r="F301" s="34"/>
      <c r="G301" s="35"/>
      <c r="H301" s="34"/>
      <c r="I301" s="37"/>
    </row>
    <row r="302" ht="22.5" customHeight="1">
      <c r="A302" s="30"/>
      <c r="B302" s="31"/>
      <c r="C302" s="32"/>
      <c r="D302" s="33"/>
      <c r="E302" s="34"/>
      <c r="F302" s="34"/>
      <c r="G302" s="35"/>
      <c r="H302" s="34"/>
      <c r="I302" s="37"/>
    </row>
    <row r="303" ht="22.5" customHeight="1">
      <c r="A303" s="30"/>
      <c r="B303" s="39"/>
      <c r="C303" s="32"/>
      <c r="D303" s="33"/>
      <c r="E303" s="34"/>
      <c r="F303" s="34"/>
      <c r="G303" s="35"/>
      <c r="H303" s="34"/>
      <c r="I303" s="37"/>
    </row>
    <row r="304" ht="22.5" customHeight="1">
      <c r="A304" s="30"/>
      <c r="B304" s="39"/>
      <c r="C304" s="32"/>
      <c r="D304" s="33"/>
      <c r="E304" s="34"/>
      <c r="F304" s="34"/>
      <c r="G304" s="35"/>
      <c r="H304" s="34"/>
      <c r="I304" s="37"/>
    </row>
    <row r="305" ht="22.5" customHeight="1">
      <c r="A305" s="30"/>
      <c r="B305" s="39"/>
      <c r="C305" s="32"/>
      <c r="D305" s="33"/>
      <c r="E305" s="34"/>
      <c r="F305" s="34"/>
      <c r="G305" s="35"/>
      <c r="H305" s="34"/>
      <c r="I305" s="37"/>
    </row>
    <row r="306" ht="22.5" customHeight="1">
      <c r="A306" s="30"/>
      <c r="B306" s="40"/>
      <c r="C306" s="32"/>
      <c r="D306" s="33"/>
      <c r="E306" s="34"/>
      <c r="F306" s="34"/>
      <c r="G306" s="35"/>
      <c r="H306" s="34"/>
      <c r="I306" s="37"/>
    </row>
    <row r="307" ht="22.5" customHeight="1">
      <c r="A307" s="30"/>
      <c r="B307" s="31"/>
      <c r="C307" s="32"/>
      <c r="D307" s="33"/>
      <c r="E307" s="34"/>
      <c r="F307" s="34"/>
      <c r="G307" s="35"/>
      <c r="H307" s="34"/>
      <c r="I307" s="37"/>
    </row>
    <row r="308" ht="22.5" customHeight="1">
      <c r="A308" s="30"/>
      <c r="B308" s="31"/>
      <c r="C308" s="32"/>
      <c r="D308" s="33"/>
      <c r="E308" s="34"/>
      <c r="F308" s="34"/>
      <c r="G308" s="35"/>
      <c r="H308" s="34"/>
      <c r="I308" s="37"/>
    </row>
    <row r="309" ht="22.5" customHeight="1">
      <c r="A309" s="30"/>
      <c r="B309" s="31"/>
      <c r="C309" s="32"/>
      <c r="D309" s="33"/>
      <c r="E309" s="34"/>
      <c r="F309" s="34"/>
      <c r="G309" s="35"/>
      <c r="H309" s="34"/>
      <c r="I309" s="37"/>
    </row>
    <row r="310" ht="22.5" customHeight="1">
      <c r="A310" s="30"/>
      <c r="B310" s="31"/>
      <c r="C310" s="32"/>
      <c r="D310" s="33"/>
      <c r="E310" s="34"/>
      <c r="F310" s="34"/>
      <c r="G310" s="35"/>
      <c r="H310" s="34"/>
      <c r="I310" s="37"/>
    </row>
    <row r="311" ht="22.5" customHeight="1">
      <c r="A311" s="30"/>
      <c r="B311" s="31"/>
      <c r="C311" s="32"/>
      <c r="D311" s="33"/>
      <c r="E311" s="34"/>
      <c r="F311" s="34"/>
      <c r="G311" s="35"/>
      <c r="H311" s="34"/>
      <c r="I311" s="37"/>
    </row>
    <row r="312" ht="22.5" customHeight="1">
      <c r="A312" s="30"/>
      <c r="B312" s="31"/>
      <c r="C312" s="32"/>
      <c r="D312" s="33"/>
      <c r="E312" s="34"/>
      <c r="F312" s="34"/>
      <c r="G312" s="35"/>
      <c r="H312" s="34"/>
      <c r="I312" s="37"/>
    </row>
    <row r="313" ht="22.5" customHeight="1">
      <c r="A313" s="30"/>
      <c r="B313" s="31"/>
      <c r="C313" s="32"/>
      <c r="D313" s="33"/>
      <c r="E313" s="34"/>
      <c r="F313" s="34"/>
      <c r="G313" s="35"/>
      <c r="H313" s="34"/>
      <c r="I313" s="37"/>
    </row>
    <row r="314" ht="22.5" customHeight="1">
      <c r="A314" s="30"/>
      <c r="B314" s="31"/>
      <c r="C314" s="32"/>
      <c r="D314" s="33"/>
      <c r="E314" s="34"/>
      <c r="F314" s="34"/>
      <c r="G314" s="35"/>
      <c r="H314" s="34"/>
      <c r="I314" s="37"/>
    </row>
    <row r="315" ht="22.5" customHeight="1">
      <c r="A315" s="30"/>
      <c r="B315" s="31"/>
      <c r="C315" s="32"/>
      <c r="D315" s="33"/>
      <c r="E315" s="34"/>
      <c r="F315" s="34"/>
      <c r="G315" s="35"/>
      <c r="H315" s="34"/>
      <c r="I315" s="37"/>
    </row>
    <row r="316" ht="22.5" customHeight="1">
      <c r="A316" s="30"/>
      <c r="B316" s="40"/>
      <c r="C316" s="32"/>
      <c r="D316" s="33"/>
      <c r="E316" s="34"/>
      <c r="F316" s="34"/>
      <c r="G316" s="35"/>
      <c r="H316" s="34"/>
      <c r="I316" s="37"/>
    </row>
    <row r="317" ht="22.5" customHeight="1">
      <c r="A317" s="30"/>
      <c r="B317" s="31"/>
      <c r="C317" s="32"/>
      <c r="D317" s="33"/>
      <c r="E317" s="34"/>
      <c r="F317" s="34"/>
      <c r="G317" s="35"/>
      <c r="H317" s="34"/>
      <c r="I317" s="37"/>
    </row>
    <row r="318" ht="22.5" customHeight="1">
      <c r="A318" s="30"/>
      <c r="B318" s="31"/>
      <c r="C318" s="32"/>
      <c r="D318" s="33"/>
      <c r="E318" s="34"/>
      <c r="F318" s="34"/>
      <c r="G318" s="35"/>
      <c r="H318" s="34"/>
      <c r="I318" s="37"/>
    </row>
    <row r="319" ht="22.5" customHeight="1">
      <c r="A319" s="30"/>
      <c r="B319" s="31"/>
      <c r="C319" s="32"/>
      <c r="D319" s="33"/>
      <c r="E319" s="34"/>
      <c r="F319" s="34"/>
      <c r="G319" s="35"/>
      <c r="H319" s="34"/>
      <c r="I319" s="37"/>
    </row>
    <row r="320" ht="22.5" customHeight="1">
      <c r="A320" s="30"/>
      <c r="B320" s="40"/>
      <c r="C320" s="32"/>
      <c r="D320" s="33"/>
      <c r="E320" s="34"/>
      <c r="F320" s="34"/>
      <c r="G320" s="35"/>
      <c r="H320" s="34"/>
      <c r="I320" s="37"/>
    </row>
    <row r="321" ht="22.5" customHeight="1">
      <c r="A321" s="30"/>
      <c r="B321" s="31"/>
      <c r="C321" s="32"/>
      <c r="D321" s="33"/>
      <c r="E321" s="34"/>
      <c r="F321" s="34"/>
      <c r="G321" s="35"/>
      <c r="H321" s="34"/>
      <c r="I321" s="37"/>
    </row>
    <row r="322" ht="22.5" customHeight="1">
      <c r="A322" s="30"/>
      <c r="B322" s="31"/>
      <c r="C322" s="32"/>
      <c r="D322" s="33"/>
      <c r="E322" s="34"/>
      <c r="F322" s="34"/>
      <c r="G322" s="35"/>
      <c r="H322" s="34"/>
      <c r="I322" s="37"/>
    </row>
    <row r="323" ht="22.5" customHeight="1">
      <c r="A323" s="30"/>
      <c r="B323" s="31"/>
      <c r="C323" s="32"/>
      <c r="D323" s="33"/>
      <c r="E323" s="34"/>
      <c r="F323" s="34"/>
      <c r="G323" s="35"/>
      <c r="H323" s="34"/>
      <c r="I323" s="37"/>
    </row>
    <row r="324" ht="22.5" customHeight="1">
      <c r="A324" s="30"/>
      <c r="B324" s="31"/>
      <c r="C324" s="32"/>
      <c r="D324" s="33"/>
      <c r="E324" s="34"/>
      <c r="F324" s="34"/>
      <c r="G324" s="35"/>
      <c r="H324" s="34"/>
      <c r="I324" s="37"/>
    </row>
    <row r="325" ht="22.5" customHeight="1">
      <c r="A325" s="30"/>
      <c r="B325" s="31"/>
      <c r="C325" s="32"/>
      <c r="D325" s="33"/>
      <c r="E325" s="34"/>
      <c r="F325" s="34"/>
      <c r="G325" s="35"/>
      <c r="H325" s="34"/>
      <c r="I325" s="37"/>
    </row>
    <row r="326" ht="22.5" customHeight="1">
      <c r="A326" s="30"/>
      <c r="B326" s="31"/>
      <c r="C326" s="32"/>
      <c r="D326" s="33"/>
      <c r="E326" s="34"/>
      <c r="F326" s="34"/>
      <c r="G326" s="35"/>
      <c r="H326" s="34"/>
      <c r="I326" s="37"/>
    </row>
    <row r="327" ht="22.5" customHeight="1">
      <c r="A327" s="30"/>
      <c r="B327" s="31"/>
      <c r="C327" s="32"/>
      <c r="D327" s="33"/>
      <c r="E327" s="34"/>
      <c r="F327" s="34"/>
      <c r="G327" s="35"/>
      <c r="H327" s="34"/>
      <c r="I327" s="37"/>
    </row>
    <row r="328" ht="22.5" customHeight="1">
      <c r="A328" s="30"/>
      <c r="B328" s="31"/>
      <c r="C328" s="32"/>
      <c r="D328" s="33"/>
      <c r="E328" s="34"/>
      <c r="F328" s="34"/>
      <c r="G328" s="35"/>
      <c r="H328" s="34"/>
      <c r="I328" s="37"/>
    </row>
    <row r="329" ht="22.5" customHeight="1">
      <c r="A329" s="30"/>
      <c r="B329" s="31"/>
      <c r="C329" s="32"/>
      <c r="D329" s="33"/>
      <c r="E329" s="34"/>
      <c r="F329" s="34"/>
      <c r="G329" s="35"/>
      <c r="H329" s="34"/>
      <c r="I329" s="37"/>
    </row>
    <row r="330" ht="22.5" customHeight="1">
      <c r="A330" s="30"/>
      <c r="B330" s="31"/>
      <c r="C330" s="32"/>
      <c r="D330" s="33"/>
      <c r="E330" s="34"/>
      <c r="F330" s="34"/>
      <c r="G330" s="35"/>
      <c r="H330" s="34"/>
      <c r="I330" s="37"/>
    </row>
    <row r="331" ht="22.5" customHeight="1">
      <c r="A331" s="30"/>
      <c r="B331" s="31"/>
      <c r="C331" s="32"/>
      <c r="D331" s="33"/>
      <c r="E331" s="34"/>
      <c r="F331" s="34"/>
      <c r="G331" s="35"/>
      <c r="H331" s="34"/>
      <c r="I331" s="37"/>
    </row>
    <row r="332" ht="22.5" customHeight="1">
      <c r="A332" s="30"/>
      <c r="B332" s="31"/>
      <c r="C332" s="32"/>
      <c r="D332" s="33"/>
      <c r="E332" s="34"/>
      <c r="F332" s="34"/>
      <c r="G332" s="35"/>
      <c r="H332" s="34"/>
      <c r="I332" s="37"/>
    </row>
    <row r="333" ht="22.5" customHeight="1">
      <c r="A333" s="30"/>
      <c r="B333" s="31"/>
      <c r="C333" s="32"/>
      <c r="D333" s="33"/>
      <c r="E333" s="34"/>
      <c r="F333" s="34"/>
      <c r="G333" s="35"/>
      <c r="H333" s="34"/>
      <c r="I333" s="37"/>
    </row>
    <row r="334" ht="22.5" customHeight="1">
      <c r="A334" s="30"/>
      <c r="B334" s="31"/>
      <c r="C334" s="32"/>
      <c r="D334" s="33"/>
      <c r="E334" s="34"/>
      <c r="F334" s="34"/>
      <c r="G334" s="35"/>
      <c r="H334" s="34"/>
      <c r="I334" s="37"/>
    </row>
    <row r="335" ht="22.5" customHeight="1">
      <c r="A335" s="30"/>
      <c r="B335" s="40"/>
      <c r="C335" s="32"/>
      <c r="D335" s="33"/>
      <c r="E335" s="34"/>
      <c r="F335" s="34"/>
      <c r="G335" s="35"/>
      <c r="H335" s="34"/>
      <c r="I335" s="37"/>
    </row>
    <row r="336" ht="22.5" customHeight="1">
      <c r="A336" s="30"/>
      <c r="B336" s="31"/>
      <c r="C336" s="32"/>
      <c r="D336" s="33"/>
      <c r="E336" s="34"/>
      <c r="F336" s="34"/>
      <c r="G336" s="35"/>
      <c r="H336" s="34"/>
      <c r="I336" s="37"/>
    </row>
    <row r="337" ht="22.5" customHeight="1">
      <c r="A337" s="30"/>
      <c r="B337" s="40"/>
      <c r="C337" s="32"/>
      <c r="D337" s="33"/>
      <c r="E337" s="34"/>
      <c r="F337" s="34"/>
      <c r="G337" s="35"/>
      <c r="H337" s="34"/>
      <c r="I337" s="37"/>
    </row>
    <row r="338" ht="22.5" customHeight="1">
      <c r="A338" s="30"/>
      <c r="B338" s="31"/>
      <c r="C338" s="32"/>
      <c r="D338" s="33"/>
      <c r="E338" s="34"/>
      <c r="F338" s="34"/>
      <c r="G338" s="35"/>
      <c r="H338" s="34"/>
      <c r="I338" s="37"/>
    </row>
    <row r="339" ht="22.5" customHeight="1">
      <c r="A339" s="30"/>
      <c r="B339" s="31"/>
      <c r="C339" s="32"/>
      <c r="D339" s="33"/>
      <c r="E339" s="34"/>
      <c r="F339" s="34"/>
      <c r="G339" s="35"/>
      <c r="H339" s="34"/>
      <c r="I339" s="37"/>
    </row>
    <row r="340" ht="22.5" customHeight="1">
      <c r="A340" s="30"/>
      <c r="B340" s="31"/>
      <c r="C340" s="32"/>
      <c r="D340" s="33"/>
      <c r="E340" s="34"/>
      <c r="F340" s="34"/>
      <c r="G340" s="35"/>
      <c r="H340" s="34"/>
      <c r="I340" s="37"/>
    </row>
    <row r="341" ht="22.5" customHeight="1">
      <c r="A341" s="30"/>
      <c r="B341" s="31"/>
      <c r="C341" s="32"/>
      <c r="D341" s="33"/>
      <c r="E341" s="34"/>
      <c r="F341" s="34"/>
      <c r="G341" s="35"/>
      <c r="H341" s="34"/>
      <c r="I341" s="37"/>
    </row>
    <row r="342" ht="22.5" customHeight="1">
      <c r="A342" s="30"/>
      <c r="B342" s="40"/>
      <c r="C342" s="32"/>
      <c r="D342" s="33"/>
      <c r="E342" s="34"/>
      <c r="F342" s="34"/>
      <c r="G342" s="35"/>
      <c r="H342" s="34"/>
      <c r="I342" s="37"/>
    </row>
    <row r="343" ht="22.5" customHeight="1">
      <c r="A343" s="30"/>
      <c r="B343" s="31"/>
      <c r="C343" s="32"/>
      <c r="D343" s="33"/>
      <c r="E343" s="34"/>
      <c r="F343" s="34"/>
      <c r="G343" s="35"/>
      <c r="H343" s="34"/>
      <c r="I343" s="37"/>
    </row>
    <row r="344" ht="22.5" customHeight="1">
      <c r="A344" s="30"/>
      <c r="B344" s="31"/>
      <c r="C344" s="32"/>
      <c r="D344" s="33"/>
      <c r="E344" s="34"/>
      <c r="F344" s="34"/>
      <c r="G344" s="35"/>
      <c r="H344" s="34"/>
      <c r="I344" s="37"/>
    </row>
    <row r="345" ht="22.5" customHeight="1">
      <c r="A345" s="30"/>
      <c r="B345" s="31"/>
      <c r="C345" s="32"/>
      <c r="D345" s="33"/>
      <c r="E345" s="34"/>
      <c r="F345" s="34"/>
      <c r="G345" s="35"/>
      <c r="H345" s="34"/>
      <c r="I345" s="37"/>
    </row>
    <row r="346" ht="22.5" customHeight="1">
      <c r="A346" s="30"/>
      <c r="B346" s="31"/>
      <c r="C346" s="32"/>
      <c r="D346" s="33"/>
      <c r="E346" s="34"/>
      <c r="F346" s="34"/>
      <c r="G346" s="35"/>
      <c r="H346" s="34"/>
      <c r="I346" s="37"/>
    </row>
    <row r="347" ht="22.5" customHeight="1">
      <c r="A347" s="30"/>
      <c r="B347" s="31"/>
      <c r="C347" s="32"/>
      <c r="D347" s="33"/>
      <c r="E347" s="34"/>
      <c r="F347" s="34"/>
      <c r="G347" s="35"/>
      <c r="H347" s="34"/>
      <c r="I347" s="37"/>
    </row>
    <row r="348" ht="22.5" customHeight="1">
      <c r="A348" s="30"/>
      <c r="B348" s="31"/>
      <c r="C348" s="32"/>
      <c r="D348" s="33"/>
      <c r="E348" s="34"/>
      <c r="F348" s="34"/>
      <c r="G348" s="35"/>
      <c r="H348" s="34"/>
      <c r="I348" s="37"/>
    </row>
    <row r="349" ht="22.5" customHeight="1">
      <c r="A349" s="30"/>
      <c r="B349" s="31"/>
      <c r="C349" s="32"/>
      <c r="D349" s="33"/>
      <c r="E349" s="34"/>
      <c r="F349" s="34"/>
      <c r="G349" s="35"/>
      <c r="H349" s="34"/>
      <c r="I349" s="37"/>
    </row>
    <row r="350" ht="22.5" customHeight="1">
      <c r="A350" s="30"/>
      <c r="B350" s="31"/>
      <c r="C350" s="32"/>
      <c r="D350" s="33"/>
      <c r="E350" s="34"/>
      <c r="F350" s="34"/>
      <c r="G350" s="35"/>
      <c r="H350" s="34"/>
      <c r="I350" s="37"/>
    </row>
    <row r="351" ht="22.5" customHeight="1">
      <c r="A351" s="30"/>
      <c r="B351" s="31"/>
      <c r="C351" s="32"/>
      <c r="D351" s="33"/>
      <c r="E351" s="34"/>
      <c r="F351" s="34"/>
      <c r="G351" s="35"/>
      <c r="H351" s="34"/>
      <c r="I351" s="37"/>
    </row>
    <row r="352" ht="22.5" customHeight="1">
      <c r="A352" s="30"/>
      <c r="B352" s="31"/>
      <c r="C352" s="32"/>
      <c r="D352" s="33"/>
      <c r="E352" s="34"/>
      <c r="F352" s="34"/>
      <c r="G352" s="35"/>
      <c r="H352" s="34"/>
      <c r="I352" s="37"/>
    </row>
    <row r="353" ht="22.5" customHeight="1">
      <c r="A353" s="30"/>
      <c r="B353" s="31"/>
      <c r="C353" s="32"/>
      <c r="D353" s="33"/>
      <c r="E353" s="34"/>
      <c r="F353" s="34"/>
      <c r="G353" s="35"/>
      <c r="H353" s="34"/>
      <c r="I353" s="37"/>
    </row>
    <row r="354" ht="22.5" customHeight="1">
      <c r="A354" s="30"/>
      <c r="B354" s="31"/>
      <c r="C354" s="32"/>
      <c r="D354" s="33"/>
      <c r="E354" s="34"/>
      <c r="F354" s="34"/>
      <c r="G354" s="35"/>
      <c r="H354" s="34"/>
      <c r="I354" s="37"/>
    </row>
    <row r="355" ht="22.5" customHeight="1">
      <c r="A355" s="30"/>
      <c r="B355" s="31"/>
      <c r="C355" s="32"/>
      <c r="D355" s="33"/>
      <c r="E355" s="34"/>
      <c r="F355" s="34"/>
      <c r="G355" s="35"/>
      <c r="H355" s="34"/>
      <c r="I355" s="37"/>
    </row>
    <row r="356" ht="22.5" customHeight="1">
      <c r="A356" s="30"/>
      <c r="B356" s="31"/>
      <c r="C356" s="32"/>
      <c r="D356" s="33"/>
      <c r="E356" s="34"/>
      <c r="F356" s="34"/>
      <c r="G356" s="35"/>
      <c r="H356" s="34"/>
      <c r="I356" s="37"/>
    </row>
    <row r="357" ht="22.5" customHeight="1">
      <c r="A357" s="30"/>
      <c r="B357" s="31"/>
      <c r="C357" s="32"/>
      <c r="D357" s="33"/>
      <c r="E357" s="34"/>
      <c r="F357" s="34"/>
      <c r="G357" s="35"/>
      <c r="H357" s="34"/>
      <c r="I357" s="37"/>
    </row>
    <row r="358" ht="22.5" customHeight="1">
      <c r="A358" s="30"/>
      <c r="B358" s="31"/>
      <c r="C358" s="32"/>
      <c r="D358" s="33"/>
      <c r="E358" s="34"/>
      <c r="F358" s="34"/>
      <c r="G358" s="35"/>
      <c r="H358" s="34"/>
      <c r="I358" s="37"/>
    </row>
    <row r="359" ht="22.5" customHeight="1">
      <c r="A359" s="30"/>
      <c r="B359" s="31"/>
      <c r="C359" s="32"/>
      <c r="D359" s="33"/>
      <c r="E359" s="34"/>
      <c r="F359" s="34"/>
      <c r="G359" s="35"/>
      <c r="H359" s="34"/>
      <c r="I359" s="37"/>
    </row>
    <row r="360" ht="22.5" customHeight="1">
      <c r="A360" s="30"/>
      <c r="B360" s="31"/>
      <c r="C360" s="32"/>
      <c r="D360" s="33"/>
      <c r="E360" s="34"/>
      <c r="F360" s="34"/>
      <c r="G360" s="35"/>
      <c r="H360" s="34"/>
      <c r="I360" s="37"/>
    </row>
    <row r="361" ht="22.5" customHeight="1">
      <c r="A361" s="30"/>
      <c r="B361" s="31"/>
      <c r="C361" s="32"/>
      <c r="D361" s="33"/>
      <c r="E361" s="34"/>
      <c r="F361" s="34"/>
      <c r="G361" s="35"/>
      <c r="H361" s="34"/>
      <c r="I361" s="37"/>
    </row>
    <row r="362" ht="22.5" customHeight="1">
      <c r="A362" s="30"/>
      <c r="B362" s="31"/>
      <c r="C362" s="32"/>
      <c r="D362" s="33"/>
      <c r="E362" s="34"/>
      <c r="F362" s="34"/>
      <c r="G362" s="35"/>
      <c r="H362" s="34"/>
      <c r="I362" s="37"/>
    </row>
    <row r="363" ht="22.5" customHeight="1">
      <c r="A363" s="30"/>
      <c r="B363" s="31"/>
      <c r="C363" s="32"/>
      <c r="D363" s="33"/>
      <c r="E363" s="34"/>
      <c r="F363" s="34"/>
      <c r="G363" s="35"/>
      <c r="H363" s="34"/>
      <c r="I363" s="37"/>
    </row>
    <row r="364" ht="22.5" customHeight="1">
      <c r="A364" s="30"/>
      <c r="B364" s="40"/>
      <c r="C364" s="32"/>
      <c r="D364" s="33"/>
      <c r="E364" s="34"/>
      <c r="F364" s="34"/>
      <c r="G364" s="35"/>
      <c r="H364" s="34"/>
      <c r="I364" s="37"/>
    </row>
    <row r="365" ht="22.5" customHeight="1">
      <c r="A365" s="30"/>
      <c r="B365" s="31"/>
      <c r="C365" s="32"/>
      <c r="D365" s="33"/>
      <c r="E365" s="34"/>
      <c r="F365" s="34"/>
      <c r="G365" s="35"/>
      <c r="H365" s="34"/>
      <c r="I365" s="37"/>
    </row>
    <row r="366" ht="22.5" customHeight="1">
      <c r="A366" s="30"/>
      <c r="B366" s="31"/>
      <c r="C366" s="32"/>
      <c r="D366" s="33"/>
      <c r="E366" s="34"/>
      <c r="F366" s="34"/>
      <c r="G366" s="35"/>
      <c r="H366" s="34"/>
      <c r="I366" s="37"/>
    </row>
    <row r="367" ht="22.5" customHeight="1">
      <c r="A367" s="30"/>
      <c r="B367" s="31"/>
      <c r="C367" s="32"/>
      <c r="D367" s="33"/>
      <c r="E367" s="34"/>
      <c r="F367" s="34"/>
      <c r="G367" s="35"/>
      <c r="H367" s="34"/>
      <c r="I367" s="37"/>
    </row>
    <row r="368" ht="22.5" customHeight="1">
      <c r="A368" s="30"/>
      <c r="B368" s="31"/>
      <c r="C368" s="32"/>
      <c r="D368" s="33"/>
      <c r="E368" s="34"/>
      <c r="F368" s="34"/>
      <c r="G368" s="35"/>
      <c r="H368" s="34"/>
      <c r="I368" s="38"/>
    </row>
    <row r="369" ht="22.5" customHeight="1">
      <c r="A369" s="30"/>
      <c r="B369" s="39"/>
      <c r="C369" s="32"/>
      <c r="D369" s="33"/>
      <c r="E369" s="34"/>
      <c r="F369" s="34"/>
      <c r="G369" s="35"/>
      <c r="H369" s="34"/>
      <c r="I369" s="37"/>
    </row>
    <row r="370" ht="22.5" customHeight="1">
      <c r="A370" s="30"/>
      <c r="B370" s="31"/>
      <c r="C370" s="32"/>
      <c r="D370" s="33"/>
      <c r="E370" s="34"/>
      <c r="F370" s="34"/>
      <c r="G370" s="35"/>
      <c r="H370" s="34"/>
      <c r="I370" s="37"/>
    </row>
    <row r="371" ht="22.5" customHeight="1">
      <c r="A371" s="30"/>
      <c r="B371" s="31"/>
      <c r="C371" s="32"/>
      <c r="D371" s="33"/>
      <c r="E371" s="34"/>
      <c r="F371" s="34"/>
      <c r="G371" s="35"/>
      <c r="H371" s="34"/>
      <c r="I371" s="37"/>
    </row>
    <row r="372" ht="22.5" customHeight="1">
      <c r="A372" s="30"/>
      <c r="B372" s="31"/>
      <c r="C372" s="32"/>
      <c r="D372" s="33"/>
      <c r="E372" s="34"/>
      <c r="F372" s="34"/>
      <c r="G372" s="35"/>
      <c r="H372" s="34"/>
      <c r="I372" s="37"/>
    </row>
    <row r="373" ht="22.5" customHeight="1">
      <c r="A373" s="30"/>
      <c r="B373" s="39"/>
      <c r="C373" s="32"/>
      <c r="D373" s="33"/>
      <c r="E373" s="34"/>
      <c r="F373" s="34"/>
      <c r="G373" s="35"/>
      <c r="H373" s="34"/>
      <c r="I373" s="37"/>
    </row>
    <row r="374" ht="22.5" customHeight="1">
      <c r="A374" s="30"/>
      <c r="B374" s="31"/>
      <c r="C374" s="32"/>
      <c r="D374" s="33"/>
      <c r="E374" s="34"/>
      <c r="F374" s="34"/>
      <c r="G374" s="35"/>
      <c r="H374" s="34"/>
      <c r="I374" s="37"/>
    </row>
    <row r="375" ht="22.5" customHeight="1">
      <c r="A375" s="30"/>
      <c r="B375" s="39"/>
      <c r="C375" s="32"/>
      <c r="D375" s="33"/>
      <c r="E375" s="34"/>
      <c r="F375" s="34"/>
      <c r="G375" s="35"/>
      <c r="H375" s="34"/>
      <c r="I375" s="37"/>
    </row>
    <row r="376" ht="22.5" customHeight="1">
      <c r="A376" s="30"/>
      <c r="B376" s="31"/>
      <c r="C376" s="32"/>
      <c r="D376" s="33"/>
      <c r="E376" s="34"/>
      <c r="F376" s="34"/>
      <c r="G376" s="35"/>
      <c r="H376" s="34"/>
      <c r="I376" s="37"/>
    </row>
    <row r="377" ht="22.5" customHeight="1">
      <c r="A377" s="30"/>
      <c r="B377" s="31"/>
      <c r="C377" s="32"/>
      <c r="D377" s="33"/>
      <c r="E377" s="34"/>
      <c r="F377" s="34"/>
      <c r="G377" s="35"/>
      <c r="H377" s="34"/>
      <c r="I377" s="37"/>
    </row>
    <row r="378" ht="22.5" customHeight="1">
      <c r="A378" s="30"/>
      <c r="B378" s="31"/>
      <c r="C378" s="32"/>
      <c r="D378" s="33"/>
      <c r="E378" s="34"/>
      <c r="F378" s="34"/>
      <c r="G378" s="35"/>
      <c r="H378" s="34"/>
      <c r="I378" s="37"/>
    </row>
    <row r="379" ht="22.5" customHeight="1">
      <c r="A379" s="30"/>
      <c r="B379" s="31"/>
      <c r="C379" s="32"/>
      <c r="D379" s="33"/>
      <c r="E379" s="34"/>
      <c r="F379" s="34"/>
      <c r="G379" s="35"/>
      <c r="H379" s="34"/>
      <c r="I379" s="37"/>
    </row>
    <row r="380" ht="22.5" customHeight="1">
      <c r="A380" s="30"/>
      <c r="B380" s="31"/>
      <c r="C380" s="32"/>
      <c r="D380" s="33"/>
      <c r="E380" s="34"/>
      <c r="F380" s="34"/>
      <c r="G380" s="35"/>
      <c r="H380" s="34"/>
      <c r="I380" s="37"/>
    </row>
    <row r="381" ht="22.5" customHeight="1">
      <c r="A381" s="30"/>
      <c r="B381" s="31"/>
      <c r="C381" s="32"/>
      <c r="D381" s="33"/>
      <c r="E381" s="34"/>
      <c r="F381" s="34"/>
      <c r="G381" s="35"/>
      <c r="H381" s="34"/>
      <c r="I381" s="37"/>
    </row>
    <row r="382" ht="22.5" customHeight="1">
      <c r="A382" s="30"/>
      <c r="B382" s="31"/>
      <c r="C382" s="32"/>
      <c r="D382" s="33"/>
      <c r="E382" s="34"/>
      <c r="F382" s="34"/>
      <c r="G382" s="35"/>
      <c r="H382" s="34"/>
      <c r="I382" s="37"/>
    </row>
    <row r="383" ht="22.5" customHeight="1">
      <c r="A383" s="30"/>
      <c r="B383" s="31"/>
      <c r="C383" s="32"/>
      <c r="D383" s="33"/>
      <c r="E383" s="34"/>
      <c r="F383" s="34"/>
      <c r="G383" s="35"/>
      <c r="H383" s="34"/>
      <c r="I383" s="37"/>
    </row>
    <row r="384" ht="22.5" customHeight="1">
      <c r="A384" s="30"/>
      <c r="B384" s="31"/>
      <c r="C384" s="32"/>
      <c r="D384" s="33"/>
      <c r="E384" s="34"/>
      <c r="F384" s="34"/>
      <c r="G384" s="35"/>
      <c r="H384" s="34"/>
      <c r="I384" s="37"/>
    </row>
    <row r="385" ht="22.5" customHeight="1">
      <c r="A385" s="30"/>
      <c r="B385" s="31"/>
      <c r="C385" s="32"/>
      <c r="D385" s="33"/>
      <c r="E385" s="34"/>
      <c r="F385" s="34"/>
      <c r="G385" s="35"/>
      <c r="H385" s="34"/>
      <c r="I385" s="37"/>
    </row>
    <row r="386" ht="22.5" customHeight="1">
      <c r="A386" s="30"/>
      <c r="B386" s="40"/>
      <c r="C386" s="32"/>
      <c r="D386" s="33"/>
      <c r="E386" s="34"/>
      <c r="F386" s="34"/>
      <c r="G386" s="35"/>
      <c r="H386" s="34"/>
      <c r="I386" s="37"/>
    </row>
    <row r="387" ht="22.5" customHeight="1">
      <c r="A387" s="30"/>
      <c r="B387" s="31"/>
      <c r="C387" s="32"/>
      <c r="D387" s="33"/>
      <c r="E387" s="34"/>
      <c r="F387" s="34"/>
      <c r="G387" s="35"/>
      <c r="H387" s="34"/>
      <c r="I387" s="37"/>
    </row>
    <row r="388" ht="22.5" customHeight="1">
      <c r="A388" s="30"/>
      <c r="B388" s="31"/>
      <c r="C388" s="32"/>
      <c r="D388" s="33"/>
      <c r="E388" s="34"/>
      <c r="F388" s="34"/>
      <c r="G388" s="35"/>
      <c r="H388" s="34"/>
      <c r="I388" s="37"/>
    </row>
    <row r="389" ht="22.5" customHeight="1">
      <c r="A389" s="30"/>
      <c r="B389" s="31"/>
      <c r="C389" s="32"/>
      <c r="D389" s="33"/>
      <c r="E389" s="34"/>
      <c r="F389" s="34"/>
      <c r="G389" s="35"/>
      <c r="H389" s="34"/>
      <c r="I389" s="37"/>
    </row>
    <row r="390" ht="22.5" customHeight="1">
      <c r="A390" s="30"/>
      <c r="B390" s="31"/>
      <c r="C390" s="32"/>
      <c r="D390" s="33"/>
      <c r="E390" s="34"/>
      <c r="F390" s="34"/>
      <c r="G390" s="35"/>
      <c r="H390" s="34"/>
      <c r="I390" s="37"/>
    </row>
    <row r="391" ht="22.5" customHeight="1">
      <c r="A391" s="30"/>
      <c r="B391" s="31"/>
      <c r="C391" s="32"/>
      <c r="D391" s="33"/>
      <c r="E391" s="34"/>
      <c r="F391" s="34"/>
      <c r="G391" s="35"/>
      <c r="H391" s="34"/>
      <c r="I391" s="37"/>
    </row>
    <row r="392" ht="22.5" customHeight="1">
      <c r="A392" s="30"/>
      <c r="B392" s="31"/>
      <c r="C392" s="32"/>
      <c r="D392" s="33"/>
      <c r="E392" s="34"/>
      <c r="F392" s="34"/>
      <c r="G392" s="35"/>
      <c r="H392" s="34"/>
      <c r="I392" s="37"/>
    </row>
    <row r="393" ht="22.5" customHeight="1">
      <c r="A393" s="30"/>
      <c r="B393" s="39"/>
      <c r="C393" s="32"/>
      <c r="D393" s="33"/>
      <c r="E393" s="34"/>
      <c r="F393" s="34"/>
      <c r="G393" s="35"/>
      <c r="H393" s="34"/>
      <c r="I393" s="37"/>
    </row>
    <row r="394" ht="22.5" customHeight="1">
      <c r="A394" s="30"/>
      <c r="B394" s="39"/>
      <c r="C394" s="32"/>
      <c r="D394" s="33"/>
      <c r="E394" s="34"/>
      <c r="F394" s="34"/>
      <c r="G394" s="35"/>
      <c r="H394" s="34"/>
      <c r="I394" s="37"/>
    </row>
    <row r="395" ht="22.5" customHeight="1">
      <c r="A395" s="30"/>
      <c r="B395" s="39"/>
      <c r="C395" s="32"/>
      <c r="D395" s="33"/>
      <c r="E395" s="34"/>
      <c r="F395" s="34"/>
      <c r="G395" s="35"/>
      <c r="H395" s="34"/>
      <c r="I395" s="37"/>
    </row>
    <row r="396" ht="22.5" customHeight="1">
      <c r="A396" s="30"/>
      <c r="B396" s="40"/>
      <c r="C396" s="32"/>
      <c r="D396" s="33"/>
      <c r="E396" s="34"/>
      <c r="F396" s="34"/>
      <c r="G396" s="35"/>
      <c r="H396" s="34"/>
      <c r="I396" s="37"/>
    </row>
    <row r="397" ht="22.5" customHeight="1">
      <c r="A397" s="30"/>
      <c r="B397" s="31"/>
      <c r="C397" s="32"/>
      <c r="D397" s="33"/>
      <c r="E397" s="34"/>
      <c r="F397" s="34"/>
      <c r="G397" s="35"/>
      <c r="H397" s="34"/>
      <c r="I397" s="37"/>
    </row>
    <row r="398" ht="22.5" customHeight="1">
      <c r="A398" s="30"/>
      <c r="B398" s="31"/>
      <c r="C398" s="32"/>
      <c r="D398" s="33"/>
      <c r="E398" s="34"/>
      <c r="F398" s="34"/>
      <c r="G398" s="35"/>
      <c r="H398" s="34"/>
      <c r="I398" s="37"/>
    </row>
    <row r="399" ht="22.5" customHeight="1">
      <c r="A399" s="30"/>
      <c r="B399" s="31"/>
      <c r="C399" s="32"/>
      <c r="D399" s="33"/>
      <c r="E399" s="34"/>
      <c r="F399" s="34"/>
      <c r="G399" s="35"/>
      <c r="H399" s="34"/>
      <c r="I399" s="37"/>
    </row>
    <row r="400" ht="22.5" customHeight="1">
      <c r="A400" s="30"/>
      <c r="B400" s="31"/>
      <c r="C400" s="32"/>
      <c r="D400" s="33"/>
      <c r="E400" s="34"/>
      <c r="F400" s="34"/>
      <c r="G400" s="35"/>
      <c r="H400" s="34"/>
      <c r="I400" s="37"/>
    </row>
    <row r="401" ht="22.5" customHeight="1">
      <c r="A401" s="30"/>
      <c r="B401" s="31"/>
      <c r="C401" s="32"/>
      <c r="D401" s="33"/>
      <c r="E401" s="34"/>
      <c r="F401" s="34"/>
      <c r="G401" s="35"/>
      <c r="H401" s="34"/>
      <c r="I401" s="37"/>
    </row>
    <row r="402" ht="22.5" customHeight="1">
      <c r="A402" s="30"/>
      <c r="B402" s="31"/>
      <c r="C402" s="32"/>
      <c r="D402" s="33"/>
      <c r="E402" s="34"/>
      <c r="F402" s="34"/>
      <c r="G402" s="35"/>
      <c r="H402" s="34"/>
      <c r="I402" s="37"/>
    </row>
    <row r="403" ht="22.5" customHeight="1">
      <c r="A403" s="30"/>
      <c r="B403" s="31"/>
      <c r="C403" s="32"/>
      <c r="D403" s="33"/>
      <c r="E403" s="34"/>
      <c r="F403" s="34"/>
      <c r="G403" s="35"/>
      <c r="H403" s="34"/>
      <c r="I403" s="37"/>
    </row>
    <row r="404" ht="22.5" customHeight="1">
      <c r="A404" s="30"/>
      <c r="B404" s="31"/>
      <c r="C404" s="32"/>
      <c r="D404" s="33"/>
      <c r="E404" s="34"/>
      <c r="F404" s="34"/>
      <c r="G404" s="35"/>
      <c r="H404" s="34"/>
      <c r="I404" s="37"/>
    </row>
    <row r="405" ht="22.5" customHeight="1">
      <c r="A405" s="30"/>
      <c r="B405" s="31"/>
      <c r="C405" s="32"/>
      <c r="D405" s="33"/>
      <c r="E405" s="34"/>
      <c r="F405" s="34"/>
      <c r="G405" s="35"/>
      <c r="H405" s="34"/>
      <c r="I405" s="37"/>
    </row>
    <row r="406" ht="22.5" customHeight="1">
      <c r="A406" s="30"/>
      <c r="B406" s="40"/>
      <c r="C406" s="32"/>
      <c r="D406" s="33"/>
      <c r="E406" s="34"/>
      <c r="F406" s="34"/>
      <c r="G406" s="35"/>
      <c r="H406" s="34"/>
      <c r="I406" s="37"/>
    </row>
    <row r="407" ht="22.5" customHeight="1">
      <c r="A407" s="30"/>
      <c r="B407" s="31"/>
      <c r="C407" s="32"/>
      <c r="D407" s="33"/>
      <c r="E407" s="34"/>
      <c r="F407" s="34"/>
      <c r="G407" s="35"/>
      <c r="H407" s="34"/>
      <c r="I407" s="37"/>
    </row>
    <row r="408" ht="22.5" customHeight="1">
      <c r="A408" s="30"/>
      <c r="B408" s="31"/>
      <c r="C408" s="32"/>
      <c r="D408" s="33"/>
      <c r="E408" s="34"/>
      <c r="F408" s="34"/>
      <c r="G408" s="35"/>
      <c r="H408" s="34"/>
      <c r="I408" s="37"/>
    </row>
    <row r="409" ht="22.5" customHeight="1">
      <c r="A409" s="30"/>
      <c r="B409" s="31"/>
      <c r="C409" s="32"/>
      <c r="D409" s="33"/>
      <c r="E409" s="34"/>
      <c r="F409" s="34"/>
      <c r="G409" s="35"/>
      <c r="H409" s="34"/>
      <c r="I409" s="37"/>
    </row>
    <row r="410" ht="22.5" customHeight="1">
      <c r="A410" s="30"/>
      <c r="B410" s="40"/>
      <c r="C410" s="32"/>
      <c r="D410" s="33"/>
      <c r="E410" s="34"/>
      <c r="F410" s="34"/>
      <c r="G410" s="35"/>
      <c r="H410" s="34"/>
      <c r="I410" s="37"/>
    </row>
    <row r="411" ht="22.5" customHeight="1">
      <c r="A411" s="30"/>
      <c r="B411" s="31"/>
      <c r="C411" s="32"/>
      <c r="D411" s="33"/>
      <c r="E411" s="34"/>
      <c r="F411" s="34"/>
      <c r="G411" s="35"/>
      <c r="H411" s="34"/>
      <c r="I411" s="37"/>
    </row>
    <row r="412" ht="22.5" customHeight="1">
      <c r="A412" s="30"/>
      <c r="B412" s="31"/>
      <c r="C412" s="32"/>
      <c r="D412" s="33"/>
      <c r="E412" s="34"/>
      <c r="F412" s="34"/>
      <c r="G412" s="35"/>
      <c r="H412" s="34"/>
      <c r="I412" s="37"/>
    </row>
    <row r="413" ht="22.5" customHeight="1">
      <c r="A413" s="30"/>
      <c r="B413" s="31"/>
      <c r="C413" s="32"/>
      <c r="D413" s="33"/>
      <c r="E413" s="34"/>
      <c r="F413" s="34"/>
      <c r="G413" s="35"/>
      <c r="H413" s="34"/>
      <c r="I413" s="37"/>
    </row>
    <row r="414" ht="22.5" customHeight="1">
      <c r="A414" s="30"/>
      <c r="B414" s="31"/>
      <c r="C414" s="32"/>
      <c r="D414" s="33"/>
      <c r="E414" s="34"/>
      <c r="F414" s="34"/>
      <c r="G414" s="35"/>
      <c r="H414" s="34"/>
      <c r="I414" s="37"/>
    </row>
    <row r="415" ht="22.5" customHeight="1">
      <c r="A415" s="30"/>
      <c r="B415" s="31"/>
      <c r="C415" s="32"/>
      <c r="D415" s="33"/>
      <c r="E415" s="34"/>
      <c r="F415" s="34"/>
      <c r="G415" s="35"/>
      <c r="H415" s="34"/>
      <c r="I415" s="37"/>
    </row>
    <row r="416" ht="22.5" customHeight="1">
      <c r="A416" s="30"/>
      <c r="B416" s="31"/>
      <c r="C416" s="32"/>
      <c r="D416" s="33"/>
      <c r="E416" s="34"/>
      <c r="F416" s="34"/>
      <c r="G416" s="35"/>
      <c r="H416" s="34"/>
      <c r="I416" s="37"/>
    </row>
    <row r="417" ht="22.5" customHeight="1">
      <c r="A417" s="30"/>
      <c r="B417" s="31"/>
      <c r="C417" s="32"/>
      <c r="D417" s="33"/>
      <c r="E417" s="34"/>
      <c r="F417" s="34"/>
      <c r="G417" s="35"/>
      <c r="H417" s="34"/>
      <c r="I417" s="37"/>
    </row>
    <row r="418" ht="22.5" customHeight="1">
      <c r="A418" s="30"/>
      <c r="B418" s="31"/>
      <c r="C418" s="32"/>
      <c r="D418" s="33"/>
      <c r="E418" s="34"/>
      <c r="F418" s="34"/>
      <c r="G418" s="35"/>
      <c r="H418" s="34"/>
      <c r="I418" s="37"/>
    </row>
    <row r="419" ht="22.5" customHeight="1">
      <c r="A419" s="30"/>
      <c r="B419" s="31"/>
      <c r="C419" s="32"/>
      <c r="D419" s="33"/>
      <c r="E419" s="34"/>
      <c r="F419" s="34"/>
      <c r="G419" s="35"/>
      <c r="H419" s="34"/>
      <c r="I419" s="37"/>
    </row>
    <row r="420" ht="22.5" customHeight="1">
      <c r="A420" s="30"/>
      <c r="B420" s="31"/>
      <c r="C420" s="32"/>
      <c r="D420" s="33"/>
      <c r="E420" s="34"/>
      <c r="F420" s="34"/>
      <c r="G420" s="35"/>
      <c r="H420" s="34"/>
      <c r="I420" s="37"/>
    </row>
    <row r="421" ht="22.5" customHeight="1">
      <c r="A421" s="30"/>
      <c r="B421" s="31"/>
      <c r="C421" s="32"/>
      <c r="D421" s="33"/>
      <c r="E421" s="34"/>
      <c r="F421" s="34"/>
      <c r="G421" s="35"/>
      <c r="H421" s="34"/>
      <c r="I421" s="37"/>
    </row>
    <row r="422" ht="22.5" customHeight="1">
      <c r="A422" s="30"/>
      <c r="B422" s="31"/>
      <c r="C422" s="32"/>
      <c r="D422" s="33"/>
      <c r="E422" s="34"/>
      <c r="F422" s="34"/>
      <c r="G422" s="35"/>
      <c r="H422" s="34"/>
      <c r="I422" s="37"/>
    </row>
    <row r="423" ht="22.5" customHeight="1">
      <c r="A423" s="30"/>
      <c r="B423" s="31"/>
      <c r="C423" s="32"/>
      <c r="D423" s="33"/>
      <c r="E423" s="34"/>
      <c r="F423" s="34"/>
      <c r="G423" s="35"/>
      <c r="H423" s="34"/>
      <c r="I423" s="37"/>
    </row>
    <row r="424" ht="22.5" customHeight="1">
      <c r="A424" s="30"/>
      <c r="B424" s="31"/>
      <c r="C424" s="32"/>
      <c r="D424" s="33"/>
      <c r="E424" s="34"/>
      <c r="F424" s="34"/>
      <c r="G424" s="35"/>
      <c r="H424" s="34"/>
      <c r="I424" s="37"/>
    </row>
    <row r="425" ht="22.5" customHeight="1">
      <c r="A425" s="30"/>
      <c r="B425" s="40"/>
      <c r="C425" s="32"/>
      <c r="D425" s="33"/>
      <c r="E425" s="34"/>
      <c r="F425" s="34"/>
      <c r="G425" s="35"/>
      <c r="H425" s="34"/>
      <c r="I425" s="37"/>
    </row>
    <row r="426" ht="22.5" customHeight="1">
      <c r="A426" s="30"/>
      <c r="B426" s="31"/>
      <c r="C426" s="32"/>
      <c r="D426" s="33"/>
      <c r="E426" s="34"/>
      <c r="F426" s="34"/>
      <c r="G426" s="35"/>
      <c r="H426" s="34"/>
      <c r="I426" s="37"/>
    </row>
    <row r="427" ht="22.5" customHeight="1">
      <c r="A427" s="30"/>
      <c r="B427" s="40"/>
      <c r="C427" s="32"/>
      <c r="D427" s="33"/>
      <c r="E427" s="34"/>
      <c r="F427" s="34"/>
      <c r="G427" s="35"/>
      <c r="H427" s="34"/>
      <c r="I427" s="37"/>
    </row>
    <row r="428" ht="22.5" customHeight="1">
      <c r="A428" s="30"/>
      <c r="B428" s="31"/>
      <c r="C428" s="32"/>
      <c r="D428" s="33"/>
      <c r="E428" s="34"/>
      <c r="F428" s="34"/>
      <c r="G428" s="35"/>
      <c r="H428" s="34"/>
      <c r="I428" s="37"/>
    </row>
    <row r="429" ht="22.5" customHeight="1">
      <c r="A429" s="30"/>
      <c r="B429" s="31"/>
      <c r="C429" s="32"/>
      <c r="D429" s="33"/>
      <c r="E429" s="34"/>
      <c r="F429" s="34"/>
      <c r="G429" s="35"/>
      <c r="H429" s="34"/>
      <c r="I429" s="37"/>
    </row>
    <row r="430" ht="22.5" customHeight="1">
      <c r="A430" s="30"/>
      <c r="B430" s="31"/>
      <c r="C430" s="32"/>
      <c r="D430" s="33"/>
      <c r="E430" s="34"/>
      <c r="F430" s="34"/>
      <c r="G430" s="35"/>
      <c r="H430" s="34"/>
      <c r="I430" s="37"/>
    </row>
    <row r="431" ht="22.5" customHeight="1">
      <c r="A431" s="30"/>
      <c r="B431" s="31"/>
      <c r="C431" s="32"/>
      <c r="D431" s="33"/>
      <c r="E431" s="34"/>
      <c r="F431" s="34"/>
      <c r="G431" s="35"/>
      <c r="H431" s="34"/>
      <c r="I431" s="37"/>
    </row>
    <row r="432" ht="22.5" customHeight="1">
      <c r="A432" s="30"/>
      <c r="B432" s="40"/>
      <c r="C432" s="32"/>
      <c r="D432" s="33"/>
      <c r="E432" s="34"/>
      <c r="F432" s="34"/>
      <c r="G432" s="35"/>
      <c r="H432" s="34"/>
      <c r="I432" s="37"/>
    </row>
    <row r="433" ht="22.5" customHeight="1">
      <c r="A433" s="30"/>
      <c r="B433" s="31"/>
      <c r="C433" s="32"/>
      <c r="D433" s="33"/>
      <c r="E433" s="34"/>
      <c r="F433" s="34"/>
      <c r="G433" s="35"/>
      <c r="H433" s="34"/>
      <c r="I433" s="37"/>
    </row>
    <row r="434" ht="22.5" customHeight="1">
      <c r="A434" s="30"/>
      <c r="B434" s="31"/>
      <c r="C434" s="32"/>
      <c r="D434" s="33"/>
      <c r="E434" s="34"/>
      <c r="F434" s="34"/>
      <c r="G434" s="35"/>
      <c r="H434" s="34"/>
      <c r="I434" s="37"/>
    </row>
    <row r="435" ht="22.5" customHeight="1">
      <c r="A435" s="30"/>
      <c r="B435" s="31"/>
      <c r="C435" s="32"/>
      <c r="D435" s="33"/>
      <c r="E435" s="34"/>
      <c r="F435" s="34"/>
      <c r="G435" s="35"/>
      <c r="H435" s="34"/>
      <c r="I435" s="37"/>
    </row>
    <row r="436" ht="22.5" customHeight="1">
      <c r="A436" s="30"/>
      <c r="B436" s="31"/>
      <c r="C436" s="32"/>
      <c r="D436" s="33"/>
      <c r="E436" s="34"/>
      <c r="F436" s="34"/>
      <c r="G436" s="35"/>
      <c r="H436" s="34"/>
      <c r="I436" s="37"/>
    </row>
    <row r="437" ht="22.5" customHeight="1">
      <c r="A437" s="30"/>
      <c r="B437" s="31"/>
      <c r="C437" s="32"/>
      <c r="D437" s="33"/>
      <c r="E437" s="34"/>
      <c r="F437" s="34"/>
      <c r="G437" s="35"/>
      <c r="H437" s="34"/>
      <c r="I437" s="37"/>
    </row>
    <row r="438" ht="22.5" customHeight="1">
      <c r="A438" s="30"/>
      <c r="B438" s="31"/>
      <c r="C438" s="32"/>
      <c r="D438" s="33"/>
      <c r="E438" s="34"/>
      <c r="F438" s="34"/>
      <c r="G438" s="35"/>
      <c r="H438" s="34"/>
      <c r="I438" s="37"/>
    </row>
    <row r="439" ht="22.5" customHeight="1">
      <c r="A439" s="30"/>
      <c r="B439" s="31"/>
      <c r="C439" s="32"/>
      <c r="D439" s="33"/>
      <c r="E439" s="34"/>
      <c r="F439" s="34"/>
      <c r="G439" s="35"/>
      <c r="H439" s="34"/>
      <c r="I439" s="37"/>
    </row>
    <row r="440" ht="22.5" customHeight="1">
      <c r="A440" s="30"/>
      <c r="B440" s="31"/>
      <c r="C440" s="32"/>
      <c r="D440" s="33"/>
      <c r="E440" s="34"/>
      <c r="F440" s="34"/>
      <c r="G440" s="35"/>
      <c r="H440" s="34"/>
      <c r="I440" s="37"/>
    </row>
    <row r="441" ht="22.5" customHeight="1">
      <c r="A441" s="30"/>
      <c r="B441" s="31"/>
      <c r="C441" s="32"/>
      <c r="D441" s="33"/>
      <c r="E441" s="34"/>
      <c r="F441" s="34"/>
      <c r="G441" s="35"/>
      <c r="H441" s="34"/>
      <c r="I441" s="37"/>
    </row>
    <row r="442" ht="22.5" customHeight="1">
      <c r="A442" s="30"/>
      <c r="B442" s="31"/>
      <c r="C442" s="32"/>
      <c r="D442" s="33"/>
      <c r="E442" s="34"/>
      <c r="F442" s="34"/>
      <c r="G442" s="35"/>
      <c r="H442" s="34"/>
      <c r="I442" s="37"/>
    </row>
    <row r="443" ht="22.5" customHeight="1">
      <c r="A443" s="30"/>
      <c r="B443" s="31"/>
      <c r="C443" s="32"/>
      <c r="D443" s="33"/>
      <c r="E443" s="34"/>
      <c r="F443" s="34"/>
      <c r="G443" s="35"/>
      <c r="H443" s="34"/>
      <c r="I443" s="37"/>
    </row>
    <row r="444" ht="22.5" customHeight="1">
      <c r="A444" s="30"/>
      <c r="B444" s="31"/>
      <c r="C444" s="32"/>
      <c r="D444" s="33"/>
      <c r="E444" s="34"/>
      <c r="F444" s="34"/>
      <c r="G444" s="35"/>
      <c r="H444" s="34"/>
      <c r="I444" s="37"/>
    </row>
    <row r="445" ht="22.5" customHeight="1">
      <c r="A445" s="30"/>
      <c r="B445" s="31"/>
      <c r="C445" s="32"/>
      <c r="D445" s="33"/>
      <c r="E445" s="34"/>
      <c r="F445" s="34"/>
      <c r="G445" s="35"/>
      <c r="H445" s="34"/>
      <c r="I445" s="37"/>
    </row>
    <row r="446" ht="22.5" customHeight="1">
      <c r="A446" s="30"/>
      <c r="B446" s="31"/>
      <c r="C446" s="32"/>
      <c r="D446" s="33"/>
      <c r="E446" s="34"/>
      <c r="F446" s="34"/>
      <c r="G446" s="35"/>
      <c r="H446" s="34"/>
      <c r="I446" s="37"/>
    </row>
    <row r="447" ht="22.5" customHeight="1">
      <c r="A447" s="30"/>
      <c r="B447" s="31"/>
      <c r="C447" s="32"/>
      <c r="D447" s="33"/>
      <c r="E447" s="34"/>
      <c r="F447" s="34"/>
      <c r="G447" s="35"/>
      <c r="H447" s="34"/>
      <c r="I447" s="37"/>
    </row>
    <row r="448" ht="22.5" customHeight="1">
      <c r="A448" s="30"/>
      <c r="B448" s="31"/>
      <c r="C448" s="32"/>
      <c r="D448" s="33"/>
      <c r="E448" s="34"/>
      <c r="F448" s="34"/>
      <c r="G448" s="35"/>
      <c r="H448" s="34"/>
      <c r="I448" s="37"/>
    </row>
    <row r="449" ht="22.5" customHeight="1">
      <c r="A449" s="30"/>
      <c r="B449" s="31"/>
      <c r="C449" s="32"/>
      <c r="D449" s="33"/>
      <c r="E449" s="34"/>
      <c r="F449" s="34"/>
      <c r="G449" s="35"/>
      <c r="H449" s="34"/>
      <c r="I449" s="37"/>
    </row>
    <row r="450" ht="22.5" customHeight="1">
      <c r="A450" s="30"/>
      <c r="B450" s="31"/>
      <c r="C450" s="32"/>
      <c r="D450" s="33"/>
      <c r="E450" s="34"/>
      <c r="F450" s="34"/>
      <c r="G450" s="35"/>
      <c r="H450" s="34"/>
      <c r="I450" s="37"/>
    </row>
    <row r="451" ht="22.5" customHeight="1">
      <c r="A451" s="30"/>
      <c r="B451" s="31"/>
      <c r="C451" s="32"/>
      <c r="D451" s="33"/>
      <c r="E451" s="34"/>
      <c r="F451" s="34"/>
      <c r="G451" s="35"/>
      <c r="H451" s="34"/>
      <c r="I451" s="37"/>
    </row>
    <row r="452" ht="22.5" customHeight="1">
      <c r="A452" s="30"/>
      <c r="B452" s="31"/>
      <c r="C452" s="32"/>
      <c r="D452" s="33"/>
      <c r="E452" s="34"/>
      <c r="F452" s="34"/>
      <c r="G452" s="35"/>
      <c r="H452" s="34"/>
      <c r="I452" s="37"/>
    </row>
    <row r="453" ht="22.5" customHeight="1">
      <c r="A453" s="30"/>
      <c r="B453" s="31"/>
      <c r="C453" s="32"/>
      <c r="D453" s="33"/>
      <c r="E453" s="34"/>
      <c r="F453" s="34"/>
      <c r="G453" s="35"/>
      <c r="H453" s="34"/>
      <c r="I453" s="37"/>
    </row>
    <row r="454" ht="22.5" customHeight="1">
      <c r="A454" s="30"/>
      <c r="B454" s="40"/>
      <c r="C454" s="32"/>
      <c r="D454" s="33"/>
      <c r="E454" s="34"/>
      <c r="F454" s="34"/>
      <c r="G454" s="35"/>
      <c r="H454" s="34"/>
      <c r="I454" s="37"/>
    </row>
    <row r="455" ht="22.5" customHeight="1">
      <c r="A455" s="30"/>
      <c r="B455" s="31"/>
      <c r="C455" s="32"/>
      <c r="D455" s="33"/>
      <c r="E455" s="34"/>
      <c r="F455" s="34"/>
      <c r="G455" s="35"/>
      <c r="H455" s="34"/>
      <c r="I455" s="37"/>
    </row>
    <row r="456" ht="22.5" customHeight="1">
      <c r="A456" s="30"/>
      <c r="B456" s="31"/>
      <c r="C456" s="32"/>
      <c r="D456" s="33"/>
      <c r="E456" s="34"/>
      <c r="F456" s="34"/>
      <c r="G456" s="35"/>
      <c r="H456" s="34"/>
      <c r="I456" s="37"/>
    </row>
    <row r="457" ht="22.5" customHeight="1">
      <c r="A457" s="30"/>
      <c r="B457" s="31"/>
      <c r="C457" s="32"/>
      <c r="D457" s="33"/>
      <c r="E457" s="34"/>
      <c r="F457" s="34"/>
      <c r="G457" s="35"/>
      <c r="H457" s="34"/>
      <c r="I457" s="37"/>
    </row>
    <row r="458" ht="22.5" customHeight="1">
      <c r="A458" s="30"/>
      <c r="B458" s="31"/>
      <c r="C458" s="32"/>
      <c r="D458" s="33"/>
      <c r="E458" s="34"/>
      <c r="F458" s="34"/>
      <c r="G458" s="35"/>
      <c r="H458" s="34"/>
      <c r="I458" s="38"/>
    </row>
    <row r="459" ht="22.5" customHeight="1">
      <c r="A459" s="30"/>
      <c r="B459" s="39"/>
      <c r="C459" s="32"/>
      <c r="D459" s="33"/>
      <c r="E459" s="34"/>
      <c r="F459" s="34"/>
      <c r="G459" s="35"/>
      <c r="H459" s="34"/>
      <c r="I459" s="37"/>
    </row>
    <row r="460" ht="22.5" customHeight="1">
      <c r="A460" s="30"/>
      <c r="B460" s="31"/>
      <c r="C460" s="32"/>
      <c r="D460" s="33"/>
      <c r="E460" s="34"/>
      <c r="F460" s="34"/>
      <c r="G460" s="35"/>
      <c r="H460" s="34"/>
      <c r="I460" s="37"/>
    </row>
    <row r="461" ht="22.5" customHeight="1">
      <c r="A461" s="30"/>
      <c r="B461" s="31"/>
      <c r="C461" s="32"/>
      <c r="D461" s="33"/>
      <c r="E461" s="34"/>
      <c r="F461" s="34"/>
      <c r="G461" s="35"/>
      <c r="H461" s="34"/>
      <c r="I461" s="37"/>
    </row>
    <row r="462" ht="22.5" customHeight="1">
      <c r="A462" s="30"/>
      <c r="B462" s="31"/>
      <c r="C462" s="32"/>
      <c r="D462" s="33"/>
      <c r="E462" s="34"/>
      <c r="F462" s="34"/>
      <c r="G462" s="35"/>
      <c r="H462" s="34"/>
      <c r="I462" s="37"/>
    </row>
    <row r="463" ht="22.5" customHeight="1">
      <c r="A463" s="30"/>
      <c r="B463" s="39"/>
      <c r="C463" s="32"/>
      <c r="D463" s="33"/>
      <c r="E463" s="34"/>
      <c r="F463" s="34"/>
      <c r="G463" s="35"/>
      <c r="H463" s="34"/>
      <c r="I463" s="37"/>
    </row>
    <row r="464" ht="22.5" customHeight="1">
      <c r="A464" s="30"/>
      <c r="B464" s="31"/>
      <c r="C464" s="32"/>
      <c r="D464" s="33"/>
      <c r="E464" s="34"/>
      <c r="F464" s="34"/>
      <c r="G464" s="35"/>
      <c r="H464" s="34"/>
      <c r="I464" s="37"/>
    </row>
    <row r="465" ht="22.5" customHeight="1">
      <c r="A465" s="30"/>
      <c r="B465" s="39"/>
      <c r="C465" s="32"/>
      <c r="D465" s="33"/>
      <c r="E465" s="34"/>
      <c r="F465" s="34"/>
      <c r="G465" s="35"/>
      <c r="H465" s="34"/>
      <c r="I465" s="37"/>
    </row>
    <row r="466" ht="22.5" customHeight="1">
      <c r="A466" s="30"/>
      <c r="B466" s="31"/>
      <c r="C466" s="32"/>
      <c r="D466" s="33"/>
      <c r="E466" s="34"/>
      <c r="F466" s="34"/>
      <c r="G466" s="35"/>
      <c r="H466" s="34"/>
      <c r="I466" s="37"/>
    </row>
    <row r="467" ht="22.5" customHeight="1">
      <c r="A467" s="30"/>
      <c r="B467" s="31"/>
      <c r="C467" s="32"/>
      <c r="D467" s="33"/>
      <c r="E467" s="34"/>
      <c r="F467" s="34"/>
      <c r="G467" s="35"/>
      <c r="H467" s="34"/>
      <c r="I467" s="37"/>
    </row>
    <row r="468" ht="22.5" customHeight="1">
      <c r="A468" s="30"/>
      <c r="B468" s="31"/>
      <c r="C468" s="32"/>
      <c r="D468" s="33"/>
      <c r="E468" s="34"/>
      <c r="F468" s="34"/>
      <c r="G468" s="35"/>
      <c r="H468" s="34"/>
      <c r="I468" s="37"/>
    </row>
    <row r="469" ht="22.5" customHeight="1">
      <c r="A469" s="30"/>
      <c r="B469" s="31"/>
      <c r="C469" s="32"/>
      <c r="D469" s="33"/>
      <c r="E469" s="34"/>
      <c r="F469" s="34"/>
      <c r="G469" s="35"/>
      <c r="H469" s="34"/>
      <c r="I469" s="37"/>
    </row>
    <row r="470" ht="22.5" customHeight="1">
      <c r="A470" s="30"/>
      <c r="B470" s="31"/>
      <c r="C470" s="32"/>
      <c r="D470" s="33"/>
      <c r="E470" s="34"/>
      <c r="F470" s="34"/>
      <c r="G470" s="35"/>
      <c r="H470" s="34"/>
      <c r="I470" s="37"/>
    </row>
    <row r="471" ht="22.5" customHeight="1">
      <c r="A471" s="30"/>
      <c r="B471" s="31"/>
      <c r="C471" s="32"/>
      <c r="D471" s="33"/>
      <c r="E471" s="34"/>
      <c r="F471" s="34"/>
      <c r="G471" s="35"/>
      <c r="H471" s="34"/>
      <c r="I471" s="37"/>
    </row>
    <row r="472" ht="22.5" customHeight="1">
      <c r="A472" s="30"/>
      <c r="B472" s="31"/>
      <c r="C472" s="32"/>
      <c r="D472" s="33"/>
      <c r="E472" s="34"/>
      <c r="F472" s="34"/>
      <c r="G472" s="35"/>
      <c r="H472" s="34"/>
      <c r="I472" s="37"/>
    </row>
    <row r="473" ht="22.5" customHeight="1">
      <c r="A473" s="30"/>
      <c r="B473" s="31"/>
      <c r="C473" s="32"/>
      <c r="D473" s="33"/>
      <c r="E473" s="34"/>
      <c r="F473" s="34"/>
      <c r="G473" s="35"/>
      <c r="H473" s="34"/>
      <c r="I473" s="37"/>
    </row>
    <row r="474" ht="22.5" customHeight="1">
      <c r="A474" s="30"/>
      <c r="B474" s="31"/>
      <c r="C474" s="32"/>
      <c r="D474" s="33"/>
      <c r="E474" s="34"/>
      <c r="F474" s="34"/>
      <c r="G474" s="35"/>
      <c r="H474" s="34"/>
      <c r="I474" s="37"/>
    </row>
    <row r="475" ht="22.5" customHeight="1">
      <c r="A475" s="30"/>
      <c r="B475" s="31"/>
      <c r="C475" s="32"/>
      <c r="D475" s="33"/>
      <c r="E475" s="34"/>
      <c r="F475" s="34"/>
      <c r="G475" s="35"/>
      <c r="H475" s="34"/>
      <c r="I475" s="37"/>
    </row>
    <row r="476" ht="22.5" customHeight="1">
      <c r="A476" s="30"/>
      <c r="B476" s="40"/>
      <c r="C476" s="32"/>
      <c r="D476" s="33"/>
      <c r="E476" s="34"/>
      <c r="F476" s="34"/>
      <c r="G476" s="35"/>
      <c r="H476" s="34"/>
      <c r="I476" s="37"/>
    </row>
    <row r="477" ht="22.5" customHeight="1">
      <c r="A477" s="30"/>
      <c r="B477" s="31"/>
      <c r="C477" s="32"/>
      <c r="D477" s="33"/>
      <c r="E477" s="34"/>
      <c r="F477" s="34"/>
      <c r="G477" s="35"/>
      <c r="H477" s="34"/>
      <c r="I477" s="37"/>
    </row>
    <row r="478" ht="22.5" customHeight="1">
      <c r="A478" s="30"/>
      <c r="B478" s="31"/>
      <c r="C478" s="32"/>
      <c r="D478" s="33"/>
      <c r="E478" s="34"/>
      <c r="F478" s="34"/>
      <c r="G478" s="35"/>
      <c r="H478" s="34"/>
      <c r="I478" s="37"/>
    </row>
    <row r="479" ht="22.5" customHeight="1">
      <c r="A479" s="30"/>
      <c r="B479" s="31"/>
      <c r="C479" s="32"/>
      <c r="D479" s="33"/>
      <c r="E479" s="34"/>
      <c r="F479" s="34"/>
      <c r="G479" s="35"/>
      <c r="H479" s="34"/>
      <c r="I479" s="37"/>
    </row>
    <row r="480" ht="22.5" customHeight="1">
      <c r="A480" s="30"/>
      <c r="B480" s="31"/>
      <c r="C480" s="32"/>
      <c r="D480" s="33"/>
      <c r="E480" s="34"/>
      <c r="F480" s="34"/>
      <c r="G480" s="35"/>
      <c r="H480" s="34"/>
      <c r="I480" s="37"/>
    </row>
    <row r="481" ht="22.5" customHeight="1">
      <c r="A481" s="30"/>
      <c r="B481" s="31"/>
      <c r="C481" s="32"/>
      <c r="D481" s="33"/>
      <c r="E481" s="34"/>
      <c r="F481" s="34"/>
      <c r="G481" s="35"/>
      <c r="H481" s="34"/>
      <c r="I481" s="37"/>
    </row>
    <row r="482" ht="22.5" customHeight="1">
      <c r="A482" s="30"/>
      <c r="B482" s="31"/>
      <c r="C482" s="32"/>
      <c r="D482" s="33"/>
      <c r="E482" s="34"/>
      <c r="F482" s="34"/>
      <c r="G482" s="35"/>
      <c r="H482" s="34"/>
      <c r="I482" s="37"/>
    </row>
    <row r="483" ht="22.5" customHeight="1">
      <c r="A483" s="30"/>
      <c r="B483" s="39"/>
      <c r="C483" s="32"/>
      <c r="D483" s="33"/>
      <c r="E483" s="34"/>
      <c r="F483" s="34"/>
      <c r="G483" s="35"/>
      <c r="H483" s="34"/>
      <c r="I483" s="37"/>
    </row>
    <row r="484" ht="22.5" customHeight="1">
      <c r="A484" s="30"/>
      <c r="B484" s="39"/>
      <c r="C484" s="32"/>
      <c r="D484" s="33"/>
      <c r="E484" s="34"/>
      <c r="F484" s="34"/>
      <c r="G484" s="35"/>
      <c r="H484" s="34"/>
      <c r="I484" s="37"/>
    </row>
    <row r="485" ht="22.5" customHeight="1">
      <c r="A485" s="30"/>
      <c r="B485" s="39"/>
      <c r="C485" s="32"/>
      <c r="D485" s="33"/>
      <c r="E485" s="34"/>
      <c r="F485" s="34"/>
      <c r="G485" s="35"/>
      <c r="H485" s="34"/>
      <c r="I485" s="37"/>
    </row>
    <row r="486" ht="22.5" customHeight="1">
      <c r="A486" s="30"/>
      <c r="B486" s="40"/>
      <c r="C486" s="32"/>
      <c r="D486" s="33"/>
      <c r="E486" s="34"/>
      <c r="F486" s="34"/>
      <c r="G486" s="35"/>
      <c r="H486" s="34"/>
      <c r="I486" s="37"/>
    </row>
    <row r="487" ht="22.5" customHeight="1">
      <c r="A487" s="30"/>
      <c r="B487" s="31"/>
      <c r="C487" s="32"/>
      <c r="D487" s="33"/>
      <c r="E487" s="34"/>
      <c r="F487" s="34"/>
      <c r="G487" s="35"/>
      <c r="H487" s="34"/>
      <c r="I487" s="37"/>
    </row>
    <row r="488" ht="22.5" customHeight="1">
      <c r="A488" s="30"/>
      <c r="B488" s="31"/>
      <c r="C488" s="32"/>
      <c r="D488" s="33"/>
      <c r="E488" s="34"/>
      <c r="F488" s="34"/>
      <c r="G488" s="35"/>
      <c r="H488" s="34"/>
      <c r="I488" s="37"/>
    </row>
    <row r="489" ht="22.5" customHeight="1">
      <c r="A489" s="30"/>
      <c r="B489" s="31"/>
      <c r="C489" s="32"/>
      <c r="D489" s="33"/>
      <c r="E489" s="34"/>
      <c r="F489" s="34"/>
      <c r="G489" s="35"/>
      <c r="H489" s="34"/>
      <c r="I489" s="37"/>
    </row>
    <row r="490" ht="22.5" customHeight="1">
      <c r="A490" s="30"/>
      <c r="B490" s="31"/>
      <c r="C490" s="32"/>
      <c r="D490" s="33"/>
      <c r="E490" s="34"/>
      <c r="F490" s="34"/>
      <c r="G490" s="35"/>
      <c r="H490" s="34"/>
      <c r="I490" s="37"/>
    </row>
    <row r="491" ht="22.5" customHeight="1">
      <c r="A491" s="30"/>
      <c r="B491" s="31"/>
      <c r="C491" s="32"/>
      <c r="D491" s="33"/>
      <c r="E491" s="34"/>
      <c r="F491" s="34"/>
      <c r="G491" s="35"/>
      <c r="H491" s="34"/>
      <c r="I491" s="37"/>
    </row>
    <row r="492" ht="22.5" customHeight="1">
      <c r="A492" s="30"/>
      <c r="B492" s="31"/>
      <c r="C492" s="32"/>
      <c r="D492" s="33"/>
      <c r="E492" s="34"/>
      <c r="F492" s="34"/>
      <c r="G492" s="35"/>
      <c r="H492" s="34"/>
      <c r="I492" s="37"/>
    </row>
    <row r="493" ht="22.5" customHeight="1">
      <c r="A493" s="30"/>
      <c r="B493" s="31"/>
      <c r="C493" s="32"/>
      <c r="D493" s="33"/>
      <c r="E493" s="34"/>
      <c r="F493" s="34"/>
      <c r="G493" s="35"/>
      <c r="H493" s="34"/>
      <c r="I493" s="37"/>
    </row>
    <row r="494" ht="22.5" customHeight="1">
      <c r="A494" s="30"/>
      <c r="B494" s="31"/>
      <c r="C494" s="32"/>
      <c r="D494" s="33"/>
      <c r="E494" s="34"/>
      <c r="F494" s="34"/>
      <c r="G494" s="35"/>
      <c r="H494" s="34"/>
      <c r="I494" s="37"/>
    </row>
    <row r="495" ht="22.5" customHeight="1">
      <c r="A495" s="30"/>
      <c r="B495" s="31"/>
      <c r="C495" s="32"/>
      <c r="D495" s="33"/>
      <c r="E495" s="34"/>
      <c r="F495" s="34"/>
      <c r="G495" s="35"/>
      <c r="H495" s="34"/>
      <c r="I495" s="37"/>
    </row>
    <row r="496" ht="22.5" customHeight="1">
      <c r="A496" s="30"/>
      <c r="B496" s="40"/>
      <c r="C496" s="32"/>
      <c r="D496" s="33"/>
      <c r="E496" s="34"/>
      <c r="F496" s="34"/>
      <c r="G496" s="35"/>
      <c r="H496" s="34"/>
      <c r="I496" s="37"/>
    </row>
    <row r="497" ht="22.5" customHeight="1">
      <c r="A497" s="30"/>
      <c r="B497" s="31"/>
      <c r="C497" s="32"/>
      <c r="D497" s="33"/>
      <c r="E497" s="34"/>
      <c r="F497" s="34"/>
      <c r="G497" s="35"/>
      <c r="H497" s="34"/>
      <c r="I497" s="37"/>
    </row>
    <row r="498" ht="22.5" customHeight="1">
      <c r="A498" s="30"/>
      <c r="B498" s="31"/>
      <c r="C498" s="32"/>
      <c r="D498" s="33"/>
      <c r="E498" s="34"/>
      <c r="F498" s="34"/>
      <c r="G498" s="35"/>
      <c r="H498" s="34"/>
      <c r="I498" s="37"/>
    </row>
    <row r="499" ht="22.5" customHeight="1">
      <c r="A499" s="30"/>
      <c r="B499" s="31"/>
      <c r="C499" s="32"/>
      <c r="D499" s="33"/>
      <c r="E499" s="34"/>
      <c r="F499" s="34"/>
      <c r="G499" s="35"/>
      <c r="H499" s="34"/>
      <c r="I499" s="37"/>
    </row>
    <row r="500" ht="22.5" customHeight="1">
      <c r="A500" s="30"/>
      <c r="B500" s="40"/>
      <c r="C500" s="32"/>
      <c r="D500" s="33"/>
      <c r="E500" s="34"/>
      <c r="F500" s="34"/>
      <c r="G500" s="35"/>
      <c r="H500" s="34"/>
      <c r="I500" s="37"/>
    </row>
    <row r="501" ht="22.5" customHeight="1">
      <c r="A501" s="30"/>
      <c r="B501" s="31"/>
      <c r="C501" s="32"/>
      <c r="D501" s="33"/>
      <c r="E501" s="34"/>
      <c r="F501" s="34"/>
      <c r="G501" s="35"/>
      <c r="H501" s="34"/>
      <c r="I501" s="37"/>
    </row>
    <row r="502" ht="22.5" customHeight="1">
      <c r="A502" s="30"/>
      <c r="B502" s="31"/>
      <c r="C502" s="32"/>
      <c r="D502" s="33"/>
      <c r="E502" s="34"/>
      <c r="F502" s="34"/>
      <c r="G502" s="35"/>
      <c r="H502" s="34"/>
      <c r="I502" s="37"/>
    </row>
    <row r="503" ht="22.5" customHeight="1">
      <c r="A503" s="30"/>
      <c r="B503" s="31"/>
      <c r="C503" s="32"/>
      <c r="D503" s="33"/>
      <c r="E503" s="34"/>
      <c r="F503" s="34"/>
      <c r="G503" s="35"/>
      <c r="H503" s="34"/>
      <c r="I503" s="37"/>
    </row>
    <row r="504" ht="22.5" customHeight="1">
      <c r="A504" s="30"/>
      <c r="B504" s="31"/>
      <c r="C504" s="32"/>
      <c r="D504" s="33"/>
      <c r="E504" s="34"/>
      <c r="F504" s="34"/>
      <c r="G504" s="35"/>
      <c r="H504" s="34"/>
      <c r="I504" s="37"/>
    </row>
    <row r="505" ht="22.5" customHeight="1">
      <c r="A505" s="30"/>
      <c r="B505" s="31"/>
      <c r="C505" s="32"/>
      <c r="D505" s="33"/>
      <c r="E505" s="34"/>
      <c r="F505" s="34"/>
      <c r="G505" s="35"/>
      <c r="H505" s="34"/>
      <c r="I505" s="37"/>
    </row>
    <row r="506" ht="22.5" customHeight="1">
      <c r="A506" s="30"/>
      <c r="B506" s="31"/>
      <c r="C506" s="32"/>
      <c r="D506" s="33"/>
      <c r="E506" s="34"/>
      <c r="F506" s="34"/>
      <c r="G506" s="35"/>
      <c r="H506" s="34"/>
      <c r="I506" s="37"/>
    </row>
    <row r="507" ht="22.5" customHeight="1">
      <c r="A507" s="30"/>
      <c r="B507" s="31"/>
      <c r="C507" s="32"/>
      <c r="D507" s="33"/>
      <c r="E507" s="34"/>
      <c r="F507" s="34"/>
      <c r="G507" s="35"/>
      <c r="H507" s="34"/>
      <c r="I507" s="37"/>
    </row>
    <row r="508" ht="22.5" customHeight="1">
      <c r="A508" s="30"/>
      <c r="B508" s="31"/>
      <c r="C508" s="32"/>
      <c r="D508" s="33"/>
      <c r="E508" s="34"/>
      <c r="F508" s="34"/>
      <c r="G508" s="35"/>
      <c r="H508" s="34"/>
      <c r="I508" s="37"/>
    </row>
    <row r="509" ht="22.5" customHeight="1">
      <c r="A509" s="30"/>
      <c r="B509" s="31"/>
      <c r="C509" s="32"/>
      <c r="D509" s="33"/>
      <c r="E509" s="34"/>
      <c r="F509" s="34"/>
      <c r="G509" s="35"/>
      <c r="H509" s="34"/>
      <c r="I509" s="37"/>
    </row>
    <row r="510" ht="22.5" customHeight="1">
      <c r="A510" s="30"/>
      <c r="B510" s="31"/>
      <c r="C510" s="32"/>
      <c r="D510" s="33"/>
      <c r="E510" s="34"/>
      <c r="F510" s="34"/>
      <c r="G510" s="35"/>
      <c r="H510" s="34"/>
      <c r="I510" s="37"/>
    </row>
    <row r="511" ht="22.5" customHeight="1">
      <c r="A511" s="30"/>
      <c r="B511" s="31"/>
      <c r="C511" s="32"/>
      <c r="D511" s="33"/>
      <c r="E511" s="34"/>
      <c r="F511" s="34"/>
      <c r="G511" s="35"/>
      <c r="H511" s="34"/>
      <c r="I511" s="37"/>
    </row>
    <row r="512" ht="22.5" customHeight="1">
      <c r="A512" s="30"/>
      <c r="B512" s="31"/>
      <c r="C512" s="32"/>
      <c r="D512" s="33"/>
      <c r="E512" s="34"/>
      <c r="F512" s="34"/>
      <c r="G512" s="35"/>
      <c r="H512" s="34"/>
      <c r="I512" s="37"/>
    </row>
    <row r="513" ht="22.5" customHeight="1">
      <c r="A513" s="30"/>
      <c r="B513" s="31"/>
      <c r="C513" s="32"/>
      <c r="D513" s="33"/>
      <c r="E513" s="34"/>
      <c r="F513" s="34"/>
      <c r="G513" s="35"/>
      <c r="H513" s="34"/>
      <c r="I513" s="37"/>
    </row>
    <row r="514" ht="22.5" customHeight="1">
      <c r="A514" s="30"/>
      <c r="B514" s="31"/>
      <c r="C514" s="32"/>
      <c r="D514" s="33"/>
      <c r="E514" s="34"/>
      <c r="F514" s="34"/>
      <c r="G514" s="35"/>
      <c r="H514" s="34"/>
      <c r="I514" s="37"/>
    </row>
    <row r="515" ht="22.5" customHeight="1">
      <c r="A515" s="30"/>
      <c r="B515" s="40"/>
      <c r="C515" s="32"/>
      <c r="D515" s="33"/>
      <c r="E515" s="34"/>
      <c r="F515" s="34"/>
      <c r="G515" s="35"/>
      <c r="H515" s="34"/>
      <c r="I515" s="37"/>
    </row>
    <row r="516" ht="22.5" customHeight="1">
      <c r="A516" s="30"/>
      <c r="B516" s="31"/>
      <c r="C516" s="32"/>
      <c r="D516" s="33"/>
      <c r="E516" s="34"/>
      <c r="F516" s="34"/>
      <c r="G516" s="35"/>
      <c r="H516" s="34"/>
      <c r="I516" s="37"/>
    </row>
    <row r="517" ht="22.5" customHeight="1">
      <c r="A517" s="30"/>
      <c r="B517" s="40"/>
      <c r="C517" s="32"/>
      <c r="D517" s="33"/>
      <c r="E517" s="34"/>
      <c r="F517" s="34"/>
      <c r="G517" s="35"/>
      <c r="H517" s="34"/>
      <c r="I517" s="37"/>
    </row>
    <row r="518" ht="22.5" customHeight="1">
      <c r="A518" s="30"/>
      <c r="B518" s="31"/>
      <c r="C518" s="32"/>
      <c r="D518" s="33"/>
      <c r="E518" s="34"/>
      <c r="F518" s="34"/>
      <c r="G518" s="35"/>
      <c r="H518" s="34"/>
      <c r="I518" s="37"/>
    </row>
    <row r="519" ht="22.5" customHeight="1">
      <c r="A519" s="30"/>
      <c r="B519" s="31"/>
      <c r="C519" s="32"/>
      <c r="D519" s="33"/>
      <c r="E519" s="34"/>
      <c r="F519" s="34"/>
      <c r="G519" s="35"/>
      <c r="H519" s="34"/>
      <c r="I519" s="37"/>
    </row>
    <row r="520" ht="22.5" customHeight="1">
      <c r="A520" s="30"/>
      <c r="B520" s="31"/>
      <c r="C520" s="32"/>
      <c r="D520" s="33"/>
      <c r="E520" s="34"/>
      <c r="F520" s="34"/>
      <c r="G520" s="35"/>
      <c r="H520" s="34"/>
      <c r="I520" s="37"/>
    </row>
    <row r="521" ht="22.5" customHeight="1">
      <c r="A521" s="30"/>
      <c r="B521" s="31"/>
      <c r="C521" s="32"/>
      <c r="D521" s="33"/>
      <c r="E521" s="34"/>
      <c r="F521" s="34"/>
      <c r="G521" s="35"/>
      <c r="H521" s="34"/>
      <c r="I521" s="37"/>
    </row>
    <row r="522" ht="22.5" customHeight="1">
      <c r="A522" s="30"/>
      <c r="B522" s="40"/>
      <c r="C522" s="32"/>
      <c r="D522" s="33"/>
      <c r="E522" s="34"/>
      <c r="F522" s="34"/>
      <c r="G522" s="35"/>
      <c r="H522" s="34"/>
      <c r="I522" s="37"/>
    </row>
    <row r="523" ht="22.5" customHeight="1">
      <c r="A523" s="30"/>
      <c r="B523" s="31"/>
      <c r="C523" s="32"/>
      <c r="D523" s="33"/>
      <c r="E523" s="34"/>
      <c r="F523" s="34"/>
      <c r="G523" s="35"/>
      <c r="H523" s="34"/>
      <c r="I523" s="37"/>
    </row>
    <row r="524" ht="22.5" customHeight="1">
      <c r="A524" s="30"/>
      <c r="B524" s="31"/>
      <c r="C524" s="32"/>
      <c r="D524" s="33"/>
      <c r="E524" s="34"/>
      <c r="F524" s="34"/>
      <c r="G524" s="35"/>
      <c r="H524" s="34"/>
      <c r="I524" s="37"/>
    </row>
    <row r="525" ht="22.5" customHeight="1">
      <c r="A525" s="30"/>
      <c r="B525" s="31"/>
      <c r="C525" s="32"/>
      <c r="D525" s="33"/>
      <c r="E525" s="34"/>
      <c r="F525" s="34"/>
      <c r="G525" s="35"/>
      <c r="H525" s="34"/>
      <c r="I525" s="37"/>
    </row>
    <row r="526" ht="22.5" customHeight="1">
      <c r="A526" s="30"/>
      <c r="B526" s="31"/>
      <c r="C526" s="32"/>
      <c r="D526" s="33"/>
      <c r="E526" s="34"/>
      <c r="F526" s="34"/>
      <c r="G526" s="35"/>
      <c r="H526" s="34"/>
      <c r="I526" s="37"/>
    </row>
    <row r="527" ht="22.5" customHeight="1">
      <c r="A527" s="30"/>
      <c r="B527" s="31"/>
      <c r="C527" s="32"/>
      <c r="D527" s="33"/>
      <c r="E527" s="34"/>
      <c r="F527" s="34"/>
      <c r="G527" s="35"/>
      <c r="H527" s="34"/>
      <c r="I527" s="37"/>
    </row>
    <row r="528" ht="22.5" customHeight="1">
      <c r="A528" s="30"/>
      <c r="B528" s="31"/>
      <c r="C528" s="32"/>
      <c r="D528" s="33"/>
      <c r="E528" s="34"/>
      <c r="F528" s="34"/>
      <c r="G528" s="35"/>
      <c r="H528" s="34"/>
      <c r="I528" s="37"/>
    </row>
    <row r="529" ht="22.5" customHeight="1">
      <c r="A529" s="30"/>
      <c r="B529" s="31"/>
      <c r="C529" s="32"/>
      <c r="D529" s="33"/>
      <c r="E529" s="34"/>
      <c r="F529" s="34"/>
      <c r="G529" s="35"/>
      <c r="H529" s="34"/>
      <c r="I529" s="37"/>
    </row>
    <row r="530" ht="22.5" customHeight="1">
      <c r="A530" s="30"/>
      <c r="B530" s="31"/>
      <c r="C530" s="32"/>
      <c r="D530" s="33"/>
      <c r="E530" s="34"/>
      <c r="F530" s="34"/>
      <c r="G530" s="35"/>
      <c r="H530" s="34"/>
      <c r="I530" s="37"/>
    </row>
    <row r="531" ht="22.5" customHeight="1">
      <c r="A531" s="30"/>
      <c r="B531" s="31"/>
      <c r="C531" s="32"/>
      <c r="D531" s="33"/>
      <c r="E531" s="34"/>
      <c r="F531" s="34"/>
      <c r="G531" s="35"/>
      <c r="H531" s="34"/>
      <c r="I531" s="37"/>
    </row>
    <row r="532" ht="22.5" customHeight="1">
      <c r="A532" s="30"/>
      <c r="B532" s="31"/>
      <c r="C532" s="32"/>
      <c r="D532" s="33"/>
      <c r="E532" s="34"/>
      <c r="F532" s="34"/>
      <c r="G532" s="35"/>
      <c r="H532" s="34"/>
      <c r="I532" s="37"/>
    </row>
    <row r="533" ht="22.5" customHeight="1">
      <c r="A533" s="30"/>
      <c r="B533" s="31"/>
      <c r="C533" s="32"/>
      <c r="D533" s="33"/>
      <c r="E533" s="34"/>
      <c r="F533" s="34"/>
      <c r="G533" s="35"/>
      <c r="H533" s="34"/>
      <c r="I533" s="37"/>
    </row>
    <row r="534" ht="22.5" customHeight="1">
      <c r="A534" s="30"/>
      <c r="B534" s="31"/>
      <c r="C534" s="32"/>
      <c r="D534" s="33"/>
      <c r="E534" s="34"/>
      <c r="F534" s="34"/>
      <c r="G534" s="35"/>
      <c r="H534" s="34"/>
      <c r="I534" s="37"/>
    </row>
    <row r="535" ht="22.5" customHeight="1">
      <c r="A535" s="30"/>
      <c r="B535" s="31"/>
      <c r="C535" s="32"/>
      <c r="D535" s="33"/>
      <c r="E535" s="34"/>
      <c r="F535" s="34"/>
      <c r="G535" s="35"/>
      <c r="H535" s="34"/>
      <c r="I535" s="37"/>
    </row>
    <row r="536" ht="22.5" customHeight="1">
      <c r="A536" s="30"/>
      <c r="B536" s="31"/>
      <c r="C536" s="32"/>
      <c r="D536" s="33"/>
      <c r="E536" s="34"/>
      <c r="F536" s="34"/>
      <c r="G536" s="35"/>
      <c r="H536" s="34"/>
      <c r="I536" s="37"/>
    </row>
    <row r="537" ht="22.5" customHeight="1">
      <c r="A537" s="30"/>
      <c r="B537" s="31"/>
      <c r="C537" s="32"/>
      <c r="D537" s="33"/>
      <c r="E537" s="34"/>
      <c r="F537" s="34"/>
      <c r="G537" s="35"/>
      <c r="H537" s="34"/>
      <c r="I537" s="37"/>
    </row>
    <row r="538" ht="22.5" customHeight="1">
      <c r="A538" s="30"/>
      <c r="B538" s="31"/>
      <c r="C538" s="32"/>
      <c r="D538" s="33"/>
      <c r="E538" s="34"/>
      <c r="F538" s="34"/>
      <c r="G538" s="35"/>
      <c r="H538" s="34"/>
      <c r="I538" s="37"/>
    </row>
    <row r="539" ht="22.5" customHeight="1">
      <c r="A539" s="30"/>
      <c r="B539" s="31"/>
      <c r="C539" s="32"/>
      <c r="D539" s="33"/>
      <c r="E539" s="34"/>
      <c r="F539" s="34"/>
      <c r="G539" s="35"/>
      <c r="H539" s="34"/>
      <c r="I539" s="37"/>
    </row>
    <row r="540" ht="22.5" customHeight="1">
      <c r="A540" s="30"/>
      <c r="B540" s="31"/>
      <c r="C540" s="32"/>
      <c r="D540" s="33"/>
      <c r="E540" s="34"/>
      <c r="F540" s="34"/>
      <c r="G540" s="35"/>
      <c r="H540" s="34"/>
      <c r="I540" s="37"/>
    </row>
    <row r="541" ht="22.5" customHeight="1">
      <c r="A541" s="30"/>
      <c r="B541" s="31"/>
      <c r="C541" s="32"/>
      <c r="D541" s="33"/>
      <c r="E541" s="34"/>
      <c r="F541" s="34"/>
      <c r="G541" s="35"/>
      <c r="H541" s="34"/>
      <c r="I541" s="37"/>
    </row>
    <row r="542" ht="22.5" customHeight="1">
      <c r="A542" s="30"/>
      <c r="B542" s="31"/>
      <c r="C542" s="32"/>
      <c r="D542" s="33"/>
      <c r="E542" s="34"/>
      <c r="F542" s="34"/>
      <c r="G542" s="35"/>
      <c r="H542" s="34"/>
      <c r="I542" s="37"/>
    </row>
    <row r="543" ht="22.5" customHeight="1">
      <c r="A543" s="30"/>
      <c r="B543" s="31"/>
      <c r="C543" s="32"/>
      <c r="D543" s="33"/>
      <c r="E543" s="34"/>
      <c r="F543" s="34"/>
      <c r="G543" s="35"/>
      <c r="H543" s="34"/>
      <c r="I543" s="37"/>
    </row>
    <row r="544" ht="22.5" customHeight="1">
      <c r="A544" s="30"/>
      <c r="B544" s="40"/>
      <c r="C544" s="32"/>
      <c r="D544" s="33"/>
      <c r="E544" s="34"/>
      <c r="F544" s="34"/>
      <c r="G544" s="35"/>
      <c r="H544" s="34"/>
      <c r="I544" s="37"/>
    </row>
    <row r="545" ht="22.5" customHeight="1">
      <c r="A545" s="30"/>
      <c r="B545" s="31"/>
      <c r="C545" s="32"/>
      <c r="D545" s="33"/>
      <c r="E545" s="34"/>
      <c r="F545" s="34"/>
      <c r="G545" s="35"/>
      <c r="H545" s="34"/>
      <c r="I545" s="37"/>
    </row>
    <row r="546" ht="22.5" customHeight="1">
      <c r="A546" s="30"/>
      <c r="B546" s="31"/>
      <c r="C546" s="32"/>
      <c r="D546" s="33"/>
      <c r="E546" s="34"/>
      <c r="F546" s="34"/>
      <c r="G546" s="35"/>
      <c r="H546" s="34"/>
      <c r="I546" s="37"/>
    </row>
    <row r="547" ht="22.5" customHeight="1">
      <c r="A547" s="30"/>
      <c r="B547" s="31"/>
      <c r="C547" s="32"/>
      <c r="D547" s="33"/>
      <c r="E547" s="34"/>
      <c r="F547" s="34"/>
      <c r="G547" s="35"/>
      <c r="H547" s="34"/>
      <c r="I547" s="37"/>
    </row>
    <row r="548" ht="22.5" customHeight="1">
      <c r="A548" s="30"/>
      <c r="B548" s="31"/>
      <c r="C548" s="32"/>
      <c r="D548" s="33"/>
      <c r="E548" s="34"/>
      <c r="F548" s="34"/>
      <c r="G548" s="35"/>
      <c r="H548" s="34"/>
      <c r="I548" s="38"/>
    </row>
    <row r="549" ht="22.5" customHeight="1">
      <c r="A549" s="30"/>
      <c r="B549" s="39"/>
      <c r="C549" s="32"/>
      <c r="D549" s="33"/>
      <c r="E549" s="34"/>
      <c r="F549" s="34"/>
      <c r="G549" s="35"/>
      <c r="H549" s="34"/>
      <c r="I549" s="37"/>
    </row>
    <row r="550" ht="22.5" customHeight="1">
      <c r="A550" s="30"/>
      <c r="B550" s="31"/>
      <c r="C550" s="32"/>
      <c r="D550" s="33"/>
      <c r="E550" s="34"/>
      <c r="F550" s="34"/>
      <c r="G550" s="35"/>
      <c r="H550" s="34"/>
      <c r="I550" s="37"/>
    </row>
    <row r="551" ht="22.5" customHeight="1">
      <c r="A551" s="30"/>
      <c r="B551" s="31"/>
      <c r="C551" s="32"/>
      <c r="D551" s="33"/>
      <c r="E551" s="34"/>
      <c r="F551" s="34"/>
      <c r="G551" s="35"/>
      <c r="H551" s="34"/>
      <c r="I551" s="37"/>
    </row>
    <row r="552" ht="22.5" customHeight="1">
      <c r="A552" s="30"/>
      <c r="B552" s="31"/>
      <c r="C552" s="32"/>
      <c r="D552" s="33"/>
      <c r="E552" s="34"/>
      <c r="F552" s="34"/>
      <c r="G552" s="35"/>
      <c r="H552" s="34"/>
      <c r="I552" s="37"/>
    </row>
    <row r="553" ht="22.5" customHeight="1">
      <c r="A553" s="30"/>
      <c r="B553" s="39"/>
      <c r="C553" s="32"/>
      <c r="D553" s="33"/>
      <c r="E553" s="34"/>
      <c r="F553" s="34"/>
      <c r="G553" s="35"/>
      <c r="H553" s="34"/>
      <c r="I553" s="37"/>
    </row>
    <row r="554" ht="22.5" customHeight="1">
      <c r="A554" s="30"/>
      <c r="B554" s="31"/>
      <c r="C554" s="32"/>
      <c r="D554" s="33"/>
      <c r="E554" s="34"/>
      <c r="F554" s="34"/>
      <c r="G554" s="35"/>
      <c r="H554" s="34"/>
      <c r="I554" s="37"/>
    </row>
    <row r="555" ht="22.5" customHeight="1">
      <c r="A555" s="30"/>
      <c r="B555" s="39"/>
      <c r="C555" s="32"/>
      <c r="D555" s="33"/>
      <c r="E555" s="34"/>
      <c r="F555" s="34"/>
      <c r="G555" s="35"/>
      <c r="H555" s="34"/>
      <c r="I555" s="37"/>
    </row>
    <row r="556" ht="22.5" customHeight="1">
      <c r="A556" s="30"/>
      <c r="B556" s="31"/>
      <c r="C556" s="32"/>
      <c r="D556" s="33"/>
      <c r="E556" s="34"/>
      <c r="F556" s="34"/>
      <c r="G556" s="35"/>
      <c r="H556" s="34"/>
      <c r="I556" s="37"/>
    </row>
    <row r="557" ht="22.5" customHeight="1">
      <c r="A557" s="30"/>
      <c r="B557" s="31"/>
      <c r="C557" s="32"/>
      <c r="D557" s="33"/>
      <c r="E557" s="34"/>
      <c r="F557" s="34"/>
      <c r="G557" s="35"/>
      <c r="H557" s="34"/>
      <c r="I557" s="37"/>
    </row>
    <row r="558" ht="22.5" customHeight="1">
      <c r="A558" s="30"/>
      <c r="B558" s="31"/>
      <c r="C558" s="32"/>
      <c r="D558" s="33"/>
      <c r="E558" s="34"/>
      <c r="F558" s="34"/>
      <c r="G558" s="35"/>
      <c r="H558" s="34"/>
      <c r="I558" s="37"/>
    </row>
    <row r="559" ht="22.5" customHeight="1">
      <c r="A559" s="30"/>
      <c r="B559" s="31"/>
      <c r="C559" s="32"/>
      <c r="D559" s="33"/>
      <c r="E559" s="34"/>
      <c r="F559" s="34"/>
      <c r="G559" s="35"/>
      <c r="H559" s="34"/>
      <c r="I559" s="37"/>
    </row>
    <row r="560" ht="22.5" customHeight="1">
      <c r="A560" s="30"/>
      <c r="B560" s="31"/>
      <c r="C560" s="32"/>
      <c r="D560" s="33"/>
      <c r="E560" s="34"/>
      <c r="F560" s="34"/>
      <c r="G560" s="35"/>
      <c r="H560" s="34"/>
      <c r="I560" s="37"/>
    </row>
    <row r="561" ht="22.5" customHeight="1">
      <c r="A561" s="30"/>
      <c r="B561" s="31"/>
      <c r="C561" s="32"/>
      <c r="D561" s="33"/>
      <c r="E561" s="34"/>
      <c r="F561" s="34"/>
      <c r="G561" s="35"/>
      <c r="H561" s="34"/>
      <c r="I561" s="37"/>
    </row>
    <row r="562" ht="22.5" customHeight="1">
      <c r="A562" s="30"/>
      <c r="B562" s="31"/>
      <c r="C562" s="32"/>
      <c r="D562" s="33"/>
      <c r="E562" s="34"/>
      <c r="F562" s="34"/>
      <c r="G562" s="35"/>
      <c r="H562" s="34"/>
      <c r="I562" s="37"/>
    </row>
    <row r="563" ht="22.5" customHeight="1">
      <c r="A563" s="30"/>
      <c r="B563" s="31"/>
      <c r="C563" s="32"/>
      <c r="D563" s="33"/>
      <c r="E563" s="34"/>
      <c r="F563" s="34"/>
      <c r="G563" s="35"/>
      <c r="H563" s="34"/>
      <c r="I563" s="37"/>
    </row>
    <row r="564" ht="22.5" customHeight="1">
      <c r="A564" s="30"/>
      <c r="B564" s="31"/>
      <c r="C564" s="32"/>
      <c r="D564" s="33"/>
      <c r="E564" s="34"/>
      <c r="F564" s="34"/>
      <c r="G564" s="35"/>
      <c r="H564" s="34"/>
      <c r="I564" s="37"/>
    </row>
    <row r="565" ht="22.5" customHeight="1">
      <c r="A565" s="30"/>
      <c r="B565" s="31"/>
      <c r="C565" s="32"/>
      <c r="D565" s="33"/>
      <c r="E565" s="34"/>
      <c r="F565" s="34"/>
      <c r="G565" s="35"/>
      <c r="H565" s="34"/>
      <c r="I565" s="37"/>
    </row>
    <row r="566" ht="22.5" customHeight="1">
      <c r="A566" s="30"/>
      <c r="B566" s="40"/>
      <c r="C566" s="32"/>
      <c r="D566" s="33"/>
      <c r="E566" s="34"/>
      <c r="F566" s="34"/>
      <c r="G566" s="35"/>
      <c r="H566" s="34"/>
      <c r="I566" s="37"/>
    </row>
    <row r="567" ht="22.5" customHeight="1">
      <c r="A567" s="30"/>
      <c r="B567" s="31"/>
      <c r="C567" s="32"/>
      <c r="D567" s="33"/>
      <c r="E567" s="34"/>
      <c r="F567" s="34"/>
      <c r="G567" s="35"/>
      <c r="H567" s="34"/>
      <c r="I567" s="37"/>
    </row>
    <row r="568" ht="22.5" customHeight="1">
      <c r="A568" s="30"/>
      <c r="B568" s="31"/>
      <c r="C568" s="32"/>
      <c r="D568" s="33"/>
      <c r="E568" s="34"/>
      <c r="F568" s="34"/>
      <c r="G568" s="35"/>
      <c r="H568" s="34"/>
      <c r="I568" s="37"/>
    </row>
    <row r="569" ht="22.5" customHeight="1">
      <c r="A569" s="30"/>
      <c r="B569" s="31"/>
      <c r="C569" s="32"/>
      <c r="D569" s="33"/>
      <c r="E569" s="34"/>
      <c r="F569" s="34"/>
      <c r="G569" s="35"/>
      <c r="H569" s="34"/>
      <c r="I569" s="37"/>
    </row>
    <row r="570" ht="22.5" customHeight="1">
      <c r="A570" s="30"/>
      <c r="B570" s="31"/>
      <c r="C570" s="32"/>
      <c r="D570" s="33"/>
      <c r="E570" s="34"/>
      <c r="F570" s="34"/>
      <c r="G570" s="35"/>
      <c r="H570" s="34"/>
      <c r="I570" s="37"/>
    </row>
    <row r="571" ht="22.5" customHeight="1">
      <c r="A571" s="30"/>
      <c r="B571" s="31"/>
      <c r="C571" s="32"/>
      <c r="D571" s="33"/>
      <c r="E571" s="34"/>
      <c r="F571" s="34"/>
      <c r="G571" s="35"/>
      <c r="H571" s="34"/>
      <c r="I571" s="37"/>
    </row>
    <row r="572" ht="22.5" customHeight="1">
      <c r="A572" s="30"/>
      <c r="B572" s="31"/>
      <c r="C572" s="32"/>
      <c r="D572" s="33"/>
      <c r="E572" s="34"/>
      <c r="F572" s="34"/>
      <c r="G572" s="35"/>
      <c r="H572" s="34"/>
      <c r="I572" s="37"/>
    </row>
    <row r="573" ht="22.5" customHeight="1">
      <c r="A573" s="30"/>
      <c r="B573" s="39"/>
      <c r="C573" s="32"/>
      <c r="D573" s="33"/>
      <c r="E573" s="34"/>
      <c r="F573" s="34"/>
      <c r="G573" s="35"/>
      <c r="H573" s="34"/>
      <c r="I573" s="37"/>
    </row>
    <row r="574" ht="22.5" customHeight="1">
      <c r="A574" s="30"/>
      <c r="B574" s="39"/>
      <c r="C574" s="32"/>
      <c r="D574" s="33"/>
      <c r="E574" s="34"/>
      <c r="F574" s="34"/>
      <c r="G574" s="35"/>
      <c r="H574" s="34"/>
      <c r="I574" s="37"/>
    </row>
    <row r="575" ht="22.5" customHeight="1">
      <c r="A575" s="30"/>
      <c r="B575" s="39"/>
      <c r="C575" s="32"/>
      <c r="D575" s="33"/>
      <c r="E575" s="34"/>
      <c r="F575" s="34"/>
      <c r="G575" s="35"/>
      <c r="H575" s="34"/>
      <c r="I575" s="37"/>
    </row>
    <row r="576" ht="22.5" customHeight="1">
      <c r="A576" s="30"/>
      <c r="B576" s="40"/>
      <c r="C576" s="32"/>
      <c r="D576" s="33"/>
      <c r="E576" s="34"/>
      <c r="F576" s="34"/>
      <c r="G576" s="35"/>
      <c r="H576" s="34"/>
      <c r="I576" s="37"/>
    </row>
    <row r="577" ht="22.5" customHeight="1">
      <c r="A577" s="30"/>
      <c r="B577" s="31"/>
      <c r="C577" s="32"/>
      <c r="D577" s="33"/>
      <c r="E577" s="34"/>
      <c r="F577" s="34"/>
      <c r="G577" s="35"/>
      <c r="H577" s="34"/>
      <c r="I577" s="37"/>
    </row>
    <row r="578" ht="22.5" customHeight="1">
      <c r="A578" s="30"/>
      <c r="B578" s="31"/>
      <c r="C578" s="32"/>
      <c r="D578" s="33"/>
      <c r="E578" s="34"/>
      <c r="F578" s="34"/>
      <c r="G578" s="35"/>
      <c r="H578" s="34"/>
      <c r="I578" s="37"/>
    </row>
    <row r="579" ht="22.5" customHeight="1">
      <c r="A579" s="30"/>
      <c r="B579" s="31"/>
      <c r="C579" s="32"/>
      <c r="D579" s="33"/>
      <c r="E579" s="34"/>
      <c r="F579" s="34"/>
      <c r="G579" s="35"/>
      <c r="H579" s="34"/>
      <c r="I579" s="37"/>
    </row>
    <row r="580" ht="22.5" customHeight="1">
      <c r="A580" s="30"/>
      <c r="B580" s="31"/>
      <c r="C580" s="32"/>
      <c r="D580" s="33"/>
      <c r="E580" s="34"/>
      <c r="F580" s="34"/>
      <c r="G580" s="35"/>
      <c r="H580" s="34"/>
      <c r="I580" s="37"/>
    </row>
    <row r="581" ht="22.5" customHeight="1">
      <c r="A581" s="30"/>
      <c r="B581" s="31"/>
      <c r="C581" s="32"/>
      <c r="D581" s="33"/>
      <c r="E581" s="34"/>
      <c r="F581" s="34"/>
      <c r="G581" s="35"/>
      <c r="H581" s="34"/>
      <c r="I581" s="37"/>
    </row>
    <row r="582" ht="22.5" customHeight="1">
      <c r="A582" s="30"/>
      <c r="B582" s="31"/>
      <c r="C582" s="32"/>
      <c r="D582" s="33"/>
      <c r="E582" s="34"/>
      <c r="F582" s="34"/>
      <c r="G582" s="35"/>
      <c r="H582" s="34"/>
      <c r="I582" s="37"/>
    </row>
    <row r="583" ht="22.5" customHeight="1">
      <c r="A583" s="30"/>
      <c r="B583" s="31"/>
      <c r="C583" s="32"/>
      <c r="D583" s="33"/>
      <c r="E583" s="34"/>
      <c r="F583" s="34"/>
      <c r="G583" s="35"/>
      <c r="H583" s="34"/>
      <c r="I583" s="37"/>
    </row>
    <row r="584" ht="22.5" customHeight="1">
      <c r="A584" s="30"/>
      <c r="B584" s="31"/>
      <c r="C584" s="32"/>
      <c r="D584" s="33"/>
      <c r="E584" s="34"/>
      <c r="F584" s="34"/>
      <c r="G584" s="35"/>
      <c r="H584" s="34"/>
      <c r="I584" s="37"/>
    </row>
    <row r="585" ht="22.5" customHeight="1">
      <c r="A585" s="30"/>
      <c r="B585" s="31"/>
      <c r="C585" s="32"/>
      <c r="D585" s="33"/>
      <c r="E585" s="34"/>
      <c r="F585" s="34"/>
      <c r="G585" s="35"/>
      <c r="H585" s="34"/>
      <c r="I585" s="37"/>
    </row>
    <row r="586" ht="22.5" customHeight="1">
      <c r="A586" s="30"/>
      <c r="B586" s="40"/>
      <c r="C586" s="32"/>
      <c r="D586" s="33"/>
      <c r="E586" s="34"/>
      <c r="F586" s="34"/>
      <c r="G586" s="35"/>
      <c r="H586" s="34"/>
      <c r="I586" s="37"/>
    </row>
    <row r="587" ht="22.5" customHeight="1">
      <c r="A587" s="30"/>
      <c r="B587" s="31"/>
      <c r="C587" s="32"/>
      <c r="D587" s="33"/>
      <c r="E587" s="34"/>
      <c r="F587" s="34"/>
      <c r="G587" s="35"/>
      <c r="H587" s="34"/>
      <c r="I587" s="37"/>
    </row>
    <row r="588" ht="22.5" customHeight="1">
      <c r="A588" s="30"/>
      <c r="B588" s="31"/>
      <c r="C588" s="32"/>
      <c r="D588" s="33"/>
      <c r="E588" s="34"/>
      <c r="F588" s="34"/>
      <c r="G588" s="35"/>
      <c r="H588" s="34"/>
      <c r="I588" s="37"/>
    </row>
    <row r="589" ht="22.5" customHeight="1">
      <c r="A589" s="30"/>
      <c r="B589" s="31"/>
      <c r="C589" s="32"/>
      <c r="D589" s="33"/>
      <c r="E589" s="34"/>
      <c r="F589" s="34"/>
      <c r="G589" s="35"/>
      <c r="H589" s="34"/>
      <c r="I589" s="37"/>
    </row>
    <row r="590" ht="22.5" customHeight="1">
      <c r="A590" s="30"/>
      <c r="B590" s="40"/>
      <c r="C590" s="32"/>
      <c r="D590" s="33"/>
      <c r="E590" s="34"/>
      <c r="F590" s="34"/>
      <c r="G590" s="35"/>
      <c r="H590" s="34"/>
      <c r="I590" s="37"/>
    </row>
    <row r="591" ht="22.5" customHeight="1">
      <c r="A591" s="30"/>
      <c r="B591" s="31"/>
      <c r="C591" s="32"/>
      <c r="D591" s="33"/>
      <c r="E591" s="34"/>
      <c r="F591" s="34"/>
      <c r="G591" s="35"/>
      <c r="H591" s="34"/>
      <c r="I591" s="37"/>
    </row>
    <row r="592" ht="22.5" customHeight="1">
      <c r="A592" s="30"/>
      <c r="B592" s="31"/>
      <c r="C592" s="32"/>
      <c r="D592" s="33"/>
      <c r="E592" s="34"/>
      <c r="F592" s="34"/>
      <c r="G592" s="35"/>
      <c r="H592" s="34"/>
      <c r="I592" s="37"/>
    </row>
    <row r="593" ht="22.5" customHeight="1">
      <c r="A593" s="30"/>
      <c r="B593" s="31"/>
      <c r="C593" s="32"/>
      <c r="D593" s="33"/>
      <c r="E593" s="34"/>
      <c r="F593" s="34"/>
      <c r="G593" s="35"/>
      <c r="H593" s="34"/>
      <c r="I593" s="37"/>
    </row>
    <row r="594" ht="22.5" customHeight="1">
      <c r="A594" s="30"/>
      <c r="B594" s="31"/>
      <c r="C594" s="32"/>
      <c r="D594" s="33"/>
      <c r="E594" s="34"/>
      <c r="F594" s="34"/>
      <c r="G594" s="35"/>
      <c r="H594" s="34"/>
      <c r="I594" s="37"/>
    </row>
    <row r="595" ht="22.5" customHeight="1">
      <c r="A595" s="30"/>
      <c r="B595" s="31"/>
      <c r="C595" s="32"/>
      <c r="D595" s="33"/>
      <c r="E595" s="34"/>
      <c r="F595" s="34"/>
      <c r="G595" s="35"/>
      <c r="H595" s="34"/>
      <c r="I595" s="37"/>
    </row>
    <row r="596" ht="22.5" customHeight="1">
      <c r="A596" s="30"/>
      <c r="B596" s="31"/>
      <c r="C596" s="32"/>
      <c r="D596" s="33"/>
      <c r="E596" s="34"/>
      <c r="F596" s="34"/>
      <c r="G596" s="35"/>
      <c r="H596" s="34"/>
      <c r="I596" s="37"/>
    </row>
    <row r="597" ht="22.5" customHeight="1">
      <c r="A597" s="30"/>
      <c r="B597" s="31"/>
      <c r="C597" s="32"/>
      <c r="D597" s="33"/>
      <c r="E597" s="34"/>
      <c r="F597" s="34"/>
      <c r="G597" s="35"/>
      <c r="H597" s="34"/>
      <c r="I597" s="37"/>
    </row>
    <row r="598" ht="22.5" customHeight="1">
      <c r="A598" s="30"/>
      <c r="B598" s="31"/>
      <c r="C598" s="32"/>
      <c r="D598" s="33"/>
      <c r="E598" s="34"/>
      <c r="F598" s="34"/>
      <c r="G598" s="35"/>
      <c r="H598" s="34"/>
      <c r="I598" s="37"/>
    </row>
    <row r="599" ht="22.5" customHeight="1">
      <c r="A599" s="30"/>
      <c r="B599" s="31"/>
      <c r="C599" s="32"/>
      <c r="D599" s="33"/>
      <c r="E599" s="34"/>
      <c r="F599" s="34"/>
      <c r="G599" s="35"/>
      <c r="H599" s="34"/>
      <c r="I599" s="37"/>
    </row>
    <row r="600" ht="22.5" customHeight="1">
      <c r="A600" s="30"/>
      <c r="B600" s="31"/>
      <c r="C600" s="32"/>
      <c r="D600" s="33"/>
      <c r="E600" s="34"/>
      <c r="F600" s="34"/>
      <c r="G600" s="35"/>
      <c r="H600" s="34"/>
      <c r="I600" s="37"/>
    </row>
    <row r="601" ht="22.5" customHeight="1">
      <c r="A601" s="30"/>
      <c r="B601" s="31"/>
      <c r="C601" s="32"/>
      <c r="D601" s="33"/>
      <c r="E601" s="34"/>
      <c r="F601" s="34"/>
      <c r="G601" s="35"/>
      <c r="H601" s="34"/>
      <c r="I601" s="37"/>
    </row>
    <row r="602" ht="22.5" customHeight="1">
      <c r="A602" s="30"/>
      <c r="B602" s="31"/>
      <c r="C602" s="32"/>
      <c r="D602" s="33"/>
      <c r="E602" s="34"/>
      <c r="F602" s="34"/>
      <c r="G602" s="35"/>
      <c r="H602" s="34"/>
      <c r="I602" s="37"/>
    </row>
    <row r="603" ht="22.5" customHeight="1">
      <c r="A603" s="30"/>
      <c r="B603" s="31"/>
      <c r="C603" s="32"/>
      <c r="D603" s="33"/>
      <c r="E603" s="34"/>
      <c r="F603" s="34"/>
      <c r="G603" s="35"/>
      <c r="H603" s="34"/>
      <c r="I603" s="37"/>
    </row>
    <row r="604" ht="22.5" customHeight="1">
      <c r="A604" s="30"/>
      <c r="B604" s="31"/>
      <c r="C604" s="32"/>
      <c r="D604" s="33"/>
      <c r="E604" s="34"/>
      <c r="F604" s="34"/>
      <c r="G604" s="35"/>
      <c r="H604" s="34"/>
      <c r="I604" s="37"/>
    </row>
    <row r="605" ht="22.5" customHeight="1">
      <c r="A605" s="30"/>
      <c r="B605" s="40"/>
      <c r="C605" s="32"/>
      <c r="D605" s="33"/>
      <c r="E605" s="34"/>
      <c r="F605" s="34"/>
      <c r="G605" s="35"/>
      <c r="H605" s="34"/>
      <c r="I605" s="37"/>
    </row>
    <row r="606" ht="22.5" customHeight="1">
      <c r="A606" s="30"/>
      <c r="B606" s="31"/>
      <c r="C606" s="32"/>
      <c r="D606" s="33"/>
      <c r="E606" s="34"/>
      <c r="F606" s="34"/>
      <c r="G606" s="35"/>
      <c r="H606" s="34"/>
      <c r="I606" s="37"/>
    </row>
    <row r="607" ht="22.5" customHeight="1">
      <c r="A607" s="30"/>
      <c r="B607" s="40"/>
      <c r="C607" s="32"/>
      <c r="D607" s="33"/>
      <c r="E607" s="34"/>
      <c r="F607" s="34"/>
      <c r="G607" s="35"/>
      <c r="H607" s="34"/>
      <c r="I607" s="37"/>
    </row>
    <row r="608" ht="22.5" customHeight="1">
      <c r="A608" s="30"/>
      <c r="B608" s="31"/>
      <c r="C608" s="32"/>
      <c r="D608" s="33"/>
      <c r="E608" s="34"/>
      <c r="F608" s="34"/>
      <c r="G608" s="35"/>
      <c r="H608" s="34"/>
      <c r="I608" s="37"/>
    </row>
    <row r="609" ht="22.5" customHeight="1">
      <c r="A609" s="30"/>
      <c r="B609" s="31"/>
      <c r="C609" s="32"/>
      <c r="D609" s="33"/>
      <c r="E609" s="34"/>
      <c r="F609" s="34"/>
      <c r="G609" s="35"/>
      <c r="H609" s="34"/>
      <c r="I609" s="37"/>
    </row>
    <row r="610" ht="22.5" customHeight="1">
      <c r="A610" s="30"/>
      <c r="B610" s="31"/>
      <c r="C610" s="32"/>
      <c r="D610" s="33"/>
      <c r="E610" s="34"/>
      <c r="F610" s="34"/>
      <c r="G610" s="35"/>
      <c r="H610" s="34"/>
      <c r="I610" s="37"/>
    </row>
    <row r="611" ht="22.5" customHeight="1">
      <c r="A611" s="30"/>
      <c r="B611" s="31"/>
      <c r="C611" s="32"/>
      <c r="D611" s="33"/>
      <c r="E611" s="34"/>
      <c r="F611" s="34"/>
      <c r="G611" s="35"/>
      <c r="H611" s="34"/>
      <c r="I611" s="37"/>
    </row>
    <row r="612" ht="22.5" customHeight="1">
      <c r="A612" s="30"/>
      <c r="B612" s="40"/>
      <c r="C612" s="32"/>
      <c r="D612" s="33"/>
      <c r="E612" s="34"/>
      <c r="F612" s="34"/>
      <c r="G612" s="35"/>
      <c r="H612" s="34"/>
      <c r="I612" s="37"/>
    </row>
    <row r="613" ht="22.5" customHeight="1">
      <c r="A613" s="30"/>
      <c r="B613" s="31"/>
      <c r="C613" s="32"/>
      <c r="D613" s="33"/>
      <c r="E613" s="34"/>
      <c r="F613" s="34"/>
      <c r="G613" s="35"/>
      <c r="H613" s="34"/>
      <c r="I613" s="37"/>
    </row>
    <row r="614" ht="22.5" customHeight="1">
      <c r="A614" s="30"/>
      <c r="B614" s="31"/>
      <c r="C614" s="32"/>
      <c r="D614" s="33"/>
      <c r="E614" s="34"/>
      <c r="F614" s="34"/>
      <c r="G614" s="35"/>
      <c r="H614" s="34"/>
      <c r="I614" s="37"/>
    </row>
    <row r="615" ht="22.5" customHeight="1">
      <c r="A615" s="30"/>
      <c r="B615" s="31"/>
      <c r="C615" s="32"/>
      <c r="D615" s="33"/>
      <c r="E615" s="34"/>
      <c r="F615" s="34"/>
      <c r="G615" s="35"/>
      <c r="H615" s="34"/>
      <c r="I615" s="37"/>
    </row>
    <row r="616" ht="22.5" customHeight="1">
      <c r="A616" s="30"/>
      <c r="B616" s="31"/>
      <c r="C616" s="32"/>
      <c r="D616" s="33"/>
      <c r="E616" s="34"/>
      <c r="F616" s="34"/>
      <c r="G616" s="35"/>
      <c r="H616" s="34"/>
      <c r="I616" s="37"/>
    </row>
    <row r="617" ht="22.5" customHeight="1">
      <c r="A617" s="30"/>
      <c r="B617" s="31"/>
      <c r="C617" s="32"/>
      <c r="D617" s="33"/>
      <c r="E617" s="34"/>
      <c r="F617" s="34"/>
      <c r="G617" s="35"/>
      <c r="H617" s="34"/>
      <c r="I617" s="37"/>
    </row>
    <row r="618" ht="22.5" customHeight="1">
      <c r="A618" s="30"/>
      <c r="B618" s="31"/>
      <c r="C618" s="32"/>
      <c r="D618" s="33"/>
      <c r="E618" s="34"/>
      <c r="F618" s="34"/>
      <c r="G618" s="35"/>
      <c r="H618" s="34"/>
      <c r="I618" s="37"/>
    </row>
    <row r="619" ht="22.5" customHeight="1">
      <c r="A619" s="30"/>
      <c r="B619" s="31"/>
      <c r="C619" s="32"/>
      <c r="D619" s="33"/>
      <c r="E619" s="34"/>
      <c r="F619" s="34"/>
      <c r="G619" s="35"/>
      <c r="H619" s="34"/>
      <c r="I619" s="37"/>
    </row>
    <row r="620" ht="22.5" customHeight="1">
      <c r="A620" s="30"/>
      <c r="B620" s="31"/>
      <c r="C620" s="32"/>
      <c r="D620" s="33"/>
      <c r="E620" s="34"/>
      <c r="F620" s="34"/>
      <c r="G620" s="35"/>
      <c r="H620" s="34"/>
      <c r="I620" s="37"/>
    </row>
    <row r="621" ht="22.5" customHeight="1">
      <c r="A621" s="30"/>
      <c r="B621" s="31"/>
      <c r="C621" s="32"/>
      <c r="D621" s="33"/>
      <c r="E621" s="34"/>
      <c r="F621" s="34"/>
      <c r="G621" s="35"/>
      <c r="H621" s="34"/>
      <c r="I621" s="37"/>
    </row>
    <row r="622" ht="22.5" customHeight="1">
      <c r="A622" s="30"/>
      <c r="B622" s="31"/>
      <c r="C622" s="32"/>
      <c r="D622" s="33"/>
      <c r="E622" s="34"/>
      <c r="F622" s="34"/>
      <c r="G622" s="35"/>
      <c r="H622" s="34"/>
      <c r="I622" s="37"/>
    </row>
    <row r="623" ht="22.5" customHeight="1">
      <c r="A623" s="30"/>
      <c r="B623" s="31"/>
      <c r="C623" s="32"/>
      <c r="D623" s="33"/>
      <c r="E623" s="34"/>
      <c r="F623" s="34"/>
      <c r="G623" s="35"/>
      <c r="H623" s="34"/>
      <c r="I623" s="37"/>
    </row>
    <row r="624" ht="22.5" customHeight="1">
      <c r="A624" s="30"/>
      <c r="B624" s="31"/>
      <c r="C624" s="32"/>
      <c r="D624" s="33"/>
      <c r="E624" s="34"/>
      <c r="F624" s="34"/>
      <c r="G624" s="35"/>
      <c r="H624" s="34"/>
      <c r="I624" s="37"/>
    </row>
    <row r="625" ht="22.5" customHeight="1">
      <c r="A625" s="30"/>
      <c r="B625" s="31"/>
      <c r="C625" s="32"/>
      <c r="D625" s="33"/>
      <c r="E625" s="34"/>
      <c r="F625" s="34"/>
      <c r="G625" s="35"/>
      <c r="H625" s="34"/>
      <c r="I625" s="37"/>
    </row>
    <row r="626" ht="22.5" customHeight="1">
      <c r="A626" s="30"/>
      <c r="B626" s="31"/>
      <c r="C626" s="32"/>
      <c r="D626" s="33"/>
      <c r="E626" s="34"/>
      <c r="F626" s="34"/>
      <c r="G626" s="35"/>
      <c r="H626" s="34"/>
      <c r="I626" s="37"/>
    </row>
    <row r="627" ht="22.5" customHeight="1">
      <c r="A627" s="30"/>
      <c r="B627" s="31"/>
      <c r="C627" s="32"/>
      <c r="D627" s="33"/>
      <c r="E627" s="34"/>
      <c r="F627" s="34"/>
      <c r="G627" s="35"/>
      <c r="H627" s="34"/>
      <c r="I627" s="37"/>
    </row>
    <row r="628" ht="22.5" customHeight="1">
      <c r="A628" s="30"/>
      <c r="B628" s="31"/>
      <c r="C628" s="32"/>
      <c r="D628" s="33"/>
      <c r="E628" s="34"/>
      <c r="F628" s="34"/>
      <c r="G628" s="35"/>
      <c r="H628" s="34"/>
      <c r="I628" s="37"/>
    </row>
    <row r="629" ht="22.5" customHeight="1">
      <c r="A629" s="30"/>
      <c r="B629" s="31"/>
      <c r="C629" s="32"/>
      <c r="D629" s="33"/>
      <c r="E629" s="34"/>
      <c r="F629" s="34"/>
      <c r="G629" s="35"/>
      <c r="H629" s="34"/>
      <c r="I629" s="37"/>
    </row>
    <row r="630" ht="22.5" customHeight="1">
      <c r="A630" s="30"/>
      <c r="B630" s="31"/>
      <c r="C630" s="32"/>
      <c r="D630" s="33"/>
      <c r="E630" s="34"/>
      <c r="F630" s="34"/>
      <c r="G630" s="35"/>
      <c r="H630" s="34"/>
      <c r="I630" s="37"/>
    </row>
    <row r="631" ht="22.5" customHeight="1">
      <c r="A631" s="30"/>
      <c r="B631" s="31"/>
      <c r="C631" s="32"/>
      <c r="D631" s="33"/>
      <c r="E631" s="34"/>
      <c r="F631" s="34"/>
      <c r="G631" s="35"/>
      <c r="H631" s="34"/>
      <c r="I631" s="37"/>
    </row>
    <row r="632" ht="22.5" customHeight="1">
      <c r="A632" s="30"/>
      <c r="B632" s="31"/>
      <c r="C632" s="32"/>
      <c r="D632" s="33"/>
      <c r="E632" s="34"/>
      <c r="F632" s="34"/>
      <c r="G632" s="35"/>
      <c r="H632" s="34"/>
      <c r="I632" s="37"/>
    </row>
    <row r="633" ht="22.5" customHeight="1">
      <c r="A633" s="30"/>
      <c r="B633" s="31"/>
      <c r="C633" s="32"/>
      <c r="D633" s="33"/>
      <c r="E633" s="34"/>
      <c r="F633" s="34"/>
      <c r="G633" s="35"/>
      <c r="H633" s="34"/>
      <c r="I633" s="37"/>
    </row>
    <row r="634" ht="22.5" customHeight="1">
      <c r="A634" s="30"/>
      <c r="B634" s="40"/>
      <c r="C634" s="32"/>
      <c r="D634" s="33"/>
      <c r="E634" s="34"/>
      <c r="F634" s="34"/>
      <c r="G634" s="35"/>
      <c r="H634" s="34"/>
      <c r="I634" s="37"/>
    </row>
    <row r="635" ht="22.5" customHeight="1">
      <c r="A635" s="30"/>
      <c r="B635" s="31"/>
      <c r="C635" s="32"/>
      <c r="D635" s="33"/>
      <c r="E635" s="34"/>
      <c r="F635" s="34"/>
      <c r="G635" s="35"/>
      <c r="H635" s="34"/>
      <c r="I635" s="37"/>
    </row>
    <row r="636" ht="22.5" customHeight="1">
      <c r="A636" s="30"/>
      <c r="B636" s="31"/>
      <c r="C636" s="32"/>
      <c r="D636" s="33"/>
      <c r="E636" s="34"/>
      <c r="F636" s="34"/>
      <c r="G636" s="35"/>
      <c r="H636" s="34"/>
      <c r="I636" s="37"/>
    </row>
    <row r="637" ht="22.5" customHeight="1">
      <c r="A637" s="30"/>
      <c r="B637" s="31"/>
      <c r="C637" s="32"/>
      <c r="D637" s="33"/>
      <c r="E637" s="34"/>
      <c r="F637" s="34"/>
      <c r="G637" s="35"/>
      <c r="H637" s="34"/>
      <c r="I637" s="37"/>
    </row>
    <row r="638" ht="22.5" customHeight="1">
      <c r="A638" s="30"/>
      <c r="B638" s="31"/>
      <c r="C638" s="32"/>
      <c r="D638" s="33"/>
      <c r="E638" s="34"/>
      <c r="F638" s="34"/>
      <c r="G638" s="35"/>
      <c r="H638" s="34"/>
      <c r="I638" s="38"/>
    </row>
    <row r="639" ht="22.5" customHeight="1">
      <c r="A639" s="30"/>
      <c r="B639" s="39"/>
      <c r="C639" s="32"/>
      <c r="D639" s="33"/>
      <c r="E639" s="34"/>
      <c r="F639" s="34"/>
      <c r="G639" s="35"/>
      <c r="H639" s="34"/>
      <c r="I639" s="37"/>
    </row>
    <row r="640" ht="22.5" customHeight="1">
      <c r="A640" s="30"/>
      <c r="B640" s="31"/>
      <c r="C640" s="32"/>
      <c r="D640" s="33"/>
      <c r="E640" s="34"/>
      <c r="F640" s="34"/>
      <c r="G640" s="35"/>
      <c r="H640" s="34"/>
      <c r="I640" s="37"/>
    </row>
    <row r="641" ht="22.5" customHeight="1">
      <c r="A641" s="30"/>
      <c r="B641" s="31"/>
      <c r="C641" s="32"/>
      <c r="D641" s="33"/>
      <c r="E641" s="34"/>
      <c r="F641" s="34"/>
      <c r="G641" s="35"/>
      <c r="H641" s="34"/>
      <c r="I641" s="37"/>
    </row>
    <row r="642" ht="22.5" customHeight="1">
      <c r="A642" s="30"/>
      <c r="B642" s="31"/>
      <c r="C642" s="32"/>
      <c r="D642" s="33"/>
      <c r="E642" s="34"/>
      <c r="F642" s="34"/>
      <c r="G642" s="35"/>
      <c r="H642" s="34"/>
      <c r="I642" s="37"/>
    </row>
    <row r="643" ht="22.5" customHeight="1">
      <c r="A643" s="30"/>
      <c r="B643" s="39"/>
      <c r="C643" s="32"/>
      <c r="D643" s="33"/>
      <c r="E643" s="34"/>
      <c r="F643" s="34"/>
      <c r="G643" s="35"/>
      <c r="H643" s="34"/>
      <c r="I643" s="37"/>
    </row>
    <row r="644" ht="22.5" customHeight="1">
      <c r="A644" s="30"/>
      <c r="B644" s="31"/>
      <c r="C644" s="32"/>
      <c r="D644" s="33"/>
      <c r="E644" s="34"/>
      <c r="F644" s="34"/>
      <c r="G644" s="35"/>
      <c r="H644" s="34"/>
      <c r="I644" s="37"/>
    </row>
    <row r="645" ht="22.5" customHeight="1">
      <c r="A645" s="30"/>
      <c r="B645" s="39"/>
      <c r="C645" s="32"/>
      <c r="D645" s="33"/>
      <c r="E645" s="34"/>
      <c r="F645" s="34"/>
      <c r="G645" s="35"/>
      <c r="H645" s="34"/>
      <c r="I645" s="37"/>
    </row>
    <row r="646" ht="22.5" customHeight="1">
      <c r="A646" s="30"/>
      <c r="B646" s="31"/>
      <c r="C646" s="32"/>
      <c r="D646" s="33"/>
      <c r="E646" s="34"/>
      <c r="F646" s="34"/>
      <c r="G646" s="35"/>
      <c r="H646" s="34"/>
      <c r="I646" s="37"/>
    </row>
    <row r="647" ht="22.5" customHeight="1">
      <c r="A647" s="30"/>
      <c r="B647" s="31"/>
      <c r="C647" s="32"/>
      <c r="D647" s="33"/>
      <c r="E647" s="34"/>
      <c r="F647" s="34"/>
      <c r="G647" s="35"/>
      <c r="H647" s="34"/>
      <c r="I647" s="37"/>
    </row>
    <row r="648" ht="22.5" customHeight="1">
      <c r="A648" s="30"/>
      <c r="B648" s="31"/>
      <c r="C648" s="32"/>
      <c r="D648" s="33"/>
      <c r="E648" s="34"/>
      <c r="F648" s="34"/>
      <c r="G648" s="35"/>
      <c r="H648" s="34"/>
      <c r="I648" s="37"/>
    </row>
    <row r="649" ht="22.5" customHeight="1">
      <c r="A649" s="30"/>
      <c r="B649" s="31"/>
      <c r="C649" s="32"/>
      <c r="D649" s="33"/>
      <c r="E649" s="34"/>
      <c r="F649" s="34"/>
      <c r="G649" s="35"/>
      <c r="H649" s="34"/>
      <c r="I649" s="37"/>
    </row>
    <row r="650" ht="22.5" customHeight="1">
      <c r="A650" s="30"/>
      <c r="B650" s="31"/>
      <c r="C650" s="32"/>
      <c r="D650" s="33"/>
      <c r="E650" s="34"/>
      <c r="F650" s="34"/>
      <c r="G650" s="35"/>
      <c r="H650" s="34"/>
      <c r="I650" s="37"/>
    </row>
    <row r="651" ht="22.5" customHeight="1">
      <c r="A651" s="30"/>
      <c r="B651" s="31"/>
      <c r="C651" s="32"/>
      <c r="D651" s="33"/>
      <c r="E651" s="34"/>
      <c r="F651" s="34"/>
      <c r="G651" s="35"/>
      <c r="H651" s="34"/>
      <c r="I651" s="37"/>
    </row>
    <row r="652" ht="22.5" customHeight="1">
      <c r="A652" s="30"/>
      <c r="B652" s="31"/>
      <c r="C652" s="32"/>
      <c r="D652" s="33"/>
      <c r="E652" s="34"/>
      <c r="F652" s="34"/>
      <c r="G652" s="35"/>
      <c r="H652" s="34"/>
      <c r="I652" s="37"/>
    </row>
    <row r="653" ht="22.5" customHeight="1">
      <c r="A653" s="30"/>
      <c r="B653" s="31"/>
      <c r="C653" s="32"/>
      <c r="D653" s="33"/>
      <c r="E653" s="34"/>
      <c r="F653" s="34"/>
      <c r="G653" s="35"/>
      <c r="H653" s="34"/>
      <c r="I653" s="37"/>
    </row>
    <row r="654" ht="22.5" customHeight="1">
      <c r="A654" s="30"/>
      <c r="B654" s="31"/>
      <c r="C654" s="32"/>
      <c r="D654" s="33"/>
      <c r="E654" s="34"/>
      <c r="F654" s="34"/>
      <c r="G654" s="35"/>
      <c r="H654" s="34"/>
      <c r="I654" s="37"/>
    </row>
    <row r="655" ht="22.5" customHeight="1">
      <c r="A655" s="30"/>
      <c r="B655" s="31"/>
      <c r="C655" s="32"/>
      <c r="D655" s="33"/>
      <c r="E655" s="34"/>
      <c r="F655" s="34"/>
      <c r="G655" s="35"/>
      <c r="H655" s="34"/>
      <c r="I655" s="37"/>
    </row>
    <row r="656" ht="22.5" customHeight="1">
      <c r="A656" s="30"/>
      <c r="B656" s="40"/>
      <c r="C656" s="32"/>
      <c r="D656" s="33"/>
      <c r="E656" s="34"/>
      <c r="F656" s="34"/>
      <c r="G656" s="35"/>
      <c r="H656" s="34"/>
      <c r="I656" s="37"/>
    </row>
    <row r="657" ht="22.5" customHeight="1">
      <c r="A657" s="30"/>
      <c r="B657" s="31"/>
      <c r="C657" s="32"/>
      <c r="D657" s="33"/>
      <c r="E657" s="34"/>
      <c r="F657" s="34"/>
      <c r="G657" s="35"/>
      <c r="H657" s="34"/>
      <c r="I657" s="37"/>
    </row>
    <row r="658" ht="22.5" customHeight="1">
      <c r="A658" s="30"/>
      <c r="B658" s="31"/>
      <c r="C658" s="32"/>
      <c r="D658" s="33"/>
      <c r="E658" s="34"/>
      <c r="F658" s="34"/>
      <c r="G658" s="35"/>
      <c r="H658" s="34"/>
      <c r="I658" s="37"/>
    </row>
    <row r="659" ht="22.5" customHeight="1">
      <c r="A659" s="30"/>
      <c r="B659" s="31"/>
      <c r="C659" s="32"/>
      <c r="D659" s="33"/>
      <c r="E659" s="34"/>
      <c r="F659" s="34"/>
      <c r="G659" s="35"/>
      <c r="H659" s="34"/>
      <c r="I659" s="37"/>
    </row>
    <row r="660" ht="22.5" customHeight="1">
      <c r="A660" s="30"/>
      <c r="B660" s="31"/>
      <c r="C660" s="32"/>
      <c r="D660" s="33"/>
      <c r="E660" s="34"/>
      <c r="F660" s="34"/>
      <c r="G660" s="35"/>
      <c r="H660" s="34"/>
      <c r="I660" s="37"/>
    </row>
    <row r="661" ht="22.5" customHeight="1">
      <c r="A661" s="30"/>
      <c r="B661" s="31"/>
      <c r="C661" s="32"/>
      <c r="D661" s="33"/>
      <c r="E661" s="34"/>
      <c r="F661" s="34"/>
      <c r="G661" s="35"/>
      <c r="H661" s="34"/>
      <c r="I661" s="37"/>
    </row>
    <row r="662" ht="22.5" customHeight="1">
      <c r="A662" s="30"/>
      <c r="B662" s="31"/>
      <c r="C662" s="32"/>
      <c r="D662" s="33"/>
      <c r="E662" s="34"/>
      <c r="F662" s="34"/>
      <c r="G662" s="35"/>
      <c r="H662" s="34"/>
      <c r="I662" s="37"/>
    </row>
    <row r="663" ht="22.5" customHeight="1">
      <c r="A663" s="30"/>
      <c r="B663" s="39"/>
      <c r="C663" s="32"/>
      <c r="D663" s="33"/>
      <c r="E663" s="34"/>
      <c r="F663" s="34"/>
      <c r="G663" s="35"/>
      <c r="H663" s="34"/>
      <c r="I663" s="37"/>
    </row>
    <row r="664" ht="22.5" customHeight="1">
      <c r="A664" s="30"/>
      <c r="B664" s="39"/>
      <c r="C664" s="32"/>
      <c r="D664" s="33"/>
      <c r="E664" s="34"/>
      <c r="F664" s="34"/>
      <c r="G664" s="35"/>
      <c r="H664" s="34"/>
      <c r="I664" s="37"/>
    </row>
    <row r="665" ht="22.5" customHeight="1">
      <c r="A665" s="30"/>
      <c r="B665" s="39"/>
      <c r="C665" s="32"/>
      <c r="D665" s="33"/>
      <c r="E665" s="34"/>
      <c r="F665" s="34"/>
      <c r="G665" s="35"/>
      <c r="H665" s="34"/>
      <c r="I665" s="37"/>
    </row>
    <row r="666" ht="22.5" customHeight="1">
      <c r="A666" s="30"/>
      <c r="B666" s="40"/>
      <c r="C666" s="32"/>
      <c r="D666" s="33"/>
      <c r="E666" s="34"/>
      <c r="F666" s="34"/>
      <c r="G666" s="35"/>
      <c r="H666" s="34"/>
      <c r="I666" s="37"/>
    </row>
    <row r="667" ht="22.5" customHeight="1">
      <c r="A667" s="30"/>
      <c r="B667" s="31"/>
      <c r="C667" s="32"/>
      <c r="D667" s="33"/>
      <c r="E667" s="34"/>
      <c r="F667" s="34"/>
      <c r="G667" s="35"/>
      <c r="H667" s="34"/>
      <c r="I667" s="37"/>
    </row>
    <row r="668" ht="22.5" customHeight="1">
      <c r="A668" s="30"/>
      <c r="B668" s="31"/>
      <c r="C668" s="32"/>
      <c r="D668" s="33"/>
      <c r="E668" s="34"/>
      <c r="F668" s="34"/>
      <c r="G668" s="35"/>
      <c r="H668" s="34"/>
      <c r="I668" s="37"/>
    </row>
    <row r="669" ht="22.5" customHeight="1">
      <c r="A669" s="30"/>
      <c r="B669" s="31"/>
      <c r="C669" s="32"/>
      <c r="D669" s="33"/>
      <c r="E669" s="34"/>
      <c r="F669" s="34"/>
      <c r="G669" s="35"/>
      <c r="H669" s="34"/>
      <c r="I669" s="37"/>
    </row>
    <row r="670" ht="22.5" customHeight="1">
      <c r="A670" s="30"/>
      <c r="B670" s="31"/>
      <c r="C670" s="32"/>
      <c r="D670" s="33"/>
      <c r="E670" s="34"/>
      <c r="F670" s="34"/>
      <c r="G670" s="35"/>
      <c r="H670" s="34"/>
      <c r="I670" s="37"/>
    </row>
    <row r="671" ht="22.5" customHeight="1">
      <c r="A671" s="30"/>
      <c r="B671" s="31"/>
      <c r="C671" s="32"/>
      <c r="D671" s="33"/>
      <c r="E671" s="34"/>
      <c r="F671" s="34"/>
      <c r="G671" s="35"/>
      <c r="H671" s="34"/>
      <c r="I671" s="37"/>
    </row>
    <row r="672" ht="22.5" customHeight="1">
      <c r="A672" s="30"/>
      <c r="B672" s="31"/>
      <c r="C672" s="32"/>
      <c r="D672" s="33"/>
      <c r="E672" s="34"/>
      <c r="F672" s="34"/>
      <c r="G672" s="35"/>
      <c r="H672" s="34"/>
      <c r="I672" s="37"/>
    </row>
    <row r="673" ht="22.5" customHeight="1">
      <c r="A673" s="30"/>
      <c r="B673" s="31"/>
      <c r="C673" s="32"/>
      <c r="D673" s="33"/>
      <c r="E673" s="34"/>
      <c r="F673" s="34"/>
      <c r="G673" s="35"/>
      <c r="H673" s="34"/>
      <c r="I673" s="37"/>
    </row>
    <row r="674" ht="22.5" customHeight="1">
      <c r="A674" s="30"/>
      <c r="B674" s="31"/>
      <c r="C674" s="32"/>
      <c r="D674" s="33"/>
      <c r="E674" s="34"/>
      <c r="F674" s="34"/>
      <c r="G674" s="35"/>
      <c r="H674" s="34"/>
      <c r="I674" s="37"/>
    </row>
    <row r="675" ht="22.5" customHeight="1">
      <c r="A675" s="30"/>
      <c r="B675" s="31"/>
      <c r="C675" s="32"/>
      <c r="D675" s="33"/>
      <c r="E675" s="34"/>
      <c r="F675" s="34"/>
      <c r="G675" s="35"/>
      <c r="H675" s="34"/>
      <c r="I675" s="37"/>
    </row>
    <row r="676" ht="22.5" customHeight="1">
      <c r="A676" s="30"/>
      <c r="B676" s="40"/>
      <c r="C676" s="32"/>
      <c r="D676" s="33"/>
      <c r="E676" s="34"/>
      <c r="F676" s="34"/>
      <c r="G676" s="35"/>
      <c r="H676" s="34"/>
      <c r="I676" s="37"/>
    </row>
    <row r="677" ht="22.5" customHeight="1">
      <c r="A677" s="30"/>
      <c r="B677" s="31"/>
      <c r="C677" s="32"/>
      <c r="D677" s="33"/>
      <c r="E677" s="34"/>
      <c r="F677" s="34"/>
      <c r="G677" s="35"/>
      <c r="H677" s="34"/>
      <c r="I677" s="37"/>
    </row>
    <row r="678" ht="22.5" customHeight="1">
      <c r="A678" s="30"/>
      <c r="B678" s="31"/>
      <c r="C678" s="32"/>
      <c r="D678" s="33"/>
      <c r="E678" s="34"/>
      <c r="F678" s="34"/>
      <c r="G678" s="35"/>
      <c r="H678" s="34"/>
      <c r="I678" s="37"/>
    </row>
    <row r="679" ht="22.5" customHeight="1">
      <c r="A679" s="30"/>
      <c r="B679" s="31"/>
      <c r="C679" s="32"/>
      <c r="D679" s="33"/>
      <c r="E679" s="34"/>
      <c r="F679" s="34"/>
      <c r="G679" s="35"/>
      <c r="H679" s="34"/>
      <c r="I679" s="37"/>
    </row>
    <row r="680" ht="22.5" customHeight="1">
      <c r="A680" s="30"/>
      <c r="B680" s="40"/>
      <c r="C680" s="32"/>
      <c r="D680" s="33"/>
      <c r="E680" s="34"/>
      <c r="F680" s="34"/>
      <c r="G680" s="35"/>
      <c r="H680" s="34"/>
      <c r="I680" s="37"/>
    </row>
    <row r="681" ht="22.5" customHeight="1">
      <c r="A681" s="30"/>
      <c r="B681" s="31"/>
      <c r="C681" s="32"/>
      <c r="D681" s="33"/>
      <c r="E681" s="34"/>
      <c r="F681" s="34"/>
      <c r="G681" s="35"/>
      <c r="H681" s="34"/>
      <c r="I681" s="37"/>
    </row>
    <row r="682" ht="22.5" customHeight="1">
      <c r="A682" s="30"/>
      <c r="B682" s="31"/>
      <c r="C682" s="32"/>
      <c r="D682" s="33"/>
      <c r="E682" s="34"/>
      <c r="F682" s="34"/>
      <c r="G682" s="35"/>
      <c r="H682" s="34"/>
      <c r="I682" s="37"/>
    </row>
    <row r="683" ht="22.5" customHeight="1">
      <c r="A683" s="30"/>
      <c r="B683" s="31"/>
      <c r="C683" s="32"/>
      <c r="D683" s="33"/>
      <c r="E683" s="34"/>
      <c r="F683" s="34"/>
      <c r="G683" s="35"/>
      <c r="H683" s="34"/>
      <c r="I683" s="37"/>
    </row>
    <row r="684" ht="22.5" customHeight="1">
      <c r="A684" s="30"/>
      <c r="B684" s="31"/>
      <c r="C684" s="32"/>
      <c r="D684" s="33"/>
      <c r="E684" s="34"/>
      <c r="F684" s="34"/>
      <c r="G684" s="35"/>
      <c r="H684" s="34"/>
      <c r="I684" s="37"/>
    </row>
    <row r="685" ht="22.5" customHeight="1">
      <c r="A685" s="30"/>
      <c r="B685" s="31"/>
      <c r="C685" s="32"/>
      <c r="D685" s="33"/>
      <c r="E685" s="34"/>
      <c r="F685" s="34"/>
      <c r="G685" s="35"/>
      <c r="H685" s="34"/>
      <c r="I685" s="37"/>
    </row>
    <row r="686" ht="22.5" customHeight="1">
      <c r="A686" s="30"/>
      <c r="B686" s="31"/>
      <c r="C686" s="32"/>
      <c r="D686" s="33"/>
      <c r="E686" s="34"/>
      <c r="F686" s="34"/>
      <c r="G686" s="35"/>
      <c r="H686" s="34"/>
      <c r="I686" s="37"/>
    </row>
    <row r="687" ht="22.5" customHeight="1">
      <c r="A687" s="30"/>
      <c r="B687" s="31"/>
      <c r="C687" s="32"/>
      <c r="D687" s="33"/>
      <c r="E687" s="34"/>
      <c r="F687" s="34"/>
      <c r="G687" s="35"/>
      <c r="H687" s="34"/>
      <c r="I687" s="37"/>
    </row>
    <row r="688" ht="22.5" customHeight="1">
      <c r="A688" s="30"/>
      <c r="B688" s="31"/>
      <c r="C688" s="32"/>
      <c r="D688" s="33"/>
      <c r="E688" s="34"/>
      <c r="F688" s="34"/>
      <c r="G688" s="35"/>
      <c r="H688" s="34"/>
      <c r="I688" s="37"/>
    </row>
    <row r="689" ht="22.5" customHeight="1">
      <c r="A689" s="30"/>
      <c r="B689" s="31"/>
      <c r="C689" s="32"/>
      <c r="D689" s="33"/>
      <c r="E689" s="34"/>
      <c r="F689" s="34"/>
      <c r="G689" s="35"/>
      <c r="H689" s="34"/>
      <c r="I689" s="37"/>
    </row>
    <row r="690" ht="22.5" customHeight="1">
      <c r="A690" s="30"/>
      <c r="B690" s="31"/>
      <c r="C690" s="32"/>
      <c r="D690" s="33"/>
      <c r="E690" s="34"/>
      <c r="F690" s="34"/>
      <c r="G690" s="35"/>
      <c r="H690" s="34"/>
      <c r="I690" s="37"/>
    </row>
    <row r="691" ht="22.5" customHeight="1">
      <c r="A691" s="30"/>
      <c r="B691" s="31"/>
      <c r="C691" s="32"/>
      <c r="D691" s="33"/>
      <c r="E691" s="34"/>
      <c r="F691" s="34"/>
      <c r="G691" s="35"/>
      <c r="H691" s="34"/>
      <c r="I691" s="37"/>
    </row>
    <row r="692" ht="22.5" customHeight="1">
      <c r="A692" s="30"/>
      <c r="B692" s="31"/>
      <c r="C692" s="32"/>
      <c r="D692" s="33"/>
      <c r="E692" s="34"/>
      <c r="F692" s="34"/>
      <c r="G692" s="35"/>
      <c r="H692" s="34"/>
      <c r="I692" s="37"/>
    </row>
    <row r="693" ht="22.5" customHeight="1">
      <c r="A693" s="30"/>
      <c r="B693" s="31"/>
      <c r="C693" s="32"/>
      <c r="D693" s="33"/>
      <c r="E693" s="34"/>
      <c r="F693" s="34"/>
      <c r="G693" s="35"/>
      <c r="H693" s="34"/>
      <c r="I693" s="37"/>
    </row>
    <row r="694" ht="22.5" customHeight="1">
      <c r="A694" s="30"/>
      <c r="B694" s="31"/>
      <c r="C694" s="32"/>
      <c r="D694" s="33"/>
      <c r="E694" s="34"/>
      <c r="F694" s="34"/>
      <c r="G694" s="35"/>
      <c r="H694" s="34"/>
      <c r="I694" s="37"/>
    </row>
    <row r="695" ht="22.5" customHeight="1">
      <c r="A695" s="30"/>
      <c r="B695" s="40"/>
      <c r="C695" s="32"/>
      <c r="D695" s="33"/>
      <c r="E695" s="34"/>
      <c r="F695" s="34"/>
      <c r="G695" s="35"/>
      <c r="H695" s="34"/>
      <c r="I695" s="37"/>
    </row>
    <row r="696" ht="22.5" customHeight="1">
      <c r="A696" s="30"/>
      <c r="B696" s="31"/>
      <c r="C696" s="32"/>
      <c r="D696" s="33"/>
      <c r="E696" s="34"/>
      <c r="F696" s="34"/>
      <c r="G696" s="35"/>
      <c r="H696" s="34"/>
      <c r="I696" s="37"/>
    </row>
    <row r="697" ht="22.5" customHeight="1">
      <c r="A697" s="30"/>
      <c r="B697" s="40"/>
      <c r="C697" s="32"/>
      <c r="D697" s="33"/>
      <c r="E697" s="34"/>
      <c r="F697" s="34"/>
      <c r="G697" s="35"/>
      <c r="H697" s="34"/>
      <c r="I697" s="37"/>
    </row>
    <row r="698" ht="22.5" customHeight="1">
      <c r="A698" s="30"/>
      <c r="B698" s="31"/>
      <c r="C698" s="32"/>
      <c r="D698" s="33"/>
      <c r="E698" s="34"/>
      <c r="F698" s="34"/>
      <c r="G698" s="35"/>
      <c r="H698" s="34"/>
      <c r="I698" s="37"/>
    </row>
    <row r="699" ht="22.5" customHeight="1">
      <c r="A699" s="30"/>
      <c r="B699" s="31"/>
      <c r="C699" s="32"/>
      <c r="D699" s="33"/>
      <c r="E699" s="34"/>
      <c r="F699" s="34"/>
      <c r="G699" s="35"/>
      <c r="H699" s="34"/>
      <c r="I699" s="37"/>
    </row>
    <row r="700" ht="22.5" customHeight="1">
      <c r="A700" s="30"/>
      <c r="B700" s="31"/>
      <c r="C700" s="32"/>
      <c r="D700" s="33"/>
      <c r="E700" s="34"/>
      <c r="F700" s="34"/>
      <c r="G700" s="35"/>
      <c r="H700" s="34"/>
      <c r="I700" s="37"/>
    </row>
    <row r="701" ht="22.5" customHeight="1">
      <c r="A701" s="30"/>
      <c r="B701" s="31"/>
      <c r="C701" s="32"/>
      <c r="D701" s="33"/>
      <c r="E701" s="34"/>
      <c r="F701" s="34"/>
      <c r="G701" s="35"/>
      <c r="H701" s="34"/>
      <c r="I701" s="37"/>
    </row>
    <row r="702" ht="22.5" customHeight="1">
      <c r="A702" s="30"/>
      <c r="B702" s="40"/>
      <c r="C702" s="32"/>
      <c r="D702" s="33"/>
      <c r="E702" s="34"/>
      <c r="F702" s="34"/>
      <c r="G702" s="35"/>
      <c r="H702" s="34"/>
      <c r="I702" s="37"/>
    </row>
    <row r="703" ht="22.5" customHeight="1">
      <c r="A703" s="30"/>
      <c r="B703" s="31"/>
      <c r="C703" s="32"/>
      <c r="D703" s="33"/>
      <c r="E703" s="34"/>
      <c r="F703" s="34"/>
      <c r="G703" s="35"/>
      <c r="H703" s="34"/>
      <c r="I703" s="37"/>
    </row>
    <row r="704" ht="22.5" customHeight="1">
      <c r="A704" s="30"/>
      <c r="B704" s="31"/>
      <c r="C704" s="32"/>
      <c r="D704" s="33"/>
      <c r="E704" s="34"/>
      <c r="F704" s="34"/>
      <c r="G704" s="35"/>
      <c r="H704" s="34"/>
      <c r="I704" s="37"/>
    </row>
    <row r="705" ht="22.5" customHeight="1">
      <c r="A705" s="30"/>
      <c r="B705" s="31"/>
      <c r="C705" s="32"/>
      <c r="D705" s="33"/>
      <c r="E705" s="34"/>
      <c r="F705" s="34"/>
      <c r="G705" s="35"/>
      <c r="H705" s="34"/>
      <c r="I705" s="37"/>
    </row>
    <row r="706" ht="22.5" customHeight="1">
      <c r="A706" s="30"/>
      <c r="B706" s="31"/>
      <c r="C706" s="32"/>
      <c r="D706" s="33"/>
      <c r="E706" s="34"/>
      <c r="F706" s="34"/>
      <c r="G706" s="35"/>
      <c r="H706" s="34"/>
      <c r="I706" s="37"/>
    </row>
    <row r="707" ht="22.5" customHeight="1">
      <c r="A707" s="30"/>
      <c r="B707" s="31"/>
      <c r="C707" s="32"/>
      <c r="D707" s="33"/>
      <c r="E707" s="34"/>
      <c r="F707" s="34"/>
      <c r="G707" s="35"/>
      <c r="H707" s="34"/>
      <c r="I707" s="37"/>
    </row>
    <row r="708" ht="22.5" customHeight="1">
      <c r="A708" s="30"/>
      <c r="B708" s="31"/>
      <c r="C708" s="32"/>
      <c r="D708" s="33"/>
      <c r="E708" s="34"/>
      <c r="F708" s="34"/>
      <c r="G708" s="35"/>
      <c r="H708" s="34"/>
      <c r="I708" s="37"/>
    </row>
    <row r="709" ht="22.5" customHeight="1">
      <c r="A709" s="30"/>
      <c r="B709" s="31"/>
      <c r="C709" s="32"/>
      <c r="D709" s="33"/>
      <c r="E709" s="34"/>
      <c r="F709" s="34"/>
      <c r="G709" s="35"/>
      <c r="H709" s="34"/>
      <c r="I709" s="37"/>
    </row>
    <row r="710" ht="22.5" customHeight="1">
      <c r="A710" s="30"/>
      <c r="B710" s="31"/>
      <c r="C710" s="32"/>
      <c r="D710" s="33"/>
      <c r="E710" s="34"/>
      <c r="F710" s="34"/>
      <c r="G710" s="35"/>
      <c r="H710" s="34"/>
      <c r="I710" s="37"/>
    </row>
    <row r="711" ht="22.5" customHeight="1">
      <c r="A711" s="30"/>
      <c r="B711" s="31"/>
      <c r="C711" s="32"/>
      <c r="D711" s="33"/>
      <c r="E711" s="34"/>
      <c r="F711" s="34"/>
      <c r="G711" s="35"/>
      <c r="H711" s="34"/>
      <c r="I711" s="37"/>
    </row>
    <row r="712" ht="22.5" customHeight="1">
      <c r="A712" s="30"/>
      <c r="B712" s="31"/>
      <c r="C712" s="32"/>
      <c r="D712" s="33"/>
      <c r="E712" s="34"/>
      <c r="F712" s="34"/>
      <c r="G712" s="35"/>
      <c r="H712" s="34"/>
      <c r="I712" s="37"/>
    </row>
    <row r="713" ht="22.5" customHeight="1">
      <c r="A713" s="30"/>
      <c r="B713" s="31"/>
      <c r="C713" s="32"/>
      <c r="D713" s="33"/>
      <c r="E713" s="34"/>
      <c r="F713" s="34"/>
      <c r="G713" s="35"/>
      <c r="H713" s="34"/>
      <c r="I713" s="37"/>
    </row>
    <row r="714" ht="22.5" customHeight="1">
      <c r="A714" s="30"/>
      <c r="B714" s="31"/>
      <c r="C714" s="32"/>
      <c r="D714" s="33"/>
      <c r="E714" s="34"/>
      <c r="F714" s="34"/>
      <c r="G714" s="35"/>
      <c r="H714" s="34"/>
      <c r="I714" s="37"/>
    </row>
    <row r="715" ht="22.5" customHeight="1">
      <c r="A715" s="30"/>
      <c r="B715" s="31"/>
      <c r="C715" s="32"/>
      <c r="D715" s="33"/>
      <c r="E715" s="34"/>
      <c r="F715" s="34"/>
      <c r="G715" s="35"/>
      <c r="H715" s="34"/>
      <c r="I715" s="37"/>
    </row>
    <row r="716" ht="22.5" customHeight="1">
      <c r="A716" s="30"/>
      <c r="B716" s="31"/>
      <c r="C716" s="32"/>
      <c r="D716" s="33"/>
      <c r="E716" s="34"/>
      <c r="F716" s="34"/>
      <c r="G716" s="35"/>
      <c r="H716" s="34"/>
      <c r="I716" s="37"/>
    </row>
    <row r="717" ht="22.5" customHeight="1">
      <c r="A717" s="30"/>
      <c r="B717" s="31"/>
      <c r="C717" s="32"/>
      <c r="D717" s="33"/>
      <c r="E717" s="34"/>
      <c r="F717" s="34"/>
      <c r="G717" s="35"/>
      <c r="H717" s="34"/>
      <c r="I717" s="37"/>
    </row>
    <row r="718" ht="22.5" customHeight="1">
      <c r="A718" s="30"/>
      <c r="B718" s="31"/>
      <c r="C718" s="32"/>
      <c r="D718" s="33"/>
      <c r="E718" s="34"/>
      <c r="F718" s="34"/>
      <c r="G718" s="35"/>
      <c r="H718" s="34"/>
      <c r="I718" s="37"/>
    </row>
    <row r="719" ht="22.5" customHeight="1">
      <c r="A719" s="30"/>
      <c r="B719" s="31"/>
      <c r="C719" s="32"/>
      <c r="D719" s="33"/>
      <c r="E719" s="34"/>
      <c r="F719" s="34"/>
      <c r="G719" s="35"/>
      <c r="H719" s="34"/>
      <c r="I719" s="37"/>
    </row>
    <row r="720" ht="22.5" customHeight="1">
      <c r="A720" s="30"/>
      <c r="B720" s="31"/>
      <c r="C720" s="32"/>
      <c r="D720" s="33"/>
      <c r="E720" s="34"/>
      <c r="F720" s="34"/>
      <c r="G720" s="35"/>
      <c r="H720" s="34"/>
      <c r="I720" s="37"/>
    </row>
    <row r="721" ht="22.5" customHeight="1">
      <c r="A721" s="30"/>
      <c r="B721" s="31"/>
      <c r="C721" s="32"/>
      <c r="D721" s="33"/>
      <c r="E721" s="34"/>
      <c r="F721" s="34"/>
      <c r="G721" s="35"/>
      <c r="H721" s="34"/>
      <c r="I721" s="37"/>
    </row>
    <row r="722" ht="22.5" customHeight="1">
      <c r="A722" s="30"/>
      <c r="B722" s="31"/>
      <c r="C722" s="32"/>
      <c r="D722" s="33"/>
      <c r="E722" s="34"/>
      <c r="F722" s="34"/>
      <c r="G722" s="35"/>
      <c r="H722" s="34"/>
      <c r="I722" s="37"/>
    </row>
    <row r="723" ht="22.5" customHeight="1">
      <c r="A723" s="30"/>
      <c r="B723" s="31"/>
      <c r="C723" s="32"/>
      <c r="D723" s="33"/>
      <c r="E723" s="34"/>
      <c r="F723" s="34"/>
      <c r="G723" s="35"/>
      <c r="H723" s="34"/>
      <c r="I723" s="37"/>
    </row>
    <row r="724" ht="22.5" customHeight="1">
      <c r="A724" s="30"/>
      <c r="B724" s="40"/>
      <c r="C724" s="32"/>
      <c r="D724" s="33"/>
      <c r="E724" s="34"/>
      <c r="F724" s="34"/>
      <c r="G724" s="35"/>
      <c r="H724" s="34"/>
      <c r="I724" s="37"/>
    </row>
    <row r="725" ht="22.5" customHeight="1">
      <c r="A725" s="30"/>
      <c r="B725" s="31"/>
      <c r="C725" s="32"/>
      <c r="D725" s="33"/>
      <c r="E725" s="34"/>
      <c r="F725" s="34"/>
      <c r="G725" s="35"/>
      <c r="H725" s="34"/>
      <c r="I725" s="37"/>
    </row>
    <row r="726" ht="22.5" customHeight="1">
      <c r="A726" s="30"/>
      <c r="B726" s="31"/>
      <c r="C726" s="32"/>
      <c r="D726" s="33"/>
      <c r="E726" s="34"/>
      <c r="F726" s="34"/>
      <c r="G726" s="35"/>
      <c r="H726" s="34"/>
      <c r="I726" s="37"/>
    </row>
    <row r="727" ht="22.5" customHeight="1">
      <c r="A727" s="30"/>
      <c r="B727" s="31"/>
      <c r="C727" s="32"/>
      <c r="D727" s="33"/>
      <c r="E727" s="34"/>
      <c r="F727" s="34"/>
      <c r="G727" s="35"/>
      <c r="H727" s="34"/>
      <c r="I727" s="37"/>
    </row>
    <row r="728" ht="22.5" customHeight="1">
      <c r="A728" s="30"/>
      <c r="B728" s="31"/>
      <c r="C728" s="32"/>
      <c r="D728" s="33"/>
      <c r="E728" s="34"/>
      <c r="F728" s="34"/>
      <c r="G728" s="35"/>
      <c r="H728" s="34"/>
      <c r="I728" s="38"/>
    </row>
    <row r="729" ht="22.5" customHeight="1">
      <c r="A729" s="30"/>
      <c r="B729" s="39"/>
      <c r="C729" s="32"/>
      <c r="D729" s="33"/>
      <c r="E729" s="34"/>
      <c r="F729" s="34"/>
      <c r="G729" s="35"/>
      <c r="H729" s="34"/>
      <c r="I729" s="37"/>
    </row>
    <row r="730" ht="22.5" customHeight="1">
      <c r="A730" s="30"/>
      <c r="B730" s="31"/>
      <c r="C730" s="32"/>
      <c r="D730" s="33"/>
      <c r="E730" s="34"/>
      <c r="F730" s="34"/>
      <c r="G730" s="35"/>
      <c r="H730" s="34"/>
      <c r="I730" s="37"/>
    </row>
    <row r="731" ht="22.5" customHeight="1">
      <c r="A731" s="30"/>
      <c r="B731" s="31"/>
      <c r="C731" s="32"/>
      <c r="D731" s="33"/>
      <c r="E731" s="34"/>
      <c r="F731" s="34"/>
      <c r="G731" s="35"/>
      <c r="H731" s="34"/>
      <c r="I731" s="37"/>
    </row>
    <row r="732" ht="22.5" customHeight="1">
      <c r="A732" s="30"/>
      <c r="B732" s="31"/>
      <c r="C732" s="32"/>
      <c r="D732" s="33"/>
      <c r="E732" s="34"/>
      <c r="F732" s="34"/>
      <c r="G732" s="35"/>
      <c r="H732" s="34"/>
      <c r="I732" s="37"/>
    </row>
    <row r="733" ht="22.5" customHeight="1">
      <c r="A733" s="30"/>
      <c r="B733" s="39"/>
      <c r="C733" s="32"/>
      <c r="D733" s="33"/>
      <c r="E733" s="34"/>
      <c r="F733" s="34"/>
      <c r="G733" s="35"/>
      <c r="H733" s="34"/>
      <c r="I733" s="37"/>
    </row>
    <row r="734" ht="22.5" customHeight="1">
      <c r="A734" s="30"/>
      <c r="B734" s="31"/>
      <c r="C734" s="32"/>
      <c r="D734" s="33"/>
      <c r="E734" s="34"/>
      <c r="F734" s="34"/>
      <c r="G734" s="35"/>
      <c r="H734" s="34"/>
      <c r="I734" s="37"/>
    </row>
    <row r="735" ht="22.5" customHeight="1">
      <c r="A735" s="30"/>
      <c r="B735" s="39"/>
      <c r="C735" s="32"/>
      <c r="D735" s="33"/>
      <c r="E735" s="34"/>
      <c r="F735" s="34"/>
      <c r="G735" s="35"/>
      <c r="H735" s="34"/>
      <c r="I735" s="37"/>
    </row>
    <row r="736" ht="22.5" customHeight="1">
      <c r="A736" s="30"/>
      <c r="B736" s="31"/>
      <c r="C736" s="32"/>
      <c r="D736" s="33"/>
      <c r="E736" s="34"/>
      <c r="F736" s="34"/>
      <c r="G736" s="35"/>
      <c r="H736" s="34"/>
      <c r="I736" s="37"/>
    </row>
    <row r="737" ht="22.5" customHeight="1">
      <c r="A737" s="30"/>
      <c r="B737" s="31"/>
      <c r="C737" s="32"/>
      <c r="D737" s="33"/>
      <c r="E737" s="34"/>
      <c r="F737" s="34"/>
      <c r="G737" s="35"/>
      <c r="H737" s="34"/>
      <c r="I737" s="37"/>
    </row>
    <row r="738" ht="22.5" customHeight="1">
      <c r="A738" s="30"/>
      <c r="B738" s="31"/>
      <c r="C738" s="32"/>
      <c r="D738" s="33"/>
      <c r="E738" s="34"/>
      <c r="F738" s="34"/>
      <c r="G738" s="35"/>
      <c r="H738" s="34"/>
      <c r="I738" s="37"/>
    </row>
    <row r="739" ht="22.5" customHeight="1">
      <c r="A739" s="30"/>
      <c r="B739" s="31"/>
      <c r="C739" s="32"/>
      <c r="D739" s="33"/>
      <c r="E739" s="34"/>
      <c r="F739" s="34"/>
      <c r="G739" s="35"/>
      <c r="H739" s="34"/>
      <c r="I739" s="37"/>
    </row>
    <row r="740" ht="22.5" customHeight="1">
      <c r="A740" s="30"/>
      <c r="B740" s="31"/>
      <c r="C740" s="32"/>
      <c r="D740" s="33"/>
      <c r="E740" s="34"/>
      <c r="F740" s="34"/>
      <c r="G740" s="35"/>
      <c r="H740" s="34"/>
      <c r="I740" s="37"/>
    </row>
    <row r="741" ht="22.5" customHeight="1">
      <c r="A741" s="30"/>
      <c r="B741" s="31"/>
      <c r="C741" s="32"/>
      <c r="D741" s="33"/>
      <c r="E741" s="34"/>
      <c r="F741" s="34"/>
      <c r="G741" s="35"/>
      <c r="H741" s="34"/>
      <c r="I741" s="37"/>
    </row>
    <row r="742" ht="22.5" customHeight="1">
      <c r="A742" s="30"/>
      <c r="B742" s="31"/>
      <c r="C742" s="32"/>
      <c r="D742" s="33"/>
      <c r="E742" s="34"/>
      <c r="F742" s="34"/>
      <c r="G742" s="35"/>
      <c r="H742" s="34"/>
      <c r="I742" s="37"/>
    </row>
    <row r="743" ht="22.5" customHeight="1">
      <c r="A743" s="30"/>
      <c r="B743" s="31"/>
      <c r="C743" s="32"/>
      <c r="D743" s="33"/>
      <c r="E743" s="34"/>
      <c r="F743" s="34"/>
      <c r="G743" s="35"/>
      <c r="H743" s="34"/>
      <c r="I743" s="37"/>
    </row>
    <row r="744" ht="22.5" customHeight="1">
      <c r="A744" s="30"/>
      <c r="B744" s="31"/>
      <c r="C744" s="32"/>
      <c r="D744" s="33"/>
      <c r="E744" s="34"/>
      <c r="F744" s="34"/>
      <c r="G744" s="35"/>
      <c r="H744" s="34"/>
      <c r="I744" s="37"/>
    </row>
    <row r="745" ht="22.5" customHeight="1">
      <c r="A745" s="30"/>
      <c r="B745" s="31"/>
      <c r="C745" s="32"/>
      <c r="D745" s="33"/>
      <c r="E745" s="34"/>
      <c r="F745" s="34"/>
      <c r="G745" s="35"/>
      <c r="H745" s="34"/>
      <c r="I745" s="37"/>
    </row>
    <row r="746" ht="22.5" customHeight="1">
      <c r="A746" s="30"/>
      <c r="B746" s="40"/>
      <c r="C746" s="32"/>
      <c r="D746" s="33"/>
      <c r="E746" s="34"/>
      <c r="F746" s="34"/>
      <c r="G746" s="35"/>
      <c r="H746" s="34"/>
      <c r="I746" s="37"/>
    </row>
    <row r="747" ht="22.5" customHeight="1">
      <c r="A747" s="30"/>
      <c r="B747" s="31"/>
      <c r="C747" s="32"/>
      <c r="D747" s="33"/>
      <c r="E747" s="34"/>
      <c r="F747" s="34"/>
      <c r="G747" s="35"/>
      <c r="H747" s="34"/>
      <c r="I747" s="37"/>
    </row>
    <row r="748" ht="22.5" customHeight="1">
      <c r="A748" s="30"/>
      <c r="B748" s="31"/>
      <c r="C748" s="32"/>
      <c r="D748" s="33"/>
      <c r="E748" s="34"/>
      <c r="F748" s="34"/>
      <c r="G748" s="35"/>
      <c r="H748" s="34"/>
      <c r="I748" s="37"/>
    </row>
    <row r="749" ht="22.5" customHeight="1">
      <c r="A749" s="30"/>
      <c r="B749" s="31"/>
      <c r="C749" s="32"/>
      <c r="D749" s="33"/>
      <c r="E749" s="34"/>
      <c r="F749" s="34"/>
      <c r="G749" s="35"/>
      <c r="H749" s="34"/>
      <c r="I749" s="37"/>
    </row>
    <row r="750" ht="22.5" customHeight="1">
      <c r="A750" s="30"/>
      <c r="B750" s="31"/>
      <c r="C750" s="32"/>
      <c r="D750" s="33"/>
      <c r="E750" s="34"/>
      <c r="F750" s="34"/>
      <c r="G750" s="35"/>
      <c r="H750" s="34"/>
      <c r="I750" s="37"/>
    </row>
    <row r="751" ht="22.5" customHeight="1">
      <c r="A751" s="30"/>
      <c r="B751" s="31"/>
      <c r="C751" s="32"/>
      <c r="D751" s="33"/>
      <c r="E751" s="34"/>
      <c r="F751" s="34"/>
      <c r="G751" s="35"/>
      <c r="H751" s="34"/>
      <c r="I751" s="37"/>
    </row>
    <row r="752" ht="22.5" customHeight="1">
      <c r="A752" s="30"/>
      <c r="B752" s="31"/>
      <c r="C752" s="32"/>
      <c r="D752" s="33"/>
      <c r="E752" s="34"/>
      <c r="F752" s="34"/>
      <c r="G752" s="35"/>
      <c r="H752" s="34"/>
      <c r="I752" s="37"/>
    </row>
    <row r="753" ht="22.5" customHeight="1">
      <c r="A753" s="30"/>
      <c r="B753" s="39"/>
      <c r="C753" s="32"/>
      <c r="D753" s="33"/>
      <c r="E753" s="34"/>
      <c r="F753" s="34"/>
      <c r="G753" s="35"/>
      <c r="H753" s="34"/>
      <c r="I753" s="37"/>
    </row>
    <row r="754" ht="22.5" customHeight="1">
      <c r="A754" s="30"/>
      <c r="B754" s="39"/>
      <c r="C754" s="32"/>
      <c r="D754" s="33"/>
      <c r="E754" s="34"/>
      <c r="F754" s="34"/>
      <c r="G754" s="35"/>
      <c r="H754" s="34"/>
      <c r="I754" s="37"/>
    </row>
    <row r="755" ht="22.5" customHeight="1">
      <c r="A755" s="30"/>
      <c r="B755" s="39"/>
      <c r="C755" s="32"/>
      <c r="D755" s="33"/>
      <c r="E755" s="34"/>
      <c r="F755" s="34"/>
      <c r="G755" s="35"/>
      <c r="H755" s="34"/>
      <c r="I755" s="37"/>
    </row>
    <row r="756" ht="22.5" customHeight="1">
      <c r="A756" s="30"/>
      <c r="B756" s="40"/>
      <c r="C756" s="32"/>
      <c r="D756" s="33"/>
      <c r="E756" s="34"/>
      <c r="F756" s="34"/>
      <c r="G756" s="35"/>
      <c r="H756" s="34"/>
      <c r="I756" s="37"/>
    </row>
    <row r="757" ht="22.5" customHeight="1">
      <c r="A757" s="30"/>
      <c r="B757" s="31"/>
      <c r="C757" s="32"/>
      <c r="D757" s="33"/>
      <c r="E757" s="34"/>
      <c r="F757" s="34"/>
      <c r="G757" s="35"/>
      <c r="H757" s="34"/>
      <c r="I757" s="37"/>
    </row>
    <row r="758" ht="22.5" customHeight="1">
      <c r="A758" s="30"/>
      <c r="B758" s="31"/>
      <c r="C758" s="32"/>
      <c r="D758" s="33"/>
      <c r="E758" s="34"/>
      <c r="F758" s="34"/>
      <c r="G758" s="35"/>
      <c r="H758" s="34"/>
      <c r="I758" s="37"/>
    </row>
    <row r="759" ht="22.5" customHeight="1">
      <c r="A759" s="30"/>
      <c r="B759" s="31"/>
      <c r="C759" s="32"/>
      <c r="D759" s="33"/>
      <c r="E759" s="34"/>
      <c r="F759" s="34"/>
      <c r="G759" s="35"/>
      <c r="H759" s="34"/>
      <c r="I759" s="37"/>
    </row>
    <row r="760" ht="22.5" customHeight="1">
      <c r="A760" s="30"/>
      <c r="B760" s="31"/>
      <c r="C760" s="32"/>
      <c r="D760" s="33"/>
      <c r="E760" s="34"/>
      <c r="F760" s="34"/>
      <c r="G760" s="35"/>
      <c r="H760" s="34"/>
      <c r="I760" s="37"/>
    </row>
    <row r="761" ht="22.5" customHeight="1">
      <c r="A761" s="30"/>
      <c r="B761" s="31"/>
      <c r="C761" s="32"/>
      <c r="D761" s="33"/>
      <c r="E761" s="34"/>
      <c r="F761" s="34"/>
      <c r="G761" s="35"/>
      <c r="H761" s="34"/>
      <c r="I761" s="37"/>
    </row>
    <row r="762" ht="22.5" customHeight="1">
      <c r="A762" s="30"/>
      <c r="B762" s="31"/>
      <c r="C762" s="32"/>
      <c r="D762" s="33"/>
      <c r="E762" s="34"/>
      <c r="F762" s="34"/>
      <c r="G762" s="35"/>
      <c r="H762" s="34"/>
      <c r="I762" s="37"/>
    </row>
    <row r="763" ht="22.5" customHeight="1">
      <c r="A763" s="30"/>
      <c r="B763" s="31"/>
      <c r="C763" s="32"/>
      <c r="D763" s="33"/>
      <c r="E763" s="34"/>
      <c r="F763" s="34"/>
      <c r="G763" s="35"/>
      <c r="H763" s="34"/>
      <c r="I763" s="37"/>
    </row>
    <row r="764" ht="22.5" customHeight="1">
      <c r="A764" s="30"/>
      <c r="B764" s="31"/>
      <c r="C764" s="32"/>
      <c r="D764" s="33"/>
      <c r="E764" s="34"/>
      <c r="F764" s="34"/>
      <c r="G764" s="35"/>
      <c r="H764" s="34"/>
      <c r="I764" s="37"/>
    </row>
    <row r="765" ht="22.5" customHeight="1">
      <c r="A765" s="30"/>
      <c r="B765" s="31"/>
      <c r="C765" s="32"/>
      <c r="D765" s="33"/>
      <c r="E765" s="34"/>
      <c r="F765" s="34"/>
      <c r="G765" s="35"/>
      <c r="H765" s="34"/>
      <c r="I765" s="37"/>
    </row>
    <row r="766" ht="22.5" customHeight="1">
      <c r="A766" s="30"/>
      <c r="B766" s="40"/>
      <c r="C766" s="32"/>
      <c r="D766" s="33"/>
      <c r="E766" s="34"/>
      <c r="F766" s="34"/>
      <c r="G766" s="35"/>
      <c r="H766" s="34"/>
      <c r="I766" s="37"/>
    </row>
    <row r="767" ht="22.5" customHeight="1">
      <c r="A767" s="30"/>
      <c r="B767" s="31"/>
      <c r="C767" s="32"/>
      <c r="D767" s="33"/>
      <c r="E767" s="34"/>
      <c r="F767" s="34"/>
      <c r="G767" s="35"/>
      <c r="H767" s="34"/>
      <c r="I767" s="37"/>
    </row>
    <row r="768" ht="22.5" customHeight="1">
      <c r="A768" s="30"/>
      <c r="B768" s="31"/>
      <c r="C768" s="32"/>
      <c r="D768" s="33"/>
      <c r="E768" s="34"/>
      <c r="F768" s="34"/>
      <c r="G768" s="35"/>
      <c r="H768" s="34"/>
      <c r="I768" s="37"/>
    </row>
    <row r="769" ht="22.5" customHeight="1">
      <c r="A769" s="30"/>
      <c r="B769" s="31"/>
      <c r="C769" s="32"/>
      <c r="D769" s="33"/>
      <c r="E769" s="34"/>
      <c r="F769" s="34"/>
      <c r="G769" s="35"/>
      <c r="H769" s="34"/>
      <c r="I769" s="37"/>
    </row>
    <row r="770" ht="22.5" customHeight="1">
      <c r="A770" s="30"/>
      <c r="B770" s="40"/>
      <c r="C770" s="32"/>
      <c r="D770" s="33"/>
      <c r="E770" s="34"/>
      <c r="F770" s="34"/>
      <c r="G770" s="35"/>
      <c r="H770" s="34"/>
      <c r="I770" s="37"/>
    </row>
    <row r="771" ht="22.5" customHeight="1">
      <c r="A771" s="30"/>
      <c r="B771" s="31"/>
      <c r="C771" s="32"/>
      <c r="D771" s="33"/>
      <c r="E771" s="34"/>
      <c r="F771" s="34"/>
      <c r="G771" s="35"/>
      <c r="H771" s="34"/>
      <c r="I771" s="37"/>
    </row>
    <row r="772" ht="22.5" customHeight="1">
      <c r="A772" s="30"/>
      <c r="B772" s="31"/>
      <c r="C772" s="32"/>
      <c r="D772" s="33"/>
      <c r="E772" s="34"/>
      <c r="F772" s="34"/>
      <c r="G772" s="35"/>
      <c r="H772" s="34"/>
      <c r="I772" s="37"/>
    </row>
    <row r="773" ht="22.5" customHeight="1">
      <c r="A773" s="30"/>
      <c r="B773" s="31"/>
      <c r="C773" s="32"/>
      <c r="D773" s="33"/>
      <c r="E773" s="34"/>
      <c r="F773" s="34"/>
      <c r="G773" s="35"/>
      <c r="H773" s="34"/>
      <c r="I773" s="37"/>
    </row>
    <row r="774" ht="22.5" customHeight="1">
      <c r="A774" s="30"/>
      <c r="B774" s="31"/>
      <c r="C774" s="32"/>
      <c r="D774" s="33"/>
      <c r="E774" s="34"/>
      <c r="F774" s="34"/>
      <c r="G774" s="35"/>
      <c r="H774" s="34"/>
      <c r="I774" s="37"/>
    </row>
    <row r="775" ht="22.5" customHeight="1">
      <c r="A775" s="30"/>
      <c r="B775" s="31"/>
      <c r="C775" s="32"/>
      <c r="D775" s="33"/>
      <c r="E775" s="34"/>
      <c r="F775" s="34"/>
      <c r="G775" s="35"/>
      <c r="H775" s="34"/>
      <c r="I775" s="37"/>
    </row>
    <row r="776" ht="22.5" customHeight="1">
      <c r="A776" s="30"/>
      <c r="B776" s="31"/>
      <c r="C776" s="32"/>
      <c r="D776" s="33"/>
      <c r="E776" s="34"/>
      <c r="F776" s="34"/>
      <c r="G776" s="35"/>
      <c r="H776" s="34"/>
      <c r="I776" s="37"/>
    </row>
    <row r="777" ht="22.5" customHeight="1">
      <c r="A777" s="30"/>
      <c r="B777" s="31"/>
      <c r="C777" s="32"/>
      <c r="D777" s="33"/>
      <c r="E777" s="34"/>
      <c r="F777" s="34"/>
      <c r="G777" s="35"/>
      <c r="H777" s="34"/>
      <c r="I777" s="37"/>
    </row>
    <row r="778" ht="22.5" customHeight="1">
      <c r="A778" s="30"/>
      <c r="B778" s="31"/>
      <c r="C778" s="32"/>
      <c r="D778" s="33"/>
      <c r="E778" s="34"/>
      <c r="F778" s="34"/>
      <c r="G778" s="35"/>
      <c r="H778" s="34"/>
      <c r="I778" s="37"/>
    </row>
    <row r="779" ht="22.5" customHeight="1">
      <c r="A779" s="30"/>
      <c r="B779" s="31"/>
      <c r="C779" s="32"/>
      <c r="D779" s="33"/>
      <c r="E779" s="34"/>
      <c r="F779" s="34"/>
      <c r="G779" s="35"/>
      <c r="H779" s="34"/>
      <c r="I779" s="37"/>
    </row>
    <row r="780" ht="22.5" customHeight="1">
      <c r="A780" s="30"/>
      <c r="B780" s="31"/>
      <c r="C780" s="32"/>
      <c r="D780" s="33"/>
      <c r="E780" s="34"/>
      <c r="F780" s="34"/>
      <c r="G780" s="35"/>
      <c r="H780" s="34"/>
      <c r="I780" s="37"/>
    </row>
    <row r="781" ht="22.5" customHeight="1">
      <c r="A781" s="30"/>
      <c r="B781" s="31"/>
      <c r="C781" s="32"/>
      <c r="D781" s="33"/>
      <c r="E781" s="34"/>
      <c r="F781" s="34"/>
      <c r="G781" s="35"/>
      <c r="H781" s="34"/>
      <c r="I781" s="37"/>
    </row>
    <row r="782" ht="22.5" customHeight="1">
      <c r="A782" s="30"/>
      <c r="B782" s="31"/>
      <c r="C782" s="32"/>
      <c r="D782" s="33"/>
      <c r="E782" s="34"/>
      <c r="F782" s="34"/>
      <c r="G782" s="35"/>
      <c r="H782" s="34"/>
      <c r="I782" s="37"/>
    </row>
    <row r="783" ht="22.5" customHeight="1">
      <c r="A783" s="30"/>
      <c r="B783" s="31"/>
      <c r="C783" s="32"/>
      <c r="D783" s="33"/>
      <c r="E783" s="34"/>
      <c r="F783" s="34"/>
      <c r="G783" s="35"/>
      <c r="H783" s="34"/>
      <c r="I783" s="37"/>
    </row>
    <row r="784" ht="22.5" customHeight="1">
      <c r="A784" s="30"/>
      <c r="B784" s="31"/>
      <c r="C784" s="32"/>
      <c r="D784" s="33"/>
      <c r="E784" s="34"/>
      <c r="F784" s="34"/>
      <c r="G784" s="35"/>
      <c r="H784" s="34"/>
      <c r="I784" s="37"/>
    </row>
    <row r="785" ht="22.5" customHeight="1">
      <c r="A785" s="30"/>
      <c r="B785" s="40"/>
      <c r="C785" s="32"/>
      <c r="D785" s="33"/>
      <c r="E785" s="34"/>
      <c r="F785" s="34"/>
      <c r="G785" s="35"/>
      <c r="H785" s="34"/>
      <c r="I785" s="37"/>
    </row>
    <row r="786" ht="22.5" customHeight="1">
      <c r="A786" s="30"/>
      <c r="B786" s="31"/>
      <c r="C786" s="32"/>
      <c r="D786" s="33"/>
      <c r="E786" s="34"/>
      <c r="F786" s="34"/>
      <c r="G786" s="35"/>
      <c r="H786" s="34"/>
      <c r="I786" s="37"/>
    </row>
    <row r="787" ht="22.5" customHeight="1">
      <c r="A787" s="30"/>
      <c r="B787" s="40"/>
      <c r="C787" s="32"/>
      <c r="D787" s="33"/>
      <c r="E787" s="34"/>
      <c r="F787" s="34"/>
      <c r="G787" s="35"/>
      <c r="H787" s="34"/>
      <c r="I787" s="37"/>
    </row>
    <row r="788" ht="22.5" customHeight="1">
      <c r="A788" s="30"/>
      <c r="B788" s="31"/>
      <c r="C788" s="32"/>
      <c r="D788" s="33"/>
      <c r="E788" s="34"/>
      <c r="F788" s="34"/>
      <c r="G788" s="35"/>
      <c r="H788" s="34"/>
      <c r="I788" s="37"/>
    </row>
    <row r="789" ht="22.5" customHeight="1">
      <c r="A789" s="30"/>
      <c r="B789" s="31"/>
      <c r="C789" s="32"/>
      <c r="D789" s="33"/>
      <c r="E789" s="34"/>
      <c r="F789" s="34"/>
      <c r="G789" s="35"/>
      <c r="H789" s="34"/>
      <c r="I789" s="37"/>
    </row>
    <row r="790" ht="22.5" customHeight="1">
      <c r="A790" s="30"/>
      <c r="B790" s="31"/>
      <c r="C790" s="32"/>
      <c r="D790" s="33"/>
      <c r="E790" s="34"/>
      <c r="F790" s="34"/>
      <c r="G790" s="35"/>
      <c r="H790" s="34"/>
      <c r="I790" s="37"/>
    </row>
    <row r="791" ht="22.5" customHeight="1">
      <c r="A791" s="30"/>
      <c r="B791" s="31"/>
      <c r="C791" s="32"/>
      <c r="D791" s="33"/>
      <c r="E791" s="34"/>
      <c r="F791" s="34"/>
      <c r="G791" s="35"/>
      <c r="H791" s="34"/>
      <c r="I791" s="37"/>
    </row>
    <row r="792" ht="22.5" customHeight="1">
      <c r="A792" s="30"/>
      <c r="B792" s="40"/>
      <c r="C792" s="32"/>
      <c r="D792" s="33"/>
      <c r="E792" s="34"/>
      <c r="F792" s="34"/>
      <c r="G792" s="35"/>
      <c r="H792" s="34"/>
      <c r="I792" s="37"/>
    </row>
    <row r="793" ht="22.5" customHeight="1">
      <c r="A793" s="30"/>
      <c r="B793" s="31"/>
      <c r="C793" s="32"/>
      <c r="D793" s="33"/>
      <c r="E793" s="34"/>
      <c r="F793" s="34"/>
      <c r="G793" s="35"/>
      <c r="H793" s="34"/>
      <c r="I793" s="37"/>
    </row>
    <row r="794" ht="22.5" customHeight="1">
      <c r="A794" s="30"/>
      <c r="B794" s="31"/>
      <c r="C794" s="32"/>
      <c r="D794" s="33"/>
      <c r="E794" s="34"/>
      <c r="F794" s="34"/>
      <c r="G794" s="35"/>
      <c r="H794" s="34"/>
      <c r="I794" s="37"/>
    </row>
    <row r="795" ht="22.5" customHeight="1">
      <c r="A795" s="30"/>
      <c r="B795" s="31"/>
      <c r="C795" s="32"/>
      <c r="D795" s="33"/>
      <c r="E795" s="34"/>
      <c r="F795" s="34"/>
      <c r="G795" s="35"/>
      <c r="H795" s="34"/>
      <c r="I795" s="37"/>
    </row>
    <row r="796" ht="22.5" customHeight="1">
      <c r="A796" s="30"/>
      <c r="B796" s="31"/>
      <c r="C796" s="32"/>
      <c r="D796" s="33"/>
      <c r="E796" s="34"/>
      <c r="F796" s="34"/>
      <c r="G796" s="35"/>
      <c r="H796" s="34"/>
      <c r="I796" s="37"/>
    </row>
    <row r="797" ht="22.5" customHeight="1">
      <c r="A797" s="30"/>
      <c r="B797" s="31"/>
      <c r="C797" s="32"/>
      <c r="D797" s="33"/>
      <c r="E797" s="34"/>
      <c r="F797" s="34"/>
      <c r="G797" s="35"/>
      <c r="H797" s="34"/>
      <c r="I797" s="37"/>
    </row>
    <row r="798" ht="22.5" customHeight="1">
      <c r="A798" s="30"/>
      <c r="B798" s="31"/>
      <c r="C798" s="32"/>
      <c r="D798" s="33"/>
      <c r="E798" s="34"/>
      <c r="F798" s="34"/>
      <c r="G798" s="35"/>
      <c r="H798" s="34"/>
      <c r="I798" s="37"/>
    </row>
    <row r="799" ht="22.5" customHeight="1">
      <c r="A799" s="30"/>
      <c r="B799" s="31"/>
      <c r="C799" s="32"/>
      <c r="D799" s="33"/>
      <c r="E799" s="34"/>
      <c r="F799" s="34"/>
      <c r="G799" s="35"/>
      <c r="H799" s="34"/>
      <c r="I799" s="37"/>
    </row>
    <row r="800" ht="22.5" customHeight="1">
      <c r="A800" s="30"/>
      <c r="B800" s="31"/>
      <c r="C800" s="32"/>
      <c r="D800" s="33"/>
      <c r="E800" s="34"/>
      <c r="F800" s="34"/>
      <c r="G800" s="35"/>
      <c r="H800" s="34"/>
      <c r="I800" s="37"/>
    </row>
    <row r="801" ht="22.5" customHeight="1">
      <c r="A801" s="30"/>
      <c r="B801" s="31"/>
      <c r="C801" s="32"/>
      <c r="D801" s="33"/>
      <c r="E801" s="34"/>
      <c r="F801" s="34"/>
      <c r="G801" s="35"/>
      <c r="H801" s="34"/>
      <c r="I801" s="37"/>
    </row>
    <row r="802" ht="22.5" customHeight="1">
      <c r="A802" s="30"/>
      <c r="B802" s="31"/>
      <c r="C802" s="32"/>
      <c r="D802" s="33"/>
      <c r="E802" s="34"/>
      <c r="F802" s="34"/>
      <c r="G802" s="35"/>
      <c r="H802" s="34"/>
      <c r="I802" s="37"/>
    </row>
    <row r="803" ht="22.5" customHeight="1">
      <c r="A803" s="30"/>
      <c r="B803" s="31"/>
      <c r="C803" s="32"/>
      <c r="D803" s="33"/>
      <c r="E803" s="34"/>
      <c r="F803" s="34"/>
      <c r="G803" s="35"/>
      <c r="H803" s="34"/>
      <c r="I803" s="37"/>
    </row>
    <row r="804" ht="22.5" customHeight="1">
      <c r="A804" s="30"/>
      <c r="B804" s="31"/>
      <c r="C804" s="32"/>
      <c r="D804" s="33"/>
      <c r="E804" s="34"/>
      <c r="F804" s="34"/>
      <c r="G804" s="35"/>
      <c r="H804" s="34"/>
      <c r="I804" s="37"/>
    </row>
    <row r="805" ht="22.5" customHeight="1">
      <c r="A805" s="30"/>
      <c r="B805" s="31"/>
      <c r="C805" s="32"/>
      <c r="D805" s="33"/>
      <c r="E805" s="34"/>
      <c r="F805" s="34"/>
      <c r="G805" s="35"/>
      <c r="H805" s="34"/>
      <c r="I805" s="37"/>
    </row>
    <row r="806" ht="22.5" customHeight="1">
      <c r="A806" s="30"/>
      <c r="B806" s="31"/>
      <c r="C806" s="32"/>
      <c r="D806" s="33"/>
      <c r="E806" s="34"/>
      <c r="F806" s="34"/>
      <c r="G806" s="35"/>
      <c r="H806" s="34"/>
      <c r="I806" s="37"/>
    </row>
    <row r="807" ht="22.5" customHeight="1">
      <c r="A807" s="30"/>
      <c r="B807" s="31"/>
      <c r="C807" s="32"/>
      <c r="D807" s="33"/>
      <c r="E807" s="34"/>
      <c r="F807" s="34"/>
      <c r="G807" s="35"/>
      <c r="H807" s="34"/>
      <c r="I807" s="37"/>
    </row>
    <row r="808" ht="22.5" customHeight="1">
      <c r="A808" s="30"/>
      <c r="B808" s="31"/>
      <c r="C808" s="32"/>
      <c r="D808" s="33"/>
      <c r="E808" s="34"/>
      <c r="F808" s="34"/>
      <c r="G808" s="35"/>
      <c r="H808" s="34"/>
      <c r="I808" s="37"/>
    </row>
    <row r="809" ht="22.5" customHeight="1">
      <c r="A809" s="30"/>
      <c r="B809" s="31"/>
      <c r="C809" s="32"/>
      <c r="D809" s="33"/>
      <c r="E809" s="34"/>
      <c r="F809" s="34"/>
      <c r="G809" s="35"/>
      <c r="H809" s="34"/>
      <c r="I809" s="37"/>
    </row>
    <row r="810" ht="22.5" customHeight="1">
      <c r="A810" s="30"/>
      <c r="B810" s="31"/>
      <c r="C810" s="32"/>
      <c r="D810" s="33"/>
      <c r="E810" s="34"/>
      <c r="F810" s="34"/>
      <c r="G810" s="35"/>
      <c r="H810" s="34"/>
      <c r="I810" s="37"/>
    </row>
    <row r="811" ht="22.5" customHeight="1">
      <c r="A811" s="30"/>
      <c r="B811" s="31"/>
      <c r="C811" s="32"/>
      <c r="D811" s="33"/>
      <c r="E811" s="34"/>
      <c r="F811" s="34"/>
      <c r="G811" s="35"/>
      <c r="H811" s="34"/>
      <c r="I811" s="37"/>
    </row>
    <row r="812" ht="22.5" customHeight="1">
      <c r="A812" s="30"/>
      <c r="B812" s="31"/>
      <c r="C812" s="32"/>
      <c r="D812" s="33"/>
      <c r="E812" s="34"/>
      <c r="F812" s="34"/>
      <c r="G812" s="35"/>
      <c r="H812" s="34"/>
      <c r="I812" s="37"/>
    </row>
    <row r="813" ht="22.5" customHeight="1">
      <c r="A813" s="30"/>
      <c r="B813" s="31"/>
      <c r="C813" s="32"/>
      <c r="D813" s="33"/>
      <c r="E813" s="34"/>
      <c r="F813" s="34"/>
      <c r="G813" s="35"/>
      <c r="H813" s="34"/>
      <c r="I813" s="37"/>
    </row>
    <row r="814" ht="22.5" customHeight="1">
      <c r="A814" s="30"/>
      <c r="B814" s="40"/>
      <c r="C814" s="32"/>
      <c r="D814" s="33"/>
      <c r="E814" s="34"/>
      <c r="F814" s="34"/>
      <c r="G814" s="35"/>
      <c r="H814" s="34"/>
      <c r="I814" s="37"/>
    </row>
    <row r="815" ht="22.5" customHeight="1">
      <c r="A815" s="30"/>
      <c r="B815" s="31"/>
      <c r="C815" s="32"/>
      <c r="D815" s="33"/>
      <c r="E815" s="34"/>
      <c r="F815" s="34"/>
      <c r="G815" s="35"/>
      <c r="H815" s="34"/>
      <c r="I815" s="37"/>
    </row>
    <row r="816" ht="22.5" customHeight="1">
      <c r="A816" s="30"/>
      <c r="B816" s="31"/>
      <c r="C816" s="32"/>
      <c r="D816" s="33"/>
      <c r="E816" s="34"/>
      <c r="F816" s="34"/>
      <c r="G816" s="35"/>
      <c r="H816" s="34"/>
      <c r="I816" s="37"/>
    </row>
    <row r="817" ht="22.5" customHeight="1">
      <c r="A817" s="30"/>
      <c r="B817" s="31"/>
      <c r="C817" s="32"/>
      <c r="D817" s="33"/>
      <c r="E817" s="34"/>
      <c r="F817" s="34"/>
      <c r="G817" s="35"/>
      <c r="H817" s="34"/>
      <c r="I817" s="37"/>
    </row>
    <row r="818" ht="22.5" customHeight="1">
      <c r="A818" s="30"/>
      <c r="B818" s="31"/>
      <c r="C818" s="32"/>
      <c r="D818" s="33"/>
      <c r="E818" s="34"/>
      <c r="F818" s="34"/>
      <c r="G818" s="35"/>
      <c r="H818" s="34"/>
      <c r="I818" s="38"/>
    </row>
    <row r="819" ht="22.5" customHeight="1">
      <c r="A819" s="30"/>
      <c r="B819" s="39"/>
      <c r="C819" s="32"/>
      <c r="D819" s="33"/>
      <c r="E819" s="34"/>
      <c r="F819" s="34"/>
      <c r="G819" s="35"/>
      <c r="H819" s="34"/>
      <c r="I819" s="37"/>
    </row>
    <row r="820" ht="22.5" customHeight="1">
      <c r="A820" s="30"/>
      <c r="B820" s="31"/>
      <c r="C820" s="32"/>
      <c r="D820" s="33"/>
      <c r="E820" s="34"/>
      <c r="F820" s="34"/>
      <c r="G820" s="35"/>
      <c r="H820" s="34"/>
      <c r="I820" s="37"/>
    </row>
    <row r="821" ht="22.5" customHeight="1">
      <c r="A821" s="30"/>
      <c r="B821" s="31"/>
      <c r="C821" s="32"/>
      <c r="D821" s="33"/>
      <c r="E821" s="34"/>
      <c r="F821" s="34"/>
      <c r="G821" s="35"/>
      <c r="H821" s="34"/>
      <c r="I821" s="37"/>
    </row>
    <row r="822" ht="22.5" customHeight="1">
      <c r="A822" s="30"/>
      <c r="B822" s="31"/>
      <c r="C822" s="32"/>
      <c r="D822" s="33"/>
      <c r="E822" s="34"/>
      <c r="F822" s="34"/>
      <c r="G822" s="35"/>
      <c r="H822" s="34"/>
      <c r="I822" s="37"/>
    </row>
    <row r="823" ht="22.5" customHeight="1">
      <c r="A823" s="30"/>
      <c r="B823" s="39"/>
      <c r="C823" s="32"/>
      <c r="D823" s="33"/>
      <c r="E823" s="34"/>
      <c r="F823" s="34"/>
      <c r="G823" s="35"/>
      <c r="H823" s="34"/>
      <c r="I823" s="37"/>
    </row>
    <row r="824" ht="22.5" customHeight="1">
      <c r="A824" s="30"/>
      <c r="B824" s="31"/>
      <c r="C824" s="32"/>
      <c r="D824" s="33"/>
      <c r="E824" s="34"/>
      <c r="F824" s="34"/>
      <c r="G824" s="35"/>
      <c r="H824" s="34"/>
      <c r="I824" s="37"/>
    </row>
    <row r="825" ht="22.5" customHeight="1">
      <c r="A825" s="30"/>
      <c r="B825" s="39"/>
      <c r="C825" s="32"/>
      <c r="D825" s="33"/>
      <c r="E825" s="34"/>
      <c r="F825" s="34"/>
      <c r="G825" s="35"/>
      <c r="H825" s="34"/>
      <c r="I825" s="37"/>
    </row>
    <row r="826" ht="22.5" customHeight="1">
      <c r="A826" s="30"/>
      <c r="B826" s="31"/>
      <c r="C826" s="32"/>
      <c r="D826" s="33"/>
      <c r="E826" s="34"/>
      <c r="F826" s="34"/>
      <c r="G826" s="35"/>
      <c r="H826" s="34"/>
      <c r="I826" s="37"/>
    </row>
    <row r="827" ht="22.5" customHeight="1">
      <c r="A827" s="30"/>
      <c r="B827" s="31"/>
      <c r="C827" s="32"/>
      <c r="D827" s="33"/>
      <c r="E827" s="34"/>
      <c r="F827" s="34"/>
      <c r="G827" s="35"/>
      <c r="H827" s="34"/>
      <c r="I827" s="37"/>
    </row>
    <row r="828" ht="22.5" customHeight="1">
      <c r="A828" s="30"/>
      <c r="B828" s="31"/>
      <c r="C828" s="32"/>
      <c r="D828" s="33"/>
      <c r="E828" s="34"/>
      <c r="F828" s="34"/>
      <c r="G828" s="35"/>
      <c r="H828" s="34"/>
      <c r="I828" s="37"/>
    </row>
    <row r="829" ht="22.5" customHeight="1">
      <c r="A829" s="30"/>
      <c r="B829" s="31"/>
      <c r="C829" s="32"/>
      <c r="D829" s="33"/>
      <c r="E829" s="34"/>
      <c r="F829" s="34"/>
      <c r="G829" s="35"/>
      <c r="H829" s="34"/>
      <c r="I829" s="37"/>
    </row>
    <row r="830" ht="22.5" customHeight="1">
      <c r="A830" s="30"/>
      <c r="B830" s="31"/>
      <c r="C830" s="32"/>
      <c r="D830" s="33"/>
      <c r="E830" s="34"/>
      <c r="F830" s="34"/>
      <c r="G830" s="35"/>
      <c r="H830" s="34"/>
      <c r="I830" s="37"/>
    </row>
    <row r="831" ht="22.5" customHeight="1">
      <c r="A831" s="30"/>
      <c r="B831" s="31"/>
      <c r="C831" s="32"/>
      <c r="D831" s="33"/>
      <c r="E831" s="34"/>
      <c r="F831" s="34"/>
      <c r="G831" s="35"/>
      <c r="H831" s="34"/>
      <c r="I831" s="37"/>
    </row>
    <row r="832" ht="22.5" customHeight="1">
      <c r="A832" s="30"/>
      <c r="B832" s="31"/>
      <c r="C832" s="32"/>
      <c r="D832" s="33"/>
      <c r="E832" s="34"/>
      <c r="F832" s="34"/>
      <c r="G832" s="35"/>
      <c r="H832" s="34"/>
      <c r="I832" s="37"/>
    </row>
    <row r="833" ht="22.5" customHeight="1">
      <c r="A833" s="30"/>
      <c r="B833" s="31"/>
      <c r="C833" s="32"/>
      <c r="D833" s="33"/>
      <c r="E833" s="34"/>
      <c r="F833" s="34"/>
      <c r="G833" s="35"/>
      <c r="H833" s="34"/>
      <c r="I833" s="37"/>
    </row>
    <row r="834" ht="22.5" customHeight="1">
      <c r="A834" s="30"/>
      <c r="B834" s="31"/>
      <c r="C834" s="32"/>
      <c r="D834" s="33"/>
      <c r="E834" s="34"/>
      <c r="F834" s="34"/>
      <c r="G834" s="35"/>
      <c r="H834" s="34"/>
      <c r="I834" s="37"/>
    </row>
    <row r="835" ht="22.5" customHeight="1">
      <c r="A835" s="30"/>
      <c r="B835" s="31"/>
      <c r="C835" s="32"/>
      <c r="D835" s="33"/>
      <c r="E835" s="34"/>
      <c r="F835" s="34"/>
      <c r="G835" s="35"/>
      <c r="H835" s="34"/>
      <c r="I835" s="37"/>
    </row>
    <row r="836" ht="22.5" customHeight="1">
      <c r="A836" s="30"/>
      <c r="B836" s="40"/>
      <c r="C836" s="32"/>
      <c r="D836" s="33"/>
      <c r="E836" s="34"/>
      <c r="F836" s="34"/>
      <c r="G836" s="35"/>
      <c r="H836" s="34"/>
      <c r="I836" s="37"/>
    </row>
    <row r="837" ht="22.5" customHeight="1">
      <c r="A837" s="30"/>
      <c r="B837" s="31"/>
      <c r="C837" s="32"/>
      <c r="D837" s="33"/>
      <c r="E837" s="34"/>
      <c r="F837" s="34"/>
      <c r="G837" s="35"/>
      <c r="H837" s="34"/>
      <c r="I837" s="37"/>
    </row>
    <row r="838" ht="22.5" customHeight="1">
      <c r="A838" s="30"/>
      <c r="B838" s="31"/>
      <c r="C838" s="32"/>
      <c r="D838" s="33"/>
      <c r="E838" s="34"/>
      <c r="F838" s="34"/>
      <c r="G838" s="35"/>
      <c r="H838" s="34"/>
      <c r="I838" s="37"/>
    </row>
    <row r="839" ht="22.5" customHeight="1">
      <c r="A839" s="30"/>
      <c r="B839" s="31"/>
      <c r="C839" s="32"/>
      <c r="D839" s="33"/>
      <c r="E839" s="34"/>
      <c r="F839" s="34"/>
      <c r="G839" s="35"/>
      <c r="H839" s="34"/>
      <c r="I839" s="37"/>
    </row>
    <row r="840" ht="22.5" customHeight="1">
      <c r="A840" s="30"/>
      <c r="B840" s="31"/>
      <c r="C840" s="32"/>
      <c r="D840" s="33"/>
      <c r="E840" s="34"/>
      <c r="F840" s="34"/>
      <c r="G840" s="35"/>
      <c r="H840" s="34"/>
      <c r="I840" s="37"/>
    </row>
    <row r="841" ht="22.5" customHeight="1">
      <c r="A841" s="30"/>
      <c r="B841" s="31"/>
      <c r="C841" s="32"/>
      <c r="D841" s="33"/>
      <c r="E841" s="34"/>
      <c r="F841" s="34"/>
      <c r="G841" s="35"/>
      <c r="H841" s="34"/>
      <c r="I841" s="37"/>
    </row>
    <row r="842" ht="22.5" customHeight="1">
      <c r="A842" s="30"/>
      <c r="B842" s="31"/>
      <c r="C842" s="32"/>
      <c r="D842" s="33"/>
      <c r="E842" s="34"/>
      <c r="F842" s="34"/>
      <c r="G842" s="35"/>
      <c r="H842" s="34"/>
      <c r="I842" s="37"/>
    </row>
    <row r="843" ht="22.5" customHeight="1">
      <c r="A843" s="30"/>
      <c r="B843" s="39"/>
      <c r="C843" s="32"/>
      <c r="D843" s="33"/>
      <c r="E843" s="34"/>
      <c r="F843" s="34"/>
      <c r="G843" s="35"/>
      <c r="H843" s="34"/>
      <c r="I843" s="37"/>
    </row>
    <row r="844" ht="22.5" customHeight="1">
      <c r="A844" s="30"/>
      <c r="B844" s="39"/>
      <c r="C844" s="32"/>
      <c r="D844" s="33"/>
      <c r="E844" s="34"/>
      <c r="F844" s="34"/>
      <c r="G844" s="35"/>
      <c r="H844" s="34"/>
      <c r="I844" s="37"/>
    </row>
    <row r="845" ht="22.5" customHeight="1">
      <c r="A845" s="30"/>
      <c r="B845" s="39"/>
      <c r="C845" s="32"/>
      <c r="D845" s="33"/>
      <c r="E845" s="34"/>
      <c r="F845" s="34"/>
      <c r="G845" s="35"/>
      <c r="H845" s="34"/>
      <c r="I845" s="37"/>
    </row>
    <row r="846" ht="22.5" customHeight="1">
      <c r="A846" s="30"/>
      <c r="B846" s="40"/>
      <c r="C846" s="32"/>
      <c r="D846" s="33"/>
      <c r="E846" s="34"/>
      <c r="F846" s="34"/>
      <c r="G846" s="35"/>
      <c r="H846" s="34"/>
      <c r="I846" s="37"/>
    </row>
    <row r="847" ht="22.5" customHeight="1">
      <c r="A847" s="30"/>
      <c r="B847" s="31"/>
      <c r="C847" s="32"/>
      <c r="D847" s="33"/>
      <c r="E847" s="34"/>
      <c r="F847" s="34"/>
      <c r="G847" s="35"/>
      <c r="H847" s="34"/>
      <c r="I847" s="37"/>
    </row>
    <row r="848" ht="22.5" customHeight="1">
      <c r="A848" s="30"/>
      <c r="B848" s="31"/>
      <c r="C848" s="32"/>
      <c r="D848" s="33"/>
      <c r="E848" s="34"/>
      <c r="F848" s="34"/>
      <c r="G848" s="35"/>
      <c r="H848" s="34"/>
      <c r="I848" s="37"/>
    </row>
    <row r="849" ht="22.5" customHeight="1">
      <c r="A849" s="30"/>
      <c r="B849" s="31"/>
      <c r="C849" s="32"/>
      <c r="D849" s="33"/>
      <c r="E849" s="34"/>
      <c r="F849" s="34"/>
      <c r="G849" s="35"/>
      <c r="H849" s="34"/>
      <c r="I849" s="37"/>
    </row>
    <row r="850" ht="22.5" customHeight="1">
      <c r="A850" s="30"/>
      <c r="B850" s="31"/>
      <c r="C850" s="32"/>
      <c r="D850" s="33"/>
      <c r="E850" s="34"/>
      <c r="F850" s="34"/>
      <c r="G850" s="35"/>
      <c r="H850" s="34"/>
      <c r="I850" s="37"/>
    </row>
    <row r="851" ht="22.5" customHeight="1">
      <c r="A851" s="30"/>
      <c r="B851" s="31"/>
      <c r="C851" s="32"/>
      <c r="D851" s="33"/>
      <c r="E851" s="34"/>
      <c r="F851" s="34"/>
      <c r="G851" s="35"/>
      <c r="H851" s="34"/>
      <c r="I851" s="37"/>
    </row>
    <row r="852" ht="22.5" customHeight="1">
      <c r="A852" s="30"/>
      <c r="B852" s="31"/>
      <c r="C852" s="32"/>
      <c r="D852" s="33"/>
      <c r="E852" s="34"/>
      <c r="F852" s="34"/>
      <c r="G852" s="35"/>
      <c r="H852" s="34"/>
      <c r="I852" s="37"/>
    </row>
    <row r="853" ht="22.5" customHeight="1">
      <c r="A853" s="30"/>
      <c r="B853" s="31"/>
      <c r="C853" s="32"/>
      <c r="D853" s="33"/>
      <c r="E853" s="34"/>
      <c r="F853" s="34"/>
      <c r="G853" s="35"/>
      <c r="H853" s="34"/>
      <c r="I853" s="37"/>
    </row>
    <row r="854" ht="22.5" customHeight="1">
      <c r="A854" s="30"/>
      <c r="B854" s="31"/>
      <c r="C854" s="32"/>
      <c r="D854" s="33"/>
      <c r="E854" s="34"/>
      <c r="F854" s="34"/>
      <c r="G854" s="35"/>
      <c r="H854" s="34"/>
      <c r="I854" s="37"/>
    </row>
    <row r="855" ht="22.5" customHeight="1">
      <c r="A855" s="30"/>
      <c r="B855" s="31"/>
      <c r="C855" s="32"/>
      <c r="D855" s="33"/>
      <c r="E855" s="34"/>
      <c r="F855" s="34"/>
      <c r="G855" s="35"/>
      <c r="H855" s="34"/>
      <c r="I855" s="37"/>
    </row>
    <row r="856" ht="22.5" customHeight="1">
      <c r="A856" s="30"/>
      <c r="B856" s="40"/>
      <c r="C856" s="32"/>
      <c r="D856" s="33"/>
      <c r="E856" s="34"/>
      <c r="F856" s="34"/>
      <c r="G856" s="35"/>
      <c r="H856" s="34"/>
      <c r="I856" s="37"/>
    </row>
    <row r="857" ht="22.5" customHeight="1">
      <c r="A857" s="30"/>
      <c r="B857" s="31"/>
      <c r="C857" s="32"/>
      <c r="D857" s="33"/>
      <c r="E857" s="34"/>
      <c r="F857" s="34"/>
      <c r="G857" s="35"/>
      <c r="H857" s="34"/>
      <c r="I857" s="37"/>
    </row>
    <row r="858" ht="22.5" customHeight="1">
      <c r="A858" s="30"/>
      <c r="B858" s="31"/>
      <c r="C858" s="32"/>
      <c r="D858" s="33"/>
      <c r="E858" s="34"/>
      <c r="F858" s="34"/>
      <c r="G858" s="35"/>
      <c r="H858" s="34"/>
      <c r="I858" s="37"/>
    </row>
    <row r="859" ht="22.5" customHeight="1">
      <c r="A859" s="30"/>
      <c r="B859" s="31"/>
      <c r="C859" s="32"/>
      <c r="D859" s="33"/>
      <c r="E859" s="34"/>
      <c r="F859" s="34"/>
      <c r="G859" s="35"/>
      <c r="H859" s="34"/>
      <c r="I859" s="37"/>
    </row>
    <row r="860" ht="22.5" customHeight="1">
      <c r="A860" s="30"/>
      <c r="B860" s="40"/>
      <c r="C860" s="32"/>
      <c r="D860" s="33"/>
      <c r="E860" s="34"/>
      <c r="F860" s="34"/>
      <c r="G860" s="35"/>
      <c r="H860" s="34"/>
      <c r="I860" s="37"/>
    </row>
    <row r="861" ht="22.5" customHeight="1">
      <c r="A861" s="30"/>
      <c r="B861" s="31"/>
      <c r="C861" s="32"/>
      <c r="D861" s="33"/>
      <c r="E861" s="34"/>
      <c r="F861" s="34"/>
      <c r="G861" s="35"/>
      <c r="H861" s="34"/>
      <c r="I861" s="37"/>
    </row>
    <row r="862" ht="22.5" customHeight="1">
      <c r="A862" s="30"/>
      <c r="B862" s="31"/>
      <c r="C862" s="32"/>
      <c r="D862" s="33"/>
      <c r="E862" s="34"/>
      <c r="F862" s="34"/>
      <c r="G862" s="35"/>
      <c r="H862" s="34"/>
      <c r="I862" s="37"/>
    </row>
    <row r="863" ht="22.5" customHeight="1">
      <c r="A863" s="30"/>
      <c r="B863" s="31"/>
      <c r="C863" s="32"/>
      <c r="D863" s="33"/>
      <c r="E863" s="34"/>
      <c r="F863" s="34"/>
      <c r="G863" s="35"/>
      <c r="H863" s="34"/>
      <c r="I863" s="37"/>
    </row>
    <row r="864" ht="22.5" customHeight="1">
      <c r="A864" s="30"/>
      <c r="B864" s="31"/>
      <c r="C864" s="32"/>
      <c r="D864" s="33"/>
      <c r="E864" s="34"/>
      <c r="F864" s="34"/>
      <c r="G864" s="35"/>
      <c r="H864" s="34"/>
      <c r="I864" s="37"/>
    </row>
    <row r="865" ht="22.5" customHeight="1">
      <c r="A865" s="30"/>
      <c r="B865" s="31"/>
      <c r="C865" s="32"/>
      <c r="D865" s="33"/>
      <c r="E865" s="34"/>
      <c r="F865" s="34"/>
      <c r="G865" s="35"/>
      <c r="H865" s="34"/>
      <c r="I865" s="37"/>
    </row>
    <row r="866" ht="22.5" customHeight="1">
      <c r="A866" s="30"/>
      <c r="B866" s="31"/>
      <c r="C866" s="32"/>
      <c r="D866" s="33"/>
      <c r="E866" s="34"/>
      <c r="F866" s="34"/>
      <c r="G866" s="35"/>
      <c r="H866" s="34"/>
      <c r="I866" s="37"/>
    </row>
    <row r="867" ht="22.5" customHeight="1">
      <c r="A867" s="30"/>
      <c r="B867" s="31"/>
      <c r="C867" s="32"/>
      <c r="D867" s="33"/>
      <c r="E867" s="34"/>
      <c r="F867" s="34"/>
      <c r="G867" s="35"/>
      <c r="H867" s="34"/>
      <c r="I867" s="37"/>
    </row>
    <row r="868" ht="22.5" customHeight="1">
      <c r="A868" s="30"/>
      <c r="B868" s="31"/>
      <c r="C868" s="32"/>
      <c r="D868" s="33"/>
      <c r="E868" s="34"/>
      <c r="F868" s="34"/>
      <c r="G868" s="35"/>
      <c r="H868" s="34"/>
      <c r="I868" s="37"/>
    </row>
    <row r="869" ht="22.5" customHeight="1">
      <c r="A869" s="30"/>
      <c r="B869" s="31"/>
      <c r="C869" s="32"/>
      <c r="D869" s="33"/>
      <c r="E869" s="34"/>
      <c r="F869" s="34"/>
      <c r="G869" s="35"/>
      <c r="H869" s="34"/>
      <c r="I869" s="37"/>
    </row>
    <row r="870" ht="22.5" customHeight="1">
      <c r="A870" s="30"/>
      <c r="B870" s="31"/>
      <c r="C870" s="32"/>
      <c r="D870" s="33"/>
      <c r="E870" s="34"/>
      <c r="F870" s="34"/>
      <c r="G870" s="35"/>
      <c r="H870" s="34"/>
      <c r="I870" s="37"/>
    </row>
    <row r="871" ht="22.5" customHeight="1">
      <c r="A871" s="30"/>
      <c r="B871" s="31"/>
      <c r="C871" s="32"/>
      <c r="D871" s="33"/>
      <c r="E871" s="34"/>
      <c r="F871" s="34"/>
      <c r="G871" s="35"/>
      <c r="H871" s="34"/>
      <c r="I871" s="37"/>
    </row>
    <row r="872" ht="22.5" customHeight="1">
      <c r="A872" s="30"/>
      <c r="B872" s="31"/>
      <c r="C872" s="32"/>
      <c r="D872" s="33"/>
      <c r="E872" s="34"/>
      <c r="F872" s="34"/>
      <c r="G872" s="35"/>
      <c r="H872" s="34"/>
      <c r="I872" s="37"/>
    </row>
    <row r="873" ht="22.5" customHeight="1">
      <c r="A873" s="30"/>
      <c r="B873" s="31"/>
      <c r="C873" s="32"/>
      <c r="D873" s="33"/>
      <c r="E873" s="34"/>
      <c r="F873" s="34"/>
      <c r="G873" s="35"/>
      <c r="H873" s="34"/>
      <c r="I873" s="37"/>
    </row>
    <row r="874" ht="22.5" customHeight="1">
      <c r="A874" s="30"/>
      <c r="B874" s="31"/>
      <c r="C874" s="32"/>
      <c r="D874" s="33"/>
      <c r="E874" s="34"/>
      <c r="F874" s="34"/>
      <c r="G874" s="35"/>
      <c r="H874" s="34"/>
      <c r="I874" s="37"/>
    </row>
    <row r="875" ht="22.5" customHeight="1">
      <c r="A875" s="30"/>
      <c r="B875" s="40"/>
      <c r="C875" s="32"/>
      <c r="D875" s="33"/>
      <c r="E875" s="34"/>
      <c r="F875" s="34"/>
      <c r="G875" s="35"/>
      <c r="H875" s="34"/>
      <c r="I875" s="37"/>
    </row>
    <row r="876" ht="22.5" customHeight="1">
      <c r="A876" s="30"/>
      <c r="B876" s="31"/>
      <c r="C876" s="32"/>
      <c r="D876" s="33"/>
      <c r="E876" s="34"/>
      <c r="F876" s="34"/>
      <c r="G876" s="35"/>
      <c r="H876" s="34"/>
      <c r="I876" s="37"/>
    </row>
    <row r="877" ht="22.5" customHeight="1">
      <c r="A877" s="30"/>
      <c r="B877" s="40"/>
      <c r="C877" s="32"/>
      <c r="D877" s="33"/>
      <c r="E877" s="34"/>
      <c r="F877" s="34"/>
      <c r="G877" s="35"/>
      <c r="H877" s="34"/>
      <c r="I877" s="37"/>
    </row>
    <row r="878" ht="22.5" customHeight="1">
      <c r="A878" s="30"/>
      <c r="B878" s="31"/>
      <c r="C878" s="32"/>
      <c r="D878" s="33"/>
      <c r="E878" s="34"/>
      <c r="F878" s="34"/>
      <c r="G878" s="35"/>
      <c r="H878" s="34"/>
      <c r="I878" s="37"/>
    </row>
    <row r="879" ht="22.5" customHeight="1">
      <c r="A879" s="30"/>
      <c r="B879" s="31"/>
      <c r="C879" s="32"/>
      <c r="D879" s="33"/>
      <c r="E879" s="34"/>
      <c r="F879" s="34"/>
      <c r="G879" s="35"/>
      <c r="H879" s="34"/>
      <c r="I879" s="37"/>
    </row>
    <row r="880" ht="22.5" customHeight="1">
      <c r="A880" s="30"/>
      <c r="B880" s="31"/>
      <c r="C880" s="32"/>
      <c r="D880" s="33"/>
      <c r="E880" s="34"/>
      <c r="F880" s="34"/>
      <c r="G880" s="35"/>
      <c r="H880" s="34"/>
      <c r="I880" s="37"/>
    </row>
    <row r="881" ht="22.5" customHeight="1">
      <c r="A881" s="30"/>
      <c r="B881" s="31"/>
      <c r="C881" s="32"/>
      <c r="D881" s="33"/>
      <c r="E881" s="34"/>
      <c r="F881" s="34"/>
      <c r="G881" s="35"/>
      <c r="H881" s="34"/>
      <c r="I881" s="37"/>
    </row>
    <row r="882" ht="22.5" customHeight="1">
      <c r="A882" s="30"/>
      <c r="B882" s="40"/>
      <c r="C882" s="32"/>
      <c r="D882" s="33"/>
      <c r="E882" s="34"/>
      <c r="F882" s="34"/>
      <c r="G882" s="35"/>
      <c r="H882" s="34"/>
      <c r="I882" s="37"/>
    </row>
    <row r="883" ht="22.5" customHeight="1">
      <c r="A883" s="30"/>
      <c r="B883" s="31"/>
      <c r="C883" s="32"/>
      <c r="D883" s="33"/>
      <c r="E883" s="34"/>
      <c r="F883" s="34"/>
      <c r="G883" s="35"/>
      <c r="H883" s="34"/>
      <c r="I883" s="37"/>
    </row>
    <row r="884" ht="22.5" customHeight="1">
      <c r="A884" s="30"/>
      <c r="B884" s="31"/>
      <c r="C884" s="32"/>
      <c r="D884" s="33"/>
      <c r="E884" s="34"/>
      <c r="F884" s="34"/>
      <c r="G884" s="35"/>
      <c r="H884" s="34"/>
      <c r="I884" s="37"/>
    </row>
    <row r="885" ht="22.5" customHeight="1">
      <c r="A885" s="30"/>
      <c r="B885" s="31"/>
      <c r="C885" s="32"/>
      <c r="D885" s="33"/>
      <c r="E885" s="34"/>
      <c r="F885" s="34"/>
      <c r="G885" s="35"/>
      <c r="H885" s="34"/>
      <c r="I885" s="37"/>
    </row>
    <row r="886" ht="22.5" customHeight="1">
      <c r="A886" s="30"/>
      <c r="B886" s="31"/>
      <c r="C886" s="32"/>
      <c r="D886" s="33"/>
      <c r="E886" s="34"/>
      <c r="F886" s="34"/>
      <c r="G886" s="35"/>
      <c r="H886" s="34"/>
      <c r="I886" s="37"/>
    </row>
    <row r="887" ht="22.5" customHeight="1">
      <c r="A887" s="30"/>
      <c r="B887" s="31"/>
      <c r="C887" s="32"/>
      <c r="D887" s="33"/>
      <c r="E887" s="34"/>
      <c r="F887" s="34"/>
      <c r="G887" s="35"/>
      <c r="H887" s="34"/>
      <c r="I887" s="37"/>
    </row>
    <row r="888" ht="22.5" customHeight="1">
      <c r="A888" s="30"/>
      <c r="B888" s="31"/>
      <c r="C888" s="32"/>
      <c r="D888" s="33"/>
      <c r="E888" s="34"/>
      <c r="F888" s="34"/>
      <c r="G888" s="35"/>
      <c r="H888" s="34"/>
      <c r="I888" s="37"/>
    </row>
    <row r="889" ht="22.5" customHeight="1">
      <c r="A889" s="30"/>
      <c r="B889" s="31"/>
      <c r="C889" s="32"/>
      <c r="D889" s="33"/>
      <c r="E889" s="34"/>
      <c r="F889" s="34"/>
      <c r="G889" s="35"/>
      <c r="H889" s="34"/>
      <c r="I889" s="37"/>
    </row>
    <row r="890" ht="22.5" customHeight="1">
      <c r="A890" s="30"/>
      <c r="B890" s="31"/>
      <c r="C890" s="32"/>
      <c r="D890" s="33"/>
      <c r="E890" s="34"/>
      <c r="F890" s="34"/>
      <c r="G890" s="35"/>
      <c r="H890" s="34"/>
      <c r="I890" s="37"/>
    </row>
    <row r="891" ht="22.5" customHeight="1">
      <c r="A891" s="30"/>
      <c r="B891" s="31"/>
      <c r="C891" s="32"/>
      <c r="D891" s="33"/>
      <c r="E891" s="34"/>
      <c r="F891" s="34"/>
      <c r="G891" s="35"/>
      <c r="H891" s="34"/>
      <c r="I891" s="37"/>
    </row>
    <row r="892" ht="22.5" customHeight="1">
      <c r="A892" s="30"/>
      <c r="B892" s="31"/>
      <c r="C892" s="32"/>
      <c r="D892" s="33"/>
      <c r="E892" s="34"/>
      <c r="F892" s="34"/>
      <c r="G892" s="35"/>
      <c r="H892" s="34"/>
      <c r="I892" s="37"/>
    </row>
    <row r="893" ht="22.5" customHeight="1">
      <c r="A893" s="30"/>
      <c r="B893" s="31"/>
      <c r="C893" s="32"/>
      <c r="D893" s="33"/>
      <c r="E893" s="34"/>
      <c r="F893" s="34"/>
      <c r="G893" s="35"/>
      <c r="H893" s="34"/>
      <c r="I893" s="37"/>
    </row>
    <row r="894" ht="22.5" customHeight="1">
      <c r="A894" s="30"/>
      <c r="B894" s="31"/>
      <c r="C894" s="32"/>
      <c r="D894" s="33"/>
      <c r="E894" s="34"/>
      <c r="F894" s="34"/>
      <c r="G894" s="35"/>
      <c r="H894" s="34"/>
      <c r="I894" s="37"/>
    </row>
    <row r="895" ht="22.5" customHeight="1">
      <c r="A895" s="30"/>
      <c r="B895" s="31"/>
      <c r="C895" s="32"/>
      <c r="D895" s="33"/>
      <c r="E895" s="34"/>
      <c r="F895" s="34"/>
      <c r="G895" s="35"/>
      <c r="H895" s="34"/>
      <c r="I895" s="37"/>
    </row>
    <row r="896" ht="22.5" customHeight="1">
      <c r="A896" s="30"/>
      <c r="B896" s="31"/>
      <c r="C896" s="32"/>
      <c r="D896" s="33"/>
      <c r="E896" s="34"/>
      <c r="F896" s="34"/>
      <c r="G896" s="35"/>
      <c r="H896" s="34"/>
      <c r="I896" s="37"/>
    </row>
    <row r="897" ht="22.5" customHeight="1">
      <c r="A897" s="30"/>
      <c r="B897" s="31"/>
      <c r="C897" s="32"/>
      <c r="D897" s="33"/>
      <c r="E897" s="34"/>
      <c r="F897" s="34"/>
      <c r="G897" s="35"/>
      <c r="H897" s="34"/>
      <c r="I897" s="37"/>
    </row>
    <row r="898" ht="22.5" customHeight="1">
      <c r="A898" s="30"/>
      <c r="B898" s="31"/>
      <c r="C898" s="32"/>
      <c r="D898" s="33"/>
      <c r="E898" s="34"/>
      <c r="F898" s="34"/>
      <c r="G898" s="35"/>
      <c r="H898" s="34"/>
      <c r="I898" s="37"/>
    </row>
    <row r="899" ht="22.5" customHeight="1">
      <c r="A899" s="30"/>
      <c r="B899" s="31"/>
      <c r="C899" s="32"/>
      <c r="D899" s="33"/>
      <c r="E899" s="34"/>
      <c r="F899" s="34"/>
      <c r="G899" s="35"/>
      <c r="H899" s="34"/>
      <c r="I899" s="37"/>
    </row>
    <row r="900" ht="22.5" customHeight="1">
      <c r="A900" s="30"/>
      <c r="B900" s="31"/>
      <c r="C900" s="32"/>
      <c r="D900" s="33"/>
      <c r="E900" s="34"/>
      <c r="F900" s="34"/>
      <c r="G900" s="35"/>
      <c r="H900" s="34"/>
      <c r="I900" s="37"/>
    </row>
    <row r="901" ht="22.5" customHeight="1">
      <c r="A901" s="30"/>
      <c r="B901" s="31"/>
      <c r="C901" s="32"/>
      <c r="D901" s="33"/>
      <c r="E901" s="34"/>
      <c r="F901" s="34"/>
      <c r="G901" s="35"/>
      <c r="H901" s="34"/>
      <c r="I901" s="37"/>
    </row>
    <row r="902" ht="22.5" customHeight="1">
      <c r="A902" s="30"/>
      <c r="B902" s="31"/>
      <c r="C902" s="32"/>
      <c r="D902" s="33"/>
      <c r="E902" s="34"/>
      <c r="F902" s="34"/>
      <c r="G902" s="35"/>
      <c r="H902" s="34"/>
      <c r="I902" s="37"/>
    </row>
    <row r="903" ht="22.5" customHeight="1">
      <c r="A903" s="30"/>
      <c r="B903" s="31"/>
      <c r="C903" s="32"/>
      <c r="D903" s="33"/>
      <c r="E903" s="34"/>
      <c r="F903" s="34"/>
      <c r="G903" s="35"/>
      <c r="H903" s="34"/>
      <c r="I903" s="37"/>
    </row>
    <row r="904" ht="22.5" customHeight="1">
      <c r="A904" s="30"/>
      <c r="B904" s="40"/>
      <c r="C904" s="32"/>
      <c r="D904" s="33"/>
      <c r="E904" s="34"/>
      <c r="F904" s="34"/>
      <c r="G904" s="35"/>
      <c r="H904" s="34"/>
      <c r="I904" s="37"/>
    </row>
    <row r="905" ht="22.5" customHeight="1">
      <c r="A905" s="30"/>
      <c r="B905" s="31"/>
      <c r="C905" s="32"/>
      <c r="D905" s="33"/>
      <c r="E905" s="34"/>
      <c r="F905" s="34"/>
      <c r="G905" s="35"/>
      <c r="H905" s="34"/>
      <c r="I905" s="37"/>
    </row>
    <row r="906" ht="22.5" customHeight="1">
      <c r="A906" s="30"/>
      <c r="B906" s="31"/>
      <c r="C906" s="32"/>
      <c r="D906" s="33"/>
      <c r="E906" s="34"/>
      <c r="F906" s="34"/>
      <c r="G906" s="35"/>
      <c r="H906" s="34"/>
      <c r="I906" s="37"/>
    </row>
    <row r="907" ht="22.5" customHeight="1">
      <c r="A907" s="30"/>
      <c r="B907" s="31"/>
      <c r="C907" s="32"/>
      <c r="D907" s="33"/>
      <c r="E907" s="34"/>
      <c r="F907" s="34"/>
      <c r="G907" s="35"/>
      <c r="H907" s="34"/>
      <c r="I907" s="37"/>
    </row>
    <row r="908" ht="22.5" customHeight="1">
      <c r="A908" s="30"/>
      <c r="B908" s="31"/>
      <c r="C908" s="32"/>
      <c r="D908" s="33"/>
      <c r="E908" s="34"/>
      <c r="F908" s="34"/>
      <c r="G908" s="35"/>
      <c r="H908" s="34"/>
      <c r="I908" s="38"/>
    </row>
    <row r="909" ht="22.5" customHeight="1">
      <c r="A909" s="30"/>
      <c r="B909" s="39"/>
      <c r="C909" s="32"/>
      <c r="D909" s="33"/>
      <c r="E909" s="34"/>
      <c r="F909" s="34"/>
      <c r="G909" s="35"/>
      <c r="H909" s="34"/>
      <c r="I909" s="37"/>
    </row>
    <row r="910" ht="22.5" customHeight="1">
      <c r="A910" s="30"/>
      <c r="B910" s="31"/>
      <c r="C910" s="32"/>
      <c r="D910" s="33"/>
      <c r="E910" s="34"/>
      <c r="F910" s="34"/>
      <c r="G910" s="35"/>
      <c r="H910" s="34"/>
      <c r="I910" s="37"/>
    </row>
    <row r="911" ht="22.5" customHeight="1">
      <c r="A911" s="30"/>
      <c r="B911" s="31"/>
      <c r="C911" s="32"/>
      <c r="D911" s="33"/>
      <c r="E911" s="34"/>
      <c r="F911" s="34"/>
      <c r="G911" s="35"/>
      <c r="H911" s="34"/>
      <c r="I911" s="37"/>
    </row>
    <row r="912" ht="22.5" customHeight="1">
      <c r="A912" s="30"/>
      <c r="B912" s="31"/>
      <c r="C912" s="32"/>
      <c r="D912" s="33"/>
      <c r="E912" s="34"/>
      <c r="F912" s="34"/>
      <c r="G912" s="35"/>
      <c r="H912" s="34"/>
      <c r="I912" s="37"/>
    </row>
    <row r="913" ht="22.5" customHeight="1">
      <c r="A913" s="30"/>
      <c r="B913" s="39"/>
      <c r="C913" s="32"/>
      <c r="D913" s="33"/>
      <c r="E913" s="34"/>
      <c r="F913" s="34"/>
      <c r="G913" s="35"/>
      <c r="H913" s="34"/>
      <c r="I913" s="37"/>
    </row>
    <row r="914" ht="22.5" customHeight="1">
      <c r="A914" s="30"/>
      <c r="B914" s="31"/>
      <c r="C914" s="32"/>
      <c r="D914" s="33"/>
      <c r="E914" s="34"/>
      <c r="F914" s="34"/>
      <c r="G914" s="35"/>
      <c r="H914" s="34"/>
      <c r="I914" s="37"/>
    </row>
    <row r="915" ht="22.5" customHeight="1">
      <c r="A915" s="30"/>
      <c r="B915" s="39"/>
      <c r="C915" s="32"/>
      <c r="D915" s="33"/>
      <c r="E915" s="34"/>
      <c r="F915" s="34"/>
      <c r="G915" s="35"/>
      <c r="H915" s="34"/>
      <c r="I915" s="37"/>
    </row>
    <row r="916" ht="22.5" customHeight="1">
      <c r="A916" s="30"/>
      <c r="B916" s="31"/>
      <c r="C916" s="32"/>
      <c r="D916" s="33"/>
      <c r="E916" s="34"/>
      <c r="F916" s="34"/>
      <c r="G916" s="35"/>
      <c r="H916" s="34"/>
      <c r="I916" s="37"/>
    </row>
    <row r="917" ht="22.5" customHeight="1">
      <c r="A917" s="30"/>
      <c r="B917" s="31"/>
      <c r="C917" s="32"/>
      <c r="D917" s="33"/>
      <c r="E917" s="34"/>
      <c r="F917" s="34"/>
      <c r="G917" s="35"/>
      <c r="H917" s="34"/>
      <c r="I917" s="37"/>
    </row>
    <row r="918" ht="22.5" customHeight="1">
      <c r="A918" s="30"/>
      <c r="B918" s="31"/>
      <c r="C918" s="32"/>
      <c r="D918" s="33"/>
      <c r="E918" s="34"/>
      <c r="F918" s="34"/>
      <c r="G918" s="35"/>
      <c r="H918" s="34"/>
      <c r="I918" s="37"/>
    </row>
    <row r="919" ht="22.5" customHeight="1">
      <c r="A919" s="30"/>
      <c r="B919" s="31"/>
      <c r="C919" s="32"/>
      <c r="D919" s="33"/>
      <c r="E919" s="34"/>
      <c r="F919" s="34"/>
      <c r="G919" s="35"/>
      <c r="H919" s="34"/>
      <c r="I919" s="37"/>
    </row>
    <row r="920" ht="22.5" customHeight="1">
      <c r="A920" s="30"/>
      <c r="B920" s="31"/>
      <c r="C920" s="32"/>
      <c r="D920" s="33"/>
      <c r="E920" s="34"/>
      <c r="F920" s="34"/>
      <c r="G920" s="35"/>
      <c r="H920" s="34"/>
      <c r="I920" s="37"/>
    </row>
    <row r="921" ht="22.5" customHeight="1">
      <c r="A921" s="30"/>
      <c r="B921" s="31"/>
      <c r="C921" s="32"/>
      <c r="D921" s="33"/>
      <c r="E921" s="34"/>
      <c r="F921" s="34"/>
      <c r="G921" s="35"/>
      <c r="H921" s="34"/>
      <c r="I921" s="37"/>
    </row>
    <row r="922" ht="22.5" customHeight="1">
      <c r="A922" s="30"/>
      <c r="B922" s="31"/>
      <c r="C922" s="32"/>
      <c r="D922" s="33"/>
      <c r="E922" s="34"/>
      <c r="F922" s="34"/>
      <c r="G922" s="35"/>
      <c r="H922" s="34"/>
      <c r="I922" s="37"/>
    </row>
    <row r="923" ht="22.5" customHeight="1">
      <c r="A923" s="30"/>
      <c r="B923" s="31"/>
      <c r="C923" s="32"/>
      <c r="D923" s="33"/>
      <c r="E923" s="34"/>
      <c r="F923" s="34"/>
      <c r="G923" s="35"/>
      <c r="H923" s="34"/>
      <c r="I923" s="37"/>
    </row>
    <row r="924" ht="22.5" customHeight="1">
      <c r="A924" s="30"/>
      <c r="B924" s="31"/>
      <c r="C924" s="32"/>
      <c r="D924" s="33"/>
      <c r="E924" s="34"/>
      <c r="F924" s="34"/>
      <c r="G924" s="35"/>
      <c r="H924" s="34"/>
      <c r="I924" s="37"/>
    </row>
    <row r="925" ht="22.5" customHeight="1">
      <c r="A925" s="30"/>
      <c r="B925" s="31"/>
      <c r="C925" s="32"/>
      <c r="D925" s="33"/>
      <c r="E925" s="34"/>
      <c r="F925" s="34"/>
      <c r="G925" s="35"/>
      <c r="H925" s="34"/>
      <c r="I925" s="37"/>
    </row>
    <row r="926" ht="22.5" customHeight="1">
      <c r="A926" s="30"/>
      <c r="B926" s="40"/>
      <c r="C926" s="32"/>
      <c r="D926" s="33"/>
      <c r="E926" s="34"/>
      <c r="F926" s="34"/>
      <c r="G926" s="35"/>
      <c r="H926" s="34"/>
      <c r="I926" s="37"/>
    </row>
    <row r="927" ht="22.5" customHeight="1">
      <c r="A927" s="30"/>
      <c r="B927" s="31"/>
      <c r="C927" s="32"/>
      <c r="D927" s="33"/>
      <c r="E927" s="34"/>
      <c r="F927" s="34"/>
      <c r="G927" s="35"/>
      <c r="H927" s="34"/>
      <c r="I927" s="37"/>
    </row>
    <row r="928" ht="22.5" customHeight="1">
      <c r="A928" s="30"/>
      <c r="B928" s="31"/>
      <c r="C928" s="32"/>
      <c r="D928" s="33"/>
      <c r="E928" s="34"/>
      <c r="F928" s="34"/>
      <c r="G928" s="35"/>
      <c r="H928" s="34"/>
      <c r="I928" s="37"/>
    </row>
    <row r="929" ht="22.5" customHeight="1">
      <c r="A929" s="30"/>
      <c r="B929" s="31"/>
      <c r="C929" s="32"/>
      <c r="D929" s="33"/>
      <c r="E929" s="34"/>
      <c r="F929" s="34"/>
      <c r="G929" s="35"/>
      <c r="H929" s="34"/>
      <c r="I929" s="37"/>
    </row>
    <row r="930" ht="22.5" customHeight="1">
      <c r="A930" s="30"/>
      <c r="B930" s="31"/>
      <c r="C930" s="32"/>
      <c r="D930" s="33"/>
      <c r="E930" s="34"/>
      <c r="F930" s="34"/>
      <c r="G930" s="35"/>
      <c r="H930" s="34"/>
      <c r="I930" s="37"/>
    </row>
    <row r="931" ht="22.5" customHeight="1">
      <c r="A931" s="30"/>
      <c r="B931" s="31"/>
      <c r="C931" s="32"/>
      <c r="D931" s="33"/>
      <c r="E931" s="34"/>
      <c r="F931" s="34"/>
      <c r="G931" s="35"/>
      <c r="H931" s="34"/>
      <c r="I931" s="37"/>
    </row>
    <row r="932" ht="22.5" customHeight="1">
      <c r="A932" s="30"/>
      <c r="B932" s="31"/>
      <c r="C932" s="32"/>
      <c r="D932" s="33"/>
      <c r="E932" s="34"/>
      <c r="F932" s="34"/>
      <c r="G932" s="35"/>
      <c r="H932" s="34"/>
      <c r="I932" s="37"/>
    </row>
    <row r="933" ht="22.5" customHeight="1">
      <c r="A933" s="30"/>
      <c r="B933" s="39"/>
      <c r="C933" s="32"/>
      <c r="D933" s="33"/>
      <c r="E933" s="34"/>
      <c r="F933" s="34"/>
      <c r="G933" s="35"/>
      <c r="H933" s="34"/>
      <c r="I933" s="37"/>
    </row>
    <row r="934" ht="22.5" customHeight="1">
      <c r="A934" s="30"/>
      <c r="B934" s="39"/>
      <c r="C934" s="32"/>
      <c r="D934" s="33"/>
      <c r="E934" s="34"/>
      <c r="F934" s="34"/>
      <c r="G934" s="35"/>
      <c r="H934" s="34"/>
      <c r="I934" s="37"/>
    </row>
    <row r="935" ht="22.5" customHeight="1">
      <c r="A935" s="30"/>
      <c r="B935" s="39"/>
      <c r="C935" s="32"/>
      <c r="D935" s="33"/>
      <c r="E935" s="34"/>
      <c r="F935" s="34"/>
      <c r="G935" s="35"/>
      <c r="H935" s="34"/>
      <c r="I935" s="37"/>
    </row>
    <row r="936" ht="22.5" customHeight="1">
      <c r="A936" s="30"/>
      <c r="B936" s="40"/>
      <c r="C936" s="32"/>
      <c r="D936" s="33"/>
      <c r="E936" s="34"/>
      <c r="F936" s="34"/>
      <c r="G936" s="35"/>
      <c r="H936" s="34"/>
      <c r="I936" s="37"/>
    </row>
    <row r="937" ht="22.5" customHeight="1">
      <c r="A937" s="30"/>
      <c r="B937" s="31"/>
      <c r="C937" s="32"/>
      <c r="D937" s="33"/>
      <c r="E937" s="34"/>
      <c r="F937" s="34"/>
      <c r="G937" s="35"/>
      <c r="H937" s="34"/>
      <c r="I937" s="37"/>
    </row>
    <row r="938" ht="22.5" customHeight="1">
      <c r="A938" s="30"/>
      <c r="B938" s="31"/>
      <c r="C938" s="32"/>
      <c r="D938" s="33"/>
      <c r="E938" s="34"/>
      <c r="F938" s="34"/>
      <c r="G938" s="35"/>
      <c r="H938" s="34"/>
      <c r="I938" s="37"/>
    </row>
    <row r="939" ht="22.5" customHeight="1">
      <c r="A939" s="30"/>
      <c r="B939" s="31"/>
      <c r="C939" s="32"/>
      <c r="D939" s="33"/>
      <c r="E939" s="34"/>
      <c r="F939" s="34"/>
      <c r="G939" s="35"/>
      <c r="H939" s="34"/>
      <c r="I939" s="37"/>
    </row>
    <row r="940" ht="22.5" customHeight="1">
      <c r="A940" s="30"/>
      <c r="B940" s="31"/>
      <c r="C940" s="32"/>
      <c r="D940" s="33"/>
      <c r="E940" s="34"/>
      <c r="F940" s="34"/>
      <c r="G940" s="35"/>
      <c r="H940" s="34"/>
      <c r="I940" s="37"/>
    </row>
    <row r="941" ht="22.5" customHeight="1">
      <c r="A941" s="30"/>
      <c r="B941" s="31"/>
      <c r="C941" s="32"/>
      <c r="D941" s="33"/>
      <c r="E941" s="34"/>
      <c r="F941" s="34"/>
      <c r="G941" s="35"/>
      <c r="H941" s="34"/>
      <c r="I941" s="37"/>
    </row>
    <row r="942" ht="22.5" customHeight="1">
      <c r="A942" s="30"/>
      <c r="B942" s="31"/>
      <c r="C942" s="32"/>
      <c r="D942" s="33"/>
      <c r="E942" s="34"/>
      <c r="F942" s="34"/>
      <c r="G942" s="35"/>
      <c r="H942" s="34"/>
      <c r="I942" s="37"/>
    </row>
    <row r="943" ht="22.5" customHeight="1">
      <c r="A943" s="30"/>
      <c r="B943" s="31"/>
      <c r="C943" s="32"/>
      <c r="D943" s="33"/>
      <c r="E943" s="34"/>
      <c r="F943" s="34"/>
      <c r="G943" s="35"/>
      <c r="H943" s="34"/>
      <c r="I943" s="37"/>
    </row>
    <row r="944" ht="22.5" customHeight="1">
      <c r="A944" s="30"/>
      <c r="B944" s="31"/>
      <c r="C944" s="32"/>
      <c r="D944" s="33"/>
      <c r="E944" s="34"/>
      <c r="F944" s="34"/>
      <c r="G944" s="35"/>
      <c r="H944" s="34"/>
      <c r="I944" s="37"/>
    </row>
    <row r="945" ht="22.5" customHeight="1">
      <c r="A945" s="30"/>
      <c r="B945" s="31"/>
      <c r="C945" s="32"/>
      <c r="D945" s="33"/>
      <c r="E945" s="34"/>
      <c r="F945" s="34"/>
      <c r="G945" s="35"/>
      <c r="H945" s="34"/>
      <c r="I945" s="37"/>
    </row>
    <row r="946" ht="22.5" customHeight="1">
      <c r="A946" s="30"/>
      <c r="B946" s="40"/>
      <c r="C946" s="32"/>
      <c r="D946" s="33"/>
      <c r="E946" s="34"/>
      <c r="F946" s="34"/>
      <c r="G946" s="35"/>
      <c r="H946" s="34"/>
      <c r="I946" s="37"/>
    </row>
    <row r="947" ht="22.5" customHeight="1">
      <c r="A947" s="30"/>
      <c r="B947" s="31"/>
      <c r="C947" s="32"/>
      <c r="D947" s="33"/>
      <c r="E947" s="34"/>
      <c r="F947" s="34"/>
      <c r="G947" s="35"/>
      <c r="H947" s="34"/>
      <c r="I947" s="37"/>
    </row>
    <row r="948" ht="22.5" customHeight="1">
      <c r="A948" s="30"/>
      <c r="B948" s="31"/>
      <c r="C948" s="32"/>
      <c r="D948" s="33"/>
      <c r="E948" s="34"/>
      <c r="F948" s="34"/>
      <c r="G948" s="35"/>
      <c r="H948" s="34"/>
      <c r="I948" s="37"/>
    </row>
    <row r="949" ht="22.5" customHeight="1">
      <c r="A949" s="30"/>
      <c r="B949" s="31"/>
      <c r="C949" s="32"/>
      <c r="D949" s="33"/>
      <c r="E949" s="34"/>
      <c r="F949" s="34"/>
      <c r="G949" s="35"/>
      <c r="H949" s="34"/>
      <c r="I949" s="37"/>
    </row>
    <row r="950" ht="22.5" customHeight="1">
      <c r="A950" s="30"/>
      <c r="B950" s="40"/>
      <c r="C950" s="32"/>
      <c r="D950" s="33"/>
      <c r="E950" s="34"/>
      <c r="F950" s="34"/>
      <c r="G950" s="35"/>
      <c r="H950" s="34"/>
      <c r="I950" s="37"/>
    </row>
    <row r="951" ht="22.5" customHeight="1">
      <c r="A951" s="30"/>
      <c r="B951" s="31"/>
      <c r="C951" s="32"/>
      <c r="D951" s="33"/>
      <c r="E951" s="34"/>
      <c r="F951" s="34"/>
      <c r="G951" s="35"/>
      <c r="H951" s="34"/>
      <c r="I951" s="37"/>
    </row>
    <row r="952" ht="22.5" customHeight="1">
      <c r="A952" s="30"/>
      <c r="B952" s="31"/>
      <c r="C952" s="32"/>
      <c r="D952" s="33"/>
      <c r="E952" s="34"/>
      <c r="F952" s="34"/>
      <c r="G952" s="35"/>
      <c r="H952" s="34"/>
      <c r="I952" s="37"/>
    </row>
    <row r="953" ht="22.5" customHeight="1">
      <c r="A953" s="30"/>
      <c r="B953" s="31"/>
      <c r="C953" s="32"/>
      <c r="D953" s="33"/>
      <c r="E953" s="34"/>
      <c r="F953" s="34"/>
      <c r="G953" s="35"/>
      <c r="H953" s="34"/>
      <c r="I953" s="37"/>
    </row>
    <row r="954" ht="22.5" customHeight="1">
      <c r="A954" s="30"/>
      <c r="B954" s="31"/>
      <c r="C954" s="32"/>
      <c r="D954" s="33"/>
      <c r="E954" s="34"/>
      <c r="F954" s="34"/>
      <c r="G954" s="35"/>
      <c r="H954" s="34"/>
      <c r="I954" s="37"/>
    </row>
    <row r="955" ht="22.5" customHeight="1">
      <c r="A955" s="30"/>
      <c r="B955" s="31"/>
      <c r="C955" s="32"/>
      <c r="D955" s="33"/>
      <c r="E955" s="34"/>
      <c r="F955" s="34"/>
      <c r="G955" s="35"/>
      <c r="H955" s="34"/>
      <c r="I955" s="37"/>
    </row>
    <row r="956" ht="22.5" customHeight="1">
      <c r="A956" s="30"/>
      <c r="B956" s="31"/>
      <c r="C956" s="32"/>
      <c r="D956" s="33"/>
      <c r="E956" s="34"/>
      <c r="F956" s="34"/>
      <c r="G956" s="35"/>
      <c r="H956" s="34"/>
      <c r="I956" s="37"/>
    </row>
    <row r="957" ht="22.5" customHeight="1">
      <c r="A957" s="30"/>
      <c r="B957" s="31"/>
      <c r="C957" s="32"/>
      <c r="D957" s="33"/>
      <c r="E957" s="34"/>
      <c r="F957" s="34"/>
      <c r="G957" s="35"/>
      <c r="H957" s="34"/>
      <c r="I957" s="37"/>
    </row>
    <row r="958" ht="22.5" customHeight="1">
      <c r="A958" s="30"/>
      <c r="B958" s="31"/>
      <c r="C958" s="32"/>
      <c r="D958" s="33"/>
      <c r="E958" s="34"/>
      <c r="F958" s="34"/>
      <c r="G958" s="35"/>
      <c r="H958" s="34"/>
      <c r="I958" s="37"/>
    </row>
    <row r="959" ht="22.5" customHeight="1">
      <c r="A959" s="30"/>
      <c r="B959" s="31"/>
      <c r="C959" s="32"/>
      <c r="D959" s="33"/>
      <c r="E959" s="34"/>
      <c r="F959" s="34"/>
      <c r="G959" s="35"/>
      <c r="H959" s="34"/>
      <c r="I959" s="37"/>
    </row>
    <row r="960" ht="22.5" customHeight="1">
      <c r="A960" s="30"/>
      <c r="B960" s="31"/>
      <c r="C960" s="32"/>
      <c r="D960" s="33"/>
      <c r="E960" s="34"/>
      <c r="F960" s="34"/>
      <c r="G960" s="35"/>
      <c r="H960" s="34"/>
      <c r="I960" s="37"/>
    </row>
    <row r="961" ht="22.5" customHeight="1">
      <c r="A961" s="30"/>
      <c r="B961" s="31"/>
      <c r="C961" s="32"/>
      <c r="D961" s="33"/>
      <c r="E961" s="34"/>
      <c r="F961" s="34"/>
      <c r="G961" s="35"/>
      <c r="H961" s="34"/>
      <c r="I961" s="37"/>
    </row>
    <row r="962" ht="22.5" customHeight="1">
      <c r="A962" s="30"/>
      <c r="B962" s="31"/>
      <c r="C962" s="32"/>
      <c r="D962" s="33"/>
      <c r="E962" s="34"/>
      <c r="F962" s="34"/>
      <c r="G962" s="35"/>
      <c r="H962" s="34"/>
      <c r="I962" s="37"/>
    </row>
    <row r="963" ht="22.5" customHeight="1">
      <c r="A963" s="30"/>
      <c r="B963" s="31"/>
      <c r="C963" s="32"/>
      <c r="D963" s="33"/>
      <c r="E963" s="34"/>
      <c r="F963" s="34"/>
      <c r="G963" s="35"/>
      <c r="H963" s="34"/>
      <c r="I963" s="37"/>
    </row>
    <row r="964" ht="22.5" customHeight="1">
      <c r="A964" s="30"/>
      <c r="B964" s="31"/>
      <c r="C964" s="32"/>
      <c r="D964" s="33"/>
      <c r="E964" s="34"/>
      <c r="F964" s="34"/>
      <c r="G964" s="35"/>
      <c r="H964" s="34"/>
      <c r="I964" s="37"/>
    </row>
    <row r="965" ht="22.5" customHeight="1">
      <c r="A965" s="30"/>
      <c r="B965" s="40"/>
      <c r="C965" s="32"/>
      <c r="D965" s="33"/>
      <c r="E965" s="34"/>
      <c r="F965" s="34"/>
      <c r="G965" s="35"/>
      <c r="H965" s="34"/>
      <c r="I965" s="37"/>
    </row>
    <row r="966" ht="22.5" customHeight="1">
      <c r="A966" s="30"/>
      <c r="B966" s="31"/>
      <c r="C966" s="32"/>
      <c r="D966" s="33"/>
      <c r="E966" s="34"/>
      <c r="F966" s="34"/>
      <c r="G966" s="35"/>
      <c r="H966" s="34"/>
      <c r="I966" s="37"/>
    </row>
    <row r="967" ht="22.5" customHeight="1">
      <c r="A967" s="30"/>
      <c r="B967" s="40"/>
      <c r="C967" s="32"/>
      <c r="D967" s="33"/>
      <c r="E967" s="34"/>
      <c r="F967" s="34"/>
      <c r="G967" s="35"/>
      <c r="H967" s="34"/>
      <c r="I967" s="37"/>
    </row>
    <row r="968" ht="22.5" customHeight="1">
      <c r="A968" s="30"/>
      <c r="B968" s="31"/>
      <c r="C968" s="32"/>
      <c r="D968" s="33"/>
      <c r="E968" s="34"/>
      <c r="F968" s="34"/>
      <c r="G968" s="35"/>
      <c r="H968" s="34"/>
      <c r="I968" s="37"/>
    </row>
    <row r="969" ht="22.5" customHeight="1">
      <c r="A969" s="30"/>
      <c r="B969" s="31"/>
      <c r="C969" s="32"/>
      <c r="D969" s="33"/>
      <c r="E969" s="34"/>
      <c r="F969" s="34"/>
      <c r="G969" s="35"/>
      <c r="H969" s="34"/>
      <c r="I969" s="37"/>
    </row>
    <row r="970" ht="22.5" customHeight="1">
      <c r="A970" s="30"/>
      <c r="B970" s="31"/>
      <c r="C970" s="32"/>
      <c r="D970" s="33"/>
      <c r="E970" s="34"/>
      <c r="F970" s="34"/>
      <c r="G970" s="35"/>
      <c r="H970" s="34"/>
      <c r="I970" s="37"/>
    </row>
    <row r="971" ht="22.5" customHeight="1">
      <c r="A971" s="30"/>
      <c r="B971" s="31"/>
      <c r="C971" s="32"/>
      <c r="D971" s="33"/>
      <c r="E971" s="34"/>
      <c r="F971" s="34"/>
      <c r="G971" s="35"/>
      <c r="H971" s="34"/>
      <c r="I971" s="37"/>
    </row>
    <row r="972" ht="22.5" customHeight="1">
      <c r="A972" s="30"/>
      <c r="B972" s="40"/>
      <c r="C972" s="32"/>
      <c r="D972" s="33"/>
      <c r="E972" s="34"/>
      <c r="F972" s="34"/>
      <c r="G972" s="35"/>
      <c r="H972" s="34"/>
      <c r="I972" s="37"/>
    </row>
    <row r="973" ht="22.5" customHeight="1">
      <c r="A973" s="30"/>
      <c r="B973" s="31"/>
      <c r="C973" s="32"/>
      <c r="D973" s="33"/>
      <c r="E973" s="34"/>
      <c r="F973" s="34"/>
      <c r="G973" s="35"/>
      <c r="H973" s="34"/>
      <c r="I973" s="37"/>
    </row>
    <row r="974" ht="22.5" customHeight="1">
      <c r="A974" s="30"/>
      <c r="B974" s="31"/>
      <c r="C974" s="32"/>
      <c r="D974" s="33"/>
      <c r="E974" s="34"/>
      <c r="F974" s="34"/>
      <c r="G974" s="35"/>
      <c r="H974" s="34"/>
      <c r="I974" s="37"/>
    </row>
    <row r="975" ht="22.5" customHeight="1">
      <c r="A975" s="30"/>
      <c r="B975" s="31"/>
      <c r="C975" s="32"/>
      <c r="D975" s="33"/>
      <c r="E975" s="34"/>
      <c r="F975" s="34"/>
      <c r="G975" s="35"/>
      <c r="H975" s="34"/>
      <c r="I975" s="37"/>
    </row>
    <row r="976" ht="22.5" customHeight="1">
      <c r="A976" s="30"/>
      <c r="B976" s="31"/>
      <c r="C976" s="32"/>
      <c r="D976" s="33"/>
      <c r="E976" s="34"/>
      <c r="F976" s="34"/>
      <c r="G976" s="35"/>
      <c r="H976" s="34"/>
      <c r="I976" s="37"/>
    </row>
    <row r="977" ht="22.5" customHeight="1">
      <c r="A977" s="30"/>
      <c r="B977" s="31"/>
      <c r="C977" s="32"/>
      <c r="D977" s="33"/>
      <c r="E977" s="34"/>
      <c r="F977" s="34"/>
      <c r="G977" s="35"/>
      <c r="H977" s="34"/>
      <c r="I977" s="37"/>
    </row>
    <row r="978" ht="22.5" customHeight="1">
      <c r="A978" s="30"/>
      <c r="B978" s="31"/>
      <c r="C978" s="32"/>
      <c r="D978" s="33"/>
      <c r="E978" s="34"/>
      <c r="F978" s="34"/>
      <c r="G978" s="35"/>
      <c r="H978" s="34"/>
      <c r="I978" s="37"/>
    </row>
    <row r="979" ht="22.5" customHeight="1">
      <c r="A979" s="30"/>
      <c r="B979" s="31"/>
      <c r="C979" s="32"/>
      <c r="D979" s="33"/>
      <c r="E979" s="34"/>
      <c r="F979" s="34"/>
      <c r="G979" s="35"/>
      <c r="H979" s="34"/>
      <c r="I979" s="37"/>
    </row>
    <row r="980" ht="22.5" customHeight="1">
      <c r="A980" s="30"/>
      <c r="B980" s="31"/>
      <c r="C980" s="32"/>
      <c r="D980" s="33"/>
      <c r="E980" s="34"/>
      <c r="F980" s="34"/>
      <c r="G980" s="35"/>
      <c r="H980" s="34"/>
      <c r="I980" s="37"/>
    </row>
    <row r="981" ht="22.5" customHeight="1">
      <c r="A981" s="30"/>
      <c r="B981" s="31"/>
      <c r="C981" s="32"/>
      <c r="D981" s="33"/>
      <c r="E981" s="34"/>
      <c r="F981" s="34"/>
      <c r="G981" s="35"/>
      <c r="H981" s="34"/>
      <c r="I981" s="37"/>
    </row>
    <row r="982" ht="22.5" customHeight="1">
      <c r="A982" s="30"/>
      <c r="B982" s="31"/>
      <c r="C982" s="32"/>
      <c r="D982" s="33"/>
      <c r="E982" s="34"/>
      <c r="F982" s="34"/>
      <c r="G982" s="35"/>
      <c r="H982" s="34"/>
      <c r="I982" s="37"/>
    </row>
    <row r="983" ht="22.5" customHeight="1">
      <c r="A983" s="30"/>
      <c r="B983" s="31"/>
      <c r="C983" s="32"/>
      <c r="D983" s="33"/>
      <c r="E983" s="34"/>
      <c r="F983" s="34"/>
      <c r="G983" s="35"/>
      <c r="H983" s="34"/>
      <c r="I983" s="37"/>
    </row>
    <row r="984" ht="22.5" customHeight="1">
      <c r="A984" s="30"/>
      <c r="B984" s="31"/>
      <c r="C984" s="32"/>
      <c r="D984" s="33"/>
      <c r="E984" s="34"/>
      <c r="F984" s="34"/>
      <c r="G984" s="35"/>
      <c r="H984" s="34"/>
      <c r="I984" s="37"/>
    </row>
    <row r="985" ht="22.5" customHeight="1">
      <c r="A985" s="30"/>
      <c r="B985" s="31"/>
      <c r="C985" s="32"/>
      <c r="D985" s="33"/>
      <c r="E985" s="34"/>
      <c r="F985" s="34"/>
      <c r="G985" s="35"/>
      <c r="H985" s="34"/>
      <c r="I985" s="37"/>
    </row>
    <row r="986" ht="22.5" customHeight="1">
      <c r="A986" s="30"/>
      <c r="B986" s="31"/>
      <c r="C986" s="32"/>
      <c r="D986" s="33"/>
      <c r="E986" s="34"/>
      <c r="F986" s="34"/>
      <c r="G986" s="35"/>
      <c r="H986" s="34"/>
      <c r="I986" s="37"/>
    </row>
    <row r="987" ht="22.5" customHeight="1">
      <c r="A987" s="30"/>
      <c r="B987" s="31"/>
      <c r="C987" s="32"/>
      <c r="D987" s="33"/>
      <c r="E987" s="34"/>
      <c r="F987" s="34"/>
      <c r="G987" s="35"/>
      <c r="H987" s="34"/>
      <c r="I987" s="37"/>
    </row>
    <row r="988" ht="22.5" customHeight="1">
      <c r="A988" s="30"/>
      <c r="B988" s="31"/>
      <c r="C988" s="32"/>
      <c r="D988" s="33"/>
      <c r="E988" s="34"/>
      <c r="F988" s="34"/>
      <c r="G988" s="35"/>
      <c r="H988" s="34"/>
      <c r="I988" s="37"/>
    </row>
    <row r="989" ht="22.5" customHeight="1">
      <c r="A989" s="30"/>
      <c r="B989" s="31"/>
      <c r="C989" s="32"/>
      <c r="D989" s="33"/>
      <c r="E989" s="34"/>
      <c r="F989" s="34"/>
      <c r="G989" s="35"/>
      <c r="H989" s="34"/>
      <c r="I989" s="37"/>
    </row>
    <row r="990" ht="22.5" customHeight="1">
      <c r="A990" s="30"/>
      <c r="B990" s="31"/>
      <c r="C990" s="32"/>
      <c r="D990" s="33"/>
      <c r="E990" s="34"/>
      <c r="F990" s="34"/>
      <c r="G990" s="35"/>
      <c r="H990" s="34"/>
      <c r="I990" s="37"/>
    </row>
    <row r="991" ht="22.5" customHeight="1">
      <c r="A991" s="30"/>
      <c r="B991" s="31"/>
      <c r="C991" s="32"/>
      <c r="D991" s="33"/>
      <c r="E991" s="34"/>
      <c r="F991" s="34"/>
      <c r="G991" s="35"/>
      <c r="H991" s="34"/>
      <c r="I991" s="37"/>
    </row>
    <row r="992" ht="22.5" customHeight="1">
      <c r="A992" s="30"/>
      <c r="B992" s="31"/>
      <c r="C992" s="32"/>
      <c r="D992" s="33"/>
      <c r="E992" s="34"/>
      <c r="F992" s="34"/>
      <c r="G992" s="35"/>
      <c r="H992" s="34"/>
      <c r="I992" s="37"/>
    </row>
    <row r="993" ht="22.5" customHeight="1">
      <c r="A993" s="30"/>
      <c r="B993" s="31"/>
      <c r="C993" s="32"/>
      <c r="D993" s="33"/>
      <c r="E993" s="34"/>
      <c r="F993" s="34"/>
      <c r="G993" s="35"/>
      <c r="H993" s="34"/>
      <c r="I993" s="37"/>
    </row>
    <row r="994" ht="22.5" customHeight="1">
      <c r="A994" s="30"/>
      <c r="B994" s="40"/>
      <c r="C994" s="32"/>
      <c r="D994" s="33"/>
      <c r="E994" s="34"/>
      <c r="F994" s="34"/>
      <c r="G994" s="35"/>
      <c r="H994" s="34"/>
      <c r="I994" s="37"/>
    </row>
    <row r="995" ht="22.5" customHeight="1">
      <c r="A995" s="30"/>
      <c r="B995" s="31"/>
      <c r="C995" s="32"/>
      <c r="D995" s="33"/>
      <c r="E995" s="34"/>
      <c r="F995" s="34"/>
      <c r="G995" s="35"/>
      <c r="H995" s="34"/>
      <c r="I995" s="37"/>
    </row>
    <row r="996" ht="22.5" customHeight="1">
      <c r="A996" s="30"/>
      <c r="B996" s="31"/>
      <c r="C996" s="32"/>
      <c r="D996" s="33"/>
      <c r="E996" s="34"/>
      <c r="F996" s="34"/>
      <c r="G996" s="35"/>
      <c r="H996" s="34"/>
      <c r="I996" s="37"/>
    </row>
    <row r="997" ht="22.5" customHeight="1">
      <c r="A997" s="30"/>
      <c r="B997" s="31"/>
      <c r="C997" s="32"/>
      <c r="D997" s="33"/>
      <c r="E997" s="34"/>
      <c r="F997" s="34"/>
      <c r="G997" s="35"/>
      <c r="H997" s="34"/>
      <c r="I997" s="37"/>
    </row>
    <row r="998" ht="22.5" customHeight="1">
      <c r="A998" s="30"/>
      <c r="B998" s="31"/>
      <c r="C998" s="32"/>
      <c r="D998" s="33"/>
      <c r="E998" s="34"/>
      <c r="F998" s="34"/>
      <c r="G998" s="35"/>
      <c r="H998" s="34"/>
      <c r="I998" s="38"/>
    </row>
    <row r="999" ht="22.5" customHeight="1">
      <c r="A999" s="30"/>
      <c r="B999" s="39"/>
      <c r="C999" s="32"/>
      <c r="D999" s="33"/>
      <c r="E999" s="34"/>
      <c r="F999" s="34"/>
      <c r="G999" s="35"/>
      <c r="H999" s="34"/>
      <c r="I999" s="37"/>
    </row>
    <row r="1000" ht="22.5" customHeight="1">
      <c r="A1000" s="30"/>
      <c r="B1000" s="31"/>
      <c r="C1000" s="32"/>
      <c r="D1000" s="33"/>
      <c r="E1000" s="34"/>
      <c r="F1000" s="34"/>
      <c r="G1000" s="35"/>
      <c r="H1000" s="34"/>
      <c r="I1000" s="37"/>
    </row>
    <row r="1001" ht="22.5" customHeight="1">
      <c r="A1001" s="30"/>
      <c r="B1001" s="31"/>
      <c r="C1001" s="32"/>
      <c r="D1001" s="33"/>
      <c r="E1001" s="34"/>
      <c r="F1001" s="34"/>
      <c r="G1001" s="35"/>
      <c r="H1001" s="34"/>
      <c r="I1001" s="37"/>
    </row>
    <row r="1002" ht="22.5" customHeight="1">
      <c r="A1002" s="30"/>
      <c r="B1002" s="31"/>
      <c r="C1002" s="32"/>
      <c r="D1002" s="33"/>
      <c r="E1002" s="34"/>
      <c r="F1002" s="34"/>
      <c r="G1002" s="35"/>
      <c r="H1002" s="34"/>
      <c r="I1002" s="37"/>
    </row>
    <row r="1003" ht="22.5" customHeight="1">
      <c r="A1003" s="30"/>
      <c r="B1003" s="39"/>
      <c r="C1003" s="32"/>
      <c r="D1003" s="33"/>
      <c r="E1003" s="34"/>
      <c r="F1003" s="34"/>
      <c r="G1003" s="35"/>
      <c r="H1003" s="34"/>
      <c r="I1003" s="37"/>
    </row>
    <row r="1004" ht="22.5" customHeight="1">
      <c r="A1004" s="30"/>
      <c r="B1004" s="31"/>
      <c r="C1004" s="32"/>
      <c r="D1004" s="33"/>
      <c r="E1004" s="34"/>
      <c r="F1004" s="34"/>
      <c r="G1004" s="35"/>
      <c r="H1004" s="34"/>
      <c r="I1004" s="37"/>
    </row>
    <row r="1005" ht="22.5" customHeight="1">
      <c r="A1005" s="30"/>
      <c r="B1005" s="39"/>
      <c r="C1005" s="32"/>
      <c r="D1005" s="33"/>
      <c r="E1005" s="34"/>
      <c r="F1005" s="34"/>
      <c r="G1005" s="35"/>
      <c r="H1005" s="34"/>
      <c r="I1005" s="37"/>
    </row>
    <row r="1006" ht="22.5" customHeight="1">
      <c r="A1006" s="30"/>
      <c r="B1006" s="31"/>
      <c r="C1006" s="32"/>
      <c r="D1006" s="33"/>
      <c r="E1006" s="34"/>
      <c r="F1006" s="34"/>
      <c r="G1006" s="35"/>
      <c r="H1006" s="34"/>
      <c r="I1006" s="37"/>
    </row>
    <row r="1007" ht="22.5" customHeight="1">
      <c r="A1007" s="30"/>
      <c r="B1007" s="31"/>
      <c r="C1007" s="32"/>
      <c r="D1007" s="33"/>
      <c r="E1007" s="34"/>
      <c r="F1007" s="34"/>
      <c r="G1007" s="35"/>
      <c r="H1007" s="34"/>
      <c r="I1007" s="37"/>
    </row>
    <row r="1008" ht="22.5" customHeight="1">
      <c r="A1008" s="30"/>
      <c r="B1008" s="31"/>
      <c r="C1008" s="32"/>
      <c r="D1008" s="33"/>
      <c r="E1008" s="34"/>
      <c r="F1008" s="34"/>
      <c r="G1008" s="35"/>
      <c r="H1008" s="34"/>
      <c r="I1008" s="37"/>
    </row>
    <row r="1009" ht="22.5" customHeight="1">
      <c r="A1009" s="30"/>
      <c r="B1009" s="31"/>
      <c r="C1009" s="32"/>
      <c r="D1009" s="33"/>
      <c r="E1009" s="34"/>
      <c r="F1009" s="34"/>
      <c r="G1009" s="35"/>
      <c r="H1009" s="34"/>
      <c r="I1009" s="37"/>
    </row>
    <row r="1010" ht="22.5" customHeight="1">
      <c r="A1010" s="30"/>
      <c r="B1010" s="31"/>
      <c r="C1010" s="32"/>
      <c r="D1010" s="33"/>
      <c r="E1010" s="34"/>
      <c r="F1010" s="34"/>
      <c r="G1010" s="35"/>
      <c r="H1010" s="34"/>
      <c r="I1010" s="37"/>
    </row>
    <row r="1011" ht="22.5" customHeight="1">
      <c r="A1011" s="30"/>
      <c r="B1011" s="31"/>
      <c r="C1011" s="32"/>
      <c r="D1011" s="33"/>
      <c r="E1011" s="34"/>
      <c r="F1011" s="34"/>
      <c r="G1011" s="35"/>
      <c r="H1011" s="34"/>
      <c r="I1011" s="37"/>
    </row>
    <row r="1012" ht="22.5" customHeight="1">
      <c r="A1012" s="30"/>
      <c r="B1012" s="31"/>
      <c r="C1012" s="32"/>
      <c r="D1012" s="33"/>
      <c r="E1012" s="34"/>
      <c r="F1012" s="34"/>
      <c r="G1012" s="35"/>
      <c r="H1012" s="34"/>
      <c r="I1012" s="37"/>
    </row>
    <row r="1013" ht="22.5" customHeight="1">
      <c r="A1013" s="30"/>
      <c r="B1013" s="31"/>
      <c r="C1013" s="32"/>
      <c r="D1013" s="33"/>
      <c r="E1013" s="34"/>
      <c r="F1013" s="34"/>
      <c r="G1013" s="35"/>
      <c r="H1013" s="34"/>
      <c r="I1013" s="37"/>
    </row>
    <row r="1014" ht="22.5" customHeight="1">
      <c r="A1014" s="30"/>
      <c r="B1014" s="31"/>
      <c r="C1014" s="32"/>
      <c r="D1014" s="33"/>
      <c r="E1014" s="34"/>
      <c r="F1014" s="34"/>
      <c r="G1014" s="35"/>
      <c r="H1014" s="34"/>
      <c r="I1014" s="37"/>
    </row>
    <row r="1015" ht="22.5" customHeight="1">
      <c r="A1015" s="30"/>
      <c r="B1015" s="31"/>
      <c r="C1015" s="32"/>
      <c r="D1015" s="33"/>
      <c r="E1015" s="34"/>
      <c r="F1015" s="34"/>
      <c r="G1015" s="35"/>
      <c r="H1015" s="34"/>
      <c r="I1015" s="37"/>
    </row>
    <row r="1016" ht="22.5" customHeight="1">
      <c r="A1016" s="30"/>
      <c r="B1016" s="40"/>
      <c r="C1016" s="32"/>
      <c r="D1016" s="33"/>
      <c r="E1016" s="34"/>
      <c r="F1016" s="34"/>
      <c r="G1016" s="35"/>
      <c r="H1016" s="34"/>
      <c r="I1016" s="37"/>
    </row>
    <row r="1017" ht="22.5" customHeight="1">
      <c r="A1017" s="30"/>
      <c r="B1017" s="31"/>
      <c r="C1017" s="32"/>
      <c r="D1017" s="33"/>
      <c r="E1017" s="34"/>
      <c r="F1017" s="34"/>
      <c r="G1017" s="35"/>
      <c r="H1017" s="34"/>
      <c r="I1017" s="37"/>
    </row>
    <row r="1018" ht="22.5" customHeight="1">
      <c r="A1018" s="30"/>
      <c r="B1018" s="31"/>
      <c r="C1018" s="32"/>
      <c r="D1018" s="33"/>
      <c r="E1018" s="34"/>
      <c r="F1018" s="34"/>
      <c r="G1018" s="35"/>
      <c r="H1018" s="34"/>
      <c r="I1018" s="37"/>
    </row>
    <row r="1019" ht="22.5" customHeight="1">
      <c r="A1019" s="30"/>
      <c r="B1019" s="31"/>
      <c r="C1019" s="32"/>
      <c r="D1019" s="33"/>
      <c r="E1019" s="34"/>
      <c r="F1019" s="34"/>
      <c r="G1019" s="35"/>
      <c r="H1019" s="34"/>
      <c r="I1019" s="37"/>
    </row>
    <row r="1020" ht="22.5" customHeight="1">
      <c r="A1020" s="30"/>
      <c r="B1020" s="31"/>
      <c r="C1020" s="32"/>
      <c r="D1020" s="33"/>
      <c r="E1020" s="34"/>
      <c r="F1020" s="34"/>
      <c r="G1020" s="35"/>
      <c r="H1020" s="34"/>
      <c r="I1020" s="37"/>
    </row>
    <row r="1021" ht="22.5" customHeight="1">
      <c r="A1021" s="30"/>
      <c r="B1021" s="31"/>
      <c r="C1021" s="32"/>
      <c r="D1021" s="33"/>
      <c r="E1021" s="34"/>
      <c r="F1021" s="34"/>
      <c r="G1021" s="35"/>
      <c r="H1021" s="34"/>
      <c r="I1021" s="37"/>
    </row>
    <row r="1022" ht="22.5" customHeight="1">
      <c r="A1022" s="30"/>
      <c r="B1022" s="31"/>
      <c r="C1022" s="32"/>
      <c r="D1022" s="33"/>
      <c r="E1022" s="34"/>
      <c r="F1022" s="34"/>
      <c r="G1022" s="35"/>
      <c r="H1022" s="34"/>
      <c r="I1022" s="37"/>
    </row>
    <row r="1023" ht="22.5" customHeight="1">
      <c r="A1023" s="30"/>
      <c r="B1023" s="39"/>
      <c r="C1023" s="32"/>
      <c r="D1023" s="33"/>
      <c r="E1023" s="34"/>
      <c r="F1023" s="34"/>
      <c r="G1023" s="35"/>
      <c r="H1023" s="34"/>
      <c r="I1023" s="37"/>
    </row>
    <row r="1024" ht="22.5" customHeight="1">
      <c r="A1024" s="30"/>
      <c r="B1024" s="39"/>
      <c r="C1024" s="32"/>
      <c r="D1024" s="33"/>
      <c r="E1024" s="34"/>
      <c r="F1024" s="34"/>
      <c r="G1024" s="35"/>
      <c r="H1024" s="34"/>
      <c r="I1024" s="37"/>
    </row>
    <row r="1025" ht="22.5" customHeight="1">
      <c r="A1025" s="30"/>
      <c r="B1025" s="39"/>
      <c r="C1025" s="32"/>
      <c r="D1025" s="33"/>
      <c r="E1025" s="34"/>
      <c r="F1025" s="34"/>
      <c r="G1025" s="35"/>
      <c r="H1025" s="34"/>
      <c r="I1025" s="37"/>
    </row>
    <row r="1026" ht="22.5" customHeight="1">
      <c r="A1026" s="30"/>
      <c r="B1026" s="40"/>
      <c r="C1026" s="32"/>
      <c r="D1026" s="33"/>
      <c r="E1026" s="34"/>
      <c r="F1026" s="34"/>
      <c r="G1026" s="35"/>
      <c r="H1026" s="34"/>
      <c r="I1026" s="37"/>
    </row>
    <row r="1027" ht="22.5" customHeight="1">
      <c r="A1027" s="30"/>
      <c r="B1027" s="31"/>
      <c r="C1027" s="32"/>
      <c r="D1027" s="33"/>
      <c r="E1027" s="34"/>
      <c r="F1027" s="34"/>
      <c r="G1027" s="35"/>
      <c r="H1027" s="34"/>
      <c r="I1027" s="37"/>
    </row>
    <row r="1028" ht="22.5" customHeight="1">
      <c r="A1028" s="30"/>
      <c r="B1028" s="31"/>
      <c r="C1028" s="32"/>
      <c r="D1028" s="33"/>
      <c r="E1028" s="34"/>
      <c r="F1028" s="34"/>
      <c r="G1028" s="35"/>
      <c r="H1028" s="34"/>
      <c r="I1028" s="37"/>
    </row>
    <row r="1029" ht="22.5" customHeight="1">
      <c r="A1029" s="30"/>
      <c r="B1029" s="31"/>
      <c r="C1029" s="32"/>
      <c r="D1029" s="33"/>
      <c r="E1029" s="34"/>
      <c r="F1029" s="34"/>
      <c r="G1029" s="35"/>
      <c r="H1029" s="34"/>
      <c r="I1029" s="37"/>
    </row>
    <row r="1030" ht="22.5" customHeight="1">
      <c r="A1030" s="30"/>
      <c r="B1030" s="31"/>
      <c r="C1030" s="32"/>
      <c r="D1030" s="33"/>
      <c r="E1030" s="34"/>
      <c r="F1030" s="34"/>
      <c r="G1030" s="35"/>
      <c r="H1030" s="34"/>
      <c r="I1030" s="37"/>
    </row>
    <row r="1031" ht="22.5" customHeight="1">
      <c r="A1031" s="30"/>
      <c r="B1031" s="31"/>
      <c r="C1031" s="32"/>
      <c r="D1031" s="33"/>
      <c r="E1031" s="34"/>
      <c r="F1031" s="34"/>
      <c r="G1031" s="35"/>
      <c r="H1031" s="34"/>
      <c r="I1031" s="37"/>
    </row>
    <row r="1032" ht="22.5" customHeight="1">
      <c r="A1032" s="30"/>
      <c r="B1032" s="31"/>
      <c r="C1032" s="32"/>
      <c r="D1032" s="33"/>
      <c r="E1032" s="34"/>
      <c r="F1032" s="34"/>
      <c r="G1032" s="35"/>
      <c r="H1032" s="34"/>
      <c r="I1032" s="37"/>
    </row>
    <row r="1033" ht="22.5" customHeight="1">
      <c r="A1033" s="30"/>
      <c r="B1033" s="31"/>
      <c r="C1033" s="32"/>
      <c r="D1033" s="33"/>
      <c r="E1033" s="34"/>
      <c r="F1033" s="34"/>
      <c r="G1033" s="35"/>
      <c r="H1033" s="34"/>
      <c r="I1033" s="37"/>
    </row>
    <row r="1034" ht="22.5" customHeight="1">
      <c r="A1034" s="30"/>
      <c r="B1034" s="31"/>
      <c r="C1034" s="32"/>
      <c r="D1034" s="33"/>
      <c r="E1034" s="34"/>
      <c r="F1034" s="34"/>
      <c r="G1034" s="35"/>
      <c r="H1034" s="34"/>
      <c r="I1034" s="37"/>
    </row>
    <row r="1035" ht="22.5" customHeight="1">
      <c r="A1035" s="30"/>
      <c r="B1035" s="31"/>
      <c r="C1035" s="32"/>
      <c r="D1035" s="33"/>
      <c r="E1035" s="34"/>
      <c r="F1035" s="34"/>
      <c r="G1035" s="35"/>
      <c r="H1035" s="34"/>
      <c r="I1035" s="37"/>
    </row>
    <row r="1036" ht="22.5" customHeight="1">
      <c r="A1036" s="30"/>
      <c r="B1036" s="40"/>
      <c r="C1036" s="32"/>
      <c r="D1036" s="33"/>
      <c r="E1036" s="34"/>
      <c r="F1036" s="34"/>
      <c r="G1036" s="35"/>
      <c r="H1036" s="34"/>
      <c r="I1036" s="37"/>
    </row>
    <row r="1037" ht="22.5" customHeight="1">
      <c r="A1037" s="30"/>
      <c r="B1037" s="31"/>
      <c r="C1037" s="32"/>
      <c r="D1037" s="33"/>
      <c r="E1037" s="34"/>
      <c r="F1037" s="34"/>
      <c r="G1037" s="35"/>
      <c r="H1037" s="34"/>
      <c r="I1037" s="37"/>
    </row>
    <row r="1038" ht="22.5" customHeight="1">
      <c r="A1038" s="30"/>
      <c r="B1038" s="31"/>
      <c r="C1038" s="32"/>
      <c r="D1038" s="33"/>
      <c r="E1038" s="34"/>
      <c r="F1038" s="34"/>
      <c r="G1038" s="35"/>
      <c r="H1038" s="34"/>
      <c r="I1038" s="37"/>
    </row>
    <row r="1039" ht="22.5" customHeight="1">
      <c r="A1039" s="30"/>
      <c r="B1039" s="31"/>
      <c r="C1039" s="32"/>
      <c r="D1039" s="33"/>
      <c r="E1039" s="34"/>
      <c r="F1039" s="34"/>
      <c r="G1039" s="35"/>
      <c r="H1039" s="34"/>
      <c r="I1039" s="37"/>
    </row>
    <row r="1040" ht="22.5" customHeight="1">
      <c r="A1040" s="30"/>
      <c r="B1040" s="40"/>
      <c r="C1040" s="32"/>
      <c r="D1040" s="33"/>
      <c r="E1040" s="34"/>
      <c r="F1040" s="34"/>
      <c r="G1040" s="35"/>
      <c r="H1040" s="34"/>
      <c r="I1040" s="37"/>
    </row>
    <row r="1041" ht="22.5" customHeight="1">
      <c r="A1041" s="30"/>
      <c r="B1041" s="31"/>
      <c r="C1041" s="32"/>
      <c r="D1041" s="33"/>
      <c r="E1041" s="34"/>
      <c r="F1041" s="34"/>
      <c r="G1041" s="35"/>
      <c r="H1041" s="34"/>
      <c r="I1041" s="37"/>
    </row>
    <row r="1042" ht="22.5" customHeight="1">
      <c r="A1042" s="30"/>
      <c r="B1042" s="31"/>
      <c r="C1042" s="32"/>
      <c r="D1042" s="33"/>
      <c r="E1042" s="34"/>
      <c r="F1042" s="34"/>
      <c r="G1042" s="35"/>
      <c r="H1042" s="34"/>
      <c r="I1042" s="37"/>
    </row>
    <row r="1043" ht="22.5" customHeight="1">
      <c r="A1043" s="30"/>
      <c r="B1043" s="31"/>
      <c r="C1043" s="32"/>
      <c r="D1043" s="33"/>
      <c r="E1043" s="34"/>
      <c r="F1043" s="34"/>
      <c r="G1043" s="35"/>
      <c r="H1043" s="34"/>
      <c r="I1043" s="37"/>
    </row>
    <row r="1044" ht="22.5" customHeight="1">
      <c r="A1044" s="30"/>
      <c r="B1044" s="31"/>
      <c r="C1044" s="32"/>
      <c r="D1044" s="33"/>
      <c r="E1044" s="34"/>
      <c r="F1044" s="34"/>
      <c r="G1044" s="35"/>
      <c r="H1044" s="34"/>
      <c r="I1044" s="37"/>
    </row>
    <row r="1045" ht="22.5" customHeight="1">
      <c r="A1045" s="30"/>
      <c r="B1045" s="31"/>
      <c r="C1045" s="32"/>
      <c r="D1045" s="33"/>
      <c r="E1045" s="34"/>
      <c r="F1045" s="34"/>
      <c r="G1045" s="35"/>
      <c r="H1045" s="34"/>
      <c r="I1045" s="37"/>
    </row>
    <row r="1046" ht="22.5" customHeight="1">
      <c r="A1046" s="30"/>
      <c r="B1046" s="31"/>
      <c r="C1046" s="32"/>
      <c r="D1046" s="33"/>
      <c r="E1046" s="34"/>
      <c r="F1046" s="34"/>
      <c r="G1046" s="35"/>
      <c r="H1046" s="34"/>
      <c r="I1046" s="37"/>
    </row>
    <row r="1047" ht="22.5" customHeight="1">
      <c r="A1047" s="30"/>
      <c r="B1047" s="31"/>
      <c r="C1047" s="32"/>
      <c r="D1047" s="33"/>
      <c r="E1047" s="34"/>
      <c r="F1047" s="34"/>
      <c r="G1047" s="35"/>
      <c r="H1047" s="34"/>
      <c r="I1047" s="37"/>
    </row>
    <row r="1048" ht="22.5" customHeight="1">
      <c r="A1048" s="30"/>
      <c r="B1048" s="31"/>
      <c r="C1048" s="32"/>
      <c r="D1048" s="33"/>
      <c r="E1048" s="34"/>
      <c r="F1048" s="34"/>
      <c r="G1048" s="35"/>
      <c r="H1048" s="34"/>
      <c r="I1048" s="37"/>
    </row>
    <row r="1049" ht="22.5" customHeight="1">
      <c r="A1049" s="30"/>
      <c r="B1049" s="31"/>
      <c r="C1049" s="32"/>
      <c r="D1049" s="33"/>
      <c r="E1049" s="34"/>
      <c r="F1049" s="34"/>
      <c r="G1049" s="35"/>
      <c r="H1049" s="34"/>
      <c r="I1049" s="37"/>
    </row>
    <row r="1050" ht="22.5" customHeight="1">
      <c r="A1050" s="30"/>
      <c r="B1050" s="31"/>
      <c r="C1050" s="32"/>
      <c r="D1050" s="33"/>
      <c r="E1050" s="34"/>
      <c r="F1050" s="34"/>
      <c r="G1050" s="35"/>
      <c r="H1050" s="34"/>
      <c r="I1050" s="37"/>
    </row>
    <row r="1051" ht="22.5" customHeight="1">
      <c r="A1051" s="30"/>
      <c r="B1051" s="31"/>
      <c r="C1051" s="32"/>
      <c r="D1051" s="33"/>
      <c r="E1051" s="34"/>
      <c r="F1051" s="34"/>
      <c r="G1051" s="35"/>
      <c r="H1051" s="34"/>
      <c r="I1051" s="37"/>
    </row>
    <row r="1052" ht="22.5" customHeight="1">
      <c r="A1052" s="30"/>
      <c r="B1052" s="31"/>
      <c r="C1052" s="32"/>
      <c r="D1052" s="33"/>
      <c r="E1052" s="34"/>
      <c r="F1052" s="34"/>
      <c r="G1052" s="35"/>
      <c r="H1052" s="34"/>
      <c r="I1052" s="37"/>
    </row>
    <row r="1053" ht="22.5" customHeight="1">
      <c r="A1053" s="30"/>
      <c r="B1053" s="31"/>
      <c r="C1053" s="32"/>
      <c r="D1053" s="33"/>
      <c r="E1053" s="34"/>
      <c r="F1053" s="34"/>
      <c r="G1053" s="35"/>
      <c r="H1053" s="34"/>
      <c r="I1053" s="37"/>
    </row>
    <row r="1054" ht="22.5" customHeight="1">
      <c r="A1054" s="30"/>
      <c r="B1054" s="31"/>
      <c r="C1054" s="32"/>
      <c r="D1054" s="33"/>
      <c r="E1054" s="34"/>
      <c r="F1054" s="34"/>
      <c r="G1054" s="35"/>
      <c r="H1054" s="34"/>
      <c r="I1054" s="37"/>
    </row>
    <row r="1055" ht="22.5" customHeight="1">
      <c r="A1055" s="30"/>
      <c r="B1055" s="40"/>
      <c r="C1055" s="32"/>
      <c r="D1055" s="33"/>
      <c r="E1055" s="34"/>
      <c r="F1055" s="34"/>
      <c r="G1055" s="35"/>
      <c r="H1055" s="34"/>
      <c r="I1055" s="37"/>
    </row>
    <row r="1056" ht="22.5" customHeight="1">
      <c r="A1056" s="30"/>
      <c r="B1056" s="31"/>
      <c r="C1056" s="32"/>
      <c r="D1056" s="33"/>
      <c r="E1056" s="34"/>
      <c r="F1056" s="34"/>
      <c r="G1056" s="35"/>
      <c r="H1056" s="34"/>
      <c r="I1056" s="37"/>
    </row>
    <row r="1057" ht="22.5" customHeight="1">
      <c r="A1057" s="30"/>
      <c r="B1057" s="40"/>
      <c r="C1057" s="32"/>
      <c r="D1057" s="33"/>
      <c r="E1057" s="34"/>
      <c r="F1057" s="34"/>
      <c r="G1057" s="35"/>
      <c r="H1057" s="34"/>
      <c r="I1057" s="37"/>
    </row>
    <row r="1058" ht="22.5" customHeight="1">
      <c r="A1058" s="30"/>
      <c r="B1058" s="31"/>
      <c r="C1058" s="32"/>
      <c r="D1058" s="33"/>
      <c r="E1058" s="34"/>
      <c r="F1058" s="34"/>
      <c r="G1058" s="35"/>
      <c r="H1058" s="34"/>
      <c r="I1058" s="37"/>
    </row>
    <row r="1059" ht="22.5" customHeight="1">
      <c r="A1059" s="30"/>
      <c r="B1059" s="31"/>
      <c r="C1059" s="32"/>
      <c r="D1059" s="33"/>
      <c r="E1059" s="34"/>
      <c r="F1059" s="34"/>
      <c r="G1059" s="35"/>
      <c r="H1059" s="34"/>
      <c r="I1059" s="37"/>
    </row>
    <row r="1060" ht="22.5" customHeight="1">
      <c r="A1060" s="30"/>
      <c r="B1060" s="31"/>
      <c r="C1060" s="32"/>
      <c r="D1060" s="33"/>
      <c r="E1060" s="34"/>
      <c r="F1060" s="34"/>
      <c r="G1060" s="35"/>
      <c r="H1060" s="34"/>
      <c r="I1060" s="37"/>
    </row>
    <row r="1061" ht="22.5" customHeight="1">
      <c r="A1061" s="30"/>
      <c r="B1061" s="31"/>
      <c r="C1061" s="32"/>
      <c r="D1061" s="33"/>
      <c r="E1061" s="34"/>
      <c r="F1061" s="34"/>
      <c r="G1061" s="35"/>
      <c r="H1061" s="34"/>
      <c r="I1061" s="37"/>
    </row>
    <row r="1062" ht="22.5" customHeight="1">
      <c r="A1062" s="30"/>
      <c r="B1062" s="40"/>
      <c r="C1062" s="32"/>
      <c r="D1062" s="33"/>
      <c r="E1062" s="34"/>
      <c r="F1062" s="34"/>
      <c r="G1062" s="35"/>
      <c r="H1062" s="34"/>
      <c r="I1062" s="37"/>
    </row>
    <row r="1063" ht="22.5" customHeight="1">
      <c r="A1063" s="30"/>
      <c r="B1063" s="31"/>
      <c r="C1063" s="32"/>
      <c r="D1063" s="33"/>
      <c r="E1063" s="34"/>
      <c r="F1063" s="34"/>
      <c r="G1063" s="35"/>
      <c r="H1063" s="34"/>
      <c r="I1063" s="37"/>
    </row>
    <row r="1064" ht="22.5" customHeight="1">
      <c r="A1064" s="30"/>
      <c r="B1064" s="31"/>
      <c r="C1064" s="32"/>
      <c r="D1064" s="33"/>
      <c r="E1064" s="34"/>
      <c r="F1064" s="34"/>
      <c r="G1064" s="35"/>
      <c r="H1064" s="34"/>
      <c r="I1064" s="37"/>
    </row>
    <row r="1065" ht="22.5" customHeight="1">
      <c r="A1065" s="30"/>
      <c r="B1065" s="31"/>
      <c r="C1065" s="32"/>
      <c r="D1065" s="33"/>
      <c r="E1065" s="34"/>
      <c r="F1065" s="34"/>
      <c r="G1065" s="35"/>
      <c r="H1065" s="34"/>
      <c r="I1065" s="37"/>
    </row>
    <row r="1066" ht="22.5" customHeight="1">
      <c r="A1066" s="30"/>
      <c r="B1066" s="31"/>
      <c r="C1066" s="32"/>
      <c r="D1066" s="33"/>
      <c r="E1066" s="34"/>
      <c r="F1066" s="34"/>
      <c r="G1066" s="35"/>
      <c r="H1066" s="34"/>
      <c r="I1066" s="37"/>
    </row>
    <row r="1067" ht="22.5" customHeight="1">
      <c r="A1067" s="30"/>
      <c r="B1067" s="31"/>
      <c r="C1067" s="32"/>
      <c r="D1067" s="33"/>
      <c r="E1067" s="34"/>
      <c r="F1067" s="34"/>
      <c r="G1067" s="35"/>
      <c r="H1067" s="34"/>
      <c r="I1067" s="37"/>
    </row>
    <row r="1068" ht="22.5" customHeight="1">
      <c r="A1068" s="30"/>
      <c r="B1068" s="31"/>
      <c r="C1068" s="32"/>
      <c r="D1068" s="33"/>
      <c r="E1068" s="34"/>
      <c r="F1068" s="34"/>
      <c r="G1068" s="35"/>
      <c r="H1068" s="34"/>
      <c r="I1068" s="37"/>
    </row>
    <row r="1069" ht="22.5" customHeight="1">
      <c r="A1069" s="30"/>
      <c r="B1069" s="31"/>
      <c r="C1069" s="32"/>
      <c r="D1069" s="33"/>
      <c r="E1069" s="34"/>
      <c r="F1069" s="34"/>
      <c r="G1069" s="35"/>
      <c r="H1069" s="34"/>
      <c r="I1069" s="37"/>
    </row>
    <row r="1070" ht="22.5" customHeight="1">
      <c r="A1070" s="30"/>
      <c r="B1070" s="31"/>
      <c r="C1070" s="32"/>
      <c r="D1070" s="33"/>
      <c r="E1070" s="34"/>
      <c r="F1070" s="34"/>
      <c r="G1070" s="35"/>
      <c r="H1070" s="34"/>
      <c r="I1070" s="37"/>
    </row>
    <row r="1071" ht="22.5" customHeight="1">
      <c r="A1071" s="30"/>
      <c r="B1071" s="31"/>
      <c r="C1071" s="32"/>
      <c r="D1071" s="33"/>
      <c r="E1071" s="34"/>
      <c r="F1071" s="34"/>
      <c r="G1071" s="35"/>
      <c r="H1071" s="34"/>
      <c r="I1071" s="37"/>
    </row>
    <row r="1072" ht="22.5" customHeight="1">
      <c r="A1072" s="30"/>
      <c r="B1072" s="31"/>
      <c r="C1072" s="32"/>
      <c r="D1072" s="33"/>
      <c r="E1072" s="34"/>
      <c r="F1072" s="34"/>
      <c r="G1072" s="35"/>
      <c r="H1072" s="34"/>
      <c r="I1072" s="37"/>
    </row>
    <row r="1073" ht="22.5" customHeight="1">
      <c r="A1073" s="30"/>
      <c r="B1073" s="31"/>
      <c r="C1073" s="32"/>
      <c r="D1073" s="33"/>
      <c r="E1073" s="34"/>
      <c r="F1073" s="34"/>
      <c r="G1073" s="35"/>
      <c r="H1073" s="34"/>
      <c r="I1073" s="37"/>
    </row>
    <row r="1074" ht="22.5" customHeight="1">
      <c r="A1074" s="30"/>
      <c r="B1074" s="31"/>
      <c r="C1074" s="32"/>
      <c r="D1074" s="33"/>
      <c r="E1074" s="34"/>
      <c r="F1074" s="34"/>
      <c r="G1074" s="35"/>
      <c r="H1074" s="34"/>
      <c r="I1074" s="37"/>
    </row>
    <row r="1075" ht="22.5" customHeight="1">
      <c r="A1075" s="30"/>
      <c r="B1075" s="31"/>
      <c r="C1075" s="32"/>
      <c r="D1075" s="33"/>
      <c r="E1075" s="34"/>
      <c r="F1075" s="34"/>
      <c r="G1075" s="35"/>
      <c r="H1075" s="34"/>
      <c r="I1075" s="37"/>
    </row>
    <row r="1076" ht="22.5" customHeight="1">
      <c r="A1076" s="30"/>
      <c r="B1076" s="31"/>
      <c r="C1076" s="32"/>
      <c r="D1076" s="33"/>
      <c r="E1076" s="34"/>
      <c r="F1076" s="34"/>
      <c r="G1076" s="35"/>
      <c r="H1076" s="34"/>
      <c r="I1076" s="37"/>
    </row>
    <row r="1077" ht="22.5" customHeight="1">
      <c r="A1077" s="30"/>
      <c r="B1077" s="31"/>
      <c r="C1077" s="32"/>
      <c r="D1077" s="33"/>
      <c r="E1077" s="34"/>
      <c r="F1077" s="34"/>
      <c r="G1077" s="35"/>
      <c r="H1077" s="34"/>
      <c r="I1077" s="37"/>
    </row>
    <row r="1078" ht="22.5" customHeight="1">
      <c r="A1078" s="30"/>
      <c r="B1078" s="31"/>
      <c r="C1078" s="32"/>
      <c r="D1078" s="33"/>
      <c r="E1078" s="34"/>
      <c r="F1078" s="34"/>
      <c r="G1078" s="35"/>
      <c r="H1078" s="34"/>
      <c r="I1078" s="37"/>
    </row>
    <row r="1079" ht="22.5" customHeight="1">
      <c r="A1079" s="30"/>
      <c r="B1079" s="31"/>
      <c r="C1079" s="32"/>
      <c r="D1079" s="33"/>
      <c r="E1079" s="34"/>
      <c r="F1079" s="34"/>
      <c r="G1079" s="35"/>
      <c r="H1079" s="34"/>
      <c r="I1079" s="37"/>
    </row>
    <row r="1080" ht="22.5" customHeight="1">
      <c r="A1080" s="30"/>
      <c r="B1080" s="31"/>
      <c r="C1080" s="32"/>
      <c r="D1080" s="33"/>
      <c r="E1080" s="34"/>
      <c r="F1080" s="34"/>
      <c r="G1080" s="35"/>
      <c r="H1080" s="34"/>
      <c r="I1080" s="37"/>
    </row>
    <row r="1081" ht="22.5" customHeight="1">
      <c r="A1081" s="30"/>
      <c r="B1081" s="31"/>
      <c r="C1081" s="32"/>
      <c r="D1081" s="33"/>
      <c r="E1081" s="34"/>
      <c r="F1081" s="34"/>
      <c r="G1081" s="35"/>
      <c r="H1081" s="34"/>
      <c r="I1081" s="37"/>
    </row>
    <row r="1082" ht="22.5" customHeight="1">
      <c r="A1082" s="30"/>
      <c r="B1082" s="31"/>
      <c r="C1082" s="32"/>
      <c r="D1082" s="33"/>
      <c r="E1082" s="34"/>
      <c r="F1082" s="34"/>
      <c r="G1082" s="35"/>
      <c r="H1082" s="34"/>
      <c r="I1082" s="37"/>
    </row>
    <row r="1083" ht="22.5" customHeight="1">
      <c r="A1083" s="30"/>
      <c r="B1083" s="31"/>
      <c r="C1083" s="32"/>
      <c r="D1083" s="33"/>
      <c r="E1083" s="34"/>
      <c r="F1083" s="34"/>
      <c r="G1083" s="35"/>
      <c r="H1083" s="34"/>
      <c r="I1083" s="37"/>
    </row>
    <row r="1084" ht="22.5" customHeight="1">
      <c r="A1084" s="30"/>
      <c r="B1084" s="40"/>
      <c r="C1084" s="32"/>
      <c r="D1084" s="33"/>
      <c r="E1084" s="34"/>
      <c r="F1084" s="34"/>
      <c r="G1084" s="35"/>
      <c r="H1084" s="34"/>
      <c r="I1084" s="37"/>
    </row>
    <row r="1085" ht="22.5" customHeight="1">
      <c r="A1085" s="30"/>
      <c r="B1085" s="31"/>
      <c r="C1085" s="32"/>
      <c r="D1085" s="33"/>
      <c r="E1085" s="34"/>
      <c r="F1085" s="34"/>
      <c r="G1085" s="35"/>
      <c r="H1085" s="34"/>
      <c r="I1085" s="37"/>
    </row>
    <row r="1086" ht="22.5" customHeight="1">
      <c r="A1086" s="30"/>
      <c r="B1086" s="31"/>
      <c r="C1086" s="32"/>
      <c r="D1086" s="33"/>
      <c r="E1086" s="34"/>
      <c r="F1086" s="34"/>
      <c r="G1086" s="35"/>
      <c r="H1086" s="34"/>
      <c r="I1086" s="37"/>
    </row>
    <row r="1087" ht="22.5" customHeight="1">
      <c r="A1087" s="30"/>
      <c r="B1087" s="31"/>
      <c r="C1087" s="32"/>
      <c r="D1087" s="33"/>
      <c r="E1087" s="34"/>
      <c r="F1087" s="34"/>
      <c r="G1087" s="35"/>
      <c r="H1087" s="34"/>
      <c r="I1087" s="37"/>
    </row>
    <row r="1088" ht="22.5" customHeight="1">
      <c r="A1088" s="30"/>
      <c r="B1088" s="31"/>
      <c r="C1088" s="32"/>
      <c r="D1088" s="33"/>
      <c r="E1088" s="34"/>
      <c r="F1088" s="34"/>
      <c r="G1088" s="35"/>
      <c r="H1088" s="34"/>
      <c r="I1088" s="38"/>
    </row>
    <row r="1089" ht="22.5" customHeight="1">
      <c r="A1089" s="30"/>
      <c r="B1089" s="39"/>
      <c r="C1089" s="32"/>
      <c r="D1089" s="33"/>
      <c r="E1089" s="34"/>
      <c r="F1089" s="34"/>
      <c r="G1089" s="35"/>
      <c r="H1089" s="34"/>
      <c r="I1089" s="37"/>
    </row>
    <row r="1090" ht="22.5" customHeight="1">
      <c r="A1090" s="30"/>
      <c r="B1090" s="31"/>
      <c r="C1090" s="32"/>
      <c r="D1090" s="33"/>
      <c r="E1090" s="34"/>
      <c r="F1090" s="34"/>
      <c r="G1090" s="35"/>
      <c r="H1090" s="34"/>
      <c r="I1090" s="37"/>
    </row>
    <row r="1091" ht="22.5" customHeight="1">
      <c r="A1091" s="30"/>
      <c r="B1091" s="31"/>
      <c r="C1091" s="32"/>
      <c r="D1091" s="33"/>
      <c r="E1091" s="34"/>
      <c r="F1091" s="34"/>
      <c r="G1091" s="35"/>
      <c r="H1091" s="34"/>
      <c r="I1091" s="37"/>
    </row>
    <row r="1092" ht="22.5" customHeight="1">
      <c r="A1092" s="30"/>
      <c r="B1092" s="31"/>
      <c r="C1092" s="32"/>
      <c r="D1092" s="33"/>
      <c r="E1092" s="34"/>
      <c r="F1092" s="34"/>
      <c r="G1092" s="35"/>
      <c r="H1092" s="34"/>
      <c r="I1092" s="37"/>
    </row>
    <row r="1093" ht="22.5" customHeight="1">
      <c r="A1093" s="30"/>
      <c r="B1093" s="39"/>
      <c r="C1093" s="32"/>
      <c r="D1093" s="33"/>
      <c r="E1093" s="34"/>
      <c r="F1093" s="34"/>
      <c r="G1093" s="35"/>
      <c r="H1093" s="34"/>
      <c r="I1093" s="37"/>
    </row>
    <row r="1094" ht="22.5" customHeight="1">
      <c r="A1094" s="30"/>
      <c r="B1094" s="31"/>
      <c r="C1094" s="32"/>
      <c r="D1094" s="33"/>
      <c r="E1094" s="34"/>
      <c r="F1094" s="34"/>
      <c r="G1094" s="35"/>
      <c r="H1094" s="34"/>
      <c r="I1094" s="37"/>
    </row>
    <row r="1095" ht="22.5" customHeight="1">
      <c r="A1095" s="30"/>
      <c r="B1095" s="39"/>
      <c r="C1095" s="32"/>
      <c r="D1095" s="33"/>
      <c r="E1095" s="34"/>
      <c r="F1095" s="34"/>
      <c r="G1095" s="35"/>
      <c r="H1095" s="34"/>
      <c r="I1095" s="37"/>
    </row>
    <row r="1096" ht="22.5" customHeight="1">
      <c r="A1096" s="30"/>
      <c r="B1096" s="31"/>
      <c r="C1096" s="32"/>
      <c r="D1096" s="33"/>
      <c r="E1096" s="34"/>
      <c r="F1096" s="34"/>
      <c r="G1096" s="35"/>
      <c r="H1096" s="34"/>
      <c r="I1096" s="37"/>
    </row>
    <row r="1097" ht="22.5" customHeight="1">
      <c r="A1097" s="30"/>
      <c r="B1097" s="31"/>
      <c r="C1097" s="32"/>
      <c r="D1097" s="33"/>
      <c r="E1097" s="34"/>
      <c r="F1097" s="34"/>
      <c r="G1097" s="35"/>
      <c r="H1097" s="34"/>
      <c r="I1097" s="37"/>
    </row>
    <row r="1098" ht="22.5" customHeight="1">
      <c r="A1098" s="30"/>
      <c r="B1098" s="31"/>
      <c r="C1098" s="32"/>
      <c r="D1098" s="33"/>
      <c r="E1098" s="34"/>
      <c r="F1098" s="34"/>
      <c r="G1098" s="35"/>
      <c r="H1098" s="34"/>
      <c r="I1098" s="37"/>
    </row>
    <row r="1099" ht="22.5" customHeight="1">
      <c r="A1099" s="30"/>
      <c r="B1099" s="31"/>
      <c r="C1099" s="32"/>
      <c r="D1099" s="33"/>
      <c r="E1099" s="34"/>
      <c r="F1099" s="34"/>
      <c r="G1099" s="35"/>
      <c r="H1099" s="34"/>
      <c r="I1099" s="37"/>
    </row>
    <row r="1100" ht="22.5" customHeight="1">
      <c r="A1100" s="30"/>
      <c r="B1100" s="31"/>
      <c r="C1100" s="32"/>
      <c r="D1100" s="33"/>
      <c r="E1100" s="34"/>
      <c r="F1100" s="34"/>
      <c r="G1100" s="35"/>
      <c r="H1100" s="34"/>
      <c r="I1100" s="37"/>
    </row>
    <row r="1101" ht="22.5" customHeight="1">
      <c r="A1101" s="30"/>
      <c r="B1101" s="31"/>
      <c r="C1101" s="32"/>
      <c r="D1101" s="33"/>
      <c r="E1101" s="34"/>
      <c r="F1101" s="34"/>
      <c r="G1101" s="35"/>
      <c r="H1101" s="34"/>
      <c r="I1101" s="37"/>
    </row>
    <row r="1102" ht="22.5" customHeight="1">
      <c r="A1102" s="30"/>
      <c r="B1102" s="31"/>
      <c r="C1102" s="32"/>
      <c r="D1102" s="33"/>
      <c r="E1102" s="34"/>
      <c r="F1102" s="34"/>
      <c r="G1102" s="35"/>
      <c r="H1102" s="34"/>
      <c r="I1102" s="37"/>
    </row>
    <row r="1103" ht="22.5" customHeight="1">
      <c r="A1103" s="30"/>
      <c r="B1103" s="31"/>
      <c r="C1103" s="32"/>
      <c r="D1103" s="33"/>
      <c r="E1103" s="34"/>
      <c r="F1103" s="34"/>
      <c r="G1103" s="35"/>
      <c r="H1103" s="34"/>
      <c r="I1103" s="37"/>
    </row>
    <row r="1104" ht="22.5" customHeight="1">
      <c r="A1104" s="30"/>
      <c r="B1104" s="31"/>
      <c r="C1104" s="32"/>
      <c r="D1104" s="33"/>
      <c r="E1104" s="34"/>
      <c r="F1104" s="34"/>
      <c r="G1104" s="35"/>
      <c r="H1104" s="34"/>
      <c r="I1104" s="37"/>
    </row>
    <row r="1105" ht="22.5" customHeight="1">
      <c r="A1105" s="30"/>
      <c r="B1105" s="31"/>
      <c r="C1105" s="32"/>
      <c r="D1105" s="33"/>
      <c r="E1105" s="34"/>
      <c r="F1105" s="34"/>
      <c r="G1105" s="35"/>
      <c r="H1105" s="34"/>
      <c r="I1105" s="37"/>
    </row>
    <row r="1106" ht="22.5" customHeight="1">
      <c r="A1106" s="30"/>
      <c r="B1106" s="40"/>
      <c r="C1106" s="32"/>
      <c r="D1106" s="33"/>
      <c r="E1106" s="34"/>
      <c r="F1106" s="34"/>
      <c r="G1106" s="35"/>
      <c r="H1106" s="34"/>
      <c r="I1106" s="37"/>
    </row>
    <row r="1107" ht="22.5" customHeight="1">
      <c r="A1107" s="30"/>
      <c r="B1107" s="31"/>
      <c r="C1107" s="32"/>
      <c r="D1107" s="33"/>
      <c r="E1107" s="34"/>
      <c r="F1107" s="34"/>
      <c r="G1107" s="35"/>
      <c r="H1107" s="34"/>
      <c r="I1107" s="37"/>
    </row>
    <row r="1108" ht="22.5" customHeight="1">
      <c r="A1108" s="30"/>
      <c r="B1108" s="31"/>
      <c r="C1108" s="32"/>
      <c r="D1108" s="33"/>
      <c r="E1108" s="34"/>
      <c r="F1108" s="34"/>
      <c r="G1108" s="35"/>
      <c r="H1108" s="34"/>
      <c r="I1108" s="37"/>
    </row>
    <row r="1109" ht="22.5" customHeight="1">
      <c r="A1109" s="30"/>
      <c r="B1109" s="31"/>
      <c r="C1109" s="32"/>
      <c r="D1109" s="33"/>
      <c r="E1109" s="34"/>
      <c r="F1109" s="34"/>
      <c r="G1109" s="35"/>
      <c r="H1109" s="34"/>
      <c r="I1109" s="37"/>
    </row>
    <row r="1110" ht="22.5" customHeight="1">
      <c r="A1110" s="30"/>
      <c r="B1110" s="31"/>
      <c r="C1110" s="32"/>
      <c r="D1110" s="33"/>
      <c r="E1110" s="34"/>
      <c r="F1110" s="34"/>
      <c r="G1110" s="35"/>
      <c r="H1110" s="34"/>
      <c r="I1110" s="37"/>
    </row>
    <row r="1111" ht="22.5" customHeight="1">
      <c r="A1111" s="30"/>
      <c r="B1111" s="31"/>
      <c r="C1111" s="32"/>
      <c r="D1111" s="33"/>
      <c r="E1111" s="34"/>
      <c r="F1111" s="34"/>
      <c r="G1111" s="35"/>
      <c r="H1111" s="34"/>
      <c r="I1111" s="37"/>
    </row>
    <row r="1112" ht="22.5" customHeight="1">
      <c r="A1112" s="30"/>
      <c r="B1112" s="31"/>
      <c r="C1112" s="32"/>
      <c r="D1112" s="33"/>
      <c r="E1112" s="34"/>
      <c r="F1112" s="34"/>
      <c r="G1112" s="35"/>
      <c r="H1112" s="34"/>
      <c r="I1112" s="37"/>
    </row>
    <row r="1113" ht="22.5" customHeight="1">
      <c r="A1113" s="30"/>
      <c r="B1113" s="39"/>
      <c r="C1113" s="32"/>
      <c r="D1113" s="33"/>
      <c r="E1113" s="34"/>
      <c r="F1113" s="34"/>
      <c r="G1113" s="35"/>
      <c r="H1113" s="34"/>
      <c r="I1113" s="37"/>
    </row>
    <row r="1114" ht="22.5" customHeight="1">
      <c r="A1114" s="30"/>
      <c r="B1114" s="39"/>
      <c r="C1114" s="32"/>
      <c r="D1114" s="33"/>
      <c r="E1114" s="34"/>
      <c r="F1114" s="34"/>
      <c r="G1114" s="35"/>
      <c r="H1114" s="34"/>
      <c r="I1114" s="37"/>
    </row>
    <row r="1115" ht="22.5" customHeight="1">
      <c r="A1115" s="30"/>
      <c r="B1115" s="39"/>
      <c r="C1115" s="32"/>
      <c r="D1115" s="33"/>
      <c r="E1115" s="34"/>
      <c r="F1115" s="34"/>
      <c r="G1115" s="35"/>
      <c r="H1115" s="34"/>
      <c r="I1115" s="37"/>
    </row>
    <row r="1116" ht="22.5" customHeight="1">
      <c r="A1116" s="30"/>
      <c r="B1116" s="40"/>
      <c r="C1116" s="32"/>
      <c r="D1116" s="33"/>
      <c r="E1116" s="34"/>
      <c r="F1116" s="34"/>
      <c r="G1116" s="35"/>
      <c r="H1116" s="34"/>
      <c r="I1116" s="37"/>
    </row>
    <row r="1117" ht="22.5" customHeight="1">
      <c r="A1117" s="30"/>
      <c r="B1117" s="31"/>
      <c r="C1117" s="32"/>
      <c r="D1117" s="33"/>
      <c r="E1117" s="34"/>
      <c r="F1117" s="34"/>
      <c r="G1117" s="35"/>
      <c r="H1117" s="34"/>
      <c r="I1117" s="37"/>
    </row>
    <row r="1118" ht="22.5" customHeight="1">
      <c r="A1118" s="30"/>
      <c r="B1118" s="31"/>
      <c r="C1118" s="32"/>
      <c r="D1118" s="33"/>
      <c r="E1118" s="34"/>
      <c r="F1118" s="34"/>
      <c r="G1118" s="35"/>
      <c r="H1118" s="34"/>
      <c r="I1118" s="37"/>
    </row>
    <row r="1119" ht="22.5" customHeight="1">
      <c r="A1119" s="30"/>
      <c r="B1119" s="31"/>
      <c r="C1119" s="32"/>
      <c r="D1119" s="33"/>
      <c r="E1119" s="34"/>
      <c r="F1119" s="34"/>
      <c r="G1119" s="35"/>
      <c r="H1119" s="34"/>
      <c r="I1119" s="37"/>
    </row>
    <row r="1120" ht="22.5" customHeight="1">
      <c r="A1120" s="30"/>
      <c r="B1120" s="31"/>
      <c r="C1120" s="32"/>
      <c r="D1120" s="33"/>
      <c r="E1120" s="34"/>
      <c r="F1120" s="34"/>
      <c r="G1120" s="35"/>
      <c r="H1120" s="34"/>
      <c r="I1120" s="37"/>
    </row>
    <row r="1121" ht="22.5" customHeight="1">
      <c r="A1121" s="30"/>
      <c r="B1121" s="31"/>
      <c r="C1121" s="32"/>
      <c r="D1121" s="33"/>
      <c r="E1121" s="34"/>
      <c r="F1121" s="34"/>
      <c r="G1121" s="35"/>
      <c r="H1121" s="34"/>
      <c r="I1121" s="37"/>
    </row>
    <row r="1122" ht="22.5" customHeight="1">
      <c r="A1122" s="30"/>
      <c r="B1122" s="31"/>
      <c r="C1122" s="32"/>
      <c r="D1122" s="33"/>
      <c r="E1122" s="34"/>
      <c r="F1122" s="34"/>
      <c r="G1122" s="35"/>
      <c r="H1122" s="34"/>
      <c r="I1122" s="37"/>
    </row>
    <row r="1123" ht="22.5" customHeight="1">
      <c r="A1123" s="30"/>
      <c r="B1123" s="31"/>
      <c r="C1123" s="32"/>
      <c r="D1123" s="33"/>
      <c r="E1123" s="34"/>
      <c r="F1123" s="34"/>
      <c r="G1123" s="35"/>
      <c r="H1123" s="34"/>
      <c r="I1123" s="37"/>
    </row>
    <row r="1124" ht="22.5" customHeight="1">
      <c r="A1124" s="30"/>
      <c r="B1124" s="31"/>
      <c r="C1124" s="32"/>
      <c r="D1124" s="33"/>
      <c r="E1124" s="34"/>
      <c r="F1124" s="34"/>
      <c r="G1124" s="35"/>
      <c r="H1124" s="34"/>
      <c r="I1124" s="37"/>
    </row>
    <row r="1125" ht="22.5" customHeight="1">
      <c r="A1125" s="30"/>
      <c r="B1125" s="31"/>
      <c r="C1125" s="32"/>
      <c r="D1125" s="33"/>
      <c r="E1125" s="34"/>
      <c r="F1125" s="34"/>
      <c r="G1125" s="35"/>
      <c r="H1125" s="34"/>
      <c r="I1125" s="37"/>
    </row>
    <row r="1126" ht="22.5" customHeight="1">
      <c r="A1126" s="30"/>
      <c r="B1126" s="40"/>
      <c r="C1126" s="32"/>
      <c r="D1126" s="33"/>
      <c r="E1126" s="34"/>
      <c r="F1126" s="34"/>
      <c r="G1126" s="35"/>
      <c r="H1126" s="34"/>
      <c r="I1126" s="37"/>
    </row>
    <row r="1127" ht="22.5" customHeight="1">
      <c r="A1127" s="30"/>
      <c r="B1127" s="31"/>
      <c r="C1127" s="32"/>
      <c r="D1127" s="33"/>
      <c r="E1127" s="34"/>
      <c r="F1127" s="34"/>
      <c r="G1127" s="35"/>
      <c r="H1127" s="34"/>
      <c r="I1127" s="37"/>
    </row>
    <row r="1128" ht="22.5" customHeight="1">
      <c r="A1128" s="30"/>
      <c r="B1128" s="31"/>
      <c r="C1128" s="32"/>
      <c r="D1128" s="33"/>
      <c r="E1128" s="34"/>
      <c r="F1128" s="34"/>
      <c r="G1128" s="35"/>
      <c r="H1128" s="34"/>
      <c r="I1128" s="37"/>
    </row>
    <row r="1129" ht="22.5" customHeight="1">
      <c r="A1129" s="30"/>
      <c r="B1129" s="31"/>
      <c r="C1129" s="32"/>
      <c r="D1129" s="33"/>
      <c r="E1129" s="34"/>
      <c r="F1129" s="34"/>
      <c r="G1129" s="35"/>
      <c r="H1129" s="34"/>
      <c r="I1129" s="37"/>
    </row>
    <row r="1130" ht="22.5" customHeight="1">
      <c r="A1130" s="30"/>
      <c r="B1130" s="40"/>
      <c r="C1130" s="32"/>
      <c r="D1130" s="33"/>
      <c r="E1130" s="34"/>
      <c r="F1130" s="34"/>
      <c r="G1130" s="35"/>
      <c r="H1130" s="34"/>
      <c r="I1130" s="37"/>
    </row>
    <row r="1131" ht="22.5" customHeight="1">
      <c r="A1131" s="30"/>
      <c r="B1131" s="31"/>
      <c r="C1131" s="32"/>
      <c r="D1131" s="33"/>
      <c r="E1131" s="34"/>
      <c r="F1131" s="34"/>
      <c r="G1131" s="35"/>
      <c r="H1131" s="34"/>
      <c r="I1131" s="37"/>
    </row>
    <row r="1132" ht="22.5" customHeight="1">
      <c r="A1132" s="30"/>
      <c r="B1132" s="31"/>
      <c r="C1132" s="32"/>
      <c r="D1132" s="33"/>
      <c r="E1132" s="34"/>
      <c r="F1132" s="34"/>
      <c r="G1132" s="35"/>
      <c r="H1132" s="34"/>
      <c r="I1132" s="37"/>
    </row>
    <row r="1133" ht="22.5" customHeight="1">
      <c r="A1133" s="30"/>
      <c r="B1133" s="31"/>
      <c r="C1133" s="32"/>
      <c r="D1133" s="33"/>
      <c r="E1133" s="34"/>
      <c r="F1133" s="34"/>
      <c r="G1133" s="35"/>
      <c r="H1133" s="34"/>
      <c r="I1133" s="37"/>
    </row>
    <row r="1134" ht="22.5" customHeight="1">
      <c r="A1134" s="30"/>
      <c r="B1134" s="31"/>
      <c r="C1134" s="32"/>
      <c r="D1134" s="33"/>
      <c r="E1134" s="34"/>
      <c r="F1134" s="34"/>
      <c r="G1134" s="35"/>
      <c r="H1134" s="34"/>
      <c r="I1134" s="37"/>
    </row>
    <row r="1135" ht="22.5" customHeight="1">
      <c r="A1135" s="30"/>
      <c r="B1135" s="31"/>
      <c r="C1135" s="32"/>
      <c r="D1135" s="33"/>
      <c r="E1135" s="34"/>
      <c r="F1135" s="34"/>
      <c r="G1135" s="35"/>
      <c r="H1135" s="34"/>
      <c r="I1135" s="37"/>
    </row>
    <row r="1136" ht="22.5" customHeight="1">
      <c r="A1136" s="30"/>
      <c r="B1136" s="31"/>
      <c r="C1136" s="32"/>
      <c r="D1136" s="33"/>
      <c r="E1136" s="34"/>
      <c r="F1136" s="34"/>
      <c r="G1136" s="35"/>
      <c r="H1136" s="34"/>
      <c r="I1136" s="37"/>
    </row>
    <row r="1137" ht="22.5" customHeight="1">
      <c r="A1137" s="30"/>
      <c r="B1137" s="31"/>
      <c r="C1137" s="32"/>
      <c r="D1137" s="33"/>
      <c r="E1137" s="34"/>
      <c r="F1137" s="34"/>
      <c r="G1137" s="35"/>
      <c r="H1137" s="34"/>
      <c r="I1137" s="37"/>
    </row>
    <row r="1138" ht="22.5" customHeight="1">
      <c r="A1138" s="30"/>
      <c r="B1138" s="31"/>
      <c r="C1138" s="32"/>
      <c r="D1138" s="33"/>
      <c r="E1138" s="34"/>
      <c r="F1138" s="34"/>
      <c r="G1138" s="35"/>
      <c r="H1138" s="34"/>
      <c r="I1138" s="37"/>
    </row>
    <row r="1139" ht="22.5" customHeight="1">
      <c r="A1139" s="30"/>
      <c r="B1139" s="31"/>
      <c r="C1139" s="32"/>
      <c r="D1139" s="33"/>
      <c r="E1139" s="34"/>
      <c r="F1139" s="34"/>
      <c r="G1139" s="35"/>
      <c r="H1139" s="34"/>
      <c r="I1139" s="37"/>
    </row>
    <row r="1140" ht="22.5" customHeight="1">
      <c r="A1140" s="30"/>
      <c r="B1140" s="31"/>
      <c r="C1140" s="32"/>
      <c r="D1140" s="33"/>
      <c r="E1140" s="34"/>
      <c r="F1140" s="34"/>
      <c r="G1140" s="35"/>
      <c r="H1140" s="34"/>
      <c r="I1140" s="37"/>
    </row>
    <row r="1141" ht="22.5" customHeight="1">
      <c r="A1141" s="30"/>
      <c r="B1141" s="31"/>
      <c r="C1141" s="32"/>
      <c r="D1141" s="33"/>
      <c r="E1141" s="34"/>
      <c r="F1141" s="34"/>
      <c r="G1141" s="35"/>
      <c r="H1141" s="34"/>
      <c r="I1141" s="37"/>
    </row>
    <row r="1142" ht="22.5" customHeight="1">
      <c r="A1142" s="30"/>
      <c r="B1142" s="31"/>
      <c r="C1142" s="32"/>
      <c r="D1142" s="33"/>
      <c r="E1142" s="34"/>
      <c r="F1142" s="34"/>
      <c r="G1142" s="35"/>
      <c r="H1142" s="34"/>
      <c r="I1142" s="37"/>
    </row>
    <row r="1143" ht="22.5" customHeight="1">
      <c r="A1143" s="30"/>
      <c r="B1143" s="31"/>
      <c r="C1143" s="32"/>
      <c r="D1143" s="33"/>
      <c r="E1143" s="34"/>
      <c r="F1143" s="34"/>
      <c r="G1143" s="35"/>
      <c r="H1143" s="34"/>
      <c r="I1143" s="37"/>
    </row>
    <row r="1144" ht="22.5" customHeight="1">
      <c r="A1144" s="30"/>
      <c r="B1144" s="31"/>
      <c r="C1144" s="32"/>
      <c r="D1144" s="33"/>
      <c r="E1144" s="34"/>
      <c r="F1144" s="34"/>
      <c r="G1144" s="35"/>
      <c r="H1144" s="34"/>
      <c r="I1144" s="37"/>
    </row>
    <row r="1145" ht="22.5" customHeight="1">
      <c r="A1145" s="30"/>
      <c r="B1145" s="40"/>
      <c r="C1145" s="32"/>
      <c r="D1145" s="33"/>
      <c r="E1145" s="34"/>
      <c r="F1145" s="34"/>
      <c r="G1145" s="35"/>
      <c r="H1145" s="34"/>
      <c r="I1145" s="37"/>
    </row>
    <row r="1146" ht="22.5" customHeight="1">
      <c r="A1146" s="30"/>
      <c r="B1146" s="31"/>
      <c r="C1146" s="32"/>
      <c r="D1146" s="33"/>
      <c r="E1146" s="34"/>
      <c r="F1146" s="34"/>
      <c r="G1146" s="35"/>
      <c r="H1146" s="34"/>
      <c r="I1146" s="37"/>
    </row>
    <row r="1147" ht="22.5" customHeight="1">
      <c r="A1147" s="30"/>
      <c r="B1147" s="40"/>
      <c r="C1147" s="32"/>
      <c r="D1147" s="33"/>
      <c r="E1147" s="34"/>
      <c r="F1147" s="34"/>
      <c r="G1147" s="35"/>
      <c r="H1147" s="34"/>
      <c r="I1147" s="37"/>
    </row>
    <row r="1148" ht="22.5" customHeight="1">
      <c r="A1148" s="30"/>
      <c r="B1148" s="31"/>
      <c r="C1148" s="32"/>
      <c r="D1148" s="33"/>
      <c r="E1148" s="34"/>
      <c r="F1148" s="34"/>
      <c r="G1148" s="35"/>
      <c r="H1148" s="34"/>
      <c r="I1148" s="37"/>
    </row>
    <row r="1149" ht="22.5" customHeight="1">
      <c r="A1149" s="30"/>
      <c r="B1149" s="31"/>
      <c r="C1149" s="32"/>
      <c r="D1149" s="33"/>
      <c r="E1149" s="34"/>
      <c r="F1149" s="34"/>
      <c r="G1149" s="35"/>
      <c r="H1149" s="34"/>
      <c r="I1149" s="37"/>
    </row>
    <row r="1150" ht="22.5" customHeight="1">
      <c r="A1150" s="30"/>
      <c r="B1150" s="31"/>
      <c r="C1150" s="32"/>
      <c r="D1150" s="33"/>
      <c r="E1150" s="34"/>
      <c r="F1150" s="34"/>
      <c r="G1150" s="35"/>
      <c r="H1150" s="34"/>
      <c r="I1150" s="37"/>
    </row>
    <row r="1151" ht="22.5" customHeight="1">
      <c r="A1151" s="30"/>
      <c r="B1151" s="31"/>
      <c r="C1151" s="32"/>
      <c r="D1151" s="33"/>
      <c r="E1151" s="34"/>
      <c r="F1151" s="34"/>
      <c r="G1151" s="35"/>
      <c r="H1151" s="34"/>
      <c r="I1151" s="37"/>
    </row>
    <row r="1152" ht="22.5" customHeight="1">
      <c r="A1152" s="30"/>
      <c r="B1152" s="40"/>
      <c r="C1152" s="32"/>
      <c r="D1152" s="33"/>
      <c r="E1152" s="34"/>
      <c r="F1152" s="34"/>
      <c r="G1152" s="35"/>
      <c r="H1152" s="34"/>
      <c r="I1152" s="37"/>
    </row>
    <row r="1153" ht="22.5" customHeight="1">
      <c r="A1153" s="30"/>
      <c r="B1153" s="31"/>
      <c r="C1153" s="32"/>
      <c r="D1153" s="33"/>
      <c r="E1153" s="34"/>
      <c r="F1153" s="34"/>
      <c r="G1153" s="35"/>
      <c r="H1153" s="34"/>
      <c r="I1153" s="37"/>
    </row>
    <row r="1154" ht="22.5" customHeight="1">
      <c r="A1154" s="30"/>
      <c r="B1154" s="31"/>
      <c r="C1154" s="32"/>
      <c r="D1154" s="33"/>
      <c r="E1154" s="34"/>
      <c r="F1154" s="34"/>
      <c r="G1154" s="35"/>
      <c r="H1154" s="34"/>
      <c r="I1154" s="37"/>
    </row>
    <row r="1155" ht="22.5" customHeight="1">
      <c r="A1155" s="30"/>
      <c r="B1155" s="31"/>
      <c r="C1155" s="32"/>
      <c r="D1155" s="33"/>
      <c r="E1155" s="34"/>
      <c r="F1155" s="34"/>
      <c r="G1155" s="35"/>
      <c r="H1155" s="34"/>
      <c r="I1155" s="37"/>
    </row>
    <row r="1156" ht="22.5" customHeight="1">
      <c r="A1156" s="30"/>
      <c r="B1156" s="31"/>
      <c r="C1156" s="32"/>
      <c r="D1156" s="33"/>
      <c r="E1156" s="34"/>
      <c r="F1156" s="34"/>
      <c r="G1156" s="35"/>
      <c r="H1156" s="34"/>
      <c r="I1156" s="37"/>
    </row>
    <row r="1157" ht="22.5" customHeight="1">
      <c r="A1157" s="30"/>
      <c r="B1157" s="31"/>
      <c r="C1157" s="32"/>
      <c r="D1157" s="33"/>
      <c r="E1157" s="34"/>
      <c r="F1157" s="34"/>
      <c r="G1157" s="35"/>
      <c r="H1157" s="34"/>
      <c r="I1157" s="37"/>
    </row>
    <row r="1158" ht="22.5" customHeight="1">
      <c r="A1158" s="30"/>
      <c r="B1158" s="31"/>
      <c r="C1158" s="32"/>
      <c r="D1158" s="33"/>
      <c r="E1158" s="34"/>
      <c r="F1158" s="34"/>
      <c r="G1158" s="35"/>
      <c r="H1158" s="34"/>
      <c r="I1158" s="37"/>
    </row>
    <row r="1159" ht="22.5" customHeight="1">
      <c r="A1159" s="30"/>
      <c r="B1159" s="31"/>
      <c r="C1159" s="32"/>
      <c r="D1159" s="33"/>
      <c r="E1159" s="34"/>
      <c r="F1159" s="34"/>
      <c r="G1159" s="35"/>
      <c r="H1159" s="34"/>
      <c r="I1159" s="37"/>
    </row>
    <row r="1160" ht="22.5" customHeight="1">
      <c r="A1160" s="30"/>
      <c r="B1160" s="31"/>
      <c r="C1160" s="32"/>
      <c r="D1160" s="33"/>
      <c r="E1160" s="34"/>
      <c r="F1160" s="34"/>
      <c r="G1160" s="35"/>
      <c r="H1160" s="34"/>
      <c r="I1160" s="37"/>
    </row>
    <row r="1161" ht="22.5" customHeight="1">
      <c r="A1161" s="30"/>
      <c r="B1161" s="31"/>
      <c r="C1161" s="32"/>
      <c r="D1161" s="33"/>
      <c r="E1161" s="34"/>
      <c r="F1161" s="34"/>
      <c r="G1161" s="35"/>
      <c r="H1161" s="34"/>
      <c r="I1161" s="37"/>
    </row>
    <row r="1162" ht="22.5" customHeight="1">
      <c r="A1162" s="30"/>
      <c r="B1162" s="31"/>
      <c r="C1162" s="32"/>
      <c r="D1162" s="33"/>
      <c r="E1162" s="34"/>
      <c r="F1162" s="34"/>
      <c r="G1162" s="35"/>
      <c r="H1162" s="34"/>
      <c r="I1162" s="37"/>
    </row>
    <row r="1163" ht="22.5" customHeight="1">
      <c r="A1163" s="30"/>
      <c r="B1163" s="31"/>
      <c r="C1163" s="32"/>
      <c r="D1163" s="33"/>
      <c r="E1163" s="34"/>
      <c r="F1163" s="34"/>
      <c r="G1163" s="35"/>
      <c r="H1163" s="34"/>
      <c r="I1163" s="37"/>
    </row>
    <row r="1164" ht="22.5" customHeight="1">
      <c r="A1164" s="30"/>
      <c r="B1164" s="31"/>
      <c r="C1164" s="32"/>
      <c r="D1164" s="33"/>
      <c r="E1164" s="34"/>
      <c r="F1164" s="34"/>
      <c r="G1164" s="35"/>
      <c r="H1164" s="34"/>
      <c r="I1164" s="37"/>
    </row>
    <row r="1165" ht="22.5" customHeight="1">
      <c r="A1165" s="30"/>
      <c r="B1165" s="31"/>
      <c r="C1165" s="32"/>
      <c r="D1165" s="33"/>
      <c r="E1165" s="34"/>
      <c r="F1165" s="34"/>
      <c r="G1165" s="35"/>
      <c r="H1165" s="34"/>
      <c r="I1165" s="37"/>
    </row>
    <row r="1166" ht="22.5" customHeight="1">
      <c r="A1166" s="30"/>
      <c r="B1166" s="31"/>
      <c r="C1166" s="32"/>
      <c r="D1166" s="33"/>
      <c r="E1166" s="34"/>
      <c r="F1166" s="34"/>
      <c r="G1166" s="35"/>
      <c r="H1166" s="34"/>
      <c r="I1166" s="37"/>
    </row>
    <row r="1167" ht="22.5" customHeight="1">
      <c r="A1167" s="30"/>
      <c r="B1167" s="31"/>
      <c r="C1167" s="32"/>
      <c r="D1167" s="33"/>
      <c r="E1167" s="34"/>
      <c r="F1167" s="34"/>
      <c r="G1167" s="35"/>
      <c r="H1167" s="34"/>
      <c r="I1167" s="37"/>
    </row>
    <row r="1168" ht="22.5" customHeight="1">
      <c r="A1168" s="30"/>
      <c r="B1168" s="31"/>
      <c r="C1168" s="32"/>
      <c r="D1168" s="33"/>
      <c r="E1168" s="34"/>
      <c r="F1168" s="34"/>
      <c r="G1168" s="35"/>
      <c r="H1168" s="34"/>
      <c r="I1168" s="37"/>
    </row>
    <row r="1169" ht="22.5" customHeight="1">
      <c r="A1169" s="30"/>
      <c r="B1169" s="31"/>
      <c r="C1169" s="32"/>
      <c r="D1169" s="33"/>
      <c r="E1169" s="34"/>
      <c r="F1169" s="34"/>
      <c r="G1169" s="35"/>
      <c r="H1169" s="34"/>
      <c r="I1169" s="37"/>
    </row>
    <row r="1170" ht="22.5" customHeight="1">
      <c r="A1170" s="30"/>
      <c r="B1170" s="31"/>
      <c r="C1170" s="32"/>
      <c r="D1170" s="33"/>
      <c r="E1170" s="34"/>
      <c r="F1170" s="34"/>
      <c r="G1170" s="35"/>
      <c r="H1170" s="34"/>
      <c r="I1170" s="37"/>
    </row>
    <row r="1171" ht="22.5" customHeight="1">
      <c r="A1171" s="30"/>
      <c r="B1171" s="31"/>
      <c r="C1171" s="32"/>
      <c r="D1171" s="33"/>
      <c r="E1171" s="34"/>
      <c r="F1171" s="34"/>
      <c r="G1171" s="35"/>
      <c r="H1171" s="34"/>
      <c r="I1171" s="37"/>
    </row>
    <row r="1172" ht="22.5" customHeight="1">
      <c r="A1172" s="30"/>
      <c r="B1172" s="31"/>
      <c r="C1172" s="32"/>
      <c r="D1172" s="33"/>
      <c r="E1172" s="34"/>
      <c r="F1172" s="34"/>
      <c r="G1172" s="35"/>
      <c r="H1172" s="34"/>
      <c r="I1172" s="37"/>
    </row>
    <row r="1173" ht="22.5" customHeight="1">
      <c r="A1173" s="30"/>
      <c r="B1173" s="31"/>
      <c r="C1173" s="32"/>
      <c r="D1173" s="33"/>
      <c r="E1173" s="34"/>
      <c r="F1173" s="34"/>
      <c r="G1173" s="35"/>
      <c r="H1173" s="34"/>
      <c r="I1173" s="37"/>
    </row>
    <row r="1174" ht="22.5" customHeight="1">
      <c r="A1174" s="30"/>
      <c r="B1174" s="40"/>
      <c r="C1174" s="32"/>
      <c r="D1174" s="33"/>
      <c r="E1174" s="34"/>
      <c r="F1174" s="34"/>
      <c r="G1174" s="35"/>
      <c r="H1174" s="34"/>
      <c r="I1174" s="37"/>
    </row>
    <row r="1175" ht="22.5" customHeight="1">
      <c r="A1175" s="30"/>
      <c r="B1175" s="31"/>
      <c r="C1175" s="32"/>
      <c r="D1175" s="33"/>
      <c r="E1175" s="34"/>
      <c r="F1175" s="34"/>
      <c r="G1175" s="35"/>
      <c r="H1175" s="34"/>
      <c r="I1175" s="37"/>
    </row>
    <row r="1176" ht="22.5" customHeight="1">
      <c r="A1176" s="30"/>
      <c r="B1176" s="31"/>
      <c r="C1176" s="32"/>
      <c r="D1176" s="33"/>
      <c r="E1176" s="34"/>
      <c r="F1176" s="34"/>
      <c r="G1176" s="35"/>
      <c r="H1176" s="34"/>
      <c r="I1176" s="37"/>
    </row>
    <row r="1177" ht="22.5" customHeight="1">
      <c r="A1177" s="30"/>
      <c r="B1177" s="31"/>
      <c r="C1177" s="32"/>
      <c r="D1177" s="33"/>
      <c r="E1177" s="34"/>
      <c r="F1177" s="34"/>
      <c r="G1177" s="35"/>
      <c r="H1177" s="34"/>
      <c r="I1177" s="37"/>
    </row>
    <row r="1178" ht="22.5" customHeight="1">
      <c r="A1178" s="30"/>
      <c r="B1178" s="31"/>
      <c r="C1178" s="32"/>
      <c r="D1178" s="33"/>
      <c r="E1178" s="34"/>
      <c r="F1178" s="34"/>
      <c r="G1178" s="35"/>
      <c r="H1178" s="34"/>
      <c r="I1178" s="38"/>
    </row>
    <row r="1179" ht="22.5" customHeight="1">
      <c r="A1179" s="30"/>
      <c r="B1179" s="39"/>
      <c r="C1179" s="32"/>
      <c r="D1179" s="33"/>
      <c r="E1179" s="34"/>
      <c r="F1179" s="34"/>
      <c r="G1179" s="35"/>
      <c r="H1179" s="34"/>
      <c r="I1179" s="37"/>
    </row>
    <row r="1180" ht="22.5" customHeight="1">
      <c r="A1180" s="30"/>
      <c r="B1180" s="31"/>
      <c r="C1180" s="32"/>
      <c r="D1180" s="33"/>
      <c r="E1180" s="34"/>
      <c r="F1180" s="34"/>
      <c r="G1180" s="35"/>
      <c r="H1180" s="34"/>
      <c r="I1180" s="37"/>
    </row>
    <row r="1181" ht="22.5" customHeight="1">
      <c r="A1181" s="30"/>
      <c r="B1181" s="31"/>
      <c r="C1181" s="32"/>
      <c r="D1181" s="33"/>
      <c r="E1181" s="34"/>
      <c r="F1181" s="34"/>
      <c r="G1181" s="35"/>
      <c r="H1181" s="34"/>
      <c r="I1181" s="37"/>
    </row>
    <row r="1182" ht="22.5" customHeight="1">
      <c r="A1182" s="30"/>
      <c r="B1182" s="31"/>
      <c r="C1182" s="32"/>
      <c r="D1182" s="33"/>
      <c r="E1182" s="34"/>
      <c r="F1182" s="34"/>
      <c r="G1182" s="35"/>
      <c r="H1182" s="34"/>
      <c r="I1182" s="37"/>
    </row>
    <row r="1183" ht="22.5" customHeight="1">
      <c r="A1183" s="30"/>
      <c r="B1183" s="39"/>
      <c r="C1183" s="32"/>
      <c r="D1183" s="33"/>
      <c r="E1183" s="34"/>
      <c r="F1183" s="34"/>
      <c r="G1183" s="35"/>
      <c r="H1183" s="34"/>
      <c r="I1183" s="37"/>
    </row>
    <row r="1184" ht="22.5" customHeight="1">
      <c r="A1184" s="30"/>
      <c r="B1184" s="31"/>
      <c r="C1184" s="32"/>
      <c r="D1184" s="33"/>
      <c r="E1184" s="34"/>
      <c r="F1184" s="34"/>
      <c r="G1184" s="35"/>
      <c r="H1184" s="34"/>
      <c r="I1184" s="37"/>
    </row>
    <row r="1185" ht="22.5" customHeight="1">
      <c r="A1185" s="30"/>
      <c r="B1185" s="39"/>
      <c r="C1185" s="32"/>
      <c r="D1185" s="33"/>
      <c r="E1185" s="34"/>
      <c r="F1185" s="34"/>
      <c r="G1185" s="35"/>
      <c r="H1185" s="34"/>
      <c r="I1185" s="37"/>
    </row>
    <row r="1186" ht="22.5" customHeight="1">
      <c r="A1186" s="30"/>
      <c r="B1186" s="31"/>
      <c r="C1186" s="32"/>
      <c r="D1186" s="33"/>
      <c r="E1186" s="34"/>
      <c r="F1186" s="34"/>
      <c r="G1186" s="35"/>
      <c r="H1186" s="34"/>
      <c r="I1186" s="37"/>
    </row>
    <row r="1187" ht="22.5" customHeight="1">
      <c r="A1187" s="30"/>
      <c r="B1187" s="31"/>
      <c r="C1187" s="32"/>
      <c r="D1187" s="33"/>
      <c r="E1187" s="34"/>
      <c r="F1187" s="34"/>
      <c r="G1187" s="35"/>
      <c r="H1187" s="34"/>
      <c r="I1187" s="37"/>
    </row>
    <row r="1188" ht="22.5" customHeight="1">
      <c r="A1188" s="30"/>
      <c r="B1188" s="31"/>
      <c r="C1188" s="32"/>
      <c r="D1188" s="33"/>
      <c r="E1188" s="34"/>
      <c r="F1188" s="34"/>
      <c r="G1188" s="35"/>
      <c r="H1188" s="34"/>
      <c r="I1188" s="37"/>
    </row>
    <row r="1189" ht="22.5" customHeight="1">
      <c r="A1189" s="30"/>
      <c r="B1189" s="31"/>
      <c r="C1189" s="32"/>
      <c r="D1189" s="33"/>
      <c r="E1189" s="34"/>
      <c r="F1189" s="34"/>
      <c r="G1189" s="35"/>
      <c r="H1189" s="34"/>
      <c r="I1189" s="37"/>
    </row>
    <row r="1190" ht="22.5" customHeight="1">
      <c r="A1190" s="30"/>
      <c r="B1190" s="31"/>
      <c r="C1190" s="32"/>
      <c r="D1190" s="33"/>
      <c r="E1190" s="34"/>
      <c r="F1190" s="34"/>
      <c r="G1190" s="35"/>
      <c r="H1190" s="34"/>
      <c r="I1190" s="37"/>
    </row>
    <row r="1191" ht="22.5" customHeight="1">
      <c r="A1191" s="30"/>
      <c r="B1191" s="31"/>
      <c r="C1191" s="32"/>
      <c r="D1191" s="33"/>
      <c r="E1191" s="34"/>
      <c r="F1191" s="34"/>
      <c r="G1191" s="35"/>
      <c r="H1191" s="34"/>
      <c r="I1191" s="37"/>
    </row>
    <row r="1192" ht="22.5" customHeight="1">
      <c r="A1192" s="30"/>
      <c r="B1192" s="31"/>
      <c r="C1192" s="32"/>
      <c r="D1192" s="33"/>
      <c r="E1192" s="34"/>
      <c r="F1192" s="34"/>
      <c r="G1192" s="35"/>
      <c r="H1192" s="34"/>
      <c r="I1192" s="37"/>
    </row>
    <row r="1193" ht="22.5" customHeight="1">
      <c r="A1193" s="30"/>
      <c r="B1193" s="31"/>
      <c r="C1193" s="32"/>
      <c r="D1193" s="33"/>
      <c r="E1193" s="34"/>
      <c r="F1193" s="34"/>
      <c r="G1193" s="35"/>
      <c r="H1193" s="34"/>
      <c r="I1193" s="37"/>
    </row>
    <row r="1194" ht="22.5" customHeight="1">
      <c r="A1194" s="30"/>
      <c r="B1194" s="31"/>
      <c r="C1194" s="32"/>
      <c r="D1194" s="33"/>
      <c r="E1194" s="34"/>
      <c r="F1194" s="34"/>
      <c r="G1194" s="35"/>
      <c r="H1194" s="34"/>
      <c r="I1194" s="37"/>
    </row>
    <row r="1195" ht="22.5" customHeight="1">
      <c r="A1195" s="30"/>
      <c r="B1195" s="31"/>
      <c r="C1195" s="32"/>
      <c r="D1195" s="33"/>
      <c r="E1195" s="34"/>
      <c r="F1195" s="34"/>
      <c r="G1195" s="35"/>
      <c r="H1195" s="34"/>
      <c r="I1195" s="37"/>
    </row>
    <row r="1196" ht="22.5" customHeight="1">
      <c r="A1196" s="30"/>
      <c r="B1196" s="40"/>
      <c r="C1196" s="32"/>
      <c r="D1196" s="33"/>
      <c r="E1196" s="34"/>
      <c r="F1196" s="34"/>
      <c r="G1196" s="35"/>
      <c r="H1196" s="34"/>
      <c r="I1196" s="37"/>
    </row>
    <row r="1197" ht="22.5" customHeight="1">
      <c r="A1197" s="30"/>
      <c r="B1197" s="31"/>
      <c r="C1197" s="32"/>
      <c r="D1197" s="33"/>
      <c r="E1197" s="34"/>
      <c r="F1197" s="34"/>
      <c r="G1197" s="35"/>
      <c r="H1197" s="34"/>
      <c r="I1197" s="37"/>
    </row>
    <row r="1198" ht="22.5" customHeight="1">
      <c r="A1198" s="30"/>
      <c r="B1198" s="31"/>
      <c r="C1198" s="32"/>
      <c r="D1198" s="33"/>
      <c r="E1198" s="34"/>
      <c r="F1198" s="34"/>
      <c r="G1198" s="35"/>
      <c r="H1198" s="34"/>
      <c r="I1198" s="37"/>
    </row>
    <row r="1199" ht="22.5" customHeight="1">
      <c r="A1199" s="30"/>
      <c r="B1199" s="31"/>
      <c r="C1199" s="32"/>
      <c r="D1199" s="33"/>
      <c r="E1199" s="34"/>
      <c r="F1199" s="34"/>
      <c r="G1199" s="35"/>
      <c r="H1199" s="34"/>
      <c r="I1199" s="37"/>
    </row>
    <row r="1200" ht="22.5" customHeight="1">
      <c r="A1200" s="30"/>
      <c r="B1200" s="31"/>
      <c r="C1200" s="32"/>
      <c r="D1200" s="33"/>
      <c r="E1200" s="34"/>
      <c r="F1200" s="34"/>
      <c r="G1200" s="35"/>
      <c r="H1200" s="34"/>
      <c r="I1200" s="37"/>
    </row>
    <row r="1201" ht="22.5" customHeight="1">
      <c r="A1201" s="30"/>
      <c r="B1201" s="31"/>
      <c r="C1201" s="32"/>
      <c r="D1201" s="33"/>
      <c r="E1201" s="34"/>
      <c r="F1201" s="34"/>
      <c r="G1201" s="35"/>
      <c r="H1201" s="34"/>
      <c r="I1201" s="37"/>
    </row>
    <row r="1202" ht="22.5" customHeight="1">
      <c r="A1202" s="30"/>
      <c r="B1202" s="31"/>
      <c r="C1202" s="32"/>
      <c r="D1202" s="33"/>
      <c r="E1202" s="34"/>
      <c r="F1202" s="34"/>
      <c r="G1202" s="35"/>
      <c r="H1202" s="34"/>
      <c r="I1202" s="37"/>
    </row>
    <row r="1203" ht="22.5" customHeight="1">
      <c r="A1203" s="30"/>
      <c r="B1203" s="39"/>
      <c r="C1203" s="32"/>
      <c r="D1203" s="33"/>
      <c r="E1203" s="34"/>
      <c r="F1203" s="34"/>
      <c r="G1203" s="35"/>
      <c r="H1203" s="34"/>
      <c r="I1203" s="37"/>
    </row>
    <row r="1204" ht="22.5" customHeight="1">
      <c r="A1204" s="30"/>
      <c r="B1204" s="39"/>
      <c r="C1204" s="32"/>
      <c r="D1204" s="33"/>
      <c r="E1204" s="34"/>
      <c r="F1204" s="34"/>
      <c r="G1204" s="35"/>
      <c r="H1204" s="34"/>
      <c r="I1204" s="37"/>
    </row>
    <row r="1205" ht="22.5" customHeight="1">
      <c r="A1205" s="30"/>
      <c r="B1205" s="39"/>
      <c r="C1205" s="32"/>
      <c r="D1205" s="33"/>
      <c r="E1205" s="34"/>
      <c r="F1205" s="34"/>
      <c r="G1205" s="35"/>
      <c r="H1205" s="34"/>
      <c r="I1205" s="37"/>
    </row>
    <row r="1206" ht="22.5" customHeight="1">
      <c r="A1206" s="30"/>
      <c r="B1206" s="40"/>
      <c r="C1206" s="32"/>
      <c r="D1206" s="33"/>
      <c r="E1206" s="34"/>
      <c r="F1206" s="34"/>
      <c r="G1206" s="35"/>
      <c r="H1206" s="34"/>
      <c r="I1206" s="37"/>
    </row>
    <row r="1207" ht="22.5" customHeight="1">
      <c r="A1207" s="30"/>
      <c r="B1207" s="31"/>
      <c r="C1207" s="32"/>
      <c r="D1207" s="33"/>
      <c r="E1207" s="34"/>
      <c r="F1207" s="34"/>
      <c r="G1207" s="35"/>
      <c r="H1207" s="34"/>
      <c r="I1207" s="37"/>
    </row>
    <row r="1208" ht="22.5" customHeight="1">
      <c r="A1208" s="30"/>
      <c r="B1208" s="31"/>
      <c r="C1208" s="32"/>
      <c r="D1208" s="33"/>
      <c r="E1208" s="34"/>
      <c r="F1208" s="34"/>
      <c r="G1208" s="35"/>
      <c r="H1208" s="34"/>
      <c r="I1208" s="37"/>
    </row>
    <row r="1209" ht="22.5" customHeight="1">
      <c r="A1209" s="30"/>
      <c r="B1209" s="31"/>
      <c r="C1209" s="32"/>
      <c r="D1209" s="33"/>
      <c r="E1209" s="34"/>
      <c r="F1209" s="34"/>
      <c r="G1209" s="35"/>
      <c r="H1209" s="34"/>
      <c r="I1209" s="37"/>
    </row>
    <row r="1210" ht="22.5" customHeight="1">
      <c r="A1210" s="30"/>
      <c r="B1210" s="31"/>
      <c r="C1210" s="32"/>
      <c r="D1210" s="33"/>
      <c r="E1210" s="34"/>
      <c r="F1210" s="34"/>
      <c r="G1210" s="35"/>
      <c r="H1210" s="34"/>
      <c r="I1210" s="37"/>
    </row>
    <row r="1211" ht="22.5" customHeight="1">
      <c r="A1211" s="30"/>
      <c r="B1211" s="31"/>
      <c r="C1211" s="32"/>
      <c r="D1211" s="33"/>
      <c r="E1211" s="34"/>
      <c r="F1211" s="34"/>
      <c r="G1211" s="35"/>
      <c r="H1211" s="34"/>
      <c r="I1211" s="37"/>
    </row>
    <row r="1212" ht="22.5" customHeight="1">
      <c r="A1212" s="30"/>
      <c r="B1212" s="31"/>
      <c r="C1212" s="32"/>
      <c r="D1212" s="33"/>
      <c r="E1212" s="34"/>
      <c r="F1212" s="34"/>
      <c r="G1212" s="35"/>
      <c r="H1212" s="34"/>
      <c r="I1212" s="37"/>
    </row>
    <row r="1213" ht="22.5" customHeight="1">
      <c r="A1213" s="30"/>
      <c r="B1213" s="31"/>
      <c r="C1213" s="32"/>
      <c r="D1213" s="33"/>
      <c r="E1213" s="34"/>
      <c r="F1213" s="34"/>
      <c r="G1213" s="35"/>
      <c r="H1213" s="34"/>
      <c r="I1213" s="37"/>
    </row>
    <row r="1214" ht="22.5" customHeight="1">
      <c r="A1214" s="30"/>
      <c r="B1214" s="31"/>
      <c r="C1214" s="32"/>
      <c r="D1214" s="33"/>
      <c r="E1214" s="34"/>
      <c r="F1214" s="34"/>
      <c r="G1214" s="35"/>
      <c r="H1214" s="34"/>
      <c r="I1214" s="37"/>
    </row>
    <row r="1215" ht="22.5" customHeight="1">
      <c r="A1215" s="30"/>
      <c r="B1215" s="31"/>
      <c r="C1215" s="32"/>
      <c r="D1215" s="33"/>
      <c r="E1215" s="34"/>
      <c r="F1215" s="34"/>
      <c r="G1215" s="35"/>
      <c r="H1215" s="34"/>
      <c r="I1215" s="37"/>
    </row>
    <row r="1216" ht="22.5" customHeight="1">
      <c r="A1216" s="30"/>
      <c r="B1216" s="40"/>
      <c r="C1216" s="32"/>
      <c r="D1216" s="33"/>
      <c r="E1216" s="34"/>
      <c r="F1216" s="34"/>
      <c r="G1216" s="35"/>
      <c r="H1216" s="34"/>
      <c r="I1216" s="37"/>
    </row>
    <row r="1217" ht="22.5" customHeight="1">
      <c r="A1217" s="30"/>
      <c r="B1217" s="31"/>
      <c r="C1217" s="32"/>
      <c r="D1217" s="33"/>
      <c r="E1217" s="34"/>
      <c r="F1217" s="34"/>
      <c r="G1217" s="35"/>
      <c r="H1217" s="34"/>
      <c r="I1217" s="37"/>
    </row>
    <row r="1218" ht="22.5" customHeight="1">
      <c r="A1218" s="30"/>
      <c r="B1218" s="31"/>
      <c r="C1218" s="32"/>
      <c r="D1218" s="33"/>
      <c r="E1218" s="34"/>
      <c r="F1218" s="34"/>
      <c r="G1218" s="35"/>
      <c r="H1218" s="34"/>
      <c r="I1218" s="37"/>
    </row>
    <row r="1219" ht="22.5" customHeight="1">
      <c r="A1219" s="30"/>
      <c r="B1219" s="31"/>
      <c r="C1219" s="32"/>
      <c r="D1219" s="33"/>
      <c r="E1219" s="34"/>
      <c r="F1219" s="34"/>
      <c r="G1219" s="35"/>
      <c r="H1219" s="34"/>
      <c r="I1219" s="37"/>
    </row>
    <row r="1220" ht="22.5" customHeight="1">
      <c r="A1220" s="30"/>
      <c r="B1220" s="40"/>
      <c r="C1220" s="32"/>
      <c r="D1220" s="33"/>
      <c r="E1220" s="34"/>
      <c r="F1220" s="34"/>
      <c r="G1220" s="35"/>
      <c r="H1220" s="34"/>
      <c r="I1220" s="37"/>
    </row>
    <row r="1221" ht="22.5" customHeight="1">
      <c r="A1221" s="30"/>
      <c r="B1221" s="31"/>
      <c r="C1221" s="32"/>
      <c r="D1221" s="33"/>
      <c r="E1221" s="34"/>
      <c r="F1221" s="34"/>
      <c r="G1221" s="35"/>
      <c r="H1221" s="34"/>
      <c r="I1221" s="37"/>
    </row>
    <row r="1222" ht="22.5" customHeight="1">
      <c r="A1222" s="30"/>
      <c r="B1222" s="31"/>
      <c r="C1222" s="32"/>
      <c r="D1222" s="33"/>
      <c r="E1222" s="34"/>
      <c r="F1222" s="34"/>
      <c r="G1222" s="35"/>
      <c r="H1222" s="34"/>
      <c r="I1222" s="37"/>
    </row>
    <row r="1223" ht="22.5" customHeight="1">
      <c r="A1223" s="30"/>
      <c r="B1223" s="31"/>
      <c r="C1223" s="32"/>
      <c r="D1223" s="33"/>
      <c r="E1223" s="34"/>
      <c r="F1223" s="34"/>
      <c r="G1223" s="35"/>
      <c r="H1223" s="34"/>
      <c r="I1223" s="37"/>
    </row>
    <row r="1224" ht="22.5" customHeight="1">
      <c r="A1224" s="30"/>
      <c r="B1224" s="31"/>
      <c r="C1224" s="32"/>
      <c r="D1224" s="33"/>
      <c r="E1224" s="34"/>
      <c r="F1224" s="34"/>
      <c r="G1224" s="35"/>
      <c r="H1224" s="34"/>
      <c r="I1224" s="37"/>
    </row>
    <row r="1225" ht="22.5" customHeight="1">
      <c r="A1225" s="30"/>
      <c r="B1225" s="31"/>
      <c r="C1225" s="32"/>
      <c r="D1225" s="33"/>
      <c r="E1225" s="34"/>
      <c r="F1225" s="34"/>
      <c r="G1225" s="35"/>
      <c r="H1225" s="34"/>
      <c r="I1225" s="37"/>
    </row>
    <row r="1226" ht="22.5" customHeight="1">
      <c r="A1226" s="30"/>
      <c r="B1226" s="31"/>
      <c r="C1226" s="32"/>
      <c r="D1226" s="33"/>
      <c r="E1226" s="34"/>
      <c r="F1226" s="34"/>
      <c r="G1226" s="35"/>
      <c r="H1226" s="34"/>
      <c r="I1226" s="37"/>
    </row>
    <row r="1227" ht="22.5" customHeight="1">
      <c r="A1227" s="30"/>
      <c r="B1227" s="31"/>
      <c r="C1227" s="32"/>
      <c r="D1227" s="33"/>
      <c r="E1227" s="34"/>
      <c r="F1227" s="34"/>
      <c r="G1227" s="35"/>
      <c r="H1227" s="34"/>
      <c r="I1227" s="37"/>
    </row>
    <row r="1228" ht="22.5" customHeight="1">
      <c r="A1228" s="30"/>
      <c r="B1228" s="31"/>
      <c r="C1228" s="32"/>
      <c r="D1228" s="33"/>
      <c r="E1228" s="34"/>
      <c r="F1228" s="34"/>
      <c r="G1228" s="35"/>
      <c r="H1228" s="34"/>
      <c r="I1228" s="37"/>
    </row>
    <row r="1229" ht="22.5" customHeight="1">
      <c r="A1229" s="30"/>
      <c r="B1229" s="31"/>
      <c r="C1229" s="32"/>
      <c r="D1229" s="33"/>
      <c r="E1229" s="34"/>
      <c r="F1229" s="34"/>
      <c r="G1229" s="35"/>
      <c r="H1229" s="34"/>
      <c r="I1229" s="37"/>
    </row>
    <row r="1230" ht="22.5" customHeight="1">
      <c r="A1230" s="30"/>
      <c r="B1230" s="31"/>
      <c r="C1230" s="32"/>
      <c r="D1230" s="33"/>
      <c r="E1230" s="34"/>
      <c r="F1230" s="34"/>
      <c r="G1230" s="35"/>
      <c r="H1230" s="34"/>
      <c r="I1230" s="37"/>
    </row>
    <row r="1231" ht="22.5" customHeight="1">
      <c r="A1231" s="30"/>
      <c r="B1231" s="31"/>
      <c r="C1231" s="32"/>
      <c r="D1231" s="33"/>
      <c r="E1231" s="34"/>
      <c r="F1231" s="34"/>
      <c r="G1231" s="35"/>
      <c r="H1231" s="34"/>
      <c r="I1231" s="37"/>
    </row>
    <row r="1232" ht="22.5" customHeight="1">
      <c r="A1232" s="30"/>
      <c r="B1232" s="31"/>
      <c r="C1232" s="32"/>
      <c r="D1232" s="33"/>
      <c r="E1232" s="34"/>
      <c r="F1232" s="34"/>
      <c r="G1232" s="35"/>
      <c r="H1232" s="34"/>
      <c r="I1232" s="37"/>
    </row>
    <row r="1233" ht="22.5" customHeight="1">
      <c r="A1233" s="30"/>
      <c r="B1233" s="31"/>
      <c r="C1233" s="32"/>
      <c r="D1233" s="33"/>
      <c r="E1233" s="34"/>
      <c r="F1233" s="34"/>
      <c r="G1233" s="35"/>
      <c r="H1233" s="34"/>
      <c r="I1233" s="37"/>
    </row>
    <row r="1234" ht="22.5" customHeight="1">
      <c r="A1234" s="30"/>
      <c r="B1234" s="31"/>
      <c r="C1234" s="32"/>
      <c r="D1234" s="33"/>
      <c r="E1234" s="34"/>
      <c r="F1234" s="34"/>
      <c r="G1234" s="35"/>
      <c r="H1234" s="34"/>
      <c r="I1234" s="37"/>
    </row>
    <row r="1235" ht="22.5" customHeight="1">
      <c r="A1235" s="30"/>
      <c r="B1235" s="40"/>
      <c r="C1235" s="32"/>
      <c r="D1235" s="33"/>
      <c r="E1235" s="34"/>
      <c r="F1235" s="34"/>
      <c r="G1235" s="35"/>
      <c r="H1235" s="34"/>
      <c r="I1235" s="37"/>
    </row>
    <row r="1236" ht="22.5" customHeight="1">
      <c r="A1236" s="30"/>
      <c r="B1236" s="31"/>
      <c r="C1236" s="32"/>
      <c r="D1236" s="33"/>
      <c r="E1236" s="34"/>
      <c r="F1236" s="34"/>
      <c r="G1236" s="35"/>
      <c r="H1236" s="34"/>
      <c r="I1236" s="37"/>
    </row>
    <row r="1237" ht="22.5" customHeight="1">
      <c r="A1237" s="30"/>
      <c r="B1237" s="40"/>
      <c r="C1237" s="32"/>
      <c r="D1237" s="33"/>
      <c r="E1237" s="34"/>
      <c r="F1237" s="34"/>
      <c r="G1237" s="35"/>
      <c r="H1237" s="34"/>
      <c r="I1237" s="37"/>
    </row>
    <row r="1238" ht="22.5" customHeight="1">
      <c r="A1238" s="30"/>
      <c r="B1238" s="31"/>
      <c r="C1238" s="32"/>
      <c r="D1238" s="33"/>
      <c r="E1238" s="34"/>
      <c r="F1238" s="34"/>
      <c r="G1238" s="35"/>
      <c r="H1238" s="34"/>
      <c r="I1238" s="37"/>
    </row>
    <row r="1239" ht="22.5" customHeight="1">
      <c r="A1239" s="30"/>
      <c r="B1239" s="31"/>
      <c r="C1239" s="32"/>
      <c r="D1239" s="33"/>
      <c r="E1239" s="34"/>
      <c r="F1239" s="34"/>
      <c r="G1239" s="35"/>
      <c r="H1239" s="34"/>
      <c r="I1239" s="37"/>
    </row>
    <row r="1240" ht="22.5" customHeight="1">
      <c r="A1240" s="30"/>
      <c r="B1240" s="31"/>
      <c r="C1240" s="32"/>
      <c r="D1240" s="33"/>
      <c r="E1240" s="34"/>
      <c r="F1240" s="34"/>
      <c r="G1240" s="35"/>
      <c r="H1240" s="34"/>
      <c r="I1240" s="37"/>
    </row>
    <row r="1241" ht="22.5" customHeight="1">
      <c r="A1241" s="30"/>
      <c r="B1241" s="31"/>
      <c r="C1241" s="32"/>
      <c r="D1241" s="33"/>
      <c r="E1241" s="34"/>
      <c r="F1241" s="34"/>
      <c r="G1241" s="35"/>
      <c r="H1241" s="34"/>
      <c r="I1241" s="37"/>
    </row>
    <row r="1242" ht="22.5" customHeight="1">
      <c r="A1242" s="30"/>
      <c r="B1242" s="40"/>
      <c r="C1242" s="32"/>
      <c r="D1242" s="33"/>
      <c r="E1242" s="34"/>
      <c r="F1242" s="34"/>
      <c r="G1242" s="35"/>
      <c r="H1242" s="34"/>
      <c r="I1242" s="37"/>
    </row>
    <row r="1243" ht="22.5" customHeight="1">
      <c r="A1243" s="30"/>
      <c r="B1243" s="31"/>
      <c r="C1243" s="32"/>
      <c r="D1243" s="33"/>
      <c r="E1243" s="34"/>
      <c r="F1243" s="34"/>
      <c r="G1243" s="35"/>
      <c r="H1243" s="34"/>
      <c r="I1243" s="37"/>
    </row>
    <row r="1244" ht="22.5" customHeight="1">
      <c r="A1244" s="30"/>
      <c r="B1244" s="31"/>
      <c r="C1244" s="32"/>
      <c r="D1244" s="33"/>
      <c r="E1244" s="34"/>
      <c r="F1244" s="34"/>
      <c r="G1244" s="35"/>
      <c r="H1244" s="34"/>
      <c r="I1244" s="37"/>
    </row>
    <row r="1245" ht="22.5" customHeight="1">
      <c r="A1245" s="30"/>
      <c r="B1245" s="31"/>
      <c r="C1245" s="32"/>
      <c r="D1245" s="33"/>
      <c r="E1245" s="34"/>
      <c r="F1245" s="34"/>
      <c r="G1245" s="35"/>
      <c r="H1245" s="34"/>
      <c r="I1245" s="37"/>
    </row>
    <row r="1246" ht="22.5" customHeight="1">
      <c r="A1246" s="30"/>
      <c r="B1246" s="31"/>
      <c r="C1246" s="32"/>
      <c r="D1246" s="33"/>
      <c r="E1246" s="34"/>
      <c r="F1246" s="34"/>
      <c r="G1246" s="35"/>
      <c r="H1246" s="34"/>
      <c r="I1246" s="37"/>
    </row>
    <row r="1247" ht="22.5" customHeight="1">
      <c r="A1247" s="30"/>
      <c r="B1247" s="31"/>
      <c r="C1247" s="32"/>
      <c r="D1247" s="33"/>
      <c r="E1247" s="34"/>
      <c r="F1247" s="34"/>
      <c r="G1247" s="35"/>
      <c r="H1247" s="34"/>
      <c r="I1247" s="37"/>
    </row>
    <row r="1248" ht="22.5" customHeight="1">
      <c r="A1248" s="30"/>
      <c r="B1248" s="31"/>
      <c r="C1248" s="32"/>
      <c r="D1248" s="33"/>
      <c r="E1248" s="34"/>
      <c r="F1248" s="34"/>
      <c r="G1248" s="35"/>
      <c r="H1248" s="34"/>
      <c r="I1248" s="37"/>
    </row>
    <row r="1249" ht="22.5" customHeight="1">
      <c r="A1249" s="30"/>
      <c r="B1249" s="31"/>
      <c r="C1249" s="32"/>
      <c r="D1249" s="33"/>
      <c r="E1249" s="34"/>
      <c r="F1249" s="34"/>
      <c r="G1249" s="35"/>
      <c r="H1249" s="34"/>
      <c r="I1249" s="37"/>
    </row>
    <row r="1250" ht="22.5" customHeight="1">
      <c r="A1250" s="30"/>
      <c r="B1250" s="31"/>
      <c r="C1250" s="32"/>
      <c r="D1250" s="33"/>
      <c r="E1250" s="34"/>
      <c r="F1250" s="34"/>
      <c r="G1250" s="35"/>
      <c r="H1250" s="34"/>
      <c r="I1250" s="37"/>
    </row>
    <row r="1251" ht="22.5" customHeight="1">
      <c r="A1251" s="30"/>
      <c r="B1251" s="31"/>
      <c r="C1251" s="32"/>
      <c r="D1251" s="33"/>
      <c r="E1251" s="34"/>
      <c r="F1251" s="34"/>
      <c r="G1251" s="35"/>
      <c r="H1251" s="34"/>
      <c r="I1251" s="37"/>
    </row>
    <row r="1252" ht="22.5" customHeight="1">
      <c r="A1252" s="30"/>
      <c r="B1252" s="31"/>
      <c r="C1252" s="32"/>
      <c r="D1252" s="33"/>
      <c r="E1252" s="34"/>
      <c r="F1252" s="34"/>
      <c r="G1252" s="35"/>
      <c r="H1252" s="34"/>
      <c r="I1252" s="37"/>
    </row>
    <row r="1253" ht="22.5" customHeight="1">
      <c r="A1253" s="30"/>
      <c r="B1253" s="31"/>
      <c r="C1253" s="32"/>
      <c r="D1253" s="33"/>
      <c r="E1253" s="34"/>
      <c r="F1253" s="34"/>
      <c r="G1253" s="35"/>
      <c r="H1253" s="34"/>
      <c r="I1253" s="37"/>
    </row>
    <row r="1254" ht="22.5" customHeight="1">
      <c r="A1254" s="30"/>
      <c r="B1254" s="31"/>
      <c r="C1254" s="32"/>
      <c r="D1254" s="33"/>
      <c r="E1254" s="34"/>
      <c r="F1254" s="34"/>
      <c r="G1254" s="35"/>
      <c r="H1254" s="34"/>
      <c r="I1254" s="37"/>
    </row>
    <row r="1255" ht="22.5" customHeight="1">
      <c r="A1255" s="30"/>
      <c r="B1255" s="31"/>
      <c r="C1255" s="32"/>
      <c r="D1255" s="33"/>
      <c r="E1255" s="34"/>
      <c r="F1255" s="34"/>
      <c r="G1255" s="35"/>
      <c r="H1255" s="34"/>
      <c r="I1255" s="37"/>
    </row>
    <row r="1256" ht="22.5" customHeight="1">
      <c r="A1256" s="30"/>
      <c r="B1256" s="31"/>
      <c r="C1256" s="32"/>
      <c r="D1256" s="33"/>
      <c r="E1256" s="34"/>
      <c r="F1256" s="34"/>
      <c r="G1256" s="35"/>
      <c r="H1256" s="34"/>
      <c r="I1256" s="37"/>
    </row>
    <row r="1257" ht="22.5" customHeight="1">
      <c r="A1257" s="30"/>
      <c r="B1257" s="31"/>
      <c r="C1257" s="32"/>
      <c r="D1257" s="33"/>
      <c r="E1257" s="34"/>
      <c r="F1257" s="34"/>
      <c r="G1257" s="35"/>
      <c r="H1257" s="34"/>
      <c r="I1257" s="37"/>
    </row>
    <row r="1258" ht="22.5" customHeight="1">
      <c r="A1258" s="30"/>
      <c r="B1258" s="31"/>
      <c r="C1258" s="32"/>
      <c r="D1258" s="33"/>
      <c r="E1258" s="34"/>
      <c r="F1258" s="34"/>
      <c r="G1258" s="35"/>
      <c r="H1258" s="34"/>
      <c r="I1258" s="37"/>
    </row>
    <row r="1259" ht="22.5" customHeight="1">
      <c r="A1259" s="30"/>
      <c r="B1259" s="31"/>
      <c r="C1259" s="32"/>
      <c r="D1259" s="33"/>
      <c r="E1259" s="34"/>
      <c r="F1259" s="34"/>
      <c r="G1259" s="35"/>
      <c r="H1259" s="34"/>
      <c r="I1259" s="37"/>
    </row>
    <row r="1260" ht="22.5" customHeight="1">
      <c r="A1260" s="30"/>
      <c r="B1260" s="31"/>
      <c r="C1260" s="32"/>
      <c r="D1260" s="33"/>
      <c r="E1260" s="34"/>
      <c r="F1260" s="34"/>
      <c r="G1260" s="35"/>
      <c r="H1260" s="34"/>
      <c r="I1260" s="37"/>
    </row>
    <row r="1261" ht="22.5" customHeight="1">
      <c r="A1261" s="30"/>
      <c r="B1261" s="31"/>
      <c r="C1261" s="32"/>
      <c r="D1261" s="33"/>
      <c r="E1261" s="34"/>
      <c r="F1261" s="34"/>
      <c r="G1261" s="35"/>
      <c r="H1261" s="34"/>
      <c r="I1261" s="37"/>
    </row>
    <row r="1262" ht="22.5" customHeight="1">
      <c r="A1262" s="30"/>
      <c r="B1262" s="31"/>
      <c r="C1262" s="32"/>
      <c r="D1262" s="33"/>
      <c r="E1262" s="34"/>
      <c r="F1262" s="34"/>
      <c r="G1262" s="35"/>
      <c r="H1262" s="34"/>
      <c r="I1262" s="37"/>
    </row>
    <row r="1263" ht="22.5" customHeight="1">
      <c r="A1263" s="30"/>
      <c r="B1263" s="31"/>
      <c r="C1263" s="32"/>
      <c r="D1263" s="33"/>
      <c r="E1263" s="34"/>
      <c r="F1263" s="34"/>
      <c r="G1263" s="35"/>
      <c r="H1263" s="34"/>
      <c r="I1263" s="37"/>
    </row>
    <row r="1264" ht="22.5" customHeight="1">
      <c r="A1264" s="30"/>
      <c r="B1264" s="40"/>
      <c r="C1264" s="32"/>
      <c r="D1264" s="33"/>
      <c r="E1264" s="34"/>
      <c r="F1264" s="34"/>
      <c r="G1264" s="35"/>
      <c r="H1264" s="34"/>
      <c r="I1264" s="37"/>
    </row>
    <row r="1265" ht="22.5" customHeight="1">
      <c r="A1265" s="30"/>
      <c r="B1265" s="31"/>
      <c r="C1265" s="32"/>
      <c r="D1265" s="33"/>
      <c r="E1265" s="34"/>
      <c r="F1265" s="34"/>
      <c r="G1265" s="35"/>
      <c r="H1265" s="34"/>
      <c r="I1265" s="37"/>
    </row>
    <row r="1266" ht="22.5" customHeight="1">
      <c r="A1266" s="30"/>
      <c r="B1266" s="31"/>
      <c r="C1266" s="32"/>
      <c r="D1266" s="33"/>
      <c r="E1266" s="34"/>
      <c r="F1266" s="34"/>
      <c r="G1266" s="35"/>
      <c r="H1266" s="34"/>
      <c r="I1266" s="37"/>
    </row>
    <row r="1267" ht="22.5" customHeight="1">
      <c r="A1267" s="30"/>
      <c r="B1267" s="31"/>
      <c r="C1267" s="32"/>
      <c r="D1267" s="33"/>
      <c r="E1267" s="34"/>
      <c r="F1267" s="34"/>
      <c r="G1267" s="35"/>
      <c r="H1267" s="34"/>
      <c r="I1267" s="37"/>
    </row>
    <row r="1268" ht="22.5" customHeight="1">
      <c r="A1268" s="30"/>
      <c r="B1268" s="31"/>
      <c r="C1268" s="32"/>
      <c r="D1268" s="33"/>
      <c r="E1268" s="34"/>
      <c r="F1268" s="34"/>
      <c r="G1268" s="35"/>
      <c r="H1268" s="34"/>
      <c r="I1268" s="38"/>
    </row>
    <row r="1269" ht="22.5" customHeight="1">
      <c r="A1269" s="30"/>
      <c r="B1269" s="39"/>
      <c r="C1269" s="32"/>
      <c r="D1269" s="33"/>
      <c r="E1269" s="34"/>
      <c r="F1269" s="34"/>
      <c r="G1269" s="35"/>
      <c r="H1269" s="34"/>
      <c r="I1269" s="37"/>
    </row>
    <row r="1270" ht="22.5" customHeight="1">
      <c r="A1270" s="30"/>
      <c r="B1270" s="31"/>
      <c r="C1270" s="32"/>
      <c r="D1270" s="33"/>
      <c r="E1270" s="34"/>
      <c r="F1270" s="34"/>
      <c r="G1270" s="35"/>
      <c r="H1270" s="34"/>
      <c r="I1270" s="37"/>
    </row>
    <row r="1271" ht="22.5" customHeight="1">
      <c r="A1271" s="30"/>
      <c r="B1271" s="31"/>
      <c r="C1271" s="32"/>
      <c r="D1271" s="33"/>
      <c r="E1271" s="34"/>
      <c r="F1271" s="34"/>
      <c r="G1271" s="35"/>
      <c r="H1271" s="34"/>
      <c r="I1271" s="37"/>
    </row>
    <row r="1272" ht="22.5" customHeight="1">
      <c r="A1272" s="30"/>
      <c r="B1272" s="31"/>
      <c r="C1272" s="32"/>
      <c r="D1272" s="33"/>
      <c r="E1272" s="34"/>
      <c r="F1272" s="34"/>
      <c r="G1272" s="35"/>
      <c r="H1272" s="34"/>
      <c r="I1272" s="37"/>
    </row>
    <row r="1273" ht="22.5" customHeight="1">
      <c r="A1273" s="30"/>
      <c r="B1273" s="39"/>
      <c r="C1273" s="32"/>
      <c r="D1273" s="33"/>
      <c r="E1273" s="34"/>
      <c r="F1273" s="34"/>
      <c r="G1273" s="35"/>
      <c r="H1273" s="34"/>
      <c r="I1273" s="37"/>
    </row>
    <row r="1274" ht="22.5" customHeight="1">
      <c r="A1274" s="30"/>
      <c r="B1274" s="31"/>
      <c r="C1274" s="32"/>
      <c r="D1274" s="33"/>
      <c r="E1274" s="34"/>
      <c r="F1274" s="34"/>
      <c r="G1274" s="35"/>
      <c r="H1274" s="34"/>
      <c r="I1274" s="37"/>
    </row>
    <row r="1275" ht="22.5" customHeight="1">
      <c r="A1275" s="30"/>
      <c r="B1275" s="39"/>
      <c r="C1275" s="32"/>
      <c r="D1275" s="33"/>
      <c r="E1275" s="34"/>
      <c r="F1275" s="34"/>
      <c r="G1275" s="35"/>
      <c r="H1275" s="34"/>
      <c r="I1275" s="37"/>
    </row>
    <row r="1276" ht="22.5" customHeight="1">
      <c r="A1276" s="30"/>
      <c r="B1276" s="31"/>
      <c r="C1276" s="32"/>
      <c r="D1276" s="33"/>
      <c r="E1276" s="34"/>
      <c r="F1276" s="34"/>
      <c r="G1276" s="35"/>
      <c r="H1276" s="34"/>
      <c r="I1276" s="37"/>
    </row>
    <row r="1277" ht="22.5" customHeight="1">
      <c r="A1277" s="30"/>
      <c r="B1277" s="31"/>
      <c r="C1277" s="32"/>
      <c r="D1277" s="33"/>
      <c r="E1277" s="34"/>
      <c r="F1277" s="34"/>
      <c r="G1277" s="35"/>
      <c r="H1277" s="34"/>
      <c r="I1277" s="37"/>
    </row>
    <row r="1278" ht="22.5" customHeight="1">
      <c r="A1278" s="30"/>
      <c r="B1278" s="31"/>
      <c r="C1278" s="32"/>
      <c r="D1278" s="33"/>
      <c r="E1278" s="34"/>
      <c r="F1278" s="34"/>
      <c r="G1278" s="35"/>
      <c r="H1278" s="34"/>
      <c r="I1278" s="37"/>
    </row>
    <row r="1279" ht="22.5" customHeight="1">
      <c r="A1279" s="30"/>
      <c r="B1279" s="31"/>
      <c r="C1279" s="32"/>
      <c r="D1279" s="33"/>
      <c r="E1279" s="34"/>
      <c r="F1279" s="34"/>
      <c r="G1279" s="35"/>
      <c r="H1279" s="34"/>
      <c r="I1279" s="37"/>
    </row>
    <row r="1280" ht="22.5" customHeight="1">
      <c r="A1280" s="30"/>
      <c r="B1280" s="31"/>
      <c r="C1280" s="32"/>
      <c r="D1280" s="33"/>
      <c r="E1280" s="34"/>
      <c r="F1280" s="34"/>
      <c r="G1280" s="35"/>
      <c r="H1280" s="34"/>
      <c r="I1280" s="37"/>
    </row>
    <row r="1281" ht="22.5" customHeight="1">
      <c r="A1281" s="30"/>
      <c r="B1281" s="31"/>
      <c r="C1281" s="32"/>
      <c r="D1281" s="33"/>
      <c r="E1281" s="34"/>
      <c r="F1281" s="34"/>
      <c r="G1281" s="35"/>
      <c r="H1281" s="34"/>
      <c r="I1281" s="37"/>
    </row>
    <row r="1282" ht="22.5" customHeight="1">
      <c r="A1282" s="30"/>
      <c r="B1282" s="31"/>
      <c r="C1282" s="32"/>
      <c r="D1282" s="33"/>
      <c r="E1282" s="34"/>
      <c r="F1282" s="34"/>
      <c r="G1282" s="35"/>
      <c r="H1282" s="34"/>
      <c r="I1282" s="37"/>
    </row>
    <row r="1283" ht="22.5" customHeight="1">
      <c r="A1283" s="30"/>
      <c r="B1283" s="31"/>
      <c r="C1283" s="32"/>
      <c r="D1283" s="33"/>
      <c r="E1283" s="34"/>
      <c r="F1283" s="34"/>
      <c r="G1283" s="35"/>
      <c r="H1283" s="34"/>
      <c r="I1283" s="37"/>
    </row>
    <row r="1284" ht="22.5" customHeight="1">
      <c r="A1284" s="30"/>
      <c r="B1284" s="31"/>
      <c r="C1284" s="32"/>
      <c r="D1284" s="33"/>
      <c r="E1284" s="34"/>
      <c r="F1284" s="34"/>
      <c r="G1284" s="35"/>
      <c r="H1284" s="34"/>
      <c r="I1284" s="37"/>
    </row>
    <row r="1285" ht="22.5" customHeight="1">
      <c r="A1285" s="30"/>
      <c r="B1285" s="31"/>
      <c r="C1285" s="32"/>
      <c r="D1285" s="33"/>
      <c r="E1285" s="34"/>
      <c r="F1285" s="34"/>
      <c r="G1285" s="35"/>
      <c r="H1285" s="34"/>
      <c r="I1285" s="37"/>
    </row>
    <row r="1286" ht="22.5" customHeight="1">
      <c r="A1286" s="30"/>
      <c r="B1286" s="40"/>
      <c r="C1286" s="32"/>
      <c r="D1286" s="33"/>
      <c r="E1286" s="34"/>
      <c r="F1286" s="34"/>
      <c r="G1286" s="35"/>
      <c r="H1286" s="34"/>
      <c r="I1286" s="37"/>
    </row>
    <row r="1287" ht="22.5" customHeight="1">
      <c r="A1287" s="30"/>
      <c r="B1287" s="31"/>
      <c r="C1287" s="32"/>
      <c r="D1287" s="33"/>
      <c r="E1287" s="34"/>
      <c r="F1287" s="34"/>
      <c r="G1287" s="35"/>
      <c r="H1287" s="34"/>
      <c r="I1287" s="37"/>
    </row>
    <row r="1288" ht="22.5" customHeight="1">
      <c r="A1288" s="30"/>
      <c r="B1288" s="31"/>
      <c r="C1288" s="32"/>
      <c r="D1288" s="33"/>
      <c r="E1288" s="34"/>
      <c r="F1288" s="34"/>
      <c r="G1288" s="35"/>
      <c r="H1288" s="34"/>
      <c r="I1288" s="37"/>
    </row>
    <row r="1289" ht="22.5" customHeight="1">
      <c r="A1289" s="30"/>
      <c r="B1289" s="31"/>
      <c r="C1289" s="32"/>
      <c r="D1289" s="33"/>
      <c r="E1289" s="34"/>
      <c r="F1289" s="34"/>
      <c r="G1289" s="35"/>
      <c r="H1289" s="34"/>
      <c r="I1289" s="37"/>
    </row>
    <row r="1290" ht="22.5" customHeight="1">
      <c r="A1290" s="30"/>
      <c r="B1290" s="31"/>
      <c r="C1290" s="32"/>
      <c r="D1290" s="33"/>
      <c r="E1290" s="34"/>
      <c r="F1290" s="34"/>
      <c r="G1290" s="35"/>
      <c r="H1290" s="34"/>
      <c r="I1290" s="37"/>
    </row>
    <row r="1291" ht="22.5" customHeight="1">
      <c r="A1291" s="30"/>
      <c r="B1291" s="31"/>
      <c r="C1291" s="32"/>
      <c r="D1291" s="33"/>
      <c r="E1291" s="34"/>
      <c r="F1291" s="34"/>
      <c r="G1291" s="35"/>
      <c r="H1291" s="34"/>
      <c r="I1291" s="37"/>
    </row>
    <row r="1292" ht="22.5" customHeight="1">
      <c r="A1292" s="30"/>
      <c r="B1292" s="31"/>
      <c r="C1292" s="32"/>
      <c r="D1292" s="33"/>
      <c r="E1292" s="34"/>
      <c r="F1292" s="34"/>
      <c r="G1292" s="35"/>
      <c r="H1292" s="34"/>
      <c r="I1292" s="37"/>
    </row>
    <row r="1293" ht="22.5" customHeight="1">
      <c r="A1293" s="30"/>
      <c r="B1293" s="39"/>
      <c r="C1293" s="32"/>
      <c r="D1293" s="33"/>
      <c r="E1293" s="34"/>
      <c r="F1293" s="34"/>
      <c r="G1293" s="35"/>
      <c r="H1293" s="34"/>
      <c r="I1293" s="37"/>
    </row>
    <row r="1294" ht="22.5" customHeight="1">
      <c r="A1294" s="30"/>
      <c r="B1294" s="39"/>
      <c r="C1294" s="32"/>
      <c r="D1294" s="33"/>
      <c r="E1294" s="34"/>
      <c r="F1294" s="34"/>
      <c r="G1294" s="35"/>
      <c r="H1294" s="34"/>
      <c r="I1294" s="37"/>
    </row>
    <row r="1295" ht="22.5" customHeight="1">
      <c r="A1295" s="30"/>
      <c r="B1295" s="39"/>
      <c r="C1295" s="32"/>
      <c r="D1295" s="33"/>
      <c r="E1295" s="34"/>
      <c r="F1295" s="34"/>
      <c r="G1295" s="35"/>
      <c r="H1295" s="34"/>
      <c r="I1295" s="37"/>
    </row>
    <row r="1296" ht="22.5" customHeight="1">
      <c r="A1296" s="30"/>
      <c r="B1296" s="40"/>
      <c r="C1296" s="32"/>
      <c r="D1296" s="33"/>
      <c r="E1296" s="34"/>
      <c r="F1296" s="34"/>
      <c r="G1296" s="35"/>
      <c r="H1296" s="34"/>
      <c r="I1296" s="37"/>
    </row>
    <row r="1297" ht="22.5" customHeight="1">
      <c r="A1297" s="30"/>
      <c r="B1297" s="31"/>
      <c r="C1297" s="32"/>
      <c r="D1297" s="33"/>
      <c r="E1297" s="34"/>
      <c r="F1297" s="34"/>
      <c r="G1297" s="35"/>
      <c r="H1297" s="34"/>
      <c r="I1297" s="37"/>
    </row>
    <row r="1298" ht="22.5" customHeight="1">
      <c r="A1298" s="30"/>
      <c r="B1298" s="31"/>
      <c r="C1298" s="32"/>
      <c r="D1298" s="33"/>
      <c r="E1298" s="34"/>
      <c r="F1298" s="34"/>
      <c r="G1298" s="35"/>
      <c r="H1298" s="34"/>
      <c r="I1298" s="37"/>
    </row>
    <row r="1299" ht="22.5" customHeight="1">
      <c r="A1299" s="30"/>
      <c r="B1299" s="31"/>
      <c r="C1299" s="32"/>
      <c r="D1299" s="33"/>
      <c r="E1299" s="34"/>
      <c r="F1299" s="34"/>
      <c r="G1299" s="35"/>
      <c r="H1299" s="34"/>
      <c r="I1299" s="37"/>
    </row>
    <row r="1300" ht="22.5" customHeight="1">
      <c r="A1300" s="30"/>
      <c r="B1300" s="31"/>
      <c r="C1300" s="32"/>
      <c r="D1300" s="33"/>
      <c r="E1300" s="34"/>
      <c r="F1300" s="34"/>
      <c r="G1300" s="35"/>
      <c r="H1300" s="34"/>
      <c r="I1300" s="37"/>
    </row>
    <row r="1301" ht="22.5" customHeight="1">
      <c r="A1301" s="30"/>
      <c r="B1301" s="31"/>
      <c r="C1301" s="32"/>
      <c r="D1301" s="33"/>
      <c r="E1301" s="34"/>
      <c r="F1301" s="34"/>
      <c r="G1301" s="35"/>
      <c r="H1301" s="34"/>
      <c r="I1301" s="37"/>
    </row>
    <row r="1302" ht="22.5" customHeight="1">
      <c r="A1302" s="30"/>
      <c r="B1302" s="31"/>
      <c r="C1302" s="32"/>
      <c r="D1302" s="33"/>
      <c r="E1302" s="34"/>
      <c r="F1302" s="34"/>
      <c r="G1302" s="35"/>
      <c r="H1302" s="34"/>
      <c r="I1302" s="37"/>
    </row>
    <row r="1303" ht="22.5" customHeight="1">
      <c r="A1303" s="30"/>
      <c r="B1303" s="31"/>
      <c r="C1303" s="32"/>
      <c r="D1303" s="33"/>
      <c r="E1303" s="34"/>
      <c r="F1303" s="34"/>
      <c r="G1303" s="35"/>
      <c r="H1303" s="34"/>
      <c r="I1303" s="37"/>
    </row>
    <row r="1304" ht="22.5" customHeight="1">
      <c r="A1304" s="30"/>
      <c r="B1304" s="31"/>
      <c r="C1304" s="32"/>
      <c r="D1304" s="33"/>
      <c r="E1304" s="34"/>
      <c r="F1304" s="34"/>
      <c r="G1304" s="35"/>
      <c r="H1304" s="34"/>
      <c r="I1304" s="37"/>
    </row>
    <row r="1305" ht="22.5" customHeight="1">
      <c r="A1305" s="30"/>
      <c r="B1305" s="31"/>
      <c r="C1305" s="32"/>
      <c r="D1305" s="33"/>
      <c r="E1305" s="34"/>
      <c r="F1305" s="34"/>
      <c r="G1305" s="35"/>
      <c r="H1305" s="34"/>
      <c r="I1305" s="37"/>
    </row>
    <row r="1306" ht="22.5" customHeight="1">
      <c r="A1306" s="30"/>
      <c r="B1306" s="40"/>
      <c r="C1306" s="32"/>
      <c r="D1306" s="33"/>
      <c r="E1306" s="34"/>
      <c r="F1306" s="34"/>
      <c r="G1306" s="35"/>
      <c r="H1306" s="34"/>
      <c r="I1306" s="37"/>
    </row>
    <row r="1307" ht="22.5" customHeight="1">
      <c r="A1307" s="30"/>
      <c r="B1307" s="31"/>
      <c r="C1307" s="32"/>
      <c r="D1307" s="33"/>
      <c r="E1307" s="34"/>
      <c r="F1307" s="34"/>
      <c r="G1307" s="35"/>
      <c r="H1307" s="34"/>
      <c r="I1307" s="37"/>
    </row>
    <row r="1308" ht="22.5" customHeight="1">
      <c r="A1308" s="30"/>
      <c r="B1308" s="31"/>
      <c r="C1308" s="32"/>
      <c r="D1308" s="33"/>
      <c r="E1308" s="34"/>
      <c r="F1308" s="34"/>
      <c r="G1308" s="35"/>
      <c r="H1308" s="34"/>
      <c r="I1308" s="37"/>
    </row>
    <row r="1309" ht="22.5" customHeight="1">
      <c r="A1309" s="30"/>
      <c r="B1309" s="31"/>
      <c r="C1309" s="32"/>
      <c r="D1309" s="33"/>
      <c r="E1309" s="34"/>
      <c r="F1309" s="34"/>
      <c r="G1309" s="35"/>
      <c r="H1309" s="34"/>
      <c r="I1309" s="37"/>
    </row>
    <row r="1310" ht="22.5" customHeight="1">
      <c r="A1310" s="30"/>
      <c r="B1310" s="40"/>
      <c r="C1310" s="32"/>
      <c r="D1310" s="33"/>
      <c r="E1310" s="34"/>
      <c r="F1310" s="34"/>
      <c r="G1310" s="35"/>
      <c r="H1310" s="34"/>
      <c r="I1310" s="37"/>
    </row>
    <row r="1311" ht="22.5" customHeight="1">
      <c r="A1311" s="30"/>
      <c r="B1311" s="31"/>
      <c r="C1311" s="32"/>
      <c r="D1311" s="33"/>
      <c r="E1311" s="34"/>
      <c r="F1311" s="34"/>
      <c r="G1311" s="35"/>
      <c r="H1311" s="34"/>
      <c r="I1311" s="37"/>
    </row>
    <row r="1312" ht="22.5" customHeight="1">
      <c r="A1312" s="30"/>
      <c r="B1312" s="31"/>
      <c r="C1312" s="32"/>
      <c r="D1312" s="33"/>
      <c r="E1312" s="34"/>
      <c r="F1312" s="34"/>
      <c r="G1312" s="35"/>
      <c r="H1312" s="34"/>
      <c r="I1312" s="37"/>
    </row>
    <row r="1313" ht="22.5" customHeight="1">
      <c r="A1313" s="30"/>
      <c r="B1313" s="31"/>
      <c r="C1313" s="32"/>
      <c r="D1313" s="33"/>
      <c r="E1313" s="34"/>
      <c r="F1313" s="34"/>
      <c r="G1313" s="35"/>
      <c r="H1313" s="34"/>
      <c r="I1313" s="37"/>
    </row>
    <row r="1314" ht="22.5" customHeight="1">
      <c r="A1314" s="30"/>
      <c r="B1314" s="31"/>
      <c r="C1314" s="32"/>
      <c r="D1314" s="33"/>
      <c r="E1314" s="34"/>
      <c r="F1314" s="34"/>
      <c r="G1314" s="35"/>
      <c r="H1314" s="34"/>
      <c r="I1314" s="37"/>
    </row>
    <row r="1315" ht="22.5" customHeight="1">
      <c r="A1315" s="30"/>
      <c r="B1315" s="31"/>
      <c r="C1315" s="32"/>
      <c r="D1315" s="33"/>
      <c r="E1315" s="34"/>
      <c r="F1315" s="34"/>
      <c r="G1315" s="35"/>
      <c r="H1315" s="34"/>
      <c r="I1315" s="37"/>
    </row>
    <row r="1316" ht="22.5" customHeight="1">
      <c r="A1316" s="30"/>
      <c r="B1316" s="31"/>
      <c r="C1316" s="32"/>
      <c r="D1316" s="33"/>
      <c r="E1316" s="34"/>
      <c r="F1316" s="34"/>
      <c r="G1316" s="35"/>
      <c r="H1316" s="34"/>
      <c r="I1316" s="37"/>
    </row>
    <row r="1317" ht="22.5" customHeight="1">
      <c r="A1317" s="30"/>
      <c r="B1317" s="31"/>
      <c r="C1317" s="32"/>
      <c r="D1317" s="33"/>
      <c r="E1317" s="34"/>
      <c r="F1317" s="34"/>
      <c r="G1317" s="35"/>
      <c r="H1317" s="34"/>
      <c r="I1317" s="37"/>
    </row>
    <row r="1318" ht="22.5" customHeight="1">
      <c r="A1318" s="30"/>
      <c r="B1318" s="31"/>
      <c r="C1318" s="32"/>
      <c r="D1318" s="33"/>
      <c r="E1318" s="34"/>
      <c r="F1318" s="34"/>
      <c r="G1318" s="35"/>
      <c r="H1318" s="34"/>
      <c r="I1318" s="37"/>
    </row>
    <row r="1319" ht="22.5" customHeight="1">
      <c r="A1319" s="30"/>
      <c r="B1319" s="31"/>
      <c r="C1319" s="32"/>
      <c r="D1319" s="33"/>
      <c r="E1319" s="34"/>
      <c r="F1319" s="34"/>
      <c r="G1319" s="35"/>
      <c r="H1319" s="34"/>
      <c r="I1319" s="37"/>
    </row>
    <row r="1320" ht="22.5" customHeight="1">
      <c r="A1320" s="30"/>
      <c r="B1320" s="31"/>
      <c r="C1320" s="32"/>
      <c r="D1320" s="33"/>
      <c r="E1320" s="34"/>
      <c r="F1320" s="34"/>
      <c r="G1320" s="35"/>
      <c r="H1320" s="34"/>
      <c r="I1320" s="37"/>
    </row>
    <row r="1321" ht="22.5" customHeight="1">
      <c r="A1321" s="30"/>
      <c r="B1321" s="31"/>
      <c r="C1321" s="32"/>
      <c r="D1321" s="33"/>
      <c r="E1321" s="34"/>
      <c r="F1321" s="34"/>
      <c r="G1321" s="35"/>
      <c r="H1321" s="34"/>
      <c r="I1321" s="37"/>
    </row>
    <row r="1322" ht="22.5" customHeight="1">
      <c r="A1322" s="30"/>
      <c r="B1322" s="31"/>
      <c r="C1322" s="32"/>
      <c r="D1322" s="33"/>
      <c r="E1322" s="34"/>
      <c r="F1322" s="34"/>
      <c r="G1322" s="35"/>
      <c r="H1322" s="34"/>
      <c r="I1322" s="37"/>
    </row>
    <row r="1323" ht="22.5" customHeight="1">
      <c r="A1323" s="30"/>
      <c r="B1323" s="31"/>
      <c r="C1323" s="32"/>
      <c r="D1323" s="33"/>
      <c r="E1323" s="34"/>
      <c r="F1323" s="34"/>
      <c r="G1323" s="35"/>
      <c r="H1323" s="34"/>
      <c r="I1323" s="37"/>
    </row>
    <row r="1324" ht="22.5" customHeight="1">
      <c r="A1324" s="30"/>
      <c r="B1324" s="31"/>
      <c r="C1324" s="32"/>
      <c r="D1324" s="33"/>
      <c r="E1324" s="34"/>
      <c r="F1324" s="34"/>
      <c r="G1324" s="35"/>
      <c r="H1324" s="34"/>
      <c r="I1324" s="37"/>
    </row>
    <row r="1325" ht="22.5" customHeight="1">
      <c r="A1325" s="30"/>
      <c r="B1325" s="40"/>
      <c r="C1325" s="32"/>
      <c r="D1325" s="33"/>
      <c r="E1325" s="34"/>
      <c r="F1325" s="34"/>
      <c r="G1325" s="35"/>
      <c r="H1325" s="34"/>
      <c r="I1325" s="37"/>
    </row>
    <row r="1326" ht="22.5" customHeight="1">
      <c r="A1326" s="30"/>
      <c r="B1326" s="31"/>
      <c r="C1326" s="32"/>
      <c r="D1326" s="33"/>
      <c r="E1326" s="34"/>
      <c r="F1326" s="34"/>
      <c r="G1326" s="35"/>
      <c r="H1326" s="34"/>
      <c r="I1326" s="37"/>
    </row>
    <row r="1327" ht="22.5" customHeight="1">
      <c r="A1327" s="30"/>
      <c r="B1327" s="40"/>
      <c r="C1327" s="32"/>
      <c r="D1327" s="33"/>
      <c r="E1327" s="34"/>
      <c r="F1327" s="34"/>
      <c r="G1327" s="35"/>
      <c r="H1327" s="34"/>
      <c r="I1327" s="37"/>
    </row>
    <row r="1328" ht="22.5" customHeight="1">
      <c r="A1328" s="30"/>
      <c r="B1328" s="31"/>
      <c r="C1328" s="32"/>
      <c r="D1328" s="33"/>
      <c r="E1328" s="34"/>
      <c r="F1328" s="34"/>
      <c r="G1328" s="35"/>
      <c r="H1328" s="34"/>
      <c r="I1328" s="37"/>
    </row>
    <row r="1329" ht="22.5" customHeight="1">
      <c r="A1329" s="30"/>
      <c r="B1329" s="31"/>
      <c r="C1329" s="32"/>
      <c r="D1329" s="33"/>
      <c r="E1329" s="34"/>
      <c r="F1329" s="34"/>
      <c r="G1329" s="35"/>
      <c r="H1329" s="34"/>
      <c r="I1329" s="37"/>
    </row>
    <row r="1330" ht="22.5" customHeight="1">
      <c r="A1330" s="30"/>
      <c r="B1330" s="31"/>
      <c r="C1330" s="32"/>
      <c r="D1330" s="33"/>
      <c r="E1330" s="34"/>
      <c r="F1330" s="34"/>
      <c r="G1330" s="35"/>
      <c r="H1330" s="34"/>
      <c r="I1330" s="37"/>
    </row>
    <row r="1331" ht="22.5" customHeight="1">
      <c r="A1331" s="30"/>
      <c r="B1331" s="31"/>
      <c r="C1331" s="32"/>
      <c r="D1331" s="33"/>
      <c r="E1331" s="34"/>
      <c r="F1331" s="34"/>
      <c r="G1331" s="35"/>
      <c r="H1331" s="34"/>
      <c r="I1331" s="37"/>
    </row>
    <row r="1332" ht="22.5" customHeight="1">
      <c r="A1332" s="30"/>
      <c r="B1332" s="40"/>
      <c r="C1332" s="32"/>
      <c r="D1332" s="33"/>
      <c r="E1332" s="34"/>
      <c r="F1332" s="34"/>
      <c r="G1332" s="35"/>
      <c r="H1332" s="34"/>
      <c r="I1332" s="37"/>
    </row>
    <row r="1333" ht="22.5" customHeight="1">
      <c r="A1333" s="30"/>
      <c r="B1333" s="31"/>
      <c r="C1333" s="32"/>
      <c r="D1333" s="33"/>
      <c r="E1333" s="34"/>
      <c r="F1333" s="34"/>
      <c r="G1333" s="35"/>
      <c r="H1333" s="34"/>
      <c r="I1333" s="37"/>
    </row>
    <row r="1334" ht="22.5" customHeight="1">
      <c r="A1334" s="30"/>
      <c r="B1334" s="31"/>
      <c r="C1334" s="32"/>
      <c r="D1334" s="33"/>
      <c r="E1334" s="34"/>
      <c r="F1334" s="34"/>
      <c r="G1334" s="35"/>
      <c r="H1334" s="34"/>
      <c r="I1334" s="37"/>
    </row>
    <row r="1335" ht="22.5" customHeight="1">
      <c r="A1335" s="30"/>
      <c r="B1335" s="31"/>
      <c r="C1335" s="32"/>
      <c r="D1335" s="33"/>
      <c r="E1335" s="34"/>
      <c r="F1335" s="34"/>
      <c r="G1335" s="35"/>
      <c r="H1335" s="34"/>
      <c r="I1335" s="37"/>
    </row>
    <row r="1336" ht="22.5" customHeight="1">
      <c r="A1336" s="30"/>
      <c r="B1336" s="31"/>
      <c r="C1336" s="32"/>
      <c r="D1336" s="33"/>
      <c r="E1336" s="34"/>
      <c r="F1336" s="34"/>
      <c r="G1336" s="35"/>
      <c r="H1336" s="34"/>
      <c r="I1336" s="37"/>
    </row>
    <row r="1337" ht="22.5" customHeight="1">
      <c r="A1337" s="30"/>
      <c r="B1337" s="31"/>
      <c r="C1337" s="32"/>
      <c r="D1337" s="33"/>
      <c r="E1337" s="34"/>
      <c r="F1337" s="34"/>
      <c r="G1337" s="35"/>
      <c r="H1337" s="34"/>
      <c r="I1337" s="37"/>
    </row>
    <row r="1338" ht="22.5" customHeight="1">
      <c r="A1338" s="30"/>
      <c r="B1338" s="31"/>
      <c r="C1338" s="32"/>
      <c r="D1338" s="33"/>
      <c r="E1338" s="34"/>
      <c r="F1338" s="34"/>
      <c r="G1338" s="35"/>
      <c r="H1338" s="34"/>
      <c r="I1338" s="37"/>
    </row>
    <row r="1339" ht="22.5" customHeight="1">
      <c r="A1339" s="30"/>
      <c r="B1339" s="31"/>
      <c r="C1339" s="32"/>
      <c r="D1339" s="33"/>
      <c r="E1339" s="34"/>
      <c r="F1339" s="34"/>
      <c r="G1339" s="35"/>
      <c r="H1339" s="34"/>
      <c r="I1339" s="37"/>
    </row>
    <row r="1340" ht="22.5" customHeight="1">
      <c r="A1340" s="30"/>
      <c r="B1340" s="31"/>
      <c r="C1340" s="32"/>
      <c r="D1340" s="33"/>
      <c r="E1340" s="34"/>
      <c r="F1340" s="34"/>
      <c r="G1340" s="35"/>
      <c r="H1340" s="34"/>
      <c r="I1340" s="37"/>
    </row>
    <row r="1341" ht="22.5" customHeight="1">
      <c r="A1341" s="30"/>
      <c r="B1341" s="31"/>
      <c r="C1341" s="32"/>
      <c r="D1341" s="33"/>
      <c r="E1341" s="34"/>
      <c r="F1341" s="34"/>
      <c r="G1341" s="35"/>
      <c r="H1341" s="34"/>
      <c r="I1341" s="37"/>
    </row>
    <row r="1342" ht="22.5" customHeight="1">
      <c r="A1342" s="30"/>
      <c r="B1342" s="31"/>
      <c r="C1342" s="32"/>
      <c r="D1342" s="33"/>
      <c r="E1342" s="34"/>
      <c r="F1342" s="34"/>
      <c r="G1342" s="35"/>
      <c r="H1342" s="34"/>
      <c r="I1342" s="37"/>
    </row>
    <row r="1343" ht="22.5" customHeight="1">
      <c r="A1343" s="30"/>
      <c r="B1343" s="31"/>
      <c r="C1343" s="32"/>
      <c r="D1343" s="33"/>
      <c r="E1343" s="34"/>
      <c r="F1343" s="34"/>
      <c r="G1343" s="35"/>
      <c r="H1343" s="34"/>
      <c r="I1343" s="37"/>
    </row>
    <row r="1344" ht="22.5" customHeight="1">
      <c r="A1344" s="30"/>
      <c r="B1344" s="31"/>
      <c r="C1344" s="32"/>
      <c r="D1344" s="33"/>
      <c r="E1344" s="34"/>
      <c r="F1344" s="34"/>
      <c r="G1344" s="35"/>
      <c r="H1344" s="34"/>
      <c r="I1344" s="37"/>
    </row>
    <row r="1345" ht="22.5" customHeight="1">
      <c r="A1345" s="30"/>
      <c r="B1345" s="31"/>
      <c r="C1345" s="32"/>
      <c r="D1345" s="33"/>
      <c r="E1345" s="34"/>
      <c r="F1345" s="34"/>
      <c r="G1345" s="35"/>
      <c r="H1345" s="34"/>
      <c r="I1345" s="37"/>
    </row>
    <row r="1346" ht="22.5" customHeight="1">
      <c r="A1346" s="30"/>
      <c r="B1346" s="31"/>
      <c r="C1346" s="32"/>
      <c r="D1346" s="33"/>
      <c r="E1346" s="34"/>
      <c r="F1346" s="34"/>
      <c r="G1346" s="35"/>
      <c r="H1346" s="34"/>
      <c r="I1346" s="37"/>
    </row>
    <row r="1347" ht="22.5" customHeight="1">
      <c r="A1347" s="30"/>
      <c r="B1347" s="31"/>
      <c r="C1347" s="32"/>
      <c r="D1347" s="33"/>
      <c r="E1347" s="34"/>
      <c r="F1347" s="34"/>
      <c r="G1347" s="35"/>
      <c r="H1347" s="34"/>
      <c r="I1347" s="37"/>
    </row>
    <row r="1348" ht="22.5" customHeight="1">
      <c r="A1348" s="30"/>
      <c r="B1348" s="31"/>
      <c r="C1348" s="32"/>
      <c r="D1348" s="33"/>
      <c r="E1348" s="34"/>
      <c r="F1348" s="34"/>
      <c r="G1348" s="35"/>
      <c r="H1348" s="34"/>
      <c r="I1348" s="37"/>
    </row>
    <row r="1349" ht="22.5" customHeight="1">
      <c r="A1349" s="30"/>
      <c r="B1349" s="31"/>
      <c r="C1349" s="32"/>
      <c r="D1349" s="33"/>
      <c r="E1349" s="34"/>
      <c r="F1349" s="34"/>
      <c r="G1349" s="35"/>
      <c r="H1349" s="34"/>
      <c r="I1349" s="37"/>
    </row>
    <row r="1350" ht="22.5" customHeight="1">
      <c r="A1350" s="30"/>
      <c r="B1350" s="31"/>
      <c r="C1350" s="32"/>
      <c r="D1350" s="33"/>
      <c r="E1350" s="34"/>
      <c r="F1350" s="34"/>
      <c r="G1350" s="35"/>
      <c r="H1350" s="34"/>
      <c r="I1350" s="37"/>
    </row>
    <row r="1351" ht="22.5" customHeight="1">
      <c r="A1351" s="30"/>
      <c r="B1351" s="31"/>
      <c r="C1351" s="32"/>
      <c r="D1351" s="33"/>
      <c r="E1351" s="34"/>
      <c r="F1351" s="34"/>
      <c r="G1351" s="35"/>
      <c r="H1351" s="34"/>
      <c r="I1351" s="37"/>
    </row>
    <row r="1352" ht="22.5" customHeight="1">
      <c r="A1352" s="30"/>
      <c r="B1352" s="31"/>
      <c r="C1352" s="32"/>
      <c r="D1352" s="33"/>
      <c r="E1352" s="34"/>
      <c r="F1352" s="34"/>
      <c r="G1352" s="35"/>
      <c r="H1352" s="34"/>
      <c r="I1352" s="37"/>
    </row>
    <row r="1353" ht="22.5" customHeight="1">
      <c r="A1353" s="30"/>
      <c r="B1353" s="31"/>
      <c r="C1353" s="32"/>
      <c r="D1353" s="33"/>
      <c r="E1353" s="34"/>
      <c r="F1353" s="34"/>
      <c r="G1353" s="35"/>
      <c r="H1353" s="34"/>
      <c r="I1353" s="37"/>
    </row>
    <row r="1354" ht="22.5" customHeight="1">
      <c r="A1354" s="30"/>
      <c r="B1354" s="40"/>
      <c r="C1354" s="32"/>
      <c r="D1354" s="33"/>
      <c r="E1354" s="34"/>
      <c r="F1354" s="34"/>
      <c r="G1354" s="35"/>
      <c r="H1354" s="34"/>
      <c r="I1354" s="37"/>
    </row>
    <row r="1355" ht="22.5" customHeight="1">
      <c r="A1355" s="30"/>
      <c r="B1355" s="31"/>
      <c r="C1355" s="32"/>
      <c r="D1355" s="33"/>
      <c r="E1355" s="34"/>
      <c r="F1355" s="34"/>
      <c r="G1355" s="35"/>
      <c r="H1355" s="34"/>
      <c r="I1355" s="37"/>
    </row>
    <row r="1356" ht="22.5" customHeight="1">
      <c r="A1356" s="30"/>
      <c r="B1356" s="31"/>
      <c r="C1356" s="32"/>
      <c r="D1356" s="33"/>
      <c r="E1356" s="34"/>
      <c r="F1356" s="34"/>
      <c r="G1356" s="35"/>
      <c r="H1356" s="34"/>
      <c r="I1356" s="37"/>
    </row>
    <row r="1357" ht="22.5" customHeight="1">
      <c r="A1357" s="30"/>
      <c r="B1357" s="31"/>
      <c r="C1357" s="32"/>
      <c r="D1357" s="33"/>
      <c r="E1357" s="34"/>
      <c r="F1357" s="34"/>
      <c r="G1357" s="35"/>
      <c r="H1357" s="34"/>
      <c r="I1357" s="37"/>
    </row>
    <row r="1358" ht="22.5" customHeight="1">
      <c r="A1358" s="30"/>
      <c r="B1358" s="31"/>
      <c r="C1358" s="32"/>
      <c r="D1358" s="33"/>
      <c r="E1358" s="34"/>
      <c r="F1358" s="34"/>
      <c r="G1358" s="35"/>
      <c r="H1358" s="34"/>
      <c r="I1358" s="38"/>
    </row>
    <row r="1359" ht="22.5" customHeight="1">
      <c r="A1359" s="30"/>
      <c r="B1359" s="39"/>
      <c r="C1359" s="32"/>
      <c r="D1359" s="33"/>
      <c r="E1359" s="34"/>
      <c r="F1359" s="34"/>
      <c r="G1359" s="35"/>
      <c r="H1359" s="34"/>
      <c r="I1359" s="37"/>
    </row>
    <row r="1360" ht="22.5" customHeight="1">
      <c r="A1360" s="30"/>
      <c r="B1360" s="31"/>
      <c r="C1360" s="32"/>
      <c r="D1360" s="33"/>
      <c r="E1360" s="34"/>
      <c r="F1360" s="34"/>
      <c r="G1360" s="35"/>
      <c r="H1360" s="34"/>
      <c r="I1360" s="37"/>
    </row>
    <row r="1361" ht="22.5" customHeight="1">
      <c r="A1361" s="30"/>
      <c r="B1361" s="31"/>
      <c r="C1361" s="32"/>
      <c r="D1361" s="33"/>
      <c r="E1361" s="34"/>
      <c r="F1361" s="34"/>
      <c r="G1361" s="35"/>
      <c r="H1361" s="34"/>
      <c r="I1361" s="37"/>
    </row>
    <row r="1362" ht="22.5" customHeight="1">
      <c r="A1362" s="30"/>
      <c r="B1362" s="31"/>
      <c r="C1362" s="32"/>
      <c r="D1362" s="33"/>
      <c r="E1362" s="34"/>
      <c r="F1362" s="34"/>
      <c r="G1362" s="35"/>
      <c r="H1362" s="34"/>
      <c r="I1362" s="37"/>
    </row>
    <row r="1363" ht="22.5" customHeight="1">
      <c r="A1363" s="30"/>
      <c r="B1363" s="39"/>
      <c r="C1363" s="32"/>
      <c r="D1363" s="33"/>
      <c r="E1363" s="34"/>
      <c r="F1363" s="34"/>
      <c r="G1363" s="35"/>
      <c r="H1363" s="34"/>
      <c r="I1363" s="37"/>
    </row>
    <row r="1364" ht="22.5" customHeight="1">
      <c r="A1364" s="30"/>
      <c r="B1364" s="31"/>
      <c r="C1364" s="32"/>
      <c r="D1364" s="33"/>
      <c r="E1364" s="34"/>
      <c r="F1364" s="34"/>
      <c r="G1364" s="35"/>
      <c r="H1364" s="34"/>
      <c r="I1364" s="37"/>
    </row>
    <row r="1365" ht="22.5" customHeight="1">
      <c r="A1365" s="30"/>
      <c r="B1365" s="39"/>
      <c r="C1365" s="32"/>
      <c r="D1365" s="33"/>
      <c r="E1365" s="34"/>
      <c r="F1365" s="34"/>
      <c r="G1365" s="35"/>
      <c r="H1365" s="34"/>
      <c r="I1365" s="37"/>
    </row>
    <row r="1366" ht="22.5" customHeight="1">
      <c r="A1366" s="30"/>
      <c r="B1366" s="31"/>
      <c r="C1366" s="32"/>
      <c r="D1366" s="33"/>
      <c r="E1366" s="34"/>
      <c r="F1366" s="34"/>
      <c r="G1366" s="35"/>
      <c r="H1366" s="34"/>
      <c r="I1366" s="37"/>
    </row>
    <row r="1367" ht="22.5" customHeight="1">
      <c r="A1367" s="30"/>
      <c r="B1367" s="31"/>
      <c r="C1367" s="32"/>
      <c r="D1367" s="33"/>
      <c r="E1367" s="34"/>
      <c r="F1367" s="34"/>
      <c r="G1367" s="35"/>
      <c r="H1367" s="34"/>
      <c r="I1367" s="37"/>
    </row>
    <row r="1368" ht="22.5" customHeight="1">
      <c r="A1368" s="30"/>
      <c r="B1368" s="31"/>
      <c r="C1368" s="32"/>
      <c r="D1368" s="33"/>
      <c r="E1368" s="34"/>
      <c r="F1368" s="34"/>
      <c r="G1368" s="35"/>
      <c r="H1368" s="34"/>
      <c r="I1368" s="37"/>
    </row>
    <row r="1369" ht="22.5" customHeight="1">
      <c r="A1369" s="30"/>
      <c r="B1369" s="31"/>
      <c r="C1369" s="32"/>
      <c r="D1369" s="33"/>
      <c r="E1369" s="34"/>
      <c r="F1369" s="34"/>
      <c r="G1369" s="35"/>
      <c r="H1369" s="34"/>
      <c r="I1369" s="37"/>
    </row>
    <row r="1370" ht="22.5" customHeight="1">
      <c r="A1370" s="30"/>
      <c r="B1370" s="31"/>
      <c r="C1370" s="32"/>
      <c r="D1370" s="33"/>
      <c r="E1370" s="34"/>
      <c r="F1370" s="34"/>
      <c r="G1370" s="35"/>
      <c r="H1370" s="34"/>
      <c r="I1370" s="37"/>
    </row>
    <row r="1371" ht="22.5" customHeight="1">
      <c r="A1371" s="30"/>
      <c r="B1371" s="31"/>
      <c r="C1371" s="32"/>
      <c r="D1371" s="33"/>
      <c r="E1371" s="34"/>
      <c r="F1371" s="34"/>
      <c r="G1371" s="35"/>
      <c r="H1371" s="34"/>
      <c r="I1371" s="37"/>
    </row>
    <row r="1372" ht="22.5" customHeight="1">
      <c r="A1372" s="30"/>
      <c r="B1372" s="31"/>
      <c r="C1372" s="32"/>
      <c r="D1372" s="33"/>
      <c r="E1372" s="34"/>
      <c r="F1372" s="34"/>
      <c r="G1372" s="35"/>
      <c r="H1372" s="34"/>
      <c r="I1372" s="37"/>
    </row>
    <row r="1373" ht="22.5" customHeight="1">
      <c r="A1373" s="30"/>
      <c r="B1373" s="31"/>
      <c r="C1373" s="32"/>
      <c r="D1373" s="33"/>
      <c r="E1373" s="34"/>
      <c r="F1373" s="34"/>
      <c r="G1373" s="35"/>
      <c r="H1373" s="34"/>
      <c r="I1373" s="37"/>
    </row>
    <row r="1374" ht="22.5" customHeight="1">
      <c r="A1374" s="30"/>
      <c r="B1374" s="31"/>
      <c r="C1374" s="32"/>
      <c r="D1374" s="33"/>
      <c r="E1374" s="34"/>
      <c r="F1374" s="34"/>
      <c r="G1374" s="35"/>
      <c r="H1374" s="34"/>
      <c r="I1374" s="37"/>
    </row>
    <row r="1375" ht="22.5" customHeight="1">
      <c r="A1375" s="30"/>
      <c r="B1375" s="31"/>
      <c r="C1375" s="32"/>
      <c r="D1375" s="33"/>
      <c r="E1375" s="34"/>
      <c r="F1375" s="34"/>
      <c r="G1375" s="35"/>
      <c r="H1375" s="34"/>
      <c r="I1375" s="37"/>
    </row>
    <row r="1376" ht="22.5" customHeight="1">
      <c r="A1376" s="30"/>
      <c r="B1376" s="40"/>
      <c r="C1376" s="32"/>
      <c r="D1376" s="33"/>
      <c r="E1376" s="34"/>
      <c r="F1376" s="34"/>
      <c r="G1376" s="35"/>
      <c r="H1376" s="34"/>
      <c r="I1376" s="37"/>
    </row>
    <row r="1377" ht="22.5" customHeight="1">
      <c r="A1377" s="30"/>
      <c r="B1377" s="31"/>
      <c r="C1377" s="32"/>
      <c r="D1377" s="33"/>
      <c r="E1377" s="34"/>
      <c r="F1377" s="34"/>
      <c r="G1377" s="35"/>
      <c r="H1377" s="34"/>
      <c r="I1377" s="37"/>
    </row>
    <row r="1378" ht="22.5" customHeight="1">
      <c r="A1378" s="30"/>
      <c r="B1378" s="31"/>
      <c r="C1378" s="32"/>
      <c r="D1378" s="33"/>
      <c r="E1378" s="34"/>
      <c r="F1378" s="34"/>
      <c r="G1378" s="35"/>
      <c r="H1378" s="34"/>
      <c r="I1378" s="37"/>
    </row>
    <row r="1379" ht="22.5" customHeight="1">
      <c r="A1379" s="30"/>
      <c r="B1379" s="31"/>
      <c r="C1379" s="32"/>
      <c r="D1379" s="33"/>
      <c r="E1379" s="34"/>
      <c r="F1379" s="34"/>
      <c r="G1379" s="35"/>
      <c r="H1379" s="34"/>
      <c r="I1379" s="37"/>
    </row>
    <row r="1380" ht="22.5" customHeight="1">
      <c r="A1380" s="30"/>
      <c r="B1380" s="31"/>
      <c r="C1380" s="32"/>
      <c r="D1380" s="33"/>
      <c r="E1380" s="34"/>
      <c r="F1380" s="34"/>
      <c r="G1380" s="35"/>
      <c r="H1380" s="34"/>
      <c r="I1380" s="37"/>
    </row>
    <row r="1381" ht="22.5" customHeight="1">
      <c r="A1381" s="30"/>
      <c r="B1381" s="31"/>
      <c r="C1381" s="32"/>
      <c r="D1381" s="33"/>
      <c r="E1381" s="34"/>
      <c r="F1381" s="34"/>
      <c r="G1381" s="35"/>
      <c r="H1381" s="34"/>
      <c r="I1381" s="37"/>
    </row>
    <row r="1382" ht="22.5" customHeight="1">
      <c r="A1382" s="30"/>
      <c r="B1382" s="31"/>
      <c r="C1382" s="32"/>
      <c r="D1382" s="33"/>
      <c r="E1382" s="34"/>
      <c r="F1382" s="34"/>
      <c r="G1382" s="35"/>
      <c r="H1382" s="34"/>
      <c r="I1382" s="37"/>
    </row>
    <row r="1383" ht="22.5" customHeight="1">
      <c r="A1383" s="30"/>
      <c r="B1383" s="39"/>
      <c r="C1383" s="32"/>
      <c r="D1383" s="33"/>
      <c r="E1383" s="34"/>
      <c r="F1383" s="34"/>
      <c r="G1383" s="35"/>
      <c r="H1383" s="34"/>
      <c r="I1383" s="37"/>
    </row>
    <row r="1384" ht="22.5" customHeight="1">
      <c r="A1384" s="30"/>
      <c r="B1384" s="39"/>
      <c r="C1384" s="32"/>
      <c r="D1384" s="33"/>
      <c r="E1384" s="34"/>
      <c r="F1384" s="34"/>
      <c r="G1384" s="35"/>
      <c r="H1384" s="34"/>
      <c r="I1384" s="37"/>
    </row>
    <row r="1385" ht="22.5" customHeight="1">
      <c r="A1385" s="30"/>
      <c r="B1385" s="39"/>
      <c r="C1385" s="32"/>
      <c r="D1385" s="33"/>
      <c r="E1385" s="34"/>
      <c r="F1385" s="34"/>
      <c r="G1385" s="35"/>
      <c r="H1385" s="34"/>
      <c r="I1385" s="37"/>
    </row>
    <row r="1386" ht="22.5" customHeight="1">
      <c r="A1386" s="30"/>
      <c r="B1386" s="40"/>
      <c r="C1386" s="32"/>
      <c r="D1386" s="33"/>
      <c r="E1386" s="34"/>
      <c r="F1386" s="34"/>
      <c r="G1386" s="35"/>
      <c r="H1386" s="34"/>
      <c r="I1386" s="37"/>
    </row>
    <row r="1387" ht="22.5" customHeight="1">
      <c r="A1387" s="30"/>
      <c r="B1387" s="31"/>
      <c r="C1387" s="32"/>
      <c r="D1387" s="33"/>
      <c r="E1387" s="34"/>
      <c r="F1387" s="34"/>
      <c r="G1387" s="35"/>
      <c r="H1387" s="34"/>
      <c r="I1387" s="37"/>
    </row>
    <row r="1388" ht="22.5" customHeight="1">
      <c r="A1388" s="30"/>
      <c r="B1388" s="31"/>
      <c r="C1388" s="32"/>
      <c r="D1388" s="33"/>
      <c r="E1388" s="34"/>
      <c r="F1388" s="34"/>
      <c r="G1388" s="35"/>
      <c r="H1388" s="34"/>
      <c r="I1388" s="37"/>
    </row>
    <row r="1389" ht="22.5" customHeight="1">
      <c r="A1389" s="30"/>
      <c r="B1389" s="31"/>
      <c r="C1389" s="32"/>
      <c r="D1389" s="33"/>
      <c r="E1389" s="34"/>
      <c r="F1389" s="34"/>
      <c r="G1389" s="35"/>
      <c r="H1389" s="34"/>
      <c r="I1389" s="37"/>
    </row>
    <row r="1390" ht="22.5" customHeight="1">
      <c r="A1390" s="30"/>
      <c r="B1390" s="31"/>
      <c r="C1390" s="32"/>
      <c r="D1390" s="33"/>
      <c r="E1390" s="34"/>
      <c r="F1390" s="34"/>
      <c r="G1390" s="35"/>
      <c r="H1390" s="34"/>
      <c r="I1390" s="37"/>
    </row>
    <row r="1391" ht="22.5" customHeight="1">
      <c r="A1391" s="30"/>
      <c r="B1391" s="31"/>
      <c r="C1391" s="32"/>
      <c r="D1391" s="33"/>
      <c r="E1391" s="34"/>
      <c r="F1391" s="34"/>
      <c r="G1391" s="35"/>
      <c r="H1391" s="34"/>
      <c r="I1391" s="37"/>
    </row>
    <row r="1392" ht="22.5" customHeight="1">
      <c r="A1392" s="30"/>
      <c r="B1392" s="31"/>
      <c r="C1392" s="32"/>
      <c r="D1392" s="33"/>
      <c r="E1392" s="34"/>
      <c r="F1392" s="34"/>
      <c r="G1392" s="35"/>
      <c r="H1392" s="34"/>
      <c r="I1392" s="37"/>
    </row>
    <row r="1393" ht="22.5" customHeight="1">
      <c r="A1393" s="30"/>
      <c r="B1393" s="31"/>
      <c r="C1393" s="32"/>
      <c r="D1393" s="33"/>
      <c r="E1393" s="34"/>
      <c r="F1393" s="34"/>
      <c r="G1393" s="35"/>
      <c r="H1393" s="34"/>
      <c r="I1393" s="37"/>
    </row>
    <row r="1394" ht="22.5" customHeight="1">
      <c r="A1394" s="30"/>
      <c r="B1394" s="31"/>
      <c r="C1394" s="32"/>
      <c r="D1394" s="33"/>
      <c r="E1394" s="34"/>
      <c r="F1394" s="34"/>
      <c r="G1394" s="35"/>
      <c r="H1394" s="34"/>
      <c r="I1394" s="37"/>
    </row>
    <row r="1395" ht="22.5" customHeight="1">
      <c r="A1395" s="30"/>
      <c r="B1395" s="31"/>
      <c r="C1395" s="32"/>
      <c r="D1395" s="33"/>
      <c r="E1395" s="34"/>
      <c r="F1395" s="34"/>
      <c r="G1395" s="35"/>
      <c r="H1395" s="34"/>
      <c r="I1395" s="37"/>
    </row>
    <row r="1396" ht="22.5" customHeight="1">
      <c r="A1396" s="30"/>
      <c r="B1396" s="40"/>
      <c r="C1396" s="32"/>
      <c r="D1396" s="33"/>
      <c r="E1396" s="34"/>
      <c r="F1396" s="34"/>
      <c r="G1396" s="35"/>
      <c r="H1396" s="34"/>
      <c r="I1396" s="37"/>
    </row>
    <row r="1397" ht="22.5" customHeight="1">
      <c r="A1397" s="30"/>
      <c r="B1397" s="31"/>
      <c r="C1397" s="32"/>
      <c r="D1397" s="33"/>
      <c r="E1397" s="34"/>
      <c r="F1397" s="34"/>
      <c r="G1397" s="35"/>
      <c r="H1397" s="34"/>
      <c r="I1397" s="37"/>
    </row>
    <row r="1398" ht="22.5" customHeight="1">
      <c r="A1398" s="30"/>
      <c r="B1398" s="31"/>
      <c r="C1398" s="32"/>
      <c r="D1398" s="33"/>
      <c r="E1398" s="34"/>
      <c r="F1398" s="34"/>
      <c r="G1398" s="35"/>
      <c r="H1398" s="34"/>
      <c r="I1398" s="37"/>
    </row>
    <row r="1399" ht="22.5" customHeight="1">
      <c r="A1399" s="30"/>
      <c r="B1399" s="31"/>
      <c r="C1399" s="32"/>
      <c r="D1399" s="33"/>
      <c r="E1399" s="34"/>
      <c r="F1399" s="34"/>
      <c r="G1399" s="35"/>
      <c r="H1399" s="34"/>
      <c r="I1399" s="37"/>
    </row>
    <row r="1400" ht="22.5" customHeight="1">
      <c r="A1400" s="30"/>
      <c r="B1400" s="40"/>
      <c r="C1400" s="32"/>
      <c r="D1400" s="33"/>
      <c r="E1400" s="34"/>
      <c r="F1400" s="34"/>
      <c r="G1400" s="35"/>
      <c r="H1400" s="34"/>
      <c r="I1400" s="37"/>
    </row>
    <row r="1401" ht="22.5" customHeight="1">
      <c r="A1401" s="30"/>
      <c r="B1401" s="31"/>
      <c r="C1401" s="32"/>
      <c r="D1401" s="33"/>
      <c r="E1401" s="34"/>
      <c r="F1401" s="34"/>
      <c r="G1401" s="35"/>
      <c r="H1401" s="34"/>
      <c r="I1401" s="37"/>
    </row>
    <row r="1402" ht="22.5" customHeight="1">
      <c r="A1402" s="30"/>
      <c r="B1402" s="31"/>
      <c r="C1402" s="32"/>
      <c r="D1402" s="33"/>
      <c r="E1402" s="34"/>
      <c r="F1402" s="34"/>
      <c r="G1402" s="35"/>
      <c r="H1402" s="34"/>
      <c r="I1402" s="37"/>
    </row>
    <row r="1403" ht="22.5" customHeight="1">
      <c r="A1403" s="30"/>
      <c r="B1403" s="31"/>
      <c r="C1403" s="32"/>
      <c r="D1403" s="33"/>
      <c r="E1403" s="34"/>
      <c r="F1403" s="34"/>
      <c r="G1403" s="35"/>
      <c r="H1403" s="34"/>
      <c r="I1403" s="37"/>
    </row>
    <row r="1404" ht="22.5" customHeight="1">
      <c r="A1404" s="30"/>
      <c r="B1404" s="31"/>
      <c r="C1404" s="32"/>
      <c r="D1404" s="33"/>
      <c r="E1404" s="34"/>
      <c r="F1404" s="34"/>
      <c r="G1404" s="35"/>
      <c r="H1404" s="34"/>
      <c r="I1404" s="37"/>
    </row>
    <row r="1405" ht="22.5" customHeight="1">
      <c r="A1405" s="30"/>
      <c r="B1405" s="31"/>
      <c r="C1405" s="32"/>
      <c r="D1405" s="33"/>
      <c r="E1405" s="34"/>
      <c r="F1405" s="34"/>
      <c r="G1405" s="35"/>
      <c r="H1405" s="34"/>
      <c r="I1405" s="37"/>
    </row>
    <row r="1406" ht="22.5" customHeight="1">
      <c r="A1406" s="30"/>
      <c r="B1406" s="31"/>
      <c r="C1406" s="32"/>
      <c r="D1406" s="33"/>
      <c r="E1406" s="34"/>
      <c r="F1406" s="34"/>
      <c r="G1406" s="35"/>
      <c r="H1406" s="34"/>
      <c r="I1406" s="37"/>
    </row>
    <row r="1407" ht="22.5" customHeight="1">
      <c r="A1407" s="30"/>
      <c r="B1407" s="31"/>
      <c r="C1407" s="32"/>
      <c r="D1407" s="33"/>
      <c r="E1407" s="34"/>
      <c r="F1407" s="34"/>
      <c r="G1407" s="35"/>
      <c r="H1407" s="34"/>
      <c r="I1407" s="37"/>
    </row>
    <row r="1408" ht="22.5" customHeight="1">
      <c r="A1408" s="30"/>
      <c r="B1408" s="31"/>
      <c r="C1408" s="32"/>
      <c r="D1408" s="33"/>
      <c r="E1408" s="34"/>
      <c r="F1408" s="34"/>
      <c r="G1408" s="35"/>
      <c r="H1408" s="34"/>
      <c r="I1408" s="37"/>
    </row>
    <row r="1409" ht="22.5" customHeight="1">
      <c r="A1409" s="30"/>
      <c r="B1409" s="31"/>
      <c r="C1409" s="32"/>
      <c r="D1409" s="33"/>
      <c r="E1409" s="34"/>
      <c r="F1409" s="34"/>
      <c r="G1409" s="35"/>
      <c r="H1409" s="34"/>
      <c r="I1409" s="37"/>
    </row>
    <row r="1410" ht="22.5" customHeight="1">
      <c r="A1410" s="30"/>
      <c r="B1410" s="31"/>
      <c r="C1410" s="32"/>
      <c r="D1410" s="33"/>
      <c r="E1410" s="34"/>
      <c r="F1410" s="34"/>
      <c r="G1410" s="35"/>
      <c r="H1410" s="34"/>
      <c r="I1410" s="37"/>
    </row>
    <row r="1411" ht="22.5" customHeight="1">
      <c r="A1411" s="30"/>
      <c r="B1411" s="31"/>
      <c r="C1411" s="32"/>
      <c r="D1411" s="33"/>
      <c r="E1411" s="34"/>
      <c r="F1411" s="34"/>
      <c r="G1411" s="35"/>
      <c r="H1411" s="34"/>
      <c r="I1411" s="37"/>
    </row>
    <row r="1412" ht="22.5" customHeight="1">
      <c r="A1412" s="30"/>
      <c r="B1412" s="31"/>
      <c r="C1412" s="32"/>
      <c r="D1412" s="33"/>
      <c r="E1412" s="34"/>
      <c r="F1412" s="34"/>
      <c r="G1412" s="35"/>
      <c r="H1412" s="34"/>
      <c r="I1412" s="37"/>
    </row>
    <row r="1413" ht="22.5" customHeight="1">
      <c r="A1413" s="30"/>
      <c r="B1413" s="31"/>
      <c r="C1413" s="32"/>
      <c r="D1413" s="33"/>
      <c r="E1413" s="34"/>
      <c r="F1413" s="34"/>
      <c r="G1413" s="35"/>
      <c r="H1413" s="34"/>
      <c r="I1413" s="37"/>
    </row>
    <row r="1414" ht="22.5" customHeight="1">
      <c r="A1414" s="30"/>
      <c r="B1414" s="31"/>
      <c r="C1414" s="32"/>
      <c r="D1414" s="33"/>
      <c r="E1414" s="34"/>
      <c r="F1414" s="34"/>
      <c r="G1414" s="35"/>
      <c r="H1414" s="34"/>
      <c r="I1414" s="37"/>
    </row>
    <row r="1415" ht="22.5" customHeight="1">
      <c r="A1415" s="30"/>
      <c r="B1415" s="40"/>
      <c r="C1415" s="32"/>
      <c r="D1415" s="33"/>
      <c r="E1415" s="34"/>
      <c r="F1415" s="34"/>
      <c r="G1415" s="35"/>
      <c r="H1415" s="34"/>
      <c r="I1415" s="37"/>
    </row>
    <row r="1416" ht="22.5" customHeight="1">
      <c r="A1416" s="30"/>
      <c r="B1416" s="31"/>
      <c r="C1416" s="32"/>
      <c r="D1416" s="33"/>
      <c r="E1416" s="34"/>
      <c r="F1416" s="34"/>
      <c r="G1416" s="35"/>
      <c r="H1416" s="34"/>
      <c r="I1416" s="37"/>
    </row>
    <row r="1417" ht="22.5" customHeight="1">
      <c r="A1417" s="30"/>
      <c r="B1417" s="40"/>
      <c r="C1417" s="32"/>
      <c r="D1417" s="33"/>
      <c r="E1417" s="34"/>
      <c r="F1417" s="34"/>
      <c r="G1417" s="35"/>
      <c r="H1417" s="34"/>
      <c r="I1417" s="37"/>
    </row>
    <row r="1418" ht="22.5" customHeight="1">
      <c r="A1418" s="30"/>
      <c r="B1418" s="31"/>
      <c r="C1418" s="32"/>
      <c r="D1418" s="33"/>
      <c r="E1418" s="34"/>
      <c r="F1418" s="34"/>
      <c r="G1418" s="35"/>
      <c r="H1418" s="34"/>
      <c r="I1418" s="37"/>
    </row>
    <row r="1419" ht="22.5" customHeight="1">
      <c r="A1419" s="30"/>
      <c r="B1419" s="31"/>
      <c r="C1419" s="32"/>
      <c r="D1419" s="33"/>
      <c r="E1419" s="34"/>
      <c r="F1419" s="34"/>
      <c r="G1419" s="35"/>
      <c r="H1419" s="34"/>
      <c r="I1419" s="37"/>
    </row>
    <row r="1420" ht="22.5" customHeight="1">
      <c r="A1420" s="30"/>
      <c r="B1420" s="31"/>
      <c r="C1420" s="32"/>
      <c r="D1420" s="33"/>
      <c r="E1420" s="34"/>
      <c r="F1420" s="34"/>
      <c r="G1420" s="35"/>
      <c r="H1420" s="34"/>
      <c r="I1420" s="37"/>
    </row>
    <row r="1421" ht="22.5" customHeight="1">
      <c r="A1421" s="30"/>
      <c r="B1421" s="31"/>
      <c r="C1421" s="32"/>
      <c r="D1421" s="33"/>
      <c r="E1421" s="34"/>
      <c r="F1421" s="34"/>
      <c r="G1421" s="35"/>
      <c r="H1421" s="34"/>
      <c r="I1421" s="37"/>
    </row>
    <row r="1422" ht="22.5" customHeight="1">
      <c r="A1422" s="30"/>
      <c r="B1422" s="40"/>
      <c r="C1422" s="32"/>
      <c r="D1422" s="33"/>
      <c r="E1422" s="34"/>
      <c r="F1422" s="34"/>
      <c r="G1422" s="35"/>
      <c r="H1422" s="34"/>
      <c r="I1422" s="37"/>
    </row>
    <row r="1423" ht="22.5" customHeight="1">
      <c r="A1423" s="30"/>
      <c r="B1423" s="31"/>
      <c r="C1423" s="32"/>
      <c r="D1423" s="33"/>
      <c r="E1423" s="34"/>
      <c r="F1423" s="34"/>
      <c r="G1423" s="35"/>
      <c r="H1423" s="34"/>
      <c r="I1423" s="37"/>
    </row>
    <row r="1424" ht="22.5" customHeight="1">
      <c r="A1424" s="30"/>
      <c r="B1424" s="31"/>
      <c r="C1424" s="32"/>
      <c r="D1424" s="33"/>
      <c r="E1424" s="34"/>
      <c r="F1424" s="34"/>
      <c r="G1424" s="35"/>
      <c r="H1424" s="34"/>
      <c r="I1424" s="37"/>
    </row>
    <row r="1425" ht="22.5" customHeight="1">
      <c r="A1425" s="30"/>
      <c r="B1425" s="31"/>
      <c r="C1425" s="32"/>
      <c r="D1425" s="33"/>
      <c r="E1425" s="34"/>
      <c r="F1425" s="34"/>
      <c r="G1425" s="35"/>
      <c r="H1425" s="34"/>
      <c r="I1425" s="37"/>
    </row>
    <row r="1426" ht="22.5" customHeight="1">
      <c r="A1426" s="30"/>
      <c r="B1426" s="31"/>
      <c r="C1426" s="32"/>
      <c r="D1426" s="33"/>
      <c r="E1426" s="34"/>
      <c r="F1426" s="34"/>
      <c r="G1426" s="35"/>
      <c r="H1426" s="34"/>
      <c r="I1426" s="37"/>
    </row>
    <row r="1427" ht="22.5" customHeight="1">
      <c r="A1427" s="30"/>
      <c r="B1427" s="31"/>
      <c r="C1427" s="32"/>
      <c r="D1427" s="33"/>
      <c r="E1427" s="34"/>
      <c r="F1427" s="34"/>
      <c r="G1427" s="35"/>
      <c r="H1427" s="34"/>
      <c r="I1427" s="37"/>
    </row>
    <row r="1428" ht="22.5" customHeight="1">
      <c r="A1428" s="30"/>
      <c r="B1428" s="31"/>
      <c r="C1428" s="32"/>
      <c r="D1428" s="33"/>
      <c r="E1428" s="34"/>
      <c r="F1428" s="34"/>
      <c r="G1428" s="35"/>
      <c r="H1428" s="34"/>
      <c r="I1428" s="37"/>
    </row>
    <row r="1429" ht="22.5" customHeight="1">
      <c r="A1429" s="30"/>
      <c r="B1429" s="31"/>
      <c r="C1429" s="32"/>
      <c r="D1429" s="33"/>
      <c r="E1429" s="34"/>
      <c r="F1429" s="34"/>
      <c r="G1429" s="35"/>
      <c r="H1429" s="34"/>
      <c r="I1429" s="37"/>
    </row>
    <row r="1430" ht="22.5" customHeight="1">
      <c r="A1430" s="30"/>
      <c r="B1430" s="31"/>
      <c r="C1430" s="32"/>
      <c r="D1430" s="33"/>
      <c r="E1430" s="34"/>
      <c r="F1430" s="34"/>
      <c r="G1430" s="35"/>
      <c r="H1430" s="34"/>
      <c r="I1430" s="37"/>
    </row>
    <row r="1431" ht="22.5" customHeight="1">
      <c r="A1431" s="30"/>
      <c r="B1431" s="31"/>
      <c r="C1431" s="32"/>
      <c r="D1431" s="33"/>
      <c r="E1431" s="34"/>
      <c r="F1431" s="34"/>
      <c r="G1431" s="35"/>
      <c r="H1431" s="34"/>
      <c r="I1431" s="37"/>
    </row>
    <row r="1432" ht="22.5" customHeight="1">
      <c r="A1432" s="30"/>
      <c r="B1432" s="31"/>
      <c r="C1432" s="32"/>
      <c r="D1432" s="33"/>
      <c r="E1432" s="34"/>
      <c r="F1432" s="34"/>
      <c r="G1432" s="35"/>
      <c r="H1432" s="34"/>
      <c r="I1432" s="37"/>
    </row>
    <row r="1433" ht="22.5" customHeight="1">
      <c r="A1433" s="30"/>
      <c r="B1433" s="31"/>
      <c r="C1433" s="32"/>
      <c r="D1433" s="33"/>
      <c r="E1433" s="34"/>
      <c r="F1433" s="34"/>
      <c r="G1433" s="35"/>
      <c r="H1433" s="34"/>
      <c r="I1433" s="37"/>
    </row>
    <row r="1434" ht="22.5" customHeight="1">
      <c r="A1434" s="30"/>
      <c r="B1434" s="31"/>
      <c r="C1434" s="32"/>
      <c r="D1434" s="33"/>
      <c r="E1434" s="34"/>
      <c r="F1434" s="34"/>
      <c r="G1434" s="35"/>
      <c r="H1434" s="34"/>
      <c r="I1434" s="37"/>
    </row>
    <row r="1435" ht="22.5" customHeight="1">
      <c r="A1435" s="30"/>
      <c r="B1435" s="31"/>
      <c r="C1435" s="32"/>
      <c r="D1435" s="33"/>
      <c r="E1435" s="34"/>
      <c r="F1435" s="34"/>
      <c r="G1435" s="35"/>
      <c r="H1435" s="34"/>
      <c r="I1435" s="37"/>
    </row>
    <row r="1436" ht="22.5" customHeight="1">
      <c r="A1436" s="30"/>
      <c r="B1436" s="31"/>
      <c r="C1436" s="32"/>
      <c r="D1436" s="33"/>
      <c r="E1436" s="34"/>
      <c r="F1436" s="34"/>
      <c r="G1436" s="35"/>
      <c r="H1436" s="34"/>
      <c r="I1436" s="37"/>
    </row>
    <row r="1437" ht="22.5" customHeight="1">
      <c r="A1437" s="30"/>
      <c r="B1437" s="31"/>
      <c r="C1437" s="32"/>
      <c r="D1437" s="33"/>
      <c r="E1437" s="34"/>
      <c r="F1437" s="34"/>
      <c r="G1437" s="35"/>
      <c r="H1437" s="34"/>
      <c r="I1437" s="37"/>
    </row>
    <row r="1438" ht="22.5" customHeight="1">
      <c r="A1438" s="30"/>
      <c r="B1438" s="31"/>
      <c r="C1438" s="32"/>
      <c r="D1438" s="33"/>
      <c r="E1438" s="34"/>
      <c r="F1438" s="34"/>
      <c r="G1438" s="35"/>
      <c r="H1438" s="34"/>
      <c r="I1438" s="37"/>
    </row>
    <row r="1439" ht="22.5" customHeight="1">
      <c r="A1439" s="30"/>
      <c r="B1439" s="31"/>
      <c r="C1439" s="32"/>
      <c r="D1439" s="33"/>
      <c r="E1439" s="34"/>
      <c r="F1439" s="34"/>
      <c r="G1439" s="35"/>
      <c r="H1439" s="34"/>
      <c r="I1439" s="37"/>
    </row>
    <row r="1440" ht="22.5" customHeight="1">
      <c r="A1440" s="30"/>
      <c r="B1440" s="31"/>
      <c r="C1440" s="32"/>
      <c r="D1440" s="33"/>
      <c r="E1440" s="34"/>
      <c r="F1440" s="34"/>
      <c r="G1440" s="35"/>
      <c r="H1440" s="34"/>
      <c r="I1440" s="37"/>
    </row>
    <row r="1441" ht="22.5" customHeight="1">
      <c r="A1441" s="30"/>
      <c r="B1441" s="31"/>
      <c r="C1441" s="32"/>
      <c r="D1441" s="33"/>
      <c r="E1441" s="34"/>
      <c r="F1441" s="34"/>
      <c r="G1441" s="35"/>
      <c r="H1441" s="34"/>
      <c r="I1441" s="37"/>
    </row>
    <row r="1442" ht="22.5" customHeight="1">
      <c r="A1442" s="30"/>
      <c r="B1442" s="31"/>
      <c r="C1442" s="32"/>
      <c r="D1442" s="33"/>
      <c r="E1442" s="34"/>
      <c r="F1442" s="34"/>
      <c r="G1442" s="35"/>
      <c r="H1442" s="34"/>
      <c r="I1442" s="37"/>
    </row>
    <row r="1443" ht="22.5" customHeight="1">
      <c r="A1443" s="30"/>
      <c r="B1443" s="31"/>
      <c r="C1443" s="32"/>
      <c r="D1443" s="33"/>
      <c r="E1443" s="34"/>
      <c r="F1443" s="34"/>
      <c r="G1443" s="35"/>
      <c r="H1443" s="34"/>
      <c r="I1443" s="37"/>
    </row>
    <row r="1444" ht="22.5" customHeight="1">
      <c r="A1444" s="30"/>
      <c r="B1444" s="40"/>
      <c r="C1444" s="32"/>
      <c r="D1444" s="33"/>
      <c r="E1444" s="34"/>
      <c r="F1444" s="34"/>
      <c r="G1444" s="35"/>
      <c r="H1444" s="34"/>
      <c r="I1444" s="37"/>
    </row>
    <row r="1445" ht="22.5" customHeight="1">
      <c r="A1445" s="30"/>
      <c r="B1445" s="31"/>
      <c r="C1445" s="32"/>
      <c r="D1445" s="33"/>
      <c r="E1445" s="34"/>
      <c r="F1445" s="34"/>
      <c r="G1445" s="35"/>
      <c r="H1445" s="34"/>
      <c r="I1445" s="37"/>
    </row>
    <row r="1446" ht="22.5" customHeight="1">
      <c r="A1446" s="30"/>
      <c r="B1446" s="31"/>
      <c r="C1446" s="32"/>
      <c r="D1446" s="33"/>
      <c r="E1446" s="34"/>
      <c r="F1446" s="34"/>
      <c r="G1446" s="35"/>
      <c r="H1446" s="34"/>
      <c r="I1446" s="37"/>
    </row>
    <row r="1447" ht="22.5" customHeight="1">
      <c r="A1447" s="30"/>
      <c r="B1447" s="31"/>
      <c r="C1447" s="32"/>
      <c r="D1447" s="33"/>
      <c r="E1447" s="34"/>
      <c r="F1447" s="34"/>
      <c r="G1447" s="35"/>
      <c r="H1447" s="34"/>
      <c r="I1447" s="37"/>
    </row>
    <row r="1448" ht="22.5" customHeight="1">
      <c r="A1448" s="30"/>
      <c r="B1448" s="31"/>
      <c r="C1448" s="32"/>
      <c r="D1448" s="33"/>
      <c r="E1448" s="34"/>
      <c r="F1448" s="34"/>
      <c r="G1448" s="35"/>
      <c r="H1448" s="34"/>
      <c r="I1448" s="38"/>
    </row>
    <row r="1449" ht="22.5" customHeight="1">
      <c r="A1449" s="30"/>
      <c r="B1449" s="39"/>
      <c r="C1449" s="32"/>
      <c r="D1449" s="33"/>
      <c r="E1449" s="34"/>
      <c r="F1449" s="34"/>
      <c r="G1449" s="35"/>
      <c r="H1449" s="34"/>
      <c r="I1449" s="37"/>
    </row>
    <row r="1450" ht="22.5" customHeight="1">
      <c r="A1450" s="30"/>
      <c r="B1450" s="31"/>
      <c r="C1450" s="32"/>
      <c r="D1450" s="33"/>
      <c r="E1450" s="34"/>
      <c r="F1450" s="34"/>
      <c r="G1450" s="35"/>
      <c r="H1450" s="34"/>
      <c r="I1450" s="37"/>
    </row>
    <row r="1451" ht="22.5" customHeight="1">
      <c r="A1451" s="30"/>
      <c r="B1451" s="31"/>
      <c r="C1451" s="32"/>
      <c r="D1451" s="33"/>
      <c r="E1451" s="34"/>
      <c r="F1451" s="34"/>
      <c r="G1451" s="35"/>
      <c r="H1451" s="34"/>
      <c r="I1451" s="37"/>
    </row>
    <row r="1452" ht="22.5" customHeight="1">
      <c r="A1452" s="30"/>
      <c r="B1452" s="31"/>
      <c r="C1452" s="32"/>
      <c r="D1452" s="33"/>
      <c r="E1452" s="34"/>
      <c r="F1452" s="34"/>
      <c r="G1452" s="35"/>
      <c r="H1452" s="34"/>
      <c r="I1452" s="37"/>
    </row>
    <row r="1453" ht="22.5" customHeight="1">
      <c r="A1453" s="30"/>
      <c r="B1453" s="39"/>
      <c r="C1453" s="32"/>
      <c r="D1453" s="33"/>
      <c r="E1453" s="34"/>
      <c r="F1453" s="34"/>
      <c r="G1453" s="35"/>
      <c r="H1453" s="34"/>
      <c r="I1453" s="37"/>
    </row>
    <row r="1454" ht="22.5" customHeight="1">
      <c r="A1454" s="30"/>
      <c r="B1454" s="31"/>
      <c r="C1454" s="32"/>
      <c r="D1454" s="33"/>
      <c r="E1454" s="34"/>
      <c r="F1454" s="34"/>
      <c r="G1454" s="35"/>
      <c r="H1454" s="34"/>
      <c r="I1454" s="37"/>
    </row>
    <row r="1455" ht="22.5" customHeight="1">
      <c r="A1455" s="30"/>
      <c r="B1455" s="39"/>
      <c r="C1455" s="32"/>
      <c r="D1455" s="33"/>
      <c r="E1455" s="34"/>
      <c r="F1455" s="34"/>
      <c r="G1455" s="35"/>
      <c r="H1455" s="34"/>
      <c r="I1455" s="37"/>
    </row>
    <row r="1456" ht="22.5" customHeight="1">
      <c r="A1456" s="30"/>
      <c r="B1456" s="31"/>
      <c r="C1456" s="32"/>
      <c r="D1456" s="33"/>
      <c r="E1456" s="34"/>
      <c r="F1456" s="34"/>
      <c r="G1456" s="35"/>
      <c r="H1456" s="34"/>
      <c r="I1456" s="37"/>
    </row>
    <row r="1457" ht="22.5" customHeight="1">
      <c r="A1457" s="30"/>
      <c r="B1457" s="31"/>
      <c r="C1457" s="32"/>
      <c r="D1457" s="33"/>
      <c r="E1457" s="34"/>
      <c r="F1457" s="34"/>
      <c r="G1457" s="35"/>
      <c r="H1457" s="34"/>
      <c r="I1457" s="37"/>
    </row>
    <row r="1458" ht="22.5" customHeight="1">
      <c r="A1458" s="30"/>
      <c r="B1458" s="31"/>
      <c r="C1458" s="32"/>
      <c r="D1458" s="33"/>
      <c r="E1458" s="34"/>
      <c r="F1458" s="34"/>
      <c r="G1458" s="35"/>
      <c r="H1458" s="34"/>
      <c r="I1458" s="37"/>
    </row>
    <row r="1459" ht="22.5" customHeight="1">
      <c r="A1459" s="30"/>
      <c r="B1459" s="31"/>
      <c r="C1459" s="32"/>
      <c r="D1459" s="33"/>
      <c r="E1459" s="34"/>
      <c r="F1459" s="34"/>
      <c r="G1459" s="35"/>
      <c r="H1459" s="34"/>
      <c r="I1459" s="37"/>
    </row>
    <row r="1460" ht="22.5" customHeight="1">
      <c r="A1460" s="30"/>
      <c r="B1460" s="31"/>
      <c r="C1460" s="32"/>
      <c r="D1460" s="33"/>
      <c r="E1460" s="34"/>
      <c r="F1460" s="34"/>
      <c r="G1460" s="35"/>
      <c r="H1460" s="34"/>
      <c r="I1460" s="37"/>
    </row>
    <row r="1461" ht="22.5" customHeight="1">
      <c r="A1461" s="30"/>
      <c r="B1461" s="31"/>
      <c r="C1461" s="32"/>
      <c r="D1461" s="33"/>
      <c r="E1461" s="34"/>
      <c r="F1461" s="34"/>
      <c r="G1461" s="35"/>
      <c r="H1461" s="34"/>
      <c r="I1461" s="37"/>
    </row>
    <row r="1462" ht="22.5" customHeight="1">
      <c r="A1462" s="30"/>
      <c r="B1462" s="31"/>
      <c r="C1462" s="32"/>
      <c r="D1462" s="33"/>
      <c r="E1462" s="34"/>
      <c r="F1462" s="34"/>
      <c r="G1462" s="35"/>
      <c r="H1462" s="34"/>
      <c r="I1462" s="37"/>
    </row>
    <row r="1463" ht="22.5" customHeight="1">
      <c r="A1463" s="30"/>
      <c r="B1463" s="31"/>
      <c r="C1463" s="32"/>
      <c r="D1463" s="33"/>
      <c r="E1463" s="34"/>
      <c r="F1463" s="34"/>
      <c r="G1463" s="35"/>
      <c r="H1463" s="34"/>
      <c r="I1463" s="37"/>
    </row>
    <row r="1464" ht="22.5" customHeight="1">
      <c r="A1464" s="30"/>
      <c r="B1464" s="31"/>
      <c r="C1464" s="32"/>
      <c r="D1464" s="33"/>
      <c r="E1464" s="34"/>
      <c r="F1464" s="34"/>
      <c r="G1464" s="35"/>
      <c r="H1464" s="34"/>
      <c r="I1464" s="37"/>
    </row>
    <row r="1465" ht="22.5" customHeight="1">
      <c r="A1465" s="30"/>
      <c r="B1465" s="31"/>
      <c r="C1465" s="32"/>
      <c r="D1465" s="33"/>
      <c r="E1465" s="34"/>
      <c r="F1465" s="34"/>
      <c r="G1465" s="35"/>
      <c r="H1465" s="34"/>
      <c r="I1465" s="37"/>
    </row>
    <row r="1466" ht="22.5" customHeight="1">
      <c r="A1466" s="30"/>
      <c r="B1466" s="40"/>
      <c r="C1466" s="32"/>
      <c r="D1466" s="33"/>
      <c r="E1466" s="34"/>
      <c r="F1466" s="34"/>
      <c r="G1466" s="35"/>
      <c r="H1466" s="34"/>
      <c r="I1466" s="37"/>
    </row>
    <row r="1467" ht="22.5" customHeight="1">
      <c r="A1467" s="30"/>
      <c r="B1467" s="31"/>
      <c r="C1467" s="32"/>
      <c r="D1467" s="33"/>
      <c r="E1467" s="34"/>
      <c r="F1467" s="34"/>
      <c r="G1467" s="35"/>
      <c r="H1467" s="34"/>
      <c r="I1467" s="37"/>
    </row>
    <row r="1468" ht="22.5" customHeight="1">
      <c r="A1468" s="30"/>
      <c r="B1468" s="31"/>
      <c r="C1468" s="32"/>
      <c r="D1468" s="33"/>
      <c r="E1468" s="34"/>
      <c r="F1468" s="34"/>
      <c r="G1468" s="35"/>
      <c r="H1468" s="34"/>
      <c r="I1468" s="37"/>
    </row>
    <row r="1469" ht="22.5" customHeight="1">
      <c r="A1469" s="30"/>
      <c r="B1469" s="31"/>
      <c r="C1469" s="32"/>
      <c r="D1469" s="33"/>
      <c r="E1469" s="34"/>
      <c r="F1469" s="34"/>
      <c r="G1469" s="35"/>
      <c r="H1469" s="34"/>
      <c r="I1469" s="37"/>
    </row>
    <row r="1470" ht="22.5" customHeight="1">
      <c r="A1470" s="30"/>
      <c r="B1470" s="31"/>
      <c r="C1470" s="32"/>
      <c r="D1470" s="33"/>
      <c r="E1470" s="34"/>
      <c r="F1470" s="34"/>
      <c r="G1470" s="35"/>
      <c r="H1470" s="34"/>
      <c r="I1470" s="37"/>
    </row>
    <row r="1471" ht="22.5" customHeight="1">
      <c r="A1471" s="30"/>
      <c r="B1471" s="31"/>
      <c r="C1471" s="32"/>
      <c r="D1471" s="33"/>
      <c r="E1471" s="34"/>
      <c r="F1471" s="34"/>
      <c r="G1471" s="35"/>
      <c r="H1471" s="34"/>
      <c r="I1471" s="37"/>
    </row>
    <row r="1472" ht="22.5" customHeight="1">
      <c r="A1472" s="30"/>
      <c r="B1472" s="31"/>
      <c r="C1472" s="32"/>
      <c r="D1472" s="33"/>
      <c r="E1472" s="34"/>
      <c r="F1472" s="34"/>
      <c r="G1472" s="35"/>
      <c r="H1472" s="34"/>
      <c r="I1472" s="37"/>
    </row>
    <row r="1473" ht="22.5" customHeight="1">
      <c r="A1473" s="30"/>
      <c r="B1473" s="39"/>
      <c r="C1473" s="32"/>
      <c r="D1473" s="33"/>
      <c r="E1473" s="34"/>
      <c r="F1473" s="34"/>
      <c r="G1473" s="35"/>
      <c r="H1473" s="34"/>
      <c r="I1473" s="37"/>
    </row>
    <row r="1474" ht="22.5" customHeight="1">
      <c r="A1474" s="30"/>
      <c r="B1474" s="39"/>
      <c r="C1474" s="32"/>
      <c r="D1474" s="33"/>
      <c r="E1474" s="34"/>
      <c r="F1474" s="34"/>
      <c r="G1474" s="35"/>
      <c r="H1474" s="34"/>
      <c r="I1474" s="37"/>
    </row>
    <row r="1475" ht="22.5" customHeight="1">
      <c r="A1475" s="30"/>
      <c r="B1475" s="39"/>
      <c r="C1475" s="32"/>
      <c r="D1475" s="33"/>
      <c r="E1475" s="34"/>
      <c r="F1475" s="34"/>
      <c r="G1475" s="35"/>
      <c r="H1475" s="34"/>
      <c r="I1475" s="37"/>
    </row>
    <row r="1476" ht="22.5" customHeight="1">
      <c r="A1476" s="30"/>
      <c r="B1476" s="40"/>
      <c r="C1476" s="32"/>
      <c r="D1476" s="33"/>
      <c r="E1476" s="34"/>
      <c r="F1476" s="34"/>
      <c r="G1476" s="35"/>
      <c r="H1476" s="34"/>
      <c r="I1476" s="37"/>
    </row>
    <row r="1477" ht="22.5" customHeight="1">
      <c r="A1477" s="30"/>
      <c r="B1477" s="31"/>
      <c r="C1477" s="32"/>
      <c r="D1477" s="33"/>
      <c r="E1477" s="34"/>
      <c r="F1477" s="34"/>
      <c r="G1477" s="35"/>
      <c r="H1477" s="34"/>
      <c r="I1477" s="37"/>
    </row>
    <row r="1478" ht="22.5" customHeight="1">
      <c r="A1478" s="30"/>
      <c r="B1478" s="31"/>
      <c r="C1478" s="32"/>
      <c r="D1478" s="33"/>
      <c r="E1478" s="34"/>
      <c r="F1478" s="34"/>
      <c r="G1478" s="35"/>
      <c r="H1478" s="34"/>
      <c r="I1478" s="37"/>
    </row>
    <row r="1479" ht="22.5" customHeight="1">
      <c r="A1479" s="30"/>
      <c r="B1479" s="31"/>
      <c r="C1479" s="32"/>
      <c r="D1479" s="33"/>
      <c r="E1479" s="34"/>
      <c r="F1479" s="34"/>
      <c r="G1479" s="35"/>
      <c r="H1479" s="34"/>
      <c r="I1479" s="37"/>
    </row>
    <row r="1480" ht="22.5" customHeight="1">
      <c r="A1480" s="30"/>
      <c r="B1480" s="31"/>
      <c r="C1480" s="32"/>
      <c r="D1480" s="33"/>
      <c r="E1480" s="34"/>
      <c r="F1480" s="34"/>
      <c r="G1480" s="35"/>
      <c r="H1480" s="34"/>
      <c r="I1480" s="37"/>
    </row>
    <row r="1481" ht="22.5" customHeight="1">
      <c r="A1481" s="30"/>
      <c r="B1481" s="31"/>
      <c r="C1481" s="32"/>
      <c r="D1481" s="33"/>
      <c r="E1481" s="34"/>
      <c r="F1481" s="34"/>
      <c r="G1481" s="35"/>
      <c r="H1481" s="34"/>
      <c r="I1481" s="37"/>
    </row>
    <row r="1482" ht="22.5" customHeight="1">
      <c r="A1482" s="30"/>
      <c r="B1482" s="31"/>
      <c r="C1482" s="32"/>
      <c r="D1482" s="33"/>
      <c r="E1482" s="34"/>
      <c r="F1482" s="34"/>
      <c r="G1482" s="35"/>
      <c r="H1482" s="34"/>
      <c r="I1482" s="37"/>
    </row>
    <row r="1483" ht="22.5" customHeight="1">
      <c r="A1483" s="30"/>
      <c r="B1483" s="31"/>
      <c r="C1483" s="32"/>
      <c r="D1483" s="33"/>
      <c r="E1483" s="34"/>
      <c r="F1483" s="34"/>
      <c r="G1483" s="35"/>
      <c r="H1483" s="34"/>
      <c r="I1483" s="37"/>
    </row>
    <row r="1484" ht="22.5" customHeight="1">
      <c r="A1484" s="30"/>
      <c r="B1484" s="31"/>
      <c r="C1484" s="32"/>
      <c r="D1484" s="33"/>
      <c r="E1484" s="34"/>
      <c r="F1484" s="34"/>
      <c r="G1484" s="35"/>
      <c r="H1484" s="34"/>
      <c r="I1484" s="37"/>
    </row>
    <row r="1485" ht="22.5" customHeight="1">
      <c r="A1485" s="30"/>
      <c r="B1485" s="31"/>
      <c r="C1485" s="32"/>
      <c r="D1485" s="33"/>
      <c r="E1485" s="34"/>
      <c r="F1485" s="34"/>
      <c r="G1485" s="35"/>
      <c r="H1485" s="34"/>
      <c r="I1485" s="37"/>
    </row>
    <row r="1486" ht="22.5" customHeight="1">
      <c r="A1486" s="30"/>
      <c r="B1486" s="40"/>
      <c r="C1486" s="32"/>
      <c r="D1486" s="33"/>
      <c r="E1486" s="34"/>
      <c r="F1486" s="34"/>
      <c r="G1486" s="35"/>
      <c r="H1486" s="34"/>
      <c r="I1486" s="37"/>
    </row>
    <row r="1487" ht="22.5" customHeight="1">
      <c r="A1487" s="30"/>
      <c r="B1487" s="31"/>
      <c r="C1487" s="32"/>
      <c r="D1487" s="33"/>
      <c r="E1487" s="34"/>
      <c r="F1487" s="34"/>
      <c r="G1487" s="35"/>
      <c r="H1487" s="34"/>
      <c r="I1487" s="37"/>
    </row>
    <row r="1488" ht="22.5" customHeight="1">
      <c r="A1488" s="30"/>
      <c r="B1488" s="31"/>
      <c r="C1488" s="32"/>
      <c r="D1488" s="33"/>
      <c r="E1488" s="34"/>
      <c r="F1488" s="34"/>
      <c r="G1488" s="35"/>
      <c r="H1488" s="34"/>
      <c r="I1488" s="37"/>
    </row>
    <row r="1489" ht="22.5" customHeight="1">
      <c r="A1489" s="30"/>
      <c r="B1489" s="31"/>
      <c r="C1489" s="32"/>
      <c r="D1489" s="33"/>
      <c r="E1489" s="34"/>
      <c r="F1489" s="34"/>
      <c r="G1489" s="35"/>
      <c r="H1489" s="34"/>
      <c r="I1489" s="37"/>
    </row>
    <row r="1490" ht="22.5" customHeight="1">
      <c r="A1490" s="30"/>
      <c r="B1490" s="40"/>
      <c r="C1490" s="32"/>
      <c r="D1490" s="33"/>
      <c r="E1490" s="34"/>
      <c r="F1490" s="34"/>
      <c r="G1490" s="35"/>
      <c r="H1490" s="34"/>
      <c r="I1490" s="37"/>
    </row>
    <row r="1491" ht="22.5" customHeight="1">
      <c r="A1491" s="30"/>
      <c r="B1491" s="31"/>
      <c r="C1491" s="32"/>
      <c r="D1491" s="33"/>
      <c r="E1491" s="34"/>
      <c r="F1491" s="34"/>
      <c r="G1491" s="35"/>
      <c r="H1491" s="34"/>
      <c r="I1491" s="37"/>
    </row>
    <row r="1492" ht="22.5" customHeight="1">
      <c r="A1492" s="30"/>
      <c r="B1492" s="31"/>
      <c r="C1492" s="32"/>
      <c r="D1492" s="33"/>
      <c r="E1492" s="34"/>
      <c r="F1492" s="34"/>
      <c r="G1492" s="35"/>
      <c r="H1492" s="34"/>
      <c r="I1492" s="37"/>
    </row>
    <row r="1493" ht="22.5" customHeight="1">
      <c r="A1493" s="30"/>
      <c r="B1493" s="31"/>
      <c r="C1493" s="32"/>
      <c r="D1493" s="33"/>
      <c r="E1493" s="34"/>
      <c r="F1493" s="34"/>
      <c r="G1493" s="35"/>
      <c r="H1493" s="34"/>
      <c r="I1493" s="37"/>
    </row>
    <row r="1494" ht="22.5" customHeight="1">
      <c r="A1494" s="30"/>
      <c r="B1494" s="31"/>
      <c r="C1494" s="32"/>
      <c r="D1494" s="33"/>
      <c r="E1494" s="34"/>
      <c r="F1494" s="34"/>
      <c r="G1494" s="35"/>
      <c r="H1494" s="34"/>
      <c r="I1494" s="37"/>
    </row>
    <row r="1495" ht="22.5" customHeight="1">
      <c r="A1495" s="30"/>
      <c r="B1495" s="31"/>
      <c r="C1495" s="32"/>
      <c r="D1495" s="33"/>
      <c r="E1495" s="34"/>
      <c r="F1495" s="34"/>
      <c r="G1495" s="35"/>
      <c r="H1495" s="34"/>
      <c r="I1495" s="37"/>
    </row>
    <row r="1496" ht="22.5" customHeight="1">
      <c r="A1496" s="30"/>
      <c r="B1496" s="31"/>
      <c r="C1496" s="32"/>
      <c r="D1496" s="33"/>
      <c r="E1496" s="34"/>
      <c r="F1496" s="34"/>
      <c r="G1496" s="35"/>
      <c r="H1496" s="34"/>
      <c r="I1496" s="37"/>
    </row>
    <row r="1497" ht="22.5" customHeight="1">
      <c r="A1497" s="30"/>
      <c r="B1497" s="31"/>
      <c r="C1497" s="32"/>
      <c r="D1497" s="33"/>
      <c r="E1497" s="34"/>
      <c r="F1497" s="34"/>
      <c r="G1497" s="35"/>
      <c r="H1497" s="34"/>
      <c r="I1497" s="37"/>
    </row>
    <row r="1498" ht="22.5" customHeight="1">
      <c r="A1498" s="30"/>
      <c r="B1498" s="31"/>
      <c r="C1498" s="32"/>
      <c r="D1498" s="33"/>
      <c r="E1498" s="34"/>
      <c r="F1498" s="34"/>
      <c r="G1498" s="35"/>
      <c r="H1498" s="34"/>
      <c r="I1498" s="37"/>
    </row>
    <row r="1499" ht="22.5" customHeight="1">
      <c r="A1499" s="30"/>
      <c r="B1499" s="31"/>
      <c r="C1499" s="32"/>
      <c r="D1499" s="33"/>
      <c r="E1499" s="34"/>
      <c r="F1499" s="34"/>
      <c r="G1499" s="35"/>
      <c r="H1499" s="34"/>
      <c r="I1499" s="37"/>
    </row>
    <row r="1500" ht="22.5" customHeight="1">
      <c r="A1500" s="30"/>
      <c r="B1500" s="31"/>
      <c r="C1500" s="32"/>
      <c r="D1500" s="33"/>
      <c r="E1500" s="34"/>
      <c r="F1500" s="34"/>
      <c r="G1500" s="35"/>
      <c r="H1500" s="34"/>
      <c r="I1500" s="37"/>
    </row>
    <row r="1501" ht="22.5" customHeight="1">
      <c r="A1501" s="30"/>
      <c r="B1501" s="31"/>
      <c r="C1501" s="32"/>
      <c r="D1501" s="33"/>
      <c r="E1501" s="34"/>
      <c r="F1501" s="34"/>
      <c r="G1501" s="35"/>
      <c r="H1501" s="34"/>
      <c r="I1501" s="37"/>
    </row>
    <row r="1502" ht="22.5" customHeight="1">
      <c r="A1502" s="30"/>
      <c r="B1502" s="31"/>
      <c r="C1502" s="32"/>
      <c r="D1502" s="33"/>
      <c r="E1502" s="34"/>
      <c r="F1502" s="34"/>
      <c r="G1502" s="35"/>
      <c r="H1502" s="34"/>
      <c r="I1502" s="37"/>
    </row>
    <row r="1503" ht="22.5" customHeight="1">
      <c r="A1503" s="30"/>
      <c r="B1503" s="31"/>
      <c r="C1503" s="32"/>
      <c r="D1503" s="33"/>
      <c r="E1503" s="34"/>
      <c r="F1503" s="34"/>
      <c r="G1503" s="35"/>
      <c r="H1503" s="34"/>
      <c r="I1503" s="37"/>
    </row>
    <row r="1504" ht="22.5" customHeight="1">
      <c r="A1504" s="30"/>
      <c r="B1504" s="31"/>
      <c r="C1504" s="32"/>
      <c r="D1504" s="33"/>
      <c r="E1504" s="34"/>
      <c r="F1504" s="34"/>
      <c r="G1504" s="35"/>
      <c r="H1504" s="34"/>
      <c r="I1504" s="37"/>
    </row>
    <row r="1505" ht="22.5" customHeight="1">
      <c r="A1505" s="30"/>
      <c r="B1505" s="40"/>
      <c r="C1505" s="32"/>
      <c r="D1505" s="33"/>
      <c r="E1505" s="34"/>
      <c r="F1505" s="34"/>
      <c r="G1505" s="35"/>
      <c r="H1505" s="34"/>
      <c r="I1505" s="37"/>
    </row>
    <row r="1506" ht="22.5" customHeight="1">
      <c r="A1506" s="30"/>
      <c r="B1506" s="31"/>
      <c r="C1506" s="32"/>
      <c r="D1506" s="33"/>
      <c r="E1506" s="34"/>
      <c r="F1506" s="34"/>
      <c r="G1506" s="35"/>
      <c r="H1506" s="34"/>
      <c r="I1506" s="37"/>
    </row>
    <row r="1507" ht="22.5" customHeight="1">
      <c r="A1507" s="30"/>
      <c r="B1507" s="40"/>
      <c r="C1507" s="32"/>
      <c r="D1507" s="33"/>
      <c r="E1507" s="34"/>
      <c r="F1507" s="34"/>
      <c r="G1507" s="35"/>
      <c r="H1507" s="34"/>
      <c r="I1507" s="37"/>
    </row>
    <row r="1508" ht="22.5" customHeight="1">
      <c r="A1508" s="30"/>
      <c r="B1508" s="31"/>
      <c r="C1508" s="32"/>
      <c r="D1508" s="33"/>
      <c r="E1508" s="34"/>
      <c r="F1508" s="34"/>
      <c r="G1508" s="35"/>
      <c r="H1508" s="34"/>
      <c r="I1508" s="37"/>
    </row>
    <row r="1509" ht="22.5" customHeight="1">
      <c r="A1509" s="30"/>
      <c r="B1509" s="31"/>
      <c r="C1509" s="32"/>
      <c r="D1509" s="33"/>
      <c r="E1509" s="34"/>
      <c r="F1509" s="34"/>
      <c r="G1509" s="35"/>
      <c r="H1509" s="34"/>
      <c r="I1509" s="37"/>
    </row>
    <row r="1510" ht="22.5" customHeight="1">
      <c r="A1510" s="30"/>
      <c r="B1510" s="31"/>
      <c r="C1510" s="32"/>
      <c r="D1510" s="33"/>
      <c r="E1510" s="34"/>
      <c r="F1510" s="34"/>
      <c r="G1510" s="35"/>
      <c r="H1510" s="34"/>
      <c r="I1510" s="37"/>
    </row>
    <row r="1511" ht="22.5" customHeight="1">
      <c r="A1511" s="30"/>
      <c r="B1511" s="31"/>
      <c r="C1511" s="32"/>
      <c r="D1511" s="33"/>
      <c r="E1511" s="34"/>
      <c r="F1511" s="34"/>
      <c r="G1511" s="35"/>
      <c r="H1511" s="34"/>
      <c r="I1511" s="37"/>
    </row>
    <row r="1512" ht="22.5" customHeight="1">
      <c r="A1512" s="30"/>
      <c r="B1512" s="40"/>
      <c r="C1512" s="32"/>
      <c r="D1512" s="33"/>
      <c r="E1512" s="34"/>
      <c r="F1512" s="34"/>
      <c r="G1512" s="35"/>
      <c r="H1512" s="34"/>
      <c r="I1512" s="37"/>
    </row>
    <row r="1513" ht="22.5" customHeight="1">
      <c r="A1513" s="30"/>
      <c r="B1513" s="31"/>
      <c r="C1513" s="32"/>
      <c r="D1513" s="33"/>
      <c r="E1513" s="34"/>
      <c r="F1513" s="34"/>
      <c r="G1513" s="35"/>
      <c r="H1513" s="34"/>
      <c r="I1513" s="37"/>
    </row>
    <row r="1514" ht="22.5" customHeight="1">
      <c r="A1514" s="30"/>
      <c r="B1514" s="31"/>
      <c r="C1514" s="32"/>
      <c r="D1514" s="33"/>
      <c r="E1514" s="34"/>
      <c r="F1514" s="34"/>
      <c r="G1514" s="35"/>
      <c r="H1514" s="34"/>
      <c r="I1514" s="37"/>
    </row>
    <row r="1515" ht="22.5" customHeight="1">
      <c r="A1515" s="30"/>
      <c r="B1515" s="31"/>
      <c r="C1515" s="32"/>
      <c r="D1515" s="33"/>
      <c r="E1515" s="34"/>
      <c r="F1515" s="34"/>
      <c r="G1515" s="35"/>
      <c r="H1515" s="34"/>
      <c r="I1515" s="37"/>
    </row>
    <row r="1516" ht="22.5" customHeight="1">
      <c r="A1516" s="30"/>
      <c r="B1516" s="31"/>
      <c r="C1516" s="32"/>
      <c r="D1516" s="33"/>
      <c r="E1516" s="34"/>
      <c r="F1516" s="34"/>
      <c r="G1516" s="35"/>
      <c r="H1516" s="34"/>
      <c r="I1516" s="37"/>
    </row>
    <row r="1517" ht="22.5" customHeight="1">
      <c r="A1517" s="30"/>
      <c r="B1517" s="31"/>
      <c r="C1517" s="32"/>
      <c r="D1517" s="33"/>
      <c r="E1517" s="34"/>
      <c r="F1517" s="34"/>
      <c r="G1517" s="35"/>
      <c r="H1517" s="34"/>
      <c r="I1517" s="37"/>
    </row>
    <row r="1518" ht="22.5" customHeight="1">
      <c r="A1518" s="30"/>
      <c r="B1518" s="31"/>
      <c r="C1518" s="32"/>
      <c r="D1518" s="33"/>
      <c r="E1518" s="34"/>
      <c r="F1518" s="34"/>
      <c r="G1518" s="35"/>
      <c r="H1518" s="34"/>
      <c r="I1518" s="37"/>
    </row>
    <row r="1519" ht="22.5" customHeight="1">
      <c r="A1519" s="30"/>
      <c r="B1519" s="31"/>
      <c r="C1519" s="32"/>
      <c r="D1519" s="33"/>
      <c r="E1519" s="34"/>
      <c r="F1519" s="34"/>
      <c r="G1519" s="35"/>
      <c r="H1519" s="34"/>
      <c r="I1519" s="37"/>
    </row>
    <row r="1520" ht="22.5" customHeight="1">
      <c r="A1520" s="30"/>
      <c r="B1520" s="31"/>
      <c r="C1520" s="32"/>
      <c r="D1520" s="33"/>
      <c r="E1520" s="34"/>
      <c r="F1520" s="34"/>
      <c r="G1520" s="35"/>
      <c r="H1520" s="34"/>
      <c r="I1520" s="37"/>
    </row>
    <row r="1521" ht="22.5" customHeight="1">
      <c r="A1521" s="30"/>
      <c r="B1521" s="31"/>
      <c r="C1521" s="32"/>
      <c r="D1521" s="33"/>
      <c r="E1521" s="34"/>
      <c r="F1521" s="34"/>
      <c r="G1521" s="35"/>
      <c r="H1521" s="34"/>
      <c r="I1521" s="37"/>
    </row>
    <row r="1522" ht="22.5" customHeight="1">
      <c r="A1522" s="30"/>
      <c r="B1522" s="31"/>
      <c r="C1522" s="32"/>
      <c r="D1522" s="33"/>
      <c r="E1522" s="34"/>
      <c r="F1522" s="34"/>
      <c r="G1522" s="35"/>
      <c r="H1522" s="34"/>
      <c r="I1522" s="37"/>
    </row>
    <row r="1523" ht="22.5" customHeight="1">
      <c r="A1523" s="30"/>
      <c r="B1523" s="31"/>
      <c r="C1523" s="32"/>
      <c r="D1523" s="33"/>
      <c r="E1523" s="34"/>
      <c r="F1523" s="34"/>
      <c r="G1523" s="35"/>
      <c r="H1523" s="34"/>
      <c r="I1523" s="37"/>
    </row>
    <row r="1524" ht="22.5" customHeight="1">
      <c r="A1524" s="30"/>
      <c r="B1524" s="31"/>
      <c r="C1524" s="32"/>
      <c r="D1524" s="33"/>
      <c r="E1524" s="34"/>
      <c r="F1524" s="34"/>
      <c r="G1524" s="35"/>
      <c r="H1524" s="34"/>
      <c r="I1524" s="37"/>
    </row>
    <row r="1525" ht="22.5" customHeight="1">
      <c r="A1525" s="30"/>
      <c r="B1525" s="31"/>
      <c r="C1525" s="32"/>
      <c r="D1525" s="33"/>
      <c r="E1525" s="34"/>
      <c r="F1525" s="34"/>
      <c r="G1525" s="35"/>
      <c r="H1525" s="34"/>
      <c r="I1525" s="37"/>
    </row>
    <row r="1526" ht="22.5" customHeight="1">
      <c r="A1526" s="30"/>
      <c r="B1526" s="31"/>
      <c r="C1526" s="32"/>
      <c r="D1526" s="33"/>
      <c r="E1526" s="34"/>
      <c r="F1526" s="34"/>
      <c r="G1526" s="35"/>
      <c r="H1526" s="34"/>
      <c r="I1526" s="37"/>
    </row>
    <row r="1527" ht="22.5" customHeight="1">
      <c r="A1527" s="30"/>
      <c r="B1527" s="31"/>
      <c r="C1527" s="32"/>
      <c r="D1527" s="33"/>
      <c r="E1527" s="34"/>
      <c r="F1527" s="34"/>
      <c r="G1527" s="35"/>
      <c r="H1527" s="34"/>
      <c r="I1527" s="37"/>
    </row>
    <row r="1528" ht="22.5" customHeight="1">
      <c r="A1528" s="30"/>
      <c r="B1528" s="31"/>
      <c r="C1528" s="32"/>
      <c r="D1528" s="33"/>
      <c r="E1528" s="34"/>
      <c r="F1528" s="34"/>
      <c r="G1528" s="35"/>
      <c r="H1528" s="34"/>
      <c r="I1528" s="37"/>
    </row>
    <row r="1529" ht="22.5" customHeight="1">
      <c r="A1529" s="30"/>
      <c r="B1529" s="31"/>
      <c r="C1529" s="32"/>
      <c r="D1529" s="33"/>
      <c r="E1529" s="34"/>
      <c r="F1529" s="34"/>
      <c r="G1529" s="35"/>
      <c r="H1529" s="34"/>
      <c r="I1529" s="37"/>
    </row>
    <row r="1530" ht="22.5" customHeight="1">
      <c r="A1530" s="30"/>
      <c r="B1530" s="31"/>
      <c r="C1530" s="32"/>
      <c r="D1530" s="33"/>
      <c r="E1530" s="34"/>
      <c r="F1530" s="34"/>
      <c r="G1530" s="35"/>
      <c r="H1530" s="34"/>
      <c r="I1530" s="37"/>
    </row>
    <row r="1531" ht="22.5" customHeight="1">
      <c r="A1531" s="30"/>
      <c r="B1531" s="31"/>
      <c r="C1531" s="32"/>
      <c r="D1531" s="33"/>
      <c r="E1531" s="34"/>
      <c r="F1531" s="34"/>
      <c r="G1531" s="35"/>
      <c r="H1531" s="34"/>
      <c r="I1531" s="37"/>
    </row>
    <row r="1532" ht="22.5" customHeight="1">
      <c r="A1532" s="30"/>
      <c r="B1532" s="31"/>
      <c r="C1532" s="32"/>
      <c r="D1532" s="33"/>
      <c r="E1532" s="34"/>
      <c r="F1532" s="34"/>
      <c r="G1532" s="35"/>
      <c r="H1532" s="34"/>
      <c r="I1532" s="37"/>
    </row>
    <row r="1533" ht="22.5" customHeight="1">
      <c r="A1533" s="30"/>
      <c r="B1533" s="31"/>
      <c r="C1533" s="32"/>
      <c r="D1533" s="33"/>
      <c r="E1533" s="34"/>
      <c r="F1533" s="34"/>
      <c r="G1533" s="35"/>
      <c r="H1533" s="34"/>
      <c r="I1533" s="37"/>
    </row>
    <row r="1534" ht="22.5" customHeight="1">
      <c r="A1534" s="30"/>
      <c r="B1534" s="40"/>
      <c r="C1534" s="32"/>
      <c r="D1534" s="33"/>
      <c r="E1534" s="34"/>
      <c r="F1534" s="34"/>
      <c r="G1534" s="35"/>
      <c r="H1534" s="34"/>
      <c r="I1534" s="37"/>
    </row>
    <row r="1535" ht="22.5" customHeight="1">
      <c r="A1535" s="30"/>
      <c r="B1535" s="31"/>
      <c r="C1535" s="32"/>
      <c r="D1535" s="33"/>
      <c r="E1535" s="34"/>
      <c r="F1535" s="34"/>
      <c r="G1535" s="35"/>
      <c r="H1535" s="34"/>
      <c r="I1535" s="37"/>
    </row>
    <row r="1536" ht="22.5" customHeight="1">
      <c r="A1536" s="30"/>
      <c r="B1536" s="31"/>
      <c r="C1536" s="32"/>
      <c r="D1536" s="33"/>
      <c r="E1536" s="34"/>
      <c r="F1536" s="34"/>
      <c r="G1536" s="35"/>
      <c r="H1536" s="34"/>
      <c r="I1536" s="37"/>
    </row>
    <row r="1537" ht="22.5" customHeight="1">
      <c r="A1537" s="30"/>
      <c r="B1537" s="31"/>
      <c r="C1537" s="32"/>
      <c r="D1537" s="33"/>
      <c r="E1537" s="34"/>
      <c r="F1537" s="34"/>
      <c r="G1537" s="35"/>
      <c r="H1537" s="34"/>
      <c r="I1537" s="37"/>
    </row>
    <row r="1538" ht="22.5" customHeight="1">
      <c r="A1538" s="30"/>
      <c r="B1538" s="31"/>
      <c r="C1538" s="32"/>
      <c r="D1538" s="33"/>
      <c r="E1538" s="34"/>
      <c r="F1538" s="34"/>
      <c r="G1538" s="35"/>
      <c r="H1538" s="34"/>
      <c r="I1538" s="38"/>
    </row>
    <row r="1539" ht="22.5" customHeight="1">
      <c r="A1539" s="30"/>
      <c r="B1539" s="39"/>
      <c r="C1539" s="32"/>
      <c r="D1539" s="33"/>
      <c r="E1539" s="34"/>
      <c r="F1539" s="34"/>
      <c r="G1539" s="35"/>
      <c r="H1539" s="34"/>
      <c r="I1539" s="37"/>
    </row>
    <row r="1540" ht="22.5" customHeight="1">
      <c r="A1540" s="30"/>
      <c r="B1540" s="31"/>
      <c r="C1540" s="32"/>
      <c r="D1540" s="33"/>
      <c r="E1540" s="34"/>
      <c r="F1540" s="34"/>
      <c r="G1540" s="35"/>
      <c r="H1540" s="34"/>
      <c r="I1540" s="37"/>
    </row>
    <row r="1541" ht="22.5" customHeight="1">
      <c r="A1541" s="30"/>
      <c r="B1541" s="31"/>
      <c r="C1541" s="32"/>
      <c r="D1541" s="33"/>
      <c r="E1541" s="34"/>
      <c r="F1541" s="34"/>
      <c r="G1541" s="35"/>
      <c r="H1541" s="34"/>
      <c r="I1541" s="37"/>
    </row>
    <row r="1542" ht="22.5" customHeight="1">
      <c r="A1542" s="30"/>
      <c r="B1542" s="31"/>
      <c r="C1542" s="32"/>
      <c r="D1542" s="33"/>
      <c r="E1542" s="34"/>
      <c r="F1542" s="34"/>
      <c r="G1542" s="35"/>
      <c r="H1542" s="34"/>
      <c r="I1542" s="37"/>
    </row>
    <row r="1543" ht="22.5" customHeight="1">
      <c r="A1543" s="30"/>
      <c r="B1543" s="39"/>
      <c r="C1543" s="32"/>
      <c r="D1543" s="33"/>
      <c r="E1543" s="34"/>
      <c r="F1543" s="34"/>
      <c r="G1543" s="35"/>
      <c r="H1543" s="34"/>
      <c r="I1543" s="37"/>
    </row>
    <row r="1544" ht="22.5" customHeight="1">
      <c r="A1544" s="30"/>
      <c r="B1544" s="31"/>
      <c r="C1544" s="32"/>
      <c r="D1544" s="33"/>
      <c r="E1544" s="34"/>
      <c r="F1544" s="34"/>
      <c r="G1544" s="35"/>
      <c r="H1544" s="34"/>
      <c r="I1544" s="37"/>
    </row>
    <row r="1545" ht="22.5" customHeight="1">
      <c r="A1545" s="30"/>
      <c r="B1545" s="39"/>
      <c r="C1545" s="32"/>
      <c r="D1545" s="33"/>
      <c r="E1545" s="34"/>
      <c r="F1545" s="34"/>
      <c r="G1545" s="35"/>
      <c r="H1545" s="34"/>
      <c r="I1545" s="37"/>
    </row>
    <row r="1546" ht="22.5" customHeight="1">
      <c r="A1546" s="30"/>
      <c r="B1546" s="31"/>
      <c r="C1546" s="32"/>
      <c r="D1546" s="33"/>
      <c r="E1546" s="34"/>
      <c r="F1546" s="34"/>
      <c r="G1546" s="35"/>
      <c r="H1546" s="34"/>
      <c r="I1546" s="37"/>
    </row>
    <row r="1547" ht="22.5" customHeight="1">
      <c r="A1547" s="30"/>
      <c r="B1547" s="31"/>
      <c r="C1547" s="32"/>
      <c r="D1547" s="33"/>
      <c r="E1547" s="34"/>
      <c r="F1547" s="34"/>
      <c r="G1547" s="35"/>
      <c r="H1547" s="34"/>
      <c r="I1547" s="37"/>
    </row>
    <row r="1548" ht="22.5" customHeight="1">
      <c r="A1548" s="30"/>
      <c r="B1548" s="31"/>
      <c r="C1548" s="32"/>
      <c r="D1548" s="33"/>
      <c r="E1548" s="34"/>
      <c r="F1548" s="34"/>
      <c r="G1548" s="35"/>
      <c r="H1548" s="34"/>
      <c r="I1548" s="37"/>
    </row>
    <row r="1549" ht="22.5" customHeight="1">
      <c r="A1549" s="30"/>
      <c r="B1549" s="31"/>
      <c r="C1549" s="32"/>
      <c r="D1549" s="33"/>
      <c r="E1549" s="34"/>
      <c r="F1549" s="34"/>
      <c r="G1549" s="35"/>
      <c r="H1549" s="34"/>
      <c r="I1549" s="37"/>
    </row>
    <row r="1550" ht="22.5" customHeight="1">
      <c r="A1550" s="30"/>
      <c r="B1550" s="31"/>
      <c r="C1550" s="32"/>
      <c r="D1550" s="33"/>
      <c r="E1550" s="34"/>
      <c r="F1550" s="34"/>
      <c r="G1550" s="35"/>
      <c r="H1550" s="34"/>
      <c r="I1550" s="37"/>
    </row>
    <row r="1551" ht="22.5" customHeight="1">
      <c r="A1551" s="30"/>
      <c r="B1551" s="31"/>
      <c r="C1551" s="32"/>
      <c r="D1551" s="33"/>
      <c r="E1551" s="34"/>
      <c r="F1551" s="34"/>
      <c r="G1551" s="35"/>
      <c r="H1551" s="34"/>
      <c r="I1551" s="37"/>
    </row>
    <row r="1552" ht="22.5" customHeight="1">
      <c r="A1552" s="30"/>
      <c r="B1552" s="31"/>
      <c r="C1552" s="32"/>
      <c r="D1552" s="33"/>
      <c r="E1552" s="34"/>
      <c r="F1552" s="34"/>
      <c r="G1552" s="35"/>
      <c r="H1552" s="34"/>
      <c r="I1552" s="37"/>
    </row>
    <row r="1553" ht="22.5" customHeight="1">
      <c r="A1553" s="30"/>
      <c r="B1553" s="31"/>
      <c r="C1553" s="32"/>
      <c r="D1553" s="33"/>
      <c r="E1553" s="34"/>
      <c r="F1553" s="34"/>
      <c r="G1553" s="35"/>
      <c r="H1553" s="34"/>
      <c r="I1553" s="37"/>
    </row>
    <row r="1554" ht="22.5" customHeight="1">
      <c r="A1554" s="30"/>
      <c r="B1554" s="31"/>
      <c r="C1554" s="32"/>
      <c r="D1554" s="33"/>
      <c r="E1554" s="34"/>
      <c r="F1554" s="34"/>
      <c r="G1554" s="35"/>
      <c r="H1554" s="34"/>
      <c r="I1554" s="37"/>
    </row>
    <row r="1555" ht="22.5" customHeight="1">
      <c r="A1555" s="30"/>
      <c r="B1555" s="31"/>
      <c r="C1555" s="32"/>
      <c r="D1555" s="33"/>
      <c r="E1555" s="34"/>
      <c r="F1555" s="34"/>
      <c r="G1555" s="35"/>
      <c r="H1555" s="34"/>
      <c r="I1555" s="37"/>
    </row>
    <row r="1556" ht="22.5" customHeight="1">
      <c r="A1556" s="30"/>
      <c r="B1556" s="40"/>
      <c r="C1556" s="32"/>
      <c r="D1556" s="33"/>
      <c r="E1556" s="34"/>
      <c r="F1556" s="34"/>
      <c r="G1556" s="35"/>
      <c r="H1556" s="34"/>
      <c r="I1556" s="37"/>
    </row>
    <row r="1557" ht="22.5" customHeight="1">
      <c r="A1557" s="30"/>
      <c r="B1557" s="31"/>
      <c r="C1557" s="32"/>
      <c r="D1557" s="33"/>
      <c r="E1557" s="34"/>
      <c r="F1557" s="34"/>
      <c r="G1557" s="35"/>
      <c r="H1557" s="34"/>
      <c r="I1557" s="37"/>
    </row>
    <row r="1558" ht="22.5" customHeight="1">
      <c r="A1558" s="30"/>
      <c r="B1558" s="31"/>
      <c r="C1558" s="32"/>
      <c r="D1558" s="33"/>
      <c r="E1558" s="34"/>
      <c r="F1558" s="34"/>
      <c r="G1558" s="35"/>
      <c r="H1558" s="34"/>
      <c r="I1558" s="37"/>
    </row>
    <row r="1559" ht="22.5" customHeight="1">
      <c r="A1559" s="30"/>
      <c r="B1559" s="31"/>
      <c r="C1559" s="32"/>
      <c r="D1559" s="33"/>
      <c r="E1559" s="34"/>
      <c r="F1559" s="34"/>
      <c r="G1559" s="35"/>
      <c r="H1559" s="34"/>
      <c r="I1559" s="37"/>
    </row>
    <row r="1560" ht="22.5" customHeight="1">
      <c r="A1560" s="30"/>
      <c r="B1560" s="31"/>
      <c r="C1560" s="32"/>
      <c r="D1560" s="33"/>
      <c r="E1560" s="34"/>
      <c r="F1560" s="34"/>
      <c r="G1560" s="35"/>
      <c r="H1560" s="34"/>
      <c r="I1560" s="37"/>
    </row>
    <row r="1561" ht="22.5" customHeight="1">
      <c r="A1561" s="30"/>
      <c r="B1561" s="31"/>
      <c r="C1561" s="32"/>
      <c r="D1561" s="33"/>
      <c r="E1561" s="34"/>
      <c r="F1561" s="34"/>
      <c r="G1561" s="35"/>
      <c r="H1561" s="34"/>
      <c r="I1561" s="37"/>
    </row>
    <row r="1562" ht="22.5" customHeight="1">
      <c r="A1562" s="30"/>
      <c r="B1562" s="31"/>
      <c r="C1562" s="32"/>
      <c r="D1562" s="33"/>
      <c r="E1562" s="34"/>
      <c r="F1562" s="34"/>
      <c r="G1562" s="35"/>
      <c r="H1562" s="34"/>
      <c r="I1562" s="37"/>
    </row>
    <row r="1563" ht="22.5" customHeight="1">
      <c r="A1563" s="30"/>
      <c r="B1563" s="39"/>
      <c r="C1563" s="32"/>
      <c r="D1563" s="33"/>
      <c r="E1563" s="34"/>
      <c r="F1563" s="34"/>
      <c r="G1563" s="35"/>
      <c r="H1563" s="34"/>
      <c r="I1563" s="37"/>
    </row>
    <row r="1564" ht="22.5" customHeight="1">
      <c r="A1564" s="30"/>
      <c r="B1564" s="39"/>
      <c r="C1564" s="32"/>
      <c r="D1564" s="33"/>
      <c r="E1564" s="34"/>
      <c r="F1564" s="34"/>
      <c r="G1564" s="35"/>
      <c r="H1564" s="34"/>
      <c r="I1564" s="37"/>
    </row>
    <row r="1565" ht="22.5" customHeight="1">
      <c r="A1565" s="30"/>
      <c r="B1565" s="39"/>
      <c r="C1565" s="32"/>
      <c r="D1565" s="33"/>
      <c r="E1565" s="34"/>
      <c r="F1565" s="34"/>
      <c r="G1565" s="35"/>
      <c r="H1565" s="34"/>
      <c r="I1565" s="37"/>
    </row>
    <row r="1566" ht="22.5" customHeight="1">
      <c r="A1566" s="30"/>
      <c r="B1566" s="40"/>
      <c r="C1566" s="32"/>
      <c r="D1566" s="33"/>
      <c r="E1566" s="34"/>
      <c r="F1566" s="34"/>
      <c r="G1566" s="35"/>
      <c r="H1566" s="34"/>
      <c r="I1566" s="37"/>
    </row>
    <row r="1567" ht="22.5" customHeight="1">
      <c r="A1567" s="30"/>
      <c r="B1567" s="31"/>
      <c r="C1567" s="32"/>
      <c r="D1567" s="33"/>
      <c r="E1567" s="34"/>
      <c r="F1567" s="34"/>
      <c r="G1567" s="35"/>
      <c r="H1567" s="34"/>
      <c r="I1567" s="37"/>
    </row>
    <row r="1568" ht="22.5" customHeight="1">
      <c r="A1568" s="30"/>
      <c r="B1568" s="31"/>
      <c r="C1568" s="32"/>
      <c r="D1568" s="33"/>
      <c r="E1568" s="34"/>
      <c r="F1568" s="34"/>
      <c r="G1568" s="35"/>
      <c r="H1568" s="34"/>
      <c r="I1568" s="37"/>
    </row>
    <row r="1569" ht="22.5" customHeight="1">
      <c r="A1569" s="30"/>
      <c r="B1569" s="31"/>
      <c r="C1569" s="32"/>
      <c r="D1569" s="33"/>
      <c r="E1569" s="34"/>
      <c r="F1569" s="34"/>
      <c r="G1569" s="35"/>
      <c r="H1569" s="34"/>
      <c r="I1569" s="37"/>
    </row>
    <row r="1570" ht="22.5" customHeight="1">
      <c r="A1570" s="30"/>
      <c r="B1570" s="31"/>
      <c r="C1570" s="32"/>
      <c r="D1570" s="33"/>
      <c r="E1570" s="34"/>
      <c r="F1570" s="34"/>
      <c r="G1570" s="35"/>
      <c r="H1570" s="34"/>
      <c r="I1570" s="37"/>
    </row>
    <row r="1571" ht="22.5" customHeight="1">
      <c r="A1571" s="30"/>
      <c r="B1571" s="31"/>
      <c r="C1571" s="32"/>
      <c r="D1571" s="33"/>
      <c r="E1571" s="34"/>
      <c r="F1571" s="34"/>
      <c r="G1571" s="35"/>
      <c r="H1571" s="34"/>
      <c r="I1571" s="37"/>
    </row>
    <row r="1572" ht="22.5" customHeight="1">
      <c r="A1572" s="30"/>
      <c r="B1572" s="31"/>
      <c r="C1572" s="32"/>
      <c r="D1572" s="33"/>
      <c r="E1572" s="34"/>
      <c r="F1572" s="34"/>
      <c r="G1572" s="35"/>
      <c r="H1572" s="34"/>
      <c r="I1572" s="37"/>
    </row>
    <row r="1573" ht="22.5" customHeight="1">
      <c r="A1573" s="30"/>
      <c r="B1573" s="31"/>
      <c r="C1573" s="32"/>
      <c r="D1573" s="33"/>
      <c r="E1573" s="34"/>
      <c r="F1573" s="34"/>
      <c r="G1573" s="35"/>
      <c r="H1573" s="34"/>
      <c r="I1573" s="37"/>
    </row>
    <row r="1574" ht="22.5" customHeight="1">
      <c r="A1574" s="30"/>
      <c r="B1574" s="31"/>
      <c r="C1574" s="32"/>
      <c r="D1574" s="33"/>
      <c r="E1574" s="34"/>
      <c r="F1574" s="34"/>
      <c r="G1574" s="35"/>
      <c r="H1574" s="34"/>
      <c r="I1574" s="37"/>
    </row>
    <row r="1575" ht="22.5" customHeight="1">
      <c r="A1575" s="30"/>
      <c r="B1575" s="31"/>
      <c r="C1575" s="32"/>
      <c r="D1575" s="33"/>
      <c r="E1575" s="34"/>
      <c r="F1575" s="34"/>
      <c r="G1575" s="35"/>
      <c r="H1575" s="34"/>
      <c r="I1575" s="37"/>
    </row>
    <row r="1576" ht="22.5" customHeight="1">
      <c r="A1576" s="30"/>
      <c r="B1576" s="40"/>
      <c r="C1576" s="32"/>
      <c r="D1576" s="33"/>
      <c r="E1576" s="34"/>
      <c r="F1576" s="34"/>
      <c r="G1576" s="35"/>
      <c r="H1576" s="34"/>
      <c r="I1576" s="37"/>
    </row>
    <row r="1577" ht="22.5" customHeight="1">
      <c r="A1577" s="30"/>
      <c r="B1577" s="31"/>
      <c r="C1577" s="32"/>
      <c r="D1577" s="33"/>
      <c r="E1577" s="34"/>
      <c r="F1577" s="34"/>
      <c r="G1577" s="35"/>
      <c r="H1577" s="34"/>
      <c r="I1577" s="37"/>
    </row>
    <row r="1578" ht="22.5" customHeight="1">
      <c r="A1578" s="30"/>
      <c r="B1578" s="31"/>
      <c r="C1578" s="32"/>
      <c r="D1578" s="33"/>
      <c r="E1578" s="34"/>
      <c r="F1578" s="34"/>
      <c r="G1578" s="35"/>
      <c r="H1578" s="34"/>
      <c r="I1578" s="37"/>
    </row>
    <row r="1579" ht="22.5" customHeight="1">
      <c r="A1579" s="30"/>
      <c r="B1579" s="31"/>
      <c r="C1579" s="32"/>
      <c r="D1579" s="33"/>
      <c r="E1579" s="34"/>
      <c r="F1579" s="34"/>
      <c r="G1579" s="35"/>
      <c r="H1579" s="34"/>
      <c r="I1579" s="37"/>
    </row>
    <row r="1580" ht="22.5" customHeight="1">
      <c r="A1580" s="30"/>
      <c r="B1580" s="40"/>
      <c r="C1580" s="32"/>
      <c r="D1580" s="33"/>
      <c r="E1580" s="34"/>
      <c r="F1580" s="34"/>
      <c r="G1580" s="35"/>
      <c r="H1580" s="34"/>
      <c r="I1580" s="37"/>
    </row>
    <row r="1581" ht="22.5" customHeight="1">
      <c r="A1581" s="30"/>
      <c r="B1581" s="31"/>
      <c r="C1581" s="32"/>
      <c r="D1581" s="33"/>
      <c r="E1581" s="34"/>
      <c r="F1581" s="34"/>
      <c r="G1581" s="35"/>
      <c r="H1581" s="34"/>
      <c r="I1581" s="37"/>
    </row>
    <row r="1582" ht="22.5" customHeight="1">
      <c r="A1582" s="30"/>
      <c r="B1582" s="31"/>
      <c r="C1582" s="32"/>
      <c r="D1582" s="33"/>
      <c r="E1582" s="34"/>
      <c r="F1582" s="34"/>
      <c r="G1582" s="35"/>
      <c r="H1582" s="34"/>
      <c r="I1582" s="37"/>
    </row>
    <row r="1583" ht="22.5" customHeight="1">
      <c r="A1583" s="30"/>
      <c r="B1583" s="31"/>
      <c r="C1583" s="32"/>
      <c r="D1583" s="33"/>
      <c r="E1583" s="34"/>
      <c r="F1583" s="34"/>
      <c r="G1583" s="35"/>
      <c r="H1583" s="34"/>
      <c r="I1583" s="37"/>
    </row>
    <row r="1584" ht="22.5" customHeight="1">
      <c r="A1584" s="30"/>
      <c r="B1584" s="31"/>
      <c r="C1584" s="32"/>
      <c r="D1584" s="33"/>
      <c r="E1584" s="34"/>
      <c r="F1584" s="34"/>
      <c r="G1584" s="35"/>
      <c r="H1584" s="34"/>
      <c r="I1584" s="37"/>
    </row>
    <row r="1585" ht="22.5" customHeight="1">
      <c r="A1585" s="30"/>
      <c r="B1585" s="31"/>
      <c r="C1585" s="32"/>
      <c r="D1585" s="33"/>
      <c r="E1585" s="34"/>
      <c r="F1585" s="34"/>
      <c r="G1585" s="35"/>
      <c r="H1585" s="34"/>
      <c r="I1585" s="37"/>
    </row>
    <row r="1586" ht="22.5" customHeight="1">
      <c r="A1586" s="30"/>
      <c r="B1586" s="31"/>
      <c r="C1586" s="32"/>
      <c r="D1586" s="33"/>
      <c r="E1586" s="34"/>
      <c r="F1586" s="34"/>
      <c r="G1586" s="35"/>
      <c r="H1586" s="34"/>
      <c r="I1586" s="37"/>
    </row>
    <row r="1587" ht="22.5" customHeight="1">
      <c r="A1587" s="30"/>
      <c r="B1587" s="31"/>
      <c r="C1587" s="32"/>
      <c r="D1587" s="33"/>
      <c r="E1587" s="34"/>
      <c r="F1587" s="34"/>
      <c r="G1587" s="35"/>
      <c r="H1587" s="34"/>
      <c r="I1587" s="37"/>
    </row>
    <row r="1588" ht="22.5" customHeight="1">
      <c r="A1588" s="30"/>
      <c r="B1588" s="31"/>
      <c r="C1588" s="32"/>
      <c r="D1588" s="33"/>
      <c r="E1588" s="34"/>
      <c r="F1588" s="34"/>
      <c r="G1588" s="35"/>
      <c r="H1588" s="34"/>
      <c r="I1588" s="37"/>
    </row>
    <row r="1589" ht="22.5" customHeight="1">
      <c r="A1589" s="30"/>
      <c r="B1589" s="31"/>
      <c r="C1589" s="32"/>
      <c r="D1589" s="33"/>
      <c r="E1589" s="34"/>
      <c r="F1589" s="34"/>
      <c r="G1589" s="35"/>
      <c r="H1589" s="34"/>
      <c r="I1589" s="37"/>
    </row>
    <row r="1590" ht="22.5" customHeight="1">
      <c r="A1590" s="30"/>
      <c r="B1590" s="31"/>
      <c r="C1590" s="32"/>
      <c r="D1590" s="33"/>
      <c r="E1590" s="34"/>
      <c r="F1590" s="34"/>
      <c r="G1590" s="35"/>
      <c r="H1590" s="34"/>
      <c r="I1590" s="37"/>
    </row>
    <row r="1591" ht="22.5" customHeight="1">
      <c r="A1591" s="30"/>
      <c r="B1591" s="31"/>
      <c r="C1591" s="32"/>
      <c r="D1591" s="33"/>
      <c r="E1591" s="34"/>
      <c r="F1591" s="34"/>
      <c r="G1591" s="35"/>
      <c r="H1591" s="34"/>
      <c r="I1591" s="37"/>
    </row>
    <row r="1592" ht="22.5" customHeight="1">
      <c r="A1592" s="30"/>
      <c r="B1592" s="31"/>
      <c r="C1592" s="32"/>
      <c r="D1592" s="33"/>
      <c r="E1592" s="34"/>
      <c r="F1592" s="34"/>
      <c r="G1592" s="35"/>
      <c r="H1592" s="34"/>
      <c r="I1592" s="37"/>
    </row>
    <row r="1593" ht="22.5" customHeight="1">
      <c r="A1593" s="30"/>
      <c r="B1593" s="31"/>
      <c r="C1593" s="32"/>
      <c r="D1593" s="33"/>
      <c r="E1593" s="34"/>
      <c r="F1593" s="34"/>
      <c r="G1593" s="35"/>
      <c r="H1593" s="34"/>
      <c r="I1593" s="37"/>
    </row>
    <row r="1594" ht="22.5" customHeight="1">
      <c r="A1594" s="30"/>
      <c r="B1594" s="31"/>
      <c r="C1594" s="32"/>
      <c r="D1594" s="33"/>
      <c r="E1594" s="34"/>
      <c r="F1594" s="34"/>
      <c r="G1594" s="35"/>
      <c r="H1594" s="34"/>
      <c r="I1594" s="37"/>
    </row>
    <row r="1595" ht="22.5" customHeight="1">
      <c r="A1595" s="30"/>
      <c r="B1595" s="40"/>
      <c r="C1595" s="32"/>
      <c r="D1595" s="33"/>
      <c r="E1595" s="34"/>
      <c r="F1595" s="34"/>
      <c r="G1595" s="35"/>
      <c r="H1595" s="34"/>
      <c r="I1595" s="37"/>
    </row>
    <row r="1596" ht="22.5" customHeight="1">
      <c r="A1596" s="30"/>
      <c r="B1596" s="31"/>
      <c r="C1596" s="32"/>
      <c r="D1596" s="33"/>
      <c r="E1596" s="34"/>
      <c r="F1596" s="34"/>
      <c r="G1596" s="35"/>
      <c r="H1596" s="34"/>
      <c r="I1596" s="37"/>
    </row>
    <row r="1597" ht="22.5" customHeight="1">
      <c r="A1597" s="30"/>
      <c r="B1597" s="40"/>
      <c r="C1597" s="32"/>
      <c r="D1597" s="33"/>
      <c r="E1597" s="34"/>
      <c r="F1597" s="34"/>
      <c r="G1597" s="35"/>
      <c r="H1597" s="34"/>
      <c r="I1597" s="37"/>
    </row>
    <row r="1598" ht="22.5" customHeight="1">
      <c r="A1598" s="30"/>
      <c r="B1598" s="31"/>
      <c r="C1598" s="32"/>
      <c r="D1598" s="33"/>
      <c r="E1598" s="34"/>
      <c r="F1598" s="34"/>
      <c r="G1598" s="35"/>
      <c r="H1598" s="34"/>
      <c r="I1598" s="37"/>
    </row>
    <row r="1599" ht="22.5" customHeight="1">
      <c r="A1599" s="30"/>
      <c r="B1599" s="31"/>
      <c r="C1599" s="32"/>
      <c r="D1599" s="33"/>
      <c r="E1599" s="34"/>
      <c r="F1599" s="34"/>
      <c r="G1599" s="35"/>
      <c r="H1599" s="34"/>
      <c r="I1599" s="37"/>
    </row>
    <row r="1600" ht="22.5" customHeight="1">
      <c r="A1600" s="30"/>
      <c r="B1600" s="31"/>
      <c r="C1600" s="32"/>
      <c r="D1600" s="33"/>
      <c r="E1600" s="34"/>
      <c r="F1600" s="34"/>
      <c r="G1600" s="35"/>
      <c r="H1600" s="34"/>
      <c r="I1600" s="37"/>
    </row>
    <row r="1601" ht="22.5" customHeight="1">
      <c r="A1601" s="30"/>
      <c r="B1601" s="31"/>
      <c r="C1601" s="32"/>
      <c r="D1601" s="33"/>
      <c r="E1601" s="34"/>
      <c r="F1601" s="34"/>
      <c r="G1601" s="35"/>
      <c r="H1601" s="34"/>
      <c r="I1601" s="37"/>
    </row>
    <row r="1602" ht="22.5" customHeight="1">
      <c r="A1602" s="30"/>
      <c r="B1602" s="40"/>
      <c r="C1602" s="32"/>
      <c r="D1602" s="33"/>
      <c r="E1602" s="34"/>
      <c r="F1602" s="34"/>
      <c r="G1602" s="35"/>
      <c r="H1602" s="34"/>
      <c r="I1602" s="37"/>
    </row>
    <row r="1603" ht="22.5" customHeight="1">
      <c r="A1603" s="30"/>
      <c r="B1603" s="31"/>
      <c r="C1603" s="32"/>
      <c r="D1603" s="33"/>
      <c r="E1603" s="34"/>
      <c r="F1603" s="34"/>
      <c r="G1603" s="35"/>
      <c r="H1603" s="34"/>
      <c r="I1603" s="37"/>
    </row>
    <row r="1604" ht="22.5" customHeight="1">
      <c r="A1604" s="30"/>
      <c r="B1604" s="31"/>
      <c r="C1604" s="32"/>
      <c r="D1604" s="33"/>
      <c r="E1604" s="34"/>
      <c r="F1604" s="34"/>
      <c r="G1604" s="35"/>
      <c r="H1604" s="34"/>
      <c r="I1604" s="37"/>
    </row>
    <row r="1605" ht="22.5" customHeight="1">
      <c r="A1605" s="30"/>
      <c r="B1605" s="31"/>
      <c r="C1605" s="32"/>
      <c r="D1605" s="33"/>
      <c r="E1605" s="34"/>
      <c r="F1605" s="34"/>
      <c r="G1605" s="35"/>
      <c r="H1605" s="34"/>
      <c r="I1605" s="37"/>
    </row>
    <row r="1606" ht="22.5" customHeight="1">
      <c r="A1606" s="30"/>
      <c r="B1606" s="31"/>
      <c r="C1606" s="32"/>
      <c r="D1606" s="33"/>
      <c r="E1606" s="34"/>
      <c r="F1606" s="34"/>
      <c r="G1606" s="35"/>
      <c r="H1606" s="34"/>
      <c r="I1606" s="37"/>
    </row>
    <row r="1607" ht="22.5" customHeight="1">
      <c r="A1607" s="30"/>
      <c r="B1607" s="31"/>
      <c r="C1607" s="32"/>
      <c r="D1607" s="33"/>
      <c r="E1607" s="34"/>
      <c r="F1607" s="34"/>
      <c r="G1607" s="35"/>
      <c r="H1607" s="34"/>
      <c r="I1607" s="37"/>
    </row>
    <row r="1608" ht="22.5" customHeight="1">
      <c r="A1608" s="30"/>
      <c r="B1608" s="31"/>
      <c r="C1608" s="32"/>
      <c r="D1608" s="33"/>
      <c r="E1608" s="34"/>
      <c r="F1608" s="34"/>
      <c r="G1608" s="35"/>
      <c r="H1608" s="34"/>
      <c r="I1608" s="37"/>
    </row>
    <row r="1609" ht="22.5" customHeight="1">
      <c r="A1609" s="30"/>
      <c r="B1609" s="31"/>
      <c r="C1609" s="32"/>
      <c r="D1609" s="33"/>
      <c r="E1609" s="34"/>
      <c r="F1609" s="34"/>
      <c r="G1609" s="35"/>
      <c r="H1609" s="34"/>
      <c r="I1609" s="37"/>
    </row>
    <row r="1610" ht="22.5" customHeight="1">
      <c r="A1610" s="30"/>
      <c r="B1610" s="31"/>
      <c r="C1610" s="32"/>
      <c r="D1610" s="33"/>
      <c r="E1610" s="34"/>
      <c r="F1610" s="34"/>
      <c r="G1610" s="35"/>
      <c r="H1610" s="34"/>
      <c r="I1610" s="37"/>
    </row>
    <row r="1611" ht="22.5" customHeight="1">
      <c r="A1611" s="30"/>
      <c r="B1611" s="31"/>
      <c r="C1611" s="32"/>
      <c r="D1611" s="33"/>
      <c r="E1611" s="34"/>
      <c r="F1611" s="34"/>
      <c r="G1611" s="35"/>
      <c r="H1611" s="34"/>
      <c r="I1611" s="37"/>
    </row>
    <row r="1612" ht="22.5" customHeight="1">
      <c r="A1612" s="30"/>
      <c r="B1612" s="31"/>
      <c r="C1612" s="32"/>
      <c r="D1612" s="33"/>
      <c r="E1612" s="34"/>
      <c r="F1612" s="34"/>
      <c r="G1612" s="35"/>
      <c r="H1612" s="34"/>
      <c r="I1612" s="37"/>
    </row>
    <row r="1613" ht="22.5" customHeight="1">
      <c r="A1613" s="30"/>
      <c r="B1613" s="31"/>
      <c r="C1613" s="32"/>
      <c r="D1613" s="33"/>
      <c r="E1613" s="34"/>
      <c r="F1613" s="34"/>
      <c r="G1613" s="35"/>
      <c r="H1613" s="34"/>
      <c r="I1613" s="37"/>
    </row>
    <row r="1614" ht="22.5" customHeight="1">
      <c r="A1614" s="30"/>
      <c r="B1614" s="31"/>
      <c r="C1614" s="32"/>
      <c r="D1614" s="33"/>
      <c r="E1614" s="34"/>
      <c r="F1614" s="34"/>
      <c r="G1614" s="35"/>
      <c r="H1614" s="34"/>
      <c r="I1614" s="37"/>
    </row>
    <row r="1615" ht="22.5" customHeight="1">
      <c r="A1615" s="30"/>
      <c r="B1615" s="31"/>
      <c r="C1615" s="32"/>
      <c r="D1615" s="33"/>
      <c r="E1615" s="34"/>
      <c r="F1615" s="34"/>
      <c r="G1615" s="35"/>
      <c r="H1615" s="34"/>
      <c r="I1615" s="37"/>
    </row>
    <row r="1616" ht="22.5" customHeight="1">
      <c r="A1616" s="30"/>
      <c r="B1616" s="31"/>
      <c r="C1616" s="32"/>
      <c r="D1616" s="33"/>
      <c r="E1616" s="34"/>
      <c r="F1616" s="34"/>
      <c r="G1616" s="35"/>
      <c r="H1616" s="34"/>
      <c r="I1616" s="37"/>
    </row>
    <row r="1617" ht="22.5" customHeight="1">
      <c r="A1617" s="30"/>
      <c r="B1617" s="31"/>
      <c r="C1617" s="32"/>
      <c r="D1617" s="33"/>
      <c r="E1617" s="34"/>
      <c r="F1617" s="34"/>
      <c r="G1617" s="35"/>
      <c r="H1617" s="34"/>
      <c r="I1617" s="37"/>
    </row>
    <row r="1618" ht="22.5" customHeight="1">
      <c r="A1618" s="30"/>
      <c r="B1618" s="31"/>
      <c r="C1618" s="32"/>
      <c r="D1618" s="33"/>
      <c r="E1618" s="34"/>
      <c r="F1618" s="34"/>
      <c r="G1618" s="35"/>
      <c r="H1618" s="34"/>
      <c r="I1618" s="37"/>
    </row>
    <row r="1619" ht="22.5" customHeight="1">
      <c r="A1619" s="30"/>
      <c r="B1619" s="31"/>
      <c r="C1619" s="32"/>
      <c r="D1619" s="33"/>
      <c r="E1619" s="34"/>
      <c r="F1619" s="34"/>
      <c r="G1619" s="35"/>
      <c r="H1619" s="34"/>
      <c r="I1619" s="37"/>
    </row>
    <row r="1620" ht="22.5" customHeight="1">
      <c r="A1620" s="30"/>
      <c r="B1620" s="31"/>
      <c r="C1620" s="32"/>
      <c r="D1620" s="33"/>
      <c r="E1620" s="34"/>
      <c r="F1620" s="34"/>
      <c r="G1620" s="35"/>
      <c r="H1620" s="34"/>
      <c r="I1620" s="37"/>
    </row>
    <row r="1621" ht="22.5" customHeight="1">
      <c r="A1621" s="30"/>
      <c r="B1621" s="31"/>
      <c r="C1621" s="32"/>
      <c r="D1621" s="33"/>
      <c r="E1621" s="34"/>
      <c r="F1621" s="34"/>
      <c r="G1621" s="35"/>
      <c r="H1621" s="34"/>
      <c r="I1621" s="37"/>
    </row>
    <row r="1622" ht="22.5" customHeight="1">
      <c r="A1622" s="30"/>
      <c r="B1622" s="31"/>
      <c r="C1622" s="32"/>
      <c r="D1622" s="33"/>
      <c r="E1622" s="34"/>
      <c r="F1622" s="34"/>
      <c r="G1622" s="35"/>
      <c r="H1622" s="34"/>
      <c r="I1622" s="37"/>
    </row>
    <row r="1623" ht="22.5" customHeight="1">
      <c r="A1623" s="30"/>
      <c r="B1623" s="31"/>
      <c r="C1623" s="32"/>
      <c r="D1623" s="33"/>
      <c r="E1623" s="34"/>
      <c r="F1623" s="34"/>
      <c r="G1623" s="35"/>
      <c r="H1623" s="34"/>
      <c r="I1623" s="37"/>
    </row>
    <row r="1624" ht="22.5" customHeight="1">
      <c r="A1624" s="30"/>
      <c r="B1624" s="31"/>
      <c r="C1624" s="30"/>
      <c r="D1624" s="33"/>
      <c r="E1624" s="34"/>
      <c r="F1624" s="34"/>
      <c r="G1624" s="36"/>
      <c r="H1624" s="34"/>
      <c r="I1624" s="37"/>
    </row>
    <row r="1625" ht="22.5" customHeight="1">
      <c r="A1625" s="30"/>
      <c r="B1625" s="31"/>
      <c r="C1625" s="30"/>
      <c r="D1625" s="33"/>
      <c r="E1625" s="34"/>
      <c r="F1625" s="34"/>
      <c r="G1625" s="36"/>
      <c r="H1625" s="34"/>
      <c r="I1625" s="37"/>
    </row>
    <row r="1626" ht="22.5" customHeight="1">
      <c r="A1626" s="30"/>
      <c r="B1626" s="31"/>
      <c r="C1626" s="30"/>
      <c r="D1626" s="33"/>
      <c r="E1626" s="34"/>
      <c r="F1626" s="34"/>
      <c r="G1626" s="36"/>
      <c r="H1626" s="34"/>
      <c r="I1626" s="37"/>
    </row>
    <row r="1627" ht="22.5" customHeight="1">
      <c r="A1627" s="30"/>
      <c r="B1627" s="31"/>
      <c r="C1627" s="30"/>
      <c r="D1627" s="33"/>
      <c r="E1627" s="34"/>
      <c r="F1627" s="34"/>
      <c r="G1627" s="36"/>
      <c r="H1627" s="34"/>
      <c r="I1627" s="37"/>
    </row>
    <row r="1628" ht="22.5" customHeight="1">
      <c r="A1628" s="30"/>
      <c r="B1628" s="31"/>
      <c r="C1628" s="30"/>
      <c r="D1628" s="33"/>
      <c r="E1628" s="34"/>
      <c r="F1628" s="34"/>
      <c r="G1628" s="36"/>
      <c r="H1628" s="34"/>
      <c r="I1628" s="37"/>
    </row>
    <row r="1629" ht="22.5" customHeight="1">
      <c r="A1629" s="30"/>
      <c r="B1629" s="31"/>
      <c r="C1629" s="30"/>
      <c r="D1629" s="33"/>
      <c r="E1629" s="34"/>
      <c r="F1629" s="34"/>
      <c r="G1629" s="36"/>
      <c r="H1629" s="34"/>
      <c r="I1629" s="37"/>
    </row>
    <row r="1630" ht="22.5" customHeight="1">
      <c r="A1630" s="30"/>
      <c r="B1630" s="31"/>
      <c r="C1630" s="30"/>
      <c r="D1630" s="33"/>
      <c r="E1630" s="34"/>
      <c r="F1630" s="34"/>
      <c r="G1630" s="36"/>
      <c r="H1630" s="34"/>
      <c r="I1630" s="37"/>
    </row>
    <row r="1631" ht="22.5" customHeight="1">
      <c r="A1631" s="30"/>
      <c r="B1631" s="31"/>
      <c r="C1631" s="30"/>
      <c r="D1631" s="33"/>
      <c r="E1631" s="34"/>
      <c r="F1631" s="34"/>
      <c r="G1631" s="36"/>
      <c r="H1631" s="34"/>
      <c r="I1631" s="37"/>
    </row>
    <row r="1632" ht="22.5" customHeight="1">
      <c r="A1632" s="30"/>
      <c r="B1632" s="31"/>
      <c r="C1632" s="30"/>
      <c r="D1632" s="33"/>
      <c r="E1632" s="34"/>
      <c r="F1632" s="34"/>
      <c r="G1632" s="36"/>
      <c r="H1632" s="34"/>
      <c r="I1632" s="37"/>
    </row>
    <row r="1633" ht="22.5" customHeight="1">
      <c r="A1633" s="30"/>
      <c r="B1633" s="31"/>
      <c r="C1633" s="30"/>
      <c r="D1633" s="33"/>
      <c r="E1633" s="34"/>
      <c r="F1633" s="34"/>
      <c r="G1633" s="36"/>
      <c r="H1633" s="34"/>
      <c r="I1633" s="37"/>
    </row>
    <row r="1634" ht="22.5" customHeight="1">
      <c r="A1634" s="30"/>
      <c r="B1634" s="31"/>
      <c r="C1634" s="30"/>
      <c r="D1634" s="33"/>
      <c r="E1634" s="34"/>
      <c r="F1634" s="34"/>
      <c r="G1634" s="36"/>
      <c r="H1634" s="34"/>
      <c r="I1634" s="37"/>
    </row>
    <row r="1635" ht="22.5" customHeight="1">
      <c r="A1635" s="30"/>
      <c r="B1635" s="31"/>
      <c r="C1635" s="30"/>
      <c r="D1635" s="33"/>
      <c r="E1635" s="34"/>
      <c r="F1635" s="34"/>
      <c r="G1635" s="36"/>
      <c r="H1635" s="34"/>
      <c r="I1635" s="37"/>
    </row>
    <row r="1636" ht="22.5" customHeight="1">
      <c r="A1636" s="30"/>
      <c r="B1636" s="31"/>
      <c r="C1636" s="30"/>
      <c r="D1636" s="33"/>
      <c r="E1636" s="34"/>
      <c r="F1636" s="34"/>
      <c r="G1636" s="36"/>
      <c r="H1636" s="34"/>
      <c r="I1636" s="37"/>
    </row>
    <row r="1637" ht="22.5" customHeight="1">
      <c r="A1637" s="30"/>
      <c r="B1637" s="31"/>
      <c r="C1637" s="30"/>
      <c r="D1637" s="33"/>
      <c r="E1637" s="34"/>
      <c r="F1637" s="34"/>
      <c r="G1637" s="36"/>
      <c r="H1637" s="34"/>
      <c r="I1637" s="37"/>
    </row>
    <row r="1638" ht="22.5" customHeight="1">
      <c r="A1638" s="30"/>
      <c r="B1638" s="31"/>
      <c r="C1638" s="30"/>
      <c r="D1638" s="33"/>
      <c r="E1638" s="34"/>
      <c r="F1638" s="34"/>
      <c r="G1638" s="36"/>
      <c r="H1638" s="34"/>
      <c r="I1638" s="37"/>
    </row>
    <row r="1639" ht="22.5" customHeight="1">
      <c r="A1639" s="30"/>
      <c r="B1639" s="31"/>
      <c r="C1639" s="30"/>
      <c r="D1639" s="33"/>
      <c r="E1639" s="34"/>
      <c r="F1639" s="34"/>
      <c r="G1639" s="36"/>
      <c r="H1639" s="34"/>
      <c r="I1639" s="37"/>
    </row>
    <row r="1640" ht="22.5" customHeight="1">
      <c r="A1640" s="30"/>
      <c r="B1640" s="31"/>
      <c r="C1640" s="30"/>
      <c r="D1640" s="33"/>
      <c r="E1640" s="34"/>
      <c r="F1640" s="34"/>
      <c r="G1640" s="36"/>
      <c r="H1640" s="34"/>
      <c r="I1640" s="37"/>
    </row>
    <row r="1641" ht="22.5" customHeight="1">
      <c r="A1641" s="30"/>
      <c r="B1641" s="31"/>
      <c r="C1641" s="30"/>
      <c r="D1641" s="33"/>
      <c r="E1641" s="34"/>
      <c r="F1641" s="34"/>
      <c r="G1641" s="36"/>
      <c r="H1641" s="34"/>
      <c r="I1641" s="37"/>
    </row>
    <row r="1642" ht="22.5" customHeight="1">
      <c r="A1642" s="30"/>
      <c r="B1642" s="31"/>
      <c r="C1642" s="30"/>
      <c r="D1642" s="33"/>
      <c r="E1642" s="34"/>
      <c r="F1642" s="34"/>
      <c r="G1642" s="36"/>
      <c r="H1642" s="34"/>
      <c r="I1642" s="37"/>
    </row>
    <row r="1643" ht="22.5" customHeight="1">
      <c r="A1643" s="30"/>
      <c r="B1643" s="31"/>
      <c r="C1643" s="30"/>
      <c r="D1643" s="33"/>
      <c r="E1643" s="34"/>
      <c r="F1643" s="34"/>
      <c r="G1643" s="36"/>
      <c r="H1643" s="34"/>
      <c r="I1643" s="37"/>
    </row>
    <row r="1644" ht="22.5" customHeight="1">
      <c r="A1644" s="30"/>
      <c r="B1644" s="31"/>
      <c r="C1644" s="30"/>
      <c r="D1644" s="33"/>
      <c r="E1644" s="34"/>
      <c r="F1644" s="34"/>
      <c r="G1644" s="36"/>
      <c r="H1644" s="34"/>
      <c r="I1644" s="37"/>
    </row>
    <row r="1645" ht="22.5" customHeight="1">
      <c r="A1645" s="30"/>
      <c r="B1645" s="31"/>
      <c r="C1645" s="30"/>
      <c r="D1645" s="33"/>
      <c r="E1645" s="34"/>
      <c r="F1645" s="34"/>
      <c r="G1645" s="36"/>
      <c r="H1645" s="34"/>
      <c r="I1645" s="37"/>
    </row>
    <row r="1646" ht="22.5" customHeight="1">
      <c r="A1646" s="30"/>
      <c r="B1646" s="31"/>
      <c r="C1646" s="30"/>
      <c r="D1646" s="33"/>
      <c r="E1646" s="34"/>
      <c r="F1646" s="34"/>
      <c r="G1646" s="36"/>
      <c r="H1646" s="34"/>
      <c r="I1646" s="37"/>
    </row>
    <row r="1647" ht="22.5" customHeight="1">
      <c r="A1647" s="30"/>
      <c r="B1647" s="31"/>
      <c r="C1647" s="30"/>
      <c r="D1647" s="33"/>
      <c r="E1647" s="34"/>
      <c r="F1647" s="34"/>
      <c r="G1647" s="36"/>
      <c r="H1647" s="34"/>
      <c r="I1647" s="37"/>
    </row>
    <row r="1648" ht="22.5" customHeight="1">
      <c r="A1648" s="30"/>
      <c r="B1648" s="31"/>
      <c r="C1648" s="30"/>
      <c r="D1648" s="33"/>
      <c r="E1648" s="34"/>
      <c r="F1648" s="34"/>
      <c r="G1648" s="36"/>
      <c r="H1648" s="34"/>
      <c r="I1648" s="37"/>
    </row>
    <row r="1649" ht="22.5" customHeight="1">
      <c r="A1649" s="30"/>
      <c r="B1649" s="31"/>
      <c r="C1649" s="30"/>
      <c r="D1649" s="33"/>
      <c r="E1649" s="34"/>
      <c r="F1649" s="34"/>
      <c r="G1649" s="36"/>
      <c r="H1649" s="34"/>
      <c r="I1649" s="37"/>
    </row>
    <row r="1650" ht="22.5" customHeight="1">
      <c r="A1650" s="30"/>
      <c r="B1650" s="31"/>
      <c r="C1650" s="30"/>
      <c r="D1650" s="33"/>
      <c r="E1650" s="34"/>
      <c r="F1650" s="34"/>
      <c r="G1650" s="36"/>
      <c r="H1650" s="34"/>
      <c r="I1650" s="37"/>
    </row>
    <row r="1651" ht="22.5" customHeight="1">
      <c r="A1651" s="30"/>
      <c r="B1651" s="31"/>
      <c r="C1651" s="30"/>
      <c r="D1651" s="33"/>
      <c r="E1651" s="34"/>
      <c r="F1651" s="34"/>
      <c r="G1651" s="36"/>
      <c r="H1651" s="34"/>
      <c r="I1651" s="37"/>
    </row>
    <row r="1652" ht="22.5" customHeight="1">
      <c r="A1652" s="30"/>
      <c r="B1652" s="31"/>
      <c r="C1652" s="30"/>
      <c r="D1652" s="33"/>
      <c r="E1652" s="34"/>
      <c r="F1652" s="34"/>
      <c r="G1652" s="36"/>
      <c r="H1652" s="34"/>
      <c r="I1652" s="37"/>
    </row>
    <row r="1653" ht="22.5" customHeight="1">
      <c r="A1653" s="30"/>
      <c r="B1653" s="31"/>
      <c r="C1653" s="30"/>
      <c r="D1653" s="33"/>
      <c r="E1653" s="34"/>
      <c r="F1653" s="34"/>
      <c r="G1653" s="36"/>
      <c r="H1653" s="34"/>
      <c r="I1653" s="37"/>
    </row>
    <row r="1654" ht="22.5" customHeight="1">
      <c r="A1654" s="30"/>
      <c r="B1654" s="31"/>
      <c r="C1654" s="30"/>
      <c r="D1654" s="33"/>
      <c r="E1654" s="34"/>
      <c r="F1654" s="34"/>
      <c r="G1654" s="36"/>
      <c r="H1654" s="34"/>
      <c r="I1654" s="37"/>
    </row>
    <row r="1655" ht="22.5" customHeight="1">
      <c r="A1655" s="30"/>
      <c r="B1655" s="31"/>
      <c r="C1655" s="30"/>
      <c r="D1655" s="33"/>
      <c r="E1655" s="34"/>
      <c r="F1655" s="34"/>
      <c r="G1655" s="36"/>
      <c r="H1655" s="34"/>
      <c r="I1655" s="37"/>
    </row>
    <row r="1656" ht="22.5" customHeight="1">
      <c r="A1656" s="30"/>
      <c r="B1656" s="31"/>
      <c r="C1656" s="30"/>
      <c r="D1656" s="33"/>
      <c r="E1656" s="34"/>
      <c r="F1656" s="34"/>
      <c r="G1656" s="36"/>
      <c r="H1656" s="34"/>
      <c r="I1656" s="37"/>
    </row>
    <row r="1657" ht="22.5" customHeight="1">
      <c r="A1657" s="30"/>
      <c r="B1657" s="31"/>
      <c r="C1657" s="30"/>
      <c r="D1657" s="33"/>
      <c r="E1657" s="34"/>
      <c r="F1657" s="34"/>
      <c r="G1657" s="36"/>
      <c r="H1657" s="34"/>
      <c r="I1657" s="37"/>
    </row>
    <row r="1658" ht="22.5" customHeight="1">
      <c r="A1658" s="30"/>
      <c r="B1658" s="31"/>
      <c r="C1658" s="30"/>
      <c r="D1658" s="33"/>
      <c r="E1658" s="34"/>
      <c r="F1658" s="34"/>
      <c r="G1658" s="36"/>
      <c r="H1658" s="34"/>
      <c r="I1658" s="37"/>
    </row>
    <row r="1659" ht="22.5" customHeight="1">
      <c r="A1659" s="30"/>
      <c r="B1659" s="31"/>
      <c r="C1659" s="30"/>
      <c r="D1659" s="33"/>
      <c r="E1659" s="34"/>
      <c r="F1659" s="34"/>
      <c r="G1659" s="36"/>
      <c r="H1659" s="34"/>
      <c r="I1659" s="37"/>
    </row>
    <row r="1660" ht="22.5" customHeight="1">
      <c r="A1660" s="30"/>
      <c r="B1660" s="31"/>
      <c r="C1660" s="30"/>
      <c r="D1660" s="33"/>
      <c r="E1660" s="34"/>
      <c r="F1660" s="34"/>
      <c r="G1660" s="36"/>
      <c r="H1660" s="34"/>
      <c r="I1660" s="37"/>
    </row>
    <row r="1661" ht="22.5" customHeight="1">
      <c r="A1661" s="30"/>
      <c r="B1661" s="31"/>
      <c r="C1661" s="30"/>
      <c r="D1661" s="33"/>
      <c r="E1661" s="34"/>
      <c r="F1661" s="34"/>
      <c r="G1661" s="36"/>
      <c r="H1661" s="34"/>
      <c r="I1661" s="37"/>
    </row>
    <row r="1662" ht="22.5" customHeight="1">
      <c r="A1662" s="30"/>
      <c r="B1662" s="31"/>
      <c r="C1662" s="30"/>
      <c r="D1662" s="33"/>
      <c r="E1662" s="34"/>
      <c r="F1662" s="34"/>
      <c r="G1662" s="36"/>
      <c r="H1662" s="34"/>
      <c r="I1662" s="37"/>
    </row>
    <row r="1663" ht="22.5" customHeight="1">
      <c r="A1663" s="30"/>
      <c r="B1663" s="31"/>
      <c r="C1663" s="30"/>
      <c r="D1663" s="33"/>
      <c r="E1663" s="34"/>
      <c r="F1663" s="34"/>
      <c r="G1663" s="36"/>
      <c r="H1663" s="34"/>
      <c r="I1663" s="37"/>
    </row>
    <row r="1664" ht="22.5" customHeight="1">
      <c r="A1664" s="30"/>
      <c r="B1664" s="31"/>
      <c r="C1664" s="30"/>
      <c r="D1664" s="33"/>
      <c r="E1664" s="34"/>
      <c r="F1664" s="34"/>
      <c r="G1664" s="36"/>
      <c r="H1664" s="34"/>
      <c r="I1664" s="37"/>
    </row>
    <row r="1665" ht="22.5" customHeight="1">
      <c r="A1665" s="30"/>
      <c r="B1665" s="31"/>
      <c r="C1665" s="30"/>
      <c r="D1665" s="33"/>
      <c r="E1665" s="34"/>
      <c r="F1665" s="34"/>
      <c r="G1665" s="36"/>
      <c r="H1665" s="34"/>
      <c r="I1665" s="37"/>
    </row>
    <row r="1666" ht="22.5" customHeight="1">
      <c r="A1666" s="30"/>
      <c r="B1666" s="31"/>
      <c r="C1666" s="30"/>
      <c r="D1666" s="33"/>
      <c r="E1666" s="34"/>
      <c r="F1666" s="34"/>
      <c r="G1666" s="36"/>
      <c r="H1666" s="34"/>
      <c r="I1666" s="37"/>
    </row>
    <row r="1667" ht="22.5" customHeight="1">
      <c r="A1667" s="30"/>
      <c r="B1667" s="31"/>
      <c r="C1667" s="30"/>
      <c r="D1667" s="33"/>
      <c r="E1667" s="34"/>
      <c r="F1667" s="34"/>
      <c r="G1667" s="36"/>
      <c r="H1667" s="34"/>
      <c r="I1667" s="37"/>
    </row>
    <row r="1668" ht="22.5" customHeight="1">
      <c r="A1668" s="30"/>
      <c r="B1668" s="31"/>
      <c r="C1668" s="30"/>
      <c r="D1668" s="33"/>
      <c r="E1668" s="34"/>
      <c r="F1668" s="34"/>
      <c r="G1668" s="36"/>
      <c r="H1668" s="34"/>
      <c r="I1668" s="37"/>
    </row>
    <row r="1669" ht="22.5" customHeight="1">
      <c r="A1669" s="30"/>
      <c r="B1669" s="31"/>
      <c r="C1669" s="30"/>
      <c r="D1669" s="33"/>
      <c r="E1669" s="34"/>
      <c r="F1669" s="34"/>
      <c r="G1669" s="36"/>
      <c r="H1669" s="34"/>
      <c r="I1669" s="37"/>
    </row>
    <row r="1670" ht="22.5" customHeight="1">
      <c r="A1670" s="30"/>
      <c r="B1670" s="31"/>
      <c r="C1670" s="30"/>
      <c r="D1670" s="33"/>
      <c r="E1670" s="34"/>
      <c r="F1670" s="34"/>
      <c r="G1670" s="36"/>
      <c r="H1670" s="34"/>
      <c r="I1670" s="37"/>
    </row>
    <row r="1671" ht="22.5" customHeight="1">
      <c r="A1671" s="30"/>
      <c r="B1671" s="31"/>
      <c r="C1671" s="30"/>
      <c r="D1671" s="33"/>
      <c r="E1671" s="34"/>
      <c r="F1671" s="34"/>
      <c r="G1671" s="36"/>
      <c r="H1671" s="34"/>
      <c r="I1671" s="37"/>
    </row>
    <row r="1672" ht="22.5" customHeight="1">
      <c r="A1672" s="30"/>
      <c r="B1672" s="31"/>
      <c r="C1672" s="30"/>
      <c r="D1672" s="33"/>
      <c r="E1672" s="34"/>
      <c r="F1672" s="34"/>
      <c r="G1672" s="36"/>
      <c r="H1672" s="34"/>
      <c r="I1672" s="37"/>
    </row>
    <row r="1673" ht="22.5" customHeight="1">
      <c r="A1673" s="30"/>
      <c r="B1673" s="31"/>
      <c r="C1673" s="30"/>
      <c r="D1673" s="33"/>
      <c r="E1673" s="34"/>
      <c r="F1673" s="34"/>
      <c r="G1673" s="36"/>
      <c r="H1673" s="34"/>
      <c r="I1673" s="37"/>
    </row>
    <row r="1674" ht="22.5" customHeight="1">
      <c r="A1674" s="30"/>
      <c r="B1674" s="31"/>
      <c r="C1674" s="30"/>
      <c r="D1674" s="33"/>
      <c r="E1674" s="34"/>
      <c r="F1674" s="34"/>
      <c r="G1674" s="36"/>
      <c r="H1674" s="34"/>
      <c r="I1674" s="37"/>
    </row>
    <row r="1675" ht="22.5" customHeight="1">
      <c r="A1675" s="30"/>
      <c r="B1675" s="31"/>
      <c r="C1675" s="30"/>
      <c r="D1675" s="33"/>
      <c r="E1675" s="34"/>
      <c r="F1675" s="34"/>
      <c r="G1675" s="36"/>
      <c r="H1675" s="34"/>
      <c r="I1675" s="37"/>
    </row>
    <row r="1676" ht="22.5" customHeight="1">
      <c r="A1676" s="30"/>
      <c r="B1676" s="31"/>
      <c r="C1676" s="30"/>
      <c r="D1676" s="33"/>
      <c r="E1676" s="34"/>
      <c r="F1676" s="34"/>
      <c r="G1676" s="36"/>
      <c r="H1676" s="34"/>
      <c r="I1676" s="37"/>
    </row>
    <row r="1677" ht="22.5" customHeight="1">
      <c r="A1677" s="30"/>
      <c r="B1677" s="31"/>
      <c r="C1677" s="30"/>
      <c r="D1677" s="33"/>
      <c r="E1677" s="34"/>
      <c r="F1677" s="34"/>
      <c r="G1677" s="36"/>
      <c r="H1677" s="34"/>
      <c r="I1677" s="37"/>
    </row>
    <row r="1678" ht="22.5" customHeight="1">
      <c r="A1678" s="30"/>
      <c r="B1678" s="31"/>
      <c r="C1678" s="30"/>
      <c r="D1678" s="33"/>
      <c r="E1678" s="34"/>
      <c r="F1678" s="34"/>
      <c r="G1678" s="36"/>
      <c r="H1678" s="34"/>
      <c r="I1678" s="37"/>
    </row>
    <row r="1679" ht="22.5" customHeight="1">
      <c r="A1679" s="30"/>
      <c r="B1679" s="31"/>
      <c r="C1679" s="30"/>
      <c r="D1679" s="33"/>
      <c r="E1679" s="34"/>
      <c r="F1679" s="34"/>
      <c r="G1679" s="36"/>
      <c r="H1679" s="34"/>
      <c r="I1679" s="37"/>
    </row>
    <row r="1680" ht="22.5" customHeight="1">
      <c r="A1680" s="30"/>
      <c r="B1680" s="31"/>
      <c r="C1680" s="30"/>
      <c r="D1680" s="33"/>
      <c r="E1680" s="34"/>
      <c r="F1680" s="34"/>
      <c r="G1680" s="36"/>
      <c r="H1680" s="34"/>
      <c r="I1680" s="37"/>
    </row>
    <row r="1681" ht="22.5" customHeight="1">
      <c r="A1681" s="30"/>
      <c r="B1681" s="31"/>
      <c r="C1681" s="30"/>
      <c r="D1681" s="33"/>
      <c r="E1681" s="34"/>
      <c r="F1681" s="34"/>
      <c r="G1681" s="36"/>
      <c r="H1681" s="34"/>
      <c r="I1681" s="37"/>
    </row>
    <row r="1682" ht="22.5" customHeight="1">
      <c r="A1682" s="30"/>
      <c r="B1682" s="31"/>
      <c r="C1682" s="30"/>
      <c r="D1682" s="33"/>
      <c r="E1682" s="34"/>
      <c r="F1682" s="34"/>
      <c r="G1682" s="36"/>
      <c r="H1682" s="34"/>
      <c r="I1682" s="37"/>
    </row>
    <row r="1683" ht="22.5" customHeight="1">
      <c r="A1683" s="30"/>
      <c r="B1683" s="31"/>
      <c r="C1683" s="30"/>
      <c r="D1683" s="33"/>
      <c r="E1683" s="34"/>
      <c r="F1683" s="34"/>
      <c r="G1683" s="36"/>
      <c r="H1683" s="34"/>
      <c r="I1683" s="37"/>
    </row>
    <row r="1684" ht="22.5" customHeight="1">
      <c r="A1684" s="30"/>
      <c r="B1684" s="31"/>
      <c r="C1684" s="30"/>
      <c r="D1684" s="33"/>
      <c r="E1684" s="34"/>
      <c r="F1684" s="34"/>
      <c r="G1684" s="36"/>
      <c r="H1684" s="34"/>
      <c r="I1684" s="37"/>
    </row>
    <row r="1685" ht="22.5" customHeight="1">
      <c r="A1685" s="30"/>
      <c r="B1685" s="31"/>
      <c r="C1685" s="30"/>
      <c r="D1685" s="33"/>
      <c r="E1685" s="34"/>
      <c r="F1685" s="34"/>
      <c r="G1685" s="36"/>
      <c r="H1685" s="34"/>
      <c r="I1685" s="37"/>
    </row>
    <row r="1686" ht="22.5" customHeight="1">
      <c r="A1686" s="30"/>
      <c r="B1686" s="31"/>
      <c r="C1686" s="30"/>
      <c r="D1686" s="33"/>
      <c r="E1686" s="34"/>
      <c r="F1686" s="34"/>
      <c r="G1686" s="36"/>
      <c r="H1686" s="34"/>
      <c r="I1686" s="37"/>
    </row>
    <row r="1687" ht="22.5" customHeight="1">
      <c r="A1687" s="30"/>
      <c r="B1687" s="31"/>
      <c r="C1687" s="30"/>
      <c r="D1687" s="33"/>
      <c r="E1687" s="34"/>
      <c r="F1687" s="34"/>
      <c r="G1687" s="36"/>
      <c r="H1687" s="34"/>
      <c r="I1687" s="37"/>
    </row>
    <row r="1688" ht="22.5" customHeight="1">
      <c r="A1688" s="30"/>
      <c r="B1688" s="31"/>
      <c r="C1688" s="30"/>
      <c r="D1688" s="33"/>
      <c r="E1688" s="34"/>
      <c r="F1688" s="34"/>
      <c r="G1688" s="36"/>
      <c r="H1688" s="34"/>
      <c r="I1688" s="37"/>
    </row>
    <row r="1689" ht="22.5" customHeight="1">
      <c r="A1689" s="30"/>
      <c r="B1689" s="31"/>
      <c r="C1689" s="30"/>
      <c r="D1689" s="33"/>
      <c r="E1689" s="34"/>
      <c r="F1689" s="34"/>
      <c r="G1689" s="36"/>
      <c r="H1689" s="34"/>
      <c r="I1689" s="37"/>
    </row>
    <row r="1690" ht="22.5" customHeight="1">
      <c r="A1690" s="30"/>
      <c r="B1690" s="31"/>
      <c r="C1690" s="30"/>
      <c r="D1690" s="33"/>
      <c r="E1690" s="34"/>
      <c r="F1690" s="34"/>
      <c r="G1690" s="36"/>
      <c r="H1690" s="34"/>
      <c r="I1690" s="37"/>
    </row>
    <row r="1691" ht="22.5" customHeight="1">
      <c r="A1691" s="30"/>
      <c r="B1691" s="31"/>
      <c r="C1691" s="30"/>
      <c r="D1691" s="33"/>
      <c r="E1691" s="34"/>
      <c r="F1691" s="34"/>
      <c r="G1691" s="36"/>
      <c r="H1691" s="34"/>
      <c r="I1691" s="37"/>
    </row>
    <row r="1692" ht="22.5" customHeight="1">
      <c r="A1692" s="30"/>
      <c r="B1692" s="31"/>
      <c r="C1692" s="30"/>
      <c r="D1692" s="33"/>
      <c r="E1692" s="34"/>
      <c r="F1692" s="34"/>
      <c r="G1692" s="36"/>
      <c r="H1692" s="34"/>
      <c r="I1692" s="37"/>
    </row>
    <row r="1693" ht="22.5" customHeight="1">
      <c r="A1693" s="30"/>
      <c r="B1693" s="31"/>
      <c r="C1693" s="30"/>
      <c r="D1693" s="33"/>
      <c r="E1693" s="34"/>
      <c r="F1693" s="34"/>
      <c r="G1693" s="36"/>
      <c r="H1693" s="34"/>
      <c r="I1693" s="37"/>
    </row>
    <row r="1694" ht="22.5" customHeight="1">
      <c r="A1694" s="30"/>
      <c r="B1694" s="31"/>
      <c r="C1694" s="30"/>
      <c r="D1694" s="33"/>
      <c r="E1694" s="34"/>
      <c r="F1694" s="34"/>
      <c r="G1694" s="36"/>
      <c r="H1694" s="34"/>
      <c r="I1694" s="37"/>
    </row>
    <row r="1695" ht="22.5" customHeight="1">
      <c r="A1695" s="30"/>
      <c r="B1695" s="31"/>
      <c r="C1695" s="30"/>
      <c r="D1695" s="33"/>
      <c r="E1695" s="34"/>
      <c r="F1695" s="34"/>
      <c r="G1695" s="36"/>
      <c r="H1695" s="34"/>
      <c r="I1695" s="37"/>
    </row>
    <row r="1696" ht="22.5" customHeight="1">
      <c r="A1696" s="30"/>
      <c r="B1696" s="31"/>
      <c r="C1696" s="30"/>
      <c r="D1696" s="33"/>
      <c r="E1696" s="34"/>
      <c r="F1696" s="34"/>
      <c r="G1696" s="36"/>
      <c r="H1696" s="34"/>
      <c r="I1696" s="37"/>
    </row>
    <row r="1697" ht="22.5" customHeight="1">
      <c r="A1697" s="30"/>
      <c r="B1697" s="31"/>
      <c r="C1697" s="30"/>
      <c r="D1697" s="33"/>
      <c r="E1697" s="34"/>
      <c r="F1697" s="34"/>
      <c r="G1697" s="36"/>
      <c r="H1697" s="34"/>
      <c r="I1697" s="37"/>
    </row>
    <row r="1698" ht="22.5" customHeight="1">
      <c r="A1698" s="30"/>
      <c r="B1698" s="31"/>
      <c r="C1698" s="30"/>
      <c r="D1698" s="33"/>
      <c r="E1698" s="34"/>
      <c r="F1698" s="34"/>
      <c r="G1698" s="36"/>
      <c r="H1698" s="34"/>
      <c r="I1698" s="37"/>
    </row>
    <row r="1699" ht="22.5" customHeight="1">
      <c r="A1699" s="30"/>
      <c r="B1699" s="31"/>
      <c r="C1699" s="30"/>
      <c r="D1699" s="33"/>
      <c r="E1699" s="34"/>
      <c r="F1699" s="34"/>
      <c r="G1699" s="36"/>
      <c r="H1699" s="34"/>
      <c r="I1699" s="37"/>
    </row>
    <row r="1700" ht="22.5" customHeight="1">
      <c r="A1700" s="30"/>
      <c r="B1700" s="31"/>
      <c r="C1700" s="30"/>
      <c r="D1700" s="33"/>
      <c r="E1700" s="34"/>
      <c r="F1700" s="34"/>
      <c r="G1700" s="36"/>
      <c r="H1700" s="34"/>
      <c r="I1700" s="37"/>
    </row>
    <row r="1701" ht="22.5" customHeight="1">
      <c r="A1701" s="30"/>
      <c r="B1701" s="31"/>
      <c r="C1701" s="30"/>
      <c r="D1701" s="33"/>
      <c r="E1701" s="34"/>
      <c r="F1701" s="34"/>
      <c r="G1701" s="36"/>
      <c r="H1701" s="34"/>
      <c r="I1701" s="37"/>
    </row>
    <row r="1702" ht="22.5" customHeight="1">
      <c r="A1702" s="41"/>
      <c r="B1702" s="42"/>
      <c r="C1702" s="41"/>
      <c r="D1702" s="43"/>
      <c r="E1702" s="44"/>
      <c r="F1702" s="44"/>
      <c r="G1702" s="45"/>
      <c r="H1702" s="44"/>
      <c r="I1702" s="46"/>
    </row>
    <row r="1703" ht="22.5" customHeight="1">
      <c r="A1703" s="14"/>
      <c r="B1703" s="60"/>
      <c r="C1703" s="14"/>
      <c r="D1703" s="17"/>
      <c r="E1703" s="18"/>
      <c r="F1703" s="18"/>
      <c r="G1703" s="20"/>
      <c r="H1703" s="18"/>
      <c r="I1703" s="21"/>
    </row>
  </sheetData>
  <conditionalFormatting sqref="A5:I1702">
    <cfRule type="expression" dxfId="23" priority="1">
      <formula>$F5="BOLSA DE OXIGÊNIO"</formula>
    </cfRule>
  </conditionalFormatting>
  <conditionalFormatting sqref="A5:I1702">
    <cfRule type="expression" dxfId="17" priority="2">
      <formula>$F5="BOLSA DE SALV. ALTURA"</formula>
    </cfRule>
  </conditionalFormatting>
  <conditionalFormatting sqref="A5:I1702">
    <cfRule type="expression" dxfId="18" priority="3">
      <formula>$F5="BOLSA DE SALV ALTURA VERMELHA LACRADA"</formula>
    </cfRule>
  </conditionalFormatting>
  <conditionalFormatting sqref="A5:I1702">
    <cfRule type="expression" dxfId="19" priority="4">
      <formula>$F5="BOLSA DE SALV ALTURA CINZA LACRADA"</formula>
    </cfRule>
  </conditionalFormatting>
  <conditionalFormatting sqref="A5:I1702">
    <cfRule type="expression" dxfId="20" priority="5">
      <formula>$F5="BOX 06"</formula>
    </cfRule>
  </conditionalFormatting>
  <conditionalFormatting sqref="A5:I1702">
    <cfRule type="expression" dxfId="21" priority="6">
      <formula>$F5="BOX 07"</formula>
    </cfRule>
  </conditionalFormatting>
  <conditionalFormatting sqref="A5:I1702">
    <cfRule type="expression" dxfId="22" priority="7">
      <formula>$F5="BOX 08"</formula>
    </cfRule>
  </conditionalFormatting>
  <conditionalFormatting sqref="A5:I1624">
    <cfRule type="expression" dxfId="24" priority="8">
      <formula>$F5="BOX TRASEIRO"</formula>
    </cfRule>
  </conditionalFormatting>
  <conditionalFormatting sqref="A6:I77">
    <cfRule type="expression" dxfId="25" priority="9">
      <formula>$F6="BOLSA DE RESGATE"</formula>
    </cfRule>
  </conditionalFormatting>
  <conditionalFormatting sqref="A5:I1702">
    <cfRule type="expression" dxfId="6" priority="10">
      <formula>$F5="BOLSA SALV. ALTURA (MERET)"</formula>
    </cfRule>
  </conditionalFormatting>
  <conditionalFormatting sqref="A5:I1702">
    <cfRule type="expression" dxfId="7" priority="11">
      <formula>$F5="BOX 01"</formula>
    </cfRule>
  </conditionalFormatting>
  <conditionalFormatting sqref="A5:I1702">
    <cfRule type="expression" dxfId="8" priority="12">
      <formula>$F5="BOX 02"</formula>
    </cfRule>
  </conditionalFormatting>
  <conditionalFormatting sqref="A5:I1702">
    <cfRule type="expression" dxfId="9" priority="13">
      <formula>$F5="BOX 03"</formula>
    </cfRule>
  </conditionalFormatting>
  <conditionalFormatting sqref="A5:I1702">
    <cfRule type="expression" dxfId="10" priority="14">
      <formula>$F5="BOX 04"</formula>
    </cfRule>
  </conditionalFormatting>
  <conditionalFormatting sqref="A5:I1702">
    <cfRule type="expression" dxfId="11" priority="15">
      <formula>$F5="BOX 05"</formula>
    </cfRule>
  </conditionalFormatting>
  <conditionalFormatting sqref="A5:I1702">
    <cfRule type="expression" dxfId="12" priority="16">
      <formula>$F5="BOX CENTRAL"</formula>
    </cfRule>
  </conditionalFormatting>
  <conditionalFormatting sqref="A5:I1702">
    <cfRule type="expression" dxfId="13" priority="17">
      <formula>$F5="BOX SUPERIOR 01"</formula>
    </cfRule>
  </conditionalFormatting>
  <conditionalFormatting sqref="A5:I1702">
    <cfRule type="expression" dxfId="14" priority="18">
      <formula>$F5="CABINE"</formula>
    </cfRule>
  </conditionalFormatting>
  <conditionalFormatting sqref="A5:I1702">
    <cfRule type="expression" dxfId="15" priority="19">
      <formula>$F5="CARROCERIA"</formula>
    </cfRule>
  </conditionalFormatting>
  <conditionalFormatting sqref="A5:I1702">
    <cfRule type="expression" dxfId="16" priority="20">
      <formula>$F5="CAIXA DE FERRAMENTA"</formula>
    </cfRule>
  </conditionalFormatting>
  <dataValidations>
    <dataValidation type="list" allowBlank="1" sqref="B2">
      <formula1>'Cadastro Automático VTRSEÇÃOMIL'!$C$1:$C1703</formula1>
    </dataValidation>
    <dataValidation allowBlank="1" showDropDown="1" sqref="B5:B1703"/>
    <dataValidation type="list" allowBlank="1" sqref="B1">
      <formula1>'Cadastro Automático VTRSEÇÃOMIL'!$B$1:$B1703</formula1>
    </dataValidation>
  </dataValidations>
  <printOptions gridLines="1" horizontalCentered="1"/>
  <pageMargins bottom="0.75" footer="0.0" header="0.0" left="0.25" right="0.25" top="0.75"/>
  <pageSetup fitToHeight="0" paperSize="9" cellComments="atEnd" orientation="portrait" pageOrder="overThenDown"/>
  <drawing r:id="rId1"/>
  <tableParts count="2">
    <tablePart r:id="rId4"/>
    <tablePart r:id="rId5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20.38"/>
    <col customWidth="1" min="2" max="2" width="50.13"/>
    <col customWidth="1" min="3" max="3" width="9.5"/>
    <col customWidth="1" min="4" max="4" width="14.0"/>
    <col customWidth="1" min="5" max="5" width="17.75"/>
    <col customWidth="1" min="6" max="6" width="30.5"/>
    <col customWidth="1" min="7" max="7" width="14.25"/>
    <col customWidth="1" min="8" max="8" width="31.25"/>
    <col customWidth="1" min="9" max="9" width="81.38"/>
  </cols>
  <sheetData>
    <row r="1" ht="21.0" customHeight="1">
      <c r="A1" s="1" t="s">
        <v>0</v>
      </c>
      <c r="B1" s="48" t="s">
        <v>19</v>
      </c>
      <c r="C1" s="3"/>
      <c r="D1" s="3"/>
      <c r="E1" s="3"/>
      <c r="F1" s="3"/>
      <c r="G1" s="4"/>
      <c r="H1" s="49"/>
      <c r="I1" s="5"/>
    </row>
    <row r="2" ht="17.25" customHeight="1">
      <c r="A2" s="1" t="s">
        <v>2</v>
      </c>
      <c r="B2" s="77"/>
      <c r="C2" s="3"/>
      <c r="D2" s="3"/>
      <c r="E2" s="3"/>
      <c r="F2" s="3"/>
      <c r="G2" s="4"/>
      <c r="H2" s="4"/>
      <c r="I2" s="5"/>
    </row>
    <row r="3" ht="30.0" customHeight="1">
      <c r="A3" s="3"/>
      <c r="B3" s="3"/>
      <c r="C3" s="3"/>
      <c r="D3" s="3"/>
      <c r="E3" s="3"/>
      <c r="F3" s="3"/>
      <c r="G3" s="4"/>
      <c r="H3" s="49"/>
      <c r="I3" s="8"/>
    </row>
    <row r="4" ht="37.5" customHeight="1">
      <c r="A4" s="9" t="s">
        <v>14</v>
      </c>
      <c r="B4" s="10" t="s">
        <v>4</v>
      </c>
      <c r="C4" s="11" t="s">
        <v>5</v>
      </c>
      <c r="D4" s="12" t="s">
        <v>6</v>
      </c>
      <c r="E4" s="12" t="s">
        <v>0</v>
      </c>
      <c r="F4" s="12" t="s">
        <v>7</v>
      </c>
      <c r="G4" s="11" t="s">
        <v>8</v>
      </c>
      <c r="H4" s="50" t="s">
        <v>9</v>
      </c>
      <c r="I4" s="13" t="s">
        <v>10</v>
      </c>
    </row>
    <row r="5" ht="22.5" customHeight="1">
      <c r="A5" s="22"/>
      <c r="B5" s="23"/>
      <c r="C5" s="24"/>
      <c r="D5" s="25"/>
      <c r="E5" s="26"/>
      <c r="F5" s="26"/>
      <c r="G5" s="27"/>
      <c r="H5" s="26"/>
      <c r="I5" s="29"/>
    </row>
    <row r="6" ht="25.5" customHeight="1">
      <c r="A6" s="30">
        <f>IFERROR(__xludf.DUMMYFUNCTION("IF(B2&lt;&gt;"""",FILTER('Planilhas compilada ordem alfab'!A2:I1703,'Planilhas compilada ordem alfab'!E2:E1703=B1,'Planilhas compilada ordem alfab'!F2:F1703=B2),FILTER('Planilhas compilada ordem alfab'!A2:I1703,'Planilhas compilada ordem alfab'!E2:E1703=B1))"),168.0)</f>
        <v>168</v>
      </c>
      <c r="B6" s="31" t="str">
        <f>IFERROR(__xludf.DUMMYFUNCTION("""COMPUTED_VALUE"""),"ABRIDOR DE MANDÍBULA")</f>
        <v>ABRIDOR DE MANDÍBULA</v>
      </c>
      <c r="C6" s="32">
        <f>IFERROR(__xludf.DUMMYFUNCTION("""COMPUTED_VALUE"""),1.0)</f>
        <v>1</v>
      </c>
      <c r="D6" s="33" t="str">
        <f>IFERROR(__xludf.DUMMYFUNCTION("""COMPUTED_VALUE"""),"VIATURA")</f>
        <v>VIATURA</v>
      </c>
      <c r="E6" s="34" t="str">
        <f>IFERROR(__xludf.DUMMYFUNCTION("""COMPUTED_VALUE"""),"1 - ABTS5911")</f>
        <v>1 - ABTS5911</v>
      </c>
      <c r="F6" s="34" t="str">
        <f>IFERROR(__xludf.DUMMYFUNCTION("""COMPUTED_VALUE"""),"BOLSA DE RESGATE")</f>
        <v>BOLSA DE RESGATE</v>
      </c>
      <c r="G6" s="35">
        <f>IFERROR(__xludf.DUMMYFUNCTION("""COMPUTED_VALUE"""),45525.0)</f>
        <v>45525</v>
      </c>
      <c r="H6" s="34"/>
      <c r="I6" s="37"/>
    </row>
    <row r="7" ht="22.5" customHeight="1">
      <c r="A7" s="30">
        <f>IFERROR(__xludf.DUMMYFUNCTION("""COMPUTED_VALUE"""),151.0)</f>
        <v>151</v>
      </c>
      <c r="B7" s="31" t="str">
        <f>IFERROR(__xludf.DUMMYFUNCTION("""COMPUTED_VALUE"""),"AMBÚ  ADULTO")</f>
        <v>AMBÚ  ADULTO</v>
      </c>
      <c r="C7" s="32">
        <f>IFERROR(__xludf.DUMMYFUNCTION("""COMPUTED_VALUE"""),1.0)</f>
        <v>1</v>
      </c>
      <c r="D7" s="33" t="str">
        <f>IFERROR(__xludf.DUMMYFUNCTION("""COMPUTED_VALUE"""),"VIATURA")</f>
        <v>VIATURA</v>
      </c>
      <c r="E7" s="34" t="str">
        <f>IFERROR(__xludf.DUMMYFUNCTION("""COMPUTED_VALUE"""),"1 - ABTS5911")</f>
        <v>1 - ABTS5911</v>
      </c>
      <c r="F7" s="34" t="str">
        <f>IFERROR(__xludf.DUMMYFUNCTION("""COMPUTED_VALUE"""),"BOLSA DE RESGATE")</f>
        <v>BOLSA DE RESGATE</v>
      </c>
      <c r="G7" s="35">
        <f>IFERROR(__xludf.DUMMYFUNCTION("""COMPUTED_VALUE"""),45525.0)</f>
        <v>45525</v>
      </c>
      <c r="H7" s="34"/>
      <c r="I7" s="37"/>
    </row>
    <row r="8" ht="22.5" customHeight="1">
      <c r="A8" s="30">
        <f>IFERROR(__xludf.DUMMYFUNCTION("""COMPUTED_VALUE"""),152.0)</f>
        <v>152</v>
      </c>
      <c r="B8" s="31" t="str">
        <f>IFERROR(__xludf.DUMMYFUNCTION("""COMPUTED_VALUE"""),"ASPIRADOR DE SECREÇÃO MANUAL TIPO PERA")</f>
        <v>ASPIRADOR DE SECREÇÃO MANUAL TIPO PERA</v>
      </c>
      <c r="C8" s="32">
        <f>IFERROR(__xludf.DUMMYFUNCTION("""COMPUTED_VALUE"""),1.0)</f>
        <v>1</v>
      </c>
      <c r="D8" s="33" t="str">
        <f>IFERROR(__xludf.DUMMYFUNCTION("""COMPUTED_VALUE"""),"VIATURA")</f>
        <v>VIATURA</v>
      </c>
      <c r="E8" s="34" t="str">
        <f>IFERROR(__xludf.DUMMYFUNCTION("""COMPUTED_VALUE"""),"1 - ABTS5911")</f>
        <v>1 - ABTS5911</v>
      </c>
      <c r="F8" s="34" t="str">
        <f>IFERROR(__xludf.DUMMYFUNCTION("""COMPUTED_VALUE"""),"BOLSA DE RESGATE")</f>
        <v>BOLSA DE RESGATE</v>
      </c>
      <c r="G8" s="35">
        <f>IFERROR(__xludf.DUMMYFUNCTION("""COMPUTED_VALUE"""),45525.0)</f>
        <v>45525</v>
      </c>
      <c r="H8" s="34"/>
      <c r="I8" s="38"/>
    </row>
    <row r="9" ht="22.5" customHeight="1">
      <c r="A9" s="30">
        <f>IFERROR(__xludf.DUMMYFUNCTION("""COMPUTED_VALUE"""),160.0)</f>
        <v>160</v>
      </c>
      <c r="B9" s="39" t="str">
        <f>IFERROR(__xludf.DUMMYFUNCTION("""COMPUTED_VALUE"""),"ATADURAS")</f>
        <v>ATADURAS</v>
      </c>
      <c r="C9" s="32">
        <f>IFERROR(__xludf.DUMMYFUNCTION("""COMPUTED_VALUE"""),10.0)</f>
        <v>10</v>
      </c>
      <c r="D9" s="33" t="str">
        <f>IFERROR(__xludf.DUMMYFUNCTION("""COMPUTED_VALUE"""),"VIATURA")</f>
        <v>VIATURA</v>
      </c>
      <c r="E9" s="34" t="str">
        <f>IFERROR(__xludf.DUMMYFUNCTION("""COMPUTED_VALUE"""),"1 - ABTS5911")</f>
        <v>1 - ABTS5911</v>
      </c>
      <c r="F9" s="34" t="str">
        <f>IFERROR(__xludf.DUMMYFUNCTION("""COMPUTED_VALUE"""),"BOLSA DE RESGATE")</f>
        <v>BOLSA DE RESGATE</v>
      </c>
      <c r="G9" s="35">
        <f>IFERROR(__xludf.DUMMYFUNCTION("""COMPUTED_VALUE"""),45525.0)</f>
        <v>45525</v>
      </c>
      <c r="H9" s="34"/>
      <c r="I9" s="37"/>
    </row>
    <row r="10" ht="22.5" customHeight="1">
      <c r="A10" s="30">
        <f>IFERROR(__xludf.DUMMYFUNCTION("""COMPUTED_VALUE"""),161.0)</f>
        <v>161</v>
      </c>
      <c r="B10" s="31" t="str">
        <f>IFERROR(__xludf.DUMMYFUNCTION("""COMPUTED_VALUE"""),"CAIXA DE LUVAS DESCARTÁVEIS G")</f>
        <v>CAIXA DE LUVAS DESCARTÁVEIS G</v>
      </c>
      <c r="C10" s="32">
        <f>IFERROR(__xludf.DUMMYFUNCTION("""COMPUTED_VALUE"""),1.0)</f>
        <v>1</v>
      </c>
      <c r="D10" s="33" t="str">
        <f>IFERROR(__xludf.DUMMYFUNCTION("""COMPUTED_VALUE"""),"VIATURA")</f>
        <v>VIATURA</v>
      </c>
      <c r="E10" s="34" t="str">
        <f>IFERROR(__xludf.DUMMYFUNCTION("""COMPUTED_VALUE"""),"1 - ABTS5911")</f>
        <v>1 - ABTS5911</v>
      </c>
      <c r="F10" s="34" t="str">
        <f>IFERROR(__xludf.DUMMYFUNCTION("""COMPUTED_VALUE"""),"BOLSA DE RESGATE")</f>
        <v>BOLSA DE RESGATE</v>
      </c>
      <c r="G10" s="35">
        <f>IFERROR(__xludf.DUMMYFUNCTION("""COMPUTED_VALUE"""),45525.0)</f>
        <v>45525</v>
      </c>
      <c r="H10" s="34"/>
      <c r="I10" s="37"/>
    </row>
    <row r="11" ht="22.5" customHeight="1">
      <c r="A11" s="30">
        <f>IFERROR(__xludf.DUMMYFUNCTION("""COMPUTED_VALUE"""),162.0)</f>
        <v>162</v>
      </c>
      <c r="B11" s="31" t="str">
        <f>IFERROR(__xludf.DUMMYFUNCTION("""COMPUTED_VALUE"""),"CAIXA DE LUVAS DESCARTÁVEIS M")</f>
        <v>CAIXA DE LUVAS DESCARTÁVEIS M</v>
      </c>
      <c r="C11" s="32">
        <f>IFERROR(__xludf.DUMMYFUNCTION("""COMPUTED_VALUE"""),1.0)</f>
        <v>1</v>
      </c>
      <c r="D11" s="33" t="str">
        <f>IFERROR(__xludf.DUMMYFUNCTION("""COMPUTED_VALUE"""),"VIATURA")</f>
        <v>VIATURA</v>
      </c>
      <c r="E11" s="34" t="str">
        <f>IFERROR(__xludf.DUMMYFUNCTION("""COMPUTED_VALUE"""),"1 - ABTS5911")</f>
        <v>1 - ABTS5911</v>
      </c>
      <c r="F11" s="34" t="str">
        <f>IFERROR(__xludf.DUMMYFUNCTION("""COMPUTED_VALUE"""),"BOLSA DE RESGATE")</f>
        <v>BOLSA DE RESGATE</v>
      </c>
      <c r="G11" s="35">
        <f>IFERROR(__xludf.DUMMYFUNCTION("""COMPUTED_VALUE"""),45525.0)</f>
        <v>45525</v>
      </c>
      <c r="H11" s="34"/>
      <c r="I11" s="37"/>
    </row>
    <row r="12" ht="22.5" customHeight="1">
      <c r="A12" s="30">
        <f>IFERROR(__xludf.DUMMYFUNCTION("""COMPUTED_VALUE"""),163.0)</f>
        <v>163</v>
      </c>
      <c r="B12" s="31" t="str">
        <f>IFERROR(__xludf.DUMMYFUNCTION("""COMPUTED_VALUE"""),"CAIXA DE MASCARAS TRIPLA DESCARTÁVEL")</f>
        <v>CAIXA DE MASCARAS TRIPLA DESCARTÁVEL</v>
      </c>
      <c r="C12" s="32">
        <f>IFERROR(__xludf.DUMMYFUNCTION("""COMPUTED_VALUE"""),1.0)</f>
        <v>1</v>
      </c>
      <c r="D12" s="33" t="str">
        <f>IFERROR(__xludf.DUMMYFUNCTION("""COMPUTED_VALUE"""),"VIATURA")</f>
        <v>VIATURA</v>
      </c>
      <c r="E12" s="34" t="str">
        <f>IFERROR(__xludf.DUMMYFUNCTION("""COMPUTED_VALUE"""),"1 - ABTS5911")</f>
        <v>1 - ABTS5911</v>
      </c>
      <c r="F12" s="34" t="str">
        <f>IFERROR(__xludf.DUMMYFUNCTION("""COMPUTED_VALUE"""),"BOLSA DE RESGATE")</f>
        <v>BOLSA DE RESGATE</v>
      </c>
      <c r="G12" s="35">
        <f>IFERROR(__xludf.DUMMYFUNCTION("""COMPUTED_VALUE"""),45525.0)</f>
        <v>45525</v>
      </c>
      <c r="H12" s="34"/>
      <c r="I12" s="37"/>
    </row>
    <row r="13" ht="22.5" customHeight="1">
      <c r="A13" s="30">
        <f>IFERROR(__xludf.DUMMYFUNCTION("""COMPUTED_VALUE"""),159.0)</f>
        <v>159</v>
      </c>
      <c r="B13" s="39" t="str">
        <f>IFERROR(__xludf.DUMMYFUNCTION("""COMPUTED_VALUE"""),"CAMPO OPERATÓRIO")</f>
        <v>CAMPO OPERATÓRIO</v>
      </c>
      <c r="C13" s="32">
        <f>IFERROR(__xludf.DUMMYFUNCTION("""COMPUTED_VALUE"""),2.0)</f>
        <v>2</v>
      </c>
      <c r="D13" s="33" t="str">
        <f>IFERROR(__xludf.DUMMYFUNCTION("""COMPUTED_VALUE"""),"VIATURA")</f>
        <v>VIATURA</v>
      </c>
      <c r="E13" s="34" t="str">
        <f>IFERROR(__xludf.DUMMYFUNCTION("""COMPUTED_VALUE"""),"1 - ABTS5911")</f>
        <v>1 - ABTS5911</v>
      </c>
      <c r="F13" s="34" t="str">
        <f>IFERROR(__xludf.DUMMYFUNCTION("""COMPUTED_VALUE"""),"BOLSA DE RESGATE")</f>
        <v>BOLSA DE RESGATE</v>
      </c>
      <c r="G13" s="35">
        <f>IFERROR(__xludf.DUMMYFUNCTION("""COMPUTED_VALUE"""),45525.0)</f>
        <v>45525</v>
      </c>
      <c r="H13" s="34"/>
      <c r="I13" s="37"/>
    </row>
    <row r="14" ht="22.5" customHeight="1">
      <c r="A14" s="30">
        <f>IFERROR(__xludf.DUMMYFUNCTION("""COMPUTED_VALUE"""),155.0)</f>
        <v>155</v>
      </c>
      <c r="B14" s="31" t="str">
        <f>IFERROR(__xludf.DUMMYFUNCTION("""COMPUTED_VALUE"""),"CÂNULAS DE GUEDEL  Nº 0, 2, 3, 4, 5")</f>
        <v>CÂNULAS DE GUEDEL  Nº 0, 2, 3, 4, 5</v>
      </c>
      <c r="C14" s="32">
        <f>IFERROR(__xludf.DUMMYFUNCTION("""COMPUTED_VALUE"""),5.0)</f>
        <v>5</v>
      </c>
      <c r="D14" s="33" t="str">
        <f>IFERROR(__xludf.DUMMYFUNCTION("""COMPUTED_VALUE"""),"VIATURA")</f>
        <v>VIATURA</v>
      </c>
      <c r="E14" s="34" t="str">
        <f>IFERROR(__xludf.DUMMYFUNCTION("""COMPUTED_VALUE"""),"1 - ABTS5911")</f>
        <v>1 - ABTS5911</v>
      </c>
      <c r="F14" s="34" t="str">
        <f>IFERROR(__xludf.DUMMYFUNCTION("""COMPUTED_VALUE"""),"BOLSA DE RESGATE")</f>
        <v>BOLSA DE RESGATE</v>
      </c>
      <c r="G14" s="35">
        <f>IFERROR(__xludf.DUMMYFUNCTION("""COMPUTED_VALUE"""),45525.0)</f>
        <v>45525</v>
      </c>
      <c r="H14" s="34"/>
      <c r="I14" s="37"/>
    </row>
    <row r="15" ht="22.5" customHeight="1">
      <c r="A15" s="30">
        <f>IFERROR(__xludf.DUMMYFUNCTION("""COMPUTED_VALUE"""),167.0)</f>
        <v>167</v>
      </c>
      <c r="B15" s="39" t="str">
        <f>IFERROR(__xludf.DUMMYFUNCTION("""COMPUTED_VALUE"""),"COLAR CERVICAL")</f>
        <v>COLAR CERVICAL</v>
      </c>
      <c r="C15" s="32">
        <f>IFERROR(__xludf.DUMMYFUNCTION("""COMPUTED_VALUE"""),3.0)</f>
        <v>3</v>
      </c>
      <c r="D15" s="33" t="str">
        <f>IFERROR(__xludf.DUMMYFUNCTION("""COMPUTED_VALUE"""),"VIATURA")</f>
        <v>VIATURA</v>
      </c>
      <c r="E15" s="34" t="str">
        <f>IFERROR(__xludf.DUMMYFUNCTION("""COMPUTED_VALUE"""),"1 - ABTS5911")</f>
        <v>1 - ABTS5911</v>
      </c>
      <c r="F15" s="34" t="str">
        <f>IFERROR(__xludf.DUMMYFUNCTION("""COMPUTED_VALUE"""),"BOLSA DE RESGATE")</f>
        <v>BOLSA DE RESGATE</v>
      </c>
      <c r="G15" s="35">
        <f>IFERROR(__xludf.DUMMYFUNCTION("""COMPUTED_VALUE"""),45525.0)</f>
        <v>45525</v>
      </c>
      <c r="H15" s="34"/>
      <c r="I15" s="37"/>
    </row>
    <row r="16" ht="22.5" customHeight="1">
      <c r="A16" s="30">
        <f>IFERROR(__xludf.DUMMYFUNCTION("""COMPUTED_VALUE"""),29.0)</f>
        <v>29</v>
      </c>
      <c r="B16" s="31" t="str">
        <f>IFERROR(__xludf.DUMMYFUNCTION("""COMPUTED_VALUE"""),"ESFIGMOMANOMETRO -")</f>
        <v>ESFIGMOMANOMETRO -</v>
      </c>
      <c r="C16" s="32">
        <f>IFERROR(__xludf.DUMMYFUNCTION("""COMPUTED_VALUE"""),1.0)</f>
        <v>1</v>
      </c>
      <c r="D16" s="33" t="str">
        <f>IFERROR(__xludf.DUMMYFUNCTION("""COMPUTED_VALUE"""),"VIATURA")</f>
        <v>VIATURA</v>
      </c>
      <c r="E16" s="34" t="str">
        <f>IFERROR(__xludf.DUMMYFUNCTION("""COMPUTED_VALUE"""),"1 - ABTS5911")</f>
        <v>1 - ABTS5911</v>
      </c>
      <c r="F16" s="34" t="str">
        <f>IFERROR(__xludf.DUMMYFUNCTION("""COMPUTED_VALUE"""),"BOLSA DE RESGATE")</f>
        <v>BOLSA DE RESGATE</v>
      </c>
      <c r="G16" s="35">
        <f>IFERROR(__xludf.DUMMYFUNCTION("""COMPUTED_VALUE"""),7.674289E7)</f>
        <v>76742890</v>
      </c>
      <c r="H16" s="34"/>
      <c r="I16" s="37"/>
    </row>
    <row r="17" ht="22.5" customHeight="1">
      <c r="A17" s="30">
        <f>IFERROR(__xludf.DUMMYFUNCTION("""COMPUTED_VALUE"""),164.0)</f>
        <v>164</v>
      </c>
      <c r="B17" s="31" t="str">
        <f>IFERROR(__xludf.DUMMYFUNCTION("""COMPUTED_VALUE"""),"ESPARADRAPO")</f>
        <v>ESPARADRAPO</v>
      </c>
      <c r="C17" s="32">
        <f>IFERROR(__xludf.DUMMYFUNCTION("""COMPUTED_VALUE"""),1.0)</f>
        <v>1</v>
      </c>
      <c r="D17" s="33" t="str">
        <f>IFERROR(__xludf.DUMMYFUNCTION("""COMPUTED_VALUE"""),"VIATURA")</f>
        <v>VIATURA</v>
      </c>
      <c r="E17" s="34" t="str">
        <f>IFERROR(__xludf.DUMMYFUNCTION("""COMPUTED_VALUE"""),"1 - ABTS5911")</f>
        <v>1 - ABTS5911</v>
      </c>
      <c r="F17" s="34" t="str">
        <f>IFERROR(__xludf.DUMMYFUNCTION("""COMPUTED_VALUE"""),"BOLSA DE RESGATE")</f>
        <v>BOLSA DE RESGATE</v>
      </c>
      <c r="G17" s="35">
        <f>IFERROR(__xludf.DUMMYFUNCTION("""COMPUTED_VALUE"""),45525.0)</f>
        <v>45525</v>
      </c>
      <c r="H17" s="34"/>
      <c r="I17" s="37"/>
    </row>
    <row r="18" ht="22.5" customHeight="1">
      <c r="A18" s="30">
        <f>IFERROR(__xludf.DUMMYFUNCTION("""COMPUTED_VALUE"""),40.0)</f>
        <v>40</v>
      </c>
      <c r="B18" s="31" t="str">
        <f>IFERROR(__xludf.DUMMYFUNCTION("""COMPUTED_VALUE"""),"ESTETOSCOPIO -")</f>
        <v>ESTETOSCOPIO -</v>
      </c>
      <c r="C18" s="32">
        <f>IFERROR(__xludf.DUMMYFUNCTION("""COMPUTED_VALUE"""),1.0)</f>
        <v>1</v>
      </c>
      <c r="D18" s="33" t="str">
        <f>IFERROR(__xludf.DUMMYFUNCTION("""COMPUTED_VALUE"""),"VIATURA")</f>
        <v>VIATURA</v>
      </c>
      <c r="E18" s="34" t="str">
        <f>IFERROR(__xludf.DUMMYFUNCTION("""COMPUTED_VALUE"""),"1 - ABTS5911")</f>
        <v>1 - ABTS5911</v>
      </c>
      <c r="F18" s="34" t="str">
        <f>IFERROR(__xludf.DUMMYFUNCTION("""COMPUTED_VALUE"""),"BOLSA DE RESGATE")</f>
        <v>BOLSA DE RESGATE</v>
      </c>
      <c r="G18" s="35">
        <f>IFERROR(__xludf.DUMMYFUNCTION("""COMPUTED_VALUE"""),7.6757595E7)</f>
        <v>76757595</v>
      </c>
      <c r="H18" s="34"/>
      <c r="I18" s="37"/>
    </row>
    <row r="19" ht="22.5" customHeight="1">
      <c r="A19" s="30">
        <f>IFERROR(__xludf.DUMMYFUNCTION("""COMPUTED_VALUE"""),158.0)</f>
        <v>158</v>
      </c>
      <c r="B19" s="31" t="str">
        <f>IFERROR(__xludf.DUMMYFUNCTION("""COMPUTED_VALUE"""),"FRASCO DE ÁLCOOL 70% 250ML")</f>
        <v>FRASCO DE ÁLCOOL 70% 250ML</v>
      </c>
      <c r="C19" s="32">
        <f>IFERROR(__xludf.DUMMYFUNCTION("""COMPUTED_VALUE"""),2.0)</f>
        <v>2</v>
      </c>
      <c r="D19" s="33" t="str">
        <f>IFERROR(__xludf.DUMMYFUNCTION("""COMPUTED_VALUE"""),"VIATURA")</f>
        <v>VIATURA</v>
      </c>
      <c r="E19" s="34" t="str">
        <f>IFERROR(__xludf.DUMMYFUNCTION("""COMPUTED_VALUE"""),"1 - ABTS5911")</f>
        <v>1 - ABTS5911</v>
      </c>
      <c r="F19" s="34" t="str">
        <f>IFERROR(__xludf.DUMMYFUNCTION("""COMPUTED_VALUE"""),"BOLSA DE RESGATE")</f>
        <v>BOLSA DE RESGATE</v>
      </c>
      <c r="G19" s="35">
        <f>IFERROR(__xludf.DUMMYFUNCTION("""COMPUTED_VALUE"""),45525.0)</f>
        <v>45525</v>
      </c>
      <c r="H19" s="34"/>
      <c r="I19" s="37"/>
    </row>
    <row r="20" ht="22.5" customHeight="1">
      <c r="A20" s="30">
        <f>IFERROR(__xludf.DUMMYFUNCTION("""COMPUTED_VALUE"""),157.0)</f>
        <v>157</v>
      </c>
      <c r="B20" s="31" t="str">
        <f>IFERROR(__xludf.DUMMYFUNCTION("""COMPUTED_VALUE"""),"KIT PARA PARTO -")</f>
        <v>KIT PARA PARTO -</v>
      </c>
      <c r="C20" s="32">
        <f>IFERROR(__xludf.DUMMYFUNCTION("""COMPUTED_VALUE"""),1.0)</f>
        <v>1</v>
      </c>
      <c r="D20" s="33" t="str">
        <f>IFERROR(__xludf.DUMMYFUNCTION("""COMPUTED_VALUE"""),"VIATURA")</f>
        <v>VIATURA</v>
      </c>
      <c r="E20" s="34" t="str">
        <f>IFERROR(__xludf.DUMMYFUNCTION("""COMPUTED_VALUE"""),"1 - ABTS5911")</f>
        <v>1 - ABTS5911</v>
      </c>
      <c r="F20" s="34" t="str">
        <f>IFERROR(__xludf.DUMMYFUNCTION("""COMPUTED_VALUE"""),"BOLSA DE RESGATE")</f>
        <v>BOLSA DE RESGATE</v>
      </c>
      <c r="G20" s="35">
        <f>IFERROR(__xludf.DUMMYFUNCTION("""COMPUTED_VALUE"""),45525.0)</f>
        <v>45525</v>
      </c>
      <c r="H20" s="34"/>
      <c r="I20" s="37"/>
    </row>
    <row r="21" ht="22.5" customHeight="1">
      <c r="A21" s="30">
        <f>IFERROR(__xludf.DUMMYFUNCTION("""COMPUTED_VALUE"""),156.0)</f>
        <v>156</v>
      </c>
      <c r="B21" s="31" t="str">
        <f>IFERROR(__xludf.DUMMYFUNCTION("""COMPUTED_VALUE"""),"KIT QUEIMADURA")</f>
        <v>KIT QUEIMADURA</v>
      </c>
      <c r="C21" s="32">
        <f>IFERROR(__xludf.DUMMYFUNCTION("""COMPUTED_VALUE"""),1.0)</f>
        <v>1</v>
      </c>
      <c r="D21" s="33" t="str">
        <f>IFERROR(__xludf.DUMMYFUNCTION("""COMPUTED_VALUE"""),"VIATURA")</f>
        <v>VIATURA</v>
      </c>
      <c r="E21" s="34" t="str">
        <f>IFERROR(__xludf.DUMMYFUNCTION("""COMPUTED_VALUE"""),"1 - ABTS5911")</f>
        <v>1 - ABTS5911</v>
      </c>
      <c r="F21" s="34" t="str">
        <f>IFERROR(__xludf.DUMMYFUNCTION("""COMPUTED_VALUE"""),"BOLSA DE RESGATE")</f>
        <v>BOLSA DE RESGATE</v>
      </c>
      <c r="G21" s="35">
        <f>IFERROR(__xludf.DUMMYFUNCTION("""COMPUTED_VALUE"""),45525.0)</f>
        <v>45525</v>
      </c>
      <c r="H21" s="34"/>
      <c r="I21" s="37"/>
    </row>
    <row r="22" ht="22.5" customHeight="1">
      <c r="A22" s="30">
        <f>IFERROR(__xludf.DUMMYFUNCTION("""COMPUTED_VALUE"""),165.0)</f>
        <v>165</v>
      </c>
      <c r="B22" s="31" t="str">
        <f>IFERROR(__xludf.DUMMYFUNCTION("""COMPUTED_VALUE"""),"MANTA ALUMINIZADA")</f>
        <v>MANTA ALUMINIZADA</v>
      </c>
      <c r="C22" s="32">
        <f>IFERROR(__xludf.DUMMYFUNCTION("""COMPUTED_VALUE"""),1.0)</f>
        <v>1</v>
      </c>
      <c r="D22" s="33" t="str">
        <f>IFERROR(__xludf.DUMMYFUNCTION("""COMPUTED_VALUE"""),"VIATURA")</f>
        <v>VIATURA</v>
      </c>
      <c r="E22" s="34" t="str">
        <f>IFERROR(__xludf.DUMMYFUNCTION("""COMPUTED_VALUE"""),"1 - ABTS5911")</f>
        <v>1 - ABTS5911</v>
      </c>
      <c r="F22" s="34" t="str">
        <f>IFERROR(__xludf.DUMMYFUNCTION("""COMPUTED_VALUE"""),"BOLSA DE RESGATE")</f>
        <v>BOLSA DE RESGATE</v>
      </c>
      <c r="G22" s="35">
        <f>IFERROR(__xludf.DUMMYFUNCTION("""COMPUTED_VALUE"""),45525.0)</f>
        <v>45525</v>
      </c>
      <c r="H22" s="34"/>
      <c r="I22" s="37"/>
    </row>
    <row r="23" ht="22.5" customHeight="1">
      <c r="A23" s="30">
        <f>IFERROR(__xludf.DUMMYFUNCTION("""COMPUTED_VALUE"""),154.0)</f>
        <v>154</v>
      </c>
      <c r="B23" s="31" t="str">
        <f>IFERROR(__xludf.DUMMYFUNCTION("""COMPUTED_VALUE"""),"ÓCULOS DE PROTEÇÃO")</f>
        <v>ÓCULOS DE PROTEÇÃO</v>
      </c>
      <c r="C23" s="32">
        <f>IFERROR(__xludf.DUMMYFUNCTION("""COMPUTED_VALUE"""),3.0)</f>
        <v>3</v>
      </c>
      <c r="D23" s="33" t="str">
        <f>IFERROR(__xludf.DUMMYFUNCTION("""COMPUTED_VALUE"""),"VIATURA")</f>
        <v>VIATURA</v>
      </c>
      <c r="E23" s="34" t="str">
        <f>IFERROR(__xludf.DUMMYFUNCTION("""COMPUTED_VALUE"""),"1 - ABTS5911")</f>
        <v>1 - ABTS5911</v>
      </c>
      <c r="F23" s="34" t="str">
        <f>IFERROR(__xludf.DUMMYFUNCTION("""COMPUTED_VALUE"""),"BOLSA DE RESGATE")</f>
        <v>BOLSA DE RESGATE</v>
      </c>
      <c r="G23" s="35">
        <f>IFERROR(__xludf.DUMMYFUNCTION("""COMPUTED_VALUE"""),45525.0)</f>
        <v>45525</v>
      </c>
      <c r="H23" s="34"/>
      <c r="I23" s="37"/>
    </row>
    <row r="24" ht="22.5" customHeight="1">
      <c r="A24" s="30">
        <f>IFERROR(__xludf.DUMMYFUNCTION("""COMPUTED_VALUE"""),166.0)</f>
        <v>166</v>
      </c>
      <c r="B24" s="31" t="str">
        <f>IFERROR(__xludf.DUMMYFUNCTION("""COMPUTED_VALUE"""),"PERA DE SUCÇÃO")</f>
        <v>PERA DE SUCÇÃO</v>
      </c>
      <c r="C24" s="32">
        <f>IFERROR(__xludf.DUMMYFUNCTION("""COMPUTED_VALUE"""),1.0)</f>
        <v>1</v>
      </c>
      <c r="D24" s="33" t="str">
        <f>IFERROR(__xludf.DUMMYFUNCTION("""COMPUTED_VALUE"""),"VIATURA")</f>
        <v>VIATURA</v>
      </c>
      <c r="E24" s="34" t="str">
        <f>IFERROR(__xludf.DUMMYFUNCTION("""COMPUTED_VALUE"""),"1 - ABTS5911")</f>
        <v>1 - ABTS5911</v>
      </c>
      <c r="F24" s="34" t="str">
        <f>IFERROR(__xludf.DUMMYFUNCTION("""COMPUTED_VALUE"""),"BOLSA DE RESGATE")</f>
        <v>BOLSA DE RESGATE</v>
      </c>
      <c r="G24" s="35">
        <f>IFERROR(__xludf.DUMMYFUNCTION("""COMPUTED_VALUE"""),45525.0)</f>
        <v>45525</v>
      </c>
      <c r="H24" s="34"/>
      <c r="I24" s="37"/>
    </row>
    <row r="25" ht="22.5" customHeight="1">
      <c r="A25" s="30">
        <f>IFERROR(__xludf.DUMMYFUNCTION("""COMPUTED_VALUE"""),153.0)</f>
        <v>153</v>
      </c>
      <c r="B25" s="31" t="str">
        <f>IFERROR(__xludf.DUMMYFUNCTION("""COMPUTED_VALUE"""),"TORNIQUETE")</f>
        <v>TORNIQUETE</v>
      </c>
      <c r="C25" s="32">
        <f>IFERROR(__xludf.DUMMYFUNCTION("""COMPUTED_VALUE"""),1.0)</f>
        <v>1</v>
      </c>
      <c r="D25" s="33" t="str">
        <f>IFERROR(__xludf.DUMMYFUNCTION("""COMPUTED_VALUE"""),"VIATURA")</f>
        <v>VIATURA</v>
      </c>
      <c r="E25" s="34" t="str">
        <f>IFERROR(__xludf.DUMMYFUNCTION("""COMPUTED_VALUE"""),"1 - ABTS5911")</f>
        <v>1 - ABTS5911</v>
      </c>
      <c r="F25" s="34" t="str">
        <f>IFERROR(__xludf.DUMMYFUNCTION("""COMPUTED_VALUE"""),"BOLSA DE RESGATE")</f>
        <v>BOLSA DE RESGATE</v>
      </c>
      <c r="G25" s="35">
        <f>IFERROR(__xludf.DUMMYFUNCTION("""COMPUTED_VALUE"""),45525.0)</f>
        <v>45525</v>
      </c>
      <c r="H25" s="34"/>
      <c r="I25" s="37"/>
    </row>
    <row r="26" ht="22.5" customHeight="1">
      <c r="A26" s="30">
        <f>IFERROR(__xludf.DUMMYFUNCTION("""COMPUTED_VALUE"""),133.0)</f>
        <v>133</v>
      </c>
      <c r="B26" s="40" t="str">
        <f>IFERROR(__xludf.DUMMYFUNCTION("""COMPUTED_VALUE"""),"ANEL DE FITA 120 CM")</f>
        <v>ANEL DE FITA 120 CM</v>
      </c>
      <c r="C26" s="32">
        <f>IFERROR(__xludf.DUMMYFUNCTION("""COMPUTED_VALUE"""),6.0)</f>
        <v>6</v>
      </c>
      <c r="D26" s="33" t="str">
        <f>IFERROR(__xludf.DUMMYFUNCTION("""COMPUTED_VALUE"""),"VIATURA")</f>
        <v>VIATURA</v>
      </c>
      <c r="E26" s="34" t="str">
        <f>IFERROR(__xludf.DUMMYFUNCTION("""COMPUTED_VALUE"""),"1 - ABTS5911")</f>
        <v>1 - ABTS5911</v>
      </c>
      <c r="F26" s="34" t="str">
        <f>IFERROR(__xludf.DUMMYFUNCTION("""COMPUTED_VALUE"""),"BOLSA DE SALV. ALTURA")</f>
        <v>BOLSA DE SALV. ALTURA</v>
      </c>
      <c r="G26" s="35">
        <f>IFERROR(__xludf.DUMMYFUNCTION("""COMPUTED_VALUE"""),45525.0)</f>
        <v>45525</v>
      </c>
      <c r="H26" s="34"/>
      <c r="I26" s="37"/>
    </row>
    <row r="27" ht="22.5" customHeight="1">
      <c r="A27" s="30">
        <f>IFERROR(__xludf.DUMMYFUNCTION("""COMPUTED_VALUE"""),135.0)</f>
        <v>135</v>
      </c>
      <c r="B27" s="31" t="str">
        <f>IFERROR(__xludf.DUMMYFUNCTION("""COMPUTED_VALUE"""),"ANEL DE FITA 60CM")</f>
        <v>ANEL DE FITA 60CM</v>
      </c>
      <c r="C27" s="32">
        <f>IFERROR(__xludf.DUMMYFUNCTION("""COMPUTED_VALUE"""),3.0)</f>
        <v>3</v>
      </c>
      <c r="D27" s="33" t="str">
        <f>IFERROR(__xludf.DUMMYFUNCTION("""COMPUTED_VALUE"""),"VIATURA")</f>
        <v>VIATURA</v>
      </c>
      <c r="E27" s="34" t="str">
        <f>IFERROR(__xludf.DUMMYFUNCTION("""COMPUTED_VALUE"""),"1 - ABTS5911")</f>
        <v>1 - ABTS5911</v>
      </c>
      <c r="F27" s="34" t="str">
        <f>IFERROR(__xludf.DUMMYFUNCTION("""COMPUTED_VALUE"""),"BOLSA DE SALV. ALTURA")</f>
        <v>BOLSA DE SALV. ALTURA</v>
      </c>
      <c r="G27" s="35">
        <f>IFERROR(__xludf.DUMMYFUNCTION("""COMPUTED_VALUE"""),45525.0)</f>
        <v>45525</v>
      </c>
      <c r="H27" s="34"/>
      <c r="I27" s="37"/>
    </row>
    <row r="28" ht="22.5" customHeight="1">
      <c r="A28" s="30">
        <f>IFERROR(__xludf.DUMMYFUNCTION("""COMPUTED_VALUE"""),134.0)</f>
        <v>134</v>
      </c>
      <c r="B28" s="31" t="str">
        <f>IFERROR(__xludf.DUMMYFUNCTION("""COMPUTED_VALUE"""),"ANEL DE FITA 80CM")</f>
        <v>ANEL DE FITA 80CM</v>
      </c>
      <c r="C28" s="32">
        <f>IFERROR(__xludf.DUMMYFUNCTION("""COMPUTED_VALUE"""),3.0)</f>
        <v>3</v>
      </c>
      <c r="D28" s="33" t="str">
        <f>IFERROR(__xludf.DUMMYFUNCTION("""COMPUTED_VALUE"""),"VIATURA")</f>
        <v>VIATURA</v>
      </c>
      <c r="E28" s="34" t="str">
        <f>IFERROR(__xludf.DUMMYFUNCTION("""COMPUTED_VALUE"""),"1 - ABTS5911")</f>
        <v>1 - ABTS5911</v>
      </c>
      <c r="F28" s="34" t="str">
        <f>IFERROR(__xludf.DUMMYFUNCTION("""COMPUTED_VALUE"""),"BOLSA DE SALV. ALTURA")</f>
        <v>BOLSA DE SALV. ALTURA</v>
      </c>
      <c r="G28" s="35">
        <f>IFERROR(__xludf.DUMMYFUNCTION("""COMPUTED_VALUE"""),45525.0)</f>
        <v>45525</v>
      </c>
      <c r="H28" s="34"/>
      <c r="I28" s="37"/>
    </row>
    <row r="29" ht="22.5" customHeight="1">
      <c r="A29" s="30">
        <f>IFERROR(__xludf.DUMMYFUNCTION("""COMPUTED_VALUE"""),96.0)</f>
        <v>96</v>
      </c>
      <c r="B29" s="31" t="str">
        <f>IFERROR(__xludf.DUMMYFUNCTION("""COMPUTED_VALUE"""),"FREIO OITO -")</f>
        <v>FREIO OITO -</v>
      </c>
      <c r="C29" s="32">
        <f>IFERROR(__xludf.DUMMYFUNCTION("""COMPUTED_VALUE"""),1.0)</f>
        <v>1</v>
      </c>
      <c r="D29" s="33" t="str">
        <f>IFERROR(__xludf.DUMMYFUNCTION("""COMPUTED_VALUE"""),"VIATURA")</f>
        <v>VIATURA</v>
      </c>
      <c r="E29" s="34" t="str">
        <f>IFERROR(__xludf.DUMMYFUNCTION("""COMPUTED_VALUE"""),"1 - ABTS5911")</f>
        <v>1 - ABTS5911</v>
      </c>
      <c r="F29" s="34" t="str">
        <f>IFERROR(__xludf.DUMMYFUNCTION("""COMPUTED_VALUE"""),"BOLSA DE SALV. ALTURA")</f>
        <v>BOLSA DE SALV. ALTURA</v>
      </c>
      <c r="G29" s="35">
        <f>IFERROR(__xludf.DUMMYFUNCTION("""COMPUTED_VALUE"""),45583.0)</f>
        <v>45583</v>
      </c>
      <c r="H29" s="34"/>
      <c r="I29" s="37"/>
    </row>
    <row r="30" ht="22.5" customHeight="1">
      <c r="A30" s="30">
        <f>IFERROR(__xludf.DUMMYFUNCTION("""COMPUTED_VALUE"""),139.0)</f>
        <v>139</v>
      </c>
      <c r="B30" s="31" t="str">
        <f>IFERROR(__xludf.DUMMYFUNCTION("""COMPUTED_VALUE"""),"MOSQUETÃO DE AÇO")</f>
        <v>MOSQUETÃO DE AÇO</v>
      </c>
      <c r="C30" s="32">
        <f>IFERROR(__xludf.DUMMYFUNCTION("""COMPUTED_VALUE"""),4.0)</f>
        <v>4</v>
      </c>
      <c r="D30" s="33" t="str">
        <f>IFERROR(__xludf.DUMMYFUNCTION("""COMPUTED_VALUE"""),"VIATURA")</f>
        <v>VIATURA</v>
      </c>
      <c r="E30" s="34" t="str">
        <f>IFERROR(__xludf.DUMMYFUNCTION("""COMPUTED_VALUE"""),"1 - ABTS5911")</f>
        <v>1 - ABTS5911</v>
      </c>
      <c r="F30" s="34" t="str">
        <f>IFERROR(__xludf.DUMMYFUNCTION("""COMPUTED_VALUE"""),"BOLSA DE SALV. ALTURA")</f>
        <v>BOLSA DE SALV. ALTURA</v>
      </c>
      <c r="G30" s="35">
        <f>IFERROR(__xludf.DUMMYFUNCTION("""COMPUTED_VALUE"""),45525.0)</f>
        <v>45525</v>
      </c>
      <c r="H30" s="34"/>
      <c r="I30" s="37"/>
    </row>
    <row r="31" ht="22.5" customHeight="1">
      <c r="A31" s="30">
        <f>IFERROR(__xludf.DUMMYFUNCTION("""COMPUTED_VALUE"""),140.0)</f>
        <v>140</v>
      </c>
      <c r="B31" s="31" t="str">
        <f>IFERROR(__xludf.DUMMYFUNCTION("""COMPUTED_VALUE"""),"MOSQUETÃO DE ALUMÍNIO")</f>
        <v>MOSQUETÃO DE ALUMÍNIO</v>
      </c>
      <c r="C31" s="32">
        <f>IFERROR(__xludf.DUMMYFUNCTION("""COMPUTED_VALUE"""),2.0)</f>
        <v>2</v>
      </c>
      <c r="D31" s="33" t="str">
        <f>IFERROR(__xludf.DUMMYFUNCTION("""COMPUTED_VALUE"""),"VIATURA")</f>
        <v>VIATURA</v>
      </c>
      <c r="E31" s="34" t="str">
        <f>IFERROR(__xludf.DUMMYFUNCTION("""COMPUTED_VALUE"""),"1 - ABTS5911")</f>
        <v>1 - ABTS5911</v>
      </c>
      <c r="F31" s="34" t="str">
        <f>IFERROR(__xludf.DUMMYFUNCTION("""COMPUTED_VALUE"""),"BOLSA DE SALV. ALTURA")</f>
        <v>BOLSA DE SALV. ALTURA</v>
      </c>
      <c r="G31" s="35">
        <f>IFERROR(__xludf.DUMMYFUNCTION("""COMPUTED_VALUE"""),45525.0)</f>
        <v>45525</v>
      </c>
      <c r="H31" s="34"/>
      <c r="I31" s="37"/>
    </row>
    <row r="32" ht="22.5" customHeight="1">
      <c r="A32" s="30">
        <f>IFERROR(__xludf.DUMMYFUNCTION("""COMPUTED_VALUE"""),136.0)</f>
        <v>136</v>
      </c>
      <c r="B32" s="31" t="str">
        <f>IFERROR(__xludf.DUMMYFUNCTION("""COMPUTED_VALUE"""),"POLIA DUPLA 40 KN (AZUL)")</f>
        <v>POLIA DUPLA 40 KN (AZUL)</v>
      </c>
      <c r="C32" s="32">
        <f>IFERROR(__xludf.DUMMYFUNCTION("""COMPUTED_VALUE"""),2.0)</f>
        <v>2</v>
      </c>
      <c r="D32" s="33" t="str">
        <f>IFERROR(__xludf.DUMMYFUNCTION("""COMPUTED_VALUE"""),"VIATURA")</f>
        <v>VIATURA</v>
      </c>
      <c r="E32" s="34" t="str">
        <f>IFERROR(__xludf.DUMMYFUNCTION("""COMPUTED_VALUE"""),"1 - ABTS5911")</f>
        <v>1 - ABTS5911</v>
      </c>
      <c r="F32" s="34" t="str">
        <f>IFERROR(__xludf.DUMMYFUNCTION("""COMPUTED_VALUE"""),"BOLSA DE SALV. ALTURA")</f>
        <v>BOLSA DE SALV. ALTURA</v>
      </c>
      <c r="G32" s="35">
        <f>IFERROR(__xludf.DUMMYFUNCTION("""COMPUTED_VALUE"""),45525.0)</f>
        <v>45525</v>
      </c>
      <c r="H32" s="34"/>
      <c r="I32" s="37"/>
    </row>
    <row r="33" ht="22.5" customHeight="1">
      <c r="A33" s="30">
        <f>IFERROR(__xludf.DUMMYFUNCTION("""COMPUTED_VALUE"""),137.0)</f>
        <v>137</v>
      </c>
      <c r="B33" s="39" t="str">
        <f>IFERROR(__xludf.DUMMYFUNCTION("""COMPUTED_VALUE"""),"POLIA SIMPLES 30 KN (VERMELHA/PRETA)")</f>
        <v>POLIA SIMPLES 30 KN (VERMELHA/PRETA)</v>
      </c>
      <c r="C33" s="32">
        <f>IFERROR(__xludf.DUMMYFUNCTION("""COMPUTED_VALUE"""),3.0)</f>
        <v>3</v>
      </c>
      <c r="D33" s="33" t="str">
        <f>IFERROR(__xludf.DUMMYFUNCTION("""COMPUTED_VALUE"""),"VIATURA")</f>
        <v>VIATURA</v>
      </c>
      <c r="E33" s="34" t="str">
        <f>IFERROR(__xludf.DUMMYFUNCTION("""COMPUTED_VALUE"""),"1 - ABTS5911")</f>
        <v>1 - ABTS5911</v>
      </c>
      <c r="F33" s="34" t="str">
        <f>IFERROR(__xludf.DUMMYFUNCTION("""COMPUTED_VALUE"""),"BOLSA DE SALV. ALTURA")</f>
        <v>BOLSA DE SALV. ALTURA</v>
      </c>
      <c r="G33" s="35">
        <f>IFERROR(__xludf.DUMMYFUNCTION("""COMPUTED_VALUE"""),45525.0)</f>
        <v>45525</v>
      </c>
      <c r="H33" s="34"/>
      <c r="I33" s="37"/>
    </row>
    <row r="34" ht="22.5" customHeight="1">
      <c r="A34" s="30">
        <f>IFERROR(__xludf.DUMMYFUNCTION("""COMPUTED_VALUE"""),138.0)</f>
        <v>138</v>
      </c>
      <c r="B34" s="39" t="str">
        <f>IFERROR(__xludf.DUMMYFUNCTION("""COMPUTED_VALUE"""),"POLIA TANDEM 24 KN (VERMELHA)")</f>
        <v>POLIA TANDEM 24 KN (VERMELHA)</v>
      </c>
      <c r="C34" s="32">
        <f>IFERROR(__xludf.DUMMYFUNCTION("""COMPUTED_VALUE"""),1.0)</f>
        <v>1</v>
      </c>
      <c r="D34" s="33" t="str">
        <f>IFERROR(__xludf.DUMMYFUNCTION("""COMPUTED_VALUE"""),"VIATURA")</f>
        <v>VIATURA</v>
      </c>
      <c r="E34" s="34" t="str">
        <f>IFERROR(__xludf.DUMMYFUNCTION("""COMPUTED_VALUE"""),"1 - ABTS5911")</f>
        <v>1 - ABTS5911</v>
      </c>
      <c r="F34" s="34" t="str">
        <f>IFERROR(__xludf.DUMMYFUNCTION("""COMPUTED_VALUE"""),"BOLSA DE SALV. ALTURA")</f>
        <v>BOLSA DE SALV. ALTURA</v>
      </c>
      <c r="G34" s="35">
        <f>IFERROR(__xludf.DUMMYFUNCTION("""COMPUTED_VALUE"""),45525.0)</f>
        <v>45525</v>
      </c>
      <c r="H34" s="34"/>
      <c r="I34" s="37"/>
    </row>
    <row r="35" ht="22.5" customHeight="1">
      <c r="A35" s="30">
        <f>IFERROR(__xludf.DUMMYFUNCTION("""COMPUTED_VALUE"""),89.0)</f>
        <v>89</v>
      </c>
      <c r="B35" s="39" t="str">
        <f>IFERROR(__xludf.DUMMYFUNCTION("""COMPUTED_VALUE"""),"BATERIAS PARA DESENCARCERADORES")</f>
        <v>BATERIAS PARA DESENCARCERADORES</v>
      </c>
      <c r="C35" s="32">
        <f>IFERROR(__xludf.DUMMYFUNCTION("""COMPUTED_VALUE"""),2.0)</f>
        <v>2</v>
      </c>
      <c r="D35" s="33" t="str">
        <f>IFERROR(__xludf.DUMMYFUNCTION("""COMPUTED_VALUE"""),"VIATURA")</f>
        <v>VIATURA</v>
      </c>
      <c r="E35" s="34" t="str">
        <f>IFERROR(__xludf.DUMMYFUNCTION("""COMPUTED_VALUE"""),"1 - ABTS5911")</f>
        <v>1 - ABTS5911</v>
      </c>
      <c r="F35" s="34" t="str">
        <f>IFERROR(__xludf.DUMMYFUNCTION("""COMPUTED_VALUE"""),"BOX 01")</f>
        <v>BOX 01</v>
      </c>
      <c r="G35" s="35">
        <f>IFERROR(__xludf.DUMMYFUNCTION("""COMPUTED_VALUE"""),45525.0)</f>
        <v>45525</v>
      </c>
      <c r="H35" s="34"/>
      <c r="I35" s="37"/>
    </row>
    <row r="36" ht="22.5" customHeight="1">
      <c r="A36" s="30">
        <f>IFERROR(__xludf.DUMMYFUNCTION("""COMPUTED_VALUE"""),87.0)</f>
        <v>87</v>
      </c>
      <c r="B36" s="40" t="str">
        <f>IFERROR(__xludf.DUMMYFUNCTION("""COMPUTED_VALUE"""),"CARREGADOR VEICULAR E CARREGADOR DE TOMADA DA LANTERNA DE CENA STREAMLIGHT")</f>
        <v>CARREGADOR VEICULAR E CARREGADOR DE TOMADA DA LANTERNA DE CENA STREAMLIGHT</v>
      </c>
      <c r="C36" s="32">
        <f>IFERROR(__xludf.DUMMYFUNCTION("""COMPUTED_VALUE"""),1.0)</f>
        <v>1</v>
      </c>
      <c r="D36" s="33" t="str">
        <f>IFERROR(__xludf.DUMMYFUNCTION("""COMPUTED_VALUE"""),"VIATURA")</f>
        <v>VIATURA</v>
      </c>
      <c r="E36" s="34" t="str">
        <f>IFERROR(__xludf.DUMMYFUNCTION("""COMPUTED_VALUE"""),"1 - ABTS5911")</f>
        <v>1 - ABTS5911</v>
      </c>
      <c r="F36" s="34" t="str">
        <f>IFERROR(__xludf.DUMMYFUNCTION("""COMPUTED_VALUE"""),"BOX 01")</f>
        <v>BOX 01</v>
      </c>
      <c r="G36" s="35">
        <f>IFERROR(__xludf.DUMMYFUNCTION("""COMPUTED_VALUE"""),45525.0)</f>
        <v>45525</v>
      </c>
      <c r="H36" s="34"/>
      <c r="I36" s="37"/>
    </row>
    <row r="37" ht="22.5" customHeight="1">
      <c r="A37" s="30">
        <f>IFERROR(__xludf.DUMMYFUNCTION("""COMPUTED_VALUE"""),1538.0)</f>
        <v>1538</v>
      </c>
      <c r="B37" s="31" t="str">
        <f>IFERROR(__xludf.DUMMYFUNCTION("""COMPUTED_VALUE"""),"CONJUNTO DE BLOCOS E CALCOS -")</f>
        <v>CONJUNTO DE BLOCOS E CALCOS -</v>
      </c>
      <c r="C37" s="32">
        <f>IFERROR(__xludf.DUMMYFUNCTION("""COMPUTED_VALUE"""),1.0)</f>
        <v>1</v>
      </c>
      <c r="D37" s="33" t="str">
        <f>IFERROR(__xludf.DUMMYFUNCTION("""COMPUTED_VALUE"""),"SEÇÃO")</f>
        <v>SEÇÃO</v>
      </c>
      <c r="E37" s="34" t="str">
        <f>IFERROR(__xludf.DUMMYFUNCTION("""COMPUTED_VALUE"""),"1 - ABTS5911")</f>
        <v>1 - ABTS5911</v>
      </c>
      <c r="F37" s="34" t="str">
        <f>IFERROR(__xludf.DUMMYFUNCTION("""COMPUTED_VALUE"""),"BOX 01")</f>
        <v>BOX 01</v>
      </c>
      <c r="G37" s="35">
        <f>IFERROR(__xludf.DUMMYFUNCTION("""COMPUTED_VALUE"""),7.6950727E7)</f>
        <v>76950727</v>
      </c>
      <c r="H37" s="34"/>
      <c r="I37" s="37" t="str">
        <f>IFERROR(__xludf.DUMMYFUNCTION("""COMPUTED_VALUE"""),"Holmatro - 08 calços em cunha, 06 calços quadrados, 02 calços escalonados grandes")</f>
        <v>Holmatro - 08 calços em cunha, 06 calços quadrados, 02 calços escalonados grandes</v>
      </c>
    </row>
    <row r="38" ht="22.5" customHeight="1">
      <c r="A38" s="30">
        <f>IFERROR(__xludf.DUMMYFUNCTION("""COMPUTED_VALUE"""),83.0)</f>
        <v>83</v>
      </c>
      <c r="B38" s="31" t="str">
        <f>IFERROR(__xludf.DUMMYFUNCTION("""COMPUTED_VALUE"""),"CORDA -")</f>
        <v>CORDA -</v>
      </c>
      <c r="C38" s="32">
        <f>IFERROR(__xludf.DUMMYFUNCTION("""COMPUTED_VALUE"""),5.0)</f>
        <v>5</v>
      </c>
      <c r="D38" s="33" t="str">
        <f>IFERROR(__xludf.DUMMYFUNCTION("""COMPUTED_VALUE"""),"VIATURA")</f>
        <v>VIATURA</v>
      </c>
      <c r="E38" s="34" t="str">
        <f>IFERROR(__xludf.DUMMYFUNCTION("""COMPUTED_VALUE"""),"1 - ABTS5911")</f>
        <v>1 - ABTS5911</v>
      </c>
      <c r="F38" s="34" t="str">
        <f>IFERROR(__xludf.DUMMYFUNCTION("""COMPUTED_VALUE"""),"BOX 01")</f>
        <v>BOX 01</v>
      </c>
      <c r="G38" s="35">
        <f>IFERROR(__xludf.DUMMYFUNCTION("""COMPUTED_VALUE"""),45525.0)</f>
        <v>45525</v>
      </c>
      <c r="H38" s="34"/>
      <c r="I38" s="37"/>
    </row>
    <row r="39" ht="22.5" customHeight="1">
      <c r="A39" s="30">
        <f>IFERROR(__xludf.DUMMYFUNCTION("""COMPUTED_VALUE"""),88.0)</f>
        <v>88</v>
      </c>
      <c r="B39" s="31" t="str">
        <f>IFERROR(__xludf.DUMMYFUNCTION("""COMPUTED_VALUE"""),"ESTEPE")</f>
        <v>ESTEPE</v>
      </c>
      <c r="C39" s="32">
        <f>IFERROR(__xludf.DUMMYFUNCTION("""COMPUTED_VALUE"""),1.0)</f>
        <v>1</v>
      </c>
      <c r="D39" s="33" t="str">
        <f>IFERROR(__xludf.DUMMYFUNCTION("""COMPUTED_VALUE"""),"VIATURA")</f>
        <v>VIATURA</v>
      </c>
      <c r="E39" s="34" t="str">
        <f>IFERROR(__xludf.DUMMYFUNCTION("""COMPUTED_VALUE"""),"1 - ABTS5911")</f>
        <v>1 - ABTS5911</v>
      </c>
      <c r="F39" s="34" t="str">
        <f>IFERROR(__xludf.DUMMYFUNCTION("""COMPUTED_VALUE"""),"BOX 01")</f>
        <v>BOX 01</v>
      </c>
      <c r="G39" s="35">
        <f>IFERROR(__xludf.DUMMYFUNCTION("""COMPUTED_VALUE"""),45525.0)</f>
        <v>45525</v>
      </c>
      <c r="H39" s="34"/>
      <c r="I39" s="37" t="str">
        <f>IFERROR(__xludf.DUMMYFUNCTION("""COMPUTED_VALUE"""),"* ENCONTRA-SE NA VTR EM MANUTENÇÃO NO CSM")</f>
        <v>* ENCONTRA-SE NA VTR EM MANUTENÇÃO NO CSM</v>
      </c>
    </row>
    <row r="40" ht="22.5" customHeight="1">
      <c r="A40" s="30">
        <f>IFERROR(__xludf.DUMMYFUNCTION("""COMPUTED_VALUE"""),52.0)</f>
        <v>52</v>
      </c>
      <c r="B40" s="31" t="str">
        <f>IFERROR(__xludf.DUMMYFUNCTION("""COMPUTED_VALUE"""),"EXTENSÃO  ")</f>
        <v>EXTENSÃO  </v>
      </c>
      <c r="C40" s="32">
        <f>IFERROR(__xludf.DUMMYFUNCTION("""COMPUTED_VALUE"""),1.0)</f>
        <v>1</v>
      </c>
      <c r="D40" s="33" t="str">
        <f>IFERROR(__xludf.DUMMYFUNCTION("""COMPUTED_VALUE"""),"VIATURA")</f>
        <v>VIATURA</v>
      </c>
      <c r="E40" s="34" t="str">
        <f>IFERROR(__xludf.DUMMYFUNCTION("""COMPUTED_VALUE"""),"1 - ABTS5911")</f>
        <v>1 - ABTS5911</v>
      </c>
      <c r="F40" s="34" t="str">
        <f>IFERROR(__xludf.DUMMYFUNCTION("""COMPUTED_VALUE"""),"BOX 01")</f>
        <v>BOX 01</v>
      </c>
      <c r="G40" s="35"/>
      <c r="H40" s="34"/>
      <c r="I40" s="37"/>
    </row>
    <row r="41" ht="22.5" customHeight="1">
      <c r="A41" s="30">
        <f>IFERROR(__xludf.DUMMYFUNCTION("""COMPUTED_VALUE"""),85.0)</f>
        <v>85</v>
      </c>
      <c r="B41" s="31" t="str">
        <f>IFERROR(__xludf.DUMMYFUNCTION("""COMPUTED_VALUE"""),"EXTINTOR DE INCÊNDIO 6A 40BC 12 KG")</f>
        <v>EXTINTOR DE INCÊNDIO 6A 40BC 12 KG</v>
      </c>
      <c r="C41" s="32">
        <f>IFERROR(__xludf.DUMMYFUNCTION("""COMPUTED_VALUE"""),1.0)</f>
        <v>1</v>
      </c>
      <c r="D41" s="33" t="str">
        <f>IFERROR(__xludf.DUMMYFUNCTION("""COMPUTED_VALUE"""),"VIATURA")</f>
        <v>VIATURA</v>
      </c>
      <c r="E41" s="34" t="str">
        <f>IFERROR(__xludf.DUMMYFUNCTION("""COMPUTED_VALUE"""),"1 - ABTS5911")</f>
        <v>1 - ABTS5911</v>
      </c>
      <c r="F41" s="34" t="str">
        <f>IFERROR(__xludf.DUMMYFUNCTION("""COMPUTED_VALUE"""),"BOX 01")</f>
        <v>BOX 01</v>
      </c>
      <c r="G41" s="35">
        <f>IFERROR(__xludf.DUMMYFUNCTION("""COMPUTED_VALUE"""),45525.0)</f>
        <v>45525</v>
      </c>
      <c r="H41" s="34"/>
      <c r="I41" s="37" t="str">
        <f>IFERROR(__xludf.DUMMYFUNCTION("""COMPUTED_VALUE"""),"* NA ABTS5911 QUE SE ENCONTRA NO CSM")</f>
        <v>* NA ABTS5911 QUE SE ENCONTRA NO CSM</v>
      </c>
    </row>
    <row r="42" ht="22.5" customHeight="1">
      <c r="A42" s="30">
        <f>IFERROR(__xludf.DUMMYFUNCTION("""COMPUTED_VALUE"""),86.0)</f>
        <v>86</v>
      </c>
      <c r="B42" s="31" t="str">
        <f>IFERROR(__xludf.DUMMYFUNCTION("""COMPUTED_VALUE"""),"EXTINTOR DE INCÊNDIO CO2 6 KG")</f>
        <v>EXTINTOR DE INCÊNDIO CO2 6 KG</v>
      </c>
      <c r="C42" s="32">
        <f>IFERROR(__xludf.DUMMYFUNCTION("""COMPUTED_VALUE"""),1.0)</f>
        <v>1</v>
      </c>
      <c r="D42" s="33" t="str">
        <f>IFERROR(__xludf.DUMMYFUNCTION("""COMPUTED_VALUE"""),"VIATURA")</f>
        <v>VIATURA</v>
      </c>
      <c r="E42" s="34" t="str">
        <f>IFERROR(__xludf.DUMMYFUNCTION("""COMPUTED_VALUE"""),"1 - ABTS5911")</f>
        <v>1 - ABTS5911</v>
      </c>
      <c r="F42" s="34" t="str">
        <f>IFERROR(__xludf.DUMMYFUNCTION("""COMPUTED_VALUE"""),"BOX 01")</f>
        <v>BOX 01</v>
      </c>
      <c r="G42" s="35">
        <f>IFERROR(__xludf.DUMMYFUNCTION("""COMPUTED_VALUE"""),45525.0)</f>
        <v>45525</v>
      </c>
      <c r="H42" s="34"/>
      <c r="I42" s="37"/>
    </row>
    <row r="43" ht="22.5" customHeight="1">
      <c r="A43" s="30">
        <f>IFERROR(__xludf.DUMMYFUNCTION("""COMPUTED_VALUE"""),1129.0)</f>
        <v>1129</v>
      </c>
      <c r="B43" s="31" t="str">
        <f>IFERROR(__xludf.DUMMYFUNCTION("""COMPUTED_VALUE"""),"LANTERNA LUZ DE CENA -")</f>
        <v>LANTERNA LUZ DE CENA -</v>
      </c>
      <c r="C43" s="32">
        <f>IFERROR(__xludf.DUMMYFUNCTION("""COMPUTED_VALUE"""),1.0)</f>
        <v>1</v>
      </c>
      <c r="D43" s="33" t="str">
        <f>IFERROR(__xludf.DUMMYFUNCTION("""COMPUTED_VALUE"""),"VIATURA")</f>
        <v>VIATURA</v>
      </c>
      <c r="E43" s="34" t="str">
        <f>IFERROR(__xludf.DUMMYFUNCTION("""COMPUTED_VALUE"""),"1 - ABTS5911")</f>
        <v>1 - ABTS5911</v>
      </c>
      <c r="F43" s="34" t="str">
        <f>IFERROR(__xludf.DUMMYFUNCTION("""COMPUTED_VALUE"""),"BOX 01")</f>
        <v>BOX 01</v>
      </c>
      <c r="G43" s="35">
        <f>IFERROR(__xludf.DUMMYFUNCTION("""COMPUTED_VALUE"""),7.6829391E7)</f>
        <v>76829391</v>
      </c>
      <c r="H43" s="34"/>
      <c r="I43" s="37" t="str">
        <f>IFERROR(__xludf.DUMMYFUNCTION("""COMPUTED_VALUE"""),"STREAMLIGHT")</f>
        <v>STREAMLIGHT</v>
      </c>
    </row>
    <row r="44" ht="22.5" customHeight="1">
      <c r="A44" s="30">
        <f>IFERROR(__xludf.DUMMYFUNCTION("""COMPUTED_VALUE"""),508.0)</f>
        <v>508</v>
      </c>
      <c r="B44" s="31" t="str">
        <f>IFERROR(__xludf.DUMMYFUNCTION("""COMPUTED_VALUE"""),"MARTELO DE BORRACHA")</f>
        <v>MARTELO DE BORRACHA</v>
      </c>
      <c r="C44" s="32">
        <f>IFERROR(__xludf.DUMMYFUNCTION("""COMPUTED_VALUE"""),1.0)</f>
        <v>1</v>
      </c>
      <c r="D44" s="33" t="str">
        <f>IFERROR(__xludf.DUMMYFUNCTION("""COMPUTED_VALUE"""),"SEÇÃO")</f>
        <v>SEÇÃO</v>
      </c>
      <c r="E44" s="34" t="str">
        <f>IFERROR(__xludf.DUMMYFUNCTION("""COMPUTED_VALUE"""),"1 - ABTS5911")</f>
        <v>1 - ABTS5911</v>
      </c>
      <c r="F44" s="34" t="str">
        <f>IFERROR(__xludf.DUMMYFUNCTION("""COMPUTED_VALUE"""),"BOX 01")</f>
        <v>BOX 01</v>
      </c>
      <c r="G44" s="35"/>
      <c r="H44" s="34"/>
      <c r="I44" s="37"/>
    </row>
    <row r="45" ht="22.5" customHeight="1">
      <c r="A45" s="30">
        <f>IFERROR(__xludf.DUMMYFUNCTION("""COMPUTED_VALUE"""),95.0)</f>
        <v>95</v>
      </c>
      <c r="B45" s="31" t="str">
        <f>IFERROR(__xludf.DUMMYFUNCTION("""COMPUTED_VALUE"""),"CABO SOLTEIRO")</f>
        <v>CABO SOLTEIRO</v>
      </c>
      <c r="C45" s="32">
        <f>IFERROR(__xludf.DUMMYFUNCTION("""COMPUTED_VALUE"""),4.0)</f>
        <v>4</v>
      </c>
      <c r="D45" s="33" t="str">
        <f>IFERROR(__xludf.DUMMYFUNCTION("""COMPUTED_VALUE"""),"VIATURA")</f>
        <v>VIATURA</v>
      </c>
      <c r="E45" s="34" t="str">
        <f>IFERROR(__xludf.DUMMYFUNCTION("""COMPUTED_VALUE"""),"1 - ABTS5911")</f>
        <v>1 - ABTS5911</v>
      </c>
      <c r="F45" s="34" t="str">
        <f>IFERROR(__xludf.DUMMYFUNCTION("""COMPUTED_VALUE"""),"BOX 02")</f>
        <v>BOX 02</v>
      </c>
      <c r="G45" s="35">
        <f>IFERROR(__xludf.DUMMYFUNCTION("""COMPUTED_VALUE"""),45525.0)</f>
        <v>45525</v>
      </c>
      <c r="H45" s="34"/>
      <c r="I45" s="37"/>
    </row>
    <row r="46" ht="22.5" customHeight="1">
      <c r="A46" s="30">
        <f>IFERROR(__xludf.DUMMYFUNCTION("""COMPUTED_VALUE"""),8.0)</f>
        <v>8</v>
      </c>
      <c r="B46" s="40" t="str">
        <f>IFERROR(__xludf.DUMMYFUNCTION("""COMPUTED_VALUE"""),"CALÇA DE MOTOSSERRISTA XG")</f>
        <v>CALÇA DE MOTOSSERRISTA XG</v>
      </c>
      <c r="C46" s="32">
        <f>IFERROR(__xludf.DUMMYFUNCTION("""COMPUTED_VALUE"""),2.0)</f>
        <v>2</v>
      </c>
      <c r="D46" s="33" t="str">
        <f>IFERROR(__xludf.DUMMYFUNCTION("""COMPUTED_VALUE"""),"VIATURA")</f>
        <v>VIATURA</v>
      </c>
      <c r="E46" s="34" t="str">
        <f>IFERROR(__xludf.DUMMYFUNCTION("""COMPUTED_VALUE"""),"1 - ABTS5911")</f>
        <v>1 - ABTS5911</v>
      </c>
      <c r="F46" s="34" t="str">
        <f>IFERROR(__xludf.DUMMYFUNCTION("""COMPUTED_VALUE"""),"BOX 02")</f>
        <v>BOX 02</v>
      </c>
      <c r="G46" s="35">
        <f>IFERROR(__xludf.DUMMYFUNCTION("""COMPUTED_VALUE"""),45527.0)</f>
        <v>45527</v>
      </c>
      <c r="H46" s="34"/>
      <c r="I46" s="37"/>
    </row>
    <row r="47" ht="22.5" customHeight="1">
      <c r="A47" s="30">
        <f>IFERROR(__xludf.DUMMYFUNCTION("""COMPUTED_VALUE"""),93.0)</f>
        <v>93</v>
      </c>
      <c r="B47" s="31" t="str">
        <f>IFERROR(__xludf.DUMMYFUNCTION("""COMPUTED_VALUE"""),"CATRACA 05 TON")</f>
        <v>CATRACA 05 TON</v>
      </c>
      <c r="C47" s="32">
        <f>IFERROR(__xludf.DUMMYFUNCTION("""COMPUTED_VALUE"""),1.0)</f>
        <v>1</v>
      </c>
      <c r="D47" s="33" t="str">
        <f>IFERROR(__xludf.DUMMYFUNCTION("""COMPUTED_VALUE"""),"VIATURA")</f>
        <v>VIATURA</v>
      </c>
      <c r="E47" s="34" t="str">
        <f>IFERROR(__xludf.DUMMYFUNCTION("""COMPUTED_VALUE"""),"1 - ABTS5911")</f>
        <v>1 - ABTS5911</v>
      </c>
      <c r="F47" s="34" t="str">
        <f>IFERROR(__xludf.DUMMYFUNCTION("""COMPUTED_VALUE"""),"BOX 02")</f>
        <v>BOX 02</v>
      </c>
      <c r="G47" s="35">
        <f>IFERROR(__xludf.DUMMYFUNCTION("""COMPUTED_VALUE"""),45525.0)</f>
        <v>45525</v>
      </c>
      <c r="H47" s="34"/>
      <c r="I47" s="37"/>
    </row>
    <row r="48" ht="22.5" customHeight="1">
      <c r="A48" s="30">
        <f>IFERROR(__xludf.DUMMYFUNCTION("""COMPUTED_VALUE"""),94.0)</f>
        <v>94</v>
      </c>
      <c r="B48" s="31" t="str">
        <f>IFERROR(__xludf.DUMMYFUNCTION("""COMPUTED_VALUE"""),"CATRACA 1,5 TON")</f>
        <v>CATRACA 1,5 TON</v>
      </c>
      <c r="C48" s="32">
        <f>IFERROR(__xludf.DUMMYFUNCTION("""COMPUTED_VALUE"""),1.0)</f>
        <v>1</v>
      </c>
      <c r="D48" s="33" t="str">
        <f>IFERROR(__xludf.DUMMYFUNCTION("""COMPUTED_VALUE"""),"VIATURA")</f>
        <v>VIATURA</v>
      </c>
      <c r="E48" s="34" t="str">
        <f>IFERROR(__xludf.DUMMYFUNCTION("""COMPUTED_VALUE"""),"1 - ABTS5911")</f>
        <v>1 - ABTS5911</v>
      </c>
      <c r="F48" s="34" t="str">
        <f>IFERROR(__xludf.DUMMYFUNCTION("""COMPUTED_VALUE"""),"BOX 02")</f>
        <v>BOX 02</v>
      </c>
      <c r="G48" s="35">
        <f>IFERROR(__xludf.DUMMYFUNCTION("""COMPUTED_VALUE"""),45525.0)</f>
        <v>45525</v>
      </c>
      <c r="H48" s="34"/>
      <c r="I48" s="37"/>
    </row>
    <row r="49" ht="22.5" customHeight="1">
      <c r="A49" s="30">
        <f>IFERROR(__xludf.DUMMYFUNCTION("""COMPUTED_VALUE"""),92.0)</f>
        <v>92</v>
      </c>
      <c r="B49" s="31" t="str">
        <f>IFERROR(__xludf.DUMMYFUNCTION("""COMPUTED_VALUE"""),"CATRACA 10 TON")</f>
        <v>CATRACA 10 TON</v>
      </c>
      <c r="C49" s="32">
        <f>IFERROR(__xludf.DUMMYFUNCTION("""COMPUTED_VALUE"""),1.0)</f>
        <v>1</v>
      </c>
      <c r="D49" s="33" t="str">
        <f>IFERROR(__xludf.DUMMYFUNCTION("""COMPUTED_VALUE"""),"VIATURA")</f>
        <v>VIATURA</v>
      </c>
      <c r="E49" s="34" t="str">
        <f>IFERROR(__xludf.DUMMYFUNCTION("""COMPUTED_VALUE"""),"1 - ABTS5911")</f>
        <v>1 - ABTS5911</v>
      </c>
      <c r="F49" s="34" t="str">
        <f>IFERROR(__xludf.DUMMYFUNCTION("""COMPUTED_VALUE"""),"BOX 02")</f>
        <v>BOX 02</v>
      </c>
      <c r="G49" s="35">
        <f>IFERROR(__xludf.DUMMYFUNCTION("""COMPUTED_VALUE"""),45525.0)</f>
        <v>45525</v>
      </c>
      <c r="H49" s="34"/>
      <c r="I49" s="37"/>
    </row>
    <row r="50" ht="22.5" customHeight="1">
      <c r="A50" s="30">
        <f>IFERROR(__xludf.DUMMYFUNCTION("""COMPUTED_VALUE"""),544.0)</f>
        <v>544</v>
      </c>
      <c r="B50" s="40" t="str">
        <f>IFERROR(__xludf.DUMMYFUNCTION("""COMPUTED_VALUE"""),"TALHA -")</f>
        <v>TALHA -</v>
      </c>
      <c r="C50" s="32">
        <f>IFERROR(__xludf.DUMMYFUNCTION("""COMPUTED_VALUE"""),1.0)</f>
        <v>1</v>
      </c>
      <c r="D50" s="33" t="str">
        <f>IFERROR(__xludf.DUMMYFUNCTION("""COMPUTED_VALUE"""),"VIATURA")</f>
        <v>VIATURA</v>
      </c>
      <c r="E50" s="34" t="str">
        <f>IFERROR(__xludf.DUMMYFUNCTION("""COMPUTED_VALUE"""),"1 - ABTS5911")</f>
        <v>1 - ABTS5911</v>
      </c>
      <c r="F50" s="34" t="str">
        <f>IFERROR(__xludf.DUMMYFUNCTION("""COMPUTED_VALUE"""),"BOX 02")</f>
        <v>BOX 02</v>
      </c>
      <c r="G50" s="35">
        <f>IFERROR(__xludf.DUMMYFUNCTION("""COMPUTED_VALUE"""),1.396438E7)</f>
        <v>13964380</v>
      </c>
      <c r="H50" s="34"/>
      <c r="I50" s="37"/>
    </row>
    <row r="51" ht="22.5" customHeight="1">
      <c r="A51" s="30">
        <f>IFERROR(__xludf.DUMMYFUNCTION("""COMPUTED_VALUE"""),98.0)</f>
        <v>98</v>
      </c>
      <c r="B51" s="31" t="str">
        <f>IFERROR(__xludf.DUMMYFUNCTION("""COMPUTED_VALUE"""),"ALAVANCA PÉ DE CABRA DUPLO")</f>
        <v>ALAVANCA PÉ DE CABRA DUPLO</v>
      </c>
      <c r="C51" s="32">
        <f>IFERROR(__xludf.DUMMYFUNCTION("""COMPUTED_VALUE"""),1.0)</f>
        <v>1</v>
      </c>
      <c r="D51" s="33" t="str">
        <f>IFERROR(__xludf.DUMMYFUNCTION("""COMPUTED_VALUE"""),"VIATURA")</f>
        <v>VIATURA</v>
      </c>
      <c r="E51" s="34" t="str">
        <f>IFERROR(__xludf.DUMMYFUNCTION("""COMPUTED_VALUE"""),"1 - ABTS5911")</f>
        <v>1 - ABTS5911</v>
      </c>
      <c r="F51" s="34" t="str">
        <f>IFERROR(__xludf.DUMMYFUNCTION("""COMPUTED_VALUE"""),"BOX 03")</f>
        <v>BOX 03</v>
      </c>
      <c r="G51" s="35">
        <f>IFERROR(__xludf.DUMMYFUNCTION("""COMPUTED_VALUE"""),45525.0)</f>
        <v>45525</v>
      </c>
      <c r="H51" s="34"/>
      <c r="I51" s="37"/>
    </row>
    <row r="52" ht="22.5" customHeight="1">
      <c r="A52" s="30">
        <f>IFERROR(__xludf.DUMMYFUNCTION("""COMPUTED_VALUE"""),99.0)</f>
        <v>99</v>
      </c>
      <c r="B52" s="31" t="str">
        <f>IFERROR(__xludf.DUMMYFUNCTION("""COMPUTED_VALUE"""),"BARRA HALLIGAN")</f>
        <v>BARRA HALLIGAN</v>
      </c>
      <c r="C52" s="32">
        <f>IFERROR(__xludf.DUMMYFUNCTION("""COMPUTED_VALUE"""),1.0)</f>
        <v>1</v>
      </c>
      <c r="D52" s="33" t="str">
        <f>IFERROR(__xludf.DUMMYFUNCTION("""COMPUTED_VALUE"""),"VIATURA")</f>
        <v>VIATURA</v>
      </c>
      <c r="E52" s="34" t="str">
        <f>IFERROR(__xludf.DUMMYFUNCTION("""COMPUTED_VALUE"""),"1 - ABTS5911")</f>
        <v>1 - ABTS5911</v>
      </c>
      <c r="F52" s="34" t="str">
        <f>IFERROR(__xludf.DUMMYFUNCTION("""COMPUTED_VALUE"""),"BOX 03")</f>
        <v>BOX 03</v>
      </c>
      <c r="G52" s="35">
        <f>IFERROR(__xludf.DUMMYFUNCTION("""COMPUTED_VALUE"""),45525.0)</f>
        <v>45525</v>
      </c>
      <c r="H52" s="34"/>
      <c r="I52" s="37"/>
    </row>
    <row r="53" ht="22.5" customHeight="1">
      <c r="A53" s="30">
        <f>IFERROR(__xludf.DUMMYFUNCTION("""COMPUTED_VALUE"""),100.0)</f>
        <v>100</v>
      </c>
      <c r="B53" s="31" t="str">
        <f>IFERROR(__xludf.DUMMYFUNCTION("""COMPUTED_VALUE"""),"CHAVE DE TAMPÃO DE HIRANTE")</f>
        <v>CHAVE DE TAMPÃO DE HIRANTE</v>
      </c>
      <c r="C53" s="32">
        <f>IFERROR(__xludf.DUMMYFUNCTION("""COMPUTED_VALUE"""),4.0)</f>
        <v>4</v>
      </c>
      <c r="D53" s="33" t="str">
        <f>IFERROR(__xludf.DUMMYFUNCTION("""COMPUTED_VALUE"""),"VIATURA")</f>
        <v>VIATURA</v>
      </c>
      <c r="E53" s="34" t="str">
        <f>IFERROR(__xludf.DUMMYFUNCTION("""COMPUTED_VALUE"""),"1 - ABTS5911")</f>
        <v>1 - ABTS5911</v>
      </c>
      <c r="F53" s="34" t="str">
        <f>IFERROR(__xludf.DUMMYFUNCTION("""COMPUTED_VALUE"""),"BOX 03")</f>
        <v>BOX 03</v>
      </c>
      <c r="G53" s="35">
        <f>IFERROR(__xludf.DUMMYFUNCTION("""COMPUTED_VALUE"""),45525.0)</f>
        <v>45525</v>
      </c>
      <c r="H53" s="34"/>
      <c r="I53" s="37"/>
    </row>
    <row r="54" ht="22.5" customHeight="1">
      <c r="A54" s="30">
        <f>IFERROR(__xludf.DUMMYFUNCTION("""COMPUTED_VALUE"""),104.0)</f>
        <v>104</v>
      </c>
      <c r="B54" s="31" t="str">
        <f>IFERROR(__xludf.DUMMYFUNCTION("""COMPUTED_VALUE"""),"ENXADÃO")</f>
        <v>ENXADÃO</v>
      </c>
      <c r="C54" s="32">
        <f>IFERROR(__xludf.DUMMYFUNCTION("""COMPUTED_VALUE"""),1.0)</f>
        <v>1</v>
      </c>
      <c r="D54" s="33" t="str">
        <f>IFERROR(__xludf.DUMMYFUNCTION("""COMPUTED_VALUE"""),"VIATURA")</f>
        <v>VIATURA</v>
      </c>
      <c r="E54" s="34" t="str">
        <f>IFERROR(__xludf.DUMMYFUNCTION("""COMPUTED_VALUE"""),"1 - ABTS5911")</f>
        <v>1 - ABTS5911</v>
      </c>
      <c r="F54" s="34" t="str">
        <f>IFERROR(__xludf.DUMMYFUNCTION("""COMPUTED_VALUE"""),"BOX 03")</f>
        <v>BOX 03</v>
      </c>
      <c r="G54" s="35">
        <f>IFERROR(__xludf.DUMMYFUNCTION("""COMPUTED_VALUE"""),45525.0)</f>
        <v>45525</v>
      </c>
      <c r="H54" s="34"/>
      <c r="I54" s="37"/>
    </row>
    <row r="55" ht="22.5" customHeight="1">
      <c r="A55" s="30">
        <f>IFERROR(__xludf.DUMMYFUNCTION("""COMPUTED_VALUE"""),103.0)</f>
        <v>103</v>
      </c>
      <c r="B55" s="31" t="str">
        <f>IFERROR(__xludf.DUMMYFUNCTION("""COMPUTED_VALUE"""),"FOICE")</f>
        <v>FOICE</v>
      </c>
      <c r="C55" s="32">
        <f>IFERROR(__xludf.DUMMYFUNCTION("""COMPUTED_VALUE"""),1.0)</f>
        <v>1</v>
      </c>
      <c r="D55" s="33" t="str">
        <f>IFERROR(__xludf.DUMMYFUNCTION("""COMPUTED_VALUE"""),"VIATURA")</f>
        <v>VIATURA</v>
      </c>
      <c r="E55" s="34" t="str">
        <f>IFERROR(__xludf.DUMMYFUNCTION("""COMPUTED_VALUE"""),"1 - ABTS5911")</f>
        <v>1 - ABTS5911</v>
      </c>
      <c r="F55" s="34" t="str">
        <f>IFERROR(__xludf.DUMMYFUNCTION("""COMPUTED_VALUE"""),"BOX 03")</f>
        <v>BOX 03</v>
      </c>
      <c r="G55" s="35">
        <f>IFERROR(__xludf.DUMMYFUNCTION("""COMPUTED_VALUE"""),45525.0)</f>
        <v>45525</v>
      </c>
      <c r="H55" s="34"/>
      <c r="I55" s="37"/>
    </row>
    <row r="56" ht="22.5" customHeight="1">
      <c r="A56" s="30">
        <f>IFERROR(__xludf.DUMMYFUNCTION("""COMPUTED_VALUE"""),102.0)</f>
        <v>102</v>
      </c>
      <c r="B56" s="31" t="str">
        <f>IFERROR(__xludf.DUMMYFUNCTION("""COMPUTED_VALUE"""),"GADANHO")</f>
        <v>GADANHO</v>
      </c>
      <c r="C56" s="32">
        <f>IFERROR(__xludf.DUMMYFUNCTION("""COMPUTED_VALUE"""),1.0)</f>
        <v>1</v>
      </c>
      <c r="D56" s="33" t="str">
        <f>IFERROR(__xludf.DUMMYFUNCTION("""COMPUTED_VALUE"""),"VIATURA")</f>
        <v>VIATURA</v>
      </c>
      <c r="E56" s="34" t="str">
        <f>IFERROR(__xludf.DUMMYFUNCTION("""COMPUTED_VALUE"""),"1 - ABTS5911")</f>
        <v>1 - ABTS5911</v>
      </c>
      <c r="F56" s="34" t="str">
        <f>IFERROR(__xludf.DUMMYFUNCTION("""COMPUTED_VALUE"""),"BOX 03")</f>
        <v>BOX 03</v>
      </c>
      <c r="G56" s="35">
        <f>IFERROR(__xludf.DUMMYFUNCTION("""COMPUTED_VALUE"""),45525.0)</f>
        <v>45525</v>
      </c>
      <c r="H56" s="34"/>
      <c r="I56" s="37"/>
    </row>
    <row r="57" ht="22.5" customHeight="1">
      <c r="A57" s="30">
        <f>IFERROR(__xludf.DUMMYFUNCTION("""COMPUTED_VALUE"""),101.0)</f>
        <v>101</v>
      </c>
      <c r="B57" s="31" t="str">
        <f>IFERROR(__xludf.DUMMYFUNCTION("""COMPUTED_VALUE"""),"MACHADINHA")</f>
        <v>MACHADINHA</v>
      </c>
      <c r="C57" s="32">
        <f>IFERROR(__xludf.DUMMYFUNCTION("""COMPUTED_VALUE"""),1.0)</f>
        <v>1</v>
      </c>
      <c r="D57" s="33" t="str">
        <f>IFERROR(__xludf.DUMMYFUNCTION("""COMPUTED_VALUE"""),"VIATURA")</f>
        <v>VIATURA</v>
      </c>
      <c r="E57" s="34" t="str">
        <f>IFERROR(__xludf.DUMMYFUNCTION("""COMPUTED_VALUE"""),"1 - ABTS5911")</f>
        <v>1 - ABTS5911</v>
      </c>
      <c r="F57" s="34" t="str">
        <f>IFERROR(__xludf.DUMMYFUNCTION("""COMPUTED_VALUE"""),"BOX 03")</f>
        <v>BOX 03</v>
      </c>
      <c r="G57" s="35">
        <f>IFERROR(__xludf.DUMMYFUNCTION("""COMPUTED_VALUE"""),45525.0)</f>
        <v>45525</v>
      </c>
      <c r="H57" s="34"/>
      <c r="I57" s="37"/>
    </row>
    <row r="58" ht="22.5" customHeight="1">
      <c r="A58" s="30">
        <f>IFERROR(__xludf.DUMMYFUNCTION("""COMPUTED_VALUE"""),117.0)</f>
        <v>117</v>
      </c>
      <c r="B58" s="31" t="str">
        <f>IFERROR(__xludf.DUMMYFUNCTION("""COMPUTED_VALUE"""),"BOLSA DE SALVAMENTO EM ALTURA")</f>
        <v>BOLSA DE SALVAMENTO EM ALTURA</v>
      </c>
      <c r="C58" s="32">
        <f>IFERROR(__xludf.DUMMYFUNCTION("""COMPUTED_VALUE"""),1.0)</f>
        <v>1</v>
      </c>
      <c r="D58" s="33" t="str">
        <f>IFERROR(__xludf.DUMMYFUNCTION("""COMPUTED_VALUE"""),"VIATURA")</f>
        <v>VIATURA</v>
      </c>
      <c r="E58" s="34" t="str">
        <f>IFERROR(__xludf.DUMMYFUNCTION("""COMPUTED_VALUE"""),"1 - ABTS5911")</f>
        <v>1 - ABTS5911</v>
      </c>
      <c r="F58" s="34" t="str">
        <f>IFERROR(__xludf.DUMMYFUNCTION("""COMPUTED_VALUE"""),"BOX 05")</f>
        <v>BOX 05</v>
      </c>
      <c r="G58" s="35">
        <f>IFERROR(__xludf.DUMMYFUNCTION("""COMPUTED_VALUE"""),45525.0)</f>
        <v>45525</v>
      </c>
      <c r="H58" s="34"/>
      <c r="I58" s="37"/>
    </row>
    <row r="59" ht="22.5" customHeight="1">
      <c r="A59" s="30">
        <f>IFERROR(__xludf.DUMMYFUNCTION("""COMPUTED_VALUE"""),552.0)</f>
        <v>552</v>
      </c>
      <c r="B59" s="31" t="str">
        <f>IFERROR(__xludf.DUMMYFUNCTION("""COMPUTED_VALUE"""),"CAIXA PARA GUARDA DE FERRAMENTAS -")</f>
        <v>CAIXA PARA GUARDA DE FERRAMENTAS -</v>
      </c>
      <c r="C59" s="32">
        <f>IFERROR(__xludf.DUMMYFUNCTION("""COMPUTED_VALUE"""),1.0)</f>
        <v>1</v>
      </c>
      <c r="D59" s="33" t="str">
        <f>IFERROR(__xludf.DUMMYFUNCTION("""COMPUTED_VALUE"""),"VIATURA")</f>
        <v>VIATURA</v>
      </c>
      <c r="E59" s="34" t="str">
        <f>IFERROR(__xludf.DUMMYFUNCTION("""COMPUTED_VALUE"""),"1 - ABTS5911")</f>
        <v>1 - ABTS5911</v>
      </c>
      <c r="F59" s="34" t="str">
        <f>IFERROR(__xludf.DUMMYFUNCTION("""COMPUTED_VALUE"""),"BOX 05")</f>
        <v>BOX 05</v>
      </c>
      <c r="G59" s="35">
        <f>IFERROR(__xludf.DUMMYFUNCTION("""COMPUTED_VALUE"""),1.399901E7)</f>
        <v>13999010</v>
      </c>
      <c r="H59" s="34"/>
      <c r="I59" s="37"/>
    </row>
    <row r="60" ht="22.5" customHeight="1">
      <c r="A60" s="30">
        <f>IFERROR(__xludf.DUMMYFUNCTION("""COMPUTED_VALUE"""),115.0)</f>
        <v>115</v>
      </c>
      <c r="B60" s="31" t="str">
        <f>IFERROR(__xludf.DUMMYFUNCTION("""COMPUTED_VALUE"""),"CALÇO PARA VIATURAS (PLÁSTICO)")</f>
        <v>CALÇO PARA VIATURAS (PLÁSTICO)</v>
      </c>
      <c r="C60" s="32">
        <f>IFERROR(__xludf.DUMMYFUNCTION("""COMPUTED_VALUE"""),2.0)</f>
        <v>2</v>
      </c>
      <c r="D60" s="33" t="str">
        <f>IFERROR(__xludf.DUMMYFUNCTION("""COMPUTED_VALUE"""),"VIATURA")</f>
        <v>VIATURA</v>
      </c>
      <c r="E60" s="34" t="str">
        <f>IFERROR(__xludf.DUMMYFUNCTION("""COMPUTED_VALUE"""),"1 - ABTS5911")</f>
        <v>1 - ABTS5911</v>
      </c>
      <c r="F60" s="34" t="str">
        <f>IFERROR(__xludf.DUMMYFUNCTION("""COMPUTED_VALUE"""),"BOX 05")</f>
        <v>BOX 05</v>
      </c>
      <c r="G60" s="35">
        <f>IFERROR(__xludf.DUMMYFUNCTION("""COMPUTED_VALUE"""),45525.0)</f>
        <v>45525</v>
      </c>
      <c r="H60" s="34"/>
      <c r="I60" s="37"/>
    </row>
    <row r="61" ht="22.5" customHeight="1">
      <c r="A61" s="30">
        <f>IFERROR(__xludf.DUMMYFUNCTION("""COMPUTED_VALUE"""),116.0)</f>
        <v>116</v>
      </c>
      <c r="B61" s="31" t="str">
        <f>IFERROR(__xludf.DUMMYFUNCTION("""COMPUTED_VALUE"""),"CHAVE DE MANGOTE")</f>
        <v>CHAVE DE MANGOTE</v>
      </c>
      <c r="C61" s="32">
        <f>IFERROR(__xludf.DUMMYFUNCTION("""COMPUTED_VALUE"""),1.0)</f>
        <v>1</v>
      </c>
      <c r="D61" s="33" t="str">
        <f>IFERROR(__xludf.DUMMYFUNCTION("""COMPUTED_VALUE"""),"VIATURA")</f>
        <v>VIATURA</v>
      </c>
      <c r="E61" s="34" t="str">
        <f>IFERROR(__xludf.DUMMYFUNCTION("""COMPUTED_VALUE"""),"1 - ABTS5911")</f>
        <v>1 - ABTS5911</v>
      </c>
      <c r="F61" s="34" t="str">
        <f>IFERROR(__xludf.DUMMYFUNCTION("""COMPUTED_VALUE"""),"BOX 05")</f>
        <v>BOX 05</v>
      </c>
      <c r="G61" s="35">
        <f>IFERROR(__xludf.DUMMYFUNCTION("""COMPUTED_VALUE"""),45525.0)</f>
        <v>45525</v>
      </c>
      <c r="H61" s="34"/>
      <c r="I61" s="37"/>
    </row>
    <row r="62" ht="22.5" customHeight="1">
      <c r="A62" s="30">
        <f>IFERROR(__xludf.DUMMYFUNCTION("""COMPUTED_VALUE"""),109.0)</f>
        <v>109</v>
      </c>
      <c r="B62" s="31" t="str">
        <f>IFERROR(__xludf.DUMMYFUNCTION("""COMPUTED_VALUE"""),"CHAVE DE MANGUEIRA")</f>
        <v>CHAVE DE MANGUEIRA</v>
      </c>
      <c r="C62" s="32">
        <f>IFERROR(__xludf.DUMMYFUNCTION("""COMPUTED_VALUE"""),4.0)</f>
        <v>4</v>
      </c>
      <c r="D62" s="33" t="str">
        <f>IFERROR(__xludf.DUMMYFUNCTION("""COMPUTED_VALUE"""),"VIATURA")</f>
        <v>VIATURA</v>
      </c>
      <c r="E62" s="34" t="str">
        <f>IFERROR(__xludf.DUMMYFUNCTION("""COMPUTED_VALUE"""),"1 - ABTS5911")</f>
        <v>1 - ABTS5911</v>
      </c>
      <c r="F62" s="34" t="str">
        <f>IFERROR(__xludf.DUMMYFUNCTION("""COMPUTED_VALUE"""),"BOX 05")</f>
        <v>BOX 05</v>
      </c>
      <c r="G62" s="35">
        <f>IFERROR(__xludf.DUMMYFUNCTION("""COMPUTED_VALUE"""),45525.0)</f>
        <v>45525</v>
      </c>
      <c r="H62" s="34"/>
      <c r="I62" s="37"/>
    </row>
    <row r="63" ht="22.5" customHeight="1">
      <c r="A63" s="30">
        <f>IFERROR(__xludf.DUMMYFUNCTION("""COMPUTED_VALUE"""),118.0)</f>
        <v>118</v>
      </c>
      <c r="B63" s="31" t="str">
        <f>IFERROR(__xludf.DUMMYFUNCTION("""COMPUTED_VALUE"""),"CHAVE MAGNÉTICA")</f>
        <v>CHAVE MAGNÉTICA</v>
      </c>
      <c r="C63" s="32">
        <f>IFERROR(__xludf.DUMMYFUNCTION("""COMPUTED_VALUE"""),1.0)</f>
        <v>1</v>
      </c>
      <c r="D63" s="33" t="str">
        <f>IFERROR(__xludf.DUMMYFUNCTION("""COMPUTED_VALUE"""),"VIATURA")</f>
        <v>VIATURA</v>
      </c>
      <c r="E63" s="34" t="str">
        <f>IFERROR(__xludf.DUMMYFUNCTION("""COMPUTED_VALUE"""),"1 - ABTS5911")</f>
        <v>1 - ABTS5911</v>
      </c>
      <c r="F63" s="34" t="str">
        <f>IFERROR(__xludf.DUMMYFUNCTION("""COMPUTED_VALUE"""),"BOX 05")</f>
        <v>BOX 05</v>
      </c>
      <c r="G63" s="35">
        <f>IFERROR(__xludf.DUMMYFUNCTION("""COMPUTED_VALUE"""),45525.0)</f>
        <v>45525</v>
      </c>
      <c r="H63" s="34"/>
      <c r="I63" s="37"/>
    </row>
    <row r="64" ht="22.5" customHeight="1">
      <c r="A64" s="30">
        <f>IFERROR(__xludf.DUMMYFUNCTION("""COMPUTED_VALUE"""),110.0)</f>
        <v>110</v>
      </c>
      <c r="B64" s="31" t="str">
        <f>IFERROR(__xludf.DUMMYFUNCTION("""COMPUTED_VALUE"""),"DIVISOR 3 BOCAS")</f>
        <v>DIVISOR 3 BOCAS</v>
      </c>
      <c r="C64" s="32">
        <f>IFERROR(__xludf.DUMMYFUNCTION("""COMPUTED_VALUE"""),1.0)</f>
        <v>1</v>
      </c>
      <c r="D64" s="33" t="str">
        <f>IFERROR(__xludf.DUMMYFUNCTION("""COMPUTED_VALUE"""),"VIATURA")</f>
        <v>VIATURA</v>
      </c>
      <c r="E64" s="34" t="str">
        <f>IFERROR(__xludf.DUMMYFUNCTION("""COMPUTED_VALUE"""),"1 - ABTS5911")</f>
        <v>1 - ABTS5911</v>
      </c>
      <c r="F64" s="34" t="str">
        <f>IFERROR(__xludf.DUMMYFUNCTION("""COMPUTED_VALUE"""),"BOX 05")</f>
        <v>BOX 05</v>
      </c>
      <c r="G64" s="35">
        <f>IFERROR(__xludf.DUMMYFUNCTION("""COMPUTED_VALUE"""),45525.0)</f>
        <v>45525</v>
      </c>
      <c r="H64" s="34"/>
      <c r="I64" s="37"/>
    </row>
    <row r="65" ht="22.5" customHeight="1">
      <c r="A65" s="30">
        <f>IFERROR(__xludf.DUMMYFUNCTION("""COMPUTED_VALUE"""),1160.0)</f>
        <v>1160</v>
      </c>
      <c r="B65" s="40" t="str">
        <f>IFERROR(__xludf.DUMMYFUNCTION("""COMPUTED_VALUE"""),"ESGUICHO PARA MANGUEIRA COMBATE A INCENDIO -")</f>
        <v>ESGUICHO PARA MANGUEIRA COMBATE A INCENDIO -</v>
      </c>
      <c r="C65" s="32">
        <f>IFERROR(__xludf.DUMMYFUNCTION("""COMPUTED_VALUE"""),1.0)</f>
        <v>1</v>
      </c>
      <c r="D65" s="33" t="str">
        <f>IFERROR(__xludf.DUMMYFUNCTION("""COMPUTED_VALUE"""),"VIATURA")</f>
        <v>VIATURA</v>
      </c>
      <c r="E65" s="34" t="str">
        <f>IFERROR(__xludf.DUMMYFUNCTION("""COMPUTED_VALUE"""),"1 - ABTS5911")</f>
        <v>1 - ABTS5911</v>
      </c>
      <c r="F65" s="34" t="str">
        <f>IFERROR(__xludf.DUMMYFUNCTION("""COMPUTED_VALUE"""),"BOX 05")</f>
        <v>BOX 05</v>
      </c>
      <c r="G65" s="35">
        <f>IFERROR(__xludf.DUMMYFUNCTION("""COMPUTED_VALUE"""),7.685633E7)</f>
        <v>76856330</v>
      </c>
      <c r="H65" s="34" t="str">
        <f>IFERROR(__xludf.DUMMYFUNCTION("""COMPUTED_VALUE"""),"N.S-4630-22")</f>
        <v>N.S-4630-22</v>
      </c>
      <c r="I65" s="37" t="str">
        <f>IFERROR(__xludf.DUMMYFUNCTION("""COMPUTED_VALUE"""),"Esguicho POK Firefighting equipment ")</f>
        <v>Esguicho POK Firefighting equipment </v>
      </c>
    </row>
    <row r="66" ht="22.5" customHeight="1">
      <c r="A66" s="30">
        <f>IFERROR(__xludf.DUMMYFUNCTION("""COMPUTED_VALUE"""),1162.0)</f>
        <v>1162</v>
      </c>
      <c r="B66" s="31" t="str">
        <f>IFERROR(__xludf.DUMMYFUNCTION("""COMPUTED_VALUE"""),"FERRAMENTA PARA DESENCARCERAMENTO -")</f>
        <v>FERRAMENTA PARA DESENCARCERAMENTO -</v>
      </c>
      <c r="C66" s="32">
        <f>IFERROR(__xludf.DUMMYFUNCTION("""COMPUTED_VALUE"""),1.0)</f>
        <v>1</v>
      </c>
      <c r="D66" s="33" t="str">
        <f>IFERROR(__xludf.DUMMYFUNCTION("""COMPUTED_VALUE"""),"VIATURA")</f>
        <v>VIATURA</v>
      </c>
      <c r="E66" s="34" t="str">
        <f>IFERROR(__xludf.DUMMYFUNCTION("""COMPUTED_VALUE"""),"1 - ABTS5911")</f>
        <v>1 - ABTS5911</v>
      </c>
      <c r="F66" s="34" t="str">
        <f>IFERROR(__xludf.DUMMYFUNCTION("""COMPUTED_VALUE"""),"BOX 05")</f>
        <v>BOX 05</v>
      </c>
      <c r="G66" s="35">
        <f>IFERROR(__xludf.DUMMYFUNCTION("""COMPUTED_VALUE"""),7.6857638E7)</f>
        <v>76857638</v>
      </c>
      <c r="H66" s="34" t="str">
        <f>IFERROR(__xludf.DUMMYFUNCTION("""COMPUTED_VALUE"""),"1407131HH")</f>
        <v>1407131HH</v>
      </c>
      <c r="I66" s="37" t="str">
        <f>IFERROR(__xludf.DUMMYFUNCTION("""COMPUTED_VALUE"""),"(ALARGADOR) - HOLMATRO MODELO: PSP40 PENTHEON  C/ BATERIA ")</f>
        <v>(ALARGADOR) - HOLMATRO MODELO: PSP40 PENTHEON  C/ BATERIA </v>
      </c>
    </row>
    <row r="67" ht="22.5" customHeight="1">
      <c r="A67" s="30">
        <f>IFERROR(__xludf.DUMMYFUNCTION("""COMPUTED_VALUE"""),108.0)</f>
        <v>108</v>
      </c>
      <c r="B67" s="40" t="str">
        <f>IFERROR(__xludf.DUMMYFUNCTION("""COMPUTED_VALUE"""),"NIPS")</f>
        <v>NIPS</v>
      </c>
      <c r="C67" s="32">
        <f>IFERROR(__xludf.DUMMYFUNCTION("""COMPUTED_VALUE"""),3.0)</f>
        <v>3</v>
      </c>
      <c r="D67" s="33" t="str">
        <f>IFERROR(__xludf.DUMMYFUNCTION("""COMPUTED_VALUE"""),"VIATURA")</f>
        <v>VIATURA</v>
      </c>
      <c r="E67" s="34" t="str">
        <f>IFERROR(__xludf.DUMMYFUNCTION("""COMPUTED_VALUE"""),"1 - ABTS5911")</f>
        <v>1 - ABTS5911</v>
      </c>
      <c r="F67" s="34" t="str">
        <f>IFERROR(__xludf.DUMMYFUNCTION("""COMPUTED_VALUE"""),"BOX 05")</f>
        <v>BOX 05</v>
      </c>
      <c r="G67" s="35">
        <f>IFERROR(__xludf.DUMMYFUNCTION("""COMPUTED_VALUE"""),45603.0)</f>
        <v>45603</v>
      </c>
      <c r="H67" s="34"/>
      <c r="I67" s="37"/>
    </row>
    <row r="68" ht="22.5" customHeight="1">
      <c r="A68" s="30">
        <f>IFERROR(__xludf.DUMMYFUNCTION("""COMPUTED_VALUE"""),114.0)</f>
        <v>114</v>
      </c>
      <c r="B68" s="31" t="str">
        <f>IFERROR(__xludf.DUMMYFUNCTION("""COMPUTED_VALUE"""),"RALO DE 8""")</f>
        <v>RALO DE 8"</v>
      </c>
      <c r="C68" s="32">
        <f>IFERROR(__xludf.DUMMYFUNCTION("""COMPUTED_VALUE"""),1.0)</f>
        <v>1</v>
      </c>
      <c r="D68" s="33" t="str">
        <f>IFERROR(__xludf.DUMMYFUNCTION("""COMPUTED_VALUE"""),"VIATURA")</f>
        <v>VIATURA</v>
      </c>
      <c r="E68" s="34" t="str">
        <f>IFERROR(__xludf.DUMMYFUNCTION("""COMPUTED_VALUE"""),"1 - ABTS5911")</f>
        <v>1 - ABTS5911</v>
      </c>
      <c r="F68" s="34" t="str">
        <f>IFERROR(__xludf.DUMMYFUNCTION("""COMPUTED_VALUE"""),"BOX 05")</f>
        <v>BOX 05</v>
      </c>
      <c r="G68" s="35">
        <f>IFERROR(__xludf.DUMMYFUNCTION("""COMPUTED_VALUE"""),45525.0)</f>
        <v>45525</v>
      </c>
      <c r="H68" s="34"/>
      <c r="I68" s="37"/>
    </row>
    <row r="69" ht="22.5" customHeight="1">
      <c r="A69" s="30">
        <f>IFERROR(__xludf.DUMMYFUNCTION("""COMPUTED_VALUE"""),111.0)</f>
        <v>111</v>
      </c>
      <c r="B69" s="31" t="str">
        <f>IFERROR(__xludf.DUMMYFUNCTION("""COMPUTED_VALUE"""),"REDUÇÃO 2 ¹/² P/ 1¹/² ")</f>
        <v>REDUÇÃO 2 ¹/² P/ 1¹/² </v>
      </c>
      <c r="C69" s="32">
        <f>IFERROR(__xludf.DUMMYFUNCTION("""COMPUTED_VALUE"""),2.0)</f>
        <v>2</v>
      </c>
      <c r="D69" s="33" t="str">
        <f>IFERROR(__xludf.DUMMYFUNCTION("""COMPUTED_VALUE"""),"VIATURA")</f>
        <v>VIATURA</v>
      </c>
      <c r="E69" s="34" t="str">
        <f>IFERROR(__xludf.DUMMYFUNCTION("""COMPUTED_VALUE"""),"1 - ABTS5911")</f>
        <v>1 - ABTS5911</v>
      </c>
      <c r="F69" s="34" t="str">
        <f>IFERROR(__xludf.DUMMYFUNCTION("""COMPUTED_VALUE"""),"BOX 05")</f>
        <v>BOX 05</v>
      </c>
      <c r="G69" s="35">
        <f>IFERROR(__xludf.DUMMYFUNCTION("""COMPUTED_VALUE"""),45525.0)</f>
        <v>45525</v>
      </c>
      <c r="H69" s="34"/>
      <c r="I69" s="37"/>
    </row>
    <row r="70" ht="22.5" customHeight="1">
      <c r="A70" s="30">
        <f>IFERROR(__xludf.DUMMYFUNCTION("""COMPUTED_VALUE"""),113.0)</f>
        <v>113</v>
      </c>
      <c r="B70" s="31" t="str">
        <f>IFERROR(__xludf.DUMMYFUNCTION("""COMPUTED_VALUE"""),"TAMPÃO DE 4'' ROSCA GROSSA")</f>
        <v>TAMPÃO DE 4'' ROSCA GROSSA</v>
      </c>
      <c r="C70" s="32">
        <f>IFERROR(__xludf.DUMMYFUNCTION("""COMPUTED_VALUE"""),1.0)</f>
        <v>1</v>
      </c>
      <c r="D70" s="33" t="str">
        <f>IFERROR(__xludf.DUMMYFUNCTION("""COMPUTED_VALUE"""),"VIATURA")</f>
        <v>VIATURA</v>
      </c>
      <c r="E70" s="34" t="str">
        <f>IFERROR(__xludf.DUMMYFUNCTION("""COMPUTED_VALUE"""),"1 - ABTS5911")</f>
        <v>1 - ABTS5911</v>
      </c>
      <c r="F70" s="34" t="str">
        <f>IFERROR(__xludf.DUMMYFUNCTION("""COMPUTED_VALUE"""),"BOX 05")</f>
        <v>BOX 05</v>
      </c>
      <c r="G70" s="35">
        <f>IFERROR(__xludf.DUMMYFUNCTION("""COMPUTED_VALUE"""),45525.0)</f>
        <v>45525</v>
      </c>
      <c r="H70" s="34"/>
      <c r="I70" s="37"/>
    </row>
    <row r="71" ht="22.5" customHeight="1">
      <c r="A71" s="30">
        <f>IFERROR(__xludf.DUMMYFUNCTION("""COMPUTED_VALUE"""),119.0)</f>
        <v>119</v>
      </c>
      <c r="B71" s="31" t="str">
        <f>IFERROR(__xludf.DUMMYFUNCTION("""COMPUTED_VALUE"""),"CINTO SEGURANÇA - TIPO: PARAQUEDISTA C/ MOSQUETÃO")</f>
        <v>CINTO SEGURANÇA - TIPO: PARAQUEDISTA C/ MOSQUETÃO</v>
      </c>
      <c r="C71" s="32">
        <f>IFERROR(__xludf.DUMMYFUNCTION("""COMPUTED_VALUE"""),2.0)</f>
        <v>2</v>
      </c>
      <c r="D71" s="33" t="str">
        <f>IFERROR(__xludf.DUMMYFUNCTION("""COMPUTED_VALUE"""),"VIATURA")</f>
        <v>VIATURA</v>
      </c>
      <c r="E71" s="34" t="str">
        <f>IFERROR(__xludf.DUMMYFUNCTION("""COMPUTED_VALUE"""),"1 - ABTS5911")</f>
        <v>1 - ABTS5911</v>
      </c>
      <c r="F71" s="34" t="str">
        <f>IFERROR(__xludf.DUMMYFUNCTION("""COMPUTED_VALUE"""),"BOX 06")</f>
        <v>BOX 06</v>
      </c>
      <c r="G71" s="35">
        <f>IFERROR(__xludf.DUMMYFUNCTION("""COMPUTED_VALUE"""),45525.0)</f>
        <v>45525</v>
      </c>
      <c r="H71" s="34"/>
      <c r="I71" s="37"/>
    </row>
    <row r="72" ht="22.5" customHeight="1">
      <c r="A72" s="30">
        <f>IFERROR(__xludf.DUMMYFUNCTION("""COMPUTED_VALUE"""),121.0)</f>
        <v>121</v>
      </c>
      <c r="B72" s="40" t="str">
        <f>IFERROR(__xludf.DUMMYFUNCTION("""COMPUTED_VALUE"""),"COLETE RESGATE AQUÁTICO (LARANJA)")</f>
        <v>COLETE RESGATE AQUÁTICO (LARANJA)</v>
      </c>
      <c r="C72" s="32">
        <f>IFERROR(__xludf.DUMMYFUNCTION("""COMPUTED_VALUE"""),2.0)</f>
        <v>2</v>
      </c>
      <c r="D72" s="33" t="str">
        <f>IFERROR(__xludf.DUMMYFUNCTION("""COMPUTED_VALUE"""),"VIATURA")</f>
        <v>VIATURA</v>
      </c>
      <c r="E72" s="34" t="str">
        <f>IFERROR(__xludf.DUMMYFUNCTION("""COMPUTED_VALUE"""),"1 - ABTS5911")</f>
        <v>1 - ABTS5911</v>
      </c>
      <c r="F72" s="34" t="str">
        <f>IFERROR(__xludf.DUMMYFUNCTION("""COMPUTED_VALUE"""),"BOX 06")</f>
        <v>BOX 06</v>
      </c>
      <c r="G72" s="35">
        <f>IFERROR(__xludf.DUMMYFUNCTION("""COMPUTED_VALUE"""),45525.0)</f>
        <v>45525</v>
      </c>
      <c r="H72" s="34"/>
      <c r="I72" s="37"/>
    </row>
    <row r="73" ht="22.5" customHeight="1">
      <c r="A73" s="30">
        <f>IFERROR(__xludf.DUMMYFUNCTION("""COMPUTED_VALUE"""),1145.0)</f>
        <v>1145</v>
      </c>
      <c r="B73" s="31" t="str">
        <f>IFERROR(__xludf.DUMMYFUNCTION("""COMPUTED_VALUE"""),"FERRAMENTA PARA DESENCARCERAMENTO -")</f>
        <v>FERRAMENTA PARA DESENCARCERAMENTO -</v>
      </c>
      <c r="C73" s="32">
        <f>IFERROR(__xludf.DUMMYFUNCTION("""COMPUTED_VALUE"""),1.0)</f>
        <v>1</v>
      </c>
      <c r="D73" s="33" t="str">
        <f>IFERROR(__xludf.DUMMYFUNCTION("""COMPUTED_VALUE"""),"VIATURA")</f>
        <v>VIATURA</v>
      </c>
      <c r="E73" s="34" t="str">
        <f>IFERROR(__xludf.DUMMYFUNCTION("""COMPUTED_VALUE"""),"1 - ABTS5911")</f>
        <v>1 - ABTS5911</v>
      </c>
      <c r="F73" s="34" t="str">
        <f>IFERROR(__xludf.DUMMYFUNCTION("""COMPUTED_VALUE"""),"BOX 06")</f>
        <v>BOX 06</v>
      </c>
      <c r="G73" s="35">
        <f>IFERROR(__xludf.DUMMYFUNCTION("""COMPUTED_VALUE"""),7.6839168E7)</f>
        <v>76839168</v>
      </c>
      <c r="H73" s="34"/>
      <c r="I73" s="37" t="str">
        <f>IFERROR(__xludf.DUMMYFUNCTION("""COMPUTED_VALUE"""),"(ALARGADOR) HOLMATRO MODELO: PSP40 PENTHEON  C/ BATERIA")</f>
        <v>(ALARGADOR) HOLMATRO MODELO: PSP40 PENTHEON  C/ BATERIA</v>
      </c>
    </row>
    <row r="74" ht="22.5" customHeight="1">
      <c r="A74" s="30">
        <f>IFERROR(__xludf.DUMMYFUNCTION("""COMPUTED_VALUE"""),956.0)</f>
        <v>956</v>
      </c>
      <c r="B74" s="31" t="str">
        <f>IFERROR(__xludf.DUMMYFUNCTION("""COMPUTED_VALUE"""),"MOCHILA COSTAL PARA COMBATE A INCENDIO")</f>
        <v>MOCHILA COSTAL PARA COMBATE A INCENDIO</v>
      </c>
      <c r="C74" s="32">
        <f>IFERROR(__xludf.DUMMYFUNCTION("""COMPUTED_VALUE"""),1.0)</f>
        <v>1</v>
      </c>
      <c r="D74" s="33" t="str">
        <f>IFERROR(__xludf.DUMMYFUNCTION("""COMPUTED_VALUE"""),"VIATURA")</f>
        <v>VIATURA</v>
      </c>
      <c r="E74" s="34" t="str">
        <f>IFERROR(__xludf.DUMMYFUNCTION("""COMPUTED_VALUE"""),"1 - ABTS5911")</f>
        <v>1 - ABTS5911</v>
      </c>
      <c r="F74" s="34" t="str">
        <f>IFERROR(__xludf.DUMMYFUNCTION("""COMPUTED_VALUE"""),"BOX 06")</f>
        <v>BOX 06</v>
      </c>
      <c r="G74" s="35">
        <f>IFERROR(__xludf.DUMMYFUNCTION("""COMPUTED_VALUE"""),7.6669718E7)</f>
        <v>76669718</v>
      </c>
      <c r="H74" s="34"/>
      <c r="I74" s="37" t="str">
        <f>IFERROR(__xludf.DUMMYFUNCTION("""COMPUTED_VALUE"""),"MOCHILA COSTAL (VALLFIREST) C/ ESGUICHO")</f>
        <v>MOCHILA COSTAL (VALLFIREST) C/ ESGUICHO</v>
      </c>
    </row>
    <row r="75" ht="22.5" customHeight="1">
      <c r="A75" s="30">
        <f>IFERROR(__xludf.DUMMYFUNCTION("""COMPUTED_VALUE"""),957.0)</f>
        <v>957</v>
      </c>
      <c r="B75" s="31" t="str">
        <f>IFERROR(__xludf.DUMMYFUNCTION("""COMPUTED_VALUE"""),"MOCHILA COSTAL PARA COMBATE A INCENDIO")</f>
        <v>MOCHILA COSTAL PARA COMBATE A INCENDIO</v>
      </c>
      <c r="C75" s="32">
        <f>IFERROR(__xludf.DUMMYFUNCTION("""COMPUTED_VALUE"""),1.0)</f>
        <v>1</v>
      </c>
      <c r="D75" s="33" t="str">
        <f>IFERROR(__xludf.DUMMYFUNCTION("""COMPUTED_VALUE"""),"VIATURA")</f>
        <v>VIATURA</v>
      </c>
      <c r="E75" s="34" t="str">
        <f>IFERROR(__xludf.DUMMYFUNCTION("""COMPUTED_VALUE"""),"1 - ABTS5911")</f>
        <v>1 - ABTS5911</v>
      </c>
      <c r="F75" s="34" t="str">
        <f>IFERROR(__xludf.DUMMYFUNCTION("""COMPUTED_VALUE"""),"BOX 06")</f>
        <v>BOX 06</v>
      </c>
      <c r="G75" s="35">
        <f>IFERROR(__xludf.DUMMYFUNCTION("""COMPUTED_VALUE"""),7.6669726E7)</f>
        <v>76669726</v>
      </c>
      <c r="H75" s="34"/>
      <c r="I75" s="37" t="str">
        <f>IFERROR(__xludf.DUMMYFUNCTION("""COMPUTED_VALUE"""),"MOCHILA COSTAL (VALLFIREST) C/ ESGUICHO")</f>
        <v>MOCHILA COSTAL (VALLFIREST) C/ ESGUICHO</v>
      </c>
    </row>
    <row r="76" ht="22.5" customHeight="1">
      <c r="A76" s="30">
        <f>IFERROR(__xludf.DUMMYFUNCTION("""COMPUTED_VALUE"""),120.0)</f>
        <v>120</v>
      </c>
      <c r="B76" s="31" t="str">
        <f>IFERROR(__xludf.DUMMYFUNCTION("""COMPUTED_VALUE"""),"SACO DE ARREMESSO")</f>
        <v>SACO DE ARREMESSO</v>
      </c>
      <c r="C76" s="32">
        <f>IFERROR(__xludf.DUMMYFUNCTION("""COMPUTED_VALUE"""),2.0)</f>
        <v>2</v>
      </c>
      <c r="D76" s="33" t="str">
        <f>IFERROR(__xludf.DUMMYFUNCTION("""COMPUTED_VALUE"""),"VIATURA")</f>
        <v>VIATURA</v>
      </c>
      <c r="E76" s="34" t="str">
        <f>IFERROR(__xludf.DUMMYFUNCTION("""COMPUTED_VALUE"""),"1 - ABTS5911")</f>
        <v>1 - ABTS5911</v>
      </c>
      <c r="F76" s="34" t="str">
        <f>IFERROR(__xludf.DUMMYFUNCTION("""COMPUTED_VALUE"""),"BOX 06")</f>
        <v>BOX 06</v>
      </c>
      <c r="G76" s="35">
        <f>IFERROR(__xludf.DUMMYFUNCTION("""COMPUTED_VALUE"""),45525.0)</f>
        <v>45525</v>
      </c>
      <c r="H76" s="34"/>
      <c r="I76" s="37"/>
    </row>
    <row r="77" ht="22.5" customHeight="1">
      <c r="A77" s="30">
        <f>IFERROR(__xludf.DUMMYFUNCTION("""COMPUTED_VALUE"""),124.0)</f>
        <v>124</v>
      </c>
      <c r="B77" s="31" t="str">
        <f>IFERROR(__xludf.DUMMYFUNCTION("""COMPUTED_VALUE"""),"CONE SINALEIRO")</f>
        <v>CONE SINALEIRO</v>
      </c>
      <c r="C77" s="32">
        <f>IFERROR(__xludf.DUMMYFUNCTION("""COMPUTED_VALUE"""),5.0)</f>
        <v>5</v>
      </c>
      <c r="D77" s="33" t="str">
        <f>IFERROR(__xludf.DUMMYFUNCTION("""COMPUTED_VALUE"""),"VIATURA")</f>
        <v>VIATURA</v>
      </c>
      <c r="E77" s="34" t="str">
        <f>IFERROR(__xludf.DUMMYFUNCTION("""COMPUTED_VALUE"""),"1 - ABTS5911")</f>
        <v>1 - ABTS5911</v>
      </c>
      <c r="F77" s="34" t="str">
        <f>IFERROR(__xludf.DUMMYFUNCTION("""COMPUTED_VALUE"""),"BOX 07")</f>
        <v>BOX 07</v>
      </c>
      <c r="G77" s="35">
        <f>IFERROR(__xludf.DUMMYFUNCTION("""COMPUTED_VALUE"""),45525.0)</f>
        <v>45525</v>
      </c>
      <c r="H77" s="34"/>
      <c r="I77" s="37"/>
    </row>
    <row r="78" ht="22.5" customHeight="1">
      <c r="A78" s="30">
        <f>IFERROR(__xludf.DUMMYFUNCTION("""COMPUTED_VALUE"""),122.0)</f>
        <v>122</v>
      </c>
      <c r="B78" s="31" t="str">
        <f>IFERROR(__xludf.DUMMYFUNCTION("""COMPUTED_VALUE"""),"MANGUEIRA DE 1 ¹/²")</f>
        <v>MANGUEIRA DE 1 ¹/²</v>
      </c>
      <c r="C78" s="32">
        <f>IFERROR(__xludf.DUMMYFUNCTION("""COMPUTED_VALUE"""),9.0)</f>
        <v>9</v>
      </c>
      <c r="D78" s="33" t="str">
        <f>IFERROR(__xludf.DUMMYFUNCTION("""COMPUTED_VALUE"""),"VIATURA")</f>
        <v>VIATURA</v>
      </c>
      <c r="E78" s="34" t="str">
        <f>IFERROR(__xludf.DUMMYFUNCTION("""COMPUTED_VALUE"""),"1 - ABTS5911")</f>
        <v>1 - ABTS5911</v>
      </c>
      <c r="F78" s="34" t="str">
        <f>IFERROR(__xludf.DUMMYFUNCTION("""COMPUTED_VALUE"""),"BOX 07")</f>
        <v>BOX 07</v>
      </c>
      <c r="G78" s="35">
        <f>IFERROR(__xludf.DUMMYFUNCTION("""COMPUTED_VALUE"""),45525.0)</f>
        <v>45525</v>
      </c>
      <c r="H78" s="34"/>
      <c r="I78" s="37"/>
    </row>
    <row r="79" ht="22.5" customHeight="1">
      <c r="A79" s="30">
        <f>IFERROR(__xludf.DUMMYFUNCTION("""COMPUTED_VALUE"""),123.0)</f>
        <v>123</v>
      </c>
      <c r="B79" s="31" t="str">
        <f>IFERROR(__xludf.DUMMYFUNCTION("""COMPUTED_VALUE"""),"MANGUEIRA DE 2 ¹/²")</f>
        <v>MANGUEIRA DE 2 ¹/²</v>
      </c>
      <c r="C79" s="32">
        <f>IFERROR(__xludf.DUMMYFUNCTION("""COMPUTED_VALUE"""),2.0)</f>
        <v>2</v>
      </c>
      <c r="D79" s="33" t="str">
        <f>IFERROR(__xludf.DUMMYFUNCTION("""COMPUTED_VALUE"""),"VIATURA")</f>
        <v>VIATURA</v>
      </c>
      <c r="E79" s="34" t="str">
        <f>IFERROR(__xludf.DUMMYFUNCTION("""COMPUTED_VALUE"""),"1 - ABTS5911")</f>
        <v>1 - ABTS5911</v>
      </c>
      <c r="F79" s="34" t="str">
        <f>IFERROR(__xludf.DUMMYFUNCTION("""COMPUTED_VALUE"""),"BOX 07")</f>
        <v>BOX 07</v>
      </c>
      <c r="G79" s="35">
        <f>IFERROR(__xludf.DUMMYFUNCTION("""COMPUTED_VALUE"""),45525.0)</f>
        <v>45525</v>
      </c>
      <c r="H79" s="34"/>
      <c r="I79" s="37"/>
    </row>
    <row r="80" ht="22.5" customHeight="1">
      <c r="A80" s="30">
        <f>IFERROR(__xludf.DUMMYFUNCTION("""COMPUTED_VALUE"""),125.0)</f>
        <v>125</v>
      </c>
      <c r="B80" s="31" t="str">
        <f>IFERROR(__xludf.DUMMYFUNCTION("""COMPUTED_VALUE"""),"ABAFADOR PARA COMBATE A INCENDIO FLORESTAL")</f>
        <v>ABAFADOR PARA COMBATE A INCENDIO FLORESTAL</v>
      </c>
      <c r="C80" s="32">
        <f>IFERROR(__xludf.DUMMYFUNCTION("""COMPUTED_VALUE"""),3.0)</f>
        <v>3</v>
      </c>
      <c r="D80" s="33" t="str">
        <f>IFERROR(__xludf.DUMMYFUNCTION("""COMPUTED_VALUE"""),"VIATURA")</f>
        <v>VIATURA</v>
      </c>
      <c r="E80" s="34" t="str">
        <f>IFERROR(__xludf.DUMMYFUNCTION("""COMPUTED_VALUE"""),"1 - ABTS5911")</f>
        <v>1 - ABTS5911</v>
      </c>
      <c r="F80" s="34" t="str">
        <f>IFERROR(__xludf.DUMMYFUNCTION("""COMPUTED_VALUE"""),"BOX SUPERIOR 01")</f>
        <v>BOX SUPERIOR 01</v>
      </c>
      <c r="G80" s="35">
        <f>IFERROR(__xludf.DUMMYFUNCTION("""COMPUTED_VALUE"""),45525.0)</f>
        <v>45525</v>
      </c>
      <c r="H80" s="34"/>
      <c r="I80" s="37"/>
    </row>
    <row r="81" ht="22.5" customHeight="1">
      <c r="A81" s="30">
        <f>IFERROR(__xludf.DUMMYFUNCTION("""COMPUTED_VALUE"""),127.0)</f>
        <v>127</v>
      </c>
      <c r="B81" s="31" t="str">
        <f>IFERROR(__xludf.DUMMYFUNCTION("""COMPUTED_VALUE"""),"ALAVANCA CORTE E PONTEIRA")</f>
        <v>ALAVANCA CORTE E PONTEIRA</v>
      </c>
      <c r="C81" s="32">
        <f>IFERROR(__xludf.DUMMYFUNCTION("""COMPUTED_VALUE"""),1.0)</f>
        <v>1</v>
      </c>
      <c r="D81" s="33" t="str">
        <f>IFERROR(__xludf.DUMMYFUNCTION("""COMPUTED_VALUE"""),"VIATURA")</f>
        <v>VIATURA</v>
      </c>
      <c r="E81" s="34" t="str">
        <f>IFERROR(__xludf.DUMMYFUNCTION("""COMPUTED_VALUE"""),"1 - ABTS5911")</f>
        <v>1 - ABTS5911</v>
      </c>
      <c r="F81" s="34" t="str">
        <f>IFERROR(__xludf.DUMMYFUNCTION("""COMPUTED_VALUE"""),"BOX SUPERIOR 01")</f>
        <v>BOX SUPERIOR 01</v>
      </c>
      <c r="G81" s="35">
        <f>IFERROR(__xludf.DUMMYFUNCTION("""COMPUTED_VALUE"""),45525.0)</f>
        <v>45525</v>
      </c>
      <c r="H81" s="34"/>
      <c r="I81" s="37"/>
    </row>
    <row r="82" ht="22.5" customHeight="1">
      <c r="A82" s="30">
        <f>IFERROR(__xludf.DUMMYFUNCTION("""COMPUTED_VALUE"""),126.0)</f>
        <v>126</v>
      </c>
      <c r="B82" s="31" t="str">
        <f>IFERROR(__xludf.DUMMYFUNCTION("""COMPUTED_VALUE"""),"ENXADA COMUM")</f>
        <v>ENXADA COMUM</v>
      </c>
      <c r="C82" s="32">
        <f>IFERROR(__xludf.DUMMYFUNCTION("""COMPUTED_VALUE"""),2.0)</f>
        <v>2</v>
      </c>
      <c r="D82" s="33" t="str">
        <f>IFERROR(__xludf.DUMMYFUNCTION("""COMPUTED_VALUE"""),"VIATURA")</f>
        <v>VIATURA</v>
      </c>
      <c r="E82" s="34" t="str">
        <f>IFERROR(__xludf.DUMMYFUNCTION("""COMPUTED_VALUE"""),"1 - ABTS5911")</f>
        <v>1 - ABTS5911</v>
      </c>
      <c r="F82" s="34" t="str">
        <f>IFERROR(__xludf.DUMMYFUNCTION("""COMPUTED_VALUE"""),"BOX SUPERIOR 01")</f>
        <v>BOX SUPERIOR 01</v>
      </c>
      <c r="G82" s="35">
        <f>IFERROR(__xludf.DUMMYFUNCTION("""COMPUTED_VALUE"""),45525.0)</f>
        <v>45525</v>
      </c>
      <c r="H82" s="34"/>
      <c r="I82" s="37"/>
    </row>
    <row r="83" ht="22.5" customHeight="1">
      <c r="A83" s="30">
        <f>IFERROR(__xludf.DUMMYFUNCTION("""COMPUTED_VALUE"""),128.0)</f>
        <v>128</v>
      </c>
      <c r="B83" s="31" t="str">
        <f>IFERROR(__xludf.DUMMYFUNCTION("""COMPUTED_VALUE"""),"FACÕES")</f>
        <v>FACÕES</v>
      </c>
      <c r="C83" s="32">
        <f>IFERROR(__xludf.DUMMYFUNCTION("""COMPUTED_VALUE"""),4.0)</f>
        <v>4</v>
      </c>
      <c r="D83" s="33" t="str">
        <f>IFERROR(__xludf.DUMMYFUNCTION("""COMPUTED_VALUE"""),"VIATURA")</f>
        <v>VIATURA</v>
      </c>
      <c r="E83" s="34" t="str">
        <f>IFERROR(__xludf.DUMMYFUNCTION("""COMPUTED_VALUE"""),"1 - ABTS5911")</f>
        <v>1 - ABTS5911</v>
      </c>
      <c r="F83" s="34" t="str">
        <f>IFERROR(__xludf.DUMMYFUNCTION("""COMPUTED_VALUE"""),"BOX SUPERIOR 01")</f>
        <v>BOX SUPERIOR 01</v>
      </c>
      <c r="G83" s="35">
        <f>IFERROR(__xludf.DUMMYFUNCTION("""COMPUTED_VALUE"""),45525.0)</f>
        <v>45525</v>
      </c>
      <c r="H83" s="34"/>
      <c r="I83" s="37"/>
    </row>
    <row r="84" ht="22.5" customHeight="1">
      <c r="A84" s="30">
        <f>IFERROR(__xludf.DUMMYFUNCTION("""COMPUTED_VALUE"""),131.0)</f>
        <v>131</v>
      </c>
      <c r="B84" s="31" t="str">
        <f>IFERROR(__xludf.DUMMYFUNCTION("""COMPUTED_VALUE"""),"GARFO COM 10 DENTES")</f>
        <v>GARFO COM 10 DENTES</v>
      </c>
      <c r="C84" s="32">
        <f>IFERROR(__xludf.DUMMYFUNCTION("""COMPUTED_VALUE"""),1.0)</f>
        <v>1</v>
      </c>
      <c r="D84" s="33" t="str">
        <f>IFERROR(__xludf.DUMMYFUNCTION("""COMPUTED_VALUE"""),"VIATURA")</f>
        <v>VIATURA</v>
      </c>
      <c r="E84" s="34" t="str">
        <f>IFERROR(__xludf.DUMMYFUNCTION("""COMPUTED_VALUE"""),"1 - ABTS5911")</f>
        <v>1 - ABTS5911</v>
      </c>
      <c r="F84" s="34" t="str">
        <f>IFERROR(__xludf.DUMMYFUNCTION("""COMPUTED_VALUE"""),"BOX SUPERIOR 01")</f>
        <v>BOX SUPERIOR 01</v>
      </c>
      <c r="G84" s="35">
        <f>IFERROR(__xludf.DUMMYFUNCTION("""COMPUTED_VALUE"""),45525.0)</f>
        <v>45525</v>
      </c>
      <c r="H84" s="34"/>
      <c r="I84" s="37"/>
    </row>
    <row r="85" ht="22.5" customHeight="1">
      <c r="A85" s="30">
        <f>IFERROR(__xludf.DUMMYFUNCTION("""COMPUTED_VALUE"""),132.0)</f>
        <v>132</v>
      </c>
      <c r="B85" s="31" t="str">
        <f>IFERROR(__xludf.DUMMYFUNCTION("""COMPUTED_VALUE"""),"GORGUI")</f>
        <v>GORGUI</v>
      </c>
      <c r="C85" s="32">
        <f>IFERROR(__xludf.DUMMYFUNCTION("""COMPUTED_VALUE"""),1.0)</f>
        <v>1</v>
      </c>
      <c r="D85" s="33" t="str">
        <f>IFERROR(__xludf.DUMMYFUNCTION("""COMPUTED_VALUE"""),"VIATURA")</f>
        <v>VIATURA</v>
      </c>
      <c r="E85" s="34" t="str">
        <f>IFERROR(__xludf.DUMMYFUNCTION("""COMPUTED_VALUE"""),"1 - ABTS5911")</f>
        <v>1 - ABTS5911</v>
      </c>
      <c r="F85" s="34" t="str">
        <f>IFERROR(__xludf.DUMMYFUNCTION("""COMPUTED_VALUE"""),"BOX SUPERIOR 01")</f>
        <v>BOX SUPERIOR 01</v>
      </c>
      <c r="G85" s="35">
        <f>IFERROR(__xludf.DUMMYFUNCTION("""COMPUTED_VALUE"""),45525.0)</f>
        <v>45525</v>
      </c>
      <c r="H85" s="34"/>
      <c r="I85" s="37"/>
    </row>
    <row r="86" ht="22.5" customHeight="1">
      <c r="A86" s="30">
        <f>IFERROR(__xludf.DUMMYFUNCTION("""COMPUTED_VALUE"""),129.0)</f>
        <v>129</v>
      </c>
      <c r="B86" s="31" t="str">
        <f>IFERROR(__xludf.DUMMYFUNCTION("""COMPUTED_VALUE"""),"PÁ DE BICO")</f>
        <v>PÁ DE BICO</v>
      </c>
      <c r="C86" s="32">
        <f>IFERROR(__xludf.DUMMYFUNCTION("""COMPUTED_VALUE"""),1.0)</f>
        <v>1</v>
      </c>
      <c r="D86" s="33" t="str">
        <f>IFERROR(__xludf.DUMMYFUNCTION("""COMPUTED_VALUE"""),"VIATURA")</f>
        <v>VIATURA</v>
      </c>
      <c r="E86" s="34" t="str">
        <f>IFERROR(__xludf.DUMMYFUNCTION("""COMPUTED_VALUE"""),"1 - ABTS5911")</f>
        <v>1 - ABTS5911</v>
      </c>
      <c r="F86" s="34" t="str">
        <f>IFERROR(__xludf.DUMMYFUNCTION("""COMPUTED_VALUE"""),"BOX SUPERIOR 01")</f>
        <v>BOX SUPERIOR 01</v>
      </c>
      <c r="G86" s="35">
        <f>IFERROR(__xludf.DUMMYFUNCTION("""COMPUTED_VALUE"""),45525.0)</f>
        <v>45525</v>
      </c>
      <c r="H86" s="34"/>
      <c r="I86" s="37"/>
    </row>
    <row r="87" ht="22.5" customHeight="1">
      <c r="A87" s="30">
        <f>IFERROR(__xludf.DUMMYFUNCTION("""COMPUTED_VALUE"""),130.0)</f>
        <v>130</v>
      </c>
      <c r="B87" s="31" t="str">
        <f>IFERROR(__xludf.DUMMYFUNCTION("""COMPUTED_VALUE"""),"PÁ QUADRADA")</f>
        <v>PÁ QUADRADA</v>
      </c>
      <c r="C87" s="32">
        <f>IFERROR(__xludf.DUMMYFUNCTION("""COMPUTED_VALUE"""),1.0)</f>
        <v>1</v>
      </c>
      <c r="D87" s="33" t="str">
        <f>IFERROR(__xludf.DUMMYFUNCTION("""COMPUTED_VALUE"""),"VIATURA")</f>
        <v>VIATURA</v>
      </c>
      <c r="E87" s="34" t="str">
        <f>IFERROR(__xludf.DUMMYFUNCTION("""COMPUTED_VALUE"""),"1 - ABTS5911")</f>
        <v>1 - ABTS5911</v>
      </c>
      <c r="F87" s="34" t="str">
        <f>IFERROR(__xludf.DUMMYFUNCTION("""COMPUTED_VALUE"""),"BOX SUPERIOR 01")</f>
        <v>BOX SUPERIOR 01</v>
      </c>
      <c r="G87" s="35">
        <f>IFERROR(__xludf.DUMMYFUNCTION("""COMPUTED_VALUE"""),45525.0)</f>
        <v>45525</v>
      </c>
      <c r="H87" s="34"/>
      <c r="I87" s="37"/>
    </row>
    <row r="88" ht="22.5" customHeight="1">
      <c r="A88" s="30">
        <f>IFERROR(__xludf.DUMMYFUNCTION("""COMPUTED_VALUE"""),106.0)</f>
        <v>106</v>
      </c>
      <c r="B88" s="31" t="str">
        <f>IFERROR(__xludf.DUMMYFUNCTION("""COMPUTED_VALUE"""),"TAMPÃO DE MANGOTE COM ROSCA GROSSA 4""")</f>
        <v>TAMPÃO DE MANGOTE COM ROSCA GROSSA 4"</v>
      </c>
      <c r="C88" s="32">
        <f>IFERROR(__xludf.DUMMYFUNCTION("""COMPUTED_VALUE"""),1.0)</f>
        <v>1</v>
      </c>
      <c r="D88" s="33" t="str">
        <f>IFERROR(__xludf.DUMMYFUNCTION("""COMPUTED_VALUE"""),"VIATURA")</f>
        <v>VIATURA</v>
      </c>
      <c r="E88" s="34" t="str">
        <f>IFERROR(__xludf.DUMMYFUNCTION("""COMPUTED_VALUE"""),"1 - ABTS5911")</f>
        <v>1 - ABTS5911</v>
      </c>
      <c r="F88" s="34" t="str">
        <f>IFERROR(__xludf.DUMMYFUNCTION("""COMPUTED_VALUE"""),"BOX TRASEIRO")</f>
        <v>BOX TRASEIRO</v>
      </c>
      <c r="G88" s="35">
        <f>IFERROR(__xludf.DUMMYFUNCTION("""COMPUTED_VALUE"""),45525.0)</f>
        <v>45525</v>
      </c>
      <c r="H88" s="34"/>
      <c r="I88" s="37"/>
    </row>
    <row r="89" ht="22.5" customHeight="1">
      <c r="A89" s="30">
        <f>IFERROR(__xludf.DUMMYFUNCTION("""COMPUTED_VALUE"""),69.0)</f>
        <v>69</v>
      </c>
      <c r="B89" s="31" t="str">
        <f>IFERROR(__xludf.DUMMYFUNCTION("""COMPUTED_VALUE"""),"BOLSA DE RESGATE (MERET)")</f>
        <v>BOLSA DE RESGATE (MERET)</v>
      </c>
      <c r="C89" s="32">
        <f>IFERROR(__xludf.DUMMYFUNCTION("""COMPUTED_VALUE"""),1.0)</f>
        <v>1</v>
      </c>
      <c r="D89" s="33" t="str">
        <f>IFERROR(__xludf.DUMMYFUNCTION("""COMPUTED_VALUE"""),"VIATURA")</f>
        <v>VIATURA</v>
      </c>
      <c r="E89" s="34" t="str">
        <f>IFERROR(__xludf.DUMMYFUNCTION("""COMPUTED_VALUE"""),"1 - ABTS5911")</f>
        <v>1 - ABTS5911</v>
      </c>
      <c r="F89" s="34" t="str">
        <f>IFERROR(__xludf.DUMMYFUNCTION("""COMPUTED_VALUE"""),"CABINE")</f>
        <v>CABINE</v>
      </c>
      <c r="G89" s="35">
        <f>IFERROR(__xludf.DUMMYFUNCTION("""COMPUTED_VALUE"""),45525.0)</f>
        <v>45525</v>
      </c>
      <c r="H89" s="34"/>
      <c r="I89" s="37"/>
    </row>
    <row r="90" ht="22.5" customHeight="1">
      <c r="A90" s="30">
        <f>IFERROR(__xludf.DUMMYFUNCTION("""COMPUTED_VALUE"""),70.0)</f>
        <v>70</v>
      </c>
      <c r="B90" s="31" t="str">
        <f>IFERROR(__xludf.DUMMYFUNCTION("""COMPUTED_VALUE"""),"CARTÃO DE ABASTECIMENTO")</f>
        <v>CARTÃO DE ABASTECIMENTO</v>
      </c>
      <c r="C90" s="32">
        <f>IFERROR(__xludf.DUMMYFUNCTION("""COMPUTED_VALUE"""),2.0)</f>
        <v>2</v>
      </c>
      <c r="D90" s="33" t="str">
        <f>IFERROR(__xludf.DUMMYFUNCTION("""COMPUTED_VALUE"""),"VIATURA")</f>
        <v>VIATURA</v>
      </c>
      <c r="E90" s="34" t="str">
        <f>IFERROR(__xludf.DUMMYFUNCTION("""COMPUTED_VALUE"""),"1 - ABTS5911")</f>
        <v>1 - ABTS5911</v>
      </c>
      <c r="F90" s="34" t="str">
        <f>IFERROR(__xludf.DUMMYFUNCTION("""COMPUTED_VALUE"""),"CABINE")</f>
        <v>CABINE</v>
      </c>
      <c r="G90" s="35">
        <f>IFERROR(__xludf.DUMMYFUNCTION("""COMPUTED_VALUE"""),45525.0)</f>
        <v>45525</v>
      </c>
      <c r="H90" s="34"/>
      <c r="I90" s="37"/>
    </row>
    <row r="91" ht="22.5" customHeight="1">
      <c r="A91" s="30">
        <f>IFERROR(__xludf.DUMMYFUNCTION("""COMPUTED_VALUE"""),71.0)</f>
        <v>71</v>
      </c>
      <c r="B91" s="31" t="str">
        <f>IFERROR(__xludf.DUMMYFUNCTION("""COMPUTED_VALUE"""),"CHAVE ""L"" PARA DESCABINAR")</f>
        <v>CHAVE "L" PARA DESCABINAR</v>
      </c>
      <c r="C91" s="32">
        <f>IFERROR(__xludf.DUMMYFUNCTION("""COMPUTED_VALUE"""),1.0)</f>
        <v>1</v>
      </c>
      <c r="D91" s="33" t="str">
        <f>IFERROR(__xludf.DUMMYFUNCTION("""COMPUTED_VALUE"""),"VIATURA")</f>
        <v>VIATURA</v>
      </c>
      <c r="E91" s="34" t="str">
        <f>IFERROR(__xludf.DUMMYFUNCTION("""COMPUTED_VALUE"""),"1 - ABTS5911")</f>
        <v>1 - ABTS5911</v>
      </c>
      <c r="F91" s="34" t="str">
        <f>IFERROR(__xludf.DUMMYFUNCTION("""COMPUTED_VALUE"""),"CABINE")</f>
        <v>CABINE</v>
      </c>
      <c r="G91" s="35">
        <f>IFERROR(__xludf.DUMMYFUNCTION("""COMPUTED_VALUE"""),45525.0)</f>
        <v>45525</v>
      </c>
      <c r="H91" s="34"/>
      <c r="I91" s="37"/>
    </row>
    <row r="92" ht="22.5" customHeight="1">
      <c r="A92" s="30">
        <f>IFERROR(__xludf.DUMMYFUNCTION("""COMPUTED_VALUE"""),72.0)</f>
        <v>72</v>
      </c>
      <c r="B92" s="31" t="str">
        <f>IFERROR(__xludf.DUMMYFUNCTION("""COMPUTED_VALUE"""),"CHAVE DE RODA")</f>
        <v>CHAVE DE RODA</v>
      </c>
      <c r="C92" s="32">
        <f>IFERROR(__xludf.DUMMYFUNCTION("""COMPUTED_VALUE"""),1.0)</f>
        <v>1</v>
      </c>
      <c r="D92" s="33" t="str">
        <f>IFERROR(__xludf.DUMMYFUNCTION("""COMPUTED_VALUE"""),"VIATURA")</f>
        <v>VIATURA</v>
      </c>
      <c r="E92" s="34" t="str">
        <f>IFERROR(__xludf.DUMMYFUNCTION("""COMPUTED_VALUE"""),"1 - ABTS5911")</f>
        <v>1 - ABTS5911</v>
      </c>
      <c r="F92" s="34" t="str">
        <f>IFERROR(__xludf.DUMMYFUNCTION("""COMPUTED_VALUE"""),"CABINE")</f>
        <v>CABINE</v>
      </c>
      <c r="G92" s="35">
        <f>IFERROR(__xludf.DUMMYFUNCTION("""COMPUTED_VALUE"""),45525.0)</f>
        <v>45525</v>
      </c>
      <c r="H92" s="34"/>
      <c r="I92" s="37"/>
    </row>
    <row r="93" ht="22.5" customHeight="1">
      <c r="A93" s="30">
        <f>IFERROR(__xludf.DUMMYFUNCTION("""COMPUTED_VALUE"""),73.0)</f>
        <v>73</v>
      </c>
      <c r="B93" s="31" t="str">
        <f>IFERROR(__xludf.DUMMYFUNCTION("""COMPUTED_VALUE"""),"CONTROLE DO GUINCHO")</f>
        <v>CONTROLE DO GUINCHO</v>
      </c>
      <c r="C93" s="32">
        <f>IFERROR(__xludf.DUMMYFUNCTION("""COMPUTED_VALUE"""),1.0)</f>
        <v>1</v>
      </c>
      <c r="D93" s="33" t="str">
        <f>IFERROR(__xludf.DUMMYFUNCTION("""COMPUTED_VALUE"""),"VIATURA")</f>
        <v>VIATURA</v>
      </c>
      <c r="E93" s="34" t="str">
        <f>IFERROR(__xludf.DUMMYFUNCTION("""COMPUTED_VALUE"""),"1 - ABTS5911")</f>
        <v>1 - ABTS5911</v>
      </c>
      <c r="F93" s="34" t="str">
        <f>IFERROR(__xludf.DUMMYFUNCTION("""COMPUTED_VALUE"""),"CABINE")</f>
        <v>CABINE</v>
      </c>
      <c r="G93" s="35">
        <f>IFERROR(__xludf.DUMMYFUNCTION("""COMPUTED_VALUE"""),45525.0)</f>
        <v>45525</v>
      </c>
      <c r="H93" s="34"/>
      <c r="I93" s="37"/>
    </row>
    <row r="94" ht="22.5" customHeight="1">
      <c r="A94" s="30">
        <f>IFERROR(__xludf.DUMMYFUNCTION("""COMPUTED_VALUE"""),491.0)</f>
        <v>491</v>
      </c>
      <c r="B94" s="40" t="str">
        <f>IFERROR(__xludf.DUMMYFUNCTION("""COMPUTED_VALUE"""),"EQUIPAMENTO DE PROTEÇÃO RESPIRATÓRIO, COMPLETO -")</f>
        <v>EQUIPAMENTO DE PROTEÇÃO RESPIRATÓRIO, COMPLETO -</v>
      </c>
      <c r="C94" s="32">
        <f>IFERROR(__xludf.DUMMYFUNCTION("""COMPUTED_VALUE"""),1.0)</f>
        <v>1</v>
      </c>
      <c r="D94" s="33" t="str">
        <f>IFERROR(__xludf.DUMMYFUNCTION("""COMPUTED_VALUE"""),"VIATURA")</f>
        <v>VIATURA</v>
      </c>
      <c r="E94" s="34" t="str">
        <f>IFERROR(__xludf.DUMMYFUNCTION("""COMPUTED_VALUE"""),"1 - ABTS5911")</f>
        <v>1 - ABTS5911</v>
      </c>
      <c r="F94" s="34" t="str">
        <f>IFERROR(__xludf.DUMMYFUNCTION("""COMPUTED_VALUE"""),"CABINE")</f>
        <v>CABINE</v>
      </c>
      <c r="G94" s="35">
        <f>IFERROR(__xludf.DUMMYFUNCTION("""COMPUTED_VALUE"""),7.6808068E7)</f>
        <v>76808068</v>
      </c>
      <c r="H94" s="34" t="str">
        <f>IFERROR(__xludf.DUMMYFUNCTION("""COMPUTED_VALUE"""),"N.S.115S2201004795")</f>
        <v>N.S.115S2201004795</v>
      </c>
      <c r="I94" s="37" t="str">
        <f>IFERROR(__xludf.DUMMYFUNCTION("""COMPUTED_VALUE"""),"EPR SCOTT COMPLETO, VALVULA DE DEMANDA, ARRIATA, CILINDRO E MÁSCARA")</f>
        <v>EPR SCOTT COMPLETO, VALVULA DE DEMANDA, ARRIATA, CILINDRO E MÁSCARA</v>
      </c>
    </row>
    <row r="95" ht="22.5" customHeight="1">
      <c r="A95" s="30">
        <f>IFERROR(__xludf.DUMMYFUNCTION("""COMPUTED_VALUE"""),492.0)</f>
        <v>492</v>
      </c>
      <c r="B95" s="31" t="str">
        <f>IFERROR(__xludf.DUMMYFUNCTION("""COMPUTED_VALUE"""),"EQUIPAMENTO DE PROTEÇÃO RESPIRATÓRIO, COMPLETO -")</f>
        <v>EQUIPAMENTO DE PROTEÇÃO RESPIRATÓRIO, COMPLETO -</v>
      </c>
      <c r="C95" s="32">
        <f>IFERROR(__xludf.DUMMYFUNCTION("""COMPUTED_VALUE"""),1.0)</f>
        <v>1</v>
      </c>
      <c r="D95" s="33" t="str">
        <f>IFERROR(__xludf.DUMMYFUNCTION("""COMPUTED_VALUE"""),"VIATURA")</f>
        <v>VIATURA</v>
      </c>
      <c r="E95" s="34" t="str">
        <f>IFERROR(__xludf.DUMMYFUNCTION("""COMPUTED_VALUE"""),"1 - ABTS5911")</f>
        <v>1 - ABTS5911</v>
      </c>
      <c r="F95" s="34" t="str">
        <f>IFERROR(__xludf.DUMMYFUNCTION("""COMPUTED_VALUE"""),"CABINE")</f>
        <v>CABINE</v>
      </c>
      <c r="G95" s="35">
        <f>IFERROR(__xludf.DUMMYFUNCTION("""COMPUTED_VALUE"""),7.6704904E7)</f>
        <v>76704904</v>
      </c>
      <c r="H95" s="34"/>
      <c r="I95" s="37" t="str">
        <f>IFERROR(__xludf.DUMMYFUNCTION("""COMPUTED_VALUE"""),"EPR SCOTT COMPLETO, VALVULA DE DEMANDA, ARRIATA, CILINDRO E MÁSCARA")</f>
        <v>EPR SCOTT COMPLETO, VALVULA DE DEMANDA, ARRIATA, CILINDRO E MÁSCARA</v>
      </c>
    </row>
    <row r="96" ht="22.5" customHeight="1">
      <c r="A96" s="30">
        <f>IFERROR(__xludf.DUMMYFUNCTION("""COMPUTED_VALUE"""),493.0)</f>
        <v>493</v>
      </c>
      <c r="B96" s="31" t="str">
        <f>IFERROR(__xludf.DUMMYFUNCTION("""COMPUTED_VALUE"""),"EQUIPAMENTO DE PROTEÇÃO RESPIRATÓRIO, COMPLETO -")</f>
        <v>EQUIPAMENTO DE PROTEÇÃO RESPIRATÓRIO, COMPLETO -</v>
      </c>
      <c r="C96" s="32">
        <f>IFERROR(__xludf.DUMMYFUNCTION("""COMPUTED_VALUE"""),1.0)</f>
        <v>1</v>
      </c>
      <c r="D96" s="33" t="str">
        <f>IFERROR(__xludf.DUMMYFUNCTION("""COMPUTED_VALUE"""),"VIATURA")</f>
        <v>VIATURA</v>
      </c>
      <c r="E96" s="34" t="str">
        <f>IFERROR(__xludf.DUMMYFUNCTION("""COMPUTED_VALUE"""),"1 - ABTS5911")</f>
        <v>1 - ABTS5911</v>
      </c>
      <c r="F96" s="34" t="str">
        <f>IFERROR(__xludf.DUMMYFUNCTION("""COMPUTED_VALUE"""),"CABINE")</f>
        <v>CABINE</v>
      </c>
      <c r="G96" s="35">
        <f>IFERROR(__xludf.DUMMYFUNCTION("""COMPUTED_VALUE"""),7.685512E7)</f>
        <v>76855120</v>
      </c>
      <c r="H96" s="34"/>
      <c r="I96" s="37" t="str">
        <f>IFERROR(__xludf.DUMMYFUNCTION("""COMPUTED_VALUE"""),"EPR SCOTT COMPLETO, VALVULA DE DEMANDA, ARRIATA, CILINDRO E MÁSCARA")</f>
        <v>EPR SCOTT COMPLETO, VALVULA DE DEMANDA, ARRIATA, CILINDRO E MÁSCARA</v>
      </c>
    </row>
    <row r="97" ht="22.5" customHeight="1">
      <c r="A97" s="30">
        <f>IFERROR(__xludf.DUMMYFUNCTION("""COMPUTED_VALUE"""),494.0)</f>
        <v>494</v>
      </c>
      <c r="B97" s="31" t="str">
        <f>IFERROR(__xludf.DUMMYFUNCTION("""COMPUTED_VALUE"""),"EQUIPAMENTO DE PROTEÇÃO RESPIRATÓRIO, COMPLETO -")</f>
        <v>EQUIPAMENTO DE PROTEÇÃO RESPIRATÓRIO, COMPLETO -</v>
      </c>
      <c r="C97" s="32">
        <f>IFERROR(__xludf.DUMMYFUNCTION("""COMPUTED_VALUE"""),1.0)</f>
        <v>1</v>
      </c>
      <c r="D97" s="33" t="str">
        <f>IFERROR(__xludf.DUMMYFUNCTION("""COMPUTED_VALUE"""),"VIATURA")</f>
        <v>VIATURA</v>
      </c>
      <c r="E97" s="34" t="str">
        <f>IFERROR(__xludf.DUMMYFUNCTION("""COMPUTED_VALUE"""),"1 - ABTS5911")</f>
        <v>1 - ABTS5911</v>
      </c>
      <c r="F97" s="34" t="str">
        <f>IFERROR(__xludf.DUMMYFUNCTION("""COMPUTED_VALUE"""),"CABINE")</f>
        <v>CABINE</v>
      </c>
      <c r="G97" s="35">
        <f>IFERROR(__xludf.DUMMYFUNCTION("""COMPUTED_VALUE"""),7.6855201E7)</f>
        <v>76855201</v>
      </c>
      <c r="H97" s="34"/>
      <c r="I97" s="37" t="str">
        <f>IFERROR(__xludf.DUMMYFUNCTION("""COMPUTED_VALUE"""),"EPR SCOTT COMPLETO, VALVULA DE DEMANDA, ARRIATA, CILINDRO E MÁSCARA")</f>
        <v>EPR SCOTT COMPLETO, VALVULA DE DEMANDA, ARRIATA, CILINDRO E MÁSCARA</v>
      </c>
    </row>
    <row r="98" ht="22.5" customHeight="1">
      <c r="A98" s="30">
        <f>IFERROR(__xludf.DUMMYFUNCTION("""COMPUTED_VALUE"""),556.0)</f>
        <v>556</v>
      </c>
      <c r="B98" s="31" t="str">
        <f>IFERROR(__xludf.DUMMYFUNCTION("""COMPUTED_VALUE"""),"EQUIPAMENTO DE PROTEÇÃO RESPIRATÓRIO, COMPLETO -")</f>
        <v>EQUIPAMENTO DE PROTEÇÃO RESPIRATÓRIO, COMPLETO -</v>
      </c>
      <c r="C98" s="32">
        <f>IFERROR(__xludf.DUMMYFUNCTION("""COMPUTED_VALUE"""),1.0)</f>
        <v>1</v>
      </c>
      <c r="D98" s="33" t="str">
        <f>IFERROR(__xludf.DUMMYFUNCTION("""COMPUTED_VALUE"""),"VIATURA")</f>
        <v>VIATURA</v>
      </c>
      <c r="E98" s="34" t="str">
        <f>IFERROR(__xludf.DUMMYFUNCTION("""COMPUTED_VALUE"""),"1 - ABTS5911")</f>
        <v>1 - ABTS5911</v>
      </c>
      <c r="F98" s="34" t="str">
        <f>IFERROR(__xludf.DUMMYFUNCTION("""COMPUTED_VALUE"""),"CABINE")</f>
        <v>CABINE</v>
      </c>
      <c r="G98" s="35">
        <f>IFERROR(__xludf.DUMMYFUNCTION("""COMPUTED_VALUE"""),7.693755E7)</f>
        <v>76937550</v>
      </c>
      <c r="H98" s="34"/>
      <c r="I98" s="38" t="str">
        <f>IFERROR(__xludf.DUMMYFUNCTION("""COMPUTED_VALUE"""),"EPR MSA COMPLETO, VALVULA DE DEMANDA, ARRIATA, CILINDRO E MÁSCARA")</f>
        <v>EPR MSA COMPLETO, VALVULA DE DEMANDA, ARRIATA, CILINDRO E MÁSCARA</v>
      </c>
    </row>
    <row r="99" ht="22.5" customHeight="1">
      <c r="A99" s="30">
        <f>IFERROR(__xludf.DUMMYFUNCTION("""COMPUTED_VALUE"""),557.0)</f>
        <v>557</v>
      </c>
      <c r="B99" s="39" t="str">
        <f>IFERROR(__xludf.DUMMYFUNCTION("""COMPUTED_VALUE"""),"EQUIPAMENTO DE PROTEÇÃO RESPIRATÓRIO, COMPLETO -")</f>
        <v>EQUIPAMENTO DE PROTEÇÃO RESPIRATÓRIO, COMPLETO -</v>
      </c>
      <c r="C99" s="32">
        <f>IFERROR(__xludf.DUMMYFUNCTION("""COMPUTED_VALUE"""),1.0)</f>
        <v>1</v>
      </c>
      <c r="D99" s="33" t="str">
        <f>IFERROR(__xludf.DUMMYFUNCTION("""COMPUTED_VALUE"""),"VIATURA")</f>
        <v>VIATURA</v>
      </c>
      <c r="E99" s="34" t="str">
        <f>IFERROR(__xludf.DUMMYFUNCTION("""COMPUTED_VALUE"""),"1 - ABTS5911")</f>
        <v>1 - ABTS5911</v>
      </c>
      <c r="F99" s="34" t="str">
        <f>IFERROR(__xludf.DUMMYFUNCTION("""COMPUTED_VALUE"""),"CABINE")</f>
        <v>CABINE</v>
      </c>
      <c r="G99" s="35">
        <f>IFERROR(__xludf.DUMMYFUNCTION("""COMPUTED_VALUE"""),7.6937569E7)</f>
        <v>76937569</v>
      </c>
      <c r="H99" s="34"/>
      <c r="I99" s="37" t="str">
        <f>IFERROR(__xludf.DUMMYFUNCTION("""COMPUTED_VALUE"""),"EPR MSA COMPLETO, VALVULA DE DEMANDA, ARRIATA, CILINDRO E MÁSCARA")</f>
        <v>EPR MSA COMPLETO, VALVULA DE DEMANDA, ARRIATA, CILINDRO E MÁSCARA</v>
      </c>
    </row>
    <row r="100" ht="22.5" customHeight="1">
      <c r="A100" s="30">
        <f>IFERROR(__xludf.DUMMYFUNCTION("""COMPUTED_VALUE"""),978.0)</f>
        <v>978</v>
      </c>
      <c r="B100" s="31" t="str">
        <f>IFERROR(__xludf.DUMMYFUNCTION("""COMPUTED_VALUE"""),"EQUIPAMENTO DE PROTEÇÃO RESPIRATÓRIO, COMPLETO -")</f>
        <v>EQUIPAMENTO DE PROTEÇÃO RESPIRATÓRIO, COMPLETO -</v>
      </c>
      <c r="C100" s="32">
        <f>IFERROR(__xludf.DUMMYFUNCTION("""COMPUTED_VALUE"""),1.0)</f>
        <v>1</v>
      </c>
      <c r="D100" s="33" t="str">
        <f>IFERROR(__xludf.DUMMYFUNCTION("""COMPUTED_VALUE"""),"VIATURA")</f>
        <v>VIATURA</v>
      </c>
      <c r="E100" s="34" t="str">
        <f>IFERROR(__xludf.DUMMYFUNCTION("""COMPUTED_VALUE"""),"1 - ABTS5911")</f>
        <v>1 - ABTS5911</v>
      </c>
      <c r="F100" s="34" t="str">
        <f>IFERROR(__xludf.DUMMYFUNCTION("""COMPUTED_VALUE"""),"CABINE")</f>
        <v>CABINE</v>
      </c>
      <c r="G100" s="35">
        <f>IFERROR(__xludf.DUMMYFUNCTION("""COMPUTED_VALUE"""),7.6937577E7)</f>
        <v>76937577</v>
      </c>
      <c r="H100" s="34"/>
      <c r="I100" s="37" t="str">
        <f>IFERROR(__xludf.DUMMYFUNCTION("""COMPUTED_VALUE"""),"EPR MSA COMPLETO, VALVULA DE DEMANDA, ARRIATA, CILINDRO E MÁSCARA")</f>
        <v>EPR MSA COMPLETO, VALVULA DE DEMANDA, ARRIATA, CILINDRO E MÁSCARA</v>
      </c>
    </row>
    <row r="101" ht="22.5" customHeight="1">
      <c r="A101" s="30">
        <f>IFERROR(__xludf.DUMMYFUNCTION("""COMPUTED_VALUE"""),74.0)</f>
        <v>74</v>
      </c>
      <c r="B101" s="31" t="str">
        <f>IFERROR(__xludf.DUMMYFUNCTION("""COMPUTED_VALUE"""),"GUINCHO ELÉTRICO 4.100 KG")</f>
        <v>GUINCHO ELÉTRICO 4.100 KG</v>
      </c>
      <c r="C101" s="32">
        <f>IFERROR(__xludf.DUMMYFUNCTION("""COMPUTED_VALUE"""),1.0)</f>
        <v>1</v>
      </c>
      <c r="D101" s="33" t="str">
        <f>IFERROR(__xludf.DUMMYFUNCTION("""COMPUTED_VALUE"""),"VIATURA")</f>
        <v>VIATURA</v>
      </c>
      <c r="E101" s="34" t="str">
        <f>IFERROR(__xludf.DUMMYFUNCTION("""COMPUTED_VALUE"""),"1 - ABTS5911")</f>
        <v>1 - ABTS5911</v>
      </c>
      <c r="F101" s="34" t="str">
        <f>IFERROR(__xludf.DUMMYFUNCTION("""COMPUTED_VALUE"""),"CABINE")</f>
        <v>CABINE</v>
      </c>
      <c r="G101" s="35">
        <f>IFERROR(__xludf.DUMMYFUNCTION("""COMPUTED_VALUE"""),45525.0)</f>
        <v>45525</v>
      </c>
      <c r="H101" s="34"/>
      <c r="I101" s="37"/>
    </row>
    <row r="102" ht="22.5" customHeight="1">
      <c r="A102" s="30">
        <f>IFERROR(__xludf.DUMMYFUNCTION("""COMPUTED_VALUE"""),75.0)</f>
        <v>75</v>
      </c>
      <c r="B102" s="31" t="str">
        <f>IFERROR(__xludf.DUMMYFUNCTION("""COMPUTED_VALUE"""),"LANTERNA DE COMBATE A INCÊNDIO INDIVIDUAL (ADALIT) COM  CARREGADOR FIXO")</f>
        <v>LANTERNA DE COMBATE A INCÊNDIO INDIVIDUAL (ADALIT) COM  CARREGADOR FIXO</v>
      </c>
      <c r="C102" s="32">
        <f>IFERROR(__xludf.DUMMYFUNCTION("""COMPUTED_VALUE"""),5.0)</f>
        <v>5</v>
      </c>
      <c r="D102" s="33" t="str">
        <f>IFERROR(__xludf.DUMMYFUNCTION("""COMPUTED_VALUE"""),"VIATURA")</f>
        <v>VIATURA</v>
      </c>
      <c r="E102" s="34" t="str">
        <f>IFERROR(__xludf.DUMMYFUNCTION("""COMPUTED_VALUE"""),"1 - ABTS5911")</f>
        <v>1 - ABTS5911</v>
      </c>
      <c r="F102" s="34" t="str">
        <f>IFERROR(__xludf.DUMMYFUNCTION("""COMPUTED_VALUE"""),"CABINE")</f>
        <v>CABINE</v>
      </c>
      <c r="G102" s="35">
        <f>IFERROR(__xludf.DUMMYFUNCTION("""COMPUTED_VALUE"""),45525.0)</f>
        <v>45525</v>
      </c>
      <c r="H102" s="34"/>
      <c r="I102" s="37"/>
    </row>
    <row r="103" ht="22.5" customHeight="1">
      <c r="A103" s="30">
        <f>IFERROR(__xludf.DUMMYFUNCTION("""COMPUTED_VALUE"""),76.0)</f>
        <v>76</v>
      </c>
      <c r="B103" s="39" t="str">
        <f>IFERROR(__xludf.DUMMYFUNCTION("""COMPUTED_VALUE"""),"MACACO AUTOMOTIVO HIDRÁULICO/ SAPATA")</f>
        <v>MACACO AUTOMOTIVO HIDRÁULICO/ SAPATA</v>
      </c>
      <c r="C103" s="32">
        <f>IFERROR(__xludf.DUMMYFUNCTION("""COMPUTED_VALUE"""),1.0)</f>
        <v>1</v>
      </c>
      <c r="D103" s="33" t="str">
        <f>IFERROR(__xludf.DUMMYFUNCTION("""COMPUTED_VALUE"""),"VIATURA")</f>
        <v>VIATURA</v>
      </c>
      <c r="E103" s="34" t="str">
        <f>IFERROR(__xludf.DUMMYFUNCTION("""COMPUTED_VALUE"""),"1 - ABTS5911")</f>
        <v>1 - ABTS5911</v>
      </c>
      <c r="F103" s="34" t="str">
        <f>IFERROR(__xludf.DUMMYFUNCTION("""COMPUTED_VALUE"""),"CABINE")</f>
        <v>CABINE</v>
      </c>
      <c r="G103" s="35">
        <f>IFERROR(__xludf.DUMMYFUNCTION("""COMPUTED_VALUE"""),45525.0)</f>
        <v>45525</v>
      </c>
      <c r="H103" s="34"/>
      <c r="I103" s="37"/>
    </row>
    <row r="104" ht="22.5" customHeight="1">
      <c r="A104" s="30">
        <f>IFERROR(__xludf.DUMMYFUNCTION("""COMPUTED_VALUE"""),77.0)</f>
        <v>77</v>
      </c>
      <c r="B104" s="31" t="str">
        <f>IFERROR(__xludf.DUMMYFUNCTION("""COMPUTED_VALUE"""),"MANUAL DO VEÍCULO")</f>
        <v>MANUAL DO VEÍCULO</v>
      </c>
      <c r="C104" s="32">
        <f>IFERROR(__xludf.DUMMYFUNCTION("""COMPUTED_VALUE"""),1.0)</f>
        <v>1</v>
      </c>
      <c r="D104" s="33" t="str">
        <f>IFERROR(__xludf.DUMMYFUNCTION("""COMPUTED_VALUE"""),"VIATURA")</f>
        <v>VIATURA</v>
      </c>
      <c r="E104" s="34" t="str">
        <f>IFERROR(__xludf.DUMMYFUNCTION("""COMPUTED_VALUE"""),"1 - ABTS5911")</f>
        <v>1 - ABTS5911</v>
      </c>
      <c r="F104" s="34" t="str">
        <f>IFERROR(__xludf.DUMMYFUNCTION("""COMPUTED_VALUE"""),"CABINE")</f>
        <v>CABINE</v>
      </c>
      <c r="G104" s="35">
        <f>IFERROR(__xludf.DUMMYFUNCTION("""COMPUTED_VALUE"""),45525.0)</f>
        <v>45525</v>
      </c>
      <c r="H104" s="34"/>
      <c r="I104" s="37"/>
    </row>
    <row r="105" ht="22.5" customHeight="1">
      <c r="A105" s="30">
        <f>IFERROR(__xludf.DUMMYFUNCTION("""COMPUTED_VALUE"""),80.0)</f>
        <v>80</v>
      </c>
      <c r="B105" s="39" t="str">
        <f>IFERROR(__xludf.DUMMYFUNCTION("""COMPUTED_VALUE"""),"OLHAIS PARA GUINCHO ")</f>
        <v>OLHAIS PARA GUINCHO </v>
      </c>
      <c r="C105" s="32">
        <f>IFERROR(__xludf.DUMMYFUNCTION("""COMPUTED_VALUE"""),1.0)</f>
        <v>1</v>
      </c>
      <c r="D105" s="33" t="str">
        <f>IFERROR(__xludf.DUMMYFUNCTION("""COMPUTED_VALUE"""),"VIATURA")</f>
        <v>VIATURA</v>
      </c>
      <c r="E105" s="34" t="str">
        <f>IFERROR(__xludf.DUMMYFUNCTION("""COMPUTED_VALUE"""),"1 - ABTS5911")</f>
        <v>1 - ABTS5911</v>
      </c>
      <c r="F105" s="34" t="str">
        <f>IFERROR(__xludf.DUMMYFUNCTION("""COMPUTED_VALUE"""),"CABINE")</f>
        <v>CABINE</v>
      </c>
      <c r="G105" s="35">
        <f>IFERROR(__xludf.DUMMYFUNCTION("""COMPUTED_VALUE"""),45525.0)</f>
        <v>45525</v>
      </c>
      <c r="H105" s="34"/>
      <c r="I105" s="37"/>
    </row>
    <row r="106" ht="22.5" customHeight="1">
      <c r="A106" s="30">
        <f>IFERROR(__xludf.DUMMYFUNCTION("""COMPUTED_VALUE"""),81.0)</f>
        <v>81</v>
      </c>
      <c r="B106" s="31" t="str">
        <f>IFERROR(__xludf.DUMMYFUNCTION("""COMPUTED_VALUE"""),"PINO PARA REBOQUE")</f>
        <v>PINO PARA REBOQUE</v>
      </c>
      <c r="C106" s="32">
        <f>IFERROR(__xludf.DUMMYFUNCTION("""COMPUTED_VALUE"""),1.0)</f>
        <v>1</v>
      </c>
      <c r="D106" s="33" t="str">
        <f>IFERROR(__xludf.DUMMYFUNCTION("""COMPUTED_VALUE"""),"VIATURA")</f>
        <v>VIATURA</v>
      </c>
      <c r="E106" s="34" t="str">
        <f>IFERROR(__xludf.DUMMYFUNCTION("""COMPUTED_VALUE"""),"1 - ABTS5911")</f>
        <v>1 - ABTS5911</v>
      </c>
      <c r="F106" s="34" t="str">
        <f>IFERROR(__xludf.DUMMYFUNCTION("""COMPUTED_VALUE"""),"CABINE")</f>
        <v>CABINE</v>
      </c>
      <c r="G106" s="35">
        <f>IFERROR(__xludf.DUMMYFUNCTION("""COMPUTED_VALUE"""),45525.0)</f>
        <v>45525</v>
      </c>
      <c r="H106" s="34"/>
      <c r="I106" s="37"/>
    </row>
    <row r="107" ht="22.5" customHeight="1">
      <c r="A107" s="30">
        <f>IFERROR(__xludf.DUMMYFUNCTION("""COMPUTED_VALUE"""),78.0)</f>
        <v>78</v>
      </c>
      <c r="B107" s="31" t="str">
        <f>IFERROR(__xludf.DUMMYFUNCTION("""COMPUTED_VALUE"""),"RÁDIO MOTOROLA")</f>
        <v>RÁDIO MOTOROLA</v>
      </c>
      <c r="C107" s="32">
        <f>IFERROR(__xludf.DUMMYFUNCTION("""COMPUTED_VALUE"""),1.0)</f>
        <v>1</v>
      </c>
      <c r="D107" s="33" t="str">
        <f>IFERROR(__xludf.DUMMYFUNCTION("""COMPUTED_VALUE"""),"VIATURA")</f>
        <v>VIATURA</v>
      </c>
      <c r="E107" s="34" t="str">
        <f>IFERROR(__xludf.DUMMYFUNCTION("""COMPUTED_VALUE"""),"1 - ABTS5911")</f>
        <v>1 - ABTS5911</v>
      </c>
      <c r="F107" s="34" t="str">
        <f>IFERROR(__xludf.DUMMYFUNCTION("""COMPUTED_VALUE"""),"CABINE")</f>
        <v>CABINE</v>
      </c>
      <c r="G107" s="35">
        <f>IFERROR(__xludf.DUMMYFUNCTION("""COMPUTED_VALUE"""),45525.0)</f>
        <v>45525</v>
      </c>
      <c r="H107" s="34"/>
      <c r="I107" s="37"/>
    </row>
    <row r="108" ht="22.5" customHeight="1">
      <c r="A108" s="30">
        <f>IFERROR(__xludf.DUMMYFUNCTION("""COMPUTED_VALUE"""),82.0)</f>
        <v>82</v>
      </c>
      <c r="B108" s="31" t="str">
        <f>IFERROR(__xludf.DUMMYFUNCTION("""COMPUTED_VALUE"""),"SACO PARA CADÁVER")</f>
        <v>SACO PARA CADÁVER</v>
      </c>
      <c r="C108" s="32">
        <f>IFERROR(__xludf.DUMMYFUNCTION("""COMPUTED_VALUE"""),1.0)</f>
        <v>1</v>
      </c>
      <c r="D108" s="33" t="str">
        <f>IFERROR(__xludf.DUMMYFUNCTION("""COMPUTED_VALUE"""),"VIATURA")</f>
        <v>VIATURA</v>
      </c>
      <c r="E108" s="34" t="str">
        <f>IFERROR(__xludf.DUMMYFUNCTION("""COMPUTED_VALUE"""),"1 - ABTS5911")</f>
        <v>1 - ABTS5911</v>
      </c>
      <c r="F108" s="34" t="str">
        <f>IFERROR(__xludf.DUMMYFUNCTION("""COMPUTED_VALUE"""),"CABINE")</f>
        <v>CABINE</v>
      </c>
      <c r="G108" s="35">
        <f>IFERROR(__xludf.DUMMYFUNCTION("""COMPUTED_VALUE"""),45525.0)</f>
        <v>45525</v>
      </c>
      <c r="H108" s="34"/>
      <c r="I108" s="37"/>
    </row>
    <row r="109" ht="22.5" customHeight="1">
      <c r="A109" s="30">
        <f>IFERROR(__xludf.DUMMYFUNCTION("""COMPUTED_VALUE"""),79.0)</f>
        <v>79</v>
      </c>
      <c r="B109" s="31" t="str">
        <f>IFERROR(__xludf.DUMMYFUNCTION("""COMPUTED_VALUE"""),"TRIÂNGULO DE SINALIZAÇÃO")</f>
        <v>TRIÂNGULO DE SINALIZAÇÃO</v>
      </c>
      <c r="C109" s="32">
        <f>IFERROR(__xludf.DUMMYFUNCTION("""COMPUTED_VALUE"""),1.0)</f>
        <v>1</v>
      </c>
      <c r="D109" s="33" t="str">
        <f>IFERROR(__xludf.DUMMYFUNCTION("""COMPUTED_VALUE"""),"VIATURA")</f>
        <v>VIATURA</v>
      </c>
      <c r="E109" s="34" t="str">
        <f>IFERROR(__xludf.DUMMYFUNCTION("""COMPUTED_VALUE"""),"1 - ABTS5911")</f>
        <v>1 - ABTS5911</v>
      </c>
      <c r="F109" s="34" t="str">
        <f>IFERROR(__xludf.DUMMYFUNCTION("""COMPUTED_VALUE"""),"CABINE")</f>
        <v>CABINE</v>
      </c>
      <c r="G109" s="35">
        <f>IFERROR(__xludf.DUMMYFUNCTION("""COMPUTED_VALUE"""),45525.0)</f>
        <v>45525</v>
      </c>
      <c r="H109" s="34"/>
      <c r="I109" s="37"/>
    </row>
    <row r="110" ht="22.5" customHeight="1">
      <c r="A110" s="30">
        <f>IFERROR(__xludf.DUMMYFUNCTION("""COMPUTED_VALUE"""),60.0)</f>
        <v>60</v>
      </c>
      <c r="B110" s="31" t="str">
        <f>IFERROR(__xludf.DUMMYFUNCTION("""COMPUTED_VALUE"""),"ALICATE UNIVERSAL")</f>
        <v>ALICATE UNIVERSAL</v>
      </c>
      <c r="C110" s="32">
        <f>IFERROR(__xludf.DUMMYFUNCTION("""COMPUTED_VALUE"""),2.0)</f>
        <v>2</v>
      </c>
      <c r="D110" s="33" t="str">
        <f>IFERROR(__xludf.DUMMYFUNCTION("""COMPUTED_VALUE"""),"VIATURA")</f>
        <v>VIATURA</v>
      </c>
      <c r="E110" s="34" t="str">
        <f>IFERROR(__xludf.DUMMYFUNCTION("""COMPUTED_VALUE"""),"1 - ABTS5911")</f>
        <v>1 - ABTS5911</v>
      </c>
      <c r="F110" s="34" t="str">
        <f>IFERROR(__xludf.DUMMYFUNCTION("""COMPUTED_VALUE"""),"CAIXA DE FERRAMENTA")</f>
        <v>CAIXA DE FERRAMENTA</v>
      </c>
      <c r="G110" s="35">
        <f>IFERROR(__xludf.DUMMYFUNCTION("""COMPUTED_VALUE"""),45527.0)</f>
        <v>45527</v>
      </c>
      <c r="H110" s="34"/>
      <c r="I110" s="37"/>
    </row>
    <row r="111" ht="22.5" customHeight="1">
      <c r="A111" s="30">
        <f>IFERROR(__xludf.DUMMYFUNCTION("""COMPUTED_VALUE"""),62.0)</f>
        <v>62</v>
      </c>
      <c r="B111" s="31" t="str">
        <f>IFERROR(__xludf.DUMMYFUNCTION("""COMPUTED_VALUE"""),"CHAVE DE BOCA")</f>
        <v>CHAVE DE BOCA</v>
      </c>
      <c r="C111" s="32">
        <f>IFERROR(__xludf.DUMMYFUNCTION("""COMPUTED_VALUE"""),9.0)</f>
        <v>9</v>
      </c>
      <c r="D111" s="33" t="str">
        <f>IFERROR(__xludf.DUMMYFUNCTION("""COMPUTED_VALUE"""),"VIATURA")</f>
        <v>VIATURA</v>
      </c>
      <c r="E111" s="34" t="str">
        <f>IFERROR(__xludf.DUMMYFUNCTION("""COMPUTED_VALUE"""),"1 - ABTS5911")</f>
        <v>1 - ABTS5911</v>
      </c>
      <c r="F111" s="34" t="str">
        <f>IFERROR(__xludf.DUMMYFUNCTION("""COMPUTED_VALUE"""),"CAIXA DE FERRAMENTA")</f>
        <v>CAIXA DE FERRAMENTA</v>
      </c>
      <c r="G111" s="35">
        <f>IFERROR(__xludf.DUMMYFUNCTION("""COMPUTED_VALUE"""),45527.0)</f>
        <v>45527</v>
      </c>
      <c r="H111" s="34"/>
      <c r="I111" s="37"/>
    </row>
    <row r="112" ht="22.5" customHeight="1">
      <c r="A112" s="30">
        <f>IFERROR(__xludf.DUMMYFUNCTION("""COMPUTED_VALUE"""),59.0)</f>
        <v>59</v>
      </c>
      <c r="B112" s="31" t="str">
        <f>IFERROR(__xludf.DUMMYFUNCTION("""COMPUTED_VALUE"""),"CHAVE DE FENDA")</f>
        <v>CHAVE DE FENDA</v>
      </c>
      <c r="C112" s="32">
        <f>IFERROR(__xludf.DUMMYFUNCTION("""COMPUTED_VALUE"""),6.0)</f>
        <v>6</v>
      </c>
      <c r="D112" s="33" t="str">
        <f>IFERROR(__xludf.DUMMYFUNCTION("""COMPUTED_VALUE"""),"VIATURA")</f>
        <v>VIATURA</v>
      </c>
      <c r="E112" s="34" t="str">
        <f>IFERROR(__xludf.DUMMYFUNCTION("""COMPUTED_VALUE"""),"1 - ABTS5911")</f>
        <v>1 - ABTS5911</v>
      </c>
      <c r="F112" s="34" t="str">
        <f>IFERROR(__xludf.DUMMYFUNCTION("""COMPUTED_VALUE"""),"CAIXA DE FERRAMENTA")</f>
        <v>CAIXA DE FERRAMENTA</v>
      </c>
      <c r="G112" s="35">
        <f>IFERROR(__xludf.DUMMYFUNCTION("""COMPUTED_VALUE"""),45527.0)</f>
        <v>45527</v>
      </c>
      <c r="H112" s="34"/>
      <c r="I112" s="37" t="str">
        <f>IFERROR(__xludf.DUMMYFUNCTION("""COMPUTED_VALUE"""),"05 CHAVES PERTENCIAM À ABTS5911")</f>
        <v>05 CHAVES PERTENCIAM À ABTS5911</v>
      </c>
    </row>
    <row r="113" ht="22.5" customHeight="1">
      <c r="A113" s="30">
        <f>IFERROR(__xludf.DUMMYFUNCTION("""COMPUTED_VALUE"""),61.0)</f>
        <v>61</v>
      </c>
      <c r="B113" s="31" t="str">
        <f>IFERROR(__xludf.DUMMYFUNCTION("""COMPUTED_VALUE"""),"CHAVE DE GRIFO 14""")</f>
        <v>CHAVE DE GRIFO 14"</v>
      </c>
      <c r="C113" s="32">
        <f>IFERROR(__xludf.DUMMYFUNCTION("""COMPUTED_VALUE"""),1.0)</f>
        <v>1</v>
      </c>
      <c r="D113" s="33" t="str">
        <f>IFERROR(__xludf.DUMMYFUNCTION("""COMPUTED_VALUE"""),"VIATURA")</f>
        <v>VIATURA</v>
      </c>
      <c r="E113" s="34" t="str">
        <f>IFERROR(__xludf.DUMMYFUNCTION("""COMPUTED_VALUE"""),"1 - ABTS5911")</f>
        <v>1 - ABTS5911</v>
      </c>
      <c r="F113" s="34" t="str">
        <f>IFERROR(__xludf.DUMMYFUNCTION("""COMPUTED_VALUE"""),"CAIXA DE FERRAMENTA")</f>
        <v>CAIXA DE FERRAMENTA</v>
      </c>
      <c r="G113" s="35">
        <f>IFERROR(__xludf.DUMMYFUNCTION("""COMPUTED_VALUE"""),45527.0)</f>
        <v>45527</v>
      </c>
      <c r="H113" s="34"/>
      <c r="I113" s="37"/>
    </row>
    <row r="114" ht="22.5" customHeight="1">
      <c r="A114" s="30">
        <f>IFERROR(__xludf.DUMMYFUNCTION("""COMPUTED_VALUE"""),58.0)</f>
        <v>58</v>
      </c>
      <c r="B114" s="31" t="str">
        <f>IFERROR(__xludf.DUMMYFUNCTION("""COMPUTED_VALUE"""),"CHAVE PHILIPS")</f>
        <v>CHAVE PHILIPS</v>
      </c>
      <c r="C114" s="32">
        <f>IFERROR(__xludf.DUMMYFUNCTION("""COMPUTED_VALUE"""),4.0)</f>
        <v>4</v>
      </c>
      <c r="D114" s="33" t="str">
        <f>IFERROR(__xludf.DUMMYFUNCTION("""COMPUTED_VALUE"""),"VIATURA")</f>
        <v>VIATURA</v>
      </c>
      <c r="E114" s="34" t="str">
        <f>IFERROR(__xludf.DUMMYFUNCTION("""COMPUTED_VALUE"""),"1 - ABTS5911")</f>
        <v>1 - ABTS5911</v>
      </c>
      <c r="F114" s="34" t="str">
        <f>IFERROR(__xludf.DUMMYFUNCTION("""COMPUTED_VALUE"""),"CAIXA DE FERRAMENTA")</f>
        <v>CAIXA DE FERRAMENTA</v>
      </c>
      <c r="G114" s="35">
        <f>IFERROR(__xludf.DUMMYFUNCTION("""COMPUTED_VALUE"""),45527.0)</f>
        <v>45527</v>
      </c>
      <c r="H114" s="34"/>
      <c r="I114" s="37"/>
    </row>
    <row r="115" ht="22.5" customHeight="1">
      <c r="A115" s="30">
        <f>IFERROR(__xludf.DUMMYFUNCTION("""COMPUTED_VALUE"""),64.0)</f>
        <v>64</v>
      </c>
      <c r="B115" s="31" t="str">
        <f>IFERROR(__xludf.DUMMYFUNCTION("""COMPUTED_VALUE"""),"MARTELO")</f>
        <v>MARTELO</v>
      </c>
      <c r="C115" s="32">
        <f>IFERROR(__xludf.DUMMYFUNCTION("""COMPUTED_VALUE"""),1.0)</f>
        <v>1</v>
      </c>
      <c r="D115" s="33" t="str">
        <f>IFERROR(__xludf.DUMMYFUNCTION("""COMPUTED_VALUE"""),"VIATURA")</f>
        <v>VIATURA</v>
      </c>
      <c r="E115" s="34" t="str">
        <f>IFERROR(__xludf.DUMMYFUNCTION("""COMPUTED_VALUE"""),"1 - ABTS5911")</f>
        <v>1 - ABTS5911</v>
      </c>
      <c r="F115" s="34" t="str">
        <f>IFERROR(__xludf.DUMMYFUNCTION("""COMPUTED_VALUE"""),"CAIXA DE FERRAMENTA")</f>
        <v>CAIXA DE FERRAMENTA</v>
      </c>
      <c r="G115" s="35"/>
      <c r="H115" s="34"/>
      <c r="I115" s="37"/>
    </row>
    <row r="116" ht="22.5" customHeight="1">
      <c r="A116" s="30">
        <f>IFERROR(__xludf.DUMMYFUNCTION("""COMPUTED_VALUE"""),172.0)</f>
        <v>172</v>
      </c>
      <c r="B116" s="40" t="str">
        <f>IFERROR(__xludf.DUMMYFUNCTION("""COMPUTED_VALUE"""),"CILINDRO RESERVA P.A MSA")</f>
        <v>CILINDRO RESERVA P.A MSA</v>
      </c>
      <c r="C116" s="32">
        <f>IFERROR(__xludf.DUMMYFUNCTION("""COMPUTED_VALUE"""),3.0)</f>
        <v>3</v>
      </c>
      <c r="D116" s="33" t="str">
        <f>IFERROR(__xludf.DUMMYFUNCTION("""COMPUTED_VALUE"""),"VIATURA")</f>
        <v>VIATURA</v>
      </c>
      <c r="E116" s="34" t="str">
        <f>IFERROR(__xludf.DUMMYFUNCTION("""COMPUTED_VALUE"""),"1 - ABTS5911")</f>
        <v>1 - ABTS5911</v>
      </c>
      <c r="F116" s="34"/>
      <c r="G116" s="35"/>
      <c r="H116" s="34"/>
      <c r="I116" s="37"/>
    </row>
    <row r="117" ht="22.5" customHeight="1">
      <c r="A117" s="30">
        <f>IFERROR(__xludf.DUMMYFUNCTION("""COMPUTED_VALUE"""),90.0)</f>
        <v>90</v>
      </c>
      <c r="B117" s="31" t="str">
        <f>IFERROR(__xludf.DUMMYFUNCTION("""COMPUTED_VALUE"""),"CILINDRO RESERVA PA SCOTT")</f>
        <v>CILINDRO RESERVA PA SCOTT</v>
      </c>
      <c r="C117" s="32">
        <f>IFERROR(__xludf.DUMMYFUNCTION("""COMPUTED_VALUE"""),4.0)</f>
        <v>4</v>
      </c>
      <c r="D117" s="33" t="str">
        <f>IFERROR(__xludf.DUMMYFUNCTION("""COMPUTED_VALUE"""),"VIATURA")</f>
        <v>VIATURA</v>
      </c>
      <c r="E117" s="34" t="str">
        <f>IFERROR(__xludf.DUMMYFUNCTION("""COMPUTED_VALUE"""),"1 - ABTS5911")</f>
        <v>1 - ABTS5911</v>
      </c>
      <c r="F117" s="34"/>
      <c r="G117" s="35">
        <f>IFERROR(__xludf.DUMMYFUNCTION("""COMPUTED_VALUE"""),45525.0)</f>
        <v>45525</v>
      </c>
      <c r="H117" s="34"/>
      <c r="I117" s="37"/>
    </row>
    <row r="118" ht="22.5" customHeight="1">
      <c r="A118" s="30">
        <f>IFERROR(__xludf.DUMMYFUNCTION("""COMPUTED_VALUE"""),661.0)</f>
        <v>661</v>
      </c>
      <c r="B118" s="31" t="str">
        <f>IFERROR(__xludf.DUMMYFUNCTION("""COMPUTED_VALUE"""),"CORTA FRIO 36''")</f>
        <v>CORTA FRIO 36''</v>
      </c>
      <c r="C118" s="32">
        <f>IFERROR(__xludf.DUMMYFUNCTION("""COMPUTED_VALUE"""),1.0)</f>
        <v>1</v>
      </c>
      <c r="D118" s="33" t="str">
        <f>IFERROR(__xludf.DUMMYFUNCTION("""COMPUTED_VALUE"""),"VIATURA")</f>
        <v>VIATURA</v>
      </c>
      <c r="E118" s="34" t="str">
        <f>IFERROR(__xludf.DUMMYFUNCTION("""COMPUTED_VALUE"""),"1 - ABTS5911")</f>
        <v>1 - ABTS5911</v>
      </c>
      <c r="F118" s="34"/>
      <c r="G118" s="35"/>
      <c r="H118" s="34"/>
      <c r="I118" s="37"/>
    </row>
    <row r="119" ht="22.5" customHeight="1">
      <c r="A119" s="30">
        <f>IFERROR(__xludf.DUMMYFUNCTION("""COMPUTED_VALUE"""),1331.0)</f>
        <v>1331</v>
      </c>
      <c r="B119" s="31" t="str">
        <f>IFERROR(__xludf.DUMMYFUNCTION("""COMPUTED_VALUE"""),"ESCADA PROLONGAVEL PARA ATIVIDADES BOMBEIRO -")</f>
        <v>ESCADA PROLONGAVEL PARA ATIVIDADES BOMBEIRO -</v>
      </c>
      <c r="C119" s="32">
        <f>IFERROR(__xludf.DUMMYFUNCTION("""COMPUTED_VALUE"""),1.0)</f>
        <v>1</v>
      </c>
      <c r="D119" s="33" t="str">
        <f>IFERROR(__xludf.DUMMYFUNCTION("""COMPUTED_VALUE"""),"VIATURA")</f>
        <v>VIATURA</v>
      </c>
      <c r="E119" s="34" t="str">
        <f>IFERROR(__xludf.DUMMYFUNCTION("""COMPUTED_VALUE"""),"1 - ABTS5911")</f>
        <v>1 - ABTS5911</v>
      </c>
      <c r="F119" s="34"/>
      <c r="G119" s="35">
        <f>IFERROR(__xludf.DUMMYFUNCTION("""COMPUTED_VALUE"""),7.6878635E7)</f>
        <v>76878635</v>
      </c>
      <c r="H119" s="34"/>
      <c r="I119" s="37" t="str">
        <f>IFERROR(__xludf.DUMMYFUNCTION("""COMPUTED_VALUE"""),"FIBRA DE VIDRO; DEGRAU: ALUMINIO, LANCE: 02 LANCES DE 3,5 METROS;")</f>
        <v>FIBRA DE VIDRO; DEGRAU: ALUMINIO, LANCE: 02 LANCES DE 3,5 METROS;</v>
      </c>
    </row>
    <row r="120" ht="22.5" customHeight="1">
      <c r="A120" s="30">
        <f>IFERROR(__xludf.DUMMYFUNCTION("""COMPUTED_VALUE"""),56.0)</f>
        <v>56</v>
      </c>
      <c r="B120" s="31" t="str">
        <f>IFERROR(__xludf.DUMMYFUNCTION("""COMPUTED_VALUE"""),"ESGUICHO KR4")</f>
        <v>ESGUICHO KR4</v>
      </c>
      <c r="C120" s="32">
        <f>IFERROR(__xludf.DUMMYFUNCTION("""COMPUTED_VALUE"""),1.0)</f>
        <v>1</v>
      </c>
      <c r="D120" s="33" t="str">
        <f>IFERROR(__xludf.DUMMYFUNCTION("""COMPUTED_VALUE"""),"VIATURA")</f>
        <v>VIATURA</v>
      </c>
      <c r="E120" s="34" t="str">
        <f>IFERROR(__xludf.DUMMYFUNCTION("""COMPUTED_VALUE"""),"1 - ABTS5911")</f>
        <v>1 - ABTS5911</v>
      </c>
      <c r="F120" s="34"/>
      <c r="G120" s="35"/>
      <c r="H120" s="34"/>
      <c r="I120" s="37"/>
    </row>
    <row r="121" ht="22.5" customHeight="1">
      <c r="A121" s="30">
        <f>IFERROR(__xludf.DUMMYFUNCTION("""COMPUTED_VALUE"""),625.0)</f>
        <v>625</v>
      </c>
      <c r="B121" s="31" t="str">
        <f>IFERROR(__xludf.DUMMYFUNCTION("""COMPUTED_VALUE"""),"ESGUICHO PARA MANGUEIRA COMBATE A INCENDIO -")</f>
        <v>ESGUICHO PARA MANGUEIRA COMBATE A INCENDIO -</v>
      </c>
      <c r="C121" s="32">
        <f>IFERROR(__xludf.DUMMYFUNCTION("""COMPUTED_VALUE"""),1.0)</f>
        <v>1</v>
      </c>
      <c r="D121" s="33" t="str">
        <f>IFERROR(__xludf.DUMMYFUNCTION("""COMPUTED_VALUE"""),"VIATURA")</f>
        <v>VIATURA</v>
      </c>
      <c r="E121" s="34" t="str">
        <f>IFERROR(__xludf.DUMMYFUNCTION("""COMPUTED_VALUE"""),"1 - ABTS5911")</f>
        <v>1 - ABTS5911</v>
      </c>
      <c r="F121" s="34"/>
      <c r="G121" s="35">
        <f>IFERROR(__xludf.DUMMYFUNCTION("""COMPUTED_VALUE"""),4.0165582E7)</f>
        <v>40165582</v>
      </c>
      <c r="H121" s="34"/>
      <c r="I121" s="37" t="str">
        <f>IFERROR(__xludf.DUMMYFUNCTION("""COMPUTED_VALUE"""),"Esguicho de 2¹/²")</f>
        <v>Esguicho de 2¹/²</v>
      </c>
    </row>
    <row r="122" ht="22.5" customHeight="1">
      <c r="A122" s="30">
        <f>IFERROR(__xludf.DUMMYFUNCTION("""COMPUTED_VALUE"""),1239.0)</f>
        <v>1239</v>
      </c>
      <c r="B122" s="31" t="str">
        <f>IFERROR(__xludf.DUMMYFUNCTION("""COMPUTED_VALUE"""),"ESGUICHO PARA MANGUEIRA COMBATE A INCENDIO -")</f>
        <v>ESGUICHO PARA MANGUEIRA COMBATE A INCENDIO -</v>
      </c>
      <c r="C122" s="32">
        <f>IFERROR(__xludf.DUMMYFUNCTION("""COMPUTED_VALUE"""),1.0)</f>
        <v>1</v>
      </c>
      <c r="D122" s="33" t="str">
        <f>IFERROR(__xludf.DUMMYFUNCTION("""COMPUTED_VALUE"""),"VIATURA")</f>
        <v>VIATURA</v>
      </c>
      <c r="E122" s="34" t="str">
        <f>IFERROR(__xludf.DUMMYFUNCTION("""COMPUTED_VALUE"""),"1 - ABTS5911")</f>
        <v>1 - ABTS5911</v>
      </c>
      <c r="F122" s="34"/>
      <c r="G122" s="35">
        <f>IFERROR(__xludf.DUMMYFUNCTION("""COMPUTED_VALUE"""),7.690418E7)</f>
        <v>76904180</v>
      </c>
      <c r="H122" s="34" t="str">
        <f>IFERROR(__xludf.DUMMYFUNCTION("""COMPUTED_VALUE"""),"N.S- 0352-23 ")</f>
        <v>N.S- 0352-23 </v>
      </c>
      <c r="I122" s="37" t="str">
        <f>IFERROR(__xludf.DUMMYFUNCTION("""COMPUTED_VALUE"""),"Esguicho POK Firefighting equipment -")</f>
        <v>Esguicho POK Firefighting equipment -</v>
      </c>
    </row>
    <row r="123" ht="22.5" customHeight="1">
      <c r="A123" s="30">
        <f>IFERROR(__xludf.DUMMYFUNCTION("""COMPUTED_VALUE"""),815.0)</f>
        <v>815</v>
      </c>
      <c r="B123" s="39" t="str">
        <f>IFERROR(__xludf.DUMMYFUNCTION("""COMPUTED_VALUE"""),"MACHADO PARATECH BIEL TOOL")</f>
        <v>MACHADO PARATECH BIEL TOOL</v>
      </c>
      <c r="C123" s="32">
        <f>IFERROR(__xludf.DUMMYFUNCTION("""COMPUTED_VALUE"""),1.0)</f>
        <v>1</v>
      </c>
      <c r="D123" s="33" t="str">
        <f>IFERROR(__xludf.DUMMYFUNCTION("""COMPUTED_VALUE"""),"VIATURA")</f>
        <v>VIATURA</v>
      </c>
      <c r="E123" s="34" t="str">
        <f>IFERROR(__xludf.DUMMYFUNCTION("""COMPUTED_VALUE"""),"1 - ABTS5911")</f>
        <v>1 - ABTS5911</v>
      </c>
      <c r="F123" s="34"/>
      <c r="G123" s="35">
        <f>IFERROR(__xludf.DUMMYFUNCTION("""COMPUTED_VALUE"""),46099.0)</f>
        <v>46099</v>
      </c>
      <c r="H123" s="34"/>
      <c r="I123" s="37"/>
    </row>
    <row r="124" ht="22.5" customHeight="1">
      <c r="A124" s="30">
        <f>IFERROR(__xludf.DUMMYFUNCTION("""COMPUTED_VALUE"""),169.0)</f>
        <v>169</v>
      </c>
      <c r="B124" s="39" t="str">
        <f>IFERROR(__xludf.DUMMYFUNCTION("""COMPUTED_VALUE"""),"PRANCHA LONGA")</f>
        <v>PRANCHA LONGA</v>
      </c>
      <c r="C124" s="32">
        <f>IFERROR(__xludf.DUMMYFUNCTION("""COMPUTED_VALUE"""),1.0)</f>
        <v>1</v>
      </c>
      <c r="D124" s="33" t="str">
        <f>IFERROR(__xludf.DUMMYFUNCTION("""COMPUTED_VALUE"""),"VIATURA")</f>
        <v>VIATURA</v>
      </c>
      <c r="E124" s="34" t="str">
        <f>IFERROR(__xludf.DUMMYFUNCTION("""COMPUTED_VALUE"""),"1 - ABTS5911")</f>
        <v>1 - ABTS5911</v>
      </c>
      <c r="F124" s="34"/>
      <c r="G124" s="35">
        <f>IFERROR(__xludf.DUMMYFUNCTION("""COMPUTED_VALUE"""),45628.0)</f>
        <v>45628</v>
      </c>
      <c r="H124" s="34"/>
      <c r="I124" s="37" t="str">
        <f>IFERROR(__xludf.DUMMYFUNCTION("""COMPUTED_VALUE"""),"PRANCHA LONGA COM TIRANTES E BAIXAL")</f>
        <v>PRANCHA LONGA COM TIRANTES E BAIXAL</v>
      </c>
    </row>
    <row r="125" ht="22.5" customHeight="1">
      <c r="A125" s="30">
        <f>IFERROR(__xludf.DUMMYFUNCTION("""COMPUTED_VALUE"""),170.0)</f>
        <v>170</v>
      </c>
      <c r="B125" s="39" t="str">
        <f>IFERROR(__xludf.DUMMYFUNCTION("""COMPUTED_VALUE"""),"PROTETOR DE QUINA SALV. VEICULAR")</f>
        <v>PROTETOR DE QUINA SALV. VEICULAR</v>
      </c>
      <c r="C125" s="32">
        <f>IFERROR(__xludf.DUMMYFUNCTION("""COMPUTED_VALUE"""),5.0)</f>
        <v>5</v>
      </c>
      <c r="D125" s="33" t="str">
        <f>IFERROR(__xludf.DUMMYFUNCTION("""COMPUTED_VALUE"""),"VIATURA")</f>
        <v>VIATURA</v>
      </c>
      <c r="E125" s="34" t="str">
        <f>IFERROR(__xludf.DUMMYFUNCTION("""COMPUTED_VALUE"""),"1 - ABTS5911")</f>
        <v>1 - ABTS5911</v>
      </c>
      <c r="F125" s="34"/>
      <c r="G125" s="35"/>
      <c r="H125" s="34"/>
      <c r="I125" s="37"/>
    </row>
    <row r="126" ht="22.5" customHeight="1">
      <c r="A126" s="30">
        <f>IFERROR(__xludf.DUMMYFUNCTION("""COMPUTED_VALUE"""),171.0)</f>
        <v>171</v>
      </c>
      <c r="B126" s="40" t="str">
        <f>IFERROR(__xludf.DUMMYFUNCTION("""COMPUTED_VALUE"""),"PROTETOR DE VÍTIMA SAL. VEICULAR")</f>
        <v>PROTETOR DE VÍTIMA SAL. VEICULAR</v>
      </c>
      <c r="C126" s="32">
        <f>IFERROR(__xludf.DUMMYFUNCTION("""COMPUTED_VALUE"""),1.0)</f>
        <v>1</v>
      </c>
      <c r="D126" s="33" t="str">
        <f>IFERROR(__xludf.DUMMYFUNCTION("""COMPUTED_VALUE"""),"VIATURA")</f>
        <v>VIATURA</v>
      </c>
      <c r="E126" s="34" t="str">
        <f>IFERROR(__xludf.DUMMYFUNCTION("""COMPUTED_VALUE"""),"1 - ABTS5911")</f>
        <v>1 - ABTS5911</v>
      </c>
      <c r="F126" s="34"/>
      <c r="G126" s="35"/>
      <c r="H126" s="34"/>
      <c r="I126" s="37"/>
    </row>
    <row r="127" ht="22.5" customHeight="1">
      <c r="A127" s="30">
        <f>IFERROR(__xludf.DUMMYFUNCTION("""COMPUTED_VALUE"""),1278.0)</f>
        <v>1278</v>
      </c>
      <c r="B127" s="31" t="str">
        <f>IFERROR(__xludf.DUMMYFUNCTION("""COMPUTED_VALUE"""),"SERRA SABRE -")</f>
        <v>SERRA SABRE -</v>
      </c>
      <c r="C127" s="32">
        <f>IFERROR(__xludf.DUMMYFUNCTION("""COMPUTED_VALUE"""),1.0)</f>
        <v>1</v>
      </c>
      <c r="D127" s="33" t="str">
        <f>IFERROR(__xludf.DUMMYFUNCTION("""COMPUTED_VALUE"""),"VIATURA")</f>
        <v>VIATURA</v>
      </c>
      <c r="E127" s="34" t="str">
        <f>IFERROR(__xludf.DUMMYFUNCTION("""COMPUTED_VALUE"""),"1 - ABTS5911")</f>
        <v>1 - ABTS5911</v>
      </c>
      <c r="F127" s="34"/>
      <c r="G127" s="35">
        <f>IFERROR(__xludf.DUMMYFUNCTION("""COMPUTED_VALUE"""),7.6905047E7)</f>
        <v>76905047</v>
      </c>
      <c r="H127" s="34" t="str">
        <f>IFERROR(__xludf.DUMMYFUNCTION("""COMPUTED_VALUE"""),"N.S. 990182")</f>
        <v>N.S. 990182</v>
      </c>
      <c r="I127" s="37" t="str">
        <f>IFERROR(__xludf.DUMMYFUNCTION("""COMPUTED_VALUE"""),"DEWALT DCS380-B3 12 - 20V, C/ 02 BATERIAS DCB204, CARREGADOR DCB107 N.S. 202337QX E 05 SERRAS")</f>
        <v>DEWALT DCS380-B3 12 - 20V, C/ 02 BATERIAS DCB204, CARREGADOR DCB107 N.S. 202337QX E 05 SERRAS</v>
      </c>
    </row>
    <row r="128" ht="22.5" customHeight="1">
      <c r="A128" s="30">
        <f>IFERROR(__xludf.DUMMYFUNCTION("""COMPUTED_VALUE"""),1275.0)</f>
        <v>1275</v>
      </c>
      <c r="B128" s="31" t="str">
        <f>IFERROR(__xludf.DUMMYFUNCTION("""COMPUTED_VALUE"""),"SOPRADOR")</f>
        <v>SOPRADOR</v>
      </c>
      <c r="C128" s="32">
        <f>IFERROR(__xludf.DUMMYFUNCTION("""COMPUTED_VALUE"""),1.0)</f>
        <v>1</v>
      </c>
      <c r="D128" s="33" t="str">
        <f>IFERROR(__xludf.DUMMYFUNCTION("""COMPUTED_VALUE"""),"VIATURA")</f>
        <v>VIATURA</v>
      </c>
      <c r="E128" s="34" t="str">
        <f>IFERROR(__xludf.DUMMYFUNCTION("""COMPUTED_VALUE"""),"1 - ABTS5911")</f>
        <v>1 - ABTS5911</v>
      </c>
      <c r="F128" s="34"/>
      <c r="G128" s="35">
        <f>IFERROR(__xludf.DUMMYFUNCTION("""COMPUTED_VALUE"""),7.6902161E7)</f>
        <v>76902161</v>
      </c>
      <c r="H128" s="34" t="str">
        <f>IFERROR(__xludf.DUMMYFUNCTION("""COMPUTED_VALUE"""),"N.S. 540696991")</f>
        <v>N.S. 540696991</v>
      </c>
      <c r="I128" s="37"/>
    </row>
    <row r="129" ht="22.5" customHeight="1">
      <c r="A129" s="30"/>
      <c r="B129" s="31"/>
      <c r="C129" s="32"/>
      <c r="D129" s="33"/>
      <c r="E129" s="34"/>
      <c r="F129" s="34"/>
      <c r="G129" s="35"/>
      <c r="H129" s="34"/>
      <c r="I129" s="37"/>
    </row>
    <row r="130" ht="22.5" customHeight="1">
      <c r="A130" s="30"/>
      <c r="B130" s="31"/>
      <c r="C130" s="32"/>
      <c r="D130" s="33"/>
      <c r="E130" s="34"/>
      <c r="F130" s="34"/>
      <c r="G130" s="35"/>
      <c r="H130" s="34"/>
      <c r="I130" s="37"/>
    </row>
    <row r="131" ht="22.5" customHeight="1">
      <c r="A131" s="30"/>
      <c r="B131" s="31"/>
      <c r="C131" s="32"/>
      <c r="D131" s="33"/>
      <c r="E131" s="34"/>
      <c r="F131" s="34"/>
      <c r="G131" s="35"/>
      <c r="H131" s="34"/>
      <c r="I131" s="37"/>
    </row>
    <row r="132" ht="22.5" customHeight="1">
      <c r="A132" s="30"/>
      <c r="B132" s="31"/>
      <c r="C132" s="32"/>
      <c r="D132" s="33"/>
      <c r="E132" s="34"/>
      <c r="F132" s="34"/>
      <c r="G132" s="35"/>
      <c r="H132" s="34"/>
      <c r="I132" s="37"/>
    </row>
    <row r="133" ht="22.5" customHeight="1">
      <c r="A133" s="30"/>
      <c r="B133" s="31"/>
      <c r="C133" s="32"/>
      <c r="D133" s="33"/>
      <c r="E133" s="34"/>
      <c r="F133" s="34"/>
      <c r="G133" s="35"/>
      <c r="H133" s="34"/>
      <c r="I133" s="37"/>
    </row>
    <row r="134" ht="22.5" customHeight="1">
      <c r="A134" s="30"/>
      <c r="B134" s="31"/>
      <c r="C134" s="32"/>
      <c r="D134" s="33"/>
      <c r="E134" s="34"/>
      <c r="F134" s="34"/>
      <c r="G134" s="35"/>
      <c r="H134" s="34"/>
      <c r="I134" s="37"/>
    </row>
    <row r="135" ht="22.5" customHeight="1">
      <c r="A135" s="30"/>
      <c r="B135" s="31"/>
      <c r="C135" s="32"/>
      <c r="D135" s="33"/>
      <c r="E135" s="34"/>
      <c r="F135" s="34"/>
      <c r="G135" s="35"/>
      <c r="H135" s="34"/>
      <c r="I135" s="37"/>
    </row>
    <row r="136" ht="22.5" customHeight="1">
      <c r="A136" s="30"/>
      <c r="B136" s="40"/>
      <c r="C136" s="32"/>
      <c r="D136" s="33"/>
      <c r="E136" s="34"/>
      <c r="F136" s="34"/>
      <c r="G136" s="35"/>
      <c r="H136" s="34"/>
      <c r="I136" s="37"/>
    </row>
    <row r="137" ht="22.5" customHeight="1">
      <c r="A137" s="30"/>
      <c r="B137" s="31"/>
      <c r="C137" s="32"/>
      <c r="D137" s="33"/>
      <c r="E137" s="34"/>
      <c r="F137" s="34"/>
      <c r="G137" s="35"/>
      <c r="H137" s="34"/>
      <c r="I137" s="37"/>
    </row>
    <row r="138" ht="22.5" customHeight="1">
      <c r="A138" s="30"/>
      <c r="B138" s="31"/>
      <c r="C138" s="32"/>
      <c r="D138" s="33"/>
      <c r="E138" s="34"/>
      <c r="F138" s="34"/>
      <c r="G138" s="35"/>
      <c r="H138" s="34"/>
      <c r="I138" s="37"/>
    </row>
    <row r="139" ht="22.5" customHeight="1">
      <c r="A139" s="30"/>
      <c r="B139" s="31"/>
      <c r="C139" s="32"/>
      <c r="D139" s="33"/>
      <c r="E139" s="34"/>
      <c r="F139" s="34"/>
      <c r="G139" s="35"/>
      <c r="H139" s="34"/>
      <c r="I139" s="37"/>
    </row>
    <row r="140" ht="22.5" customHeight="1">
      <c r="A140" s="30"/>
      <c r="B140" s="40"/>
      <c r="C140" s="32"/>
      <c r="D140" s="33"/>
      <c r="E140" s="34"/>
      <c r="F140" s="34"/>
      <c r="G140" s="35"/>
      <c r="H140" s="34"/>
      <c r="I140" s="37"/>
    </row>
    <row r="141" ht="22.5" customHeight="1">
      <c r="A141" s="30"/>
      <c r="B141" s="31"/>
      <c r="C141" s="32"/>
      <c r="D141" s="33"/>
      <c r="E141" s="34"/>
      <c r="F141" s="34"/>
      <c r="G141" s="35"/>
      <c r="H141" s="34"/>
      <c r="I141" s="37"/>
    </row>
    <row r="142" ht="22.5" customHeight="1">
      <c r="A142" s="30"/>
      <c r="B142" s="31"/>
      <c r="C142" s="32"/>
      <c r="D142" s="33"/>
      <c r="E142" s="34"/>
      <c r="F142" s="34"/>
      <c r="G142" s="35"/>
      <c r="H142" s="34"/>
      <c r="I142" s="37"/>
    </row>
    <row r="143" ht="22.5" customHeight="1">
      <c r="A143" s="30"/>
      <c r="B143" s="31"/>
      <c r="C143" s="32"/>
      <c r="D143" s="33"/>
      <c r="E143" s="34"/>
      <c r="F143" s="34"/>
      <c r="G143" s="35"/>
      <c r="H143" s="34"/>
      <c r="I143" s="37"/>
    </row>
    <row r="144" ht="22.5" customHeight="1">
      <c r="A144" s="30"/>
      <c r="B144" s="31"/>
      <c r="C144" s="32"/>
      <c r="D144" s="33"/>
      <c r="E144" s="34"/>
      <c r="F144" s="34"/>
      <c r="G144" s="35"/>
      <c r="H144" s="34"/>
      <c r="I144" s="37"/>
    </row>
    <row r="145" ht="22.5" customHeight="1">
      <c r="A145" s="30"/>
      <c r="B145" s="31"/>
      <c r="C145" s="32"/>
      <c r="D145" s="33"/>
      <c r="E145" s="34"/>
      <c r="F145" s="34"/>
      <c r="G145" s="35"/>
      <c r="H145" s="34"/>
      <c r="I145" s="37"/>
    </row>
    <row r="146" ht="22.5" customHeight="1">
      <c r="A146" s="30"/>
      <c r="B146" s="31"/>
      <c r="C146" s="32"/>
      <c r="D146" s="33"/>
      <c r="E146" s="34"/>
      <c r="F146" s="34"/>
      <c r="G146" s="35"/>
      <c r="H146" s="34"/>
      <c r="I146" s="37"/>
    </row>
    <row r="147" ht="22.5" customHeight="1">
      <c r="A147" s="30"/>
      <c r="B147" s="31"/>
      <c r="C147" s="32"/>
      <c r="D147" s="33"/>
      <c r="E147" s="34"/>
      <c r="F147" s="34"/>
      <c r="G147" s="35"/>
      <c r="H147" s="34"/>
      <c r="I147" s="37"/>
    </row>
    <row r="148" ht="22.5" customHeight="1">
      <c r="A148" s="30"/>
      <c r="B148" s="31"/>
      <c r="C148" s="32"/>
      <c r="D148" s="33"/>
      <c r="E148" s="34"/>
      <c r="F148" s="34"/>
      <c r="G148" s="35"/>
      <c r="H148" s="34"/>
      <c r="I148" s="37"/>
    </row>
    <row r="149" ht="22.5" customHeight="1">
      <c r="A149" s="30"/>
      <c r="B149" s="31"/>
      <c r="C149" s="32"/>
      <c r="D149" s="33"/>
      <c r="E149" s="34"/>
      <c r="F149" s="34"/>
      <c r="G149" s="35"/>
      <c r="H149" s="34"/>
      <c r="I149" s="37"/>
    </row>
    <row r="150" ht="22.5" customHeight="1">
      <c r="A150" s="30"/>
      <c r="B150" s="31"/>
      <c r="C150" s="32"/>
      <c r="D150" s="33"/>
      <c r="E150" s="34"/>
      <c r="F150" s="34"/>
      <c r="G150" s="35"/>
      <c r="H150" s="34"/>
      <c r="I150" s="37"/>
    </row>
    <row r="151" ht="22.5" customHeight="1">
      <c r="A151" s="30"/>
      <c r="B151" s="31"/>
      <c r="C151" s="32"/>
      <c r="D151" s="33"/>
      <c r="E151" s="34"/>
      <c r="F151" s="34"/>
      <c r="G151" s="35"/>
      <c r="H151" s="34"/>
      <c r="I151" s="37"/>
    </row>
    <row r="152" ht="22.5" customHeight="1">
      <c r="A152" s="30"/>
      <c r="B152" s="31"/>
      <c r="C152" s="32"/>
      <c r="D152" s="33"/>
      <c r="E152" s="34"/>
      <c r="F152" s="34"/>
      <c r="G152" s="35"/>
      <c r="H152" s="34"/>
      <c r="I152" s="37"/>
    </row>
    <row r="153" ht="22.5" customHeight="1">
      <c r="A153" s="30"/>
      <c r="B153" s="31"/>
      <c r="C153" s="32"/>
      <c r="D153" s="33"/>
      <c r="E153" s="34"/>
      <c r="F153" s="34"/>
      <c r="G153" s="35"/>
      <c r="H153" s="34"/>
      <c r="I153" s="37"/>
    </row>
    <row r="154" ht="22.5" customHeight="1">
      <c r="A154" s="30"/>
      <c r="B154" s="31"/>
      <c r="C154" s="32"/>
      <c r="D154" s="33"/>
      <c r="E154" s="34"/>
      <c r="F154" s="34"/>
      <c r="G154" s="35"/>
      <c r="H154" s="34"/>
      <c r="I154" s="37"/>
    </row>
    <row r="155" ht="22.5" customHeight="1">
      <c r="A155" s="30"/>
      <c r="B155" s="40"/>
      <c r="C155" s="32"/>
      <c r="D155" s="33"/>
      <c r="E155" s="34"/>
      <c r="F155" s="34"/>
      <c r="G155" s="35"/>
      <c r="H155" s="34"/>
      <c r="I155" s="37"/>
    </row>
    <row r="156" ht="22.5" customHeight="1">
      <c r="A156" s="30"/>
      <c r="B156" s="31"/>
      <c r="C156" s="32"/>
      <c r="D156" s="33"/>
      <c r="E156" s="34"/>
      <c r="F156" s="34"/>
      <c r="G156" s="35"/>
      <c r="H156" s="34"/>
      <c r="I156" s="37"/>
    </row>
    <row r="157" ht="22.5" customHeight="1">
      <c r="A157" s="30"/>
      <c r="B157" s="40"/>
      <c r="C157" s="32"/>
      <c r="D157" s="33"/>
      <c r="E157" s="34"/>
      <c r="F157" s="34"/>
      <c r="G157" s="35"/>
      <c r="H157" s="34"/>
      <c r="I157" s="37"/>
    </row>
    <row r="158" ht="22.5" customHeight="1">
      <c r="A158" s="30"/>
      <c r="B158" s="31"/>
      <c r="C158" s="32"/>
      <c r="D158" s="33"/>
      <c r="E158" s="34"/>
      <c r="F158" s="34"/>
      <c r="G158" s="35"/>
      <c r="H158" s="34"/>
      <c r="I158" s="37"/>
    </row>
    <row r="159" ht="22.5" customHeight="1">
      <c r="A159" s="30"/>
      <c r="B159" s="31"/>
      <c r="C159" s="32"/>
      <c r="D159" s="33"/>
      <c r="E159" s="34"/>
      <c r="F159" s="34"/>
      <c r="G159" s="35"/>
      <c r="H159" s="34"/>
      <c r="I159" s="37"/>
    </row>
    <row r="160" ht="22.5" customHeight="1">
      <c r="A160" s="30"/>
      <c r="B160" s="31"/>
      <c r="C160" s="32"/>
      <c r="D160" s="33"/>
      <c r="E160" s="34"/>
      <c r="F160" s="34"/>
      <c r="G160" s="35"/>
      <c r="H160" s="34"/>
      <c r="I160" s="37"/>
    </row>
    <row r="161" ht="22.5" customHeight="1">
      <c r="A161" s="30"/>
      <c r="B161" s="31"/>
      <c r="C161" s="32"/>
      <c r="D161" s="33"/>
      <c r="E161" s="34"/>
      <c r="F161" s="34"/>
      <c r="G161" s="35"/>
      <c r="H161" s="34"/>
      <c r="I161" s="37"/>
    </row>
    <row r="162" ht="22.5" customHeight="1">
      <c r="A162" s="30"/>
      <c r="B162" s="40"/>
      <c r="C162" s="32"/>
      <c r="D162" s="33"/>
      <c r="E162" s="34"/>
      <c r="F162" s="34"/>
      <c r="G162" s="35"/>
      <c r="H162" s="34"/>
      <c r="I162" s="37"/>
    </row>
    <row r="163" ht="22.5" customHeight="1">
      <c r="A163" s="30"/>
      <c r="B163" s="31"/>
      <c r="C163" s="32"/>
      <c r="D163" s="33"/>
      <c r="E163" s="34"/>
      <c r="F163" s="34"/>
      <c r="G163" s="35"/>
      <c r="H163" s="34"/>
      <c r="I163" s="37"/>
    </row>
    <row r="164" ht="22.5" customHeight="1">
      <c r="A164" s="30"/>
      <c r="B164" s="31"/>
      <c r="C164" s="32"/>
      <c r="D164" s="33"/>
      <c r="E164" s="34"/>
      <c r="F164" s="34"/>
      <c r="G164" s="35"/>
      <c r="H164" s="34"/>
      <c r="I164" s="37"/>
    </row>
    <row r="165" ht="22.5" customHeight="1">
      <c r="A165" s="30"/>
      <c r="B165" s="31"/>
      <c r="C165" s="32"/>
      <c r="D165" s="33"/>
      <c r="E165" s="34"/>
      <c r="F165" s="34"/>
      <c r="G165" s="35"/>
      <c r="H165" s="34"/>
      <c r="I165" s="37"/>
    </row>
    <row r="166" ht="22.5" customHeight="1">
      <c r="A166" s="30"/>
      <c r="B166" s="31"/>
      <c r="C166" s="32"/>
      <c r="D166" s="33"/>
      <c r="E166" s="34"/>
      <c r="F166" s="34"/>
      <c r="G166" s="35"/>
      <c r="H166" s="34"/>
      <c r="I166" s="37"/>
    </row>
    <row r="167" ht="22.5" customHeight="1">
      <c r="A167" s="30"/>
      <c r="B167" s="31"/>
      <c r="C167" s="32"/>
      <c r="D167" s="33"/>
      <c r="E167" s="34"/>
      <c r="F167" s="34"/>
      <c r="G167" s="35"/>
      <c r="H167" s="34"/>
      <c r="I167" s="37"/>
    </row>
    <row r="168" ht="22.5" customHeight="1">
      <c r="A168" s="30"/>
      <c r="B168" s="31"/>
      <c r="C168" s="32"/>
      <c r="D168" s="33"/>
      <c r="E168" s="34"/>
      <c r="F168" s="34"/>
      <c r="G168" s="35"/>
      <c r="H168" s="34"/>
      <c r="I168" s="37"/>
    </row>
    <row r="169" ht="22.5" customHeight="1">
      <c r="A169" s="30"/>
      <c r="B169" s="31"/>
      <c r="C169" s="32"/>
      <c r="D169" s="33"/>
      <c r="E169" s="34"/>
      <c r="F169" s="34"/>
      <c r="G169" s="35"/>
      <c r="H169" s="34"/>
      <c r="I169" s="37"/>
    </row>
    <row r="170" ht="22.5" customHeight="1">
      <c r="A170" s="30"/>
      <c r="B170" s="31"/>
      <c r="C170" s="32"/>
      <c r="D170" s="33"/>
      <c r="E170" s="34"/>
      <c r="F170" s="34"/>
      <c r="G170" s="35"/>
      <c r="H170" s="34"/>
      <c r="I170" s="37"/>
    </row>
    <row r="171" ht="22.5" customHeight="1">
      <c r="A171" s="30"/>
      <c r="B171" s="31"/>
      <c r="C171" s="32"/>
      <c r="D171" s="33"/>
      <c r="E171" s="34"/>
      <c r="F171" s="34"/>
      <c r="G171" s="35"/>
      <c r="H171" s="34"/>
      <c r="I171" s="37"/>
    </row>
    <row r="172" ht="22.5" customHeight="1">
      <c r="A172" s="30"/>
      <c r="B172" s="31"/>
      <c r="C172" s="32"/>
      <c r="D172" s="33"/>
      <c r="E172" s="34"/>
      <c r="F172" s="34"/>
      <c r="G172" s="35"/>
      <c r="H172" s="34"/>
      <c r="I172" s="37"/>
    </row>
    <row r="173" ht="22.5" customHeight="1">
      <c r="A173" s="30"/>
      <c r="B173" s="31"/>
      <c r="C173" s="32"/>
      <c r="D173" s="33"/>
      <c r="E173" s="34"/>
      <c r="F173" s="34"/>
      <c r="G173" s="35"/>
      <c r="H173" s="34"/>
      <c r="I173" s="37"/>
    </row>
    <row r="174" ht="22.5" customHeight="1">
      <c r="A174" s="30"/>
      <c r="B174" s="31"/>
      <c r="C174" s="32"/>
      <c r="D174" s="33"/>
      <c r="E174" s="34"/>
      <c r="F174" s="34"/>
      <c r="G174" s="35"/>
      <c r="H174" s="34"/>
      <c r="I174" s="37"/>
    </row>
    <row r="175" ht="22.5" customHeight="1">
      <c r="A175" s="30"/>
      <c r="B175" s="31"/>
      <c r="C175" s="32"/>
      <c r="D175" s="33"/>
      <c r="E175" s="34"/>
      <c r="F175" s="34"/>
      <c r="G175" s="35"/>
      <c r="H175" s="34"/>
      <c r="I175" s="37"/>
    </row>
    <row r="176" ht="22.5" customHeight="1">
      <c r="A176" s="30"/>
      <c r="B176" s="31"/>
      <c r="C176" s="32"/>
      <c r="D176" s="33"/>
      <c r="E176" s="34"/>
      <c r="F176" s="34"/>
      <c r="G176" s="35"/>
      <c r="H176" s="34"/>
      <c r="I176" s="37"/>
    </row>
    <row r="177" ht="22.5" customHeight="1">
      <c r="A177" s="30"/>
      <c r="B177" s="31"/>
      <c r="C177" s="32"/>
      <c r="D177" s="33"/>
      <c r="E177" s="34"/>
      <c r="F177" s="34"/>
      <c r="G177" s="35"/>
      <c r="H177" s="34"/>
      <c r="I177" s="37"/>
    </row>
    <row r="178" ht="22.5" customHeight="1">
      <c r="A178" s="30"/>
      <c r="B178" s="31"/>
      <c r="C178" s="32"/>
      <c r="D178" s="33"/>
      <c r="E178" s="34"/>
      <c r="F178" s="34"/>
      <c r="G178" s="35"/>
      <c r="H178" s="34"/>
      <c r="I178" s="37"/>
    </row>
    <row r="179" ht="22.5" customHeight="1">
      <c r="A179" s="30"/>
      <c r="B179" s="31"/>
      <c r="C179" s="32"/>
      <c r="D179" s="33"/>
      <c r="E179" s="34"/>
      <c r="F179" s="34"/>
      <c r="G179" s="35"/>
      <c r="H179" s="34"/>
      <c r="I179" s="37"/>
    </row>
    <row r="180" ht="22.5" customHeight="1">
      <c r="A180" s="30"/>
      <c r="B180" s="31"/>
      <c r="C180" s="32"/>
      <c r="D180" s="33"/>
      <c r="E180" s="34"/>
      <c r="F180" s="34"/>
      <c r="G180" s="35"/>
      <c r="H180" s="34"/>
      <c r="I180" s="37"/>
    </row>
    <row r="181" ht="22.5" customHeight="1">
      <c r="A181" s="30"/>
      <c r="B181" s="31"/>
      <c r="C181" s="32"/>
      <c r="D181" s="33"/>
      <c r="E181" s="34"/>
      <c r="F181" s="34"/>
      <c r="G181" s="35"/>
      <c r="H181" s="34"/>
      <c r="I181" s="37"/>
    </row>
    <row r="182" ht="22.5" customHeight="1">
      <c r="A182" s="30"/>
      <c r="B182" s="31"/>
      <c r="C182" s="32"/>
      <c r="D182" s="33"/>
      <c r="E182" s="34"/>
      <c r="F182" s="34"/>
      <c r="G182" s="35"/>
      <c r="H182" s="34"/>
      <c r="I182" s="37"/>
    </row>
    <row r="183" ht="22.5" customHeight="1">
      <c r="A183" s="30"/>
      <c r="B183" s="31"/>
      <c r="C183" s="32"/>
      <c r="D183" s="33"/>
      <c r="E183" s="34"/>
      <c r="F183" s="34"/>
      <c r="G183" s="35"/>
      <c r="H183" s="34"/>
      <c r="I183" s="37"/>
    </row>
    <row r="184" ht="22.5" customHeight="1">
      <c r="A184" s="30"/>
      <c r="B184" s="40"/>
      <c r="C184" s="32"/>
      <c r="D184" s="33"/>
      <c r="E184" s="34"/>
      <c r="F184" s="34"/>
      <c r="G184" s="35"/>
      <c r="H184" s="34"/>
      <c r="I184" s="37"/>
    </row>
    <row r="185" ht="22.5" customHeight="1">
      <c r="A185" s="30"/>
      <c r="B185" s="31"/>
      <c r="C185" s="32"/>
      <c r="D185" s="33"/>
      <c r="E185" s="34"/>
      <c r="F185" s="34"/>
      <c r="G185" s="35"/>
      <c r="H185" s="34"/>
      <c r="I185" s="37"/>
    </row>
    <row r="186" ht="22.5" customHeight="1">
      <c r="A186" s="30"/>
      <c r="B186" s="31"/>
      <c r="C186" s="32"/>
      <c r="D186" s="33"/>
      <c r="E186" s="34"/>
      <c r="F186" s="34"/>
      <c r="G186" s="35"/>
      <c r="H186" s="34"/>
      <c r="I186" s="37"/>
    </row>
    <row r="187" ht="22.5" customHeight="1">
      <c r="A187" s="30"/>
      <c r="B187" s="31"/>
      <c r="C187" s="32"/>
      <c r="D187" s="33"/>
      <c r="E187" s="34"/>
      <c r="F187" s="34"/>
      <c r="G187" s="35"/>
      <c r="H187" s="34"/>
      <c r="I187" s="37"/>
    </row>
    <row r="188" ht="22.5" customHeight="1">
      <c r="A188" s="30"/>
      <c r="B188" s="31"/>
      <c r="C188" s="32"/>
      <c r="D188" s="33"/>
      <c r="E188" s="34"/>
      <c r="F188" s="34"/>
      <c r="G188" s="35"/>
      <c r="H188" s="34"/>
      <c r="I188" s="38"/>
    </row>
    <row r="189" ht="22.5" customHeight="1">
      <c r="A189" s="30"/>
      <c r="B189" s="39"/>
      <c r="C189" s="32"/>
      <c r="D189" s="33"/>
      <c r="E189" s="34"/>
      <c r="F189" s="34"/>
      <c r="G189" s="35"/>
      <c r="H189" s="34"/>
      <c r="I189" s="37"/>
    </row>
    <row r="190" ht="22.5" customHeight="1">
      <c r="A190" s="30"/>
      <c r="B190" s="31"/>
      <c r="C190" s="32"/>
      <c r="D190" s="33"/>
      <c r="E190" s="34"/>
      <c r="F190" s="34"/>
      <c r="G190" s="35"/>
      <c r="H190" s="34"/>
      <c r="I190" s="37"/>
    </row>
    <row r="191" ht="22.5" customHeight="1">
      <c r="A191" s="30"/>
      <c r="B191" s="31"/>
      <c r="C191" s="32"/>
      <c r="D191" s="33"/>
      <c r="E191" s="34"/>
      <c r="F191" s="34"/>
      <c r="G191" s="35"/>
      <c r="H191" s="34"/>
      <c r="I191" s="37"/>
    </row>
    <row r="192" ht="22.5" customHeight="1">
      <c r="A192" s="30"/>
      <c r="B192" s="31"/>
      <c r="C192" s="32"/>
      <c r="D192" s="33"/>
      <c r="E192" s="34"/>
      <c r="F192" s="34"/>
      <c r="G192" s="35"/>
      <c r="H192" s="34"/>
      <c r="I192" s="37"/>
    </row>
    <row r="193" ht="22.5" customHeight="1">
      <c r="A193" s="30"/>
      <c r="B193" s="39"/>
      <c r="C193" s="32"/>
      <c r="D193" s="33"/>
      <c r="E193" s="34"/>
      <c r="F193" s="34"/>
      <c r="G193" s="35"/>
      <c r="H193" s="34"/>
      <c r="I193" s="37"/>
    </row>
    <row r="194" ht="22.5" customHeight="1">
      <c r="A194" s="30"/>
      <c r="B194" s="31"/>
      <c r="C194" s="32"/>
      <c r="D194" s="33"/>
      <c r="E194" s="34"/>
      <c r="F194" s="34"/>
      <c r="G194" s="35"/>
      <c r="H194" s="34"/>
      <c r="I194" s="37"/>
    </row>
    <row r="195" ht="22.5" customHeight="1">
      <c r="A195" s="30"/>
      <c r="B195" s="39"/>
      <c r="C195" s="32"/>
      <c r="D195" s="33"/>
      <c r="E195" s="34"/>
      <c r="F195" s="34"/>
      <c r="G195" s="35"/>
      <c r="H195" s="34"/>
      <c r="I195" s="37"/>
    </row>
    <row r="196" ht="22.5" customHeight="1">
      <c r="A196" s="30"/>
      <c r="B196" s="31"/>
      <c r="C196" s="32"/>
      <c r="D196" s="33"/>
      <c r="E196" s="34"/>
      <c r="F196" s="34"/>
      <c r="G196" s="35"/>
      <c r="H196" s="34"/>
      <c r="I196" s="37"/>
    </row>
    <row r="197" ht="22.5" customHeight="1">
      <c r="A197" s="30"/>
      <c r="B197" s="31"/>
      <c r="C197" s="32"/>
      <c r="D197" s="33"/>
      <c r="E197" s="34"/>
      <c r="F197" s="34"/>
      <c r="G197" s="35"/>
      <c r="H197" s="34"/>
      <c r="I197" s="37"/>
    </row>
    <row r="198" ht="22.5" customHeight="1">
      <c r="A198" s="30"/>
      <c r="B198" s="31"/>
      <c r="C198" s="32"/>
      <c r="D198" s="33"/>
      <c r="E198" s="34"/>
      <c r="F198" s="34"/>
      <c r="G198" s="35"/>
      <c r="H198" s="34"/>
      <c r="I198" s="37"/>
    </row>
    <row r="199" ht="22.5" customHeight="1">
      <c r="A199" s="30"/>
      <c r="B199" s="31"/>
      <c r="C199" s="32"/>
      <c r="D199" s="33"/>
      <c r="E199" s="34"/>
      <c r="F199" s="34"/>
      <c r="G199" s="35"/>
      <c r="H199" s="34"/>
      <c r="I199" s="37"/>
    </row>
    <row r="200" ht="22.5" customHeight="1">
      <c r="A200" s="30"/>
      <c r="B200" s="31"/>
      <c r="C200" s="32"/>
      <c r="D200" s="33"/>
      <c r="E200" s="34"/>
      <c r="F200" s="34"/>
      <c r="G200" s="35"/>
      <c r="H200" s="34"/>
      <c r="I200" s="37"/>
    </row>
    <row r="201" ht="22.5" customHeight="1">
      <c r="A201" s="30"/>
      <c r="B201" s="31"/>
      <c r="C201" s="32"/>
      <c r="D201" s="33"/>
      <c r="E201" s="34"/>
      <c r="F201" s="34"/>
      <c r="G201" s="35"/>
      <c r="H201" s="34"/>
      <c r="I201" s="37"/>
    </row>
    <row r="202" ht="22.5" customHeight="1">
      <c r="A202" s="30"/>
      <c r="B202" s="31"/>
      <c r="C202" s="32"/>
      <c r="D202" s="33"/>
      <c r="E202" s="34"/>
      <c r="F202" s="34"/>
      <c r="G202" s="35"/>
      <c r="H202" s="34"/>
      <c r="I202" s="37"/>
    </row>
    <row r="203" ht="22.5" customHeight="1">
      <c r="A203" s="30"/>
      <c r="B203" s="31"/>
      <c r="C203" s="32"/>
      <c r="D203" s="33"/>
      <c r="E203" s="34"/>
      <c r="F203" s="34"/>
      <c r="G203" s="35"/>
      <c r="H203" s="34"/>
      <c r="I203" s="37"/>
    </row>
    <row r="204" ht="22.5" customHeight="1">
      <c r="A204" s="30"/>
      <c r="B204" s="31"/>
      <c r="C204" s="32"/>
      <c r="D204" s="33"/>
      <c r="E204" s="34"/>
      <c r="F204" s="34"/>
      <c r="G204" s="35"/>
      <c r="H204" s="34"/>
      <c r="I204" s="37"/>
    </row>
    <row r="205" ht="22.5" customHeight="1">
      <c r="A205" s="30"/>
      <c r="B205" s="31"/>
      <c r="C205" s="32"/>
      <c r="D205" s="33"/>
      <c r="E205" s="34"/>
      <c r="F205" s="34"/>
      <c r="G205" s="35"/>
      <c r="H205" s="34"/>
      <c r="I205" s="37"/>
    </row>
    <row r="206" ht="22.5" customHeight="1">
      <c r="A206" s="30"/>
      <c r="B206" s="40"/>
      <c r="C206" s="32"/>
      <c r="D206" s="33"/>
      <c r="E206" s="34"/>
      <c r="F206" s="34"/>
      <c r="G206" s="35"/>
      <c r="H206" s="34"/>
      <c r="I206" s="37"/>
    </row>
    <row r="207" ht="22.5" customHeight="1">
      <c r="A207" s="30"/>
      <c r="B207" s="31"/>
      <c r="C207" s="32"/>
      <c r="D207" s="33"/>
      <c r="E207" s="34"/>
      <c r="F207" s="34"/>
      <c r="G207" s="35"/>
      <c r="H207" s="34"/>
      <c r="I207" s="37"/>
    </row>
    <row r="208" ht="22.5" customHeight="1">
      <c r="A208" s="30"/>
      <c r="B208" s="31"/>
      <c r="C208" s="32"/>
      <c r="D208" s="33"/>
      <c r="E208" s="34"/>
      <c r="F208" s="34"/>
      <c r="G208" s="35"/>
      <c r="H208" s="34"/>
      <c r="I208" s="37"/>
    </row>
    <row r="209" ht="22.5" customHeight="1">
      <c r="A209" s="30"/>
      <c r="B209" s="31"/>
      <c r="C209" s="32"/>
      <c r="D209" s="33"/>
      <c r="E209" s="34"/>
      <c r="F209" s="34"/>
      <c r="G209" s="35"/>
      <c r="H209" s="34"/>
      <c r="I209" s="37"/>
    </row>
    <row r="210" ht="22.5" customHeight="1">
      <c r="A210" s="30"/>
      <c r="B210" s="31"/>
      <c r="C210" s="32"/>
      <c r="D210" s="33"/>
      <c r="E210" s="34"/>
      <c r="F210" s="34"/>
      <c r="G210" s="35"/>
      <c r="H210" s="34"/>
      <c r="I210" s="37"/>
    </row>
    <row r="211" ht="22.5" customHeight="1">
      <c r="A211" s="30"/>
      <c r="B211" s="31"/>
      <c r="C211" s="32"/>
      <c r="D211" s="33"/>
      <c r="E211" s="34"/>
      <c r="F211" s="34"/>
      <c r="G211" s="35"/>
      <c r="H211" s="34"/>
      <c r="I211" s="37"/>
    </row>
    <row r="212" ht="22.5" customHeight="1">
      <c r="A212" s="30"/>
      <c r="B212" s="31"/>
      <c r="C212" s="32"/>
      <c r="D212" s="33"/>
      <c r="E212" s="34"/>
      <c r="F212" s="34"/>
      <c r="G212" s="35"/>
      <c r="H212" s="34"/>
      <c r="I212" s="37"/>
    </row>
    <row r="213" ht="22.5" customHeight="1">
      <c r="A213" s="30"/>
      <c r="B213" s="39"/>
      <c r="C213" s="32"/>
      <c r="D213" s="33"/>
      <c r="E213" s="34"/>
      <c r="F213" s="34"/>
      <c r="G213" s="35"/>
      <c r="H213" s="34"/>
      <c r="I213" s="37"/>
    </row>
    <row r="214" ht="22.5" customHeight="1">
      <c r="A214" s="30"/>
      <c r="B214" s="39"/>
      <c r="C214" s="32"/>
      <c r="D214" s="33"/>
      <c r="E214" s="34"/>
      <c r="F214" s="34"/>
      <c r="G214" s="35"/>
      <c r="H214" s="34"/>
      <c r="I214" s="37"/>
    </row>
    <row r="215" ht="22.5" customHeight="1">
      <c r="A215" s="30"/>
      <c r="B215" s="39"/>
      <c r="C215" s="32"/>
      <c r="D215" s="33"/>
      <c r="E215" s="34"/>
      <c r="F215" s="34"/>
      <c r="G215" s="35"/>
      <c r="H215" s="34"/>
      <c r="I215" s="37"/>
    </row>
    <row r="216" ht="22.5" customHeight="1">
      <c r="A216" s="30"/>
      <c r="B216" s="40"/>
      <c r="C216" s="32"/>
      <c r="D216" s="33"/>
      <c r="E216" s="34"/>
      <c r="F216" s="34"/>
      <c r="G216" s="35"/>
      <c r="H216" s="34"/>
      <c r="I216" s="37"/>
    </row>
    <row r="217" ht="22.5" customHeight="1">
      <c r="A217" s="30"/>
      <c r="B217" s="31"/>
      <c r="C217" s="32"/>
      <c r="D217" s="33"/>
      <c r="E217" s="34"/>
      <c r="F217" s="34"/>
      <c r="G217" s="35"/>
      <c r="H217" s="34"/>
      <c r="I217" s="37"/>
    </row>
    <row r="218" ht="22.5" customHeight="1">
      <c r="A218" s="30"/>
      <c r="B218" s="31"/>
      <c r="C218" s="32"/>
      <c r="D218" s="33"/>
      <c r="E218" s="34"/>
      <c r="F218" s="34"/>
      <c r="G218" s="35"/>
      <c r="H218" s="34"/>
      <c r="I218" s="37"/>
    </row>
    <row r="219" ht="22.5" customHeight="1">
      <c r="A219" s="30"/>
      <c r="B219" s="31"/>
      <c r="C219" s="32"/>
      <c r="D219" s="33"/>
      <c r="E219" s="34"/>
      <c r="F219" s="34"/>
      <c r="G219" s="35"/>
      <c r="H219" s="34"/>
      <c r="I219" s="37"/>
    </row>
    <row r="220" ht="22.5" customHeight="1">
      <c r="A220" s="30"/>
      <c r="B220" s="31"/>
      <c r="C220" s="32"/>
      <c r="D220" s="33"/>
      <c r="E220" s="34"/>
      <c r="F220" s="34"/>
      <c r="G220" s="35"/>
      <c r="H220" s="34"/>
      <c r="I220" s="37"/>
    </row>
    <row r="221" ht="22.5" customHeight="1">
      <c r="A221" s="30"/>
      <c r="B221" s="31"/>
      <c r="C221" s="32"/>
      <c r="D221" s="33"/>
      <c r="E221" s="34"/>
      <c r="F221" s="34"/>
      <c r="G221" s="35"/>
      <c r="H221" s="34"/>
      <c r="I221" s="37"/>
    </row>
    <row r="222" ht="22.5" customHeight="1">
      <c r="A222" s="30"/>
      <c r="B222" s="31"/>
      <c r="C222" s="32"/>
      <c r="D222" s="33"/>
      <c r="E222" s="34"/>
      <c r="F222" s="34"/>
      <c r="G222" s="35"/>
      <c r="H222" s="34"/>
      <c r="I222" s="37"/>
    </row>
    <row r="223" ht="22.5" customHeight="1">
      <c r="A223" s="30"/>
      <c r="B223" s="31"/>
      <c r="C223" s="32"/>
      <c r="D223" s="33"/>
      <c r="E223" s="34"/>
      <c r="F223" s="34"/>
      <c r="G223" s="35"/>
      <c r="H223" s="34"/>
      <c r="I223" s="37"/>
    </row>
    <row r="224" ht="22.5" customHeight="1">
      <c r="A224" s="30"/>
      <c r="B224" s="31"/>
      <c r="C224" s="32"/>
      <c r="D224" s="33"/>
      <c r="E224" s="34"/>
      <c r="F224" s="34"/>
      <c r="G224" s="35"/>
      <c r="H224" s="34"/>
      <c r="I224" s="37"/>
    </row>
    <row r="225" ht="22.5" customHeight="1">
      <c r="A225" s="30"/>
      <c r="B225" s="31"/>
      <c r="C225" s="32"/>
      <c r="D225" s="33"/>
      <c r="E225" s="34"/>
      <c r="F225" s="34"/>
      <c r="G225" s="35"/>
      <c r="H225" s="34"/>
      <c r="I225" s="37"/>
    </row>
    <row r="226" ht="22.5" customHeight="1">
      <c r="A226" s="30"/>
      <c r="B226" s="40"/>
      <c r="C226" s="32"/>
      <c r="D226" s="33"/>
      <c r="E226" s="34"/>
      <c r="F226" s="34"/>
      <c r="G226" s="35"/>
      <c r="H226" s="34"/>
      <c r="I226" s="37"/>
    </row>
    <row r="227" ht="22.5" customHeight="1">
      <c r="A227" s="30"/>
      <c r="B227" s="31"/>
      <c r="C227" s="32"/>
      <c r="D227" s="33"/>
      <c r="E227" s="34"/>
      <c r="F227" s="34"/>
      <c r="G227" s="35"/>
      <c r="H227" s="34"/>
      <c r="I227" s="37"/>
    </row>
    <row r="228" ht="22.5" customHeight="1">
      <c r="A228" s="30"/>
      <c r="B228" s="31"/>
      <c r="C228" s="32"/>
      <c r="D228" s="33"/>
      <c r="E228" s="34"/>
      <c r="F228" s="34"/>
      <c r="G228" s="35"/>
      <c r="H228" s="34"/>
      <c r="I228" s="37"/>
    </row>
    <row r="229" ht="22.5" customHeight="1">
      <c r="A229" s="30"/>
      <c r="B229" s="31"/>
      <c r="C229" s="32"/>
      <c r="D229" s="33"/>
      <c r="E229" s="34"/>
      <c r="F229" s="34"/>
      <c r="G229" s="35"/>
      <c r="H229" s="34"/>
      <c r="I229" s="37"/>
    </row>
    <row r="230" ht="22.5" customHeight="1">
      <c r="A230" s="30"/>
      <c r="B230" s="40"/>
      <c r="C230" s="32"/>
      <c r="D230" s="33"/>
      <c r="E230" s="34"/>
      <c r="F230" s="34"/>
      <c r="G230" s="35"/>
      <c r="H230" s="34"/>
      <c r="I230" s="37"/>
    </row>
    <row r="231" ht="22.5" customHeight="1">
      <c r="A231" s="30"/>
      <c r="B231" s="31"/>
      <c r="C231" s="32"/>
      <c r="D231" s="33"/>
      <c r="E231" s="34"/>
      <c r="F231" s="34"/>
      <c r="G231" s="35"/>
      <c r="H231" s="34"/>
      <c r="I231" s="37"/>
    </row>
    <row r="232" ht="22.5" customHeight="1">
      <c r="A232" s="30"/>
      <c r="B232" s="31"/>
      <c r="C232" s="32"/>
      <c r="D232" s="33"/>
      <c r="E232" s="34"/>
      <c r="F232" s="34"/>
      <c r="G232" s="35"/>
      <c r="H232" s="34"/>
      <c r="I232" s="37"/>
    </row>
    <row r="233" ht="22.5" customHeight="1">
      <c r="A233" s="30"/>
      <c r="B233" s="31"/>
      <c r="C233" s="32"/>
      <c r="D233" s="33"/>
      <c r="E233" s="34"/>
      <c r="F233" s="34"/>
      <c r="G233" s="35"/>
      <c r="H233" s="34"/>
      <c r="I233" s="37"/>
    </row>
    <row r="234" ht="22.5" customHeight="1">
      <c r="A234" s="30"/>
      <c r="B234" s="31"/>
      <c r="C234" s="32"/>
      <c r="D234" s="33"/>
      <c r="E234" s="34"/>
      <c r="F234" s="34"/>
      <c r="G234" s="35"/>
      <c r="H234" s="34"/>
      <c r="I234" s="37"/>
    </row>
    <row r="235" ht="22.5" customHeight="1">
      <c r="A235" s="30"/>
      <c r="B235" s="31"/>
      <c r="C235" s="32"/>
      <c r="D235" s="33"/>
      <c r="E235" s="34"/>
      <c r="F235" s="34"/>
      <c r="G235" s="35"/>
      <c r="H235" s="34"/>
      <c r="I235" s="37"/>
    </row>
    <row r="236" ht="22.5" customHeight="1">
      <c r="A236" s="30"/>
      <c r="B236" s="31"/>
      <c r="C236" s="32"/>
      <c r="D236" s="33"/>
      <c r="E236" s="34"/>
      <c r="F236" s="34"/>
      <c r="G236" s="35"/>
      <c r="H236" s="34"/>
      <c r="I236" s="37"/>
    </row>
    <row r="237" ht="22.5" customHeight="1">
      <c r="A237" s="30"/>
      <c r="B237" s="31"/>
      <c r="C237" s="32"/>
      <c r="D237" s="33"/>
      <c r="E237" s="34"/>
      <c r="F237" s="34"/>
      <c r="G237" s="35"/>
      <c r="H237" s="34"/>
      <c r="I237" s="37"/>
    </row>
    <row r="238" ht="22.5" customHeight="1">
      <c r="A238" s="30"/>
      <c r="B238" s="31"/>
      <c r="C238" s="32"/>
      <c r="D238" s="33"/>
      <c r="E238" s="34"/>
      <c r="F238" s="34"/>
      <c r="G238" s="35"/>
      <c r="H238" s="34"/>
      <c r="I238" s="37"/>
    </row>
    <row r="239" ht="22.5" customHeight="1">
      <c r="A239" s="30"/>
      <c r="B239" s="31"/>
      <c r="C239" s="32"/>
      <c r="D239" s="33"/>
      <c r="E239" s="34"/>
      <c r="F239" s="34"/>
      <c r="G239" s="35"/>
      <c r="H239" s="34"/>
      <c r="I239" s="37"/>
    </row>
    <row r="240" ht="22.5" customHeight="1">
      <c r="A240" s="30"/>
      <c r="B240" s="31"/>
      <c r="C240" s="32"/>
      <c r="D240" s="33"/>
      <c r="E240" s="34"/>
      <c r="F240" s="34"/>
      <c r="G240" s="35"/>
      <c r="H240" s="34"/>
      <c r="I240" s="37"/>
    </row>
    <row r="241" ht="22.5" customHeight="1">
      <c r="A241" s="30"/>
      <c r="B241" s="31"/>
      <c r="C241" s="32"/>
      <c r="D241" s="33"/>
      <c r="E241" s="34"/>
      <c r="F241" s="34"/>
      <c r="G241" s="35"/>
      <c r="H241" s="34"/>
      <c r="I241" s="37"/>
    </row>
    <row r="242" ht="22.5" customHeight="1">
      <c r="A242" s="30"/>
      <c r="B242" s="31"/>
      <c r="C242" s="32"/>
      <c r="D242" s="33"/>
      <c r="E242" s="34"/>
      <c r="F242" s="34"/>
      <c r="G242" s="35"/>
      <c r="H242" s="34"/>
      <c r="I242" s="37"/>
    </row>
    <row r="243" ht="22.5" customHeight="1">
      <c r="A243" s="30"/>
      <c r="B243" s="31"/>
      <c r="C243" s="32"/>
      <c r="D243" s="33"/>
      <c r="E243" s="34"/>
      <c r="F243" s="34"/>
      <c r="G243" s="35"/>
      <c r="H243" s="34"/>
      <c r="I243" s="37"/>
    </row>
    <row r="244" ht="22.5" customHeight="1">
      <c r="A244" s="30"/>
      <c r="B244" s="31"/>
      <c r="C244" s="32"/>
      <c r="D244" s="33"/>
      <c r="E244" s="34"/>
      <c r="F244" s="34"/>
      <c r="G244" s="35"/>
      <c r="H244" s="34"/>
      <c r="I244" s="37"/>
    </row>
    <row r="245" ht="22.5" customHeight="1">
      <c r="A245" s="30"/>
      <c r="B245" s="40"/>
      <c r="C245" s="32"/>
      <c r="D245" s="33"/>
      <c r="E245" s="34"/>
      <c r="F245" s="34"/>
      <c r="G245" s="35"/>
      <c r="H245" s="34"/>
      <c r="I245" s="37"/>
    </row>
    <row r="246" ht="22.5" customHeight="1">
      <c r="A246" s="30"/>
      <c r="B246" s="31"/>
      <c r="C246" s="32"/>
      <c r="D246" s="33"/>
      <c r="E246" s="34"/>
      <c r="F246" s="34"/>
      <c r="G246" s="35"/>
      <c r="H246" s="34"/>
      <c r="I246" s="37"/>
    </row>
    <row r="247" ht="22.5" customHeight="1">
      <c r="A247" s="30"/>
      <c r="B247" s="40"/>
      <c r="C247" s="32"/>
      <c r="D247" s="33"/>
      <c r="E247" s="34"/>
      <c r="F247" s="34"/>
      <c r="G247" s="35"/>
      <c r="H247" s="34"/>
      <c r="I247" s="37"/>
    </row>
    <row r="248" ht="22.5" customHeight="1">
      <c r="A248" s="30"/>
      <c r="B248" s="31"/>
      <c r="C248" s="32"/>
      <c r="D248" s="33"/>
      <c r="E248" s="34"/>
      <c r="F248" s="34"/>
      <c r="G248" s="35"/>
      <c r="H248" s="34"/>
      <c r="I248" s="37"/>
    </row>
    <row r="249" ht="22.5" customHeight="1">
      <c r="A249" s="30"/>
      <c r="B249" s="31"/>
      <c r="C249" s="32"/>
      <c r="D249" s="33"/>
      <c r="E249" s="34"/>
      <c r="F249" s="34"/>
      <c r="G249" s="35"/>
      <c r="H249" s="34"/>
      <c r="I249" s="37"/>
    </row>
    <row r="250" ht="22.5" customHeight="1">
      <c r="A250" s="30"/>
      <c r="B250" s="31"/>
      <c r="C250" s="32"/>
      <c r="D250" s="33"/>
      <c r="E250" s="34"/>
      <c r="F250" s="34"/>
      <c r="G250" s="35"/>
      <c r="H250" s="34"/>
      <c r="I250" s="37"/>
    </row>
    <row r="251" ht="22.5" customHeight="1">
      <c r="A251" s="30"/>
      <c r="B251" s="31"/>
      <c r="C251" s="32"/>
      <c r="D251" s="33"/>
      <c r="E251" s="34"/>
      <c r="F251" s="34"/>
      <c r="G251" s="35"/>
      <c r="H251" s="34"/>
      <c r="I251" s="37"/>
    </row>
    <row r="252" ht="22.5" customHeight="1">
      <c r="A252" s="30"/>
      <c r="B252" s="40"/>
      <c r="C252" s="32"/>
      <c r="D252" s="33"/>
      <c r="E252" s="34"/>
      <c r="F252" s="34"/>
      <c r="G252" s="35"/>
      <c r="H252" s="34"/>
      <c r="I252" s="37"/>
    </row>
    <row r="253" ht="22.5" customHeight="1">
      <c r="A253" s="30"/>
      <c r="B253" s="31"/>
      <c r="C253" s="32"/>
      <c r="D253" s="33"/>
      <c r="E253" s="34"/>
      <c r="F253" s="34"/>
      <c r="G253" s="35"/>
      <c r="H253" s="34"/>
      <c r="I253" s="37"/>
    </row>
    <row r="254" ht="22.5" customHeight="1">
      <c r="A254" s="30"/>
      <c r="B254" s="31"/>
      <c r="C254" s="32"/>
      <c r="D254" s="33"/>
      <c r="E254" s="34"/>
      <c r="F254" s="34"/>
      <c r="G254" s="35"/>
      <c r="H254" s="34"/>
      <c r="I254" s="37"/>
    </row>
    <row r="255" ht="22.5" customHeight="1">
      <c r="A255" s="30"/>
      <c r="B255" s="31"/>
      <c r="C255" s="32"/>
      <c r="D255" s="33"/>
      <c r="E255" s="34"/>
      <c r="F255" s="34"/>
      <c r="G255" s="35"/>
      <c r="H255" s="34"/>
      <c r="I255" s="37"/>
    </row>
    <row r="256" ht="22.5" customHeight="1">
      <c r="A256" s="30"/>
      <c r="B256" s="31"/>
      <c r="C256" s="32"/>
      <c r="D256" s="33"/>
      <c r="E256" s="34"/>
      <c r="F256" s="34"/>
      <c r="G256" s="35"/>
      <c r="H256" s="34"/>
      <c r="I256" s="37"/>
    </row>
    <row r="257" ht="22.5" customHeight="1">
      <c r="A257" s="30"/>
      <c r="B257" s="31"/>
      <c r="C257" s="32"/>
      <c r="D257" s="33"/>
      <c r="E257" s="34"/>
      <c r="F257" s="34"/>
      <c r="G257" s="35"/>
      <c r="H257" s="34"/>
      <c r="I257" s="37"/>
    </row>
    <row r="258" ht="22.5" customHeight="1">
      <c r="A258" s="30"/>
      <c r="B258" s="31"/>
      <c r="C258" s="32"/>
      <c r="D258" s="33"/>
      <c r="E258" s="34"/>
      <c r="F258" s="34"/>
      <c r="G258" s="35"/>
      <c r="H258" s="34"/>
      <c r="I258" s="37"/>
    </row>
    <row r="259" ht="22.5" customHeight="1">
      <c r="A259" s="30"/>
      <c r="B259" s="31"/>
      <c r="C259" s="32"/>
      <c r="D259" s="33"/>
      <c r="E259" s="34"/>
      <c r="F259" s="34"/>
      <c r="G259" s="35"/>
      <c r="H259" s="34"/>
      <c r="I259" s="37"/>
    </row>
    <row r="260" ht="22.5" customHeight="1">
      <c r="A260" s="30"/>
      <c r="B260" s="31"/>
      <c r="C260" s="32"/>
      <c r="D260" s="33"/>
      <c r="E260" s="34"/>
      <c r="F260" s="34"/>
      <c r="G260" s="35"/>
      <c r="H260" s="34"/>
      <c r="I260" s="37"/>
    </row>
    <row r="261" ht="22.5" customHeight="1">
      <c r="A261" s="30"/>
      <c r="B261" s="31"/>
      <c r="C261" s="32"/>
      <c r="D261" s="33"/>
      <c r="E261" s="34"/>
      <c r="F261" s="34"/>
      <c r="G261" s="35"/>
      <c r="H261" s="34"/>
      <c r="I261" s="37"/>
    </row>
    <row r="262" ht="22.5" customHeight="1">
      <c r="A262" s="30"/>
      <c r="B262" s="31"/>
      <c r="C262" s="32"/>
      <c r="D262" s="33"/>
      <c r="E262" s="34"/>
      <c r="F262" s="34"/>
      <c r="G262" s="35"/>
      <c r="H262" s="34"/>
      <c r="I262" s="37"/>
    </row>
    <row r="263" ht="22.5" customHeight="1">
      <c r="A263" s="30"/>
      <c r="B263" s="31"/>
      <c r="C263" s="32"/>
      <c r="D263" s="33"/>
      <c r="E263" s="34"/>
      <c r="F263" s="34"/>
      <c r="G263" s="35"/>
      <c r="H263" s="34"/>
      <c r="I263" s="37"/>
    </row>
    <row r="264" ht="22.5" customHeight="1">
      <c r="A264" s="30"/>
      <c r="B264" s="31"/>
      <c r="C264" s="32"/>
      <c r="D264" s="33"/>
      <c r="E264" s="34"/>
      <c r="F264" s="34"/>
      <c r="G264" s="35"/>
      <c r="H264" s="34"/>
      <c r="I264" s="37"/>
    </row>
    <row r="265" ht="22.5" customHeight="1">
      <c r="A265" s="30"/>
      <c r="B265" s="31"/>
      <c r="C265" s="32"/>
      <c r="D265" s="33"/>
      <c r="E265" s="34"/>
      <c r="F265" s="34"/>
      <c r="G265" s="35"/>
      <c r="H265" s="34"/>
      <c r="I265" s="37"/>
    </row>
    <row r="266" ht="22.5" customHeight="1">
      <c r="A266" s="30"/>
      <c r="B266" s="31"/>
      <c r="C266" s="32"/>
      <c r="D266" s="33"/>
      <c r="E266" s="34"/>
      <c r="F266" s="34"/>
      <c r="G266" s="35"/>
      <c r="H266" s="34"/>
      <c r="I266" s="37"/>
    </row>
    <row r="267" ht="22.5" customHeight="1">
      <c r="A267" s="30"/>
      <c r="B267" s="31"/>
      <c r="C267" s="32"/>
      <c r="D267" s="33"/>
      <c r="E267" s="34"/>
      <c r="F267" s="34"/>
      <c r="G267" s="35"/>
      <c r="H267" s="34"/>
      <c r="I267" s="37"/>
    </row>
    <row r="268" ht="22.5" customHeight="1">
      <c r="A268" s="30"/>
      <c r="B268" s="31"/>
      <c r="C268" s="32"/>
      <c r="D268" s="33"/>
      <c r="E268" s="34"/>
      <c r="F268" s="34"/>
      <c r="G268" s="35"/>
      <c r="H268" s="34"/>
      <c r="I268" s="37"/>
    </row>
    <row r="269" ht="22.5" customHeight="1">
      <c r="A269" s="30"/>
      <c r="B269" s="31"/>
      <c r="C269" s="32"/>
      <c r="D269" s="33"/>
      <c r="E269" s="34"/>
      <c r="F269" s="34"/>
      <c r="G269" s="35"/>
      <c r="H269" s="34"/>
      <c r="I269" s="37"/>
    </row>
    <row r="270" ht="22.5" customHeight="1">
      <c r="A270" s="30"/>
      <c r="B270" s="31"/>
      <c r="C270" s="32"/>
      <c r="D270" s="33"/>
      <c r="E270" s="34"/>
      <c r="F270" s="34"/>
      <c r="G270" s="35"/>
      <c r="H270" s="34"/>
      <c r="I270" s="37"/>
    </row>
    <row r="271" ht="22.5" customHeight="1">
      <c r="A271" s="30"/>
      <c r="B271" s="31"/>
      <c r="C271" s="32"/>
      <c r="D271" s="33"/>
      <c r="E271" s="34"/>
      <c r="F271" s="34"/>
      <c r="G271" s="35"/>
      <c r="H271" s="34"/>
      <c r="I271" s="37"/>
    </row>
    <row r="272" ht="22.5" customHeight="1">
      <c r="A272" s="30"/>
      <c r="B272" s="31"/>
      <c r="C272" s="32"/>
      <c r="D272" s="33"/>
      <c r="E272" s="34"/>
      <c r="F272" s="34"/>
      <c r="G272" s="35"/>
      <c r="H272" s="34"/>
      <c r="I272" s="37"/>
    </row>
    <row r="273" ht="22.5" customHeight="1">
      <c r="A273" s="30"/>
      <c r="B273" s="31"/>
      <c r="C273" s="32"/>
      <c r="D273" s="33"/>
      <c r="E273" s="34"/>
      <c r="F273" s="34"/>
      <c r="G273" s="35"/>
      <c r="H273" s="34"/>
      <c r="I273" s="37"/>
    </row>
    <row r="274" ht="22.5" customHeight="1">
      <c r="A274" s="30"/>
      <c r="B274" s="40"/>
      <c r="C274" s="32"/>
      <c r="D274" s="33"/>
      <c r="E274" s="34"/>
      <c r="F274" s="34"/>
      <c r="G274" s="35"/>
      <c r="H274" s="34"/>
      <c r="I274" s="37"/>
    </row>
    <row r="275" ht="22.5" customHeight="1">
      <c r="A275" s="30"/>
      <c r="B275" s="31"/>
      <c r="C275" s="32"/>
      <c r="D275" s="33"/>
      <c r="E275" s="34"/>
      <c r="F275" s="34"/>
      <c r="G275" s="35"/>
      <c r="H275" s="34"/>
      <c r="I275" s="37"/>
    </row>
    <row r="276" ht="22.5" customHeight="1">
      <c r="A276" s="30"/>
      <c r="B276" s="31"/>
      <c r="C276" s="32"/>
      <c r="D276" s="33"/>
      <c r="E276" s="34"/>
      <c r="F276" s="34"/>
      <c r="G276" s="35"/>
      <c r="H276" s="34"/>
      <c r="I276" s="37"/>
    </row>
    <row r="277" ht="22.5" customHeight="1">
      <c r="A277" s="30"/>
      <c r="B277" s="31"/>
      <c r="C277" s="32"/>
      <c r="D277" s="33"/>
      <c r="E277" s="34"/>
      <c r="F277" s="34"/>
      <c r="G277" s="35"/>
      <c r="H277" s="34"/>
      <c r="I277" s="37"/>
    </row>
    <row r="278" ht="22.5" customHeight="1">
      <c r="A278" s="30"/>
      <c r="B278" s="31"/>
      <c r="C278" s="32"/>
      <c r="D278" s="33"/>
      <c r="E278" s="34"/>
      <c r="F278" s="34"/>
      <c r="G278" s="35"/>
      <c r="H278" s="34"/>
      <c r="I278" s="38"/>
    </row>
    <row r="279" ht="22.5" customHeight="1">
      <c r="A279" s="30"/>
      <c r="B279" s="39"/>
      <c r="C279" s="32"/>
      <c r="D279" s="33"/>
      <c r="E279" s="34"/>
      <c r="F279" s="34"/>
      <c r="G279" s="35"/>
      <c r="H279" s="34"/>
      <c r="I279" s="37"/>
    </row>
    <row r="280" ht="22.5" customHeight="1">
      <c r="A280" s="30"/>
      <c r="B280" s="31"/>
      <c r="C280" s="32"/>
      <c r="D280" s="33"/>
      <c r="E280" s="34"/>
      <c r="F280" s="34"/>
      <c r="G280" s="35"/>
      <c r="H280" s="34"/>
      <c r="I280" s="37"/>
    </row>
    <row r="281" ht="22.5" customHeight="1">
      <c r="A281" s="30"/>
      <c r="B281" s="31"/>
      <c r="C281" s="32"/>
      <c r="D281" s="33"/>
      <c r="E281" s="34"/>
      <c r="F281" s="34"/>
      <c r="G281" s="35"/>
      <c r="H281" s="34"/>
      <c r="I281" s="37"/>
    </row>
    <row r="282" ht="22.5" customHeight="1">
      <c r="A282" s="30"/>
      <c r="B282" s="31"/>
      <c r="C282" s="32"/>
      <c r="D282" s="33"/>
      <c r="E282" s="34"/>
      <c r="F282" s="34"/>
      <c r="G282" s="35"/>
      <c r="H282" s="34"/>
      <c r="I282" s="37"/>
    </row>
    <row r="283" ht="22.5" customHeight="1">
      <c r="A283" s="30"/>
      <c r="B283" s="39"/>
      <c r="C283" s="32"/>
      <c r="D283" s="33"/>
      <c r="E283" s="34"/>
      <c r="F283" s="34"/>
      <c r="G283" s="35"/>
      <c r="H283" s="34"/>
      <c r="I283" s="37"/>
    </row>
    <row r="284" ht="22.5" customHeight="1">
      <c r="A284" s="30"/>
      <c r="B284" s="31"/>
      <c r="C284" s="32"/>
      <c r="D284" s="33"/>
      <c r="E284" s="34"/>
      <c r="F284" s="34"/>
      <c r="G284" s="35"/>
      <c r="H284" s="34"/>
      <c r="I284" s="37"/>
    </row>
    <row r="285" ht="22.5" customHeight="1">
      <c r="A285" s="30"/>
      <c r="B285" s="39"/>
      <c r="C285" s="32"/>
      <c r="D285" s="33"/>
      <c r="E285" s="34"/>
      <c r="F285" s="34"/>
      <c r="G285" s="35"/>
      <c r="H285" s="34"/>
      <c r="I285" s="37"/>
    </row>
    <row r="286" ht="22.5" customHeight="1">
      <c r="A286" s="30"/>
      <c r="B286" s="31"/>
      <c r="C286" s="32"/>
      <c r="D286" s="33"/>
      <c r="E286" s="34"/>
      <c r="F286" s="34"/>
      <c r="G286" s="35"/>
      <c r="H286" s="34"/>
      <c r="I286" s="37"/>
    </row>
    <row r="287" ht="22.5" customHeight="1">
      <c r="A287" s="30"/>
      <c r="B287" s="31"/>
      <c r="C287" s="32"/>
      <c r="D287" s="33"/>
      <c r="E287" s="34"/>
      <c r="F287" s="34"/>
      <c r="G287" s="35"/>
      <c r="H287" s="34"/>
      <c r="I287" s="37"/>
    </row>
    <row r="288" ht="22.5" customHeight="1">
      <c r="A288" s="30"/>
      <c r="B288" s="31"/>
      <c r="C288" s="32"/>
      <c r="D288" s="33"/>
      <c r="E288" s="34"/>
      <c r="F288" s="34"/>
      <c r="G288" s="35"/>
      <c r="H288" s="34"/>
      <c r="I288" s="37"/>
    </row>
    <row r="289" ht="22.5" customHeight="1">
      <c r="A289" s="30"/>
      <c r="B289" s="31"/>
      <c r="C289" s="32"/>
      <c r="D289" s="33"/>
      <c r="E289" s="34"/>
      <c r="F289" s="34"/>
      <c r="G289" s="35"/>
      <c r="H289" s="34"/>
      <c r="I289" s="37"/>
    </row>
    <row r="290" ht="22.5" customHeight="1">
      <c r="A290" s="30"/>
      <c r="B290" s="31"/>
      <c r="C290" s="32"/>
      <c r="D290" s="33"/>
      <c r="E290" s="34"/>
      <c r="F290" s="34"/>
      <c r="G290" s="35"/>
      <c r="H290" s="34"/>
      <c r="I290" s="37"/>
    </row>
    <row r="291" ht="22.5" customHeight="1">
      <c r="A291" s="30"/>
      <c r="B291" s="31"/>
      <c r="C291" s="32"/>
      <c r="D291" s="33"/>
      <c r="E291" s="34"/>
      <c r="F291" s="34"/>
      <c r="G291" s="35"/>
      <c r="H291" s="34"/>
      <c r="I291" s="37"/>
    </row>
    <row r="292" ht="22.5" customHeight="1">
      <c r="A292" s="30"/>
      <c r="B292" s="31"/>
      <c r="C292" s="32"/>
      <c r="D292" s="33"/>
      <c r="E292" s="34"/>
      <c r="F292" s="34"/>
      <c r="G292" s="35"/>
      <c r="H292" s="34"/>
      <c r="I292" s="37"/>
    </row>
    <row r="293" ht="22.5" customHeight="1">
      <c r="A293" s="30"/>
      <c r="B293" s="31"/>
      <c r="C293" s="32"/>
      <c r="D293" s="33"/>
      <c r="E293" s="34"/>
      <c r="F293" s="34"/>
      <c r="G293" s="35"/>
      <c r="H293" s="34"/>
      <c r="I293" s="37"/>
    </row>
    <row r="294" ht="22.5" customHeight="1">
      <c r="A294" s="30"/>
      <c r="B294" s="31"/>
      <c r="C294" s="32"/>
      <c r="D294" s="33"/>
      <c r="E294" s="34"/>
      <c r="F294" s="34"/>
      <c r="G294" s="35"/>
      <c r="H294" s="34"/>
      <c r="I294" s="37"/>
    </row>
    <row r="295" ht="22.5" customHeight="1">
      <c r="A295" s="30"/>
      <c r="B295" s="31"/>
      <c r="C295" s="32"/>
      <c r="D295" s="33"/>
      <c r="E295" s="34"/>
      <c r="F295" s="34"/>
      <c r="G295" s="35"/>
      <c r="H295" s="34"/>
      <c r="I295" s="37"/>
    </row>
    <row r="296" ht="22.5" customHeight="1">
      <c r="A296" s="30"/>
      <c r="B296" s="40"/>
      <c r="C296" s="32"/>
      <c r="D296" s="33"/>
      <c r="E296" s="34"/>
      <c r="F296" s="34"/>
      <c r="G296" s="35"/>
      <c r="H296" s="34"/>
      <c r="I296" s="37"/>
    </row>
    <row r="297" ht="22.5" customHeight="1">
      <c r="A297" s="30"/>
      <c r="B297" s="31"/>
      <c r="C297" s="32"/>
      <c r="D297" s="33"/>
      <c r="E297" s="34"/>
      <c r="F297" s="34"/>
      <c r="G297" s="35"/>
      <c r="H297" s="34"/>
      <c r="I297" s="37"/>
    </row>
    <row r="298" ht="22.5" customHeight="1">
      <c r="A298" s="30"/>
      <c r="B298" s="31"/>
      <c r="C298" s="32"/>
      <c r="D298" s="33"/>
      <c r="E298" s="34"/>
      <c r="F298" s="34"/>
      <c r="G298" s="35"/>
      <c r="H298" s="34"/>
      <c r="I298" s="37"/>
    </row>
    <row r="299" ht="22.5" customHeight="1">
      <c r="A299" s="30"/>
      <c r="B299" s="31"/>
      <c r="C299" s="32"/>
      <c r="D299" s="33"/>
      <c r="E299" s="34"/>
      <c r="F299" s="34"/>
      <c r="G299" s="35"/>
      <c r="H299" s="34"/>
      <c r="I299" s="37"/>
    </row>
    <row r="300" ht="22.5" customHeight="1">
      <c r="A300" s="30"/>
      <c r="B300" s="31"/>
      <c r="C300" s="32"/>
      <c r="D300" s="33"/>
      <c r="E300" s="34"/>
      <c r="F300" s="34"/>
      <c r="G300" s="35"/>
      <c r="H300" s="34"/>
      <c r="I300" s="37"/>
    </row>
    <row r="301" ht="22.5" customHeight="1">
      <c r="A301" s="30"/>
      <c r="B301" s="31"/>
      <c r="C301" s="32"/>
      <c r="D301" s="33"/>
      <c r="E301" s="34"/>
      <c r="F301" s="34"/>
      <c r="G301" s="35"/>
      <c r="H301" s="34"/>
      <c r="I301" s="37"/>
    </row>
    <row r="302" ht="22.5" customHeight="1">
      <c r="A302" s="30"/>
      <c r="B302" s="31"/>
      <c r="C302" s="32"/>
      <c r="D302" s="33"/>
      <c r="E302" s="34"/>
      <c r="F302" s="34"/>
      <c r="G302" s="35"/>
      <c r="H302" s="34"/>
      <c r="I302" s="37"/>
    </row>
    <row r="303" ht="22.5" customHeight="1">
      <c r="A303" s="30"/>
      <c r="B303" s="39"/>
      <c r="C303" s="32"/>
      <c r="D303" s="33"/>
      <c r="E303" s="34"/>
      <c r="F303" s="34"/>
      <c r="G303" s="35"/>
      <c r="H303" s="34"/>
      <c r="I303" s="37"/>
    </row>
    <row r="304" ht="22.5" customHeight="1">
      <c r="A304" s="30"/>
      <c r="B304" s="39"/>
      <c r="C304" s="32"/>
      <c r="D304" s="33"/>
      <c r="E304" s="34"/>
      <c r="F304" s="34"/>
      <c r="G304" s="35"/>
      <c r="H304" s="34"/>
      <c r="I304" s="37"/>
    </row>
    <row r="305" ht="22.5" customHeight="1">
      <c r="A305" s="30"/>
      <c r="B305" s="39"/>
      <c r="C305" s="32"/>
      <c r="D305" s="33"/>
      <c r="E305" s="34"/>
      <c r="F305" s="34"/>
      <c r="G305" s="35"/>
      <c r="H305" s="34"/>
      <c r="I305" s="37"/>
    </row>
    <row r="306" ht="22.5" customHeight="1">
      <c r="A306" s="30"/>
      <c r="B306" s="40"/>
      <c r="C306" s="32"/>
      <c r="D306" s="33"/>
      <c r="E306" s="34"/>
      <c r="F306" s="34"/>
      <c r="G306" s="35"/>
      <c r="H306" s="34"/>
      <c r="I306" s="37"/>
    </row>
    <row r="307" ht="22.5" customHeight="1">
      <c r="A307" s="30"/>
      <c r="B307" s="31"/>
      <c r="C307" s="32"/>
      <c r="D307" s="33"/>
      <c r="E307" s="34"/>
      <c r="F307" s="34"/>
      <c r="G307" s="35"/>
      <c r="H307" s="34"/>
      <c r="I307" s="37"/>
    </row>
    <row r="308" ht="22.5" customHeight="1">
      <c r="A308" s="30"/>
      <c r="B308" s="31"/>
      <c r="C308" s="32"/>
      <c r="D308" s="33"/>
      <c r="E308" s="34"/>
      <c r="F308" s="34"/>
      <c r="G308" s="35"/>
      <c r="H308" s="34"/>
      <c r="I308" s="37"/>
    </row>
    <row r="309" ht="22.5" customHeight="1">
      <c r="A309" s="30"/>
      <c r="B309" s="31"/>
      <c r="C309" s="32"/>
      <c r="D309" s="33"/>
      <c r="E309" s="34"/>
      <c r="F309" s="34"/>
      <c r="G309" s="35"/>
      <c r="H309" s="34"/>
      <c r="I309" s="37"/>
    </row>
    <row r="310" ht="22.5" customHeight="1">
      <c r="A310" s="30"/>
      <c r="B310" s="31"/>
      <c r="C310" s="32"/>
      <c r="D310" s="33"/>
      <c r="E310" s="34"/>
      <c r="F310" s="34"/>
      <c r="G310" s="35"/>
      <c r="H310" s="34"/>
      <c r="I310" s="37"/>
    </row>
    <row r="311" ht="22.5" customHeight="1">
      <c r="A311" s="30"/>
      <c r="B311" s="31"/>
      <c r="C311" s="32"/>
      <c r="D311" s="33"/>
      <c r="E311" s="34"/>
      <c r="F311" s="34"/>
      <c r="G311" s="35"/>
      <c r="H311" s="34"/>
      <c r="I311" s="37"/>
    </row>
    <row r="312" ht="22.5" customHeight="1">
      <c r="A312" s="30"/>
      <c r="B312" s="31"/>
      <c r="C312" s="32"/>
      <c r="D312" s="33"/>
      <c r="E312" s="34"/>
      <c r="F312" s="34"/>
      <c r="G312" s="35"/>
      <c r="H312" s="34"/>
      <c r="I312" s="37"/>
    </row>
    <row r="313" ht="22.5" customHeight="1">
      <c r="A313" s="30"/>
      <c r="B313" s="31"/>
      <c r="C313" s="32"/>
      <c r="D313" s="33"/>
      <c r="E313" s="34"/>
      <c r="F313" s="34"/>
      <c r="G313" s="35"/>
      <c r="H313" s="34"/>
      <c r="I313" s="37"/>
    </row>
    <row r="314" ht="22.5" customHeight="1">
      <c r="A314" s="30"/>
      <c r="B314" s="31"/>
      <c r="C314" s="32"/>
      <c r="D314" s="33"/>
      <c r="E314" s="34"/>
      <c r="F314" s="34"/>
      <c r="G314" s="35"/>
      <c r="H314" s="34"/>
      <c r="I314" s="37"/>
    </row>
    <row r="315" ht="22.5" customHeight="1">
      <c r="A315" s="30"/>
      <c r="B315" s="31"/>
      <c r="C315" s="32"/>
      <c r="D315" s="33"/>
      <c r="E315" s="34"/>
      <c r="F315" s="34"/>
      <c r="G315" s="35"/>
      <c r="H315" s="34"/>
      <c r="I315" s="37"/>
    </row>
    <row r="316" ht="22.5" customHeight="1">
      <c r="A316" s="30"/>
      <c r="B316" s="40"/>
      <c r="C316" s="32"/>
      <c r="D316" s="33"/>
      <c r="E316" s="34"/>
      <c r="F316" s="34"/>
      <c r="G316" s="35"/>
      <c r="H316" s="34"/>
      <c r="I316" s="37"/>
    </row>
    <row r="317" ht="22.5" customHeight="1">
      <c r="A317" s="30"/>
      <c r="B317" s="31"/>
      <c r="C317" s="32"/>
      <c r="D317" s="33"/>
      <c r="E317" s="34"/>
      <c r="F317" s="34"/>
      <c r="G317" s="35"/>
      <c r="H317" s="34"/>
      <c r="I317" s="37"/>
    </row>
    <row r="318" ht="22.5" customHeight="1">
      <c r="A318" s="30"/>
      <c r="B318" s="31"/>
      <c r="C318" s="32"/>
      <c r="D318" s="33"/>
      <c r="E318" s="34"/>
      <c r="F318" s="34"/>
      <c r="G318" s="35"/>
      <c r="H318" s="34"/>
      <c r="I318" s="37"/>
    </row>
    <row r="319" ht="22.5" customHeight="1">
      <c r="A319" s="30"/>
      <c r="B319" s="31"/>
      <c r="C319" s="32"/>
      <c r="D319" s="33"/>
      <c r="E319" s="34"/>
      <c r="F319" s="34"/>
      <c r="G319" s="35"/>
      <c r="H319" s="34"/>
      <c r="I319" s="37"/>
    </row>
    <row r="320" ht="22.5" customHeight="1">
      <c r="A320" s="30"/>
      <c r="B320" s="40"/>
      <c r="C320" s="32"/>
      <c r="D320" s="33"/>
      <c r="E320" s="34"/>
      <c r="F320" s="34"/>
      <c r="G320" s="35"/>
      <c r="H320" s="34"/>
      <c r="I320" s="37"/>
    </row>
    <row r="321" ht="22.5" customHeight="1">
      <c r="A321" s="30"/>
      <c r="B321" s="31"/>
      <c r="C321" s="32"/>
      <c r="D321" s="33"/>
      <c r="E321" s="34"/>
      <c r="F321" s="34"/>
      <c r="G321" s="35"/>
      <c r="H321" s="34"/>
      <c r="I321" s="37"/>
    </row>
    <row r="322" ht="22.5" customHeight="1">
      <c r="A322" s="30"/>
      <c r="B322" s="31"/>
      <c r="C322" s="32"/>
      <c r="D322" s="33"/>
      <c r="E322" s="34"/>
      <c r="F322" s="34"/>
      <c r="G322" s="35"/>
      <c r="H322" s="34"/>
      <c r="I322" s="37"/>
    </row>
    <row r="323" ht="22.5" customHeight="1">
      <c r="A323" s="30"/>
      <c r="B323" s="31"/>
      <c r="C323" s="32"/>
      <c r="D323" s="33"/>
      <c r="E323" s="34"/>
      <c r="F323" s="34"/>
      <c r="G323" s="35"/>
      <c r="H323" s="34"/>
      <c r="I323" s="37"/>
    </row>
    <row r="324" ht="22.5" customHeight="1">
      <c r="A324" s="30"/>
      <c r="B324" s="31"/>
      <c r="C324" s="32"/>
      <c r="D324" s="33"/>
      <c r="E324" s="34"/>
      <c r="F324" s="34"/>
      <c r="G324" s="35"/>
      <c r="H324" s="34"/>
      <c r="I324" s="37"/>
    </row>
    <row r="325" ht="22.5" customHeight="1">
      <c r="A325" s="30"/>
      <c r="B325" s="31"/>
      <c r="C325" s="32"/>
      <c r="D325" s="33"/>
      <c r="E325" s="34"/>
      <c r="F325" s="34"/>
      <c r="G325" s="35"/>
      <c r="H325" s="34"/>
      <c r="I325" s="37"/>
    </row>
    <row r="326" ht="22.5" customHeight="1">
      <c r="A326" s="30"/>
      <c r="B326" s="31"/>
      <c r="C326" s="32"/>
      <c r="D326" s="33"/>
      <c r="E326" s="34"/>
      <c r="F326" s="34"/>
      <c r="G326" s="35"/>
      <c r="H326" s="34"/>
      <c r="I326" s="37"/>
    </row>
    <row r="327" ht="22.5" customHeight="1">
      <c r="A327" s="30"/>
      <c r="B327" s="31"/>
      <c r="C327" s="32"/>
      <c r="D327" s="33"/>
      <c r="E327" s="34"/>
      <c r="F327" s="34"/>
      <c r="G327" s="35"/>
      <c r="H327" s="34"/>
      <c r="I327" s="37"/>
    </row>
    <row r="328" ht="22.5" customHeight="1">
      <c r="A328" s="30"/>
      <c r="B328" s="31"/>
      <c r="C328" s="32"/>
      <c r="D328" s="33"/>
      <c r="E328" s="34"/>
      <c r="F328" s="34"/>
      <c r="G328" s="35"/>
      <c r="H328" s="34"/>
      <c r="I328" s="37"/>
    </row>
    <row r="329" ht="22.5" customHeight="1">
      <c r="A329" s="30"/>
      <c r="B329" s="31"/>
      <c r="C329" s="32"/>
      <c r="D329" s="33"/>
      <c r="E329" s="34"/>
      <c r="F329" s="34"/>
      <c r="G329" s="35"/>
      <c r="H329" s="34"/>
      <c r="I329" s="37"/>
    </row>
    <row r="330" ht="22.5" customHeight="1">
      <c r="A330" s="30"/>
      <c r="B330" s="31"/>
      <c r="C330" s="32"/>
      <c r="D330" s="33"/>
      <c r="E330" s="34"/>
      <c r="F330" s="34"/>
      <c r="G330" s="35"/>
      <c r="H330" s="34"/>
      <c r="I330" s="37"/>
    </row>
    <row r="331" ht="22.5" customHeight="1">
      <c r="A331" s="30"/>
      <c r="B331" s="31"/>
      <c r="C331" s="32"/>
      <c r="D331" s="33"/>
      <c r="E331" s="34"/>
      <c r="F331" s="34"/>
      <c r="G331" s="35"/>
      <c r="H331" s="34"/>
      <c r="I331" s="37"/>
    </row>
    <row r="332" ht="22.5" customHeight="1">
      <c r="A332" s="30"/>
      <c r="B332" s="31"/>
      <c r="C332" s="32"/>
      <c r="D332" s="33"/>
      <c r="E332" s="34"/>
      <c r="F332" s="34"/>
      <c r="G332" s="35"/>
      <c r="H332" s="34"/>
      <c r="I332" s="37"/>
    </row>
    <row r="333" ht="22.5" customHeight="1">
      <c r="A333" s="30"/>
      <c r="B333" s="31"/>
      <c r="C333" s="32"/>
      <c r="D333" s="33"/>
      <c r="E333" s="34"/>
      <c r="F333" s="34"/>
      <c r="G333" s="35"/>
      <c r="H333" s="34"/>
      <c r="I333" s="37"/>
    </row>
    <row r="334" ht="22.5" customHeight="1">
      <c r="A334" s="30"/>
      <c r="B334" s="31"/>
      <c r="C334" s="32"/>
      <c r="D334" s="33"/>
      <c r="E334" s="34"/>
      <c r="F334" s="34"/>
      <c r="G334" s="35"/>
      <c r="H334" s="34"/>
      <c r="I334" s="37"/>
    </row>
    <row r="335" ht="22.5" customHeight="1">
      <c r="A335" s="30"/>
      <c r="B335" s="40"/>
      <c r="C335" s="32"/>
      <c r="D335" s="33"/>
      <c r="E335" s="34"/>
      <c r="F335" s="34"/>
      <c r="G335" s="35"/>
      <c r="H335" s="34"/>
      <c r="I335" s="37"/>
    </row>
    <row r="336" ht="22.5" customHeight="1">
      <c r="A336" s="30"/>
      <c r="B336" s="31"/>
      <c r="C336" s="32"/>
      <c r="D336" s="33"/>
      <c r="E336" s="34"/>
      <c r="F336" s="34"/>
      <c r="G336" s="35"/>
      <c r="H336" s="34"/>
      <c r="I336" s="37"/>
    </row>
    <row r="337" ht="22.5" customHeight="1">
      <c r="A337" s="30"/>
      <c r="B337" s="40"/>
      <c r="C337" s="32"/>
      <c r="D337" s="33"/>
      <c r="E337" s="34"/>
      <c r="F337" s="34"/>
      <c r="G337" s="35"/>
      <c r="H337" s="34"/>
      <c r="I337" s="37"/>
    </row>
    <row r="338" ht="22.5" customHeight="1">
      <c r="A338" s="30"/>
      <c r="B338" s="31"/>
      <c r="C338" s="32"/>
      <c r="D338" s="33"/>
      <c r="E338" s="34"/>
      <c r="F338" s="34"/>
      <c r="G338" s="35"/>
      <c r="H338" s="34"/>
      <c r="I338" s="37"/>
    </row>
    <row r="339" ht="22.5" customHeight="1">
      <c r="A339" s="30"/>
      <c r="B339" s="31"/>
      <c r="C339" s="32"/>
      <c r="D339" s="33"/>
      <c r="E339" s="34"/>
      <c r="F339" s="34"/>
      <c r="G339" s="35"/>
      <c r="H339" s="34"/>
      <c r="I339" s="37"/>
    </row>
    <row r="340" ht="22.5" customHeight="1">
      <c r="A340" s="30"/>
      <c r="B340" s="31"/>
      <c r="C340" s="32"/>
      <c r="D340" s="33"/>
      <c r="E340" s="34"/>
      <c r="F340" s="34"/>
      <c r="G340" s="35"/>
      <c r="H340" s="34"/>
      <c r="I340" s="37"/>
    </row>
    <row r="341" ht="22.5" customHeight="1">
      <c r="A341" s="30"/>
      <c r="B341" s="31"/>
      <c r="C341" s="32"/>
      <c r="D341" s="33"/>
      <c r="E341" s="34"/>
      <c r="F341" s="34"/>
      <c r="G341" s="35"/>
      <c r="H341" s="34"/>
      <c r="I341" s="37"/>
    </row>
    <row r="342" ht="22.5" customHeight="1">
      <c r="A342" s="30"/>
      <c r="B342" s="40"/>
      <c r="C342" s="32"/>
      <c r="D342" s="33"/>
      <c r="E342" s="34"/>
      <c r="F342" s="34"/>
      <c r="G342" s="35"/>
      <c r="H342" s="34"/>
      <c r="I342" s="37"/>
    </row>
    <row r="343" ht="22.5" customHeight="1">
      <c r="A343" s="30"/>
      <c r="B343" s="31"/>
      <c r="C343" s="32"/>
      <c r="D343" s="33"/>
      <c r="E343" s="34"/>
      <c r="F343" s="34"/>
      <c r="G343" s="35"/>
      <c r="H343" s="34"/>
      <c r="I343" s="37"/>
    </row>
    <row r="344" ht="22.5" customHeight="1">
      <c r="A344" s="30"/>
      <c r="B344" s="31"/>
      <c r="C344" s="32"/>
      <c r="D344" s="33"/>
      <c r="E344" s="34"/>
      <c r="F344" s="34"/>
      <c r="G344" s="35"/>
      <c r="H344" s="34"/>
      <c r="I344" s="37"/>
    </row>
    <row r="345" ht="22.5" customHeight="1">
      <c r="A345" s="30"/>
      <c r="B345" s="31"/>
      <c r="C345" s="32"/>
      <c r="D345" s="33"/>
      <c r="E345" s="34"/>
      <c r="F345" s="34"/>
      <c r="G345" s="35"/>
      <c r="H345" s="34"/>
      <c r="I345" s="37"/>
    </row>
    <row r="346" ht="22.5" customHeight="1">
      <c r="A346" s="30"/>
      <c r="B346" s="31"/>
      <c r="C346" s="32"/>
      <c r="D346" s="33"/>
      <c r="E346" s="34"/>
      <c r="F346" s="34"/>
      <c r="G346" s="35"/>
      <c r="H346" s="34"/>
      <c r="I346" s="37"/>
    </row>
    <row r="347" ht="22.5" customHeight="1">
      <c r="A347" s="30"/>
      <c r="B347" s="31"/>
      <c r="C347" s="32"/>
      <c r="D347" s="33"/>
      <c r="E347" s="34"/>
      <c r="F347" s="34"/>
      <c r="G347" s="35"/>
      <c r="H347" s="34"/>
      <c r="I347" s="37"/>
    </row>
    <row r="348" ht="22.5" customHeight="1">
      <c r="A348" s="30"/>
      <c r="B348" s="31"/>
      <c r="C348" s="32"/>
      <c r="D348" s="33"/>
      <c r="E348" s="34"/>
      <c r="F348" s="34"/>
      <c r="G348" s="35"/>
      <c r="H348" s="34"/>
      <c r="I348" s="37"/>
    </row>
    <row r="349" ht="22.5" customHeight="1">
      <c r="A349" s="30"/>
      <c r="B349" s="31"/>
      <c r="C349" s="32"/>
      <c r="D349" s="33"/>
      <c r="E349" s="34"/>
      <c r="F349" s="34"/>
      <c r="G349" s="35"/>
      <c r="H349" s="34"/>
      <c r="I349" s="37"/>
    </row>
    <row r="350" ht="22.5" customHeight="1">
      <c r="A350" s="30"/>
      <c r="B350" s="31"/>
      <c r="C350" s="32"/>
      <c r="D350" s="33"/>
      <c r="E350" s="34"/>
      <c r="F350" s="34"/>
      <c r="G350" s="35"/>
      <c r="H350" s="34"/>
      <c r="I350" s="37"/>
    </row>
    <row r="351" ht="22.5" customHeight="1">
      <c r="A351" s="30"/>
      <c r="B351" s="31"/>
      <c r="C351" s="32"/>
      <c r="D351" s="33"/>
      <c r="E351" s="34"/>
      <c r="F351" s="34"/>
      <c r="G351" s="35"/>
      <c r="H351" s="34"/>
      <c r="I351" s="37"/>
    </row>
    <row r="352" ht="22.5" customHeight="1">
      <c r="A352" s="30"/>
      <c r="B352" s="31"/>
      <c r="C352" s="32"/>
      <c r="D352" s="33"/>
      <c r="E352" s="34"/>
      <c r="F352" s="34"/>
      <c r="G352" s="35"/>
      <c r="H352" s="34"/>
      <c r="I352" s="37"/>
    </row>
    <row r="353" ht="22.5" customHeight="1">
      <c r="A353" s="30"/>
      <c r="B353" s="31"/>
      <c r="C353" s="32"/>
      <c r="D353" s="33"/>
      <c r="E353" s="34"/>
      <c r="F353" s="34"/>
      <c r="G353" s="35"/>
      <c r="H353" s="34"/>
      <c r="I353" s="37"/>
    </row>
    <row r="354" ht="22.5" customHeight="1">
      <c r="A354" s="30"/>
      <c r="B354" s="31"/>
      <c r="C354" s="32"/>
      <c r="D354" s="33"/>
      <c r="E354" s="34"/>
      <c r="F354" s="34"/>
      <c r="G354" s="35"/>
      <c r="H354" s="34"/>
      <c r="I354" s="37"/>
    </row>
    <row r="355" ht="22.5" customHeight="1">
      <c r="A355" s="30"/>
      <c r="B355" s="31"/>
      <c r="C355" s="32"/>
      <c r="D355" s="33"/>
      <c r="E355" s="34"/>
      <c r="F355" s="34"/>
      <c r="G355" s="35"/>
      <c r="H355" s="34"/>
      <c r="I355" s="37"/>
    </row>
    <row r="356" ht="22.5" customHeight="1">
      <c r="A356" s="30"/>
      <c r="B356" s="31"/>
      <c r="C356" s="32"/>
      <c r="D356" s="33"/>
      <c r="E356" s="34"/>
      <c r="F356" s="34"/>
      <c r="G356" s="35"/>
      <c r="H356" s="34"/>
      <c r="I356" s="37"/>
    </row>
    <row r="357" ht="22.5" customHeight="1">
      <c r="A357" s="30"/>
      <c r="B357" s="31"/>
      <c r="C357" s="32"/>
      <c r="D357" s="33"/>
      <c r="E357" s="34"/>
      <c r="F357" s="34"/>
      <c r="G357" s="35"/>
      <c r="H357" s="34"/>
      <c r="I357" s="37"/>
    </row>
    <row r="358" ht="22.5" customHeight="1">
      <c r="A358" s="30"/>
      <c r="B358" s="31"/>
      <c r="C358" s="32"/>
      <c r="D358" s="33"/>
      <c r="E358" s="34"/>
      <c r="F358" s="34"/>
      <c r="G358" s="35"/>
      <c r="H358" s="34"/>
      <c r="I358" s="37"/>
    </row>
    <row r="359" ht="22.5" customHeight="1">
      <c r="A359" s="30"/>
      <c r="B359" s="31"/>
      <c r="C359" s="32"/>
      <c r="D359" s="33"/>
      <c r="E359" s="34"/>
      <c r="F359" s="34"/>
      <c r="G359" s="35"/>
      <c r="H359" s="34"/>
      <c r="I359" s="37"/>
    </row>
    <row r="360" ht="22.5" customHeight="1">
      <c r="A360" s="30"/>
      <c r="B360" s="31"/>
      <c r="C360" s="32"/>
      <c r="D360" s="33"/>
      <c r="E360" s="34"/>
      <c r="F360" s="34"/>
      <c r="G360" s="35"/>
      <c r="H360" s="34"/>
      <c r="I360" s="37"/>
    </row>
    <row r="361" ht="22.5" customHeight="1">
      <c r="A361" s="30"/>
      <c r="B361" s="31"/>
      <c r="C361" s="32"/>
      <c r="D361" s="33"/>
      <c r="E361" s="34"/>
      <c r="F361" s="34"/>
      <c r="G361" s="35"/>
      <c r="H361" s="34"/>
      <c r="I361" s="37"/>
    </row>
    <row r="362" ht="22.5" customHeight="1">
      <c r="A362" s="30"/>
      <c r="B362" s="31"/>
      <c r="C362" s="32"/>
      <c r="D362" s="33"/>
      <c r="E362" s="34"/>
      <c r="F362" s="34"/>
      <c r="G362" s="35"/>
      <c r="H362" s="34"/>
      <c r="I362" s="37"/>
    </row>
    <row r="363" ht="22.5" customHeight="1">
      <c r="A363" s="30"/>
      <c r="B363" s="31"/>
      <c r="C363" s="32"/>
      <c r="D363" s="33"/>
      <c r="E363" s="34"/>
      <c r="F363" s="34"/>
      <c r="G363" s="35"/>
      <c r="H363" s="34"/>
      <c r="I363" s="37"/>
    </row>
    <row r="364" ht="22.5" customHeight="1">
      <c r="A364" s="30"/>
      <c r="B364" s="40"/>
      <c r="C364" s="32"/>
      <c r="D364" s="33"/>
      <c r="E364" s="34"/>
      <c r="F364" s="34"/>
      <c r="G364" s="35"/>
      <c r="H364" s="34"/>
      <c r="I364" s="37"/>
    </row>
    <row r="365" ht="22.5" customHeight="1">
      <c r="A365" s="30"/>
      <c r="B365" s="31"/>
      <c r="C365" s="32"/>
      <c r="D365" s="33"/>
      <c r="E365" s="34"/>
      <c r="F365" s="34"/>
      <c r="G365" s="35"/>
      <c r="H365" s="34"/>
      <c r="I365" s="37"/>
    </row>
    <row r="366" ht="22.5" customHeight="1">
      <c r="A366" s="30"/>
      <c r="B366" s="31"/>
      <c r="C366" s="32"/>
      <c r="D366" s="33"/>
      <c r="E366" s="34"/>
      <c r="F366" s="34"/>
      <c r="G366" s="35"/>
      <c r="H366" s="34"/>
      <c r="I366" s="37"/>
    </row>
    <row r="367" ht="22.5" customHeight="1">
      <c r="A367" s="30"/>
      <c r="B367" s="31"/>
      <c r="C367" s="32"/>
      <c r="D367" s="33"/>
      <c r="E367" s="34"/>
      <c r="F367" s="34"/>
      <c r="G367" s="35"/>
      <c r="H367" s="34"/>
      <c r="I367" s="37"/>
    </row>
    <row r="368" ht="22.5" customHeight="1">
      <c r="A368" s="30"/>
      <c r="B368" s="31"/>
      <c r="C368" s="32"/>
      <c r="D368" s="33"/>
      <c r="E368" s="34"/>
      <c r="F368" s="34"/>
      <c r="G368" s="35"/>
      <c r="H368" s="34"/>
      <c r="I368" s="38"/>
    </row>
    <row r="369" ht="22.5" customHeight="1">
      <c r="A369" s="30"/>
      <c r="B369" s="39"/>
      <c r="C369" s="32"/>
      <c r="D369" s="33"/>
      <c r="E369" s="34"/>
      <c r="F369" s="34"/>
      <c r="G369" s="35"/>
      <c r="H369" s="34"/>
      <c r="I369" s="37"/>
    </row>
    <row r="370" ht="22.5" customHeight="1">
      <c r="A370" s="30"/>
      <c r="B370" s="31"/>
      <c r="C370" s="32"/>
      <c r="D370" s="33"/>
      <c r="E370" s="34"/>
      <c r="F370" s="34"/>
      <c r="G370" s="35"/>
      <c r="H370" s="34"/>
      <c r="I370" s="37"/>
    </row>
    <row r="371" ht="22.5" customHeight="1">
      <c r="A371" s="30"/>
      <c r="B371" s="31"/>
      <c r="C371" s="32"/>
      <c r="D371" s="33"/>
      <c r="E371" s="34"/>
      <c r="F371" s="34"/>
      <c r="G371" s="35"/>
      <c r="H371" s="34"/>
      <c r="I371" s="37"/>
    </row>
    <row r="372" ht="22.5" customHeight="1">
      <c r="A372" s="30"/>
      <c r="B372" s="31"/>
      <c r="C372" s="32"/>
      <c r="D372" s="33"/>
      <c r="E372" s="34"/>
      <c r="F372" s="34"/>
      <c r="G372" s="35"/>
      <c r="H372" s="34"/>
      <c r="I372" s="37"/>
    </row>
    <row r="373" ht="22.5" customHeight="1">
      <c r="A373" s="30"/>
      <c r="B373" s="39"/>
      <c r="C373" s="32"/>
      <c r="D373" s="33"/>
      <c r="E373" s="34"/>
      <c r="F373" s="34"/>
      <c r="G373" s="35"/>
      <c r="H373" s="34"/>
      <c r="I373" s="37"/>
    </row>
    <row r="374" ht="22.5" customHeight="1">
      <c r="A374" s="30"/>
      <c r="B374" s="31"/>
      <c r="C374" s="32"/>
      <c r="D374" s="33"/>
      <c r="E374" s="34"/>
      <c r="F374" s="34"/>
      <c r="G374" s="35"/>
      <c r="H374" s="34"/>
      <c r="I374" s="37"/>
    </row>
    <row r="375" ht="22.5" customHeight="1">
      <c r="A375" s="30"/>
      <c r="B375" s="39"/>
      <c r="C375" s="32"/>
      <c r="D375" s="33"/>
      <c r="E375" s="34"/>
      <c r="F375" s="34"/>
      <c r="G375" s="35"/>
      <c r="H375" s="34"/>
      <c r="I375" s="37"/>
    </row>
    <row r="376" ht="22.5" customHeight="1">
      <c r="A376" s="30"/>
      <c r="B376" s="31"/>
      <c r="C376" s="32"/>
      <c r="D376" s="33"/>
      <c r="E376" s="34"/>
      <c r="F376" s="34"/>
      <c r="G376" s="35"/>
      <c r="H376" s="34"/>
      <c r="I376" s="37"/>
    </row>
    <row r="377" ht="22.5" customHeight="1">
      <c r="A377" s="30"/>
      <c r="B377" s="31"/>
      <c r="C377" s="32"/>
      <c r="D377" s="33"/>
      <c r="E377" s="34"/>
      <c r="F377" s="34"/>
      <c r="G377" s="35"/>
      <c r="H377" s="34"/>
      <c r="I377" s="37"/>
    </row>
    <row r="378" ht="22.5" customHeight="1">
      <c r="A378" s="30"/>
      <c r="B378" s="31"/>
      <c r="C378" s="32"/>
      <c r="D378" s="33"/>
      <c r="E378" s="34"/>
      <c r="F378" s="34"/>
      <c r="G378" s="35"/>
      <c r="H378" s="34"/>
      <c r="I378" s="37"/>
    </row>
    <row r="379" ht="22.5" customHeight="1">
      <c r="A379" s="30"/>
      <c r="B379" s="31"/>
      <c r="C379" s="32"/>
      <c r="D379" s="33"/>
      <c r="E379" s="34"/>
      <c r="F379" s="34"/>
      <c r="G379" s="35"/>
      <c r="H379" s="34"/>
      <c r="I379" s="37"/>
    </row>
    <row r="380" ht="22.5" customHeight="1">
      <c r="A380" s="30"/>
      <c r="B380" s="31"/>
      <c r="C380" s="32"/>
      <c r="D380" s="33"/>
      <c r="E380" s="34"/>
      <c r="F380" s="34"/>
      <c r="G380" s="35"/>
      <c r="H380" s="34"/>
      <c r="I380" s="37"/>
    </row>
    <row r="381" ht="22.5" customHeight="1">
      <c r="A381" s="30"/>
      <c r="B381" s="31"/>
      <c r="C381" s="32"/>
      <c r="D381" s="33"/>
      <c r="E381" s="34"/>
      <c r="F381" s="34"/>
      <c r="G381" s="35"/>
      <c r="H381" s="34"/>
      <c r="I381" s="37"/>
    </row>
    <row r="382" ht="22.5" customHeight="1">
      <c r="A382" s="30"/>
      <c r="B382" s="31"/>
      <c r="C382" s="32"/>
      <c r="D382" s="33"/>
      <c r="E382" s="34"/>
      <c r="F382" s="34"/>
      <c r="G382" s="35"/>
      <c r="H382" s="34"/>
      <c r="I382" s="37"/>
    </row>
    <row r="383" ht="22.5" customHeight="1">
      <c r="A383" s="30"/>
      <c r="B383" s="31"/>
      <c r="C383" s="32"/>
      <c r="D383" s="33"/>
      <c r="E383" s="34"/>
      <c r="F383" s="34"/>
      <c r="G383" s="35"/>
      <c r="H383" s="34"/>
      <c r="I383" s="37"/>
    </row>
    <row r="384" ht="22.5" customHeight="1">
      <c r="A384" s="30"/>
      <c r="B384" s="31"/>
      <c r="C384" s="32"/>
      <c r="D384" s="33"/>
      <c r="E384" s="34"/>
      <c r="F384" s="34"/>
      <c r="G384" s="35"/>
      <c r="H384" s="34"/>
      <c r="I384" s="37"/>
    </row>
    <row r="385" ht="22.5" customHeight="1">
      <c r="A385" s="30"/>
      <c r="B385" s="31"/>
      <c r="C385" s="32"/>
      <c r="D385" s="33"/>
      <c r="E385" s="34"/>
      <c r="F385" s="34"/>
      <c r="G385" s="35"/>
      <c r="H385" s="34"/>
      <c r="I385" s="37"/>
    </row>
    <row r="386" ht="22.5" customHeight="1">
      <c r="A386" s="30"/>
      <c r="B386" s="40"/>
      <c r="C386" s="32"/>
      <c r="D386" s="33"/>
      <c r="E386" s="34"/>
      <c r="F386" s="34"/>
      <c r="G386" s="35"/>
      <c r="H386" s="34"/>
      <c r="I386" s="37"/>
    </row>
    <row r="387" ht="22.5" customHeight="1">
      <c r="A387" s="30"/>
      <c r="B387" s="31"/>
      <c r="C387" s="32"/>
      <c r="D387" s="33"/>
      <c r="E387" s="34"/>
      <c r="F387" s="34"/>
      <c r="G387" s="35"/>
      <c r="H387" s="34"/>
      <c r="I387" s="37"/>
    </row>
    <row r="388" ht="22.5" customHeight="1">
      <c r="A388" s="30"/>
      <c r="B388" s="31"/>
      <c r="C388" s="32"/>
      <c r="D388" s="33"/>
      <c r="E388" s="34"/>
      <c r="F388" s="34"/>
      <c r="G388" s="35"/>
      <c r="H388" s="34"/>
      <c r="I388" s="37"/>
    </row>
    <row r="389" ht="22.5" customHeight="1">
      <c r="A389" s="30"/>
      <c r="B389" s="31"/>
      <c r="C389" s="32"/>
      <c r="D389" s="33"/>
      <c r="E389" s="34"/>
      <c r="F389" s="34"/>
      <c r="G389" s="35"/>
      <c r="H389" s="34"/>
      <c r="I389" s="37"/>
    </row>
    <row r="390" ht="22.5" customHeight="1">
      <c r="A390" s="30"/>
      <c r="B390" s="31"/>
      <c r="C390" s="32"/>
      <c r="D390" s="33"/>
      <c r="E390" s="34"/>
      <c r="F390" s="34"/>
      <c r="G390" s="35"/>
      <c r="H390" s="34"/>
      <c r="I390" s="37"/>
    </row>
    <row r="391" ht="22.5" customHeight="1">
      <c r="A391" s="30"/>
      <c r="B391" s="31"/>
      <c r="C391" s="32"/>
      <c r="D391" s="33"/>
      <c r="E391" s="34"/>
      <c r="F391" s="34"/>
      <c r="G391" s="35"/>
      <c r="H391" s="34"/>
      <c r="I391" s="37"/>
    </row>
    <row r="392" ht="22.5" customHeight="1">
      <c r="A392" s="30"/>
      <c r="B392" s="31"/>
      <c r="C392" s="32"/>
      <c r="D392" s="33"/>
      <c r="E392" s="34"/>
      <c r="F392" s="34"/>
      <c r="G392" s="35"/>
      <c r="H392" s="34"/>
      <c r="I392" s="37"/>
    </row>
    <row r="393" ht="22.5" customHeight="1">
      <c r="A393" s="30"/>
      <c r="B393" s="39"/>
      <c r="C393" s="32"/>
      <c r="D393" s="33"/>
      <c r="E393" s="34"/>
      <c r="F393" s="34"/>
      <c r="G393" s="35"/>
      <c r="H393" s="34"/>
      <c r="I393" s="37"/>
    </row>
    <row r="394" ht="22.5" customHeight="1">
      <c r="A394" s="30"/>
      <c r="B394" s="39"/>
      <c r="C394" s="32"/>
      <c r="D394" s="33"/>
      <c r="E394" s="34"/>
      <c r="F394" s="34"/>
      <c r="G394" s="35"/>
      <c r="H394" s="34"/>
      <c r="I394" s="37"/>
    </row>
    <row r="395" ht="22.5" customHeight="1">
      <c r="A395" s="30"/>
      <c r="B395" s="39"/>
      <c r="C395" s="32"/>
      <c r="D395" s="33"/>
      <c r="E395" s="34"/>
      <c r="F395" s="34"/>
      <c r="G395" s="35"/>
      <c r="H395" s="34"/>
      <c r="I395" s="37"/>
    </row>
    <row r="396" ht="22.5" customHeight="1">
      <c r="A396" s="30"/>
      <c r="B396" s="40"/>
      <c r="C396" s="32"/>
      <c r="D396" s="33"/>
      <c r="E396" s="34"/>
      <c r="F396" s="34"/>
      <c r="G396" s="35"/>
      <c r="H396" s="34"/>
      <c r="I396" s="37"/>
    </row>
    <row r="397" ht="22.5" customHeight="1">
      <c r="A397" s="30"/>
      <c r="B397" s="31"/>
      <c r="C397" s="32"/>
      <c r="D397" s="33"/>
      <c r="E397" s="34"/>
      <c r="F397" s="34"/>
      <c r="G397" s="35"/>
      <c r="H397" s="34"/>
      <c r="I397" s="37"/>
    </row>
    <row r="398" ht="22.5" customHeight="1">
      <c r="A398" s="30"/>
      <c r="B398" s="31"/>
      <c r="C398" s="32"/>
      <c r="D398" s="33"/>
      <c r="E398" s="34"/>
      <c r="F398" s="34"/>
      <c r="G398" s="35"/>
      <c r="H398" s="34"/>
      <c r="I398" s="37"/>
    </row>
    <row r="399" ht="22.5" customHeight="1">
      <c r="A399" s="30"/>
      <c r="B399" s="31"/>
      <c r="C399" s="32"/>
      <c r="D399" s="33"/>
      <c r="E399" s="34"/>
      <c r="F399" s="34"/>
      <c r="G399" s="35"/>
      <c r="H399" s="34"/>
      <c r="I399" s="37"/>
    </row>
    <row r="400" ht="22.5" customHeight="1">
      <c r="A400" s="30"/>
      <c r="B400" s="31"/>
      <c r="C400" s="32"/>
      <c r="D400" s="33"/>
      <c r="E400" s="34"/>
      <c r="F400" s="34"/>
      <c r="G400" s="35"/>
      <c r="H400" s="34"/>
      <c r="I400" s="37"/>
    </row>
    <row r="401" ht="22.5" customHeight="1">
      <c r="A401" s="30"/>
      <c r="B401" s="31"/>
      <c r="C401" s="32"/>
      <c r="D401" s="33"/>
      <c r="E401" s="34"/>
      <c r="F401" s="34"/>
      <c r="G401" s="35"/>
      <c r="H401" s="34"/>
      <c r="I401" s="37"/>
    </row>
    <row r="402" ht="22.5" customHeight="1">
      <c r="A402" s="30"/>
      <c r="B402" s="31"/>
      <c r="C402" s="32"/>
      <c r="D402" s="33"/>
      <c r="E402" s="34"/>
      <c r="F402" s="34"/>
      <c r="G402" s="35"/>
      <c r="H402" s="34"/>
      <c r="I402" s="37"/>
    </row>
    <row r="403" ht="22.5" customHeight="1">
      <c r="A403" s="30"/>
      <c r="B403" s="31"/>
      <c r="C403" s="32"/>
      <c r="D403" s="33"/>
      <c r="E403" s="34"/>
      <c r="F403" s="34"/>
      <c r="G403" s="35"/>
      <c r="H403" s="34"/>
      <c r="I403" s="37"/>
    </row>
    <row r="404" ht="22.5" customHeight="1">
      <c r="A404" s="30"/>
      <c r="B404" s="31"/>
      <c r="C404" s="32"/>
      <c r="D404" s="33"/>
      <c r="E404" s="34"/>
      <c r="F404" s="34"/>
      <c r="G404" s="35"/>
      <c r="H404" s="34"/>
      <c r="I404" s="37"/>
    </row>
    <row r="405" ht="22.5" customHeight="1">
      <c r="A405" s="30"/>
      <c r="B405" s="31"/>
      <c r="C405" s="32"/>
      <c r="D405" s="33"/>
      <c r="E405" s="34"/>
      <c r="F405" s="34"/>
      <c r="G405" s="35"/>
      <c r="H405" s="34"/>
      <c r="I405" s="37"/>
    </row>
    <row r="406" ht="22.5" customHeight="1">
      <c r="A406" s="30"/>
      <c r="B406" s="40"/>
      <c r="C406" s="32"/>
      <c r="D406" s="33"/>
      <c r="E406" s="34"/>
      <c r="F406" s="34"/>
      <c r="G406" s="35"/>
      <c r="H406" s="34"/>
      <c r="I406" s="37"/>
    </row>
    <row r="407" ht="22.5" customHeight="1">
      <c r="A407" s="30"/>
      <c r="B407" s="31"/>
      <c r="C407" s="32"/>
      <c r="D407" s="33"/>
      <c r="E407" s="34"/>
      <c r="F407" s="34"/>
      <c r="G407" s="35"/>
      <c r="H407" s="34"/>
      <c r="I407" s="37"/>
    </row>
    <row r="408" ht="22.5" customHeight="1">
      <c r="A408" s="30"/>
      <c r="B408" s="31"/>
      <c r="C408" s="32"/>
      <c r="D408" s="33"/>
      <c r="E408" s="34"/>
      <c r="F408" s="34"/>
      <c r="G408" s="35"/>
      <c r="H408" s="34"/>
      <c r="I408" s="37"/>
    </row>
    <row r="409" ht="22.5" customHeight="1">
      <c r="A409" s="30"/>
      <c r="B409" s="31"/>
      <c r="C409" s="32"/>
      <c r="D409" s="33"/>
      <c r="E409" s="34"/>
      <c r="F409" s="34"/>
      <c r="G409" s="35"/>
      <c r="H409" s="34"/>
      <c r="I409" s="37"/>
    </row>
    <row r="410" ht="22.5" customHeight="1">
      <c r="A410" s="30"/>
      <c r="B410" s="40"/>
      <c r="C410" s="32"/>
      <c r="D410" s="33"/>
      <c r="E410" s="34"/>
      <c r="F410" s="34"/>
      <c r="G410" s="35"/>
      <c r="H410" s="34"/>
      <c r="I410" s="37"/>
    </row>
    <row r="411" ht="22.5" customHeight="1">
      <c r="A411" s="30"/>
      <c r="B411" s="31"/>
      <c r="C411" s="32"/>
      <c r="D411" s="33"/>
      <c r="E411" s="34"/>
      <c r="F411" s="34"/>
      <c r="G411" s="35"/>
      <c r="H411" s="34"/>
      <c r="I411" s="37"/>
    </row>
    <row r="412" ht="22.5" customHeight="1">
      <c r="A412" s="30"/>
      <c r="B412" s="31"/>
      <c r="C412" s="32"/>
      <c r="D412" s="33"/>
      <c r="E412" s="34"/>
      <c r="F412" s="34"/>
      <c r="G412" s="35"/>
      <c r="H412" s="34"/>
      <c r="I412" s="37"/>
    </row>
    <row r="413" ht="22.5" customHeight="1">
      <c r="A413" s="30"/>
      <c r="B413" s="31"/>
      <c r="C413" s="32"/>
      <c r="D413" s="33"/>
      <c r="E413" s="34"/>
      <c r="F413" s="34"/>
      <c r="G413" s="35"/>
      <c r="H413" s="34"/>
      <c r="I413" s="37"/>
    </row>
    <row r="414" ht="22.5" customHeight="1">
      <c r="A414" s="30"/>
      <c r="B414" s="31"/>
      <c r="C414" s="32"/>
      <c r="D414" s="33"/>
      <c r="E414" s="34"/>
      <c r="F414" s="34"/>
      <c r="G414" s="35"/>
      <c r="H414" s="34"/>
      <c r="I414" s="37"/>
    </row>
    <row r="415" ht="22.5" customHeight="1">
      <c r="A415" s="30"/>
      <c r="B415" s="31"/>
      <c r="C415" s="32"/>
      <c r="D415" s="33"/>
      <c r="E415" s="34"/>
      <c r="F415" s="34"/>
      <c r="G415" s="35"/>
      <c r="H415" s="34"/>
      <c r="I415" s="37"/>
    </row>
    <row r="416" ht="22.5" customHeight="1">
      <c r="A416" s="30"/>
      <c r="B416" s="31"/>
      <c r="C416" s="32"/>
      <c r="D416" s="33"/>
      <c r="E416" s="34"/>
      <c r="F416" s="34"/>
      <c r="G416" s="35"/>
      <c r="H416" s="34"/>
      <c r="I416" s="37"/>
    </row>
    <row r="417" ht="22.5" customHeight="1">
      <c r="A417" s="30"/>
      <c r="B417" s="31"/>
      <c r="C417" s="32"/>
      <c r="D417" s="33"/>
      <c r="E417" s="34"/>
      <c r="F417" s="34"/>
      <c r="G417" s="35"/>
      <c r="H417" s="34"/>
      <c r="I417" s="37"/>
    </row>
    <row r="418" ht="22.5" customHeight="1">
      <c r="A418" s="30"/>
      <c r="B418" s="31"/>
      <c r="C418" s="32"/>
      <c r="D418" s="33"/>
      <c r="E418" s="34"/>
      <c r="F418" s="34"/>
      <c r="G418" s="35"/>
      <c r="H418" s="34"/>
      <c r="I418" s="37"/>
    </row>
    <row r="419" ht="22.5" customHeight="1">
      <c r="A419" s="30"/>
      <c r="B419" s="31"/>
      <c r="C419" s="32"/>
      <c r="D419" s="33"/>
      <c r="E419" s="34"/>
      <c r="F419" s="34"/>
      <c r="G419" s="35"/>
      <c r="H419" s="34"/>
      <c r="I419" s="37"/>
    </row>
    <row r="420" ht="22.5" customHeight="1">
      <c r="A420" s="30"/>
      <c r="B420" s="31"/>
      <c r="C420" s="32"/>
      <c r="D420" s="33"/>
      <c r="E420" s="34"/>
      <c r="F420" s="34"/>
      <c r="G420" s="35"/>
      <c r="H420" s="34"/>
      <c r="I420" s="37"/>
    </row>
    <row r="421" ht="22.5" customHeight="1">
      <c r="A421" s="30"/>
      <c r="B421" s="31"/>
      <c r="C421" s="32"/>
      <c r="D421" s="33"/>
      <c r="E421" s="34"/>
      <c r="F421" s="34"/>
      <c r="G421" s="35"/>
      <c r="H421" s="34"/>
      <c r="I421" s="37"/>
    </row>
    <row r="422" ht="22.5" customHeight="1">
      <c r="A422" s="30"/>
      <c r="B422" s="31"/>
      <c r="C422" s="32"/>
      <c r="D422" s="33"/>
      <c r="E422" s="34"/>
      <c r="F422" s="34"/>
      <c r="G422" s="35"/>
      <c r="H422" s="34"/>
      <c r="I422" s="37"/>
    </row>
    <row r="423" ht="22.5" customHeight="1">
      <c r="A423" s="30"/>
      <c r="B423" s="31"/>
      <c r="C423" s="32"/>
      <c r="D423" s="33"/>
      <c r="E423" s="34"/>
      <c r="F423" s="34"/>
      <c r="G423" s="35"/>
      <c r="H423" s="34"/>
      <c r="I423" s="37"/>
    </row>
    <row r="424" ht="22.5" customHeight="1">
      <c r="A424" s="30"/>
      <c r="B424" s="31"/>
      <c r="C424" s="32"/>
      <c r="D424" s="33"/>
      <c r="E424" s="34"/>
      <c r="F424" s="34"/>
      <c r="G424" s="35"/>
      <c r="H424" s="34"/>
      <c r="I424" s="37"/>
    </row>
    <row r="425" ht="22.5" customHeight="1">
      <c r="A425" s="30"/>
      <c r="B425" s="40"/>
      <c r="C425" s="32"/>
      <c r="D425" s="33"/>
      <c r="E425" s="34"/>
      <c r="F425" s="34"/>
      <c r="G425" s="35"/>
      <c r="H425" s="34"/>
      <c r="I425" s="37"/>
    </row>
    <row r="426" ht="22.5" customHeight="1">
      <c r="A426" s="30"/>
      <c r="B426" s="31"/>
      <c r="C426" s="32"/>
      <c r="D426" s="33"/>
      <c r="E426" s="34"/>
      <c r="F426" s="34"/>
      <c r="G426" s="35"/>
      <c r="H426" s="34"/>
      <c r="I426" s="37"/>
    </row>
    <row r="427" ht="22.5" customHeight="1">
      <c r="A427" s="30"/>
      <c r="B427" s="40"/>
      <c r="C427" s="32"/>
      <c r="D427" s="33"/>
      <c r="E427" s="34"/>
      <c r="F427" s="34"/>
      <c r="G427" s="35"/>
      <c r="H427" s="34"/>
      <c r="I427" s="37"/>
    </row>
    <row r="428" ht="22.5" customHeight="1">
      <c r="A428" s="30"/>
      <c r="B428" s="31"/>
      <c r="C428" s="32"/>
      <c r="D428" s="33"/>
      <c r="E428" s="34"/>
      <c r="F428" s="34"/>
      <c r="G428" s="35"/>
      <c r="H428" s="34"/>
      <c r="I428" s="37"/>
    </row>
    <row r="429" ht="22.5" customHeight="1">
      <c r="A429" s="30"/>
      <c r="B429" s="31"/>
      <c r="C429" s="32"/>
      <c r="D429" s="33"/>
      <c r="E429" s="34"/>
      <c r="F429" s="34"/>
      <c r="G429" s="35"/>
      <c r="H429" s="34"/>
      <c r="I429" s="37"/>
    </row>
    <row r="430" ht="22.5" customHeight="1">
      <c r="A430" s="30"/>
      <c r="B430" s="31"/>
      <c r="C430" s="32"/>
      <c r="D430" s="33"/>
      <c r="E430" s="34"/>
      <c r="F430" s="34"/>
      <c r="G430" s="35"/>
      <c r="H430" s="34"/>
      <c r="I430" s="37"/>
    </row>
    <row r="431" ht="22.5" customHeight="1">
      <c r="A431" s="30"/>
      <c r="B431" s="31"/>
      <c r="C431" s="32"/>
      <c r="D431" s="33"/>
      <c r="E431" s="34"/>
      <c r="F431" s="34"/>
      <c r="G431" s="35"/>
      <c r="H431" s="34"/>
      <c r="I431" s="37"/>
    </row>
    <row r="432" ht="22.5" customHeight="1">
      <c r="A432" s="30"/>
      <c r="B432" s="40"/>
      <c r="C432" s="32"/>
      <c r="D432" s="33"/>
      <c r="E432" s="34"/>
      <c r="F432" s="34"/>
      <c r="G432" s="35"/>
      <c r="H432" s="34"/>
      <c r="I432" s="37"/>
    </row>
    <row r="433" ht="22.5" customHeight="1">
      <c r="A433" s="30"/>
      <c r="B433" s="31"/>
      <c r="C433" s="32"/>
      <c r="D433" s="33"/>
      <c r="E433" s="34"/>
      <c r="F433" s="34"/>
      <c r="G433" s="35"/>
      <c r="H433" s="34"/>
      <c r="I433" s="37"/>
    </row>
    <row r="434" ht="22.5" customHeight="1">
      <c r="A434" s="30"/>
      <c r="B434" s="31"/>
      <c r="C434" s="32"/>
      <c r="D434" s="33"/>
      <c r="E434" s="34"/>
      <c r="F434" s="34"/>
      <c r="G434" s="35"/>
      <c r="H434" s="34"/>
      <c r="I434" s="37"/>
    </row>
    <row r="435" ht="22.5" customHeight="1">
      <c r="A435" s="30"/>
      <c r="B435" s="31"/>
      <c r="C435" s="32"/>
      <c r="D435" s="33"/>
      <c r="E435" s="34"/>
      <c r="F435" s="34"/>
      <c r="G435" s="35"/>
      <c r="H435" s="34"/>
      <c r="I435" s="37"/>
    </row>
    <row r="436" ht="22.5" customHeight="1">
      <c r="A436" s="30"/>
      <c r="B436" s="31"/>
      <c r="C436" s="32"/>
      <c r="D436" s="33"/>
      <c r="E436" s="34"/>
      <c r="F436" s="34"/>
      <c r="G436" s="35"/>
      <c r="H436" s="34"/>
      <c r="I436" s="37"/>
    </row>
    <row r="437" ht="22.5" customHeight="1">
      <c r="A437" s="30"/>
      <c r="B437" s="31"/>
      <c r="C437" s="32"/>
      <c r="D437" s="33"/>
      <c r="E437" s="34"/>
      <c r="F437" s="34"/>
      <c r="G437" s="35"/>
      <c r="H437" s="34"/>
      <c r="I437" s="37"/>
    </row>
    <row r="438" ht="22.5" customHeight="1">
      <c r="A438" s="30"/>
      <c r="B438" s="31"/>
      <c r="C438" s="32"/>
      <c r="D438" s="33"/>
      <c r="E438" s="34"/>
      <c r="F438" s="34"/>
      <c r="G438" s="35"/>
      <c r="H438" s="34"/>
      <c r="I438" s="37"/>
    </row>
    <row r="439" ht="22.5" customHeight="1">
      <c r="A439" s="30"/>
      <c r="B439" s="31"/>
      <c r="C439" s="32"/>
      <c r="D439" s="33"/>
      <c r="E439" s="34"/>
      <c r="F439" s="34"/>
      <c r="G439" s="35"/>
      <c r="H439" s="34"/>
      <c r="I439" s="37"/>
    </row>
    <row r="440" ht="22.5" customHeight="1">
      <c r="A440" s="30"/>
      <c r="B440" s="31"/>
      <c r="C440" s="32"/>
      <c r="D440" s="33"/>
      <c r="E440" s="34"/>
      <c r="F440" s="34"/>
      <c r="G440" s="35"/>
      <c r="H440" s="34"/>
      <c r="I440" s="37"/>
    </row>
    <row r="441" ht="22.5" customHeight="1">
      <c r="A441" s="30"/>
      <c r="B441" s="31"/>
      <c r="C441" s="32"/>
      <c r="D441" s="33"/>
      <c r="E441" s="34"/>
      <c r="F441" s="34"/>
      <c r="G441" s="35"/>
      <c r="H441" s="34"/>
      <c r="I441" s="37"/>
    </row>
    <row r="442" ht="22.5" customHeight="1">
      <c r="A442" s="30"/>
      <c r="B442" s="31"/>
      <c r="C442" s="32"/>
      <c r="D442" s="33"/>
      <c r="E442" s="34"/>
      <c r="F442" s="34"/>
      <c r="G442" s="35"/>
      <c r="H442" s="34"/>
      <c r="I442" s="37"/>
    </row>
    <row r="443" ht="22.5" customHeight="1">
      <c r="A443" s="30"/>
      <c r="B443" s="31"/>
      <c r="C443" s="32"/>
      <c r="D443" s="33"/>
      <c r="E443" s="34"/>
      <c r="F443" s="34"/>
      <c r="G443" s="35"/>
      <c r="H443" s="34"/>
      <c r="I443" s="37"/>
    </row>
    <row r="444" ht="22.5" customHeight="1">
      <c r="A444" s="30"/>
      <c r="B444" s="31"/>
      <c r="C444" s="32"/>
      <c r="D444" s="33"/>
      <c r="E444" s="34"/>
      <c r="F444" s="34"/>
      <c r="G444" s="35"/>
      <c r="H444" s="34"/>
      <c r="I444" s="37"/>
    </row>
    <row r="445" ht="22.5" customHeight="1">
      <c r="A445" s="30"/>
      <c r="B445" s="31"/>
      <c r="C445" s="32"/>
      <c r="D445" s="33"/>
      <c r="E445" s="34"/>
      <c r="F445" s="34"/>
      <c r="G445" s="35"/>
      <c r="H445" s="34"/>
      <c r="I445" s="37"/>
    </row>
    <row r="446" ht="22.5" customHeight="1">
      <c r="A446" s="30"/>
      <c r="B446" s="31"/>
      <c r="C446" s="32"/>
      <c r="D446" s="33"/>
      <c r="E446" s="34"/>
      <c r="F446" s="34"/>
      <c r="G446" s="35"/>
      <c r="H446" s="34"/>
      <c r="I446" s="37"/>
    </row>
    <row r="447" ht="22.5" customHeight="1">
      <c r="A447" s="30"/>
      <c r="B447" s="31"/>
      <c r="C447" s="32"/>
      <c r="D447" s="33"/>
      <c r="E447" s="34"/>
      <c r="F447" s="34"/>
      <c r="G447" s="35"/>
      <c r="H447" s="34"/>
      <c r="I447" s="37"/>
    </row>
    <row r="448" ht="22.5" customHeight="1">
      <c r="A448" s="30"/>
      <c r="B448" s="31"/>
      <c r="C448" s="32"/>
      <c r="D448" s="33"/>
      <c r="E448" s="34"/>
      <c r="F448" s="34"/>
      <c r="G448" s="35"/>
      <c r="H448" s="34"/>
      <c r="I448" s="37"/>
    </row>
    <row r="449" ht="22.5" customHeight="1">
      <c r="A449" s="30"/>
      <c r="B449" s="31"/>
      <c r="C449" s="32"/>
      <c r="D449" s="33"/>
      <c r="E449" s="34"/>
      <c r="F449" s="34"/>
      <c r="G449" s="35"/>
      <c r="H449" s="34"/>
      <c r="I449" s="37"/>
    </row>
    <row r="450" ht="22.5" customHeight="1">
      <c r="A450" s="30"/>
      <c r="B450" s="31"/>
      <c r="C450" s="32"/>
      <c r="D450" s="33"/>
      <c r="E450" s="34"/>
      <c r="F450" s="34"/>
      <c r="G450" s="35"/>
      <c r="H450" s="34"/>
      <c r="I450" s="37"/>
    </row>
    <row r="451" ht="22.5" customHeight="1">
      <c r="A451" s="30"/>
      <c r="B451" s="31"/>
      <c r="C451" s="32"/>
      <c r="D451" s="33"/>
      <c r="E451" s="34"/>
      <c r="F451" s="34"/>
      <c r="G451" s="35"/>
      <c r="H451" s="34"/>
      <c r="I451" s="37"/>
    </row>
    <row r="452" ht="22.5" customHeight="1">
      <c r="A452" s="30"/>
      <c r="B452" s="31"/>
      <c r="C452" s="32"/>
      <c r="D452" s="33"/>
      <c r="E452" s="34"/>
      <c r="F452" s="34"/>
      <c r="G452" s="35"/>
      <c r="H452" s="34"/>
      <c r="I452" s="37"/>
    </row>
    <row r="453" ht="22.5" customHeight="1">
      <c r="A453" s="30"/>
      <c r="B453" s="31"/>
      <c r="C453" s="32"/>
      <c r="D453" s="33"/>
      <c r="E453" s="34"/>
      <c r="F453" s="34"/>
      <c r="G453" s="35"/>
      <c r="H453" s="34"/>
      <c r="I453" s="37"/>
    </row>
    <row r="454" ht="22.5" customHeight="1">
      <c r="A454" s="30"/>
      <c r="B454" s="40"/>
      <c r="C454" s="32"/>
      <c r="D454" s="33"/>
      <c r="E454" s="34"/>
      <c r="F454" s="34"/>
      <c r="G454" s="35"/>
      <c r="H454" s="34"/>
      <c r="I454" s="37"/>
    </row>
    <row r="455" ht="22.5" customHeight="1">
      <c r="A455" s="30"/>
      <c r="B455" s="31"/>
      <c r="C455" s="32"/>
      <c r="D455" s="33"/>
      <c r="E455" s="34"/>
      <c r="F455" s="34"/>
      <c r="G455" s="35"/>
      <c r="H455" s="34"/>
      <c r="I455" s="37"/>
    </row>
    <row r="456" ht="22.5" customHeight="1">
      <c r="A456" s="30"/>
      <c r="B456" s="31"/>
      <c r="C456" s="32"/>
      <c r="D456" s="33"/>
      <c r="E456" s="34"/>
      <c r="F456" s="34"/>
      <c r="G456" s="35"/>
      <c r="H456" s="34"/>
      <c r="I456" s="37"/>
    </row>
    <row r="457" ht="22.5" customHeight="1">
      <c r="A457" s="30"/>
      <c r="B457" s="31"/>
      <c r="C457" s="32"/>
      <c r="D457" s="33"/>
      <c r="E457" s="34"/>
      <c r="F457" s="34"/>
      <c r="G457" s="35"/>
      <c r="H457" s="34"/>
      <c r="I457" s="37"/>
    </row>
    <row r="458" ht="22.5" customHeight="1">
      <c r="A458" s="30"/>
      <c r="B458" s="31"/>
      <c r="C458" s="32"/>
      <c r="D458" s="33"/>
      <c r="E458" s="34"/>
      <c r="F458" s="34"/>
      <c r="G458" s="35"/>
      <c r="H458" s="34"/>
      <c r="I458" s="38"/>
    </row>
    <row r="459" ht="22.5" customHeight="1">
      <c r="A459" s="30"/>
      <c r="B459" s="39"/>
      <c r="C459" s="32"/>
      <c r="D459" s="33"/>
      <c r="E459" s="34"/>
      <c r="F459" s="34"/>
      <c r="G459" s="35"/>
      <c r="H459" s="34"/>
      <c r="I459" s="37"/>
    </row>
    <row r="460" ht="22.5" customHeight="1">
      <c r="A460" s="30"/>
      <c r="B460" s="31"/>
      <c r="C460" s="32"/>
      <c r="D460" s="33"/>
      <c r="E460" s="34"/>
      <c r="F460" s="34"/>
      <c r="G460" s="35"/>
      <c r="H460" s="34"/>
      <c r="I460" s="37"/>
    </row>
    <row r="461" ht="22.5" customHeight="1">
      <c r="A461" s="30"/>
      <c r="B461" s="31"/>
      <c r="C461" s="32"/>
      <c r="D461" s="33"/>
      <c r="E461" s="34"/>
      <c r="F461" s="34"/>
      <c r="G461" s="35"/>
      <c r="H461" s="34"/>
      <c r="I461" s="37"/>
    </row>
    <row r="462" ht="22.5" customHeight="1">
      <c r="A462" s="30"/>
      <c r="B462" s="31"/>
      <c r="C462" s="32"/>
      <c r="D462" s="33"/>
      <c r="E462" s="34"/>
      <c r="F462" s="34"/>
      <c r="G462" s="35"/>
      <c r="H462" s="34"/>
      <c r="I462" s="37"/>
    </row>
    <row r="463" ht="22.5" customHeight="1">
      <c r="A463" s="30"/>
      <c r="B463" s="39"/>
      <c r="C463" s="32"/>
      <c r="D463" s="33"/>
      <c r="E463" s="34"/>
      <c r="F463" s="34"/>
      <c r="G463" s="35"/>
      <c r="H463" s="34"/>
      <c r="I463" s="37"/>
    </row>
    <row r="464" ht="22.5" customHeight="1">
      <c r="A464" s="30"/>
      <c r="B464" s="31"/>
      <c r="C464" s="32"/>
      <c r="D464" s="33"/>
      <c r="E464" s="34"/>
      <c r="F464" s="34"/>
      <c r="G464" s="35"/>
      <c r="H464" s="34"/>
      <c r="I464" s="37"/>
    </row>
    <row r="465" ht="22.5" customHeight="1">
      <c r="A465" s="30"/>
      <c r="B465" s="39"/>
      <c r="C465" s="32"/>
      <c r="D465" s="33"/>
      <c r="E465" s="34"/>
      <c r="F465" s="34"/>
      <c r="G465" s="35"/>
      <c r="H465" s="34"/>
      <c r="I465" s="37"/>
    </row>
    <row r="466" ht="22.5" customHeight="1">
      <c r="A466" s="30"/>
      <c r="B466" s="31"/>
      <c r="C466" s="32"/>
      <c r="D466" s="33"/>
      <c r="E466" s="34"/>
      <c r="F466" s="34"/>
      <c r="G466" s="35"/>
      <c r="H466" s="34"/>
      <c r="I466" s="37"/>
    </row>
    <row r="467" ht="22.5" customHeight="1">
      <c r="A467" s="30"/>
      <c r="B467" s="31"/>
      <c r="C467" s="32"/>
      <c r="D467" s="33"/>
      <c r="E467" s="34"/>
      <c r="F467" s="34"/>
      <c r="G467" s="35"/>
      <c r="H467" s="34"/>
      <c r="I467" s="37"/>
    </row>
    <row r="468" ht="22.5" customHeight="1">
      <c r="A468" s="30"/>
      <c r="B468" s="31"/>
      <c r="C468" s="32"/>
      <c r="D468" s="33"/>
      <c r="E468" s="34"/>
      <c r="F468" s="34"/>
      <c r="G468" s="35"/>
      <c r="H468" s="34"/>
      <c r="I468" s="37"/>
    </row>
    <row r="469" ht="22.5" customHeight="1">
      <c r="A469" s="30"/>
      <c r="B469" s="31"/>
      <c r="C469" s="32"/>
      <c r="D469" s="33"/>
      <c r="E469" s="34"/>
      <c r="F469" s="34"/>
      <c r="G469" s="35"/>
      <c r="H469" s="34"/>
      <c r="I469" s="37"/>
    </row>
    <row r="470" ht="22.5" customHeight="1">
      <c r="A470" s="30"/>
      <c r="B470" s="31"/>
      <c r="C470" s="32"/>
      <c r="D470" s="33"/>
      <c r="E470" s="34"/>
      <c r="F470" s="34"/>
      <c r="G470" s="35"/>
      <c r="H470" s="34"/>
      <c r="I470" s="37"/>
    </row>
    <row r="471" ht="22.5" customHeight="1">
      <c r="A471" s="30"/>
      <c r="B471" s="31"/>
      <c r="C471" s="32"/>
      <c r="D471" s="33"/>
      <c r="E471" s="34"/>
      <c r="F471" s="34"/>
      <c r="G471" s="35"/>
      <c r="H471" s="34"/>
      <c r="I471" s="37"/>
    </row>
    <row r="472" ht="22.5" customHeight="1">
      <c r="A472" s="30"/>
      <c r="B472" s="31"/>
      <c r="C472" s="32"/>
      <c r="D472" s="33"/>
      <c r="E472" s="34"/>
      <c r="F472" s="34"/>
      <c r="G472" s="35"/>
      <c r="H472" s="34"/>
      <c r="I472" s="37"/>
    </row>
    <row r="473" ht="22.5" customHeight="1">
      <c r="A473" s="30"/>
      <c r="B473" s="31"/>
      <c r="C473" s="32"/>
      <c r="D473" s="33"/>
      <c r="E473" s="34"/>
      <c r="F473" s="34"/>
      <c r="G473" s="35"/>
      <c r="H473" s="34"/>
      <c r="I473" s="37"/>
    </row>
    <row r="474" ht="22.5" customHeight="1">
      <c r="A474" s="30"/>
      <c r="B474" s="31"/>
      <c r="C474" s="32"/>
      <c r="D474" s="33"/>
      <c r="E474" s="34"/>
      <c r="F474" s="34"/>
      <c r="G474" s="35"/>
      <c r="H474" s="34"/>
      <c r="I474" s="37"/>
    </row>
    <row r="475" ht="22.5" customHeight="1">
      <c r="A475" s="30"/>
      <c r="B475" s="31"/>
      <c r="C475" s="32"/>
      <c r="D475" s="33"/>
      <c r="E475" s="34"/>
      <c r="F475" s="34"/>
      <c r="G475" s="35"/>
      <c r="H475" s="34"/>
      <c r="I475" s="37"/>
    </row>
    <row r="476" ht="22.5" customHeight="1">
      <c r="A476" s="30"/>
      <c r="B476" s="40"/>
      <c r="C476" s="32"/>
      <c r="D476" s="33"/>
      <c r="E476" s="34"/>
      <c r="F476" s="34"/>
      <c r="G476" s="35"/>
      <c r="H476" s="34"/>
      <c r="I476" s="37"/>
    </row>
    <row r="477" ht="22.5" customHeight="1">
      <c r="A477" s="30"/>
      <c r="B477" s="31"/>
      <c r="C477" s="32"/>
      <c r="D477" s="33"/>
      <c r="E477" s="34"/>
      <c r="F477" s="34"/>
      <c r="G477" s="35"/>
      <c r="H477" s="34"/>
      <c r="I477" s="37"/>
    </row>
    <row r="478" ht="22.5" customHeight="1">
      <c r="A478" s="30"/>
      <c r="B478" s="31"/>
      <c r="C478" s="32"/>
      <c r="D478" s="33"/>
      <c r="E478" s="34"/>
      <c r="F478" s="34"/>
      <c r="G478" s="35"/>
      <c r="H478" s="34"/>
      <c r="I478" s="37"/>
    </row>
    <row r="479" ht="22.5" customHeight="1">
      <c r="A479" s="30"/>
      <c r="B479" s="31"/>
      <c r="C479" s="32"/>
      <c r="D479" s="33"/>
      <c r="E479" s="34"/>
      <c r="F479" s="34"/>
      <c r="G479" s="35"/>
      <c r="H479" s="34"/>
      <c r="I479" s="37"/>
    </row>
    <row r="480" ht="22.5" customHeight="1">
      <c r="A480" s="30"/>
      <c r="B480" s="31"/>
      <c r="C480" s="32"/>
      <c r="D480" s="33"/>
      <c r="E480" s="34"/>
      <c r="F480" s="34"/>
      <c r="G480" s="35"/>
      <c r="H480" s="34"/>
      <c r="I480" s="37"/>
    </row>
    <row r="481" ht="22.5" customHeight="1">
      <c r="A481" s="30"/>
      <c r="B481" s="31"/>
      <c r="C481" s="32"/>
      <c r="D481" s="33"/>
      <c r="E481" s="34"/>
      <c r="F481" s="34"/>
      <c r="G481" s="35"/>
      <c r="H481" s="34"/>
      <c r="I481" s="37"/>
    </row>
    <row r="482" ht="22.5" customHeight="1">
      <c r="A482" s="30"/>
      <c r="B482" s="31"/>
      <c r="C482" s="32"/>
      <c r="D482" s="33"/>
      <c r="E482" s="34"/>
      <c r="F482" s="34"/>
      <c r="G482" s="35"/>
      <c r="H482" s="34"/>
      <c r="I482" s="37"/>
    </row>
    <row r="483" ht="22.5" customHeight="1">
      <c r="A483" s="30"/>
      <c r="B483" s="39"/>
      <c r="C483" s="32"/>
      <c r="D483" s="33"/>
      <c r="E483" s="34"/>
      <c r="F483" s="34"/>
      <c r="G483" s="35"/>
      <c r="H483" s="34"/>
      <c r="I483" s="37"/>
    </row>
    <row r="484" ht="22.5" customHeight="1">
      <c r="A484" s="30"/>
      <c r="B484" s="39"/>
      <c r="C484" s="32"/>
      <c r="D484" s="33"/>
      <c r="E484" s="34"/>
      <c r="F484" s="34"/>
      <c r="G484" s="35"/>
      <c r="H484" s="34"/>
      <c r="I484" s="37"/>
    </row>
    <row r="485" ht="22.5" customHeight="1">
      <c r="A485" s="30"/>
      <c r="B485" s="39"/>
      <c r="C485" s="32"/>
      <c r="D485" s="33"/>
      <c r="E485" s="34"/>
      <c r="F485" s="34"/>
      <c r="G485" s="35"/>
      <c r="H485" s="34"/>
      <c r="I485" s="37"/>
    </row>
    <row r="486" ht="22.5" customHeight="1">
      <c r="A486" s="30"/>
      <c r="B486" s="40"/>
      <c r="C486" s="32"/>
      <c r="D486" s="33"/>
      <c r="E486" s="34"/>
      <c r="F486" s="34"/>
      <c r="G486" s="35"/>
      <c r="H486" s="34"/>
      <c r="I486" s="37"/>
    </row>
    <row r="487" ht="22.5" customHeight="1">
      <c r="A487" s="30"/>
      <c r="B487" s="31"/>
      <c r="C487" s="32"/>
      <c r="D487" s="33"/>
      <c r="E487" s="34"/>
      <c r="F487" s="34"/>
      <c r="G487" s="35"/>
      <c r="H487" s="34"/>
      <c r="I487" s="37"/>
    </row>
    <row r="488" ht="22.5" customHeight="1">
      <c r="A488" s="30"/>
      <c r="B488" s="31"/>
      <c r="C488" s="32"/>
      <c r="D488" s="33"/>
      <c r="E488" s="34"/>
      <c r="F488" s="34"/>
      <c r="G488" s="35"/>
      <c r="H488" s="34"/>
      <c r="I488" s="37"/>
    </row>
    <row r="489" ht="22.5" customHeight="1">
      <c r="A489" s="30"/>
      <c r="B489" s="31"/>
      <c r="C489" s="32"/>
      <c r="D489" s="33"/>
      <c r="E489" s="34"/>
      <c r="F489" s="34"/>
      <c r="G489" s="35"/>
      <c r="H489" s="34"/>
      <c r="I489" s="37"/>
    </row>
    <row r="490" ht="22.5" customHeight="1">
      <c r="A490" s="30"/>
      <c r="B490" s="31"/>
      <c r="C490" s="32"/>
      <c r="D490" s="33"/>
      <c r="E490" s="34"/>
      <c r="F490" s="34"/>
      <c r="G490" s="35"/>
      <c r="H490" s="34"/>
      <c r="I490" s="37"/>
    </row>
    <row r="491" ht="22.5" customHeight="1">
      <c r="A491" s="30"/>
      <c r="B491" s="31"/>
      <c r="C491" s="32"/>
      <c r="D491" s="33"/>
      <c r="E491" s="34"/>
      <c r="F491" s="34"/>
      <c r="G491" s="35"/>
      <c r="H491" s="34"/>
      <c r="I491" s="37"/>
    </row>
    <row r="492" ht="22.5" customHeight="1">
      <c r="A492" s="30"/>
      <c r="B492" s="31"/>
      <c r="C492" s="32"/>
      <c r="D492" s="33"/>
      <c r="E492" s="34"/>
      <c r="F492" s="34"/>
      <c r="G492" s="35"/>
      <c r="H492" s="34"/>
      <c r="I492" s="37"/>
    </row>
    <row r="493" ht="22.5" customHeight="1">
      <c r="A493" s="30"/>
      <c r="B493" s="31"/>
      <c r="C493" s="32"/>
      <c r="D493" s="33"/>
      <c r="E493" s="34"/>
      <c r="F493" s="34"/>
      <c r="G493" s="35"/>
      <c r="H493" s="34"/>
      <c r="I493" s="37"/>
    </row>
    <row r="494" ht="22.5" customHeight="1">
      <c r="A494" s="30"/>
      <c r="B494" s="31"/>
      <c r="C494" s="32"/>
      <c r="D494" s="33"/>
      <c r="E494" s="34"/>
      <c r="F494" s="34"/>
      <c r="G494" s="35"/>
      <c r="H494" s="34"/>
      <c r="I494" s="37"/>
    </row>
    <row r="495" ht="22.5" customHeight="1">
      <c r="A495" s="30"/>
      <c r="B495" s="31"/>
      <c r="C495" s="32"/>
      <c r="D495" s="33"/>
      <c r="E495" s="34"/>
      <c r="F495" s="34"/>
      <c r="G495" s="35"/>
      <c r="H495" s="34"/>
      <c r="I495" s="37"/>
    </row>
    <row r="496" ht="22.5" customHeight="1">
      <c r="A496" s="30"/>
      <c r="B496" s="40"/>
      <c r="C496" s="32"/>
      <c r="D496" s="33"/>
      <c r="E496" s="34"/>
      <c r="F496" s="34"/>
      <c r="G496" s="35"/>
      <c r="H496" s="34"/>
      <c r="I496" s="37"/>
    </row>
    <row r="497" ht="22.5" customHeight="1">
      <c r="A497" s="30"/>
      <c r="B497" s="31"/>
      <c r="C497" s="32"/>
      <c r="D497" s="33"/>
      <c r="E497" s="34"/>
      <c r="F497" s="34"/>
      <c r="G497" s="35"/>
      <c r="H497" s="34"/>
      <c r="I497" s="37"/>
    </row>
    <row r="498" ht="22.5" customHeight="1">
      <c r="A498" s="30"/>
      <c r="B498" s="31"/>
      <c r="C498" s="32"/>
      <c r="D498" s="33"/>
      <c r="E498" s="34"/>
      <c r="F498" s="34"/>
      <c r="G498" s="35"/>
      <c r="H498" s="34"/>
      <c r="I498" s="37"/>
    </row>
    <row r="499" ht="22.5" customHeight="1">
      <c r="A499" s="30"/>
      <c r="B499" s="31"/>
      <c r="C499" s="32"/>
      <c r="D499" s="33"/>
      <c r="E499" s="34"/>
      <c r="F499" s="34"/>
      <c r="G499" s="35"/>
      <c r="H499" s="34"/>
      <c r="I499" s="37"/>
    </row>
    <row r="500" ht="22.5" customHeight="1">
      <c r="A500" s="30"/>
      <c r="B500" s="40"/>
      <c r="C500" s="32"/>
      <c r="D500" s="33"/>
      <c r="E500" s="34"/>
      <c r="F500" s="34"/>
      <c r="G500" s="35"/>
      <c r="H500" s="34"/>
      <c r="I500" s="37"/>
    </row>
    <row r="501" ht="22.5" customHeight="1">
      <c r="A501" s="30"/>
      <c r="B501" s="31"/>
      <c r="C501" s="32"/>
      <c r="D501" s="33"/>
      <c r="E501" s="34"/>
      <c r="F501" s="34"/>
      <c r="G501" s="35"/>
      <c r="H501" s="34"/>
      <c r="I501" s="37"/>
    </row>
    <row r="502" ht="22.5" customHeight="1">
      <c r="A502" s="30"/>
      <c r="B502" s="31"/>
      <c r="C502" s="32"/>
      <c r="D502" s="33"/>
      <c r="E502" s="34"/>
      <c r="F502" s="34"/>
      <c r="G502" s="35"/>
      <c r="H502" s="34"/>
      <c r="I502" s="37"/>
    </row>
    <row r="503" ht="22.5" customHeight="1">
      <c r="A503" s="30"/>
      <c r="B503" s="31"/>
      <c r="C503" s="32"/>
      <c r="D503" s="33"/>
      <c r="E503" s="34"/>
      <c r="F503" s="34"/>
      <c r="G503" s="35"/>
      <c r="H503" s="34"/>
      <c r="I503" s="37"/>
    </row>
    <row r="504" ht="22.5" customHeight="1">
      <c r="A504" s="30"/>
      <c r="B504" s="31"/>
      <c r="C504" s="32"/>
      <c r="D504" s="33"/>
      <c r="E504" s="34"/>
      <c r="F504" s="34"/>
      <c r="G504" s="35"/>
      <c r="H504" s="34"/>
      <c r="I504" s="37"/>
    </row>
    <row r="505" ht="22.5" customHeight="1">
      <c r="A505" s="30"/>
      <c r="B505" s="31"/>
      <c r="C505" s="32"/>
      <c r="D505" s="33"/>
      <c r="E505" s="34"/>
      <c r="F505" s="34"/>
      <c r="G505" s="35"/>
      <c r="H505" s="34"/>
      <c r="I505" s="37"/>
    </row>
    <row r="506" ht="22.5" customHeight="1">
      <c r="A506" s="30"/>
      <c r="B506" s="31"/>
      <c r="C506" s="32"/>
      <c r="D506" s="33"/>
      <c r="E506" s="34"/>
      <c r="F506" s="34"/>
      <c r="G506" s="35"/>
      <c r="H506" s="34"/>
      <c r="I506" s="37"/>
    </row>
    <row r="507" ht="22.5" customHeight="1">
      <c r="A507" s="30"/>
      <c r="B507" s="31"/>
      <c r="C507" s="32"/>
      <c r="D507" s="33"/>
      <c r="E507" s="34"/>
      <c r="F507" s="34"/>
      <c r="G507" s="35"/>
      <c r="H507" s="34"/>
      <c r="I507" s="37"/>
    </row>
    <row r="508" ht="22.5" customHeight="1">
      <c r="A508" s="30"/>
      <c r="B508" s="31"/>
      <c r="C508" s="32"/>
      <c r="D508" s="33"/>
      <c r="E508" s="34"/>
      <c r="F508" s="34"/>
      <c r="G508" s="35"/>
      <c r="H508" s="34"/>
      <c r="I508" s="37"/>
    </row>
    <row r="509" ht="22.5" customHeight="1">
      <c r="A509" s="30"/>
      <c r="B509" s="31"/>
      <c r="C509" s="32"/>
      <c r="D509" s="33"/>
      <c r="E509" s="34"/>
      <c r="F509" s="34"/>
      <c r="G509" s="35"/>
      <c r="H509" s="34"/>
      <c r="I509" s="37"/>
    </row>
    <row r="510" ht="22.5" customHeight="1">
      <c r="A510" s="30"/>
      <c r="B510" s="31"/>
      <c r="C510" s="32"/>
      <c r="D510" s="33"/>
      <c r="E510" s="34"/>
      <c r="F510" s="34"/>
      <c r="G510" s="35"/>
      <c r="H510" s="34"/>
      <c r="I510" s="37"/>
    </row>
    <row r="511" ht="22.5" customHeight="1">
      <c r="A511" s="30"/>
      <c r="B511" s="31"/>
      <c r="C511" s="32"/>
      <c r="D511" s="33"/>
      <c r="E511" s="34"/>
      <c r="F511" s="34"/>
      <c r="G511" s="35"/>
      <c r="H511" s="34"/>
      <c r="I511" s="37"/>
    </row>
    <row r="512" ht="22.5" customHeight="1">
      <c r="A512" s="30"/>
      <c r="B512" s="31"/>
      <c r="C512" s="32"/>
      <c r="D512" s="33"/>
      <c r="E512" s="34"/>
      <c r="F512" s="34"/>
      <c r="G512" s="35"/>
      <c r="H512" s="34"/>
      <c r="I512" s="37"/>
    </row>
    <row r="513" ht="22.5" customHeight="1">
      <c r="A513" s="30"/>
      <c r="B513" s="31"/>
      <c r="C513" s="32"/>
      <c r="D513" s="33"/>
      <c r="E513" s="34"/>
      <c r="F513" s="34"/>
      <c r="G513" s="35"/>
      <c r="H513" s="34"/>
      <c r="I513" s="37"/>
    </row>
    <row r="514" ht="22.5" customHeight="1">
      <c r="A514" s="30"/>
      <c r="B514" s="31"/>
      <c r="C514" s="32"/>
      <c r="D514" s="33"/>
      <c r="E514" s="34"/>
      <c r="F514" s="34"/>
      <c r="G514" s="35"/>
      <c r="H514" s="34"/>
      <c r="I514" s="37"/>
    </row>
    <row r="515" ht="22.5" customHeight="1">
      <c r="A515" s="30"/>
      <c r="B515" s="40"/>
      <c r="C515" s="32"/>
      <c r="D515" s="33"/>
      <c r="E515" s="34"/>
      <c r="F515" s="34"/>
      <c r="G515" s="35"/>
      <c r="H515" s="34"/>
      <c r="I515" s="37"/>
    </row>
    <row r="516" ht="22.5" customHeight="1">
      <c r="A516" s="30"/>
      <c r="B516" s="31"/>
      <c r="C516" s="32"/>
      <c r="D516" s="33"/>
      <c r="E516" s="34"/>
      <c r="F516" s="34"/>
      <c r="G516" s="35"/>
      <c r="H516" s="34"/>
      <c r="I516" s="37"/>
    </row>
    <row r="517" ht="22.5" customHeight="1">
      <c r="A517" s="30"/>
      <c r="B517" s="40"/>
      <c r="C517" s="32"/>
      <c r="D517" s="33"/>
      <c r="E517" s="34"/>
      <c r="F517" s="34"/>
      <c r="G517" s="35"/>
      <c r="H517" s="34"/>
      <c r="I517" s="37"/>
    </row>
    <row r="518" ht="22.5" customHeight="1">
      <c r="A518" s="30"/>
      <c r="B518" s="31"/>
      <c r="C518" s="32"/>
      <c r="D518" s="33"/>
      <c r="E518" s="34"/>
      <c r="F518" s="34"/>
      <c r="G518" s="35"/>
      <c r="H518" s="34"/>
      <c r="I518" s="37"/>
    </row>
    <row r="519" ht="22.5" customHeight="1">
      <c r="A519" s="30"/>
      <c r="B519" s="31"/>
      <c r="C519" s="32"/>
      <c r="D519" s="33"/>
      <c r="E519" s="34"/>
      <c r="F519" s="34"/>
      <c r="G519" s="35"/>
      <c r="H519" s="34"/>
      <c r="I519" s="37"/>
    </row>
    <row r="520" ht="22.5" customHeight="1">
      <c r="A520" s="30"/>
      <c r="B520" s="31"/>
      <c r="C520" s="32"/>
      <c r="D520" s="33"/>
      <c r="E520" s="34"/>
      <c r="F520" s="34"/>
      <c r="G520" s="35"/>
      <c r="H520" s="34"/>
      <c r="I520" s="37"/>
    </row>
    <row r="521" ht="22.5" customHeight="1">
      <c r="A521" s="30"/>
      <c r="B521" s="31"/>
      <c r="C521" s="32"/>
      <c r="D521" s="33"/>
      <c r="E521" s="34"/>
      <c r="F521" s="34"/>
      <c r="G521" s="35"/>
      <c r="H521" s="34"/>
      <c r="I521" s="37"/>
    </row>
    <row r="522" ht="22.5" customHeight="1">
      <c r="A522" s="30"/>
      <c r="B522" s="40"/>
      <c r="C522" s="32"/>
      <c r="D522" s="33"/>
      <c r="E522" s="34"/>
      <c r="F522" s="34"/>
      <c r="G522" s="35"/>
      <c r="H522" s="34"/>
      <c r="I522" s="37"/>
    </row>
    <row r="523" ht="22.5" customHeight="1">
      <c r="A523" s="30"/>
      <c r="B523" s="31"/>
      <c r="C523" s="32"/>
      <c r="D523" s="33"/>
      <c r="E523" s="34"/>
      <c r="F523" s="34"/>
      <c r="G523" s="35"/>
      <c r="H523" s="34"/>
      <c r="I523" s="37"/>
    </row>
    <row r="524" ht="22.5" customHeight="1">
      <c r="A524" s="30"/>
      <c r="B524" s="31"/>
      <c r="C524" s="32"/>
      <c r="D524" s="33"/>
      <c r="E524" s="34"/>
      <c r="F524" s="34"/>
      <c r="G524" s="35"/>
      <c r="H524" s="34"/>
      <c r="I524" s="37"/>
    </row>
    <row r="525" ht="22.5" customHeight="1">
      <c r="A525" s="30"/>
      <c r="B525" s="31"/>
      <c r="C525" s="32"/>
      <c r="D525" s="33"/>
      <c r="E525" s="34"/>
      <c r="F525" s="34"/>
      <c r="G525" s="35"/>
      <c r="H525" s="34"/>
      <c r="I525" s="37"/>
    </row>
    <row r="526" ht="22.5" customHeight="1">
      <c r="A526" s="30"/>
      <c r="B526" s="31"/>
      <c r="C526" s="32"/>
      <c r="D526" s="33"/>
      <c r="E526" s="34"/>
      <c r="F526" s="34"/>
      <c r="G526" s="35"/>
      <c r="H526" s="34"/>
      <c r="I526" s="37"/>
    </row>
    <row r="527" ht="22.5" customHeight="1">
      <c r="A527" s="30"/>
      <c r="B527" s="31"/>
      <c r="C527" s="32"/>
      <c r="D527" s="33"/>
      <c r="E527" s="34"/>
      <c r="F527" s="34"/>
      <c r="G527" s="35"/>
      <c r="H527" s="34"/>
      <c r="I527" s="37"/>
    </row>
    <row r="528" ht="22.5" customHeight="1">
      <c r="A528" s="30"/>
      <c r="B528" s="31"/>
      <c r="C528" s="32"/>
      <c r="D528" s="33"/>
      <c r="E528" s="34"/>
      <c r="F528" s="34"/>
      <c r="G528" s="35"/>
      <c r="H528" s="34"/>
      <c r="I528" s="37"/>
    </row>
    <row r="529" ht="22.5" customHeight="1">
      <c r="A529" s="30"/>
      <c r="B529" s="31"/>
      <c r="C529" s="32"/>
      <c r="D529" s="33"/>
      <c r="E529" s="34"/>
      <c r="F529" s="34"/>
      <c r="G529" s="35"/>
      <c r="H529" s="34"/>
      <c r="I529" s="37"/>
    </row>
    <row r="530" ht="22.5" customHeight="1">
      <c r="A530" s="30"/>
      <c r="B530" s="31"/>
      <c r="C530" s="32"/>
      <c r="D530" s="33"/>
      <c r="E530" s="34"/>
      <c r="F530" s="34"/>
      <c r="G530" s="35"/>
      <c r="H530" s="34"/>
      <c r="I530" s="37"/>
    </row>
    <row r="531" ht="22.5" customHeight="1">
      <c r="A531" s="30"/>
      <c r="B531" s="31"/>
      <c r="C531" s="32"/>
      <c r="D531" s="33"/>
      <c r="E531" s="34"/>
      <c r="F531" s="34"/>
      <c r="G531" s="35"/>
      <c r="H531" s="34"/>
      <c r="I531" s="37"/>
    </row>
    <row r="532" ht="22.5" customHeight="1">
      <c r="A532" s="30"/>
      <c r="B532" s="31"/>
      <c r="C532" s="32"/>
      <c r="D532" s="33"/>
      <c r="E532" s="34"/>
      <c r="F532" s="34"/>
      <c r="G532" s="35"/>
      <c r="H532" s="34"/>
      <c r="I532" s="37"/>
    </row>
    <row r="533" ht="22.5" customHeight="1">
      <c r="A533" s="30"/>
      <c r="B533" s="31"/>
      <c r="C533" s="32"/>
      <c r="D533" s="33"/>
      <c r="E533" s="34"/>
      <c r="F533" s="34"/>
      <c r="G533" s="35"/>
      <c r="H533" s="34"/>
      <c r="I533" s="37"/>
    </row>
    <row r="534" ht="22.5" customHeight="1">
      <c r="A534" s="30"/>
      <c r="B534" s="31"/>
      <c r="C534" s="32"/>
      <c r="D534" s="33"/>
      <c r="E534" s="34"/>
      <c r="F534" s="34"/>
      <c r="G534" s="35"/>
      <c r="H534" s="34"/>
      <c r="I534" s="37"/>
    </row>
    <row r="535" ht="22.5" customHeight="1">
      <c r="A535" s="30"/>
      <c r="B535" s="31"/>
      <c r="C535" s="32"/>
      <c r="D535" s="33"/>
      <c r="E535" s="34"/>
      <c r="F535" s="34"/>
      <c r="G535" s="35"/>
      <c r="H535" s="34"/>
      <c r="I535" s="37"/>
    </row>
    <row r="536" ht="22.5" customHeight="1">
      <c r="A536" s="30"/>
      <c r="B536" s="31"/>
      <c r="C536" s="32"/>
      <c r="D536" s="33"/>
      <c r="E536" s="34"/>
      <c r="F536" s="34"/>
      <c r="G536" s="35"/>
      <c r="H536" s="34"/>
      <c r="I536" s="37"/>
    </row>
    <row r="537" ht="22.5" customHeight="1">
      <c r="A537" s="30"/>
      <c r="B537" s="31"/>
      <c r="C537" s="32"/>
      <c r="D537" s="33"/>
      <c r="E537" s="34"/>
      <c r="F537" s="34"/>
      <c r="G537" s="35"/>
      <c r="H537" s="34"/>
      <c r="I537" s="37"/>
    </row>
    <row r="538" ht="22.5" customHeight="1">
      <c r="A538" s="30"/>
      <c r="B538" s="31"/>
      <c r="C538" s="32"/>
      <c r="D538" s="33"/>
      <c r="E538" s="34"/>
      <c r="F538" s="34"/>
      <c r="G538" s="35"/>
      <c r="H538" s="34"/>
      <c r="I538" s="37"/>
    </row>
    <row r="539" ht="22.5" customHeight="1">
      <c r="A539" s="30"/>
      <c r="B539" s="31"/>
      <c r="C539" s="32"/>
      <c r="D539" s="33"/>
      <c r="E539" s="34"/>
      <c r="F539" s="34"/>
      <c r="G539" s="35"/>
      <c r="H539" s="34"/>
      <c r="I539" s="37"/>
    </row>
    <row r="540" ht="22.5" customHeight="1">
      <c r="A540" s="30"/>
      <c r="B540" s="31"/>
      <c r="C540" s="32"/>
      <c r="D540" s="33"/>
      <c r="E540" s="34"/>
      <c r="F540" s="34"/>
      <c r="G540" s="35"/>
      <c r="H540" s="34"/>
      <c r="I540" s="37"/>
    </row>
    <row r="541" ht="22.5" customHeight="1">
      <c r="A541" s="30"/>
      <c r="B541" s="31"/>
      <c r="C541" s="32"/>
      <c r="D541" s="33"/>
      <c r="E541" s="34"/>
      <c r="F541" s="34"/>
      <c r="G541" s="35"/>
      <c r="H541" s="34"/>
      <c r="I541" s="37"/>
    </row>
    <row r="542" ht="22.5" customHeight="1">
      <c r="A542" s="30"/>
      <c r="B542" s="31"/>
      <c r="C542" s="32"/>
      <c r="D542" s="33"/>
      <c r="E542" s="34"/>
      <c r="F542" s="34"/>
      <c r="G542" s="35"/>
      <c r="H542" s="34"/>
      <c r="I542" s="37"/>
    </row>
    <row r="543" ht="22.5" customHeight="1">
      <c r="A543" s="30"/>
      <c r="B543" s="31"/>
      <c r="C543" s="32"/>
      <c r="D543" s="33"/>
      <c r="E543" s="34"/>
      <c r="F543" s="34"/>
      <c r="G543" s="35"/>
      <c r="H543" s="34"/>
      <c r="I543" s="37"/>
    </row>
    <row r="544" ht="22.5" customHeight="1">
      <c r="A544" s="30"/>
      <c r="B544" s="40"/>
      <c r="C544" s="32"/>
      <c r="D544" s="33"/>
      <c r="E544" s="34"/>
      <c r="F544" s="34"/>
      <c r="G544" s="35"/>
      <c r="H544" s="34"/>
      <c r="I544" s="37"/>
    </row>
    <row r="545" ht="22.5" customHeight="1">
      <c r="A545" s="30"/>
      <c r="B545" s="31"/>
      <c r="C545" s="32"/>
      <c r="D545" s="33"/>
      <c r="E545" s="34"/>
      <c r="F545" s="34"/>
      <c r="G545" s="35"/>
      <c r="H545" s="34"/>
      <c r="I545" s="37"/>
    </row>
    <row r="546" ht="22.5" customHeight="1">
      <c r="A546" s="30"/>
      <c r="B546" s="31"/>
      <c r="C546" s="32"/>
      <c r="D546" s="33"/>
      <c r="E546" s="34"/>
      <c r="F546" s="34"/>
      <c r="G546" s="35"/>
      <c r="H546" s="34"/>
      <c r="I546" s="37"/>
    </row>
    <row r="547" ht="22.5" customHeight="1">
      <c r="A547" s="30"/>
      <c r="B547" s="31"/>
      <c r="C547" s="32"/>
      <c r="D547" s="33"/>
      <c r="E547" s="34"/>
      <c r="F547" s="34"/>
      <c r="G547" s="35"/>
      <c r="H547" s="34"/>
      <c r="I547" s="37"/>
    </row>
    <row r="548" ht="22.5" customHeight="1">
      <c r="A548" s="30"/>
      <c r="B548" s="31"/>
      <c r="C548" s="32"/>
      <c r="D548" s="33"/>
      <c r="E548" s="34"/>
      <c r="F548" s="34"/>
      <c r="G548" s="35"/>
      <c r="H548" s="34"/>
      <c r="I548" s="38"/>
    </row>
    <row r="549" ht="22.5" customHeight="1">
      <c r="A549" s="30"/>
      <c r="B549" s="39"/>
      <c r="C549" s="32"/>
      <c r="D549" s="33"/>
      <c r="E549" s="34"/>
      <c r="F549" s="34"/>
      <c r="G549" s="35"/>
      <c r="H549" s="34"/>
      <c r="I549" s="37"/>
    </row>
    <row r="550" ht="22.5" customHeight="1">
      <c r="A550" s="30"/>
      <c r="B550" s="31"/>
      <c r="C550" s="32"/>
      <c r="D550" s="33"/>
      <c r="E550" s="34"/>
      <c r="F550" s="34"/>
      <c r="G550" s="35"/>
      <c r="H550" s="34"/>
      <c r="I550" s="37"/>
    </row>
    <row r="551" ht="22.5" customHeight="1">
      <c r="A551" s="30"/>
      <c r="B551" s="31"/>
      <c r="C551" s="32"/>
      <c r="D551" s="33"/>
      <c r="E551" s="34"/>
      <c r="F551" s="34"/>
      <c r="G551" s="35"/>
      <c r="H551" s="34"/>
      <c r="I551" s="37"/>
    </row>
    <row r="552" ht="22.5" customHeight="1">
      <c r="A552" s="30"/>
      <c r="B552" s="31"/>
      <c r="C552" s="32"/>
      <c r="D552" s="33"/>
      <c r="E552" s="34"/>
      <c r="F552" s="34"/>
      <c r="G552" s="35"/>
      <c r="H552" s="34"/>
      <c r="I552" s="37"/>
    </row>
    <row r="553" ht="22.5" customHeight="1">
      <c r="A553" s="30"/>
      <c r="B553" s="39"/>
      <c r="C553" s="32"/>
      <c r="D553" s="33"/>
      <c r="E553" s="34"/>
      <c r="F553" s="34"/>
      <c r="G553" s="35"/>
      <c r="H553" s="34"/>
      <c r="I553" s="37"/>
    </row>
    <row r="554" ht="22.5" customHeight="1">
      <c r="A554" s="30"/>
      <c r="B554" s="31"/>
      <c r="C554" s="32"/>
      <c r="D554" s="33"/>
      <c r="E554" s="34"/>
      <c r="F554" s="34"/>
      <c r="G554" s="35"/>
      <c r="H554" s="34"/>
      <c r="I554" s="37"/>
    </row>
    <row r="555" ht="22.5" customHeight="1">
      <c r="A555" s="30"/>
      <c r="B555" s="39"/>
      <c r="C555" s="32"/>
      <c r="D555" s="33"/>
      <c r="E555" s="34"/>
      <c r="F555" s="34"/>
      <c r="G555" s="35"/>
      <c r="H555" s="34"/>
      <c r="I555" s="37"/>
    </row>
    <row r="556" ht="22.5" customHeight="1">
      <c r="A556" s="30"/>
      <c r="B556" s="31"/>
      <c r="C556" s="32"/>
      <c r="D556" s="33"/>
      <c r="E556" s="34"/>
      <c r="F556" s="34"/>
      <c r="G556" s="35"/>
      <c r="H556" s="34"/>
      <c r="I556" s="37"/>
    </row>
    <row r="557" ht="22.5" customHeight="1">
      <c r="A557" s="30"/>
      <c r="B557" s="31"/>
      <c r="C557" s="32"/>
      <c r="D557" s="33"/>
      <c r="E557" s="34"/>
      <c r="F557" s="34"/>
      <c r="G557" s="35"/>
      <c r="H557" s="34"/>
      <c r="I557" s="37"/>
    </row>
    <row r="558" ht="22.5" customHeight="1">
      <c r="A558" s="30"/>
      <c r="B558" s="31"/>
      <c r="C558" s="32"/>
      <c r="D558" s="33"/>
      <c r="E558" s="34"/>
      <c r="F558" s="34"/>
      <c r="G558" s="35"/>
      <c r="H558" s="34"/>
      <c r="I558" s="37"/>
    </row>
    <row r="559" ht="22.5" customHeight="1">
      <c r="A559" s="30"/>
      <c r="B559" s="31"/>
      <c r="C559" s="32"/>
      <c r="D559" s="33"/>
      <c r="E559" s="34"/>
      <c r="F559" s="34"/>
      <c r="G559" s="35"/>
      <c r="H559" s="34"/>
      <c r="I559" s="37"/>
    </row>
    <row r="560" ht="22.5" customHeight="1">
      <c r="A560" s="30"/>
      <c r="B560" s="31"/>
      <c r="C560" s="32"/>
      <c r="D560" s="33"/>
      <c r="E560" s="34"/>
      <c r="F560" s="34"/>
      <c r="G560" s="35"/>
      <c r="H560" s="34"/>
      <c r="I560" s="37"/>
    </row>
    <row r="561" ht="22.5" customHeight="1">
      <c r="A561" s="30"/>
      <c r="B561" s="31"/>
      <c r="C561" s="32"/>
      <c r="D561" s="33"/>
      <c r="E561" s="34"/>
      <c r="F561" s="34"/>
      <c r="G561" s="35"/>
      <c r="H561" s="34"/>
      <c r="I561" s="37"/>
    </row>
    <row r="562" ht="22.5" customHeight="1">
      <c r="A562" s="30"/>
      <c r="B562" s="31"/>
      <c r="C562" s="32"/>
      <c r="D562" s="33"/>
      <c r="E562" s="34"/>
      <c r="F562" s="34"/>
      <c r="G562" s="35"/>
      <c r="H562" s="34"/>
      <c r="I562" s="37"/>
    </row>
    <row r="563" ht="22.5" customHeight="1">
      <c r="A563" s="30"/>
      <c r="B563" s="31"/>
      <c r="C563" s="32"/>
      <c r="D563" s="33"/>
      <c r="E563" s="34"/>
      <c r="F563" s="34"/>
      <c r="G563" s="35"/>
      <c r="H563" s="34"/>
      <c r="I563" s="37"/>
    </row>
    <row r="564" ht="22.5" customHeight="1">
      <c r="A564" s="30"/>
      <c r="B564" s="31"/>
      <c r="C564" s="32"/>
      <c r="D564" s="33"/>
      <c r="E564" s="34"/>
      <c r="F564" s="34"/>
      <c r="G564" s="35"/>
      <c r="H564" s="34"/>
      <c r="I564" s="37"/>
    </row>
    <row r="565" ht="22.5" customHeight="1">
      <c r="A565" s="30"/>
      <c r="B565" s="31"/>
      <c r="C565" s="32"/>
      <c r="D565" s="33"/>
      <c r="E565" s="34"/>
      <c r="F565" s="34"/>
      <c r="G565" s="35"/>
      <c r="H565" s="34"/>
      <c r="I565" s="37"/>
    </row>
    <row r="566" ht="22.5" customHeight="1">
      <c r="A566" s="30"/>
      <c r="B566" s="40"/>
      <c r="C566" s="32"/>
      <c r="D566" s="33"/>
      <c r="E566" s="34"/>
      <c r="F566" s="34"/>
      <c r="G566" s="35"/>
      <c r="H566" s="34"/>
      <c r="I566" s="37"/>
    </row>
    <row r="567" ht="22.5" customHeight="1">
      <c r="A567" s="30"/>
      <c r="B567" s="31"/>
      <c r="C567" s="32"/>
      <c r="D567" s="33"/>
      <c r="E567" s="34"/>
      <c r="F567" s="34"/>
      <c r="G567" s="35"/>
      <c r="H567" s="34"/>
      <c r="I567" s="37"/>
    </row>
    <row r="568" ht="22.5" customHeight="1">
      <c r="A568" s="30"/>
      <c r="B568" s="31"/>
      <c r="C568" s="32"/>
      <c r="D568" s="33"/>
      <c r="E568" s="34"/>
      <c r="F568" s="34"/>
      <c r="G568" s="35"/>
      <c r="H568" s="34"/>
      <c r="I568" s="37"/>
    </row>
    <row r="569" ht="22.5" customHeight="1">
      <c r="A569" s="30"/>
      <c r="B569" s="31"/>
      <c r="C569" s="32"/>
      <c r="D569" s="33"/>
      <c r="E569" s="34"/>
      <c r="F569" s="34"/>
      <c r="G569" s="35"/>
      <c r="H569" s="34"/>
      <c r="I569" s="37"/>
    </row>
    <row r="570" ht="22.5" customHeight="1">
      <c r="A570" s="30"/>
      <c r="B570" s="31"/>
      <c r="C570" s="32"/>
      <c r="D570" s="33"/>
      <c r="E570" s="34"/>
      <c r="F570" s="34"/>
      <c r="G570" s="35"/>
      <c r="H570" s="34"/>
      <c r="I570" s="37"/>
    </row>
    <row r="571" ht="22.5" customHeight="1">
      <c r="A571" s="30"/>
      <c r="B571" s="31"/>
      <c r="C571" s="32"/>
      <c r="D571" s="33"/>
      <c r="E571" s="34"/>
      <c r="F571" s="34"/>
      <c r="G571" s="35"/>
      <c r="H571" s="34"/>
      <c r="I571" s="37"/>
    </row>
    <row r="572" ht="22.5" customHeight="1">
      <c r="A572" s="30"/>
      <c r="B572" s="31"/>
      <c r="C572" s="32"/>
      <c r="D572" s="33"/>
      <c r="E572" s="34"/>
      <c r="F572" s="34"/>
      <c r="G572" s="35"/>
      <c r="H572" s="34"/>
      <c r="I572" s="37"/>
    </row>
    <row r="573" ht="22.5" customHeight="1">
      <c r="A573" s="30"/>
      <c r="B573" s="39"/>
      <c r="C573" s="32"/>
      <c r="D573" s="33"/>
      <c r="E573" s="34"/>
      <c r="F573" s="34"/>
      <c r="G573" s="35"/>
      <c r="H573" s="34"/>
      <c r="I573" s="37"/>
    </row>
    <row r="574" ht="22.5" customHeight="1">
      <c r="A574" s="30"/>
      <c r="B574" s="39"/>
      <c r="C574" s="32"/>
      <c r="D574" s="33"/>
      <c r="E574" s="34"/>
      <c r="F574" s="34"/>
      <c r="G574" s="35"/>
      <c r="H574" s="34"/>
      <c r="I574" s="37"/>
    </row>
    <row r="575" ht="22.5" customHeight="1">
      <c r="A575" s="30"/>
      <c r="B575" s="39"/>
      <c r="C575" s="32"/>
      <c r="D575" s="33"/>
      <c r="E575" s="34"/>
      <c r="F575" s="34"/>
      <c r="G575" s="35"/>
      <c r="H575" s="34"/>
      <c r="I575" s="37"/>
    </row>
    <row r="576" ht="22.5" customHeight="1">
      <c r="A576" s="30"/>
      <c r="B576" s="40"/>
      <c r="C576" s="32"/>
      <c r="D576" s="33"/>
      <c r="E576" s="34"/>
      <c r="F576" s="34"/>
      <c r="G576" s="35"/>
      <c r="H576" s="34"/>
      <c r="I576" s="37"/>
    </row>
    <row r="577" ht="22.5" customHeight="1">
      <c r="A577" s="30"/>
      <c r="B577" s="31"/>
      <c r="C577" s="32"/>
      <c r="D577" s="33"/>
      <c r="E577" s="34"/>
      <c r="F577" s="34"/>
      <c r="G577" s="35"/>
      <c r="H577" s="34"/>
      <c r="I577" s="37"/>
    </row>
    <row r="578" ht="22.5" customHeight="1">
      <c r="A578" s="30"/>
      <c r="B578" s="31"/>
      <c r="C578" s="32"/>
      <c r="D578" s="33"/>
      <c r="E578" s="34"/>
      <c r="F578" s="34"/>
      <c r="G578" s="35"/>
      <c r="H578" s="34"/>
      <c r="I578" s="37"/>
    </row>
    <row r="579" ht="22.5" customHeight="1">
      <c r="A579" s="30"/>
      <c r="B579" s="31"/>
      <c r="C579" s="32"/>
      <c r="D579" s="33"/>
      <c r="E579" s="34"/>
      <c r="F579" s="34"/>
      <c r="G579" s="35"/>
      <c r="H579" s="34"/>
      <c r="I579" s="37"/>
    </row>
    <row r="580" ht="22.5" customHeight="1">
      <c r="A580" s="30"/>
      <c r="B580" s="31"/>
      <c r="C580" s="32"/>
      <c r="D580" s="33"/>
      <c r="E580" s="34"/>
      <c r="F580" s="34"/>
      <c r="G580" s="35"/>
      <c r="H580" s="34"/>
      <c r="I580" s="37"/>
    </row>
    <row r="581" ht="22.5" customHeight="1">
      <c r="A581" s="30"/>
      <c r="B581" s="31"/>
      <c r="C581" s="32"/>
      <c r="D581" s="33"/>
      <c r="E581" s="34"/>
      <c r="F581" s="34"/>
      <c r="G581" s="35"/>
      <c r="H581" s="34"/>
      <c r="I581" s="37"/>
    </row>
    <row r="582" ht="22.5" customHeight="1">
      <c r="A582" s="30"/>
      <c r="B582" s="31"/>
      <c r="C582" s="32"/>
      <c r="D582" s="33"/>
      <c r="E582" s="34"/>
      <c r="F582" s="34"/>
      <c r="G582" s="35"/>
      <c r="H582" s="34"/>
      <c r="I582" s="37"/>
    </row>
    <row r="583" ht="22.5" customHeight="1">
      <c r="A583" s="30"/>
      <c r="B583" s="31"/>
      <c r="C583" s="32"/>
      <c r="D583" s="33"/>
      <c r="E583" s="34"/>
      <c r="F583" s="34"/>
      <c r="G583" s="35"/>
      <c r="H583" s="34"/>
      <c r="I583" s="37"/>
    </row>
    <row r="584" ht="22.5" customHeight="1">
      <c r="A584" s="30"/>
      <c r="B584" s="31"/>
      <c r="C584" s="32"/>
      <c r="D584" s="33"/>
      <c r="E584" s="34"/>
      <c r="F584" s="34"/>
      <c r="G584" s="35"/>
      <c r="H584" s="34"/>
      <c r="I584" s="37"/>
    </row>
    <row r="585" ht="22.5" customHeight="1">
      <c r="A585" s="30"/>
      <c r="B585" s="31"/>
      <c r="C585" s="32"/>
      <c r="D585" s="33"/>
      <c r="E585" s="34"/>
      <c r="F585" s="34"/>
      <c r="G585" s="35"/>
      <c r="H585" s="34"/>
      <c r="I585" s="37"/>
    </row>
    <row r="586" ht="22.5" customHeight="1">
      <c r="A586" s="30"/>
      <c r="B586" s="40"/>
      <c r="C586" s="32"/>
      <c r="D586" s="33"/>
      <c r="E586" s="34"/>
      <c r="F586" s="34"/>
      <c r="G586" s="35"/>
      <c r="H586" s="34"/>
      <c r="I586" s="37"/>
    </row>
    <row r="587" ht="22.5" customHeight="1">
      <c r="A587" s="30"/>
      <c r="B587" s="31"/>
      <c r="C587" s="32"/>
      <c r="D587" s="33"/>
      <c r="E587" s="34"/>
      <c r="F587" s="34"/>
      <c r="G587" s="35"/>
      <c r="H587" s="34"/>
      <c r="I587" s="37"/>
    </row>
    <row r="588" ht="22.5" customHeight="1">
      <c r="A588" s="30"/>
      <c r="B588" s="31"/>
      <c r="C588" s="32"/>
      <c r="D588" s="33"/>
      <c r="E588" s="34"/>
      <c r="F588" s="34"/>
      <c r="G588" s="35"/>
      <c r="H588" s="34"/>
      <c r="I588" s="37"/>
    </row>
    <row r="589" ht="22.5" customHeight="1">
      <c r="A589" s="30"/>
      <c r="B589" s="31"/>
      <c r="C589" s="32"/>
      <c r="D589" s="33"/>
      <c r="E589" s="34"/>
      <c r="F589" s="34"/>
      <c r="G589" s="35"/>
      <c r="H589" s="34"/>
      <c r="I589" s="37"/>
    </row>
    <row r="590" ht="22.5" customHeight="1">
      <c r="A590" s="30"/>
      <c r="B590" s="40"/>
      <c r="C590" s="32"/>
      <c r="D590" s="33"/>
      <c r="E590" s="34"/>
      <c r="F590" s="34"/>
      <c r="G590" s="35"/>
      <c r="H590" s="34"/>
      <c r="I590" s="37"/>
    </row>
    <row r="591" ht="22.5" customHeight="1">
      <c r="A591" s="30"/>
      <c r="B591" s="31"/>
      <c r="C591" s="32"/>
      <c r="D591" s="33"/>
      <c r="E591" s="34"/>
      <c r="F591" s="34"/>
      <c r="G591" s="35"/>
      <c r="H591" s="34"/>
      <c r="I591" s="37"/>
    </row>
    <row r="592" ht="22.5" customHeight="1">
      <c r="A592" s="30"/>
      <c r="B592" s="31"/>
      <c r="C592" s="32"/>
      <c r="D592" s="33"/>
      <c r="E592" s="34"/>
      <c r="F592" s="34"/>
      <c r="G592" s="35"/>
      <c r="H592" s="34"/>
      <c r="I592" s="37"/>
    </row>
    <row r="593" ht="22.5" customHeight="1">
      <c r="A593" s="30"/>
      <c r="B593" s="31"/>
      <c r="C593" s="32"/>
      <c r="D593" s="33"/>
      <c r="E593" s="34"/>
      <c r="F593" s="34"/>
      <c r="G593" s="35"/>
      <c r="H593" s="34"/>
      <c r="I593" s="37"/>
    </row>
    <row r="594" ht="22.5" customHeight="1">
      <c r="A594" s="30"/>
      <c r="B594" s="31"/>
      <c r="C594" s="32"/>
      <c r="D594" s="33"/>
      <c r="E594" s="34"/>
      <c r="F594" s="34"/>
      <c r="G594" s="35"/>
      <c r="H594" s="34"/>
      <c r="I594" s="37"/>
    </row>
    <row r="595" ht="22.5" customHeight="1">
      <c r="A595" s="30"/>
      <c r="B595" s="31"/>
      <c r="C595" s="32"/>
      <c r="D595" s="33"/>
      <c r="E595" s="34"/>
      <c r="F595" s="34"/>
      <c r="G595" s="35"/>
      <c r="H595" s="34"/>
      <c r="I595" s="37"/>
    </row>
    <row r="596" ht="22.5" customHeight="1">
      <c r="A596" s="30"/>
      <c r="B596" s="31"/>
      <c r="C596" s="32"/>
      <c r="D596" s="33"/>
      <c r="E596" s="34"/>
      <c r="F596" s="34"/>
      <c r="G596" s="35"/>
      <c r="H596" s="34"/>
      <c r="I596" s="37"/>
    </row>
    <row r="597" ht="22.5" customHeight="1">
      <c r="A597" s="30"/>
      <c r="B597" s="31"/>
      <c r="C597" s="32"/>
      <c r="D597" s="33"/>
      <c r="E597" s="34"/>
      <c r="F597" s="34"/>
      <c r="G597" s="35"/>
      <c r="H597" s="34"/>
      <c r="I597" s="37"/>
    </row>
    <row r="598" ht="22.5" customHeight="1">
      <c r="A598" s="30"/>
      <c r="B598" s="31"/>
      <c r="C598" s="32"/>
      <c r="D598" s="33"/>
      <c r="E598" s="34"/>
      <c r="F598" s="34"/>
      <c r="G598" s="35"/>
      <c r="H598" s="34"/>
      <c r="I598" s="37"/>
    </row>
    <row r="599" ht="22.5" customHeight="1">
      <c r="A599" s="30"/>
      <c r="B599" s="31"/>
      <c r="C599" s="32"/>
      <c r="D599" s="33"/>
      <c r="E599" s="34"/>
      <c r="F599" s="34"/>
      <c r="G599" s="35"/>
      <c r="H599" s="34"/>
      <c r="I599" s="37"/>
    </row>
    <row r="600" ht="22.5" customHeight="1">
      <c r="A600" s="30"/>
      <c r="B600" s="31"/>
      <c r="C600" s="32"/>
      <c r="D600" s="33"/>
      <c r="E600" s="34"/>
      <c r="F600" s="34"/>
      <c r="G600" s="35"/>
      <c r="H600" s="34"/>
      <c r="I600" s="37"/>
    </row>
    <row r="601" ht="22.5" customHeight="1">
      <c r="A601" s="30"/>
      <c r="B601" s="31"/>
      <c r="C601" s="32"/>
      <c r="D601" s="33"/>
      <c r="E601" s="34"/>
      <c r="F601" s="34"/>
      <c r="G601" s="35"/>
      <c r="H601" s="34"/>
      <c r="I601" s="37"/>
    </row>
    <row r="602" ht="22.5" customHeight="1">
      <c r="A602" s="30"/>
      <c r="B602" s="31"/>
      <c r="C602" s="32"/>
      <c r="D602" s="33"/>
      <c r="E602" s="34"/>
      <c r="F602" s="34"/>
      <c r="G602" s="35"/>
      <c r="H602" s="34"/>
      <c r="I602" s="37"/>
    </row>
    <row r="603" ht="22.5" customHeight="1">
      <c r="A603" s="30"/>
      <c r="B603" s="31"/>
      <c r="C603" s="32"/>
      <c r="D603" s="33"/>
      <c r="E603" s="34"/>
      <c r="F603" s="34"/>
      <c r="G603" s="35"/>
      <c r="H603" s="34"/>
      <c r="I603" s="37"/>
    </row>
    <row r="604" ht="22.5" customHeight="1">
      <c r="A604" s="30"/>
      <c r="B604" s="31"/>
      <c r="C604" s="32"/>
      <c r="D604" s="33"/>
      <c r="E604" s="34"/>
      <c r="F604" s="34"/>
      <c r="G604" s="35"/>
      <c r="H604" s="34"/>
      <c r="I604" s="37"/>
    </row>
    <row r="605" ht="22.5" customHeight="1">
      <c r="A605" s="30"/>
      <c r="B605" s="40"/>
      <c r="C605" s="32"/>
      <c r="D605" s="33"/>
      <c r="E605" s="34"/>
      <c r="F605" s="34"/>
      <c r="G605" s="35"/>
      <c r="H605" s="34"/>
      <c r="I605" s="37"/>
    </row>
    <row r="606" ht="22.5" customHeight="1">
      <c r="A606" s="30"/>
      <c r="B606" s="31"/>
      <c r="C606" s="32"/>
      <c r="D606" s="33"/>
      <c r="E606" s="34"/>
      <c r="F606" s="34"/>
      <c r="G606" s="35"/>
      <c r="H606" s="34"/>
      <c r="I606" s="37"/>
    </row>
    <row r="607" ht="22.5" customHeight="1">
      <c r="A607" s="30"/>
      <c r="B607" s="40"/>
      <c r="C607" s="32"/>
      <c r="D607" s="33"/>
      <c r="E607" s="34"/>
      <c r="F607" s="34"/>
      <c r="G607" s="35"/>
      <c r="H607" s="34"/>
      <c r="I607" s="37"/>
    </row>
    <row r="608" ht="22.5" customHeight="1">
      <c r="A608" s="30"/>
      <c r="B608" s="31"/>
      <c r="C608" s="32"/>
      <c r="D608" s="33"/>
      <c r="E608" s="34"/>
      <c r="F608" s="34"/>
      <c r="G608" s="35"/>
      <c r="H608" s="34"/>
      <c r="I608" s="37"/>
    </row>
    <row r="609" ht="22.5" customHeight="1">
      <c r="A609" s="30"/>
      <c r="B609" s="31"/>
      <c r="C609" s="32"/>
      <c r="D609" s="33"/>
      <c r="E609" s="34"/>
      <c r="F609" s="34"/>
      <c r="G609" s="35"/>
      <c r="H609" s="34"/>
      <c r="I609" s="37"/>
    </row>
    <row r="610" ht="22.5" customHeight="1">
      <c r="A610" s="30"/>
      <c r="B610" s="31"/>
      <c r="C610" s="32"/>
      <c r="D610" s="33"/>
      <c r="E610" s="34"/>
      <c r="F610" s="34"/>
      <c r="G610" s="35"/>
      <c r="H610" s="34"/>
      <c r="I610" s="37"/>
    </row>
    <row r="611" ht="22.5" customHeight="1">
      <c r="A611" s="30"/>
      <c r="B611" s="31"/>
      <c r="C611" s="32"/>
      <c r="D611" s="33"/>
      <c r="E611" s="34"/>
      <c r="F611" s="34"/>
      <c r="G611" s="35"/>
      <c r="H611" s="34"/>
      <c r="I611" s="37"/>
    </row>
    <row r="612" ht="22.5" customHeight="1">
      <c r="A612" s="30"/>
      <c r="B612" s="40"/>
      <c r="C612" s="32"/>
      <c r="D612" s="33"/>
      <c r="E612" s="34"/>
      <c r="F612" s="34"/>
      <c r="G612" s="35"/>
      <c r="H612" s="34"/>
      <c r="I612" s="37"/>
    </row>
    <row r="613" ht="22.5" customHeight="1">
      <c r="A613" s="30"/>
      <c r="B613" s="31"/>
      <c r="C613" s="32"/>
      <c r="D613" s="33"/>
      <c r="E613" s="34"/>
      <c r="F613" s="34"/>
      <c r="G613" s="35"/>
      <c r="H613" s="34"/>
      <c r="I613" s="37"/>
    </row>
    <row r="614" ht="22.5" customHeight="1">
      <c r="A614" s="30"/>
      <c r="B614" s="31"/>
      <c r="C614" s="32"/>
      <c r="D614" s="33"/>
      <c r="E614" s="34"/>
      <c r="F614" s="34"/>
      <c r="G614" s="35"/>
      <c r="H614" s="34"/>
      <c r="I614" s="37"/>
    </row>
    <row r="615" ht="22.5" customHeight="1">
      <c r="A615" s="30"/>
      <c r="B615" s="31"/>
      <c r="C615" s="32"/>
      <c r="D615" s="33"/>
      <c r="E615" s="34"/>
      <c r="F615" s="34"/>
      <c r="G615" s="35"/>
      <c r="H615" s="34"/>
      <c r="I615" s="37"/>
    </row>
    <row r="616" ht="22.5" customHeight="1">
      <c r="A616" s="30"/>
      <c r="B616" s="31"/>
      <c r="C616" s="32"/>
      <c r="D616" s="33"/>
      <c r="E616" s="34"/>
      <c r="F616" s="34"/>
      <c r="G616" s="35"/>
      <c r="H616" s="34"/>
      <c r="I616" s="37"/>
    </row>
    <row r="617" ht="22.5" customHeight="1">
      <c r="A617" s="30"/>
      <c r="B617" s="31"/>
      <c r="C617" s="32"/>
      <c r="D617" s="33"/>
      <c r="E617" s="34"/>
      <c r="F617" s="34"/>
      <c r="G617" s="35"/>
      <c r="H617" s="34"/>
      <c r="I617" s="37"/>
    </row>
    <row r="618" ht="22.5" customHeight="1">
      <c r="A618" s="30"/>
      <c r="B618" s="31"/>
      <c r="C618" s="32"/>
      <c r="D618" s="33"/>
      <c r="E618" s="34"/>
      <c r="F618" s="34"/>
      <c r="G618" s="35"/>
      <c r="H618" s="34"/>
      <c r="I618" s="37"/>
    </row>
    <row r="619" ht="22.5" customHeight="1">
      <c r="A619" s="30"/>
      <c r="B619" s="31"/>
      <c r="C619" s="32"/>
      <c r="D619" s="33"/>
      <c r="E619" s="34"/>
      <c r="F619" s="34"/>
      <c r="G619" s="35"/>
      <c r="H619" s="34"/>
      <c r="I619" s="37"/>
    </row>
    <row r="620" ht="22.5" customHeight="1">
      <c r="A620" s="30"/>
      <c r="B620" s="31"/>
      <c r="C620" s="32"/>
      <c r="D620" s="33"/>
      <c r="E620" s="34"/>
      <c r="F620" s="34"/>
      <c r="G620" s="35"/>
      <c r="H620" s="34"/>
      <c r="I620" s="37"/>
    </row>
    <row r="621" ht="22.5" customHeight="1">
      <c r="A621" s="30"/>
      <c r="B621" s="31"/>
      <c r="C621" s="32"/>
      <c r="D621" s="33"/>
      <c r="E621" s="34"/>
      <c r="F621" s="34"/>
      <c r="G621" s="35"/>
      <c r="H621" s="34"/>
      <c r="I621" s="37"/>
    </row>
    <row r="622" ht="22.5" customHeight="1">
      <c r="A622" s="30"/>
      <c r="B622" s="31"/>
      <c r="C622" s="32"/>
      <c r="D622" s="33"/>
      <c r="E622" s="34"/>
      <c r="F622" s="34"/>
      <c r="G622" s="35"/>
      <c r="H622" s="34"/>
      <c r="I622" s="37"/>
    </row>
    <row r="623" ht="22.5" customHeight="1">
      <c r="A623" s="30"/>
      <c r="B623" s="31"/>
      <c r="C623" s="32"/>
      <c r="D623" s="33"/>
      <c r="E623" s="34"/>
      <c r="F623" s="34"/>
      <c r="G623" s="35"/>
      <c r="H623" s="34"/>
      <c r="I623" s="37"/>
    </row>
    <row r="624" ht="22.5" customHeight="1">
      <c r="A624" s="30"/>
      <c r="B624" s="31"/>
      <c r="C624" s="32"/>
      <c r="D624" s="33"/>
      <c r="E624" s="34"/>
      <c r="F624" s="34"/>
      <c r="G624" s="35"/>
      <c r="H624" s="34"/>
      <c r="I624" s="37"/>
    </row>
    <row r="625" ht="22.5" customHeight="1">
      <c r="A625" s="30"/>
      <c r="B625" s="31"/>
      <c r="C625" s="32"/>
      <c r="D625" s="33"/>
      <c r="E625" s="34"/>
      <c r="F625" s="34"/>
      <c r="G625" s="35"/>
      <c r="H625" s="34"/>
      <c r="I625" s="37"/>
    </row>
    <row r="626" ht="22.5" customHeight="1">
      <c r="A626" s="30"/>
      <c r="B626" s="31"/>
      <c r="C626" s="32"/>
      <c r="D626" s="33"/>
      <c r="E626" s="34"/>
      <c r="F626" s="34"/>
      <c r="G626" s="35"/>
      <c r="H626" s="34"/>
      <c r="I626" s="37"/>
    </row>
    <row r="627" ht="22.5" customHeight="1">
      <c r="A627" s="30"/>
      <c r="B627" s="31"/>
      <c r="C627" s="32"/>
      <c r="D627" s="33"/>
      <c r="E627" s="34"/>
      <c r="F627" s="34"/>
      <c r="G627" s="35"/>
      <c r="H627" s="34"/>
      <c r="I627" s="37"/>
    </row>
    <row r="628" ht="22.5" customHeight="1">
      <c r="A628" s="30"/>
      <c r="B628" s="31"/>
      <c r="C628" s="32"/>
      <c r="D628" s="33"/>
      <c r="E628" s="34"/>
      <c r="F628" s="34"/>
      <c r="G628" s="35"/>
      <c r="H628" s="34"/>
      <c r="I628" s="37"/>
    </row>
    <row r="629" ht="22.5" customHeight="1">
      <c r="A629" s="30"/>
      <c r="B629" s="31"/>
      <c r="C629" s="32"/>
      <c r="D629" s="33"/>
      <c r="E629" s="34"/>
      <c r="F629" s="34"/>
      <c r="G629" s="35"/>
      <c r="H629" s="34"/>
      <c r="I629" s="37"/>
    </row>
    <row r="630" ht="22.5" customHeight="1">
      <c r="A630" s="30"/>
      <c r="B630" s="31"/>
      <c r="C630" s="32"/>
      <c r="D630" s="33"/>
      <c r="E630" s="34"/>
      <c r="F630" s="34"/>
      <c r="G630" s="35"/>
      <c r="H630" s="34"/>
      <c r="I630" s="37"/>
    </row>
    <row r="631" ht="22.5" customHeight="1">
      <c r="A631" s="30"/>
      <c r="B631" s="31"/>
      <c r="C631" s="32"/>
      <c r="D631" s="33"/>
      <c r="E631" s="34"/>
      <c r="F631" s="34"/>
      <c r="G631" s="35"/>
      <c r="H631" s="34"/>
      <c r="I631" s="37"/>
    </row>
    <row r="632" ht="22.5" customHeight="1">
      <c r="A632" s="30"/>
      <c r="B632" s="31"/>
      <c r="C632" s="32"/>
      <c r="D632" s="33"/>
      <c r="E632" s="34"/>
      <c r="F632" s="34"/>
      <c r="G632" s="35"/>
      <c r="H632" s="34"/>
      <c r="I632" s="37"/>
    </row>
    <row r="633" ht="22.5" customHeight="1">
      <c r="A633" s="30"/>
      <c r="B633" s="31"/>
      <c r="C633" s="32"/>
      <c r="D633" s="33"/>
      <c r="E633" s="34"/>
      <c r="F633" s="34"/>
      <c r="G633" s="35"/>
      <c r="H633" s="34"/>
      <c r="I633" s="37"/>
    </row>
    <row r="634" ht="22.5" customHeight="1">
      <c r="A634" s="30"/>
      <c r="B634" s="40"/>
      <c r="C634" s="32"/>
      <c r="D634" s="33"/>
      <c r="E634" s="34"/>
      <c r="F634" s="34"/>
      <c r="G634" s="35"/>
      <c r="H634" s="34"/>
      <c r="I634" s="37"/>
    </row>
    <row r="635" ht="22.5" customHeight="1">
      <c r="A635" s="30"/>
      <c r="B635" s="31"/>
      <c r="C635" s="32"/>
      <c r="D635" s="33"/>
      <c r="E635" s="34"/>
      <c r="F635" s="34"/>
      <c r="G635" s="35"/>
      <c r="H635" s="34"/>
      <c r="I635" s="37"/>
    </row>
    <row r="636" ht="22.5" customHeight="1">
      <c r="A636" s="30"/>
      <c r="B636" s="31"/>
      <c r="C636" s="32"/>
      <c r="D636" s="33"/>
      <c r="E636" s="34"/>
      <c r="F636" s="34"/>
      <c r="G636" s="35"/>
      <c r="H636" s="34"/>
      <c r="I636" s="37"/>
    </row>
    <row r="637" ht="22.5" customHeight="1">
      <c r="A637" s="30"/>
      <c r="B637" s="31"/>
      <c r="C637" s="32"/>
      <c r="D637" s="33"/>
      <c r="E637" s="34"/>
      <c r="F637" s="34"/>
      <c r="G637" s="35"/>
      <c r="H637" s="34"/>
      <c r="I637" s="37"/>
    </row>
    <row r="638" ht="22.5" customHeight="1">
      <c r="A638" s="30"/>
      <c r="B638" s="31"/>
      <c r="C638" s="32"/>
      <c r="D638" s="33"/>
      <c r="E638" s="34"/>
      <c r="F638" s="34"/>
      <c r="G638" s="35"/>
      <c r="H638" s="34"/>
      <c r="I638" s="38"/>
    </row>
    <row r="639" ht="22.5" customHeight="1">
      <c r="A639" s="30"/>
      <c r="B639" s="39"/>
      <c r="C639" s="32"/>
      <c r="D639" s="33"/>
      <c r="E639" s="34"/>
      <c r="F639" s="34"/>
      <c r="G639" s="35"/>
      <c r="H639" s="34"/>
      <c r="I639" s="37"/>
    </row>
    <row r="640" ht="22.5" customHeight="1">
      <c r="A640" s="30"/>
      <c r="B640" s="31"/>
      <c r="C640" s="32"/>
      <c r="D640" s="33"/>
      <c r="E640" s="34"/>
      <c r="F640" s="34"/>
      <c r="G640" s="35"/>
      <c r="H640" s="34"/>
      <c r="I640" s="37"/>
    </row>
    <row r="641" ht="22.5" customHeight="1">
      <c r="A641" s="30"/>
      <c r="B641" s="31"/>
      <c r="C641" s="32"/>
      <c r="D641" s="33"/>
      <c r="E641" s="34"/>
      <c r="F641" s="34"/>
      <c r="G641" s="35"/>
      <c r="H641" s="34"/>
      <c r="I641" s="37"/>
    </row>
    <row r="642" ht="22.5" customHeight="1">
      <c r="A642" s="30"/>
      <c r="B642" s="31"/>
      <c r="C642" s="32"/>
      <c r="D642" s="33"/>
      <c r="E642" s="34"/>
      <c r="F642" s="34"/>
      <c r="G642" s="35"/>
      <c r="H642" s="34"/>
      <c r="I642" s="37"/>
    </row>
    <row r="643" ht="22.5" customHeight="1">
      <c r="A643" s="30"/>
      <c r="B643" s="39"/>
      <c r="C643" s="32"/>
      <c r="D643" s="33"/>
      <c r="E643" s="34"/>
      <c r="F643" s="34"/>
      <c r="G643" s="35"/>
      <c r="H643" s="34"/>
      <c r="I643" s="37"/>
    </row>
    <row r="644" ht="22.5" customHeight="1">
      <c r="A644" s="30"/>
      <c r="B644" s="31"/>
      <c r="C644" s="32"/>
      <c r="D644" s="33"/>
      <c r="E644" s="34"/>
      <c r="F644" s="34"/>
      <c r="G644" s="35"/>
      <c r="H644" s="34"/>
      <c r="I644" s="37"/>
    </row>
    <row r="645" ht="22.5" customHeight="1">
      <c r="A645" s="30"/>
      <c r="B645" s="39"/>
      <c r="C645" s="32"/>
      <c r="D645" s="33"/>
      <c r="E645" s="34"/>
      <c r="F645" s="34"/>
      <c r="G645" s="35"/>
      <c r="H645" s="34"/>
      <c r="I645" s="37"/>
    </row>
    <row r="646" ht="22.5" customHeight="1">
      <c r="A646" s="30"/>
      <c r="B646" s="31"/>
      <c r="C646" s="32"/>
      <c r="D646" s="33"/>
      <c r="E646" s="34"/>
      <c r="F646" s="34"/>
      <c r="G646" s="35"/>
      <c r="H646" s="34"/>
      <c r="I646" s="37"/>
    </row>
    <row r="647" ht="22.5" customHeight="1">
      <c r="A647" s="30"/>
      <c r="B647" s="31"/>
      <c r="C647" s="32"/>
      <c r="D647" s="33"/>
      <c r="E647" s="34"/>
      <c r="F647" s="34"/>
      <c r="G647" s="35"/>
      <c r="H647" s="34"/>
      <c r="I647" s="37"/>
    </row>
    <row r="648" ht="22.5" customHeight="1">
      <c r="A648" s="30"/>
      <c r="B648" s="31"/>
      <c r="C648" s="32"/>
      <c r="D648" s="33"/>
      <c r="E648" s="34"/>
      <c r="F648" s="34"/>
      <c r="G648" s="35"/>
      <c r="H648" s="34"/>
      <c r="I648" s="37"/>
    </row>
    <row r="649" ht="22.5" customHeight="1">
      <c r="A649" s="30"/>
      <c r="B649" s="31"/>
      <c r="C649" s="32"/>
      <c r="D649" s="33"/>
      <c r="E649" s="34"/>
      <c r="F649" s="34"/>
      <c r="G649" s="35"/>
      <c r="H649" s="34"/>
      <c r="I649" s="37"/>
    </row>
    <row r="650" ht="22.5" customHeight="1">
      <c r="A650" s="30"/>
      <c r="B650" s="31"/>
      <c r="C650" s="32"/>
      <c r="D650" s="33"/>
      <c r="E650" s="34"/>
      <c r="F650" s="34"/>
      <c r="G650" s="35"/>
      <c r="H650" s="34"/>
      <c r="I650" s="37"/>
    </row>
    <row r="651" ht="22.5" customHeight="1">
      <c r="A651" s="30"/>
      <c r="B651" s="31"/>
      <c r="C651" s="32"/>
      <c r="D651" s="33"/>
      <c r="E651" s="34"/>
      <c r="F651" s="34"/>
      <c r="G651" s="35"/>
      <c r="H651" s="34"/>
      <c r="I651" s="37"/>
    </row>
    <row r="652" ht="22.5" customHeight="1">
      <c r="A652" s="30"/>
      <c r="B652" s="31"/>
      <c r="C652" s="32"/>
      <c r="D652" s="33"/>
      <c r="E652" s="34"/>
      <c r="F652" s="34"/>
      <c r="G652" s="35"/>
      <c r="H652" s="34"/>
      <c r="I652" s="37"/>
    </row>
    <row r="653" ht="22.5" customHeight="1">
      <c r="A653" s="30"/>
      <c r="B653" s="31"/>
      <c r="C653" s="32"/>
      <c r="D653" s="33"/>
      <c r="E653" s="34"/>
      <c r="F653" s="34"/>
      <c r="G653" s="35"/>
      <c r="H653" s="34"/>
      <c r="I653" s="37"/>
    </row>
    <row r="654" ht="22.5" customHeight="1">
      <c r="A654" s="30"/>
      <c r="B654" s="31"/>
      <c r="C654" s="32"/>
      <c r="D654" s="33"/>
      <c r="E654" s="34"/>
      <c r="F654" s="34"/>
      <c r="G654" s="35"/>
      <c r="H654" s="34"/>
      <c r="I654" s="37"/>
    </row>
    <row r="655" ht="22.5" customHeight="1">
      <c r="A655" s="30"/>
      <c r="B655" s="31"/>
      <c r="C655" s="32"/>
      <c r="D655" s="33"/>
      <c r="E655" s="34"/>
      <c r="F655" s="34"/>
      <c r="G655" s="35"/>
      <c r="H655" s="34"/>
      <c r="I655" s="37"/>
    </row>
    <row r="656" ht="22.5" customHeight="1">
      <c r="A656" s="30"/>
      <c r="B656" s="40"/>
      <c r="C656" s="32"/>
      <c r="D656" s="33"/>
      <c r="E656" s="34"/>
      <c r="F656" s="34"/>
      <c r="G656" s="35"/>
      <c r="H656" s="34"/>
      <c r="I656" s="37"/>
    </row>
    <row r="657" ht="22.5" customHeight="1">
      <c r="A657" s="30"/>
      <c r="B657" s="31"/>
      <c r="C657" s="32"/>
      <c r="D657" s="33"/>
      <c r="E657" s="34"/>
      <c r="F657" s="34"/>
      <c r="G657" s="35"/>
      <c r="H657" s="34"/>
      <c r="I657" s="37"/>
    </row>
    <row r="658" ht="22.5" customHeight="1">
      <c r="A658" s="30"/>
      <c r="B658" s="31"/>
      <c r="C658" s="32"/>
      <c r="D658" s="33"/>
      <c r="E658" s="34"/>
      <c r="F658" s="34"/>
      <c r="G658" s="35"/>
      <c r="H658" s="34"/>
      <c r="I658" s="37"/>
    </row>
    <row r="659" ht="22.5" customHeight="1">
      <c r="A659" s="30"/>
      <c r="B659" s="31"/>
      <c r="C659" s="32"/>
      <c r="D659" s="33"/>
      <c r="E659" s="34"/>
      <c r="F659" s="34"/>
      <c r="G659" s="35"/>
      <c r="H659" s="34"/>
      <c r="I659" s="37"/>
    </row>
    <row r="660" ht="22.5" customHeight="1">
      <c r="A660" s="30"/>
      <c r="B660" s="31"/>
      <c r="C660" s="32"/>
      <c r="D660" s="33"/>
      <c r="E660" s="34"/>
      <c r="F660" s="34"/>
      <c r="G660" s="35"/>
      <c r="H660" s="34"/>
      <c r="I660" s="37"/>
    </row>
    <row r="661" ht="22.5" customHeight="1">
      <c r="A661" s="30"/>
      <c r="B661" s="31"/>
      <c r="C661" s="32"/>
      <c r="D661" s="33"/>
      <c r="E661" s="34"/>
      <c r="F661" s="34"/>
      <c r="G661" s="35"/>
      <c r="H661" s="34"/>
      <c r="I661" s="37"/>
    </row>
    <row r="662" ht="22.5" customHeight="1">
      <c r="A662" s="30"/>
      <c r="B662" s="31"/>
      <c r="C662" s="32"/>
      <c r="D662" s="33"/>
      <c r="E662" s="34"/>
      <c r="F662" s="34"/>
      <c r="G662" s="35"/>
      <c r="H662" s="34"/>
      <c r="I662" s="37"/>
    </row>
    <row r="663" ht="22.5" customHeight="1">
      <c r="A663" s="30"/>
      <c r="B663" s="39"/>
      <c r="C663" s="32"/>
      <c r="D663" s="33"/>
      <c r="E663" s="34"/>
      <c r="F663" s="34"/>
      <c r="G663" s="35"/>
      <c r="H663" s="34"/>
      <c r="I663" s="37"/>
    </row>
    <row r="664" ht="22.5" customHeight="1">
      <c r="A664" s="30"/>
      <c r="B664" s="39"/>
      <c r="C664" s="32"/>
      <c r="D664" s="33"/>
      <c r="E664" s="34"/>
      <c r="F664" s="34"/>
      <c r="G664" s="35"/>
      <c r="H664" s="34"/>
      <c r="I664" s="37"/>
    </row>
    <row r="665" ht="22.5" customHeight="1">
      <c r="A665" s="30"/>
      <c r="B665" s="39"/>
      <c r="C665" s="32"/>
      <c r="D665" s="33"/>
      <c r="E665" s="34"/>
      <c r="F665" s="34"/>
      <c r="G665" s="35"/>
      <c r="H665" s="34"/>
      <c r="I665" s="37"/>
    </row>
    <row r="666" ht="22.5" customHeight="1">
      <c r="A666" s="30"/>
      <c r="B666" s="40"/>
      <c r="C666" s="32"/>
      <c r="D666" s="33"/>
      <c r="E666" s="34"/>
      <c r="F666" s="34"/>
      <c r="G666" s="35"/>
      <c r="H666" s="34"/>
      <c r="I666" s="37"/>
    </row>
    <row r="667" ht="22.5" customHeight="1">
      <c r="A667" s="30"/>
      <c r="B667" s="31"/>
      <c r="C667" s="32"/>
      <c r="D667" s="33"/>
      <c r="E667" s="34"/>
      <c r="F667" s="34"/>
      <c r="G667" s="35"/>
      <c r="H667" s="34"/>
      <c r="I667" s="37"/>
    </row>
    <row r="668" ht="22.5" customHeight="1">
      <c r="A668" s="30"/>
      <c r="B668" s="31"/>
      <c r="C668" s="32"/>
      <c r="D668" s="33"/>
      <c r="E668" s="34"/>
      <c r="F668" s="34"/>
      <c r="G668" s="35"/>
      <c r="H668" s="34"/>
      <c r="I668" s="37"/>
    </row>
    <row r="669" ht="22.5" customHeight="1">
      <c r="A669" s="30"/>
      <c r="B669" s="31"/>
      <c r="C669" s="32"/>
      <c r="D669" s="33"/>
      <c r="E669" s="34"/>
      <c r="F669" s="34"/>
      <c r="G669" s="35"/>
      <c r="H669" s="34"/>
      <c r="I669" s="37"/>
    </row>
    <row r="670" ht="22.5" customHeight="1">
      <c r="A670" s="30"/>
      <c r="B670" s="31"/>
      <c r="C670" s="32"/>
      <c r="D670" s="33"/>
      <c r="E670" s="34"/>
      <c r="F670" s="34"/>
      <c r="G670" s="35"/>
      <c r="H670" s="34"/>
      <c r="I670" s="37"/>
    </row>
    <row r="671" ht="22.5" customHeight="1">
      <c r="A671" s="30"/>
      <c r="B671" s="31"/>
      <c r="C671" s="32"/>
      <c r="D671" s="33"/>
      <c r="E671" s="34"/>
      <c r="F671" s="34"/>
      <c r="G671" s="35"/>
      <c r="H671" s="34"/>
      <c r="I671" s="37"/>
    </row>
    <row r="672" ht="22.5" customHeight="1">
      <c r="A672" s="30"/>
      <c r="B672" s="31"/>
      <c r="C672" s="32"/>
      <c r="D672" s="33"/>
      <c r="E672" s="34"/>
      <c r="F672" s="34"/>
      <c r="G672" s="35"/>
      <c r="H672" s="34"/>
      <c r="I672" s="37"/>
    </row>
    <row r="673" ht="22.5" customHeight="1">
      <c r="A673" s="30"/>
      <c r="B673" s="31"/>
      <c r="C673" s="32"/>
      <c r="D673" s="33"/>
      <c r="E673" s="34"/>
      <c r="F673" s="34"/>
      <c r="G673" s="35"/>
      <c r="H673" s="34"/>
      <c r="I673" s="37"/>
    </row>
    <row r="674" ht="22.5" customHeight="1">
      <c r="A674" s="30"/>
      <c r="B674" s="31"/>
      <c r="C674" s="32"/>
      <c r="D674" s="33"/>
      <c r="E674" s="34"/>
      <c r="F674" s="34"/>
      <c r="G674" s="35"/>
      <c r="H674" s="34"/>
      <c r="I674" s="37"/>
    </row>
    <row r="675" ht="22.5" customHeight="1">
      <c r="A675" s="30"/>
      <c r="B675" s="31"/>
      <c r="C675" s="32"/>
      <c r="D675" s="33"/>
      <c r="E675" s="34"/>
      <c r="F675" s="34"/>
      <c r="G675" s="35"/>
      <c r="H675" s="34"/>
      <c r="I675" s="37"/>
    </row>
    <row r="676" ht="22.5" customHeight="1">
      <c r="A676" s="30"/>
      <c r="B676" s="40"/>
      <c r="C676" s="32"/>
      <c r="D676" s="33"/>
      <c r="E676" s="34"/>
      <c r="F676" s="34"/>
      <c r="G676" s="35"/>
      <c r="H676" s="34"/>
      <c r="I676" s="37"/>
    </row>
    <row r="677" ht="22.5" customHeight="1">
      <c r="A677" s="30"/>
      <c r="B677" s="31"/>
      <c r="C677" s="32"/>
      <c r="D677" s="33"/>
      <c r="E677" s="34"/>
      <c r="F677" s="34"/>
      <c r="G677" s="35"/>
      <c r="H677" s="34"/>
      <c r="I677" s="37"/>
    </row>
    <row r="678" ht="22.5" customHeight="1">
      <c r="A678" s="30"/>
      <c r="B678" s="31"/>
      <c r="C678" s="32"/>
      <c r="D678" s="33"/>
      <c r="E678" s="34"/>
      <c r="F678" s="34"/>
      <c r="G678" s="35"/>
      <c r="H678" s="34"/>
      <c r="I678" s="37"/>
    </row>
    <row r="679" ht="22.5" customHeight="1">
      <c r="A679" s="30"/>
      <c r="B679" s="31"/>
      <c r="C679" s="32"/>
      <c r="D679" s="33"/>
      <c r="E679" s="34"/>
      <c r="F679" s="34"/>
      <c r="G679" s="35"/>
      <c r="H679" s="34"/>
      <c r="I679" s="37"/>
    </row>
    <row r="680" ht="22.5" customHeight="1">
      <c r="A680" s="30"/>
      <c r="B680" s="40"/>
      <c r="C680" s="32"/>
      <c r="D680" s="33"/>
      <c r="E680" s="34"/>
      <c r="F680" s="34"/>
      <c r="G680" s="35"/>
      <c r="H680" s="34"/>
      <c r="I680" s="37"/>
    </row>
    <row r="681" ht="22.5" customHeight="1">
      <c r="A681" s="30"/>
      <c r="B681" s="31"/>
      <c r="C681" s="32"/>
      <c r="D681" s="33"/>
      <c r="E681" s="34"/>
      <c r="F681" s="34"/>
      <c r="G681" s="35"/>
      <c r="H681" s="34"/>
      <c r="I681" s="37"/>
    </row>
    <row r="682" ht="22.5" customHeight="1">
      <c r="A682" s="30"/>
      <c r="B682" s="31"/>
      <c r="C682" s="32"/>
      <c r="D682" s="33"/>
      <c r="E682" s="34"/>
      <c r="F682" s="34"/>
      <c r="G682" s="35"/>
      <c r="H682" s="34"/>
      <c r="I682" s="37"/>
    </row>
    <row r="683" ht="22.5" customHeight="1">
      <c r="A683" s="30"/>
      <c r="B683" s="31"/>
      <c r="C683" s="32"/>
      <c r="D683" s="33"/>
      <c r="E683" s="34"/>
      <c r="F683" s="34"/>
      <c r="G683" s="35"/>
      <c r="H683" s="34"/>
      <c r="I683" s="37"/>
    </row>
    <row r="684" ht="22.5" customHeight="1">
      <c r="A684" s="30"/>
      <c r="B684" s="31"/>
      <c r="C684" s="32"/>
      <c r="D684" s="33"/>
      <c r="E684" s="34"/>
      <c r="F684" s="34"/>
      <c r="G684" s="35"/>
      <c r="H684" s="34"/>
      <c r="I684" s="37"/>
    </row>
    <row r="685" ht="22.5" customHeight="1">
      <c r="A685" s="30"/>
      <c r="B685" s="31"/>
      <c r="C685" s="32"/>
      <c r="D685" s="33"/>
      <c r="E685" s="34"/>
      <c r="F685" s="34"/>
      <c r="G685" s="35"/>
      <c r="H685" s="34"/>
      <c r="I685" s="37"/>
    </row>
    <row r="686" ht="22.5" customHeight="1">
      <c r="A686" s="30"/>
      <c r="B686" s="31"/>
      <c r="C686" s="32"/>
      <c r="D686" s="33"/>
      <c r="E686" s="34"/>
      <c r="F686" s="34"/>
      <c r="G686" s="35"/>
      <c r="H686" s="34"/>
      <c r="I686" s="37"/>
    </row>
    <row r="687" ht="22.5" customHeight="1">
      <c r="A687" s="30"/>
      <c r="B687" s="31"/>
      <c r="C687" s="32"/>
      <c r="D687" s="33"/>
      <c r="E687" s="34"/>
      <c r="F687" s="34"/>
      <c r="G687" s="35"/>
      <c r="H687" s="34"/>
      <c r="I687" s="37"/>
    </row>
    <row r="688" ht="22.5" customHeight="1">
      <c r="A688" s="30"/>
      <c r="B688" s="31"/>
      <c r="C688" s="32"/>
      <c r="D688" s="33"/>
      <c r="E688" s="34"/>
      <c r="F688" s="34"/>
      <c r="G688" s="35"/>
      <c r="H688" s="34"/>
      <c r="I688" s="37"/>
    </row>
    <row r="689" ht="22.5" customHeight="1">
      <c r="A689" s="30"/>
      <c r="B689" s="31"/>
      <c r="C689" s="32"/>
      <c r="D689" s="33"/>
      <c r="E689" s="34"/>
      <c r="F689" s="34"/>
      <c r="G689" s="35"/>
      <c r="H689" s="34"/>
      <c r="I689" s="37"/>
    </row>
    <row r="690" ht="22.5" customHeight="1">
      <c r="A690" s="30"/>
      <c r="B690" s="31"/>
      <c r="C690" s="32"/>
      <c r="D690" s="33"/>
      <c r="E690" s="34"/>
      <c r="F690" s="34"/>
      <c r="G690" s="35"/>
      <c r="H690" s="34"/>
      <c r="I690" s="37"/>
    </row>
    <row r="691" ht="22.5" customHeight="1">
      <c r="A691" s="30"/>
      <c r="B691" s="31"/>
      <c r="C691" s="32"/>
      <c r="D691" s="33"/>
      <c r="E691" s="34"/>
      <c r="F691" s="34"/>
      <c r="G691" s="35"/>
      <c r="H691" s="34"/>
      <c r="I691" s="37"/>
    </row>
    <row r="692" ht="22.5" customHeight="1">
      <c r="A692" s="30"/>
      <c r="B692" s="31"/>
      <c r="C692" s="32"/>
      <c r="D692" s="33"/>
      <c r="E692" s="34"/>
      <c r="F692" s="34"/>
      <c r="G692" s="35"/>
      <c r="H692" s="34"/>
      <c r="I692" s="37"/>
    </row>
    <row r="693" ht="22.5" customHeight="1">
      <c r="A693" s="30"/>
      <c r="B693" s="31"/>
      <c r="C693" s="32"/>
      <c r="D693" s="33"/>
      <c r="E693" s="34"/>
      <c r="F693" s="34"/>
      <c r="G693" s="35"/>
      <c r="H693" s="34"/>
      <c r="I693" s="37"/>
    </row>
    <row r="694" ht="22.5" customHeight="1">
      <c r="A694" s="30"/>
      <c r="B694" s="31"/>
      <c r="C694" s="32"/>
      <c r="D694" s="33"/>
      <c r="E694" s="34"/>
      <c r="F694" s="34"/>
      <c r="G694" s="35"/>
      <c r="H694" s="34"/>
      <c r="I694" s="37"/>
    </row>
    <row r="695" ht="22.5" customHeight="1">
      <c r="A695" s="30"/>
      <c r="B695" s="40"/>
      <c r="C695" s="32"/>
      <c r="D695" s="33"/>
      <c r="E695" s="34"/>
      <c r="F695" s="34"/>
      <c r="G695" s="35"/>
      <c r="H695" s="34"/>
      <c r="I695" s="37"/>
    </row>
    <row r="696" ht="22.5" customHeight="1">
      <c r="A696" s="30"/>
      <c r="B696" s="31"/>
      <c r="C696" s="32"/>
      <c r="D696" s="33"/>
      <c r="E696" s="34"/>
      <c r="F696" s="34"/>
      <c r="G696" s="35"/>
      <c r="H696" s="34"/>
      <c r="I696" s="37"/>
    </row>
    <row r="697" ht="22.5" customHeight="1">
      <c r="A697" s="30"/>
      <c r="B697" s="40"/>
      <c r="C697" s="32"/>
      <c r="D697" s="33"/>
      <c r="E697" s="34"/>
      <c r="F697" s="34"/>
      <c r="G697" s="35"/>
      <c r="H697" s="34"/>
      <c r="I697" s="37"/>
    </row>
    <row r="698" ht="22.5" customHeight="1">
      <c r="A698" s="30"/>
      <c r="B698" s="31"/>
      <c r="C698" s="32"/>
      <c r="D698" s="33"/>
      <c r="E698" s="34"/>
      <c r="F698" s="34"/>
      <c r="G698" s="35"/>
      <c r="H698" s="34"/>
      <c r="I698" s="37"/>
    </row>
    <row r="699" ht="22.5" customHeight="1">
      <c r="A699" s="30"/>
      <c r="B699" s="31"/>
      <c r="C699" s="32"/>
      <c r="D699" s="33"/>
      <c r="E699" s="34"/>
      <c r="F699" s="34"/>
      <c r="G699" s="35"/>
      <c r="H699" s="34"/>
      <c r="I699" s="37"/>
    </row>
    <row r="700" ht="22.5" customHeight="1">
      <c r="A700" s="30"/>
      <c r="B700" s="31"/>
      <c r="C700" s="32"/>
      <c r="D700" s="33"/>
      <c r="E700" s="34"/>
      <c r="F700" s="34"/>
      <c r="G700" s="35"/>
      <c r="H700" s="34"/>
      <c r="I700" s="37"/>
    </row>
    <row r="701" ht="22.5" customHeight="1">
      <c r="A701" s="30"/>
      <c r="B701" s="31"/>
      <c r="C701" s="32"/>
      <c r="D701" s="33"/>
      <c r="E701" s="34"/>
      <c r="F701" s="34"/>
      <c r="G701" s="35"/>
      <c r="H701" s="34"/>
      <c r="I701" s="37"/>
    </row>
    <row r="702" ht="22.5" customHeight="1">
      <c r="A702" s="30"/>
      <c r="B702" s="40"/>
      <c r="C702" s="32"/>
      <c r="D702" s="33"/>
      <c r="E702" s="34"/>
      <c r="F702" s="34"/>
      <c r="G702" s="35"/>
      <c r="H702" s="34"/>
      <c r="I702" s="37"/>
    </row>
    <row r="703" ht="22.5" customHeight="1">
      <c r="A703" s="30"/>
      <c r="B703" s="31"/>
      <c r="C703" s="32"/>
      <c r="D703" s="33"/>
      <c r="E703" s="34"/>
      <c r="F703" s="34"/>
      <c r="G703" s="35"/>
      <c r="H703" s="34"/>
      <c r="I703" s="37"/>
    </row>
    <row r="704" ht="22.5" customHeight="1">
      <c r="A704" s="30"/>
      <c r="B704" s="31"/>
      <c r="C704" s="32"/>
      <c r="D704" s="33"/>
      <c r="E704" s="34"/>
      <c r="F704" s="34"/>
      <c r="G704" s="35"/>
      <c r="H704" s="34"/>
      <c r="I704" s="37"/>
    </row>
    <row r="705" ht="22.5" customHeight="1">
      <c r="A705" s="30"/>
      <c r="B705" s="31"/>
      <c r="C705" s="32"/>
      <c r="D705" s="33"/>
      <c r="E705" s="34"/>
      <c r="F705" s="34"/>
      <c r="G705" s="35"/>
      <c r="H705" s="34"/>
      <c r="I705" s="37"/>
    </row>
    <row r="706" ht="22.5" customHeight="1">
      <c r="A706" s="30"/>
      <c r="B706" s="31"/>
      <c r="C706" s="32"/>
      <c r="D706" s="33"/>
      <c r="E706" s="34"/>
      <c r="F706" s="34"/>
      <c r="G706" s="35"/>
      <c r="H706" s="34"/>
      <c r="I706" s="37"/>
    </row>
    <row r="707" ht="22.5" customHeight="1">
      <c r="A707" s="30"/>
      <c r="B707" s="31"/>
      <c r="C707" s="32"/>
      <c r="D707" s="33"/>
      <c r="E707" s="34"/>
      <c r="F707" s="34"/>
      <c r="G707" s="35"/>
      <c r="H707" s="34"/>
      <c r="I707" s="37"/>
    </row>
    <row r="708" ht="22.5" customHeight="1">
      <c r="A708" s="30"/>
      <c r="B708" s="31"/>
      <c r="C708" s="32"/>
      <c r="D708" s="33"/>
      <c r="E708" s="34"/>
      <c r="F708" s="34"/>
      <c r="G708" s="35"/>
      <c r="H708" s="34"/>
      <c r="I708" s="37"/>
    </row>
    <row r="709" ht="22.5" customHeight="1">
      <c r="A709" s="30"/>
      <c r="B709" s="31"/>
      <c r="C709" s="32"/>
      <c r="D709" s="33"/>
      <c r="E709" s="34"/>
      <c r="F709" s="34"/>
      <c r="G709" s="35"/>
      <c r="H709" s="34"/>
      <c r="I709" s="37"/>
    </row>
    <row r="710" ht="22.5" customHeight="1">
      <c r="A710" s="30"/>
      <c r="B710" s="31"/>
      <c r="C710" s="32"/>
      <c r="D710" s="33"/>
      <c r="E710" s="34"/>
      <c r="F710" s="34"/>
      <c r="G710" s="35"/>
      <c r="H710" s="34"/>
      <c r="I710" s="37"/>
    </row>
    <row r="711" ht="22.5" customHeight="1">
      <c r="A711" s="30"/>
      <c r="B711" s="31"/>
      <c r="C711" s="32"/>
      <c r="D711" s="33"/>
      <c r="E711" s="34"/>
      <c r="F711" s="34"/>
      <c r="G711" s="35"/>
      <c r="H711" s="34"/>
      <c r="I711" s="37"/>
    </row>
    <row r="712" ht="22.5" customHeight="1">
      <c r="A712" s="30"/>
      <c r="B712" s="31"/>
      <c r="C712" s="32"/>
      <c r="D712" s="33"/>
      <c r="E712" s="34"/>
      <c r="F712" s="34"/>
      <c r="G712" s="35"/>
      <c r="H712" s="34"/>
      <c r="I712" s="37"/>
    </row>
    <row r="713" ht="22.5" customHeight="1">
      <c r="A713" s="30"/>
      <c r="B713" s="31"/>
      <c r="C713" s="32"/>
      <c r="D713" s="33"/>
      <c r="E713" s="34"/>
      <c r="F713" s="34"/>
      <c r="G713" s="35"/>
      <c r="H713" s="34"/>
      <c r="I713" s="37"/>
    </row>
    <row r="714" ht="22.5" customHeight="1">
      <c r="A714" s="30"/>
      <c r="B714" s="31"/>
      <c r="C714" s="32"/>
      <c r="D714" s="33"/>
      <c r="E714" s="34"/>
      <c r="F714" s="34"/>
      <c r="G714" s="35"/>
      <c r="H714" s="34"/>
      <c r="I714" s="37"/>
    </row>
    <row r="715" ht="22.5" customHeight="1">
      <c r="A715" s="30"/>
      <c r="B715" s="31"/>
      <c r="C715" s="32"/>
      <c r="D715" s="33"/>
      <c r="E715" s="34"/>
      <c r="F715" s="34"/>
      <c r="G715" s="35"/>
      <c r="H715" s="34"/>
      <c r="I715" s="37"/>
    </row>
    <row r="716" ht="22.5" customHeight="1">
      <c r="A716" s="30"/>
      <c r="B716" s="31"/>
      <c r="C716" s="32"/>
      <c r="D716" s="33"/>
      <c r="E716" s="34"/>
      <c r="F716" s="34"/>
      <c r="G716" s="35"/>
      <c r="H716" s="34"/>
      <c r="I716" s="37"/>
    </row>
    <row r="717" ht="22.5" customHeight="1">
      <c r="A717" s="30"/>
      <c r="B717" s="31"/>
      <c r="C717" s="32"/>
      <c r="D717" s="33"/>
      <c r="E717" s="34"/>
      <c r="F717" s="34"/>
      <c r="G717" s="35"/>
      <c r="H717" s="34"/>
      <c r="I717" s="37"/>
    </row>
    <row r="718" ht="22.5" customHeight="1">
      <c r="A718" s="30"/>
      <c r="B718" s="31"/>
      <c r="C718" s="32"/>
      <c r="D718" s="33"/>
      <c r="E718" s="34"/>
      <c r="F718" s="34"/>
      <c r="G718" s="35"/>
      <c r="H718" s="34"/>
      <c r="I718" s="37"/>
    </row>
    <row r="719" ht="22.5" customHeight="1">
      <c r="A719" s="30"/>
      <c r="B719" s="31"/>
      <c r="C719" s="32"/>
      <c r="D719" s="33"/>
      <c r="E719" s="34"/>
      <c r="F719" s="34"/>
      <c r="G719" s="35"/>
      <c r="H719" s="34"/>
      <c r="I719" s="37"/>
    </row>
    <row r="720" ht="22.5" customHeight="1">
      <c r="A720" s="30"/>
      <c r="B720" s="31"/>
      <c r="C720" s="32"/>
      <c r="D720" s="33"/>
      <c r="E720" s="34"/>
      <c r="F720" s="34"/>
      <c r="G720" s="35"/>
      <c r="H720" s="34"/>
      <c r="I720" s="37"/>
    </row>
    <row r="721" ht="22.5" customHeight="1">
      <c r="A721" s="30"/>
      <c r="B721" s="31"/>
      <c r="C721" s="32"/>
      <c r="D721" s="33"/>
      <c r="E721" s="34"/>
      <c r="F721" s="34"/>
      <c r="G721" s="35"/>
      <c r="H721" s="34"/>
      <c r="I721" s="37"/>
    </row>
    <row r="722" ht="22.5" customHeight="1">
      <c r="A722" s="30"/>
      <c r="B722" s="31"/>
      <c r="C722" s="32"/>
      <c r="D722" s="33"/>
      <c r="E722" s="34"/>
      <c r="F722" s="34"/>
      <c r="G722" s="35"/>
      <c r="H722" s="34"/>
      <c r="I722" s="37"/>
    </row>
    <row r="723" ht="22.5" customHeight="1">
      <c r="A723" s="30"/>
      <c r="B723" s="31"/>
      <c r="C723" s="32"/>
      <c r="D723" s="33"/>
      <c r="E723" s="34"/>
      <c r="F723" s="34"/>
      <c r="G723" s="35"/>
      <c r="H723" s="34"/>
      <c r="I723" s="37"/>
    </row>
    <row r="724" ht="22.5" customHeight="1">
      <c r="A724" s="30"/>
      <c r="B724" s="40"/>
      <c r="C724" s="32"/>
      <c r="D724" s="33"/>
      <c r="E724" s="34"/>
      <c r="F724" s="34"/>
      <c r="G724" s="35"/>
      <c r="H724" s="34"/>
      <c r="I724" s="37"/>
    </row>
    <row r="725" ht="22.5" customHeight="1">
      <c r="A725" s="30"/>
      <c r="B725" s="31"/>
      <c r="C725" s="32"/>
      <c r="D725" s="33"/>
      <c r="E725" s="34"/>
      <c r="F725" s="34"/>
      <c r="G725" s="35"/>
      <c r="H725" s="34"/>
      <c r="I725" s="37"/>
    </row>
    <row r="726" ht="22.5" customHeight="1">
      <c r="A726" s="30"/>
      <c r="B726" s="31"/>
      <c r="C726" s="32"/>
      <c r="D726" s="33"/>
      <c r="E726" s="34"/>
      <c r="F726" s="34"/>
      <c r="G726" s="35"/>
      <c r="H726" s="34"/>
      <c r="I726" s="37"/>
    </row>
    <row r="727" ht="22.5" customHeight="1">
      <c r="A727" s="30"/>
      <c r="B727" s="31"/>
      <c r="C727" s="32"/>
      <c r="D727" s="33"/>
      <c r="E727" s="34"/>
      <c r="F727" s="34"/>
      <c r="G727" s="35"/>
      <c r="H727" s="34"/>
      <c r="I727" s="37"/>
    </row>
    <row r="728" ht="22.5" customHeight="1">
      <c r="A728" s="30"/>
      <c r="B728" s="31"/>
      <c r="C728" s="32"/>
      <c r="D728" s="33"/>
      <c r="E728" s="34"/>
      <c r="F728" s="34"/>
      <c r="G728" s="35"/>
      <c r="H728" s="34"/>
      <c r="I728" s="38"/>
    </row>
    <row r="729" ht="22.5" customHeight="1">
      <c r="A729" s="30"/>
      <c r="B729" s="39"/>
      <c r="C729" s="32"/>
      <c r="D729" s="33"/>
      <c r="E729" s="34"/>
      <c r="F729" s="34"/>
      <c r="G729" s="35"/>
      <c r="H729" s="34"/>
      <c r="I729" s="37"/>
    </row>
    <row r="730" ht="22.5" customHeight="1">
      <c r="A730" s="30"/>
      <c r="B730" s="31"/>
      <c r="C730" s="32"/>
      <c r="D730" s="33"/>
      <c r="E730" s="34"/>
      <c r="F730" s="34"/>
      <c r="G730" s="35"/>
      <c r="H730" s="34"/>
      <c r="I730" s="37"/>
    </row>
    <row r="731" ht="22.5" customHeight="1">
      <c r="A731" s="30"/>
      <c r="B731" s="31"/>
      <c r="C731" s="32"/>
      <c r="D731" s="33"/>
      <c r="E731" s="34"/>
      <c r="F731" s="34"/>
      <c r="G731" s="35"/>
      <c r="H731" s="34"/>
      <c r="I731" s="37"/>
    </row>
    <row r="732" ht="22.5" customHeight="1">
      <c r="A732" s="30"/>
      <c r="B732" s="31"/>
      <c r="C732" s="32"/>
      <c r="D732" s="33"/>
      <c r="E732" s="34"/>
      <c r="F732" s="34"/>
      <c r="G732" s="35"/>
      <c r="H732" s="34"/>
      <c r="I732" s="37"/>
    </row>
    <row r="733" ht="22.5" customHeight="1">
      <c r="A733" s="30"/>
      <c r="B733" s="39"/>
      <c r="C733" s="32"/>
      <c r="D733" s="33"/>
      <c r="E733" s="34"/>
      <c r="F733" s="34"/>
      <c r="G733" s="35"/>
      <c r="H733" s="34"/>
      <c r="I733" s="37"/>
    </row>
    <row r="734" ht="22.5" customHeight="1">
      <c r="A734" s="30"/>
      <c r="B734" s="31"/>
      <c r="C734" s="32"/>
      <c r="D734" s="33"/>
      <c r="E734" s="34"/>
      <c r="F734" s="34"/>
      <c r="G734" s="35"/>
      <c r="H734" s="34"/>
      <c r="I734" s="37"/>
    </row>
    <row r="735" ht="22.5" customHeight="1">
      <c r="A735" s="30"/>
      <c r="B735" s="39"/>
      <c r="C735" s="32"/>
      <c r="D735" s="33"/>
      <c r="E735" s="34"/>
      <c r="F735" s="34"/>
      <c r="G735" s="35"/>
      <c r="H735" s="34"/>
      <c r="I735" s="37"/>
    </row>
    <row r="736" ht="22.5" customHeight="1">
      <c r="A736" s="30"/>
      <c r="B736" s="31"/>
      <c r="C736" s="32"/>
      <c r="D736" s="33"/>
      <c r="E736" s="34"/>
      <c r="F736" s="34"/>
      <c r="G736" s="35"/>
      <c r="H736" s="34"/>
      <c r="I736" s="37"/>
    </row>
    <row r="737" ht="22.5" customHeight="1">
      <c r="A737" s="30"/>
      <c r="B737" s="31"/>
      <c r="C737" s="32"/>
      <c r="D737" s="33"/>
      <c r="E737" s="34"/>
      <c r="F737" s="34"/>
      <c r="G737" s="35"/>
      <c r="H737" s="34"/>
      <c r="I737" s="37"/>
    </row>
    <row r="738" ht="22.5" customHeight="1">
      <c r="A738" s="30"/>
      <c r="B738" s="31"/>
      <c r="C738" s="32"/>
      <c r="D738" s="33"/>
      <c r="E738" s="34"/>
      <c r="F738" s="34"/>
      <c r="G738" s="35"/>
      <c r="H738" s="34"/>
      <c r="I738" s="37"/>
    </row>
    <row r="739" ht="22.5" customHeight="1">
      <c r="A739" s="30"/>
      <c r="B739" s="31"/>
      <c r="C739" s="32"/>
      <c r="D739" s="33"/>
      <c r="E739" s="34"/>
      <c r="F739" s="34"/>
      <c r="G739" s="35"/>
      <c r="H739" s="34"/>
      <c r="I739" s="37"/>
    </row>
    <row r="740" ht="22.5" customHeight="1">
      <c r="A740" s="30"/>
      <c r="B740" s="31"/>
      <c r="C740" s="32"/>
      <c r="D740" s="33"/>
      <c r="E740" s="34"/>
      <c r="F740" s="34"/>
      <c r="G740" s="35"/>
      <c r="H740" s="34"/>
      <c r="I740" s="37"/>
    </row>
    <row r="741" ht="22.5" customHeight="1">
      <c r="A741" s="30"/>
      <c r="B741" s="31"/>
      <c r="C741" s="32"/>
      <c r="D741" s="33"/>
      <c r="E741" s="34"/>
      <c r="F741" s="34"/>
      <c r="G741" s="35"/>
      <c r="H741" s="34"/>
      <c r="I741" s="37"/>
    </row>
    <row r="742" ht="22.5" customHeight="1">
      <c r="A742" s="30"/>
      <c r="B742" s="31"/>
      <c r="C742" s="32"/>
      <c r="D742" s="33"/>
      <c r="E742" s="34"/>
      <c r="F742" s="34"/>
      <c r="G742" s="35"/>
      <c r="H742" s="34"/>
      <c r="I742" s="37"/>
    </row>
    <row r="743" ht="22.5" customHeight="1">
      <c r="A743" s="30"/>
      <c r="B743" s="31"/>
      <c r="C743" s="32"/>
      <c r="D743" s="33"/>
      <c r="E743" s="34"/>
      <c r="F743" s="34"/>
      <c r="G743" s="35"/>
      <c r="H743" s="34"/>
      <c r="I743" s="37"/>
    </row>
    <row r="744" ht="22.5" customHeight="1">
      <c r="A744" s="30"/>
      <c r="B744" s="31"/>
      <c r="C744" s="32"/>
      <c r="D744" s="33"/>
      <c r="E744" s="34"/>
      <c r="F744" s="34"/>
      <c r="G744" s="35"/>
      <c r="H744" s="34"/>
      <c r="I744" s="37"/>
    </row>
    <row r="745" ht="22.5" customHeight="1">
      <c r="A745" s="30"/>
      <c r="B745" s="31"/>
      <c r="C745" s="32"/>
      <c r="D745" s="33"/>
      <c r="E745" s="34"/>
      <c r="F745" s="34"/>
      <c r="G745" s="35"/>
      <c r="H745" s="34"/>
      <c r="I745" s="37"/>
    </row>
    <row r="746" ht="22.5" customHeight="1">
      <c r="A746" s="30"/>
      <c r="B746" s="40"/>
      <c r="C746" s="32"/>
      <c r="D746" s="33"/>
      <c r="E746" s="34"/>
      <c r="F746" s="34"/>
      <c r="G746" s="35"/>
      <c r="H746" s="34"/>
      <c r="I746" s="37"/>
    </row>
    <row r="747" ht="22.5" customHeight="1">
      <c r="A747" s="30"/>
      <c r="B747" s="31"/>
      <c r="C747" s="32"/>
      <c r="D747" s="33"/>
      <c r="E747" s="34"/>
      <c r="F747" s="34"/>
      <c r="G747" s="35"/>
      <c r="H747" s="34"/>
      <c r="I747" s="37"/>
    </row>
    <row r="748" ht="22.5" customHeight="1">
      <c r="A748" s="30"/>
      <c r="B748" s="31"/>
      <c r="C748" s="32"/>
      <c r="D748" s="33"/>
      <c r="E748" s="34"/>
      <c r="F748" s="34"/>
      <c r="G748" s="35"/>
      <c r="H748" s="34"/>
      <c r="I748" s="37"/>
    </row>
    <row r="749" ht="22.5" customHeight="1">
      <c r="A749" s="30"/>
      <c r="B749" s="31"/>
      <c r="C749" s="32"/>
      <c r="D749" s="33"/>
      <c r="E749" s="34"/>
      <c r="F749" s="34"/>
      <c r="G749" s="35"/>
      <c r="H749" s="34"/>
      <c r="I749" s="37"/>
    </row>
    <row r="750" ht="22.5" customHeight="1">
      <c r="A750" s="30"/>
      <c r="B750" s="31"/>
      <c r="C750" s="32"/>
      <c r="D750" s="33"/>
      <c r="E750" s="34"/>
      <c r="F750" s="34"/>
      <c r="G750" s="35"/>
      <c r="H750" s="34"/>
      <c r="I750" s="37"/>
    </row>
    <row r="751" ht="22.5" customHeight="1">
      <c r="A751" s="30"/>
      <c r="B751" s="31"/>
      <c r="C751" s="32"/>
      <c r="D751" s="33"/>
      <c r="E751" s="34"/>
      <c r="F751" s="34"/>
      <c r="G751" s="35"/>
      <c r="H751" s="34"/>
      <c r="I751" s="37"/>
    </row>
    <row r="752" ht="22.5" customHeight="1">
      <c r="A752" s="30"/>
      <c r="B752" s="31"/>
      <c r="C752" s="32"/>
      <c r="D752" s="33"/>
      <c r="E752" s="34"/>
      <c r="F752" s="34"/>
      <c r="G752" s="35"/>
      <c r="H752" s="34"/>
      <c r="I752" s="37"/>
    </row>
    <row r="753" ht="22.5" customHeight="1">
      <c r="A753" s="30"/>
      <c r="B753" s="39"/>
      <c r="C753" s="32"/>
      <c r="D753" s="33"/>
      <c r="E753" s="34"/>
      <c r="F753" s="34"/>
      <c r="G753" s="35"/>
      <c r="H753" s="34"/>
      <c r="I753" s="37"/>
    </row>
    <row r="754" ht="22.5" customHeight="1">
      <c r="A754" s="30"/>
      <c r="B754" s="39"/>
      <c r="C754" s="32"/>
      <c r="D754" s="33"/>
      <c r="E754" s="34"/>
      <c r="F754" s="34"/>
      <c r="G754" s="35"/>
      <c r="H754" s="34"/>
      <c r="I754" s="37"/>
    </row>
    <row r="755" ht="22.5" customHeight="1">
      <c r="A755" s="30"/>
      <c r="B755" s="39"/>
      <c r="C755" s="32"/>
      <c r="D755" s="33"/>
      <c r="E755" s="34"/>
      <c r="F755" s="34"/>
      <c r="G755" s="35"/>
      <c r="H755" s="34"/>
      <c r="I755" s="37"/>
    </row>
    <row r="756" ht="22.5" customHeight="1">
      <c r="A756" s="30"/>
      <c r="B756" s="40"/>
      <c r="C756" s="32"/>
      <c r="D756" s="33"/>
      <c r="E756" s="34"/>
      <c r="F756" s="34"/>
      <c r="G756" s="35"/>
      <c r="H756" s="34"/>
      <c r="I756" s="37"/>
    </row>
    <row r="757" ht="22.5" customHeight="1">
      <c r="A757" s="30"/>
      <c r="B757" s="31"/>
      <c r="C757" s="32"/>
      <c r="D757" s="33"/>
      <c r="E757" s="34"/>
      <c r="F757" s="34"/>
      <c r="G757" s="35"/>
      <c r="H757" s="34"/>
      <c r="I757" s="37"/>
    </row>
    <row r="758" ht="22.5" customHeight="1">
      <c r="A758" s="30"/>
      <c r="B758" s="31"/>
      <c r="C758" s="32"/>
      <c r="D758" s="33"/>
      <c r="E758" s="34"/>
      <c r="F758" s="34"/>
      <c r="G758" s="35"/>
      <c r="H758" s="34"/>
      <c r="I758" s="37"/>
    </row>
    <row r="759" ht="22.5" customHeight="1">
      <c r="A759" s="30"/>
      <c r="B759" s="31"/>
      <c r="C759" s="32"/>
      <c r="D759" s="33"/>
      <c r="E759" s="34"/>
      <c r="F759" s="34"/>
      <c r="G759" s="35"/>
      <c r="H759" s="34"/>
      <c r="I759" s="37"/>
    </row>
    <row r="760" ht="22.5" customHeight="1">
      <c r="A760" s="30"/>
      <c r="B760" s="31"/>
      <c r="C760" s="32"/>
      <c r="D760" s="33"/>
      <c r="E760" s="34"/>
      <c r="F760" s="34"/>
      <c r="G760" s="35"/>
      <c r="H760" s="34"/>
      <c r="I760" s="37"/>
    </row>
    <row r="761" ht="22.5" customHeight="1">
      <c r="A761" s="30"/>
      <c r="B761" s="31"/>
      <c r="C761" s="32"/>
      <c r="D761" s="33"/>
      <c r="E761" s="34"/>
      <c r="F761" s="34"/>
      <c r="G761" s="35"/>
      <c r="H761" s="34"/>
      <c r="I761" s="37"/>
    </row>
    <row r="762" ht="22.5" customHeight="1">
      <c r="A762" s="30"/>
      <c r="B762" s="31"/>
      <c r="C762" s="32"/>
      <c r="D762" s="33"/>
      <c r="E762" s="34"/>
      <c r="F762" s="34"/>
      <c r="G762" s="35"/>
      <c r="H762" s="34"/>
      <c r="I762" s="37"/>
    </row>
    <row r="763" ht="22.5" customHeight="1">
      <c r="A763" s="30"/>
      <c r="B763" s="31"/>
      <c r="C763" s="32"/>
      <c r="D763" s="33"/>
      <c r="E763" s="34"/>
      <c r="F763" s="34"/>
      <c r="G763" s="35"/>
      <c r="H763" s="34"/>
      <c r="I763" s="37"/>
    </row>
    <row r="764" ht="22.5" customHeight="1">
      <c r="A764" s="30"/>
      <c r="B764" s="31"/>
      <c r="C764" s="32"/>
      <c r="D764" s="33"/>
      <c r="E764" s="34"/>
      <c r="F764" s="34"/>
      <c r="G764" s="35"/>
      <c r="H764" s="34"/>
      <c r="I764" s="37"/>
    </row>
    <row r="765" ht="22.5" customHeight="1">
      <c r="A765" s="30"/>
      <c r="B765" s="31"/>
      <c r="C765" s="32"/>
      <c r="D765" s="33"/>
      <c r="E765" s="34"/>
      <c r="F765" s="34"/>
      <c r="G765" s="35"/>
      <c r="H765" s="34"/>
      <c r="I765" s="37"/>
    </row>
    <row r="766" ht="22.5" customHeight="1">
      <c r="A766" s="30"/>
      <c r="B766" s="40"/>
      <c r="C766" s="32"/>
      <c r="D766" s="33"/>
      <c r="E766" s="34"/>
      <c r="F766" s="34"/>
      <c r="G766" s="35"/>
      <c r="H766" s="34"/>
      <c r="I766" s="37"/>
    </row>
    <row r="767" ht="22.5" customHeight="1">
      <c r="A767" s="30"/>
      <c r="B767" s="31"/>
      <c r="C767" s="32"/>
      <c r="D767" s="33"/>
      <c r="E767" s="34"/>
      <c r="F767" s="34"/>
      <c r="G767" s="35"/>
      <c r="H767" s="34"/>
      <c r="I767" s="37"/>
    </row>
    <row r="768" ht="22.5" customHeight="1">
      <c r="A768" s="30"/>
      <c r="B768" s="31"/>
      <c r="C768" s="32"/>
      <c r="D768" s="33"/>
      <c r="E768" s="34"/>
      <c r="F768" s="34"/>
      <c r="G768" s="35"/>
      <c r="H768" s="34"/>
      <c r="I768" s="37"/>
    </row>
    <row r="769" ht="22.5" customHeight="1">
      <c r="A769" s="30"/>
      <c r="B769" s="31"/>
      <c r="C769" s="32"/>
      <c r="D769" s="33"/>
      <c r="E769" s="34"/>
      <c r="F769" s="34"/>
      <c r="G769" s="35"/>
      <c r="H769" s="34"/>
      <c r="I769" s="37"/>
    </row>
    <row r="770" ht="22.5" customHeight="1">
      <c r="A770" s="30"/>
      <c r="B770" s="40"/>
      <c r="C770" s="32"/>
      <c r="D770" s="33"/>
      <c r="E770" s="34"/>
      <c r="F770" s="34"/>
      <c r="G770" s="35"/>
      <c r="H770" s="34"/>
      <c r="I770" s="37"/>
    </row>
    <row r="771" ht="22.5" customHeight="1">
      <c r="A771" s="30"/>
      <c r="B771" s="31"/>
      <c r="C771" s="32"/>
      <c r="D771" s="33"/>
      <c r="E771" s="34"/>
      <c r="F771" s="34"/>
      <c r="G771" s="35"/>
      <c r="H771" s="34"/>
      <c r="I771" s="37"/>
    </row>
    <row r="772" ht="22.5" customHeight="1">
      <c r="A772" s="30"/>
      <c r="B772" s="31"/>
      <c r="C772" s="32"/>
      <c r="D772" s="33"/>
      <c r="E772" s="34"/>
      <c r="F772" s="34"/>
      <c r="G772" s="35"/>
      <c r="H772" s="34"/>
      <c r="I772" s="37"/>
    </row>
    <row r="773" ht="22.5" customHeight="1">
      <c r="A773" s="30"/>
      <c r="B773" s="31"/>
      <c r="C773" s="32"/>
      <c r="D773" s="33"/>
      <c r="E773" s="34"/>
      <c r="F773" s="34"/>
      <c r="G773" s="35"/>
      <c r="H773" s="34"/>
      <c r="I773" s="37"/>
    </row>
    <row r="774" ht="22.5" customHeight="1">
      <c r="A774" s="30"/>
      <c r="B774" s="31"/>
      <c r="C774" s="32"/>
      <c r="D774" s="33"/>
      <c r="E774" s="34"/>
      <c r="F774" s="34"/>
      <c r="G774" s="35"/>
      <c r="H774" s="34"/>
      <c r="I774" s="37"/>
    </row>
    <row r="775" ht="22.5" customHeight="1">
      <c r="A775" s="30"/>
      <c r="B775" s="31"/>
      <c r="C775" s="32"/>
      <c r="D775" s="33"/>
      <c r="E775" s="34"/>
      <c r="F775" s="34"/>
      <c r="G775" s="35"/>
      <c r="H775" s="34"/>
      <c r="I775" s="37"/>
    </row>
    <row r="776" ht="22.5" customHeight="1">
      <c r="A776" s="30"/>
      <c r="B776" s="31"/>
      <c r="C776" s="32"/>
      <c r="D776" s="33"/>
      <c r="E776" s="34"/>
      <c r="F776" s="34"/>
      <c r="G776" s="35"/>
      <c r="H776" s="34"/>
      <c r="I776" s="37"/>
    </row>
    <row r="777" ht="22.5" customHeight="1">
      <c r="A777" s="30"/>
      <c r="B777" s="31"/>
      <c r="C777" s="32"/>
      <c r="D777" s="33"/>
      <c r="E777" s="34"/>
      <c r="F777" s="34"/>
      <c r="G777" s="35"/>
      <c r="H777" s="34"/>
      <c r="I777" s="37"/>
    </row>
    <row r="778" ht="22.5" customHeight="1">
      <c r="A778" s="30"/>
      <c r="B778" s="31"/>
      <c r="C778" s="32"/>
      <c r="D778" s="33"/>
      <c r="E778" s="34"/>
      <c r="F778" s="34"/>
      <c r="G778" s="35"/>
      <c r="H778" s="34"/>
      <c r="I778" s="37"/>
    </row>
    <row r="779" ht="22.5" customHeight="1">
      <c r="A779" s="30"/>
      <c r="B779" s="31"/>
      <c r="C779" s="32"/>
      <c r="D779" s="33"/>
      <c r="E779" s="34"/>
      <c r="F779" s="34"/>
      <c r="G779" s="35"/>
      <c r="H779" s="34"/>
      <c r="I779" s="37"/>
    </row>
    <row r="780" ht="22.5" customHeight="1">
      <c r="A780" s="30"/>
      <c r="B780" s="31"/>
      <c r="C780" s="32"/>
      <c r="D780" s="33"/>
      <c r="E780" s="34"/>
      <c r="F780" s="34"/>
      <c r="G780" s="35"/>
      <c r="H780" s="34"/>
      <c r="I780" s="37"/>
    </row>
    <row r="781" ht="22.5" customHeight="1">
      <c r="A781" s="30"/>
      <c r="B781" s="31"/>
      <c r="C781" s="32"/>
      <c r="D781" s="33"/>
      <c r="E781" s="34"/>
      <c r="F781" s="34"/>
      <c r="G781" s="35"/>
      <c r="H781" s="34"/>
      <c r="I781" s="37"/>
    </row>
    <row r="782" ht="22.5" customHeight="1">
      <c r="A782" s="30"/>
      <c r="B782" s="31"/>
      <c r="C782" s="32"/>
      <c r="D782" s="33"/>
      <c r="E782" s="34"/>
      <c r="F782" s="34"/>
      <c r="G782" s="35"/>
      <c r="H782" s="34"/>
      <c r="I782" s="37"/>
    </row>
    <row r="783" ht="22.5" customHeight="1">
      <c r="A783" s="30"/>
      <c r="B783" s="31"/>
      <c r="C783" s="32"/>
      <c r="D783" s="33"/>
      <c r="E783" s="34"/>
      <c r="F783" s="34"/>
      <c r="G783" s="35"/>
      <c r="H783" s="34"/>
      <c r="I783" s="37"/>
    </row>
    <row r="784" ht="22.5" customHeight="1">
      <c r="A784" s="30"/>
      <c r="B784" s="31"/>
      <c r="C784" s="32"/>
      <c r="D784" s="33"/>
      <c r="E784" s="34"/>
      <c r="F784" s="34"/>
      <c r="G784" s="35"/>
      <c r="H784" s="34"/>
      <c r="I784" s="37"/>
    </row>
    <row r="785" ht="22.5" customHeight="1">
      <c r="A785" s="30"/>
      <c r="B785" s="40"/>
      <c r="C785" s="32"/>
      <c r="D785" s="33"/>
      <c r="E785" s="34"/>
      <c r="F785" s="34"/>
      <c r="G785" s="35"/>
      <c r="H785" s="34"/>
      <c r="I785" s="37"/>
    </row>
    <row r="786" ht="22.5" customHeight="1">
      <c r="A786" s="30"/>
      <c r="B786" s="31"/>
      <c r="C786" s="32"/>
      <c r="D786" s="33"/>
      <c r="E786" s="34"/>
      <c r="F786" s="34"/>
      <c r="G786" s="35"/>
      <c r="H786" s="34"/>
      <c r="I786" s="37"/>
    </row>
    <row r="787" ht="22.5" customHeight="1">
      <c r="A787" s="30"/>
      <c r="B787" s="40"/>
      <c r="C787" s="32"/>
      <c r="D787" s="33"/>
      <c r="E787" s="34"/>
      <c r="F787" s="34"/>
      <c r="G787" s="35"/>
      <c r="H787" s="34"/>
      <c r="I787" s="37"/>
    </row>
    <row r="788" ht="22.5" customHeight="1">
      <c r="A788" s="30"/>
      <c r="B788" s="31"/>
      <c r="C788" s="32"/>
      <c r="D788" s="33"/>
      <c r="E788" s="34"/>
      <c r="F788" s="34"/>
      <c r="G788" s="35"/>
      <c r="H788" s="34"/>
      <c r="I788" s="37"/>
    </row>
    <row r="789" ht="22.5" customHeight="1">
      <c r="A789" s="30"/>
      <c r="B789" s="31"/>
      <c r="C789" s="32"/>
      <c r="D789" s="33"/>
      <c r="E789" s="34"/>
      <c r="F789" s="34"/>
      <c r="G789" s="35"/>
      <c r="H789" s="34"/>
      <c r="I789" s="37"/>
    </row>
    <row r="790" ht="22.5" customHeight="1">
      <c r="A790" s="30"/>
      <c r="B790" s="31"/>
      <c r="C790" s="32"/>
      <c r="D790" s="33"/>
      <c r="E790" s="34"/>
      <c r="F790" s="34"/>
      <c r="G790" s="35"/>
      <c r="H790" s="34"/>
      <c r="I790" s="37"/>
    </row>
    <row r="791" ht="22.5" customHeight="1">
      <c r="A791" s="30"/>
      <c r="B791" s="31"/>
      <c r="C791" s="32"/>
      <c r="D791" s="33"/>
      <c r="E791" s="34"/>
      <c r="F791" s="34"/>
      <c r="G791" s="35"/>
      <c r="H791" s="34"/>
      <c r="I791" s="37"/>
    </row>
    <row r="792" ht="22.5" customHeight="1">
      <c r="A792" s="30"/>
      <c r="B792" s="40"/>
      <c r="C792" s="32"/>
      <c r="D792" s="33"/>
      <c r="E792" s="34"/>
      <c r="F792" s="34"/>
      <c r="G792" s="35"/>
      <c r="H792" s="34"/>
      <c r="I792" s="37"/>
    </row>
    <row r="793" ht="22.5" customHeight="1">
      <c r="A793" s="30"/>
      <c r="B793" s="31"/>
      <c r="C793" s="32"/>
      <c r="D793" s="33"/>
      <c r="E793" s="34"/>
      <c r="F793" s="34"/>
      <c r="G793" s="35"/>
      <c r="H793" s="34"/>
      <c r="I793" s="37"/>
    </row>
    <row r="794" ht="22.5" customHeight="1">
      <c r="A794" s="30"/>
      <c r="B794" s="31"/>
      <c r="C794" s="32"/>
      <c r="D794" s="33"/>
      <c r="E794" s="34"/>
      <c r="F794" s="34"/>
      <c r="G794" s="35"/>
      <c r="H794" s="34"/>
      <c r="I794" s="37"/>
    </row>
    <row r="795" ht="22.5" customHeight="1">
      <c r="A795" s="30"/>
      <c r="B795" s="31"/>
      <c r="C795" s="32"/>
      <c r="D795" s="33"/>
      <c r="E795" s="34"/>
      <c r="F795" s="34"/>
      <c r="G795" s="35"/>
      <c r="H795" s="34"/>
      <c r="I795" s="37"/>
    </row>
    <row r="796" ht="22.5" customHeight="1">
      <c r="A796" s="30"/>
      <c r="B796" s="31"/>
      <c r="C796" s="32"/>
      <c r="D796" s="33"/>
      <c r="E796" s="34"/>
      <c r="F796" s="34"/>
      <c r="G796" s="35"/>
      <c r="H796" s="34"/>
      <c r="I796" s="37"/>
    </row>
    <row r="797" ht="22.5" customHeight="1">
      <c r="A797" s="30"/>
      <c r="B797" s="31"/>
      <c r="C797" s="32"/>
      <c r="D797" s="33"/>
      <c r="E797" s="34"/>
      <c r="F797" s="34"/>
      <c r="G797" s="35"/>
      <c r="H797" s="34"/>
      <c r="I797" s="37"/>
    </row>
    <row r="798" ht="22.5" customHeight="1">
      <c r="A798" s="30"/>
      <c r="B798" s="31"/>
      <c r="C798" s="32"/>
      <c r="D798" s="33"/>
      <c r="E798" s="34"/>
      <c r="F798" s="34"/>
      <c r="G798" s="35"/>
      <c r="H798" s="34"/>
      <c r="I798" s="37"/>
    </row>
    <row r="799" ht="22.5" customHeight="1">
      <c r="A799" s="30"/>
      <c r="B799" s="31"/>
      <c r="C799" s="32"/>
      <c r="D799" s="33"/>
      <c r="E799" s="34"/>
      <c r="F799" s="34"/>
      <c r="G799" s="35"/>
      <c r="H799" s="34"/>
      <c r="I799" s="37"/>
    </row>
    <row r="800" ht="22.5" customHeight="1">
      <c r="A800" s="30"/>
      <c r="B800" s="31"/>
      <c r="C800" s="32"/>
      <c r="D800" s="33"/>
      <c r="E800" s="34"/>
      <c r="F800" s="34"/>
      <c r="G800" s="35"/>
      <c r="H800" s="34"/>
      <c r="I800" s="37"/>
    </row>
    <row r="801" ht="22.5" customHeight="1">
      <c r="A801" s="30"/>
      <c r="B801" s="31"/>
      <c r="C801" s="32"/>
      <c r="D801" s="33"/>
      <c r="E801" s="34"/>
      <c r="F801" s="34"/>
      <c r="G801" s="35"/>
      <c r="H801" s="34"/>
      <c r="I801" s="37"/>
    </row>
    <row r="802" ht="22.5" customHeight="1">
      <c r="A802" s="30"/>
      <c r="B802" s="31"/>
      <c r="C802" s="32"/>
      <c r="D802" s="33"/>
      <c r="E802" s="34"/>
      <c r="F802" s="34"/>
      <c r="G802" s="35"/>
      <c r="H802" s="34"/>
      <c r="I802" s="37"/>
    </row>
    <row r="803" ht="22.5" customHeight="1">
      <c r="A803" s="30"/>
      <c r="B803" s="31"/>
      <c r="C803" s="32"/>
      <c r="D803" s="33"/>
      <c r="E803" s="34"/>
      <c r="F803" s="34"/>
      <c r="G803" s="35"/>
      <c r="H803" s="34"/>
      <c r="I803" s="37"/>
    </row>
    <row r="804" ht="22.5" customHeight="1">
      <c r="A804" s="30"/>
      <c r="B804" s="31"/>
      <c r="C804" s="32"/>
      <c r="D804" s="33"/>
      <c r="E804" s="34"/>
      <c r="F804" s="34"/>
      <c r="G804" s="35"/>
      <c r="H804" s="34"/>
      <c r="I804" s="37"/>
    </row>
    <row r="805" ht="22.5" customHeight="1">
      <c r="A805" s="30"/>
      <c r="B805" s="31"/>
      <c r="C805" s="32"/>
      <c r="D805" s="33"/>
      <c r="E805" s="34"/>
      <c r="F805" s="34"/>
      <c r="G805" s="35"/>
      <c r="H805" s="34"/>
      <c r="I805" s="37"/>
    </row>
    <row r="806" ht="22.5" customHeight="1">
      <c r="A806" s="30"/>
      <c r="B806" s="31"/>
      <c r="C806" s="32"/>
      <c r="D806" s="33"/>
      <c r="E806" s="34"/>
      <c r="F806" s="34"/>
      <c r="G806" s="35"/>
      <c r="H806" s="34"/>
      <c r="I806" s="37"/>
    </row>
    <row r="807" ht="22.5" customHeight="1">
      <c r="A807" s="30"/>
      <c r="B807" s="31"/>
      <c r="C807" s="32"/>
      <c r="D807" s="33"/>
      <c r="E807" s="34"/>
      <c r="F807" s="34"/>
      <c r="G807" s="35"/>
      <c r="H807" s="34"/>
      <c r="I807" s="37"/>
    </row>
    <row r="808" ht="22.5" customHeight="1">
      <c r="A808" s="30"/>
      <c r="B808" s="31"/>
      <c r="C808" s="32"/>
      <c r="D808" s="33"/>
      <c r="E808" s="34"/>
      <c r="F808" s="34"/>
      <c r="G808" s="35"/>
      <c r="H808" s="34"/>
      <c r="I808" s="37"/>
    </row>
    <row r="809" ht="22.5" customHeight="1">
      <c r="A809" s="30"/>
      <c r="B809" s="31"/>
      <c r="C809" s="32"/>
      <c r="D809" s="33"/>
      <c r="E809" s="34"/>
      <c r="F809" s="34"/>
      <c r="G809" s="35"/>
      <c r="H809" s="34"/>
      <c r="I809" s="37"/>
    </row>
    <row r="810" ht="22.5" customHeight="1">
      <c r="A810" s="30"/>
      <c r="B810" s="31"/>
      <c r="C810" s="32"/>
      <c r="D810" s="33"/>
      <c r="E810" s="34"/>
      <c r="F810" s="34"/>
      <c r="G810" s="35"/>
      <c r="H810" s="34"/>
      <c r="I810" s="37"/>
    </row>
    <row r="811" ht="22.5" customHeight="1">
      <c r="A811" s="30"/>
      <c r="B811" s="31"/>
      <c r="C811" s="32"/>
      <c r="D811" s="33"/>
      <c r="E811" s="34"/>
      <c r="F811" s="34"/>
      <c r="G811" s="35"/>
      <c r="H811" s="34"/>
      <c r="I811" s="37"/>
    </row>
    <row r="812" ht="22.5" customHeight="1">
      <c r="A812" s="30"/>
      <c r="B812" s="31"/>
      <c r="C812" s="32"/>
      <c r="D812" s="33"/>
      <c r="E812" s="34"/>
      <c r="F812" s="34"/>
      <c r="G812" s="35"/>
      <c r="H812" s="34"/>
      <c r="I812" s="37"/>
    </row>
    <row r="813" ht="22.5" customHeight="1">
      <c r="A813" s="30"/>
      <c r="B813" s="31"/>
      <c r="C813" s="32"/>
      <c r="D813" s="33"/>
      <c r="E813" s="34"/>
      <c r="F813" s="34"/>
      <c r="G813" s="35"/>
      <c r="H813" s="34"/>
      <c r="I813" s="37"/>
    </row>
    <row r="814" ht="22.5" customHeight="1">
      <c r="A814" s="30"/>
      <c r="B814" s="40"/>
      <c r="C814" s="32"/>
      <c r="D814" s="33"/>
      <c r="E814" s="34"/>
      <c r="F814" s="34"/>
      <c r="G814" s="35"/>
      <c r="H814" s="34"/>
      <c r="I814" s="37"/>
    </row>
    <row r="815" ht="22.5" customHeight="1">
      <c r="A815" s="30"/>
      <c r="B815" s="31"/>
      <c r="C815" s="32"/>
      <c r="D815" s="33"/>
      <c r="E815" s="34"/>
      <c r="F815" s="34"/>
      <c r="G815" s="35"/>
      <c r="H815" s="34"/>
      <c r="I815" s="37"/>
    </row>
    <row r="816" ht="22.5" customHeight="1">
      <c r="A816" s="30"/>
      <c r="B816" s="31"/>
      <c r="C816" s="32"/>
      <c r="D816" s="33"/>
      <c r="E816" s="34"/>
      <c r="F816" s="34"/>
      <c r="G816" s="35"/>
      <c r="H816" s="34"/>
      <c r="I816" s="37"/>
    </row>
    <row r="817" ht="22.5" customHeight="1">
      <c r="A817" s="30"/>
      <c r="B817" s="31"/>
      <c r="C817" s="32"/>
      <c r="D817" s="33"/>
      <c r="E817" s="34"/>
      <c r="F817" s="34"/>
      <c r="G817" s="35"/>
      <c r="H817" s="34"/>
      <c r="I817" s="37"/>
    </row>
    <row r="818" ht="22.5" customHeight="1">
      <c r="A818" s="30"/>
      <c r="B818" s="31"/>
      <c r="C818" s="32"/>
      <c r="D818" s="33"/>
      <c r="E818" s="34"/>
      <c r="F818" s="34"/>
      <c r="G818" s="35"/>
      <c r="H818" s="34"/>
      <c r="I818" s="38"/>
    </row>
    <row r="819" ht="22.5" customHeight="1">
      <c r="A819" s="30"/>
      <c r="B819" s="39"/>
      <c r="C819" s="32"/>
      <c r="D819" s="33"/>
      <c r="E819" s="34"/>
      <c r="F819" s="34"/>
      <c r="G819" s="35"/>
      <c r="H819" s="34"/>
      <c r="I819" s="37"/>
    </row>
    <row r="820" ht="22.5" customHeight="1">
      <c r="A820" s="30"/>
      <c r="B820" s="31"/>
      <c r="C820" s="32"/>
      <c r="D820" s="33"/>
      <c r="E820" s="34"/>
      <c r="F820" s="34"/>
      <c r="G820" s="35"/>
      <c r="H820" s="34"/>
      <c r="I820" s="37"/>
    </row>
    <row r="821" ht="22.5" customHeight="1">
      <c r="A821" s="30"/>
      <c r="B821" s="31"/>
      <c r="C821" s="32"/>
      <c r="D821" s="33"/>
      <c r="E821" s="34"/>
      <c r="F821" s="34"/>
      <c r="G821" s="35"/>
      <c r="H821" s="34"/>
      <c r="I821" s="37"/>
    </row>
    <row r="822" ht="22.5" customHeight="1">
      <c r="A822" s="30"/>
      <c r="B822" s="31"/>
      <c r="C822" s="32"/>
      <c r="D822" s="33"/>
      <c r="E822" s="34"/>
      <c r="F822" s="34"/>
      <c r="G822" s="35"/>
      <c r="H822" s="34"/>
      <c r="I822" s="37"/>
    </row>
    <row r="823" ht="22.5" customHeight="1">
      <c r="A823" s="30"/>
      <c r="B823" s="39"/>
      <c r="C823" s="32"/>
      <c r="D823" s="33"/>
      <c r="E823" s="34"/>
      <c r="F823" s="34"/>
      <c r="G823" s="35"/>
      <c r="H823" s="34"/>
      <c r="I823" s="37"/>
    </row>
    <row r="824" ht="22.5" customHeight="1">
      <c r="A824" s="30"/>
      <c r="B824" s="31"/>
      <c r="C824" s="32"/>
      <c r="D824" s="33"/>
      <c r="E824" s="34"/>
      <c r="F824" s="34"/>
      <c r="G824" s="35"/>
      <c r="H824" s="34"/>
      <c r="I824" s="37"/>
    </row>
    <row r="825" ht="22.5" customHeight="1">
      <c r="A825" s="30"/>
      <c r="B825" s="39"/>
      <c r="C825" s="32"/>
      <c r="D825" s="33"/>
      <c r="E825" s="34"/>
      <c r="F825" s="34"/>
      <c r="G825" s="35"/>
      <c r="H825" s="34"/>
      <c r="I825" s="37"/>
    </row>
    <row r="826" ht="22.5" customHeight="1">
      <c r="A826" s="30"/>
      <c r="B826" s="31"/>
      <c r="C826" s="32"/>
      <c r="D826" s="33"/>
      <c r="E826" s="34"/>
      <c r="F826" s="34"/>
      <c r="G826" s="35"/>
      <c r="H826" s="34"/>
      <c r="I826" s="37"/>
    </row>
    <row r="827" ht="22.5" customHeight="1">
      <c r="A827" s="30"/>
      <c r="B827" s="31"/>
      <c r="C827" s="32"/>
      <c r="D827" s="33"/>
      <c r="E827" s="34"/>
      <c r="F827" s="34"/>
      <c r="G827" s="35"/>
      <c r="H827" s="34"/>
      <c r="I827" s="37"/>
    </row>
    <row r="828" ht="22.5" customHeight="1">
      <c r="A828" s="30"/>
      <c r="B828" s="31"/>
      <c r="C828" s="32"/>
      <c r="D828" s="33"/>
      <c r="E828" s="34"/>
      <c r="F828" s="34"/>
      <c r="G828" s="35"/>
      <c r="H828" s="34"/>
      <c r="I828" s="37"/>
    </row>
    <row r="829" ht="22.5" customHeight="1">
      <c r="A829" s="30"/>
      <c r="B829" s="31"/>
      <c r="C829" s="32"/>
      <c r="D829" s="33"/>
      <c r="E829" s="34"/>
      <c r="F829" s="34"/>
      <c r="G829" s="35"/>
      <c r="H829" s="34"/>
      <c r="I829" s="37"/>
    </row>
    <row r="830" ht="22.5" customHeight="1">
      <c r="A830" s="30"/>
      <c r="B830" s="31"/>
      <c r="C830" s="32"/>
      <c r="D830" s="33"/>
      <c r="E830" s="34"/>
      <c r="F830" s="34"/>
      <c r="G830" s="35"/>
      <c r="H830" s="34"/>
      <c r="I830" s="37"/>
    </row>
    <row r="831" ht="22.5" customHeight="1">
      <c r="A831" s="30"/>
      <c r="B831" s="31"/>
      <c r="C831" s="32"/>
      <c r="D831" s="33"/>
      <c r="E831" s="34"/>
      <c r="F831" s="34"/>
      <c r="G831" s="35"/>
      <c r="H831" s="34"/>
      <c r="I831" s="37"/>
    </row>
    <row r="832" ht="22.5" customHeight="1">
      <c r="A832" s="30"/>
      <c r="B832" s="31"/>
      <c r="C832" s="32"/>
      <c r="D832" s="33"/>
      <c r="E832" s="34"/>
      <c r="F832" s="34"/>
      <c r="G832" s="35"/>
      <c r="H832" s="34"/>
      <c r="I832" s="37"/>
    </row>
    <row r="833" ht="22.5" customHeight="1">
      <c r="A833" s="30"/>
      <c r="B833" s="31"/>
      <c r="C833" s="32"/>
      <c r="D833" s="33"/>
      <c r="E833" s="34"/>
      <c r="F833" s="34"/>
      <c r="G833" s="35"/>
      <c r="H833" s="34"/>
      <c r="I833" s="37"/>
    </row>
    <row r="834" ht="22.5" customHeight="1">
      <c r="A834" s="30"/>
      <c r="B834" s="31"/>
      <c r="C834" s="32"/>
      <c r="D834" s="33"/>
      <c r="E834" s="34"/>
      <c r="F834" s="34"/>
      <c r="G834" s="35"/>
      <c r="H834" s="34"/>
      <c r="I834" s="37"/>
    </row>
    <row r="835" ht="22.5" customHeight="1">
      <c r="A835" s="30"/>
      <c r="B835" s="31"/>
      <c r="C835" s="32"/>
      <c r="D835" s="33"/>
      <c r="E835" s="34"/>
      <c r="F835" s="34"/>
      <c r="G835" s="35"/>
      <c r="H835" s="34"/>
      <c r="I835" s="37"/>
    </row>
    <row r="836" ht="22.5" customHeight="1">
      <c r="A836" s="30"/>
      <c r="B836" s="40"/>
      <c r="C836" s="32"/>
      <c r="D836" s="33"/>
      <c r="E836" s="34"/>
      <c r="F836" s="34"/>
      <c r="G836" s="35"/>
      <c r="H836" s="34"/>
      <c r="I836" s="37"/>
    </row>
    <row r="837" ht="22.5" customHeight="1">
      <c r="A837" s="30"/>
      <c r="B837" s="31"/>
      <c r="C837" s="32"/>
      <c r="D837" s="33"/>
      <c r="E837" s="34"/>
      <c r="F837" s="34"/>
      <c r="G837" s="35"/>
      <c r="H837" s="34"/>
      <c r="I837" s="37"/>
    </row>
    <row r="838" ht="22.5" customHeight="1">
      <c r="A838" s="30"/>
      <c r="B838" s="31"/>
      <c r="C838" s="32"/>
      <c r="D838" s="33"/>
      <c r="E838" s="34"/>
      <c r="F838" s="34"/>
      <c r="G838" s="35"/>
      <c r="H838" s="34"/>
      <c r="I838" s="37"/>
    </row>
    <row r="839" ht="22.5" customHeight="1">
      <c r="A839" s="30"/>
      <c r="B839" s="31"/>
      <c r="C839" s="32"/>
      <c r="D839" s="33"/>
      <c r="E839" s="34"/>
      <c r="F839" s="34"/>
      <c r="G839" s="35"/>
      <c r="H839" s="34"/>
      <c r="I839" s="37"/>
    </row>
    <row r="840" ht="22.5" customHeight="1">
      <c r="A840" s="30"/>
      <c r="B840" s="31"/>
      <c r="C840" s="32"/>
      <c r="D840" s="33"/>
      <c r="E840" s="34"/>
      <c r="F840" s="34"/>
      <c r="G840" s="35"/>
      <c r="H840" s="34"/>
      <c r="I840" s="37"/>
    </row>
    <row r="841" ht="22.5" customHeight="1">
      <c r="A841" s="30"/>
      <c r="B841" s="31"/>
      <c r="C841" s="32"/>
      <c r="D841" s="33"/>
      <c r="E841" s="34"/>
      <c r="F841" s="34"/>
      <c r="G841" s="35"/>
      <c r="H841" s="34"/>
      <c r="I841" s="37"/>
    </row>
    <row r="842" ht="22.5" customHeight="1">
      <c r="A842" s="30"/>
      <c r="B842" s="31"/>
      <c r="C842" s="32"/>
      <c r="D842" s="33"/>
      <c r="E842" s="34"/>
      <c r="F842" s="34"/>
      <c r="G842" s="35"/>
      <c r="H842" s="34"/>
      <c r="I842" s="37"/>
    </row>
    <row r="843" ht="22.5" customHeight="1">
      <c r="A843" s="30"/>
      <c r="B843" s="39"/>
      <c r="C843" s="32"/>
      <c r="D843" s="33"/>
      <c r="E843" s="34"/>
      <c r="F843" s="34"/>
      <c r="G843" s="35"/>
      <c r="H843" s="34"/>
      <c r="I843" s="37"/>
    </row>
    <row r="844" ht="22.5" customHeight="1">
      <c r="A844" s="30"/>
      <c r="B844" s="39"/>
      <c r="C844" s="32"/>
      <c r="D844" s="33"/>
      <c r="E844" s="34"/>
      <c r="F844" s="34"/>
      <c r="G844" s="35"/>
      <c r="H844" s="34"/>
      <c r="I844" s="37"/>
    </row>
    <row r="845" ht="22.5" customHeight="1">
      <c r="A845" s="30"/>
      <c r="B845" s="39"/>
      <c r="C845" s="32"/>
      <c r="D845" s="33"/>
      <c r="E845" s="34"/>
      <c r="F845" s="34"/>
      <c r="G845" s="35"/>
      <c r="H845" s="34"/>
      <c r="I845" s="37"/>
    </row>
    <row r="846" ht="22.5" customHeight="1">
      <c r="A846" s="30"/>
      <c r="B846" s="40"/>
      <c r="C846" s="32"/>
      <c r="D846" s="33"/>
      <c r="E846" s="34"/>
      <c r="F846" s="34"/>
      <c r="G846" s="35"/>
      <c r="H846" s="34"/>
      <c r="I846" s="37"/>
    </row>
    <row r="847" ht="22.5" customHeight="1">
      <c r="A847" s="30"/>
      <c r="B847" s="31"/>
      <c r="C847" s="32"/>
      <c r="D847" s="33"/>
      <c r="E847" s="34"/>
      <c r="F847" s="34"/>
      <c r="G847" s="35"/>
      <c r="H847" s="34"/>
      <c r="I847" s="37"/>
    </row>
    <row r="848" ht="22.5" customHeight="1">
      <c r="A848" s="30"/>
      <c r="B848" s="31"/>
      <c r="C848" s="32"/>
      <c r="D848" s="33"/>
      <c r="E848" s="34"/>
      <c r="F848" s="34"/>
      <c r="G848" s="35"/>
      <c r="H848" s="34"/>
      <c r="I848" s="37"/>
    </row>
    <row r="849" ht="22.5" customHeight="1">
      <c r="A849" s="30"/>
      <c r="B849" s="31"/>
      <c r="C849" s="32"/>
      <c r="D849" s="33"/>
      <c r="E849" s="34"/>
      <c r="F849" s="34"/>
      <c r="G849" s="35"/>
      <c r="H849" s="34"/>
      <c r="I849" s="37"/>
    </row>
    <row r="850" ht="22.5" customHeight="1">
      <c r="A850" s="30"/>
      <c r="B850" s="31"/>
      <c r="C850" s="32"/>
      <c r="D850" s="33"/>
      <c r="E850" s="34"/>
      <c r="F850" s="34"/>
      <c r="G850" s="35"/>
      <c r="H850" s="34"/>
      <c r="I850" s="37"/>
    </row>
    <row r="851" ht="22.5" customHeight="1">
      <c r="A851" s="30"/>
      <c r="B851" s="31"/>
      <c r="C851" s="32"/>
      <c r="D851" s="33"/>
      <c r="E851" s="34"/>
      <c r="F851" s="34"/>
      <c r="G851" s="35"/>
      <c r="H851" s="34"/>
      <c r="I851" s="37"/>
    </row>
    <row r="852" ht="22.5" customHeight="1">
      <c r="A852" s="30"/>
      <c r="B852" s="31"/>
      <c r="C852" s="32"/>
      <c r="D852" s="33"/>
      <c r="E852" s="34"/>
      <c r="F852" s="34"/>
      <c r="G852" s="35"/>
      <c r="H852" s="34"/>
      <c r="I852" s="37"/>
    </row>
    <row r="853" ht="22.5" customHeight="1">
      <c r="A853" s="30"/>
      <c r="B853" s="31"/>
      <c r="C853" s="32"/>
      <c r="D853" s="33"/>
      <c r="E853" s="34"/>
      <c r="F853" s="34"/>
      <c r="G853" s="35"/>
      <c r="H853" s="34"/>
      <c r="I853" s="37"/>
    </row>
    <row r="854" ht="22.5" customHeight="1">
      <c r="A854" s="30"/>
      <c r="B854" s="31"/>
      <c r="C854" s="32"/>
      <c r="D854" s="33"/>
      <c r="E854" s="34"/>
      <c r="F854" s="34"/>
      <c r="G854" s="35"/>
      <c r="H854" s="34"/>
      <c r="I854" s="37"/>
    </row>
    <row r="855" ht="22.5" customHeight="1">
      <c r="A855" s="30"/>
      <c r="B855" s="31"/>
      <c r="C855" s="32"/>
      <c r="D855" s="33"/>
      <c r="E855" s="34"/>
      <c r="F855" s="34"/>
      <c r="G855" s="35"/>
      <c r="H855" s="34"/>
      <c r="I855" s="37"/>
    </row>
    <row r="856" ht="22.5" customHeight="1">
      <c r="A856" s="30"/>
      <c r="B856" s="40"/>
      <c r="C856" s="32"/>
      <c r="D856" s="33"/>
      <c r="E856" s="34"/>
      <c r="F856" s="34"/>
      <c r="G856" s="35"/>
      <c r="H856" s="34"/>
      <c r="I856" s="37"/>
    </row>
    <row r="857" ht="22.5" customHeight="1">
      <c r="A857" s="30"/>
      <c r="B857" s="31"/>
      <c r="C857" s="32"/>
      <c r="D857" s="33"/>
      <c r="E857" s="34"/>
      <c r="F857" s="34"/>
      <c r="G857" s="35"/>
      <c r="H857" s="34"/>
      <c r="I857" s="37"/>
    </row>
    <row r="858" ht="22.5" customHeight="1">
      <c r="A858" s="30"/>
      <c r="B858" s="31"/>
      <c r="C858" s="32"/>
      <c r="D858" s="33"/>
      <c r="E858" s="34"/>
      <c r="F858" s="34"/>
      <c r="G858" s="35"/>
      <c r="H858" s="34"/>
      <c r="I858" s="37"/>
    </row>
    <row r="859" ht="22.5" customHeight="1">
      <c r="A859" s="30"/>
      <c r="B859" s="31"/>
      <c r="C859" s="32"/>
      <c r="D859" s="33"/>
      <c r="E859" s="34"/>
      <c r="F859" s="34"/>
      <c r="G859" s="35"/>
      <c r="H859" s="34"/>
      <c r="I859" s="37"/>
    </row>
    <row r="860" ht="22.5" customHeight="1">
      <c r="A860" s="30"/>
      <c r="B860" s="40"/>
      <c r="C860" s="32"/>
      <c r="D860" s="33"/>
      <c r="E860" s="34"/>
      <c r="F860" s="34"/>
      <c r="G860" s="35"/>
      <c r="H860" s="34"/>
      <c r="I860" s="37"/>
    </row>
    <row r="861" ht="22.5" customHeight="1">
      <c r="A861" s="30"/>
      <c r="B861" s="31"/>
      <c r="C861" s="32"/>
      <c r="D861" s="33"/>
      <c r="E861" s="34"/>
      <c r="F861" s="34"/>
      <c r="G861" s="35"/>
      <c r="H861" s="34"/>
      <c r="I861" s="37"/>
    </row>
    <row r="862" ht="22.5" customHeight="1">
      <c r="A862" s="30"/>
      <c r="B862" s="31"/>
      <c r="C862" s="32"/>
      <c r="D862" s="33"/>
      <c r="E862" s="34"/>
      <c r="F862" s="34"/>
      <c r="G862" s="35"/>
      <c r="H862" s="34"/>
      <c r="I862" s="37"/>
    </row>
    <row r="863" ht="22.5" customHeight="1">
      <c r="A863" s="30"/>
      <c r="B863" s="31"/>
      <c r="C863" s="32"/>
      <c r="D863" s="33"/>
      <c r="E863" s="34"/>
      <c r="F863" s="34"/>
      <c r="G863" s="35"/>
      <c r="H863" s="34"/>
      <c r="I863" s="37"/>
    </row>
    <row r="864" ht="22.5" customHeight="1">
      <c r="A864" s="30"/>
      <c r="B864" s="31"/>
      <c r="C864" s="32"/>
      <c r="D864" s="33"/>
      <c r="E864" s="34"/>
      <c r="F864" s="34"/>
      <c r="G864" s="35"/>
      <c r="H864" s="34"/>
      <c r="I864" s="37"/>
    </row>
    <row r="865" ht="22.5" customHeight="1">
      <c r="A865" s="30"/>
      <c r="B865" s="31"/>
      <c r="C865" s="32"/>
      <c r="D865" s="33"/>
      <c r="E865" s="34"/>
      <c r="F865" s="34"/>
      <c r="G865" s="35"/>
      <c r="H865" s="34"/>
      <c r="I865" s="37"/>
    </row>
    <row r="866" ht="22.5" customHeight="1">
      <c r="A866" s="30"/>
      <c r="B866" s="31"/>
      <c r="C866" s="32"/>
      <c r="D866" s="33"/>
      <c r="E866" s="34"/>
      <c r="F866" s="34"/>
      <c r="G866" s="35"/>
      <c r="H866" s="34"/>
      <c r="I866" s="37"/>
    </row>
    <row r="867" ht="22.5" customHeight="1">
      <c r="A867" s="30"/>
      <c r="B867" s="31"/>
      <c r="C867" s="32"/>
      <c r="D867" s="33"/>
      <c r="E867" s="34"/>
      <c r="F867" s="34"/>
      <c r="G867" s="35"/>
      <c r="H867" s="34"/>
      <c r="I867" s="37"/>
    </row>
    <row r="868" ht="22.5" customHeight="1">
      <c r="A868" s="30"/>
      <c r="B868" s="31"/>
      <c r="C868" s="32"/>
      <c r="D868" s="33"/>
      <c r="E868" s="34"/>
      <c r="F868" s="34"/>
      <c r="G868" s="35"/>
      <c r="H868" s="34"/>
      <c r="I868" s="37"/>
    </row>
    <row r="869" ht="22.5" customHeight="1">
      <c r="A869" s="30"/>
      <c r="B869" s="31"/>
      <c r="C869" s="32"/>
      <c r="D869" s="33"/>
      <c r="E869" s="34"/>
      <c r="F869" s="34"/>
      <c r="G869" s="35"/>
      <c r="H869" s="34"/>
      <c r="I869" s="37"/>
    </row>
    <row r="870" ht="22.5" customHeight="1">
      <c r="A870" s="30"/>
      <c r="B870" s="31"/>
      <c r="C870" s="32"/>
      <c r="D870" s="33"/>
      <c r="E870" s="34"/>
      <c r="F870" s="34"/>
      <c r="G870" s="35"/>
      <c r="H870" s="34"/>
      <c r="I870" s="37"/>
    </row>
    <row r="871" ht="22.5" customHeight="1">
      <c r="A871" s="30"/>
      <c r="B871" s="31"/>
      <c r="C871" s="32"/>
      <c r="D871" s="33"/>
      <c r="E871" s="34"/>
      <c r="F871" s="34"/>
      <c r="G871" s="35"/>
      <c r="H871" s="34"/>
      <c r="I871" s="37"/>
    </row>
    <row r="872" ht="22.5" customHeight="1">
      <c r="A872" s="30"/>
      <c r="B872" s="31"/>
      <c r="C872" s="32"/>
      <c r="D872" s="33"/>
      <c r="E872" s="34"/>
      <c r="F872" s="34"/>
      <c r="G872" s="35"/>
      <c r="H872" s="34"/>
      <c r="I872" s="37"/>
    </row>
    <row r="873" ht="22.5" customHeight="1">
      <c r="A873" s="30"/>
      <c r="B873" s="31"/>
      <c r="C873" s="32"/>
      <c r="D873" s="33"/>
      <c r="E873" s="34"/>
      <c r="F873" s="34"/>
      <c r="G873" s="35"/>
      <c r="H873" s="34"/>
      <c r="I873" s="37"/>
    </row>
    <row r="874" ht="22.5" customHeight="1">
      <c r="A874" s="30"/>
      <c r="B874" s="31"/>
      <c r="C874" s="32"/>
      <c r="D874" s="33"/>
      <c r="E874" s="34"/>
      <c r="F874" s="34"/>
      <c r="G874" s="35"/>
      <c r="H874" s="34"/>
      <c r="I874" s="37"/>
    </row>
    <row r="875" ht="22.5" customHeight="1">
      <c r="A875" s="30"/>
      <c r="B875" s="40"/>
      <c r="C875" s="32"/>
      <c r="D875" s="33"/>
      <c r="E875" s="34"/>
      <c r="F875" s="34"/>
      <c r="G875" s="35"/>
      <c r="H875" s="34"/>
      <c r="I875" s="37"/>
    </row>
    <row r="876" ht="22.5" customHeight="1">
      <c r="A876" s="30"/>
      <c r="B876" s="31"/>
      <c r="C876" s="32"/>
      <c r="D876" s="33"/>
      <c r="E876" s="34"/>
      <c r="F876" s="34"/>
      <c r="G876" s="35"/>
      <c r="H876" s="34"/>
      <c r="I876" s="37"/>
    </row>
    <row r="877" ht="22.5" customHeight="1">
      <c r="A877" s="30"/>
      <c r="B877" s="40"/>
      <c r="C877" s="32"/>
      <c r="D877" s="33"/>
      <c r="E877" s="34"/>
      <c r="F877" s="34"/>
      <c r="G877" s="35"/>
      <c r="H877" s="34"/>
      <c r="I877" s="37"/>
    </row>
    <row r="878" ht="22.5" customHeight="1">
      <c r="A878" s="30"/>
      <c r="B878" s="31"/>
      <c r="C878" s="32"/>
      <c r="D878" s="33"/>
      <c r="E878" s="34"/>
      <c r="F878" s="34"/>
      <c r="G878" s="35"/>
      <c r="H878" s="34"/>
      <c r="I878" s="37"/>
    </row>
    <row r="879" ht="22.5" customHeight="1">
      <c r="A879" s="30"/>
      <c r="B879" s="31"/>
      <c r="C879" s="32"/>
      <c r="D879" s="33"/>
      <c r="E879" s="34"/>
      <c r="F879" s="34"/>
      <c r="G879" s="35"/>
      <c r="H879" s="34"/>
      <c r="I879" s="37"/>
    </row>
    <row r="880" ht="22.5" customHeight="1">
      <c r="A880" s="30"/>
      <c r="B880" s="31"/>
      <c r="C880" s="32"/>
      <c r="D880" s="33"/>
      <c r="E880" s="34"/>
      <c r="F880" s="34"/>
      <c r="G880" s="35"/>
      <c r="H880" s="34"/>
      <c r="I880" s="37"/>
    </row>
    <row r="881" ht="22.5" customHeight="1">
      <c r="A881" s="30"/>
      <c r="B881" s="31"/>
      <c r="C881" s="32"/>
      <c r="D881" s="33"/>
      <c r="E881" s="34"/>
      <c r="F881" s="34"/>
      <c r="G881" s="35"/>
      <c r="H881" s="34"/>
      <c r="I881" s="37"/>
    </row>
    <row r="882" ht="22.5" customHeight="1">
      <c r="A882" s="30"/>
      <c r="B882" s="40"/>
      <c r="C882" s="32"/>
      <c r="D882" s="33"/>
      <c r="E882" s="34"/>
      <c r="F882" s="34"/>
      <c r="G882" s="35"/>
      <c r="H882" s="34"/>
      <c r="I882" s="37"/>
    </row>
    <row r="883" ht="22.5" customHeight="1">
      <c r="A883" s="30"/>
      <c r="B883" s="31"/>
      <c r="C883" s="32"/>
      <c r="D883" s="33"/>
      <c r="E883" s="34"/>
      <c r="F883" s="34"/>
      <c r="G883" s="35"/>
      <c r="H883" s="34"/>
      <c r="I883" s="37"/>
    </row>
    <row r="884" ht="22.5" customHeight="1">
      <c r="A884" s="30"/>
      <c r="B884" s="31"/>
      <c r="C884" s="32"/>
      <c r="D884" s="33"/>
      <c r="E884" s="34"/>
      <c r="F884" s="34"/>
      <c r="G884" s="35"/>
      <c r="H884" s="34"/>
      <c r="I884" s="37"/>
    </row>
    <row r="885" ht="22.5" customHeight="1">
      <c r="A885" s="30"/>
      <c r="B885" s="31"/>
      <c r="C885" s="32"/>
      <c r="D885" s="33"/>
      <c r="E885" s="34"/>
      <c r="F885" s="34"/>
      <c r="G885" s="35"/>
      <c r="H885" s="34"/>
      <c r="I885" s="37"/>
    </row>
    <row r="886" ht="22.5" customHeight="1">
      <c r="A886" s="30"/>
      <c r="B886" s="31"/>
      <c r="C886" s="32"/>
      <c r="D886" s="33"/>
      <c r="E886" s="34"/>
      <c r="F886" s="34"/>
      <c r="G886" s="35"/>
      <c r="H886" s="34"/>
      <c r="I886" s="37"/>
    </row>
    <row r="887" ht="22.5" customHeight="1">
      <c r="A887" s="30"/>
      <c r="B887" s="31"/>
      <c r="C887" s="32"/>
      <c r="D887" s="33"/>
      <c r="E887" s="34"/>
      <c r="F887" s="34"/>
      <c r="G887" s="35"/>
      <c r="H887" s="34"/>
      <c r="I887" s="37"/>
    </row>
    <row r="888" ht="22.5" customHeight="1">
      <c r="A888" s="30"/>
      <c r="B888" s="31"/>
      <c r="C888" s="32"/>
      <c r="D888" s="33"/>
      <c r="E888" s="34"/>
      <c r="F888" s="34"/>
      <c r="G888" s="35"/>
      <c r="H888" s="34"/>
      <c r="I888" s="37"/>
    </row>
    <row r="889" ht="22.5" customHeight="1">
      <c r="A889" s="30"/>
      <c r="B889" s="31"/>
      <c r="C889" s="32"/>
      <c r="D889" s="33"/>
      <c r="E889" s="34"/>
      <c r="F889" s="34"/>
      <c r="G889" s="35"/>
      <c r="H889" s="34"/>
      <c r="I889" s="37"/>
    </row>
    <row r="890" ht="22.5" customHeight="1">
      <c r="A890" s="30"/>
      <c r="B890" s="31"/>
      <c r="C890" s="32"/>
      <c r="D890" s="33"/>
      <c r="E890" s="34"/>
      <c r="F890" s="34"/>
      <c r="G890" s="35"/>
      <c r="H890" s="34"/>
      <c r="I890" s="37"/>
    </row>
    <row r="891" ht="22.5" customHeight="1">
      <c r="A891" s="30"/>
      <c r="B891" s="31"/>
      <c r="C891" s="32"/>
      <c r="D891" s="33"/>
      <c r="E891" s="34"/>
      <c r="F891" s="34"/>
      <c r="G891" s="35"/>
      <c r="H891" s="34"/>
      <c r="I891" s="37"/>
    </row>
    <row r="892" ht="22.5" customHeight="1">
      <c r="A892" s="30"/>
      <c r="B892" s="31"/>
      <c r="C892" s="32"/>
      <c r="D892" s="33"/>
      <c r="E892" s="34"/>
      <c r="F892" s="34"/>
      <c r="G892" s="35"/>
      <c r="H892" s="34"/>
      <c r="I892" s="37"/>
    </row>
    <row r="893" ht="22.5" customHeight="1">
      <c r="A893" s="30"/>
      <c r="B893" s="31"/>
      <c r="C893" s="32"/>
      <c r="D893" s="33"/>
      <c r="E893" s="34"/>
      <c r="F893" s="34"/>
      <c r="G893" s="35"/>
      <c r="H893" s="34"/>
      <c r="I893" s="37"/>
    </row>
    <row r="894" ht="22.5" customHeight="1">
      <c r="A894" s="30"/>
      <c r="B894" s="31"/>
      <c r="C894" s="32"/>
      <c r="D894" s="33"/>
      <c r="E894" s="34"/>
      <c r="F894" s="34"/>
      <c r="G894" s="35"/>
      <c r="H894" s="34"/>
      <c r="I894" s="37"/>
    </row>
    <row r="895" ht="22.5" customHeight="1">
      <c r="A895" s="30"/>
      <c r="B895" s="31"/>
      <c r="C895" s="32"/>
      <c r="D895" s="33"/>
      <c r="E895" s="34"/>
      <c r="F895" s="34"/>
      <c r="G895" s="35"/>
      <c r="H895" s="34"/>
      <c r="I895" s="37"/>
    </row>
    <row r="896" ht="22.5" customHeight="1">
      <c r="A896" s="30"/>
      <c r="B896" s="31"/>
      <c r="C896" s="32"/>
      <c r="D896" s="33"/>
      <c r="E896" s="34"/>
      <c r="F896" s="34"/>
      <c r="G896" s="35"/>
      <c r="H896" s="34"/>
      <c r="I896" s="37"/>
    </row>
    <row r="897" ht="22.5" customHeight="1">
      <c r="A897" s="30"/>
      <c r="B897" s="31"/>
      <c r="C897" s="32"/>
      <c r="D897" s="33"/>
      <c r="E897" s="34"/>
      <c r="F897" s="34"/>
      <c r="G897" s="35"/>
      <c r="H897" s="34"/>
      <c r="I897" s="37"/>
    </row>
    <row r="898" ht="22.5" customHeight="1">
      <c r="A898" s="30"/>
      <c r="B898" s="31"/>
      <c r="C898" s="32"/>
      <c r="D898" s="33"/>
      <c r="E898" s="34"/>
      <c r="F898" s="34"/>
      <c r="G898" s="35"/>
      <c r="H898" s="34"/>
      <c r="I898" s="37"/>
    </row>
    <row r="899" ht="22.5" customHeight="1">
      <c r="A899" s="30"/>
      <c r="B899" s="31"/>
      <c r="C899" s="32"/>
      <c r="D899" s="33"/>
      <c r="E899" s="34"/>
      <c r="F899" s="34"/>
      <c r="G899" s="35"/>
      <c r="H899" s="34"/>
      <c r="I899" s="37"/>
    </row>
    <row r="900" ht="22.5" customHeight="1">
      <c r="A900" s="30"/>
      <c r="B900" s="31"/>
      <c r="C900" s="32"/>
      <c r="D900" s="33"/>
      <c r="E900" s="34"/>
      <c r="F900" s="34"/>
      <c r="G900" s="35"/>
      <c r="H900" s="34"/>
      <c r="I900" s="37"/>
    </row>
    <row r="901" ht="22.5" customHeight="1">
      <c r="A901" s="30"/>
      <c r="B901" s="31"/>
      <c r="C901" s="32"/>
      <c r="D901" s="33"/>
      <c r="E901" s="34"/>
      <c r="F901" s="34"/>
      <c r="G901" s="35"/>
      <c r="H901" s="34"/>
      <c r="I901" s="37"/>
    </row>
    <row r="902" ht="22.5" customHeight="1">
      <c r="A902" s="30"/>
      <c r="B902" s="31"/>
      <c r="C902" s="32"/>
      <c r="D902" s="33"/>
      <c r="E902" s="34"/>
      <c r="F902" s="34"/>
      <c r="G902" s="35"/>
      <c r="H902" s="34"/>
      <c r="I902" s="37"/>
    </row>
    <row r="903" ht="22.5" customHeight="1">
      <c r="A903" s="30"/>
      <c r="B903" s="31"/>
      <c r="C903" s="32"/>
      <c r="D903" s="33"/>
      <c r="E903" s="34"/>
      <c r="F903" s="34"/>
      <c r="G903" s="35"/>
      <c r="H903" s="34"/>
      <c r="I903" s="37"/>
    </row>
    <row r="904" ht="22.5" customHeight="1">
      <c r="A904" s="30"/>
      <c r="B904" s="40"/>
      <c r="C904" s="32"/>
      <c r="D904" s="33"/>
      <c r="E904" s="34"/>
      <c r="F904" s="34"/>
      <c r="G904" s="35"/>
      <c r="H904" s="34"/>
      <c r="I904" s="37"/>
    </row>
    <row r="905" ht="22.5" customHeight="1">
      <c r="A905" s="30"/>
      <c r="B905" s="31"/>
      <c r="C905" s="32"/>
      <c r="D905" s="33"/>
      <c r="E905" s="34"/>
      <c r="F905" s="34"/>
      <c r="G905" s="35"/>
      <c r="H905" s="34"/>
      <c r="I905" s="37"/>
    </row>
    <row r="906" ht="22.5" customHeight="1">
      <c r="A906" s="30"/>
      <c r="B906" s="31"/>
      <c r="C906" s="32"/>
      <c r="D906" s="33"/>
      <c r="E906" s="34"/>
      <c r="F906" s="34"/>
      <c r="G906" s="35"/>
      <c r="H906" s="34"/>
      <c r="I906" s="37"/>
    </row>
    <row r="907" ht="22.5" customHeight="1">
      <c r="A907" s="30"/>
      <c r="B907" s="31"/>
      <c r="C907" s="32"/>
      <c r="D907" s="33"/>
      <c r="E907" s="34"/>
      <c r="F907" s="34"/>
      <c r="G907" s="35"/>
      <c r="H907" s="34"/>
      <c r="I907" s="37"/>
    </row>
    <row r="908" ht="22.5" customHeight="1">
      <c r="A908" s="30"/>
      <c r="B908" s="31"/>
      <c r="C908" s="32"/>
      <c r="D908" s="33"/>
      <c r="E908" s="34"/>
      <c r="F908" s="34"/>
      <c r="G908" s="35"/>
      <c r="H908" s="34"/>
      <c r="I908" s="38"/>
    </row>
    <row r="909" ht="22.5" customHeight="1">
      <c r="A909" s="30"/>
      <c r="B909" s="39"/>
      <c r="C909" s="32"/>
      <c r="D909" s="33"/>
      <c r="E909" s="34"/>
      <c r="F909" s="34"/>
      <c r="G909" s="35"/>
      <c r="H909" s="34"/>
      <c r="I909" s="37"/>
    </row>
    <row r="910" ht="22.5" customHeight="1">
      <c r="A910" s="30"/>
      <c r="B910" s="31"/>
      <c r="C910" s="32"/>
      <c r="D910" s="33"/>
      <c r="E910" s="34"/>
      <c r="F910" s="34"/>
      <c r="G910" s="35"/>
      <c r="H910" s="34"/>
      <c r="I910" s="37"/>
    </row>
    <row r="911" ht="22.5" customHeight="1">
      <c r="A911" s="30"/>
      <c r="B911" s="31"/>
      <c r="C911" s="32"/>
      <c r="D911" s="33"/>
      <c r="E911" s="34"/>
      <c r="F911" s="34"/>
      <c r="G911" s="35"/>
      <c r="H911" s="34"/>
      <c r="I911" s="37"/>
    </row>
    <row r="912" ht="22.5" customHeight="1">
      <c r="A912" s="30"/>
      <c r="B912" s="31"/>
      <c r="C912" s="32"/>
      <c r="D912" s="33"/>
      <c r="E912" s="34"/>
      <c r="F912" s="34"/>
      <c r="G912" s="35"/>
      <c r="H912" s="34"/>
      <c r="I912" s="37"/>
    </row>
    <row r="913" ht="22.5" customHeight="1">
      <c r="A913" s="30"/>
      <c r="B913" s="39"/>
      <c r="C913" s="32"/>
      <c r="D913" s="33"/>
      <c r="E913" s="34"/>
      <c r="F913" s="34"/>
      <c r="G913" s="35"/>
      <c r="H913" s="34"/>
      <c r="I913" s="37"/>
    </row>
    <row r="914" ht="22.5" customHeight="1">
      <c r="A914" s="30"/>
      <c r="B914" s="31"/>
      <c r="C914" s="32"/>
      <c r="D914" s="33"/>
      <c r="E914" s="34"/>
      <c r="F914" s="34"/>
      <c r="G914" s="35"/>
      <c r="H914" s="34"/>
      <c r="I914" s="37"/>
    </row>
    <row r="915" ht="22.5" customHeight="1">
      <c r="A915" s="30"/>
      <c r="B915" s="39"/>
      <c r="C915" s="32"/>
      <c r="D915" s="33"/>
      <c r="E915" s="34"/>
      <c r="F915" s="34"/>
      <c r="G915" s="35"/>
      <c r="H915" s="34"/>
      <c r="I915" s="37"/>
    </row>
    <row r="916" ht="22.5" customHeight="1">
      <c r="A916" s="30"/>
      <c r="B916" s="31"/>
      <c r="C916" s="32"/>
      <c r="D916" s="33"/>
      <c r="E916" s="34"/>
      <c r="F916" s="34"/>
      <c r="G916" s="35"/>
      <c r="H916" s="34"/>
      <c r="I916" s="37"/>
    </row>
    <row r="917" ht="22.5" customHeight="1">
      <c r="A917" s="30"/>
      <c r="B917" s="31"/>
      <c r="C917" s="32"/>
      <c r="D917" s="33"/>
      <c r="E917" s="34"/>
      <c r="F917" s="34"/>
      <c r="G917" s="35"/>
      <c r="H917" s="34"/>
      <c r="I917" s="37"/>
    </row>
    <row r="918" ht="22.5" customHeight="1">
      <c r="A918" s="30"/>
      <c r="B918" s="31"/>
      <c r="C918" s="32"/>
      <c r="D918" s="33"/>
      <c r="E918" s="34"/>
      <c r="F918" s="34"/>
      <c r="G918" s="35"/>
      <c r="H918" s="34"/>
      <c r="I918" s="37"/>
    </row>
    <row r="919" ht="22.5" customHeight="1">
      <c r="A919" s="30"/>
      <c r="B919" s="31"/>
      <c r="C919" s="32"/>
      <c r="D919" s="33"/>
      <c r="E919" s="34"/>
      <c r="F919" s="34"/>
      <c r="G919" s="35"/>
      <c r="H919" s="34"/>
      <c r="I919" s="37"/>
    </row>
    <row r="920" ht="22.5" customHeight="1">
      <c r="A920" s="30"/>
      <c r="B920" s="31"/>
      <c r="C920" s="32"/>
      <c r="D920" s="33"/>
      <c r="E920" s="34"/>
      <c r="F920" s="34"/>
      <c r="G920" s="35"/>
      <c r="H920" s="34"/>
      <c r="I920" s="37"/>
    </row>
    <row r="921" ht="22.5" customHeight="1">
      <c r="A921" s="30"/>
      <c r="B921" s="31"/>
      <c r="C921" s="32"/>
      <c r="D921" s="33"/>
      <c r="E921" s="34"/>
      <c r="F921" s="34"/>
      <c r="G921" s="35"/>
      <c r="H921" s="34"/>
      <c r="I921" s="37"/>
    </row>
    <row r="922" ht="22.5" customHeight="1">
      <c r="A922" s="30"/>
      <c r="B922" s="31"/>
      <c r="C922" s="32"/>
      <c r="D922" s="33"/>
      <c r="E922" s="34"/>
      <c r="F922" s="34"/>
      <c r="G922" s="35"/>
      <c r="H922" s="34"/>
      <c r="I922" s="37"/>
    </row>
    <row r="923" ht="22.5" customHeight="1">
      <c r="A923" s="30"/>
      <c r="B923" s="31"/>
      <c r="C923" s="32"/>
      <c r="D923" s="33"/>
      <c r="E923" s="34"/>
      <c r="F923" s="34"/>
      <c r="G923" s="35"/>
      <c r="H923" s="34"/>
      <c r="I923" s="37"/>
    </row>
    <row r="924" ht="22.5" customHeight="1">
      <c r="A924" s="30"/>
      <c r="B924" s="31"/>
      <c r="C924" s="32"/>
      <c r="D924" s="33"/>
      <c r="E924" s="34"/>
      <c r="F924" s="34"/>
      <c r="G924" s="35"/>
      <c r="H924" s="34"/>
      <c r="I924" s="37"/>
    </row>
    <row r="925" ht="22.5" customHeight="1">
      <c r="A925" s="30"/>
      <c r="B925" s="31"/>
      <c r="C925" s="32"/>
      <c r="D925" s="33"/>
      <c r="E925" s="34"/>
      <c r="F925" s="34"/>
      <c r="G925" s="35"/>
      <c r="H925" s="34"/>
      <c r="I925" s="37"/>
    </row>
    <row r="926" ht="22.5" customHeight="1">
      <c r="A926" s="30"/>
      <c r="B926" s="40"/>
      <c r="C926" s="32"/>
      <c r="D926" s="33"/>
      <c r="E926" s="34"/>
      <c r="F926" s="34"/>
      <c r="G926" s="35"/>
      <c r="H926" s="34"/>
      <c r="I926" s="37"/>
    </row>
    <row r="927" ht="22.5" customHeight="1">
      <c r="A927" s="30"/>
      <c r="B927" s="31"/>
      <c r="C927" s="32"/>
      <c r="D927" s="33"/>
      <c r="E927" s="34"/>
      <c r="F927" s="34"/>
      <c r="G927" s="35"/>
      <c r="H927" s="34"/>
      <c r="I927" s="37"/>
    </row>
    <row r="928" ht="22.5" customHeight="1">
      <c r="A928" s="30"/>
      <c r="B928" s="31"/>
      <c r="C928" s="32"/>
      <c r="D928" s="33"/>
      <c r="E928" s="34"/>
      <c r="F928" s="34"/>
      <c r="G928" s="35"/>
      <c r="H928" s="34"/>
      <c r="I928" s="37"/>
    </row>
    <row r="929" ht="22.5" customHeight="1">
      <c r="A929" s="30"/>
      <c r="B929" s="31"/>
      <c r="C929" s="32"/>
      <c r="D929" s="33"/>
      <c r="E929" s="34"/>
      <c r="F929" s="34"/>
      <c r="G929" s="35"/>
      <c r="H929" s="34"/>
      <c r="I929" s="37"/>
    </row>
    <row r="930" ht="22.5" customHeight="1">
      <c r="A930" s="30"/>
      <c r="B930" s="31"/>
      <c r="C930" s="32"/>
      <c r="D930" s="33"/>
      <c r="E930" s="34"/>
      <c r="F930" s="34"/>
      <c r="G930" s="35"/>
      <c r="H930" s="34"/>
      <c r="I930" s="37"/>
    </row>
    <row r="931" ht="22.5" customHeight="1">
      <c r="A931" s="30"/>
      <c r="B931" s="31"/>
      <c r="C931" s="32"/>
      <c r="D931" s="33"/>
      <c r="E931" s="34"/>
      <c r="F931" s="34"/>
      <c r="G931" s="35"/>
      <c r="H931" s="34"/>
      <c r="I931" s="37"/>
    </row>
    <row r="932" ht="22.5" customHeight="1">
      <c r="A932" s="30"/>
      <c r="B932" s="31"/>
      <c r="C932" s="32"/>
      <c r="D932" s="33"/>
      <c r="E932" s="34"/>
      <c r="F932" s="34"/>
      <c r="G932" s="35"/>
      <c r="H932" s="34"/>
      <c r="I932" s="37"/>
    </row>
    <row r="933" ht="22.5" customHeight="1">
      <c r="A933" s="30"/>
      <c r="B933" s="39"/>
      <c r="C933" s="32"/>
      <c r="D933" s="33"/>
      <c r="E933" s="34"/>
      <c r="F933" s="34"/>
      <c r="G933" s="35"/>
      <c r="H933" s="34"/>
      <c r="I933" s="37"/>
    </row>
    <row r="934" ht="22.5" customHeight="1">
      <c r="A934" s="30"/>
      <c r="B934" s="39"/>
      <c r="C934" s="32"/>
      <c r="D934" s="33"/>
      <c r="E934" s="34"/>
      <c r="F934" s="34"/>
      <c r="G934" s="35"/>
      <c r="H934" s="34"/>
      <c r="I934" s="37"/>
    </row>
    <row r="935" ht="22.5" customHeight="1">
      <c r="A935" s="30"/>
      <c r="B935" s="39"/>
      <c r="C935" s="32"/>
      <c r="D935" s="33"/>
      <c r="E935" s="34"/>
      <c r="F935" s="34"/>
      <c r="G935" s="35"/>
      <c r="H935" s="34"/>
      <c r="I935" s="37"/>
    </row>
    <row r="936" ht="22.5" customHeight="1">
      <c r="A936" s="30"/>
      <c r="B936" s="40"/>
      <c r="C936" s="32"/>
      <c r="D936" s="33"/>
      <c r="E936" s="34"/>
      <c r="F936" s="34"/>
      <c r="G936" s="35"/>
      <c r="H936" s="34"/>
      <c r="I936" s="37"/>
    </row>
    <row r="937" ht="22.5" customHeight="1">
      <c r="A937" s="30"/>
      <c r="B937" s="31"/>
      <c r="C937" s="32"/>
      <c r="D937" s="33"/>
      <c r="E937" s="34"/>
      <c r="F937" s="34"/>
      <c r="G937" s="35"/>
      <c r="H937" s="34"/>
      <c r="I937" s="37"/>
    </row>
    <row r="938" ht="22.5" customHeight="1">
      <c r="A938" s="30"/>
      <c r="B938" s="31"/>
      <c r="C938" s="32"/>
      <c r="D938" s="33"/>
      <c r="E938" s="34"/>
      <c r="F938" s="34"/>
      <c r="G938" s="35"/>
      <c r="H938" s="34"/>
      <c r="I938" s="37"/>
    </row>
    <row r="939" ht="22.5" customHeight="1">
      <c r="A939" s="30"/>
      <c r="B939" s="31"/>
      <c r="C939" s="32"/>
      <c r="D939" s="33"/>
      <c r="E939" s="34"/>
      <c r="F939" s="34"/>
      <c r="G939" s="35"/>
      <c r="H939" s="34"/>
      <c r="I939" s="37"/>
    </row>
    <row r="940" ht="22.5" customHeight="1">
      <c r="A940" s="30"/>
      <c r="B940" s="31"/>
      <c r="C940" s="32"/>
      <c r="D940" s="33"/>
      <c r="E940" s="34"/>
      <c r="F940" s="34"/>
      <c r="G940" s="35"/>
      <c r="H940" s="34"/>
      <c r="I940" s="37"/>
    </row>
    <row r="941" ht="22.5" customHeight="1">
      <c r="A941" s="30"/>
      <c r="B941" s="31"/>
      <c r="C941" s="32"/>
      <c r="D941" s="33"/>
      <c r="E941" s="34"/>
      <c r="F941" s="34"/>
      <c r="G941" s="35"/>
      <c r="H941" s="34"/>
      <c r="I941" s="37"/>
    </row>
    <row r="942" ht="22.5" customHeight="1">
      <c r="A942" s="30"/>
      <c r="B942" s="31"/>
      <c r="C942" s="32"/>
      <c r="D942" s="33"/>
      <c r="E942" s="34"/>
      <c r="F942" s="34"/>
      <c r="G942" s="35"/>
      <c r="H942" s="34"/>
      <c r="I942" s="37"/>
    </row>
    <row r="943" ht="22.5" customHeight="1">
      <c r="A943" s="30"/>
      <c r="B943" s="31"/>
      <c r="C943" s="32"/>
      <c r="D943" s="33"/>
      <c r="E943" s="34"/>
      <c r="F943" s="34"/>
      <c r="G943" s="35"/>
      <c r="H943" s="34"/>
      <c r="I943" s="37"/>
    </row>
    <row r="944" ht="22.5" customHeight="1">
      <c r="A944" s="30"/>
      <c r="B944" s="31"/>
      <c r="C944" s="32"/>
      <c r="D944" s="33"/>
      <c r="E944" s="34"/>
      <c r="F944" s="34"/>
      <c r="G944" s="35"/>
      <c r="H944" s="34"/>
      <c r="I944" s="37"/>
    </row>
    <row r="945" ht="22.5" customHeight="1">
      <c r="A945" s="30"/>
      <c r="B945" s="31"/>
      <c r="C945" s="32"/>
      <c r="D945" s="33"/>
      <c r="E945" s="34"/>
      <c r="F945" s="34"/>
      <c r="G945" s="35"/>
      <c r="H945" s="34"/>
      <c r="I945" s="37"/>
    </row>
    <row r="946" ht="22.5" customHeight="1">
      <c r="A946" s="30"/>
      <c r="B946" s="40"/>
      <c r="C946" s="32"/>
      <c r="D946" s="33"/>
      <c r="E946" s="34"/>
      <c r="F946" s="34"/>
      <c r="G946" s="35"/>
      <c r="H946" s="34"/>
      <c r="I946" s="37"/>
    </row>
    <row r="947" ht="22.5" customHeight="1">
      <c r="A947" s="30"/>
      <c r="B947" s="31"/>
      <c r="C947" s="32"/>
      <c r="D947" s="33"/>
      <c r="E947" s="34"/>
      <c r="F947" s="34"/>
      <c r="G947" s="35"/>
      <c r="H947" s="34"/>
      <c r="I947" s="37"/>
    </row>
    <row r="948" ht="22.5" customHeight="1">
      <c r="A948" s="30"/>
      <c r="B948" s="31"/>
      <c r="C948" s="32"/>
      <c r="D948" s="33"/>
      <c r="E948" s="34"/>
      <c r="F948" s="34"/>
      <c r="G948" s="35"/>
      <c r="H948" s="34"/>
      <c r="I948" s="37"/>
    </row>
    <row r="949" ht="22.5" customHeight="1">
      <c r="A949" s="30"/>
      <c r="B949" s="31"/>
      <c r="C949" s="32"/>
      <c r="D949" s="33"/>
      <c r="E949" s="34"/>
      <c r="F949" s="34"/>
      <c r="G949" s="35"/>
      <c r="H949" s="34"/>
      <c r="I949" s="37"/>
    </row>
    <row r="950" ht="22.5" customHeight="1">
      <c r="A950" s="30"/>
      <c r="B950" s="40"/>
      <c r="C950" s="32"/>
      <c r="D950" s="33"/>
      <c r="E950" s="34"/>
      <c r="F950" s="34"/>
      <c r="G950" s="35"/>
      <c r="H950" s="34"/>
      <c r="I950" s="37"/>
    </row>
    <row r="951" ht="22.5" customHeight="1">
      <c r="A951" s="30"/>
      <c r="B951" s="31"/>
      <c r="C951" s="32"/>
      <c r="D951" s="33"/>
      <c r="E951" s="34"/>
      <c r="F951" s="34"/>
      <c r="G951" s="35"/>
      <c r="H951" s="34"/>
      <c r="I951" s="37"/>
    </row>
    <row r="952" ht="22.5" customHeight="1">
      <c r="A952" s="30"/>
      <c r="B952" s="31"/>
      <c r="C952" s="32"/>
      <c r="D952" s="33"/>
      <c r="E952" s="34"/>
      <c r="F952" s="34"/>
      <c r="G952" s="35"/>
      <c r="H952" s="34"/>
      <c r="I952" s="37"/>
    </row>
    <row r="953" ht="22.5" customHeight="1">
      <c r="A953" s="30"/>
      <c r="B953" s="31"/>
      <c r="C953" s="32"/>
      <c r="D953" s="33"/>
      <c r="E953" s="34"/>
      <c r="F953" s="34"/>
      <c r="G953" s="35"/>
      <c r="H953" s="34"/>
      <c r="I953" s="37"/>
    </row>
    <row r="954" ht="22.5" customHeight="1">
      <c r="A954" s="30"/>
      <c r="B954" s="31"/>
      <c r="C954" s="32"/>
      <c r="D954" s="33"/>
      <c r="E954" s="34"/>
      <c r="F954" s="34"/>
      <c r="G954" s="35"/>
      <c r="H954" s="34"/>
      <c r="I954" s="37"/>
    </row>
    <row r="955" ht="22.5" customHeight="1">
      <c r="A955" s="30"/>
      <c r="B955" s="31"/>
      <c r="C955" s="32"/>
      <c r="D955" s="33"/>
      <c r="E955" s="34"/>
      <c r="F955" s="34"/>
      <c r="G955" s="35"/>
      <c r="H955" s="34"/>
      <c r="I955" s="37"/>
    </row>
    <row r="956" ht="22.5" customHeight="1">
      <c r="A956" s="30"/>
      <c r="B956" s="31"/>
      <c r="C956" s="32"/>
      <c r="D956" s="33"/>
      <c r="E956" s="34"/>
      <c r="F956" s="34"/>
      <c r="G956" s="35"/>
      <c r="H956" s="34"/>
      <c r="I956" s="37"/>
    </row>
    <row r="957" ht="22.5" customHeight="1">
      <c r="A957" s="30"/>
      <c r="B957" s="31"/>
      <c r="C957" s="32"/>
      <c r="D957" s="33"/>
      <c r="E957" s="34"/>
      <c r="F957" s="34"/>
      <c r="G957" s="35"/>
      <c r="H957" s="34"/>
      <c r="I957" s="37"/>
    </row>
    <row r="958" ht="22.5" customHeight="1">
      <c r="A958" s="30"/>
      <c r="B958" s="31"/>
      <c r="C958" s="32"/>
      <c r="D958" s="33"/>
      <c r="E958" s="34"/>
      <c r="F958" s="34"/>
      <c r="G958" s="35"/>
      <c r="H958" s="34"/>
      <c r="I958" s="37"/>
    </row>
    <row r="959" ht="22.5" customHeight="1">
      <c r="A959" s="30"/>
      <c r="B959" s="31"/>
      <c r="C959" s="32"/>
      <c r="D959" s="33"/>
      <c r="E959" s="34"/>
      <c r="F959" s="34"/>
      <c r="G959" s="35"/>
      <c r="H959" s="34"/>
      <c r="I959" s="37"/>
    </row>
    <row r="960" ht="22.5" customHeight="1">
      <c r="A960" s="30"/>
      <c r="B960" s="31"/>
      <c r="C960" s="32"/>
      <c r="D960" s="33"/>
      <c r="E960" s="34"/>
      <c r="F960" s="34"/>
      <c r="G960" s="35"/>
      <c r="H960" s="34"/>
      <c r="I960" s="37"/>
    </row>
    <row r="961" ht="22.5" customHeight="1">
      <c r="A961" s="30"/>
      <c r="B961" s="31"/>
      <c r="C961" s="32"/>
      <c r="D961" s="33"/>
      <c r="E961" s="34"/>
      <c r="F961" s="34"/>
      <c r="G961" s="35"/>
      <c r="H961" s="34"/>
      <c r="I961" s="37"/>
    </row>
    <row r="962" ht="22.5" customHeight="1">
      <c r="A962" s="30"/>
      <c r="B962" s="31"/>
      <c r="C962" s="32"/>
      <c r="D962" s="33"/>
      <c r="E962" s="34"/>
      <c r="F962" s="34"/>
      <c r="G962" s="35"/>
      <c r="H962" s="34"/>
      <c r="I962" s="37"/>
    </row>
    <row r="963" ht="22.5" customHeight="1">
      <c r="A963" s="30"/>
      <c r="B963" s="31"/>
      <c r="C963" s="32"/>
      <c r="D963" s="33"/>
      <c r="E963" s="34"/>
      <c r="F963" s="34"/>
      <c r="G963" s="35"/>
      <c r="H963" s="34"/>
      <c r="I963" s="37"/>
    </row>
    <row r="964" ht="22.5" customHeight="1">
      <c r="A964" s="30"/>
      <c r="B964" s="31"/>
      <c r="C964" s="32"/>
      <c r="D964" s="33"/>
      <c r="E964" s="34"/>
      <c r="F964" s="34"/>
      <c r="G964" s="35"/>
      <c r="H964" s="34"/>
      <c r="I964" s="37"/>
    </row>
    <row r="965" ht="22.5" customHeight="1">
      <c r="A965" s="30"/>
      <c r="B965" s="40"/>
      <c r="C965" s="32"/>
      <c r="D965" s="33"/>
      <c r="E965" s="34"/>
      <c r="F965" s="34"/>
      <c r="G965" s="35"/>
      <c r="H965" s="34"/>
      <c r="I965" s="37"/>
    </row>
    <row r="966" ht="22.5" customHeight="1">
      <c r="A966" s="30"/>
      <c r="B966" s="31"/>
      <c r="C966" s="32"/>
      <c r="D966" s="33"/>
      <c r="E966" s="34"/>
      <c r="F966" s="34"/>
      <c r="G966" s="35"/>
      <c r="H966" s="34"/>
      <c r="I966" s="37"/>
    </row>
    <row r="967" ht="22.5" customHeight="1">
      <c r="A967" s="30"/>
      <c r="B967" s="40"/>
      <c r="C967" s="32"/>
      <c r="D967" s="33"/>
      <c r="E967" s="34"/>
      <c r="F967" s="34"/>
      <c r="G967" s="35"/>
      <c r="H967" s="34"/>
      <c r="I967" s="37"/>
    </row>
    <row r="968" ht="22.5" customHeight="1">
      <c r="A968" s="30"/>
      <c r="B968" s="31"/>
      <c r="C968" s="32"/>
      <c r="D968" s="33"/>
      <c r="E968" s="34"/>
      <c r="F968" s="34"/>
      <c r="G968" s="35"/>
      <c r="H968" s="34"/>
      <c r="I968" s="37"/>
    </row>
    <row r="969" ht="22.5" customHeight="1">
      <c r="A969" s="30"/>
      <c r="B969" s="31"/>
      <c r="C969" s="32"/>
      <c r="D969" s="33"/>
      <c r="E969" s="34"/>
      <c r="F969" s="34"/>
      <c r="G969" s="35"/>
      <c r="H969" s="34"/>
      <c r="I969" s="37"/>
    </row>
    <row r="970" ht="22.5" customHeight="1">
      <c r="A970" s="30"/>
      <c r="B970" s="31"/>
      <c r="C970" s="32"/>
      <c r="D970" s="33"/>
      <c r="E970" s="34"/>
      <c r="F970" s="34"/>
      <c r="G970" s="35"/>
      <c r="H970" s="34"/>
      <c r="I970" s="37"/>
    </row>
    <row r="971" ht="22.5" customHeight="1">
      <c r="A971" s="30"/>
      <c r="B971" s="31"/>
      <c r="C971" s="32"/>
      <c r="D971" s="33"/>
      <c r="E971" s="34"/>
      <c r="F971" s="34"/>
      <c r="G971" s="35"/>
      <c r="H971" s="34"/>
      <c r="I971" s="37"/>
    </row>
    <row r="972" ht="22.5" customHeight="1">
      <c r="A972" s="30"/>
      <c r="B972" s="40"/>
      <c r="C972" s="32"/>
      <c r="D972" s="33"/>
      <c r="E972" s="34"/>
      <c r="F972" s="34"/>
      <c r="G972" s="35"/>
      <c r="H972" s="34"/>
      <c r="I972" s="37"/>
    </row>
    <row r="973" ht="22.5" customHeight="1">
      <c r="A973" s="30"/>
      <c r="B973" s="31"/>
      <c r="C973" s="32"/>
      <c r="D973" s="33"/>
      <c r="E973" s="34"/>
      <c r="F973" s="34"/>
      <c r="G973" s="35"/>
      <c r="H973" s="34"/>
      <c r="I973" s="37"/>
    </row>
    <row r="974" ht="22.5" customHeight="1">
      <c r="A974" s="30"/>
      <c r="B974" s="31"/>
      <c r="C974" s="32"/>
      <c r="D974" s="33"/>
      <c r="E974" s="34"/>
      <c r="F974" s="34"/>
      <c r="G974" s="35"/>
      <c r="H974" s="34"/>
      <c r="I974" s="37"/>
    </row>
    <row r="975" ht="22.5" customHeight="1">
      <c r="A975" s="30"/>
      <c r="B975" s="31"/>
      <c r="C975" s="32"/>
      <c r="D975" s="33"/>
      <c r="E975" s="34"/>
      <c r="F975" s="34"/>
      <c r="G975" s="35"/>
      <c r="H975" s="34"/>
      <c r="I975" s="37"/>
    </row>
    <row r="976" ht="22.5" customHeight="1">
      <c r="A976" s="30"/>
      <c r="B976" s="31"/>
      <c r="C976" s="32"/>
      <c r="D976" s="33"/>
      <c r="E976" s="34"/>
      <c r="F976" s="34"/>
      <c r="G976" s="35"/>
      <c r="H976" s="34"/>
      <c r="I976" s="37"/>
    </row>
    <row r="977" ht="22.5" customHeight="1">
      <c r="A977" s="30"/>
      <c r="B977" s="31"/>
      <c r="C977" s="32"/>
      <c r="D977" s="33"/>
      <c r="E977" s="34"/>
      <c r="F977" s="34"/>
      <c r="G977" s="35"/>
      <c r="H977" s="34"/>
      <c r="I977" s="37"/>
    </row>
    <row r="978" ht="22.5" customHeight="1">
      <c r="A978" s="30"/>
      <c r="B978" s="31"/>
      <c r="C978" s="32"/>
      <c r="D978" s="33"/>
      <c r="E978" s="34"/>
      <c r="F978" s="34"/>
      <c r="G978" s="35"/>
      <c r="H978" s="34"/>
      <c r="I978" s="37"/>
    </row>
    <row r="979" ht="22.5" customHeight="1">
      <c r="A979" s="30"/>
      <c r="B979" s="31"/>
      <c r="C979" s="32"/>
      <c r="D979" s="33"/>
      <c r="E979" s="34"/>
      <c r="F979" s="34"/>
      <c r="G979" s="35"/>
      <c r="H979" s="34"/>
      <c r="I979" s="37"/>
    </row>
    <row r="980" ht="22.5" customHeight="1">
      <c r="A980" s="30"/>
      <c r="B980" s="31"/>
      <c r="C980" s="32"/>
      <c r="D980" s="33"/>
      <c r="E980" s="34"/>
      <c r="F980" s="34"/>
      <c r="G980" s="35"/>
      <c r="H980" s="34"/>
      <c r="I980" s="37"/>
    </row>
    <row r="981" ht="22.5" customHeight="1">
      <c r="A981" s="30"/>
      <c r="B981" s="31"/>
      <c r="C981" s="32"/>
      <c r="D981" s="33"/>
      <c r="E981" s="34"/>
      <c r="F981" s="34"/>
      <c r="G981" s="35"/>
      <c r="H981" s="34"/>
      <c r="I981" s="37"/>
    </row>
    <row r="982" ht="22.5" customHeight="1">
      <c r="A982" s="30"/>
      <c r="B982" s="31"/>
      <c r="C982" s="32"/>
      <c r="D982" s="33"/>
      <c r="E982" s="34"/>
      <c r="F982" s="34"/>
      <c r="G982" s="35"/>
      <c r="H982" s="34"/>
      <c r="I982" s="37"/>
    </row>
    <row r="983" ht="22.5" customHeight="1">
      <c r="A983" s="30"/>
      <c r="B983" s="31"/>
      <c r="C983" s="32"/>
      <c r="D983" s="33"/>
      <c r="E983" s="34"/>
      <c r="F983" s="34"/>
      <c r="G983" s="35"/>
      <c r="H983" s="34"/>
      <c r="I983" s="37"/>
    </row>
    <row r="984" ht="22.5" customHeight="1">
      <c r="A984" s="30"/>
      <c r="B984" s="31"/>
      <c r="C984" s="32"/>
      <c r="D984" s="33"/>
      <c r="E984" s="34"/>
      <c r="F984" s="34"/>
      <c r="G984" s="35"/>
      <c r="H984" s="34"/>
      <c r="I984" s="37"/>
    </row>
    <row r="985" ht="22.5" customHeight="1">
      <c r="A985" s="30"/>
      <c r="B985" s="31"/>
      <c r="C985" s="32"/>
      <c r="D985" s="33"/>
      <c r="E985" s="34"/>
      <c r="F985" s="34"/>
      <c r="G985" s="35"/>
      <c r="H985" s="34"/>
      <c r="I985" s="37"/>
    </row>
    <row r="986" ht="22.5" customHeight="1">
      <c r="A986" s="30"/>
      <c r="B986" s="31"/>
      <c r="C986" s="32"/>
      <c r="D986" s="33"/>
      <c r="E986" s="34"/>
      <c r="F986" s="34"/>
      <c r="G986" s="35"/>
      <c r="H986" s="34"/>
      <c r="I986" s="37"/>
    </row>
    <row r="987" ht="22.5" customHeight="1">
      <c r="A987" s="30"/>
      <c r="B987" s="31"/>
      <c r="C987" s="32"/>
      <c r="D987" s="33"/>
      <c r="E987" s="34"/>
      <c r="F987" s="34"/>
      <c r="G987" s="35"/>
      <c r="H987" s="34"/>
      <c r="I987" s="37"/>
    </row>
    <row r="988" ht="22.5" customHeight="1">
      <c r="A988" s="30"/>
      <c r="B988" s="31"/>
      <c r="C988" s="32"/>
      <c r="D988" s="33"/>
      <c r="E988" s="34"/>
      <c r="F988" s="34"/>
      <c r="G988" s="35"/>
      <c r="H988" s="34"/>
      <c r="I988" s="37"/>
    </row>
    <row r="989" ht="22.5" customHeight="1">
      <c r="A989" s="30"/>
      <c r="B989" s="31"/>
      <c r="C989" s="32"/>
      <c r="D989" s="33"/>
      <c r="E989" s="34"/>
      <c r="F989" s="34"/>
      <c r="G989" s="35"/>
      <c r="H989" s="34"/>
      <c r="I989" s="37"/>
    </row>
    <row r="990" ht="22.5" customHeight="1">
      <c r="A990" s="30"/>
      <c r="B990" s="31"/>
      <c r="C990" s="32"/>
      <c r="D990" s="33"/>
      <c r="E990" s="34"/>
      <c r="F990" s="34"/>
      <c r="G990" s="35"/>
      <c r="H990" s="34"/>
      <c r="I990" s="37"/>
    </row>
    <row r="991" ht="22.5" customHeight="1">
      <c r="A991" s="30"/>
      <c r="B991" s="31"/>
      <c r="C991" s="32"/>
      <c r="D991" s="33"/>
      <c r="E991" s="34"/>
      <c r="F991" s="34"/>
      <c r="G991" s="35"/>
      <c r="H991" s="34"/>
      <c r="I991" s="37"/>
    </row>
    <row r="992" ht="22.5" customHeight="1">
      <c r="A992" s="30"/>
      <c r="B992" s="31"/>
      <c r="C992" s="32"/>
      <c r="D992" s="33"/>
      <c r="E992" s="34"/>
      <c r="F992" s="34"/>
      <c r="G992" s="35"/>
      <c r="H992" s="34"/>
      <c r="I992" s="37"/>
    </row>
    <row r="993" ht="22.5" customHeight="1">
      <c r="A993" s="30"/>
      <c r="B993" s="31"/>
      <c r="C993" s="32"/>
      <c r="D993" s="33"/>
      <c r="E993" s="34"/>
      <c r="F993" s="34"/>
      <c r="G993" s="35"/>
      <c r="H993" s="34"/>
      <c r="I993" s="37"/>
    </row>
    <row r="994" ht="22.5" customHeight="1">
      <c r="A994" s="30"/>
      <c r="B994" s="40"/>
      <c r="C994" s="32"/>
      <c r="D994" s="33"/>
      <c r="E994" s="34"/>
      <c r="F994" s="34"/>
      <c r="G994" s="35"/>
      <c r="H994" s="34"/>
      <c r="I994" s="37"/>
    </row>
    <row r="995" ht="22.5" customHeight="1">
      <c r="A995" s="30"/>
      <c r="B995" s="31"/>
      <c r="C995" s="32"/>
      <c r="D995" s="33"/>
      <c r="E995" s="34"/>
      <c r="F995" s="34"/>
      <c r="G995" s="35"/>
      <c r="H995" s="34"/>
      <c r="I995" s="37"/>
    </row>
    <row r="996" ht="22.5" customHeight="1">
      <c r="A996" s="30"/>
      <c r="B996" s="31"/>
      <c r="C996" s="32"/>
      <c r="D996" s="33"/>
      <c r="E996" s="34"/>
      <c r="F996" s="34"/>
      <c r="G996" s="35"/>
      <c r="H996" s="34"/>
      <c r="I996" s="37"/>
    </row>
    <row r="997" ht="22.5" customHeight="1">
      <c r="A997" s="30"/>
      <c r="B997" s="31"/>
      <c r="C997" s="32"/>
      <c r="D997" s="33"/>
      <c r="E997" s="34"/>
      <c r="F997" s="34"/>
      <c r="G997" s="35"/>
      <c r="H997" s="34"/>
      <c r="I997" s="37"/>
    </row>
    <row r="998" ht="22.5" customHeight="1">
      <c r="A998" s="30"/>
      <c r="B998" s="31"/>
      <c r="C998" s="32"/>
      <c r="D998" s="33"/>
      <c r="E998" s="34"/>
      <c r="F998" s="34"/>
      <c r="G998" s="35"/>
      <c r="H998" s="34"/>
      <c r="I998" s="38"/>
    </row>
    <row r="999" ht="22.5" customHeight="1">
      <c r="A999" s="30"/>
      <c r="B999" s="39"/>
      <c r="C999" s="32"/>
      <c r="D999" s="33"/>
      <c r="E999" s="34"/>
      <c r="F999" s="34"/>
      <c r="G999" s="35"/>
      <c r="H999" s="34"/>
      <c r="I999" s="37"/>
    </row>
    <row r="1000" ht="22.5" customHeight="1">
      <c r="A1000" s="30"/>
      <c r="B1000" s="31"/>
      <c r="C1000" s="32"/>
      <c r="D1000" s="33"/>
      <c r="E1000" s="34"/>
      <c r="F1000" s="34"/>
      <c r="G1000" s="35"/>
      <c r="H1000" s="34"/>
      <c r="I1000" s="37"/>
    </row>
    <row r="1001" ht="22.5" customHeight="1">
      <c r="A1001" s="30"/>
      <c r="B1001" s="31"/>
      <c r="C1001" s="32"/>
      <c r="D1001" s="33"/>
      <c r="E1001" s="34"/>
      <c r="F1001" s="34"/>
      <c r="G1001" s="35"/>
      <c r="H1001" s="34"/>
      <c r="I1001" s="37"/>
    </row>
    <row r="1002" ht="22.5" customHeight="1">
      <c r="A1002" s="30"/>
      <c r="B1002" s="31"/>
      <c r="C1002" s="32"/>
      <c r="D1002" s="33"/>
      <c r="E1002" s="34"/>
      <c r="F1002" s="34"/>
      <c r="G1002" s="35"/>
      <c r="H1002" s="34"/>
      <c r="I1002" s="37"/>
    </row>
    <row r="1003" ht="22.5" customHeight="1">
      <c r="A1003" s="30"/>
      <c r="B1003" s="39"/>
      <c r="C1003" s="32"/>
      <c r="D1003" s="33"/>
      <c r="E1003" s="34"/>
      <c r="F1003" s="34"/>
      <c r="G1003" s="35"/>
      <c r="H1003" s="34"/>
      <c r="I1003" s="37"/>
    </row>
    <row r="1004" ht="22.5" customHeight="1">
      <c r="A1004" s="30"/>
      <c r="B1004" s="31"/>
      <c r="C1004" s="32"/>
      <c r="D1004" s="33"/>
      <c r="E1004" s="34"/>
      <c r="F1004" s="34"/>
      <c r="G1004" s="35"/>
      <c r="H1004" s="34"/>
      <c r="I1004" s="37"/>
    </row>
    <row r="1005" ht="22.5" customHeight="1">
      <c r="A1005" s="30"/>
      <c r="B1005" s="39"/>
      <c r="C1005" s="32"/>
      <c r="D1005" s="33"/>
      <c r="E1005" s="34"/>
      <c r="F1005" s="34"/>
      <c r="G1005" s="35"/>
      <c r="H1005" s="34"/>
      <c r="I1005" s="37"/>
    </row>
    <row r="1006" ht="22.5" customHeight="1">
      <c r="A1006" s="30"/>
      <c r="B1006" s="31"/>
      <c r="C1006" s="32"/>
      <c r="D1006" s="33"/>
      <c r="E1006" s="34"/>
      <c r="F1006" s="34"/>
      <c r="G1006" s="35"/>
      <c r="H1006" s="34"/>
      <c r="I1006" s="37"/>
    </row>
    <row r="1007" ht="22.5" customHeight="1">
      <c r="A1007" s="30"/>
      <c r="B1007" s="31"/>
      <c r="C1007" s="32"/>
      <c r="D1007" s="33"/>
      <c r="E1007" s="34"/>
      <c r="F1007" s="34"/>
      <c r="G1007" s="35"/>
      <c r="H1007" s="34"/>
      <c r="I1007" s="37"/>
    </row>
    <row r="1008" ht="22.5" customHeight="1">
      <c r="A1008" s="30"/>
      <c r="B1008" s="31"/>
      <c r="C1008" s="32"/>
      <c r="D1008" s="33"/>
      <c r="E1008" s="34"/>
      <c r="F1008" s="34"/>
      <c r="G1008" s="35"/>
      <c r="H1008" s="34"/>
      <c r="I1008" s="37"/>
    </row>
    <row r="1009" ht="22.5" customHeight="1">
      <c r="A1009" s="30"/>
      <c r="B1009" s="31"/>
      <c r="C1009" s="32"/>
      <c r="D1009" s="33"/>
      <c r="E1009" s="34"/>
      <c r="F1009" s="34"/>
      <c r="G1009" s="35"/>
      <c r="H1009" s="34"/>
      <c r="I1009" s="37"/>
    </row>
    <row r="1010" ht="22.5" customHeight="1">
      <c r="A1010" s="30"/>
      <c r="B1010" s="31"/>
      <c r="C1010" s="32"/>
      <c r="D1010" s="33"/>
      <c r="E1010" s="34"/>
      <c r="F1010" s="34"/>
      <c r="G1010" s="35"/>
      <c r="H1010" s="34"/>
      <c r="I1010" s="37"/>
    </row>
    <row r="1011" ht="22.5" customHeight="1">
      <c r="A1011" s="30"/>
      <c r="B1011" s="31"/>
      <c r="C1011" s="32"/>
      <c r="D1011" s="33"/>
      <c r="E1011" s="34"/>
      <c r="F1011" s="34"/>
      <c r="G1011" s="35"/>
      <c r="H1011" s="34"/>
      <c r="I1011" s="37"/>
    </row>
    <row r="1012" ht="22.5" customHeight="1">
      <c r="A1012" s="30"/>
      <c r="B1012" s="31"/>
      <c r="C1012" s="32"/>
      <c r="D1012" s="33"/>
      <c r="E1012" s="34"/>
      <c r="F1012" s="34"/>
      <c r="G1012" s="35"/>
      <c r="H1012" s="34"/>
      <c r="I1012" s="37"/>
    </row>
    <row r="1013" ht="22.5" customHeight="1">
      <c r="A1013" s="30"/>
      <c r="B1013" s="31"/>
      <c r="C1013" s="32"/>
      <c r="D1013" s="33"/>
      <c r="E1013" s="34"/>
      <c r="F1013" s="34"/>
      <c r="G1013" s="35"/>
      <c r="H1013" s="34"/>
      <c r="I1013" s="37"/>
    </row>
    <row r="1014" ht="22.5" customHeight="1">
      <c r="A1014" s="30"/>
      <c r="B1014" s="31"/>
      <c r="C1014" s="32"/>
      <c r="D1014" s="33"/>
      <c r="E1014" s="34"/>
      <c r="F1014" s="34"/>
      <c r="G1014" s="35"/>
      <c r="H1014" s="34"/>
      <c r="I1014" s="37"/>
    </row>
    <row r="1015" ht="22.5" customHeight="1">
      <c r="A1015" s="30"/>
      <c r="B1015" s="31"/>
      <c r="C1015" s="32"/>
      <c r="D1015" s="33"/>
      <c r="E1015" s="34"/>
      <c r="F1015" s="34"/>
      <c r="G1015" s="35"/>
      <c r="H1015" s="34"/>
      <c r="I1015" s="37"/>
    </row>
    <row r="1016" ht="22.5" customHeight="1">
      <c r="A1016" s="30"/>
      <c r="B1016" s="40"/>
      <c r="C1016" s="32"/>
      <c r="D1016" s="33"/>
      <c r="E1016" s="34"/>
      <c r="F1016" s="34"/>
      <c r="G1016" s="35"/>
      <c r="H1016" s="34"/>
      <c r="I1016" s="37"/>
    </row>
    <row r="1017" ht="22.5" customHeight="1">
      <c r="A1017" s="30"/>
      <c r="B1017" s="31"/>
      <c r="C1017" s="32"/>
      <c r="D1017" s="33"/>
      <c r="E1017" s="34"/>
      <c r="F1017" s="34"/>
      <c r="G1017" s="35"/>
      <c r="H1017" s="34"/>
      <c r="I1017" s="37"/>
    </row>
    <row r="1018" ht="22.5" customHeight="1">
      <c r="A1018" s="30"/>
      <c r="B1018" s="31"/>
      <c r="C1018" s="32"/>
      <c r="D1018" s="33"/>
      <c r="E1018" s="34"/>
      <c r="F1018" s="34"/>
      <c r="G1018" s="35"/>
      <c r="H1018" s="34"/>
      <c r="I1018" s="37"/>
    </row>
    <row r="1019" ht="22.5" customHeight="1">
      <c r="A1019" s="30"/>
      <c r="B1019" s="31"/>
      <c r="C1019" s="32"/>
      <c r="D1019" s="33"/>
      <c r="E1019" s="34"/>
      <c r="F1019" s="34"/>
      <c r="G1019" s="35"/>
      <c r="H1019" s="34"/>
      <c r="I1019" s="37"/>
    </row>
    <row r="1020" ht="22.5" customHeight="1">
      <c r="A1020" s="30"/>
      <c r="B1020" s="31"/>
      <c r="C1020" s="32"/>
      <c r="D1020" s="33"/>
      <c r="E1020" s="34"/>
      <c r="F1020" s="34"/>
      <c r="G1020" s="35"/>
      <c r="H1020" s="34"/>
      <c r="I1020" s="37"/>
    </row>
    <row r="1021" ht="22.5" customHeight="1">
      <c r="A1021" s="30"/>
      <c r="B1021" s="31"/>
      <c r="C1021" s="32"/>
      <c r="D1021" s="33"/>
      <c r="E1021" s="34"/>
      <c r="F1021" s="34"/>
      <c r="G1021" s="35"/>
      <c r="H1021" s="34"/>
      <c r="I1021" s="37"/>
    </row>
    <row r="1022" ht="22.5" customHeight="1">
      <c r="A1022" s="30"/>
      <c r="B1022" s="31"/>
      <c r="C1022" s="32"/>
      <c r="D1022" s="33"/>
      <c r="E1022" s="34"/>
      <c r="F1022" s="34"/>
      <c r="G1022" s="35"/>
      <c r="H1022" s="34"/>
      <c r="I1022" s="37"/>
    </row>
    <row r="1023" ht="22.5" customHeight="1">
      <c r="A1023" s="30"/>
      <c r="B1023" s="39"/>
      <c r="C1023" s="32"/>
      <c r="D1023" s="33"/>
      <c r="E1023" s="34"/>
      <c r="F1023" s="34"/>
      <c r="G1023" s="35"/>
      <c r="H1023" s="34"/>
      <c r="I1023" s="37"/>
    </row>
    <row r="1024" ht="22.5" customHeight="1">
      <c r="A1024" s="30"/>
      <c r="B1024" s="39"/>
      <c r="C1024" s="32"/>
      <c r="D1024" s="33"/>
      <c r="E1024" s="34"/>
      <c r="F1024" s="34"/>
      <c r="G1024" s="35"/>
      <c r="H1024" s="34"/>
      <c r="I1024" s="37"/>
    </row>
    <row r="1025" ht="22.5" customHeight="1">
      <c r="A1025" s="30"/>
      <c r="B1025" s="39"/>
      <c r="C1025" s="32"/>
      <c r="D1025" s="33"/>
      <c r="E1025" s="34"/>
      <c r="F1025" s="34"/>
      <c r="G1025" s="35"/>
      <c r="H1025" s="34"/>
      <c r="I1025" s="37"/>
    </row>
    <row r="1026" ht="22.5" customHeight="1">
      <c r="A1026" s="30"/>
      <c r="B1026" s="40"/>
      <c r="C1026" s="32"/>
      <c r="D1026" s="33"/>
      <c r="E1026" s="34"/>
      <c r="F1026" s="34"/>
      <c r="G1026" s="35"/>
      <c r="H1026" s="34"/>
      <c r="I1026" s="37"/>
    </row>
    <row r="1027" ht="22.5" customHeight="1">
      <c r="A1027" s="30"/>
      <c r="B1027" s="31"/>
      <c r="C1027" s="32"/>
      <c r="D1027" s="33"/>
      <c r="E1027" s="34"/>
      <c r="F1027" s="34"/>
      <c r="G1027" s="35"/>
      <c r="H1027" s="34"/>
      <c r="I1027" s="37"/>
    </row>
    <row r="1028" ht="22.5" customHeight="1">
      <c r="A1028" s="30"/>
      <c r="B1028" s="31"/>
      <c r="C1028" s="32"/>
      <c r="D1028" s="33"/>
      <c r="E1028" s="34"/>
      <c r="F1028" s="34"/>
      <c r="G1028" s="35"/>
      <c r="H1028" s="34"/>
      <c r="I1028" s="37"/>
    </row>
    <row r="1029" ht="22.5" customHeight="1">
      <c r="A1029" s="30"/>
      <c r="B1029" s="31"/>
      <c r="C1029" s="32"/>
      <c r="D1029" s="33"/>
      <c r="E1029" s="34"/>
      <c r="F1029" s="34"/>
      <c r="G1029" s="35"/>
      <c r="H1029" s="34"/>
      <c r="I1029" s="37"/>
    </row>
    <row r="1030" ht="22.5" customHeight="1">
      <c r="A1030" s="30"/>
      <c r="B1030" s="31"/>
      <c r="C1030" s="32"/>
      <c r="D1030" s="33"/>
      <c r="E1030" s="34"/>
      <c r="F1030" s="34"/>
      <c r="G1030" s="35"/>
      <c r="H1030" s="34"/>
      <c r="I1030" s="37"/>
    </row>
    <row r="1031" ht="22.5" customHeight="1">
      <c r="A1031" s="30"/>
      <c r="B1031" s="31"/>
      <c r="C1031" s="32"/>
      <c r="D1031" s="33"/>
      <c r="E1031" s="34"/>
      <c r="F1031" s="34"/>
      <c r="G1031" s="35"/>
      <c r="H1031" s="34"/>
      <c r="I1031" s="37"/>
    </row>
    <row r="1032" ht="22.5" customHeight="1">
      <c r="A1032" s="30"/>
      <c r="B1032" s="31"/>
      <c r="C1032" s="32"/>
      <c r="D1032" s="33"/>
      <c r="E1032" s="34"/>
      <c r="F1032" s="34"/>
      <c r="G1032" s="35"/>
      <c r="H1032" s="34"/>
      <c r="I1032" s="37"/>
    </row>
    <row r="1033" ht="22.5" customHeight="1">
      <c r="A1033" s="30"/>
      <c r="B1033" s="31"/>
      <c r="C1033" s="32"/>
      <c r="D1033" s="33"/>
      <c r="E1033" s="34"/>
      <c r="F1033" s="34"/>
      <c r="G1033" s="35"/>
      <c r="H1033" s="34"/>
      <c r="I1033" s="37"/>
    </row>
    <row r="1034" ht="22.5" customHeight="1">
      <c r="A1034" s="30"/>
      <c r="B1034" s="31"/>
      <c r="C1034" s="32"/>
      <c r="D1034" s="33"/>
      <c r="E1034" s="34"/>
      <c r="F1034" s="34"/>
      <c r="G1034" s="35"/>
      <c r="H1034" s="34"/>
      <c r="I1034" s="37"/>
    </row>
    <row r="1035" ht="22.5" customHeight="1">
      <c r="A1035" s="30"/>
      <c r="B1035" s="31"/>
      <c r="C1035" s="32"/>
      <c r="D1035" s="33"/>
      <c r="E1035" s="34"/>
      <c r="F1035" s="34"/>
      <c r="G1035" s="35"/>
      <c r="H1035" s="34"/>
      <c r="I1035" s="37"/>
    </row>
    <row r="1036" ht="22.5" customHeight="1">
      <c r="A1036" s="30"/>
      <c r="B1036" s="40"/>
      <c r="C1036" s="32"/>
      <c r="D1036" s="33"/>
      <c r="E1036" s="34"/>
      <c r="F1036" s="34"/>
      <c r="G1036" s="35"/>
      <c r="H1036" s="34"/>
      <c r="I1036" s="37"/>
    </row>
    <row r="1037" ht="22.5" customHeight="1">
      <c r="A1037" s="30"/>
      <c r="B1037" s="31"/>
      <c r="C1037" s="32"/>
      <c r="D1037" s="33"/>
      <c r="E1037" s="34"/>
      <c r="F1037" s="34"/>
      <c r="G1037" s="35"/>
      <c r="H1037" s="34"/>
      <c r="I1037" s="37"/>
    </row>
    <row r="1038" ht="22.5" customHeight="1">
      <c r="A1038" s="30"/>
      <c r="B1038" s="31"/>
      <c r="C1038" s="32"/>
      <c r="D1038" s="33"/>
      <c r="E1038" s="34"/>
      <c r="F1038" s="34"/>
      <c r="G1038" s="35"/>
      <c r="H1038" s="34"/>
      <c r="I1038" s="37"/>
    </row>
    <row r="1039" ht="22.5" customHeight="1">
      <c r="A1039" s="30"/>
      <c r="B1039" s="31"/>
      <c r="C1039" s="32"/>
      <c r="D1039" s="33"/>
      <c r="E1039" s="34"/>
      <c r="F1039" s="34"/>
      <c r="G1039" s="35"/>
      <c r="H1039" s="34"/>
      <c r="I1039" s="37"/>
    </row>
    <row r="1040" ht="22.5" customHeight="1">
      <c r="A1040" s="30"/>
      <c r="B1040" s="40"/>
      <c r="C1040" s="32"/>
      <c r="D1040" s="33"/>
      <c r="E1040" s="34"/>
      <c r="F1040" s="34"/>
      <c r="G1040" s="35"/>
      <c r="H1040" s="34"/>
      <c r="I1040" s="37"/>
    </row>
    <row r="1041" ht="22.5" customHeight="1">
      <c r="A1041" s="30"/>
      <c r="B1041" s="31"/>
      <c r="C1041" s="32"/>
      <c r="D1041" s="33"/>
      <c r="E1041" s="34"/>
      <c r="F1041" s="34"/>
      <c r="G1041" s="35"/>
      <c r="H1041" s="34"/>
      <c r="I1041" s="37"/>
    </row>
    <row r="1042" ht="22.5" customHeight="1">
      <c r="A1042" s="30"/>
      <c r="B1042" s="31"/>
      <c r="C1042" s="32"/>
      <c r="D1042" s="33"/>
      <c r="E1042" s="34"/>
      <c r="F1042" s="34"/>
      <c r="G1042" s="35"/>
      <c r="H1042" s="34"/>
      <c r="I1042" s="37"/>
    </row>
    <row r="1043" ht="22.5" customHeight="1">
      <c r="A1043" s="30"/>
      <c r="B1043" s="31"/>
      <c r="C1043" s="32"/>
      <c r="D1043" s="33"/>
      <c r="E1043" s="34"/>
      <c r="F1043" s="34"/>
      <c r="G1043" s="35"/>
      <c r="H1043" s="34"/>
      <c r="I1043" s="37"/>
    </row>
    <row r="1044" ht="22.5" customHeight="1">
      <c r="A1044" s="30"/>
      <c r="B1044" s="31"/>
      <c r="C1044" s="32"/>
      <c r="D1044" s="33"/>
      <c r="E1044" s="34"/>
      <c r="F1044" s="34"/>
      <c r="G1044" s="35"/>
      <c r="H1044" s="34"/>
      <c r="I1044" s="37"/>
    </row>
    <row r="1045" ht="22.5" customHeight="1">
      <c r="A1045" s="30"/>
      <c r="B1045" s="31"/>
      <c r="C1045" s="32"/>
      <c r="D1045" s="33"/>
      <c r="E1045" s="34"/>
      <c r="F1045" s="34"/>
      <c r="G1045" s="35"/>
      <c r="H1045" s="34"/>
      <c r="I1045" s="37"/>
    </row>
    <row r="1046" ht="22.5" customHeight="1">
      <c r="A1046" s="30"/>
      <c r="B1046" s="31"/>
      <c r="C1046" s="32"/>
      <c r="D1046" s="33"/>
      <c r="E1046" s="34"/>
      <c r="F1046" s="34"/>
      <c r="G1046" s="35"/>
      <c r="H1046" s="34"/>
      <c r="I1046" s="37"/>
    </row>
    <row r="1047" ht="22.5" customHeight="1">
      <c r="A1047" s="30"/>
      <c r="B1047" s="31"/>
      <c r="C1047" s="32"/>
      <c r="D1047" s="33"/>
      <c r="E1047" s="34"/>
      <c r="F1047" s="34"/>
      <c r="G1047" s="35"/>
      <c r="H1047" s="34"/>
      <c r="I1047" s="37"/>
    </row>
    <row r="1048" ht="22.5" customHeight="1">
      <c r="A1048" s="30"/>
      <c r="B1048" s="31"/>
      <c r="C1048" s="32"/>
      <c r="D1048" s="33"/>
      <c r="E1048" s="34"/>
      <c r="F1048" s="34"/>
      <c r="G1048" s="35"/>
      <c r="H1048" s="34"/>
      <c r="I1048" s="37"/>
    </row>
    <row r="1049" ht="22.5" customHeight="1">
      <c r="A1049" s="30"/>
      <c r="B1049" s="31"/>
      <c r="C1049" s="32"/>
      <c r="D1049" s="33"/>
      <c r="E1049" s="34"/>
      <c r="F1049" s="34"/>
      <c r="G1049" s="35"/>
      <c r="H1049" s="34"/>
      <c r="I1049" s="37"/>
    </row>
    <row r="1050" ht="22.5" customHeight="1">
      <c r="A1050" s="30"/>
      <c r="B1050" s="31"/>
      <c r="C1050" s="32"/>
      <c r="D1050" s="33"/>
      <c r="E1050" s="34"/>
      <c r="F1050" s="34"/>
      <c r="G1050" s="35"/>
      <c r="H1050" s="34"/>
      <c r="I1050" s="37"/>
    </row>
    <row r="1051" ht="22.5" customHeight="1">
      <c r="A1051" s="30"/>
      <c r="B1051" s="31"/>
      <c r="C1051" s="32"/>
      <c r="D1051" s="33"/>
      <c r="E1051" s="34"/>
      <c r="F1051" s="34"/>
      <c r="G1051" s="35"/>
      <c r="H1051" s="34"/>
      <c r="I1051" s="37"/>
    </row>
    <row r="1052" ht="22.5" customHeight="1">
      <c r="A1052" s="30"/>
      <c r="B1052" s="31"/>
      <c r="C1052" s="32"/>
      <c r="D1052" s="33"/>
      <c r="E1052" s="34"/>
      <c r="F1052" s="34"/>
      <c r="G1052" s="35"/>
      <c r="H1052" s="34"/>
      <c r="I1052" s="37"/>
    </row>
    <row r="1053" ht="22.5" customHeight="1">
      <c r="A1053" s="30"/>
      <c r="B1053" s="31"/>
      <c r="C1053" s="32"/>
      <c r="D1053" s="33"/>
      <c r="E1053" s="34"/>
      <c r="F1053" s="34"/>
      <c r="G1053" s="35"/>
      <c r="H1053" s="34"/>
      <c r="I1053" s="37"/>
    </row>
    <row r="1054" ht="22.5" customHeight="1">
      <c r="A1054" s="30"/>
      <c r="B1054" s="31"/>
      <c r="C1054" s="32"/>
      <c r="D1054" s="33"/>
      <c r="E1054" s="34"/>
      <c r="F1054" s="34"/>
      <c r="G1054" s="35"/>
      <c r="H1054" s="34"/>
      <c r="I1054" s="37"/>
    </row>
    <row r="1055" ht="22.5" customHeight="1">
      <c r="A1055" s="30"/>
      <c r="B1055" s="40"/>
      <c r="C1055" s="32"/>
      <c r="D1055" s="33"/>
      <c r="E1055" s="34"/>
      <c r="F1055" s="34"/>
      <c r="G1055" s="35"/>
      <c r="H1055" s="34"/>
      <c r="I1055" s="37"/>
    </row>
    <row r="1056" ht="22.5" customHeight="1">
      <c r="A1056" s="30"/>
      <c r="B1056" s="31"/>
      <c r="C1056" s="32"/>
      <c r="D1056" s="33"/>
      <c r="E1056" s="34"/>
      <c r="F1056" s="34"/>
      <c r="G1056" s="35"/>
      <c r="H1056" s="34"/>
      <c r="I1056" s="37"/>
    </row>
    <row r="1057" ht="22.5" customHeight="1">
      <c r="A1057" s="30"/>
      <c r="B1057" s="40"/>
      <c r="C1057" s="32"/>
      <c r="D1057" s="33"/>
      <c r="E1057" s="34"/>
      <c r="F1057" s="34"/>
      <c r="G1057" s="35"/>
      <c r="H1057" s="34"/>
      <c r="I1057" s="37"/>
    </row>
    <row r="1058" ht="22.5" customHeight="1">
      <c r="A1058" s="30"/>
      <c r="B1058" s="31"/>
      <c r="C1058" s="32"/>
      <c r="D1058" s="33"/>
      <c r="E1058" s="34"/>
      <c r="F1058" s="34"/>
      <c r="G1058" s="35"/>
      <c r="H1058" s="34"/>
      <c r="I1058" s="37"/>
    </row>
    <row r="1059" ht="22.5" customHeight="1">
      <c r="A1059" s="30"/>
      <c r="B1059" s="31"/>
      <c r="C1059" s="32"/>
      <c r="D1059" s="33"/>
      <c r="E1059" s="34"/>
      <c r="F1059" s="34"/>
      <c r="G1059" s="35"/>
      <c r="H1059" s="34"/>
      <c r="I1059" s="37"/>
    </row>
    <row r="1060" ht="22.5" customHeight="1">
      <c r="A1060" s="30"/>
      <c r="B1060" s="31"/>
      <c r="C1060" s="32"/>
      <c r="D1060" s="33"/>
      <c r="E1060" s="34"/>
      <c r="F1060" s="34"/>
      <c r="G1060" s="35"/>
      <c r="H1060" s="34"/>
      <c r="I1060" s="37"/>
    </row>
    <row r="1061" ht="22.5" customHeight="1">
      <c r="A1061" s="30"/>
      <c r="B1061" s="31"/>
      <c r="C1061" s="32"/>
      <c r="D1061" s="33"/>
      <c r="E1061" s="34"/>
      <c r="F1061" s="34"/>
      <c r="G1061" s="35"/>
      <c r="H1061" s="34"/>
      <c r="I1061" s="37"/>
    </row>
    <row r="1062" ht="22.5" customHeight="1">
      <c r="A1062" s="30"/>
      <c r="B1062" s="40"/>
      <c r="C1062" s="32"/>
      <c r="D1062" s="33"/>
      <c r="E1062" s="34"/>
      <c r="F1062" s="34"/>
      <c r="G1062" s="35"/>
      <c r="H1062" s="34"/>
      <c r="I1062" s="37"/>
    </row>
    <row r="1063" ht="22.5" customHeight="1">
      <c r="A1063" s="30"/>
      <c r="B1063" s="31"/>
      <c r="C1063" s="32"/>
      <c r="D1063" s="33"/>
      <c r="E1063" s="34"/>
      <c r="F1063" s="34"/>
      <c r="G1063" s="35"/>
      <c r="H1063" s="34"/>
      <c r="I1063" s="37"/>
    </row>
    <row r="1064" ht="22.5" customHeight="1">
      <c r="A1064" s="30"/>
      <c r="B1064" s="31"/>
      <c r="C1064" s="32"/>
      <c r="D1064" s="33"/>
      <c r="E1064" s="34"/>
      <c r="F1064" s="34"/>
      <c r="G1064" s="35"/>
      <c r="H1064" s="34"/>
      <c r="I1064" s="37"/>
    </row>
    <row r="1065" ht="22.5" customHeight="1">
      <c r="A1065" s="30"/>
      <c r="B1065" s="31"/>
      <c r="C1065" s="32"/>
      <c r="D1065" s="33"/>
      <c r="E1065" s="34"/>
      <c r="F1065" s="34"/>
      <c r="G1065" s="35"/>
      <c r="H1065" s="34"/>
      <c r="I1065" s="37"/>
    </row>
    <row r="1066" ht="22.5" customHeight="1">
      <c r="A1066" s="30"/>
      <c r="B1066" s="31"/>
      <c r="C1066" s="32"/>
      <c r="D1066" s="33"/>
      <c r="E1066" s="34"/>
      <c r="F1066" s="34"/>
      <c r="G1066" s="35"/>
      <c r="H1066" s="34"/>
      <c r="I1066" s="37"/>
    </row>
    <row r="1067" ht="22.5" customHeight="1">
      <c r="A1067" s="30"/>
      <c r="B1067" s="31"/>
      <c r="C1067" s="32"/>
      <c r="D1067" s="33"/>
      <c r="E1067" s="34"/>
      <c r="F1067" s="34"/>
      <c r="G1067" s="35"/>
      <c r="H1067" s="34"/>
      <c r="I1067" s="37"/>
    </row>
    <row r="1068" ht="22.5" customHeight="1">
      <c r="A1068" s="30"/>
      <c r="B1068" s="31"/>
      <c r="C1068" s="32"/>
      <c r="D1068" s="33"/>
      <c r="E1068" s="34"/>
      <c r="F1068" s="34"/>
      <c r="G1068" s="35"/>
      <c r="H1068" s="34"/>
      <c r="I1068" s="37"/>
    </row>
    <row r="1069" ht="22.5" customHeight="1">
      <c r="A1069" s="30"/>
      <c r="B1069" s="31"/>
      <c r="C1069" s="32"/>
      <c r="D1069" s="33"/>
      <c r="E1069" s="34"/>
      <c r="F1069" s="34"/>
      <c r="G1069" s="35"/>
      <c r="H1069" s="34"/>
      <c r="I1069" s="37"/>
    </row>
    <row r="1070" ht="22.5" customHeight="1">
      <c r="A1070" s="30"/>
      <c r="B1070" s="31"/>
      <c r="C1070" s="32"/>
      <c r="D1070" s="33"/>
      <c r="E1070" s="34"/>
      <c r="F1070" s="34"/>
      <c r="G1070" s="35"/>
      <c r="H1070" s="34"/>
      <c r="I1070" s="37"/>
    </row>
    <row r="1071" ht="22.5" customHeight="1">
      <c r="A1071" s="30"/>
      <c r="B1071" s="31"/>
      <c r="C1071" s="32"/>
      <c r="D1071" s="33"/>
      <c r="E1071" s="34"/>
      <c r="F1071" s="34"/>
      <c r="G1071" s="35"/>
      <c r="H1071" s="34"/>
      <c r="I1071" s="37"/>
    </row>
    <row r="1072" ht="22.5" customHeight="1">
      <c r="A1072" s="30"/>
      <c r="B1072" s="31"/>
      <c r="C1072" s="32"/>
      <c r="D1072" s="33"/>
      <c r="E1072" s="34"/>
      <c r="F1072" s="34"/>
      <c r="G1072" s="35"/>
      <c r="H1072" s="34"/>
      <c r="I1072" s="37"/>
    </row>
    <row r="1073" ht="22.5" customHeight="1">
      <c r="A1073" s="30"/>
      <c r="B1073" s="31"/>
      <c r="C1073" s="32"/>
      <c r="D1073" s="33"/>
      <c r="E1073" s="34"/>
      <c r="F1073" s="34"/>
      <c r="G1073" s="35"/>
      <c r="H1073" s="34"/>
      <c r="I1073" s="37"/>
    </row>
    <row r="1074" ht="22.5" customHeight="1">
      <c r="A1074" s="30"/>
      <c r="B1074" s="31"/>
      <c r="C1074" s="32"/>
      <c r="D1074" s="33"/>
      <c r="E1074" s="34"/>
      <c r="F1074" s="34"/>
      <c r="G1074" s="35"/>
      <c r="H1074" s="34"/>
      <c r="I1074" s="37"/>
    </row>
    <row r="1075" ht="22.5" customHeight="1">
      <c r="A1075" s="30"/>
      <c r="B1075" s="31"/>
      <c r="C1075" s="32"/>
      <c r="D1075" s="33"/>
      <c r="E1075" s="34"/>
      <c r="F1075" s="34"/>
      <c r="G1075" s="35"/>
      <c r="H1075" s="34"/>
      <c r="I1075" s="37"/>
    </row>
    <row r="1076" ht="22.5" customHeight="1">
      <c r="A1076" s="30"/>
      <c r="B1076" s="31"/>
      <c r="C1076" s="32"/>
      <c r="D1076" s="33"/>
      <c r="E1076" s="34"/>
      <c r="F1076" s="34"/>
      <c r="G1076" s="35"/>
      <c r="H1076" s="34"/>
      <c r="I1076" s="37"/>
    </row>
    <row r="1077" ht="22.5" customHeight="1">
      <c r="A1077" s="30"/>
      <c r="B1077" s="31"/>
      <c r="C1077" s="32"/>
      <c r="D1077" s="33"/>
      <c r="E1077" s="34"/>
      <c r="F1077" s="34"/>
      <c r="G1077" s="35"/>
      <c r="H1077" s="34"/>
      <c r="I1077" s="37"/>
    </row>
    <row r="1078" ht="22.5" customHeight="1">
      <c r="A1078" s="30"/>
      <c r="B1078" s="31"/>
      <c r="C1078" s="32"/>
      <c r="D1078" s="33"/>
      <c r="E1078" s="34"/>
      <c r="F1078" s="34"/>
      <c r="G1078" s="35"/>
      <c r="H1078" s="34"/>
      <c r="I1078" s="37"/>
    </row>
    <row r="1079" ht="22.5" customHeight="1">
      <c r="A1079" s="30"/>
      <c r="B1079" s="31"/>
      <c r="C1079" s="32"/>
      <c r="D1079" s="33"/>
      <c r="E1079" s="34"/>
      <c r="F1079" s="34"/>
      <c r="G1079" s="35"/>
      <c r="H1079" s="34"/>
      <c r="I1079" s="37"/>
    </row>
    <row r="1080" ht="22.5" customHeight="1">
      <c r="A1080" s="30"/>
      <c r="B1080" s="31"/>
      <c r="C1080" s="32"/>
      <c r="D1080" s="33"/>
      <c r="E1080" s="34"/>
      <c r="F1080" s="34"/>
      <c r="G1080" s="35"/>
      <c r="H1080" s="34"/>
      <c r="I1080" s="37"/>
    </row>
    <row r="1081" ht="22.5" customHeight="1">
      <c r="A1081" s="30"/>
      <c r="B1081" s="31"/>
      <c r="C1081" s="32"/>
      <c r="D1081" s="33"/>
      <c r="E1081" s="34"/>
      <c r="F1081" s="34"/>
      <c r="G1081" s="35"/>
      <c r="H1081" s="34"/>
      <c r="I1081" s="37"/>
    </row>
    <row r="1082" ht="22.5" customHeight="1">
      <c r="A1082" s="30"/>
      <c r="B1082" s="31"/>
      <c r="C1082" s="32"/>
      <c r="D1082" s="33"/>
      <c r="E1082" s="34"/>
      <c r="F1082" s="34"/>
      <c r="G1082" s="35"/>
      <c r="H1082" s="34"/>
      <c r="I1082" s="37"/>
    </row>
    <row r="1083" ht="22.5" customHeight="1">
      <c r="A1083" s="30"/>
      <c r="B1083" s="31"/>
      <c r="C1083" s="32"/>
      <c r="D1083" s="33"/>
      <c r="E1083" s="34"/>
      <c r="F1083" s="34"/>
      <c r="G1083" s="35"/>
      <c r="H1083" s="34"/>
      <c r="I1083" s="37"/>
    </row>
    <row r="1084" ht="22.5" customHeight="1">
      <c r="A1084" s="30"/>
      <c r="B1084" s="40"/>
      <c r="C1084" s="32"/>
      <c r="D1084" s="33"/>
      <c r="E1084" s="34"/>
      <c r="F1084" s="34"/>
      <c r="G1084" s="35"/>
      <c r="H1084" s="34"/>
      <c r="I1084" s="37"/>
    </row>
    <row r="1085" ht="22.5" customHeight="1">
      <c r="A1085" s="30"/>
      <c r="B1085" s="31"/>
      <c r="C1085" s="32"/>
      <c r="D1085" s="33"/>
      <c r="E1085" s="34"/>
      <c r="F1085" s="34"/>
      <c r="G1085" s="35"/>
      <c r="H1085" s="34"/>
      <c r="I1085" s="37"/>
    </row>
    <row r="1086" ht="22.5" customHeight="1">
      <c r="A1086" s="30"/>
      <c r="B1086" s="31"/>
      <c r="C1086" s="32"/>
      <c r="D1086" s="33"/>
      <c r="E1086" s="34"/>
      <c r="F1086" s="34"/>
      <c r="G1086" s="35"/>
      <c r="H1086" s="34"/>
      <c r="I1086" s="37"/>
    </row>
    <row r="1087" ht="22.5" customHeight="1">
      <c r="A1087" s="30"/>
      <c r="B1087" s="31"/>
      <c r="C1087" s="32"/>
      <c r="D1087" s="33"/>
      <c r="E1087" s="34"/>
      <c r="F1087" s="34"/>
      <c r="G1087" s="35"/>
      <c r="H1087" s="34"/>
      <c r="I1087" s="37"/>
    </row>
    <row r="1088" ht="22.5" customHeight="1">
      <c r="A1088" s="30"/>
      <c r="B1088" s="31"/>
      <c r="C1088" s="32"/>
      <c r="D1088" s="33"/>
      <c r="E1088" s="34"/>
      <c r="F1088" s="34"/>
      <c r="G1088" s="35"/>
      <c r="H1088" s="34"/>
      <c r="I1088" s="38"/>
    </row>
    <row r="1089" ht="22.5" customHeight="1">
      <c r="A1089" s="30"/>
      <c r="B1089" s="39"/>
      <c r="C1089" s="32"/>
      <c r="D1089" s="33"/>
      <c r="E1089" s="34"/>
      <c r="F1089" s="34"/>
      <c r="G1089" s="35"/>
      <c r="H1089" s="34"/>
      <c r="I1089" s="37"/>
    </row>
    <row r="1090" ht="22.5" customHeight="1">
      <c r="A1090" s="30"/>
      <c r="B1090" s="31"/>
      <c r="C1090" s="32"/>
      <c r="D1090" s="33"/>
      <c r="E1090" s="34"/>
      <c r="F1090" s="34"/>
      <c r="G1090" s="35"/>
      <c r="H1090" s="34"/>
      <c r="I1090" s="37"/>
    </row>
    <row r="1091" ht="22.5" customHeight="1">
      <c r="A1091" s="30"/>
      <c r="B1091" s="31"/>
      <c r="C1091" s="32"/>
      <c r="D1091" s="33"/>
      <c r="E1091" s="34"/>
      <c r="F1091" s="34"/>
      <c r="G1091" s="35"/>
      <c r="H1091" s="34"/>
      <c r="I1091" s="37"/>
    </row>
    <row r="1092" ht="22.5" customHeight="1">
      <c r="A1092" s="30"/>
      <c r="B1092" s="31"/>
      <c r="C1092" s="32"/>
      <c r="D1092" s="33"/>
      <c r="E1092" s="34"/>
      <c r="F1092" s="34"/>
      <c r="G1092" s="35"/>
      <c r="H1092" s="34"/>
      <c r="I1092" s="37"/>
    </row>
    <row r="1093" ht="22.5" customHeight="1">
      <c r="A1093" s="30"/>
      <c r="B1093" s="39"/>
      <c r="C1093" s="32"/>
      <c r="D1093" s="33"/>
      <c r="E1093" s="34"/>
      <c r="F1093" s="34"/>
      <c r="G1093" s="35"/>
      <c r="H1093" s="34"/>
      <c r="I1093" s="37"/>
    </row>
    <row r="1094" ht="22.5" customHeight="1">
      <c r="A1094" s="30"/>
      <c r="B1094" s="31"/>
      <c r="C1094" s="32"/>
      <c r="D1094" s="33"/>
      <c r="E1094" s="34"/>
      <c r="F1094" s="34"/>
      <c r="G1094" s="35"/>
      <c r="H1094" s="34"/>
      <c r="I1094" s="37"/>
    </row>
    <row r="1095" ht="22.5" customHeight="1">
      <c r="A1095" s="30"/>
      <c r="B1095" s="39"/>
      <c r="C1095" s="32"/>
      <c r="D1095" s="33"/>
      <c r="E1095" s="34"/>
      <c r="F1095" s="34"/>
      <c r="G1095" s="35"/>
      <c r="H1095" s="34"/>
      <c r="I1095" s="37"/>
    </row>
    <row r="1096" ht="22.5" customHeight="1">
      <c r="A1096" s="30"/>
      <c r="B1096" s="31"/>
      <c r="C1096" s="32"/>
      <c r="D1096" s="33"/>
      <c r="E1096" s="34"/>
      <c r="F1096" s="34"/>
      <c r="G1096" s="35"/>
      <c r="H1096" s="34"/>
      <c r="I1096" s="37"/>
    </row>
    <row r="1097" ht="22.5" customHeight="1">
      <c r="A1097" s="30"/>
      <c r="B1097" s="31"/>
      <c r="C1097" s="32"/>
      <c r="D1097" s="33"/>
      <c r="E1097" s="34"/>
      <c r="F1097" s="34"/>
      <c r="G1097" s="35"/>
      <c r="H1097" s="34"/>
      <c r="I1097" s="37"/>
    </row>
    <row r="1098" ht="22.5" customHeight="1">
      <c r="A1098" s="30"/>
      <c r="B1098" s="31"/>
      <c r="C1098" s="32"/>
      <c r="D1098" s="33"/>
      <c r="E1098" s="34"/>
      <c r="F1098" s="34"/>
      <c r="G1098" s="35"/>
      <c r="H1098" s="34"/>
      <c r="I1098" s="37"/>
    </row>
    <row r="1099" ht="22.5" customHeight="1">
      <c r="A1099" s="30"/>
      <c r="B1099" s="31"/>
      <c r="C1099" s="32"/>
      <c r="D1099" s="33"/>
      <c r="E1099" s="34"/>
      <c r="F1099" s="34"/>
      <c r="G1099" s="35"/>
      <c r="H1099" s="34"/>
      <c r="I1099" s="37"/>
    </row>
    <row r="1100" ht="22.5" customHeight="1">
      <c r="A1100" s="30"/>
      <c r="B1100" s="31"/>
      <c r="C1100" s="32"/>
      <c r="D1100" s="33"/>
      <c r="E1100" s="34"/>
      <c r="F1100" s="34"/>
      <c r="G1100" s="35"/>
      <c r="H1100" s="34"/>
      <c r="I1100" s="37"/>
    </row>
    <row r="1101" ht="22.5" customHeight="1">
      <c r="A1101" s="30"/>
      <c r="B1101" s="31"/>
      <c r="C1101" s="32"/>
      <c r="D1101" s="33"/>
      <c r="E1101" s="34"/>
      <c r="F1101" s="34"/>
      <c r="G1101" s="35"/>
      <c r="H1101" s="34"/>
      <c r="I1101" s="37"/>
    </row>
    <row r="1102" ht="22.5" customHeight="1">
      <c r="A1102" s="30"/>
      <c r="B1102" s="31"/>
      <c r="C1102" s="32"/>
      <c r="D1102" s="33"/>
      <c r="E1102" s="34"/>
      <c r="F1102" s="34"/>
      <c r="G1102" s="35"/>
      <c r="H1102" s="34"/>
      <c r="I1102" s="37"/>
    </row>
    <row r="1103" ht="22.5" customHeight="1">
      <c r="A1103" s="30"/>
      <c r="B1103" s="31"/>
      <c r="C1103" s="32"/>
      <c r="D1103" s="33"/>
      <c r="E1103" s="34"/>
      <c r="F1103" s="34"/>
      <c r="G1103" s="35"/>
      <c r="H1103" s="34"/>
      <c r="I1103" s="37"/>
    </row>
    <row r="1104" ht="22.5" customHeight="1">
      <c r="A1104" s="30"/>
      <c r="B1104" s="31"/>
      <c r="C1104" s="32"/>
      <c r="D1104" s="33"/>
      <c r="E1104" s="34"/>
      <c r="F1104" s="34"/>
      <c r="G1104" s="35"/>
      <c r="H1104" s="34"/>
      <c r="I1104" s="37"/>
    </row>
    <row r="1105" ht="22.5" customHeight="1">
      <c r="A1105" s="30"/>
      <c r="B1105" s="31"/>
      <c r="C1105" s="32"/>
      <c r="D1105" s="33"/>
      <c r="E1105" s="34"/>
      <c r="F1105" s="34"/>
      <c r="G1105" s="35"/>
      <c r="H1105" s="34"/>
      <c r="I1105" s="37"/>
    </row>
    <row r="1106" ht="22.5" customHeight="1">
      <c r="A1106" s="30"/>
      <c r="B1106" s="40"/>
      <c r="C1106" s="32"/>
      <c r="D1106" s="33"/>
      <c r="E1106" s="34"/>
      <c r="F1106" s="34"/>
      <c r="G1106" s="35"/>
      <c r="H1106" s="34"/>
      <c r="I1106" s="37"/>
    </row>
    <row r="1107" ht="22.5" customHeight="1">
      <c r="A1107" s="30"/>
      <c r="B1107" s="31"/>
      <c r="C1107" s="32"/>
      <c r="D1107" s="33"/>
      <c r="E1107" s="34"/>
      <c r="F1107" s="34"/>
      <c r="G1107" s="35"/>
      <c r="H1107" s="34"/>
      <c r="I1107" s="37"/>
    </row>
    <row r="1108" ht="22.5" customHeight="1">
      <c r="A1108" s="30"/>
      <c r="B1108" s="31"/>
      <c r="C1108" s="32"/>
      <c r="D1108" s="33"/>
      <c r="E1108" s="34"/>
      <c r="F1108" s="34"/>
      <c r="G1108" s="35"/>
      <c r="H1108" s="34"/>
      <c r="I1108" s="37"/>
    </row>
    <row r="1109" ht="22.5" customHeight="1">
      <c r="A1109" s="30"/>
      <c r="B1109" s="31"/>
      <c r="C1109" s="32"/>
      <c r="D1109" s="33"/>
      <c r="E1109" s="34"/>
      <c r="F1109" s="34"/>
      <c r="G1109" s="35"/>
      <c r="H1109" s="34"/>
      <c r="I1109" s="37"/>
    </row>
    <row r="1110" ht="22.5" customHeight="1">
      <c r="A1110" s="30"/>
      <c r="B1110" s="31"/>
      <c r="C1110" s="32"/>
      <c r="D1110" s="33"/>
      <c r="E1110" s="34"/>
      <c r="F1110" s="34"/>
      <c r="G1110" s="35"/>
      <c r="H1110" s="34"/>
      <c r="I1110" s="37"/>
    </row>
    <row r="1111" ht="22.5" customHeight="1">
      <c r="A1111" s="30"/>
      <c r="B1111" s="31"/>
      <c r="C1111" s="32"/>
      <c r="D1111" s="33"/>
      <c r="E1111" s="34"/>
      <c r="F1111" s="34"/>
      <c r="G1111" s="35"/>
      <c r="H1111" s="34"/>
      <c r="I1111" s="37"/>
    </row>
    <row r="1112" ht="22.5" customHeight="1">
      <c r="A1112" s="30"/>
      <c r="B1112" s="31"/>
      <c r="C1112" s="32"/>
      <c r="D1112" s="33"/>
      <c r="E1112" s="34"/>
      <c r="F1112" s="34"/>
      <c r="G1112" s="35"/>
      <c r="H1112" s="34"/>
      <c r="I1112" s="37"/>
    </row>
    <row r="1113" ht="22.5" customHeight="1">
      <c r="A1113" s="30"/>
      <c r="B1113" s="39"/>
      <c r="C1113" s="32"/>
      <c r="D1113" s="33"/>
      <c r="E1113" s="34"/>
      <c r="F1113" s="34"/>
      <c r="G1113" s="35"/>
      <c r="H1113" s="34"/>
      <c r="I1113" s="37"/>
    </row>
    <row r="1114" ht="22.5" customHeight="1">
      <c r="A1114" s="30"/>
      <c r="B1114" s="39"/>
      <c r="C1114" s="32"/>
      <c r="D1114" s="33"/>
      <c r="E1114" s="34"/>
      <c r="F1114" s="34"/>
      <c r="G1114" s="35"/>
      <c r="H1114" s="34"/>
      <c r="I1114" s="37"/>
    </row>
    <row r="1115" ht="22.5" customHeight="1">
      <c r="A1115" s="30"/>
      <c r="B1115" s="39"/>
      <c r="C1115" s="32"/>
      <c r="D1115" s="33"/>
      <c r="E1115" s="34"/>
      <c r="F1115" s="34"/>
      <c r="G1115" s="35"/>
      <c r="H1115" s="34"/>
      <c r="I1115" s="37"/>
    </row>
    <row r="1116" ht="22.5" customHeight="1">
      <c r="A1116" s="30"/>
      <c r="B1116" s="40"/>
      <c r="C1116" s="32"/>
      <c r="D1116" s="33"/>
      <c r="E1116" s="34"/>
      <c r="F1116" s="34"/>
      <c r="G1116" s="35"/>
      <c r="H1116" s="34"/>
      <c r="I1116" s="37"/>
    </row>
    <row r="1117" ht="22.5" customHeight="1">
      <c r="A1117" s="30"/>
      <c r="B1117" s="31"/>
      <c r="C1117" s="32"/>
      <c r="D1117" s="33"/>
      <c r="E1117" s="34"/>
      <c r="F1117" s="34"/>
      <c r="G1117" s="35"/>
      <c r="H1117" s="34"/>
      <c r="I1117" s="37"/>
    </row>
    <row r="1118" ht="22.5" customHeight="1">
      <c r="A1118" s="30"/>
      <c r="B1118" s="31"/>
      <c r="C1118" s="32"/>
      <c r="D1118" s="33"/>
      <c r="E1118" s="34"/>
      <c r="F1118" s="34"/>
      <c r="G1118" s="35"/>
      <c r="H1118" s="34"/>
      <c r="I1118" s="37"/>
    </row>
    <row r="1119" ht="22.5" customHeight="1">
      <c r="A1119" s="30"/>
      <c r="B1119" s="31"/>
      <c r="C1119" s="32"/>
      <c r="D1119" s="33"/>
      <c r="E1119" s="34"/>
      <c r="F1119" s="34"/>
      <c r="G1119" s="35"/>
      <c r="H1119" s="34"/>
      <c r="I1119" s="37"/>
    </row>
    <row r="1120" ht="22.5" customHeight="1">
      <c r="A1120" s="30"/>
      <c r="B1120" s="31"/>
      <c r="C1120" s="32"/>
      <c r="D1120" s="33"/>
      <c r="E1120" s="34"/>
      <c r="F1120" s="34"/>
      <c r="G1120" s="35"/>
      <c r="H1120" s="34"/>
      <c r="I1120" s="37"/>
    </row>
    <row r="1121" ht="22.5" customHeight="1">
      <c r="A1121" s="30"/>
      <c r="B1121" s="31"/>
      <c r="C1121" s="32"/>
      <c r="D1121" s="33"/>
      <c r="E1121" s="34"/>
      <c r="F1121" s="34"/>
      <c r="G1121" s="35"/>
      <c r="H1121" s="34"/>
      <c r="I1121" s="37"/>
    </row>
    <row r="1122" ht="22.5" customHeight="1">
      <c r="A1122" s="30"/>
      <c r="B1122" s="31"/>
      <c r="C1122" s="32"/>
      <c r="D1122" s="33"/>
      <c r="E1122" s="34"/>
      <c r="F1122" s="34"/>
      <c r="G1122" s="35"/>
      <c r="H1122" s="34"/>
      <c r="I1122" s="37"/>
    </row>
    <row r="1123" ht="22.5" customHeight="1">
      <c r="A1123" s="30"/>
      <c r="B1123" s="31"/>
      <c r="C1123" s="32"/>
      <c r="D1123" s="33"/>
      <c r="E1123" s="34"/>
      <c r="F1123" s="34"/>
      <c r="G1123" s="35"/>
      <c r="H1123" s="34"/>
      <c r="I1123" s="37"/>
    </row>
    <row r="1124" ht="22.5" customHeight="1">
      <c r="A1124" s="30"/>
      <c r="B1124" s="31"/>
      <c r="C1124" s="32"/>
      <c r="D1124" s="33"/>
      <c r="E1124" s="34"/>
      <c r="F1124" s="34"/>
      <c r="G1124" s="35"/>
      <c r="H1124" s="34"/>
      <c r="I1124" s="37"/>
    </row>
    <row r="1125" ht="22.5" customHeight="1">
      <c r="A1125" s="30"/>
      <c r="B1125" s="31"/>
      <c r="C1125" s="32"/>
      <c r="D1125" s="33"/>
      <c r="E1125" s="34"/>
      <c r="F1125" s="34"/>
      <c r="G1125" s="35"/>
      <c r="H1125" s="34"/>
      <c r="I1125" s="37"/>
    </row>
    <row r="1126" ht="22.5" customHeight="1">
      <c r="A1126" s="30"/>
      <c r="B1126" s="40"/>
      <c r="C1126" s="32"/>
      <c r="D1126" s="33"/>
      <c r="E1126" s="34"/>
      <c r="F1126" s="34"/>
      <c r="G1126" s="35"/>
      <c r="H1126" s="34"/>
      <c r="I1126" s="37"/>
    </row>
    <row r="1127" ht="22.5" customHeight="1">
      <c r="A1127" s="30"/>
      <c r="B1127" s="31"/>
      <c r="C1127" s="32"/>
      <c r="D1127" s="33"/>
      <c r="E1127" s="34"/>
      <c r="F1127" s="34"/>
      <c r="G1127" s="35"/>
      <c r="H1127" s="34"/>
      <c r="I1127" s="37"/>
    </row>
    <row r="1128" ht="22.5" customHeight="1">
      <c r="A1128" s="30"/>
      <c r="B1128" s="31"/>
      <c r="C1128" s="32"/>
      <c r="D1128" s="33"/>
      <c r="E1128" s="34"/>
      <c r="F1128" s="34"/>
      <c r="G1128" s="35"/>
      <c r="H1128" s="34"/>
      <c r="I1128" s="37"/>
    </row>
    <row r="1129" ht="22.5" customHeight="1">
      <c r="A1129" s="30"/>
      <c r="B1129" s="31"/>
      <c r="C1129" s="32"/>
      <c r="D1129" s="33"/>
      <c r="E1129" s="34"/>
      <c r="F1129" s="34"/>
      <c r="G1129" s="35"/>
      <c r="H1129" s="34"/>
      <c r="I1129" s="37"/>
    </row>
    <row r="1130" ht="22.5" customHeight="1">
      <c r="A1130" s="30"/>
      <c r="B1130" s="40"/>
      <c r="C1130" s="32"/>
      <c r="D1130" s="33"/>
      <c r="E1130" s="34"/>
      <c r="F1130" s="34"/>
      <c r="G1130" s="35"/>
      <c r="H1130" s="34"/>
      <c r="I1130" s="37"/>
    </row>
    <row r="1131" ht="22.5" customHeight="1">
      <c r="A1131" s="30"/>
      <c r="B1131" s="31"/>
      <c r="C1131" s="32"/>
      <c r="D1131" s="33"/>
      <c r="E1131" s="34"/>
      <c r="F1131" s="34"/>
      <c r="G1131" s="35"/>
      <c r="H1131" s="34"/>
      <c r="I1131" s="37"/>
    </row>
    <row r="1132" ht="22.5" customHeight="1">
      <c r="A1132" s="30"/>
      <c r="B1132" s="31"/>
      <c r="C1132" s="32"/>
      <c r="D1132" s="33"/>
      <c r="E1132" s="34"/>
      <c r="F1132" s="34"/>
      <c r="G1132" s="35"/>
      <c r="H1132" s="34"/>
      <c r="I1132" s="37"/>
    </row>
    <row r="1133" ht="22.5" customHeight="1">
      <c r="A1133" s="30"/>
      <c r="B1133" s="31"/>
      <c r="C1133" s="32"/>
      <c r="D1133" s="33"/>
      <c r="E1133" s="34"/>
      <c r="F1133" s="34"/>
      <c r="G1133" s="35"/>
      <c r="H1133" s="34"/>
      <c r="I1133" s="37"/>
    </row>
    <row r="1134" ht="22.5" customHeight="1">
      <c r="A1134" s="30"/>
      <c r="B1134" s="31"/>
      <c r="C1134" s="32"/>
      <c r="D1134" s="33"/>
      <c r="E1134" s="34"/>
      <c r="F1134" s="34"/>
      <c r="G1134" s="35"/>
      <c r="H1134" s="34"/>
      <c r="I1134" s="37"/>
    </row>
    <row r="1135" ht="22.5" customHeight="1">
      <c r="A1135" s="30"/>
      <c r="B1135" s="31"/>
      <c r="C1135" s="32"/>
      <c r="D1135" s="33"/>
      <c r="E1135" s="34"/>
      <c r="F1135" s="34"/>
      <c r="G1135" s="35"/>
      <c r="H1135" s="34"/>
      <c r="I1135" s="37"/>
    </row>
    <row r="1136" ht="22.5" customHeight="1">
      <c r="A1136" s="30"/>
      <c r="B1136" s="31"/>
      <c r="C1136" s="32"/>
      <c r="D1136" s="33"/>
      <c r="E1136" s="34"/>
      <c r="F1136" s="34"/>
      <c r="G1136" s="35"/>
      <c r="H1136" s="34"/>
      <c r="I1136" s="37"/>
    </row>
    <row r="1137" ht="22.5" customHeight="1">
      <c r="A1137" s="30"/>
      <c r="B1137" s="31"/>
      <c r="C1137" s="32"/>
      <c r="D1137" s="33"/>
      <c r="E1137" s="34"/>
      <c r="F1137" s="34"/>
      <c r="G1137" s="35"/>
      <c r="H1137" s="34"/>
      <c r="I1137" s="37"/>
    </row>
    <row r="1138" ht="22.5" customHeight="1">
      <c r="A1138" s="30"/>
      <c r="B1138" s="31"/>
      <c r="C1138" s="32"/>
      <c r="D1138" s="33"/>
      <c r="E1138" s="34"/>
      <c r="F1138" s="34"/>
      <c r="G1138" s="35"/>
      <c r="H1138" s="34"/>
      <c r="I1138" s="37"/>
    </row>
    <row r="1139" ht="22.5" customHeight="1">
      <c r="A1139" s="30"/>
      <c r="B1139" s="31"/>
      <c r="C1139" s="32"/>
      <c r="D1139" s="33"/>
      <c r="E1139" s="34"/>
      <c r="F1139" s="34"/>
      <c r="G1139" s="35"/>
      <c r="H1139" s="34"/>
      <c r="I1139" s="37"/>
    </row>
    <row r="1140" ht="22.5" customHeight="1">
      <c r="A1140" s="30"/>
      <c r="B1140" s="31"/>
      <c r="C1140" s="32"/>
      <c r="D1140" s="33"/>
      <c r="E1140" s="34"/>
      <c r="F1140" s="34"/>
      <c r="G1140" s="35"/>
      <c r="H1140" s="34"/>
      <c r="I1140" s="37"/>
    </row>
    <row r="1141" ht="22.5" customHeight="1">
      <c r="A1141" s="30"/>
      <c r="B1141" s="31"/>
      <c r="C1141" s="32"/>
      <c r="D1141" s="33"/>
      <c r="E1141" s="34"/>
      <c r="F1141" s="34"/>
      <c r="G1141" s="35"/>
      <c r="H1141" s="34"/>
      <c r="I1141" s="37"/>
    </row>
    <row r="1142" ht="22.5" customHeight="1">
      <c r="A1142" s="30"/>
      <c r="B1142" s="31"/>
      <c r="C1142" s="32"/>
      <c r="D1142" s="33"/>
      <c r="E1142" s="34"/>
      <c r="F1142" s="34"/>
      <c r="G1142" s="35"/>
      <c r="H1142" s="34"/>
      <c r="I1142" s="37"/>
    </row>
    <row r="1143" ht="22.5" customHeight="1">
      <c r="A1143" s="30"/>
      <c r="B1143" s="31"/>
      <c r="C1143" s="32"/>
      <c r="D1143" s="33"/>
      <c r="E1143" s="34"/>
      <c r="F1143" s="34"/>
      <c r="G1143" s="35"/>
      <c r="H1143" s="34"/>
      <c r="I1143" s="37"/>
    </row>
    <row r="1144" ht="22.5" customHeight="1">
      <c r="A1144" s="30"/>
      <c r="B1144" s="31"/>
      <c r="C1144" s="32"/>
      <c r="D1144" s="33"/>
      <c r="E1144" s="34"/>
      <c r="F1144" s="34"/>
      <c r="G1144" s="35"/>
      <c r="H1144" s="34"/>
      <c r="I1144" s="37"/>
    </row>
    <row r="1145" ht="22.5" customHeight="1">
      <c r="A1145" s="30"/>
      <c r="B1145" s="40"/>
      <c r="C1145" s="32"/>
      <c r="D1145" s="33"/>
      <c r="E1145" s="34"/>
      <c r="F1145" s="34"/>
      <c r="G1145" s="35"/>
      <c r="H1145" s="34"/>
      <c r="I1145" s="37"/>
    </row>
    <row r="1146" ht="22.5" customHeight="1">
      <c r="A1146" s="30"/>
      <c r="B1146" s="31"/>
      <c r="C1146" s="32"/>
      <c r="D1146" s="33"/>
      <c r="E1146" s="34"/>
      <c r="F1146" s="34"/>
      <c r="G1146" s="35"/>
      <c r="H1146" s="34"/>
      <c r="I1146" s="37"/>
    </row>
    <row r="1147" ht="22.5" customHeight="1">
      <c r="A1147" s="30"/>
      <c r="B1147" s="40"/>
      <c r="C1147" s="32"/>
      <c r="D1147" s="33"/>
      <c r="E1147" s="34"/>
      <c r="F1147" s="34"/>
      <c r="G1147" s="35"/>
      <c r="H1147" s="34"/>
      <c r="I1147" s="37"/>
    </row>
    <row r="1148" ht="22.5" customHeight="1">
      <c r="A1148" s="30"/>
      <c r="B1148" s="31"/>
      <c r="C1148" s="32"/>
      <c r="D1148" s="33"/>
      <c r="E1148" s="34"/>
      <c r="F1148" s="34"/>
      <c r="G1148" s="35"/>
      <c r="H1148" s="34"/>
      <c r="I1148" s="37"/>
    </row>
    <row r="1149" ht="22.5" customHeight="1">
      <c r="A1149" s="30"/>
      <c r="B1149" s="31"/>
      <c r="C1149" s="32"/>
      <c r="D1149" s="33"/>
      <c r="E1149" s="34"/>
      <c r="F1149" s="34"/>
      <c r="G1149" s="35"/>
      <c r="H1149" s="34"/>
      <c r="I1149" s="37"/>
    </row>
    <row r="1150" ht="22.5" customHeight="1">
      <c r="A1150" s="30"/>
      <c r="B1150" s="31"/>
      <c r="C1150" s="32"/>
      <c r="D1150" s="33"/>
      <c r="E1150" s="34"/>
      <c r="F1150" s="34"/>
      <c r="G1150" s="35"/>
      <c r="H1150" s="34"/>
      <c r="I1150" s="37"/>
    </row>
    <row r="1151" ht="22.5" customHeight="1">
      <c r="A1151" s="30"/>
      <c r="B1151" s="31"/>
      <c r="C1151" s="32"/>
      <c r="D1151" s="33"/>
      <c r="E1151" s="34"/>
      <c r="F1151" s="34"/>
      <c r="G1151" s="35"/>
      <c r="H1151" s="34"/>
      <c r="I1151" s="37"/>
    </row>
    <row r="1152" ht="22.5" customHeight="1">
      <c r="A1152" s="30"/>
      <c r="B1152" s="40"/>
      <c r="C1152" s="32"/>
      <c r="D1152" s="33"/>
      <c r="E1152" s="34"/>
      <c r="F1152" s="34"/>
      <c r="G1152" s="35"/>
      <c r="H1152" s="34"/>
      <c r="I1152" s="37"/>
    </row>
    <row r="1153" ht="22.5" customHeight="1">
      <c r="A1153" s="30"/>
      <c r="B1153" s="31"/>
      <c r="C1153" s="32"/>
      <c r="D1153" s="33"/>
      <c r="E1153" s="34"/>
      <c r="F1153" s="34"/>
      <c r="G1153" s="35"/>
      <c r="H1153" s="34"/>
      <c r="I1153" s="37"/>
    </row>
    <row r="1154" ht="22.5" customHeight="1">
      <c r="A1154" s="30"/>
      <c r="B1154" s="31"/>
      <c r="C1154" s="32"/>
      <c r="D1154" s="33"/>
      <c r="E1154" s="34"/>
      <c r="F1154" s="34"/>
      <c r="G1154" s="35"/>
      <c r="H1154" s="34"/>
      <c r="I1154" s="37"/>
    </row>
    <row r="1155" ht="22.5" customHeight="1">
      <c r="A1155" s="30"/>
      <c r="B1155" s="31"/>
      <c r="C1155" s="32"/>
      <c r="D1155" s="33"/>
      <c r="E1155" s="34"/>
      <c r="F1155" s="34"/>
      <c r="G1155" s="35"/>
      <c r="H1155" s="34"/>
      <c r="I1155" s="37"/>
    </row>
    <row r="1156" ht="22.5" customHeight="1">
      <c r="A1156" s="30"/>
      <c r="B1156" s="31"/>
      <c r="C1156" s="32"/>
      <c r="D1156" s="33"/>
      <c r="E1156" s="34"/>
      <c r="F1156" s="34"/>
      <c r="G1156" s="35"/>
      <c r="H1156" s="34"/>
      <c r="I1156" s="37"/>
    </row>
    <row r="1157" ht="22.5" customHeight="1">
      <c r="A1157" s="30"/>
      <c r="B1157" s="31"/>
      <c r="C1157" s="32"/>
      <c r="D1157" s="33"/>
      <c r="E1157" s="34"/>
      <c r="F1157" s="34"/>
      <c r="G1157" s="35"/>
      <c r="H1157" s="34"/>
      <c r="I1157" s="37"/>
    </row>
    <row r="1158" ht="22.5" customHeight="1">
      <c r="A1158" s="30"/>
      <c r="B1158" s="31"/>
      <c r="C1158" s="32"/>
      <c r="D1158" s="33"/>
      <c r="E1158" s="34"/>
      <c r="F1158" s="34"/>
      <c r="G1158" s="35"/>
      <c r="H1158" s="34"/>
      <c r="I1158" s="37"/>
    </row>
    <row r="1159" ht="22.5" customHeight="1">
      <c r="A1159" s="30"/>
      <c r="B1159" s="31"/>
      <c r="C1159" s="32"/>
      <c r="D1159" s="33"/>
      <c r="E1159" s="34"/>
      <c r="F1159" s="34"/>
      <c r="G1159" s="35"/>
      <c r="H1159" s="34"/>
      <c r="I1159" s="37"/>
    </row>
    <row r="1160" ht="22.5" customHeight="1">
      <c r="A1160" s="30"/>
      <c r="B1160" s="31"/>
      <c r="C1160" s="32"/>
      <c r="D1160" s="33"/>
      <c r="E1160" s="34"/>
      <c r="F1160" s="34"/>
      <c r="G1160" s="35"/>
      <c r="H1160" s="34"/>
      <c r="I1160" s="37"/>
    </row>
    <row r="1161" ht="22.5" customHeight="1">
      <c r="A1161" s="30"/>
      <c r="B1161" s="31"/>
      <c r="C1161" s="32"/>
      <c r="D1161" s="33"/>
      <c r="E1161" s="34"/>
      <c r="F1161" s="34"/>
      <c r="G1161" s="35"/>
      <c r="H1161" s="34"/>
      <c r="I1161" s="37"/>
    </row>
    <row r="1162" ht="22.5" customHeight="1">
      <c r="A1162" s="30"/>
      <c r="B1162" s="31"/>
      <c r="C1162" s="32"/>
      <c r="D1162" s="33"/>
      <c r="E1162" s="34"/>
      <c r="F1162" s="34"/>
      <c r="G1162" s="35"/>
      <c r="H1162" s="34"/>
      <c r="I1162" s="37"/>
    </row>
    <row r="1163" ht="22.5" customHeight="1">
      <c r="A1163" s="30"/>
      <c r="B1163" s="31"/>
      <c r="C1163" s="32"/>
      <c r="D1163" s="33"/>
      <c r="E1163" s="34"/>
      <c r="F1163" s="34"/>
      <c r="G1163" s="35"/>
      <c r="H1163" s="34"/>
      <c r="I1163" s="37"/>
    </row>
    <row r="1164" ht="22.5" customHeight="1">
      <c r="A1164" s="30"/>
      <c r="B1164" s="31"/>
      <c r="C1164" s="32"/>
      <c r="D1164" s="33"/>
      <c r="E1164" s="34"/>
      <c r="F1164" s="34"/>
      <c r="G1164" s="35"/>
      <c r="H1164" s="34"/>
      <c r="I1164" s="37"/>
    </row>
    <row r="1165" ht="22.5" customHeight="1">
      <c r="A1165" s="30"/>
      <c r="B1165" s="31"/>
      <c r="C1165" s="32"/>
      <c r="D1165" s="33"/>
      <c r="E1165" s="34"/>
      <c r="F1165" s="34"/>
      <c r="G1165" s="35"/>
      <c r="H1165" s="34"/>
      <c r="I1165" s="37"/>
    </row>
    <row r="1166" ht="22.5" customHeight="1">
      <c r="A1166" s="30"/>
      <c r="B1166" s="31"/>
      <c r="C1166" s="32"/>
      <c r="D1166" s="33"/>
      <c r="E1166" s="34"/>
      <c r="F1166" s="34"/>
      <c r="G1166" s="35"/>
      <c r="H1166" s="34"/>
      <c r="I1166" s="37"/>
    </row>
    <row r="1167" ht="22.5" customHeight="1">
      <c r="A1167" s="30"/>
      <c r="B1167" s="31"/>
      <c r="C1167" s="32"/>
      <c r="D1167" s="33"/>
      <c r="E1167" s="34"/>
      <c r="F1167" s="34"/>
      <c r="G1167" s="35"/>
      <c r="H1167" s="34"/>
      <c r="I1167" s="37"/>
    </row>
    <row r="1168" ht="22.5" customHeight="1">
      <c r="A1168" s="30"/>
      <c r="B1168" s="31"/>
      <c r="C1168" s="32"/>
      <c r="D1168" s="33"/>
      <c r="E1168" s="34"/>
      <c r="F1168" s="34"/>
      <c r="G1168" s="35"/>
      <c r="H1168" s="34"/>
      <c r="I1168" s="37"/>
    </row>
    <row r="1169" ht="22.5" customHeight="1">
      <c r="A1169" s="30"/>
      <c r="B1169" s="31"/>
      <c r="C1169" s="32"/>
      <c r="D1169" s="33"/>
      <c r="E1169" s="34"/>
      <c r="F1169" s="34"/>
      <c r="G1169" s="35"/>
      <c r="H1169" s="34"/>
      <c r="I1169" s="37"/>
    </row>
    <row r="1170" ht="22.5" customHeight="1">
      <c r="A1170" s="30"/>
      <c r="B1170" s="31"/>
      <c r="C1170" s="32"/>
      <c r="D1170" s="33"/>
      <c r="E1170" s="34"/>
      <c r="F1170" s="34"/>
      <c r="G1170" s="35"/>
      <c r="H1170" s="34"/>
      <c r="I1170" s="37"/>
    </row>
    <row r="1171" ht="22.5" customHeight="1">
      <c r="A1171" s="30"/>
      <c r="B1171" s="31"/>
      <c r="C1171" s="32"/>
      <c r="D1171" s="33"/>
      <c r="E1171" s="34"/>
      <c r="F1171" s="34"/>
      <c r="G1171" s="35"/>
      <c r="H1171" s="34"/>
      <c r="I1171" s="37"/>
    </row>
    <row r="1172" ht="22.5" customHeight="1">
      <c r="A1172" s="30"/>
      <c r="B1172" s="31"/>
      <c r="C1172" s="32"/>
      <c r="D1172" s="33"/>
      <c r="E1172" s="34"/>
      <c r="F1172" s="34"/>
      <c r="G1172" s="35"/>
      <c r="H1172" s="34"/>
      <c r="I1172" s="37"/>
    </row>
    <row r="1173" ht="22.5" customHeight="1">
      <c r="A1173" s="30"/>
      <c r="B1173" s="31"/>
      <c r="C1173" s="32"/>
      <c r="D1173" s="33"/>
      <c r="E1173" s="34"/>
      <c r="F1173" s="34"/>
      <c r="G1173" s="35"/>
      <c r="H1173" s="34"/>
      <c r="I1173" s="37"/>
    </row>
    <row r="1174" ht="22.5" customHeight="1">
      <c r="A1174" s="30"/>
      <c r="B1174" s="40"/>
      <c r="C1174" s="32"/>
      <c r="D1174" s="33"/>
      <c r="E1174" s="34"/>
      <c r="F1174" s="34"/>
      <c r="G1174" s="35"/>
      <c r="H1174" s="34"/>
      <c r="I1174" s="37"/>
    </row>
    <row r="1175" ht="22.5" customHeight="1">
      <c r="A1175" s="30"/>
      <c r="B1175" s="31"/>
      <c r="C1175" s="32"/>
      <c r="D1175" s="33"/>
      <c r="E1175" s="34"/>
      <c r="F1175" s="34"/>
      <c r="G1175" s="35"/>
      <c r="H1175" s="34"/>
      <c r="I1175" s="37"/>
    </row>
    <row r="1176" ht="22.5" customHeight="1">
      <c r="A1176" s="30"/>
      <c r="B1176" s="31"/>
      <c r="C1176" s="32"/>
      <c r="D1176" s="33"/>
      <c r="E1176" s="34"/>
      <c r="F1176" s="34"/>
      <c r="G1176" s="35"/>
      <c r="H1176" s="34"/>
      <c r="I1176" s="37"/>
    </row>
    <row r="1177" ht="22.5" customHeight="1">
      <c r="A1177" s="30"/>
      <c r="B1177" s="31"/>
      <c r="C1177" s="32"/>
      <c r="D1177" s="33"/>
      <c r="E1177" s="34"/>
      <c r="F1177" s="34"/>
      <c r="G1177" s="35"/>
      <c r="H1177" s="34"/>
      <c r="I1177" s="37"/>
    </row>
    <row r="1178" ht="22.5" customHeight="1">
      <c r="A1178" s="30"/>
      <c r="B1178" s="31"/>
      <c r="C1178" s="32"/>
      <c r="D1178" s="33"/>
      <c r="E1178" s="34"/>
      <c r="F1178" s="34"/>
      <c r="G1178" s="35"/>
      <c r="H1178" s="34"/>
      <c r="I1178" s="38"/>
    </row>
    <row r="1179" ht="22.5" customHeight="1">
      <c r="A1179" s="30"/>
      <c r="B1179" s="39"/>
      <c r="C1179" s="32"/>
      <c r="D1179" s="33"/>
      <c r="E1179" s="34"/>
      <c r="F1179" s="34"/>
      <c r="G1179" s="35"/>
      <c r="H1179" s="34"/>
      <c r="I1179" s="37"/>
    </row>
    <row r="1180" ht="22.5" customHeight="1">
      <c r="A1180" s="30"/>
      <c r="B1180" s="31"/>
      <c r="C1180" s="32"/>
      <c r="D1180" s="33"/>
      <c r="E1180" s="34"/>
      <c r="F1180" s="34"/>
      <c r="G1180" s="35"/>
      <c r="H1180" s="34"/>
      <c r="I1180" s="37"/>
    </row>
    <row r="1181" ht="22.5" customHeight="1">
      <c r="A1181" s="30"/>
      <c r="B1181" s="31"/>
      <c r="C1181" s="32"/>
      <c r="D1181" s="33"/>
      <c r="E1181" s="34"/>
      <c r="F1181" s="34"/>
      <c r="G1181" s="35"/>
      <c r="H1181" s="34"/>
      <c r="I1181" s="37"/>
    </row>
    <row r="1182" ht="22.5" customHeight="1">
      <c r="A1182" s="30"/>
      <c r="B1182" s="31"/>
      <c r="C1182" s="32"/>
      <c r="D1182" s="33"/>
      <c r="E1182" s="34"/>
      <c r="F1182" s="34"/>
      <c r="G1182" s="35"/>
      <c r="H1182" s="34"/>
      <c r="I1182" s="37"/>
    </row>
    <row r="1183" ht="22.5" customHeight="1">
      <c r="A1183" s="30"/>
      <c r="B1183" s="39"/>
      <c r="C1183" s="32"/>
      <c r="D1183" s="33"/>
      <c r="E1183" s="34"/>
      <c r="F1183" s="34"/>
      <c r="G1183" s="35"/>
      <c r="H1183" s="34"/>
      <c r="I1183" s="37"/>
    </row>
    <row r="1184" ht="22.5" customHeight="1">
      <c r="A1184" s="30"/>
      <c r="B1184" s="31"/>
      <c r="C1184" s="32"/>
      <c r="D1184" s="33"/>
      <c r="E1184" s="34"/>
      <c r="F1184" s="34"/>
      <c r="G1184" s="35"/>
      <c r="H1184" s="34"/>
      <c r="I1184" s="37"/>
    </row>
    <row r="1185" ht="22.5" customHeight="1">
      <c r="A1185" s="30"/>
      <c r="B1185" s="39"/>
      <c r="C1185" s="32"/>
      <c r="D1185" s="33"/>
      <c r="E1185" s="34"/>
      <c r="F1185" s="34"/>
      <c r="G1185" s="35"/>
      <c r="H1185" s="34"/>
      <c r="I1185" s="37"/>
    </row>
    <row r="1186" ht="22.5" customHeight="1">
      <c r="A1186" s="30"/>
      <c r="B1186" s="31"/>
      <c r="C1186" s="32"/>
      <c r="D1186" s="33"/>
      <c r="E1186" s="34"/>
      <c r="F1186" s="34"/>
      <c r="G1186" s="35"/>
      <c r="H1186" s="34"/>
      <c r="I1186" s="37"/>
    </row>
    <row r="1187" ht="22.5" customHeight="1">
      <c r="A1187" s="30"/>
      <c r="B1187" s="31"/>
      <c r="C1187" s="32"/>
      <c r="D1187" s="33"/>
      <c r="E1187" s="34"/>
      <c r="F1187" s="34"/>
      <c r="G1187" s="35"/>
      <c r="H1187" s="34"/>
      <c r="I1187" s="37"/>
    </row>
    <row r="1188" ht="22.5" customHeight="1">
      <c r="A1188" s="30"/>
      <c r="B1188" s="31"/>
      <c r="C1188" s="32"/>
      <c r="D1188" s="33"/>
      <c r="E1188" s="34"/>
      <c r="F1188" s="34"/>
      <c r="G1188" s="35"/>
      <c r="H1188" s="34"/>
      <c r="I1188" s="37"/>
    </row>
    <row r="1189" ht="22.5" customHeight="1">
      <c r="A1189" s="30"/>
      <c r="B1189" s="31"/>
      <c r="C1189" s="32"/>
      <c r="D1189" s="33"/>
      <c r="E1189" s="34"/>
      <c r="F1189" s="34"/>
      <c r="G1189" s="35"/>
      <c r="H1189" s="34"/>
      <c r="I1189" s="37"/>
    </row>
    <row r="1190" ht="22.5" customHeight="1">
      <c r="A1190" s="30"/>
      <c r="B1190" s="31"/>
      <c r="C1190" s="32"/>
      <c r="D1190" s="33"/>
      <c r="E1190" s="34"/>
      <c r="F1190" s="34"/>
      <c r="G1190" s="35"/>
      <c r="H1190" s="34"/>
      <c r="I1190" s="37"/>
    </row>
    <row r="1191" ht="22.5" customHeight="1">
      <c r="A1191" s="30"/>
      <c r="B1191" s="31"/>
      <c r="C1191" s="32"/>
      <c r="D1191" s="33"/>
      <c r="E1191" s="34"/>
      <c r="F1191" s="34"/>
      <c r="G1191" s="35"/>
      <c r="H1191" s="34"/>
      <c r="I1191" s="37"/>
    </row>
    <row r="1192" ht="22.5" customHeight="1">
      <c r="A1192" s="30"/>
      <c r="B1192" s="31"/>
      <c r="C1192" s="32"/>
      <c r="D1192" s="33"/>
      <c r="E1192" s="34"/>
      <c r="F1192" s="34"/>
      <c r="G1192" s="35"/>
      <c r="H1192" s="34"/>
      <c r="I1192" s="37"/>
    </row>
    <row r="1193" ht="22.5" customHeight="1">
      <c r="A1193" s="30"/>
      <c r="B1193" s="31"/>
      <c r="C1193" s="32"/>
      <c r="D1193" s="33"/>
      <c r="E1193" s="34"/>
      <c r="F1193" s="34"/>
      <c r="G1193" s="35"/>
      <c r="H1193" s="34"/>
      <c r="I1193" s="37"/>
    </row>
    <row r="1194" ht="22.5" customHeight="1">
      <c r="A1194" s="30"/>
      <c r="B1194" s="31"/>
      <c r="C1194" s="32"/>
      <c r="D1194" s="33"/>
      <c r="E1194" s="34"/>
      <c r="F1194" s="34"/>
      <c r="G1194" s="35"/>
      <c r="H1194" s="34"/>
      <c r="I1194" s="37"/>
    </row>
    <row r="1195" ht="22.5" customHeight="1">
      <c r="A1195" s="30"/>
      <c r="B1195" s="31"/>
      <c r="C1195" s="32"/>
      <c r="D1195" s="33"/>
      <c r="E1195" s="34"/>
      <c r="F1195" s="34"/>
      <c r="G1195" s="35"/>
      <c r="H1195" s="34"/>
      <c r="I1195" s="37"/>
    </row>
    <row r="1196" ht="22.5" customHeight="1">
      <c r="A1196" s="30"/>
      <c r="B1196" s="40"/>
      <c r="C1196" s="32"/>
      <c r="D1196" s="33"/>
      <c r="E1196" s="34"/>
      <c r="F1196" s="34"/>
      <c r="G1196" s="35"/>
      <c r="H1196" s="34"/>
      <c r="I1196" s="37"/>
    </row>
    <row r="1197" ht="22.5" customHeight="1">
      <c r="A1197" s="30"/>
      <c r="B1197" s="31"/>
      <c r="C1197" s="32"/>
      <c r="D1197" s="33"/>
      <c r="E1197" s="34"/>
      <c r="F1197" s="34"/>
      <c r="G1197" s="35"/>
      <c r="H1197" s="34"/>
      <c r="I1197" s="37"/>
    </row>
    <row r="1198" ht="22.5" customHeight="1">
      <c r="A1198" s="30"/>
      <c r="B1198" s="31"/>
      <c r="C1198" s="32"/>
      <c r="D1198" s="33"/>
      <c r="E1198" s="34"/>
      <c r="F1198" s="34"/>
      <c r="G1198" s="35"/>
      <c r="H1198" s="34"/>
      <c r="I1198" s="37"/>
    </row>
    <row r="1199" ht="22.5" customHeight="1">
      <c r="A1199" s="30"/>
      <c r="B1199" s="31"/>
      <c r="C1199" s="32"/>
      <c r="D1199" s="33"/>
      <c r="E1199" s="34"/>
      <c r="F1199" s="34"/>
      <c r="G1199" s="35"/>
      <c r="H1199" s="34"/>
      <c r="I1199" s="37"/>
    </row>
    <row r="1200" ht="22.5" customHeight="1">
      <c r="A1200" s="30"/>
      <c r="B1200" s="31"/>
      <c r="C1200" s="32"/>
      <c r="D1200" s="33"/>
      <c r="E1200" s="34"/>
      <c r="F1200" s="34"/>
      <c r="G1200" s="35"/>
      <c r="H1200" s="34"/>
      <c r="I1200" s="37"/>
    </row>
    <row r="1201" ht="22.5" customHeight="1">
      <c r="A1201" s="30"/>
      <c r="B1201" s="31"/>
      <c r="C1201" s="32"/>
      <c r="D1201" s="33"/>
      <c r="E1201" s="34"/>
      <c r="F1201" s="34"/>
      <c r="G1201" s="35"/>
      <c r="H1201" s="34"/>
      <c r="I1201" s="37"/>
    </row>
    <row r="1202" ht="22.5" customHeight="1">
      <c r="A1202" s="30"/>
      <c r="B1202" s="31"/>
      <c r="C1202" s="32"/>
      <c r="D1202" s="33"/>
      <c r="E1202" s="34"/>
      <c r="F1202" s="34"/>
      <c r="G1202" s="35"/>
      <c r="H1202" s="34"/>
      <c r="I1202" s="37"/>
    </row>
    <row r="1203" ht="22.5" customHeight="1">
      <c r="A1203" s="30"/>
      <c r="B1203" s="39"/>
      <c r="C1203" s="32"/>
      <c r="D1203" s="33"/>
      <c r="E1203" s="34"/>
      <c r="F1203" s="34"/>
      <c r="G1203" s="35"/>
      <c r="H1203" s="34"/>
      <c r="I1203" s="37"/>
    </row>
    <row r="1204" ht="22.5" customHeight="1">
      <c r="A1204" s="30"/>
      <c r="B1204" s="39"/>
      <c r="C1204" s="32"/>
      <c r="D1204" s="33"/>
      <c r="E1204" s="34"/>
      <c r="F1204" s="34"/>
      <c r="G1204" s="35"/>
      <c r="H1204" s="34"/>
      <c r="I1204" s="37"/>
    </row>
    <row r="1205" ht="22.5" customHeight="1">
      <c r="A1205" s="30"/>
      <c r="B1205" s="39"/>
      <c r="C1205" s="32"/>
      <c r="D1205" s="33"/>
      <c r="E1205" s="34"/>
      <c r="F1205" s="34"/>
      <c r="G1205" s="35"/>
      <c r="H1205" s="34"/>
      <c r="I1205" s="37"/>
    </row>
    <row r="1206" ht="22.5" customHeight="1">
      <c r="A1206" s="30"/>
      <c r="B1206" s="40"/>
      <c r="C1206" s="32"/>
      <c r="D1206" s="33"/>
      <c r="E1206" s="34"/>
      <c r="F1206" s="34"/>
      <c r="G1206" s="35"/>
      <c r="H1206" s="34"/>
      <c r="I1206" s="37"/>
    </row>
    <row r="1207" ht="22.5" customHeight="1">
      <c r="A1207" s="30"/>
      <c r="B1207" s="31"/>
      <c r="C1207" s="32"/>
      <c r="D1207" s="33"/>
      <c r="E1207" s="34"/>
      <c r="F1207" s="34"/>
      <c r="G1207" s="35"/>
      <c r="H1207" s="34"/>
      <c r="I1207" s="37"/>
    </row>
    <row r="1208" ht="22.5" customHeight="1">
      <c r="A1208" s="30"/>
      <c r="B1208" s="31"/>
      <c r="C1208" s="32"/>
      <c r="D1208" s="33"/>
      <c r="E1208" s="34"/>
      <c r="F1208" s="34"/>
      <c r="G1208" s="35"/>
      <c r="H1208" s="34"/>
      <c r="I1208" s="37"/>
    </row>
    <row r="1209" ht="22.5" customHeight="1">
      <c r="A1209" s="30"/>
      <c r="B1209" s="31"/>
      <c r="C1209" s="32"/>
      <c r="D1209" s="33"/>
      <c r="E1209" s="34"/>
      <c r="F1209" s="34"/>
      <c r="G1209" s="35"/>
      <c r="H1209" s="34"/>
      <c r="I1209" s="37"/>
    </row>
    <row r="1210" ht="22.5" customHeight="1">
      <c r="A1210" s="30"/>
      <c r="B1210" s="31"/>
      <c r="C1210" s="32"/>
      <c r="D1210" s="33"/>
      <c r="E1210" s="34"/>
      <c r="F1210" s="34"/>
      <c r="G1210" s="35"/>
      <c r="H1210" s="34"/>
      <c r="I1210" s="37"/>
    </row>
    <row r="1211" ht="22.5" customHeight="1">
      <c r="A1211" s="30"/>
      <c r="B1211" s="31"/>
      <c r="C1211" s="32"/>
      <c r="D1211" s="33"/>
      <c r="E1211" s="34"/>
      <c r="F1211" s="34"/>
      <c r="G1211" s="35"/>
      <c r="H1211" s="34"/>
      <c r="I1211" s="37"/>
    </row>
    <row r="1212" ht="22.5" customHeight="1">
      <c r="A1212" s="30"/>
      <c r="B1212" s="31"/>
      <c r="C1212" s="32"/>
      <c r="D1212" s="33"/>
      <c r="E1212" s="34"/>
      <c r="F1212" s="34"/>
      <c r="G1212" s="35"/>
      <c r="H1212" s="34"/>
      <c r="I1212" s="37"/>
    </row>
    <row r="1213" ht="22.5" customHeight="1">
      <c r="A1213" s="30"/>
      <c r="B1213" s="31"/>
      <c r="C1213" s="32"/>
      <c r="D1213" s="33"/>
      <c r="E1213" s="34"/>
      <c r="F1213" s="34"/>
      <c r="G1213" s="35"/>
      <c r="H1213" s="34"/>
      <c r="I1213" s="37"/>
    </row>
    <row r="1214" ht="22.5" customHeight="1">
      <c r="A1214" s="30"/>
      <c r="B1214" s="31"/>
      <c r="C1214" s="32"/>
      <c r="D1214" s="33"/>
      <c r="E1214" s="34"/>
      <c r="F1214" s="34"/>
      <c r="G1214" s="35"/>
      <c r="H1214" s="34"/>
      <c r="I1214" s="37"/>
    </row>
    <row r="1215" ht="22.5" customHeight="1">
      <c r="A1215" s="30"/>
      <c r="B1215" s="31"/>
      <c r="C1215" s="32"/>
      <c r="D1215" s="33"/>
      <c r="E1215" s="34"/>
      <c r="F1215" s="34"/>
      <c r="G1215" s="35"/>
      <c r="H1215" s="34"/>
      <c r="I1215" s="37"/>
    </row>
    <row r="1216" ht="22.5" customHeight="1">
      <c r="A1216" s="30"/>
      <c r="B1216" s="40"/>
      <c r="C1216" s="32"/>
      <c r="D1216" s="33"/>
      <c r="E1216" s="34"/>
      <c r="F1216" s="34"/>
      <c r="G1216" s="35"/>
      <c r="H1216" s="34"/>
      <c r="I1216" s="37"/>
    </row>
    <row r="1217" ht="22.5" customHeight="1">
      <c r="A1217" s="30"/>
      <c r="B1217" s="31"/>
      <c r="C1217" s="32"/>
      <c r="D1217" s="33"/>
      <c r="E1217" s="34"/>
      <c r="F1217" s="34"/>
      <c r="G1217" s="35"/>
      <c r="H1217" s="34"/>
      <c r="I1217" s="37"/>
    </row>
    <row r="1218" ht="22.5" customHeight="1">
      <c r="A1218" s="30"/>
      <c r="B1218" s="31"/>
      <c r="C1218" s="32"/>
      <c r="D1218" s="33"/>
      <c r="E1218" s="34"/>
      <c r="F1218" s="34"/>
      <c r="G1218" s="35"/>
      <c r="H1218" s="34"/>
      <c r="I1218" s="37"/>
    </row>
    <row r="1219" ht="22.5" customHeight="1">
      <c r="A1219" s="30"/>
      <c r="B1219" s="31"/>
      <c r="C1219" s="32"/>
      <c r="D1219" s="33"/>
      <c r="E1219" s="34"/>
      <c r="F1219" s="34"/>
      <c r="G1219" s="35"/>
      <c r="H1219" s="34"/>
      <c r="I1219" s="37"/>
    </row>
    <row r="1220" ht="22.5" customHeight="1">
      <c r="A1220" s="30"/>
      <c r="B1220" s="40"/>
      <c r="C1220" s="32"/>
      <c r="D1220" s="33"/>
      <c r="E1220" s="34"/>
      <c r="F1220" s="34"/>
      <c r="G1220" s="35"/>
      <c r="H1220" s="34"/>
      <c r="I1220" s="37"/>
    </row>
    <row r="1221" ht="22.5" customHeight="1">
      <c r="A1221" s="30"/>
      <c r="B1221" s="31"/>
      <c r="C1221" s="32"/>
      <c r="D1221" s="33"/>
      <c r="E1221" s="34"/>
      <c r="F1221" s="34"/>
      <c r="G1221" s="35"/>
      <c r="H1221" s="34"/>
      <c r="I1221" s="37"/>
    </row>
    <row r="1222" ht="22.5" customHeight="1">
      <c r="A1222" s="30"/>
      <c r="B1222" s="31"/>
      <c r="C1222" s="32"/>
      <c r="D1222" s="33"/>
      <c r="E1222" s="34"/>
      <c r="F1222" s="34"/>
      <c r="G1222" s="35"/>
      <c r="H1222" s="34"/>
      <c r="I1222" s="37"/>
    </row>
    <row r="1223" ht="22.5" customHeight="1">
      <c r="A1223" s="30"/>
      <c r="B1223" s="31"/>
      <c r="C1223" s="32"/>
      <c r="D1223" s="33"/>
      <c r="E1223" s="34"/>
      <c r="F1223" s="34"/>
      <c r="G1223" s="35"/>
      <c r="H1223" s="34"/>
      <c r="I1223" s="37"/>
    </row>
    <row r="1224" ht="22.5" customHeight="1">
      <c r="A1224" s="30"/>
      <c r="B1224" s="31"/>
      <c r="C1224" s="32"/>
      <c r="D1224" s="33"/>
      <c r="E1224" s="34"/>
      <c r="F1224" s="34"/>
      <c r="G1224" s="35"/>
      <c r="H1224" s="34"/>
      <c r="I1224" s="37"/>
    </row>
    <row r="1225" ht="22.5" customHeight="1">
      <c r="A1225" s="30"/>
      <c r="B1225" s="31"/>
      <c r="C1225" s="32"/>
      <c r="D1225" s="33"/>
      <c r="E1225" s="34"/>
      <c r="F1225" s="34"/>
      <c r="G1225" s="35"/>
      <c r="H1225" s="34"/>
      <c r="I1225" s="37"/>
    </row>
    <row r="1226" ht="22.5" customHeight="1">
      <c r="A1226" s="30"/>
      <c r="B1226" s="31"/>
      <c r="C1226" s="32"/>
      <c r="D1226" s="33"/>
      <c r="E1226" s="34"/>
      <c r="F1226" s="34"/>
      <c r="G1226" s="35"/>
      <c r="H1226" s="34"/>
      <c r="I1226" s="37"/>
    </row>
    <row r="1227" ht="22.5" customHeight="1">
      <c r="A1227" s="30"/>
      <c r="B1227" s="31"/>
      <c r="C1227" s="32"/>
      <c r="D1227" s="33"/>
      <c r="E1227" s="34"/>
      <c r="F1227" s="34"/>
      <c r="G1227" s="35"/>
      <c r="H1227" s="34"/>
      <c r="I1227" s="37"/>
    </row>
    <row r="1228" ht="22.5" customHeight="1">
      <c r="A1228" s="30"/>
      <c r="B1228" s="31"/>
      <c r="C1228" s="32"/>
      <c r="D1228" s="33"/>
      <c r="E1228" s="34"/>
      <c r="F1228" s="34"/>
      <c r="G1228" s="35"/>
      <c r="H1228" s="34"/>
      <c r="I1228" s="37"/>
    </row>
    <row r="1229" ht="22.5" customHeight="1">
      <c r="A1229" s="30"/>
      <c r="B1229" s="31"/>
      <c r="C1229" s="32"/>
      <c r="D1229" s="33"/>
      <c r="E1229" s="34"/>
      <c r="F1229" s="34"/>
      <c r="G1229" s="35"/>
      <c r="H1229" s="34"/>
      <c r="I1229" s="37"/>
    </row>
    <row r="1230" ht="22.5" customHeight="1">
      <c r="A1230" s="30"/>
      <c r="B1230" s="31"/>
      <c r="C1230" s="32"/>
      <c r="D1230" s="33"/>
      <c r="E1230" s="34"/>
      <c r="F1230" s="34"/>
      <c r="G1230" s="35"/>
      <c r="H1230" s="34"/>
      <c r="I1230" s="37"/>
    </row>
    <row r="1231" ht="22.5" customHeight="1">
      <c r="A1231" s="30"/>
      <c r="B1231" s="31"/>
      <c r="C1231" s="32"/>
      <c r="D1231" s="33"/>
      <c r="E1231" s="34"/>
      <c r="F1231" s="34"/>
      <c r="G1231" s="35"/>
      <c r="H1231" s="34"/>
      <c r="I1231" s="37"/>
    </row>
    <row r="1232" ht="22.5" customHeight="1">
      <c r="A1232" s="30"/>
      <c r="B1232" s="31"/>
      <c r="C1232" s="32"/>
      <c r="D1232" s="33"/>
      <c r="E1232" s="34"/>
      <c r="F1232" s="34"/>
      <c r="G1232" s="35"/>
      <c r="H1232" s="34"/>
      <c r="I1232" s="37"/>
    </row>
    <row r="1233" ht="22.5" customHeight="1">
      <c r="A1233" s="30"/>
      <c r="B1233" s="31"/>
      <c r="C1233" s="32"/>
      <c r="D1233" s="33"/>
      <c r="E1233" s="34"/>
      <c r="F1233" s="34"/>
      <c r="G1233" s="35"/>
      <c r="H1233" s="34"/>
      <c r="I1233" s="37"/>
    </row>
    <row r="1234" ht="22.5" customHeight="1">
      <c r="A1234" s="30"/>
      <c r="B1234" s="31"/>
      <c r="C1234" s="32"/>
      <c r="D1234" s="33"/>
      <c r="E1234" s="34"/>
      <c r="F1234" s="34"/>
      <c r="G1234" s="35"/>
      <c r="H1234" s="34"/>
      <c r="I1234" s="37"/>
    </row>
    <row r="1235" ht="22.5" customHeight="1">
      <c r="A1235" s="30"/>
      <c r="B1235" s="40"/>
      <c r="C1235" s="32"/>
      <c r="D1235" s="33"/>
      <c r="E1235" s="34"/>
      <c r="F1235" s="34"/>
      <c r="G1235" s="35"/>
      <c r="H1235" s="34"/>
      <c r="I1235" s="37"/>
    </row>
    <row r="1236" ht="22.5" customHeight="1">
      <c r="A1236" s="30"/>
      <c r="B1236" s="31"/>
      <c r="C1236" s="32"/>
      <c r="D1236" s="33"/>
      <c r="E1236" s="34"/>
      <c r="F1236" s="34"/>
      <c r="G1236" s="35"/>
      <c r="H1236" s="34"/>
      <c r="I1236" s="37"/>
    </row>
    <row r="1237" ht="22.5" customHeight="1">
      <c r="A1237" s="30"/>
      <c r="B1237" s="40"/>
      <c r="C1237" s="32"/>
      <c r="D1237" s="33"/>
      <c r="E1237" s="34"/>
      <c r="F1237" s="34"/>
      <c r="G1237" s="35"/>
      <c r="H1237" s="34"/>
      <c r="I1237" s="37"/>
    </row>
    <row r="1238" ht="22.5" customHeight="1">
      <c r="A1238" s="30"/>
      <c r="B1238" s="31"/>
      <c r="C1238" s="32"/>
      <c r="D1238" s="33"/>
      <c r="E1238" s="34"/>
      <c r="F1238" s="34"/>
      <c r="G1238" s="35"/>
      <c r="H1238" s="34"/>
      <c r="I1238" s="37"/>
    </row>
    <row r="1239" ht="22.5" customHeight="1">
      <c r="A1239" s="30"/>
      <c r="B1239" s="31"/>
      <c r="C1239" s="32"/>
      <c r="D1239" s="33"/>
      <c r="E1239" s="34"/>
      <c r="F1239" s="34"/>
      <c r="G1239" s="35"/>
      <c r="H1239" s="34"/>
      <c r="I1239" s="37"/>
    </row>
    <row r="1240" ht="22.5" customHeight="1">
      <c r="A1240" s="30"/>
      <c r="B1240" s="31"/>
      <c r="C1240" s="32"/>
      <c r="D1240" s="33"/>
      <c r="E1240" s="34"/>
      <c r="F1240" s="34"/>
      <c r="G1240" s="35"/>
      <c r="H1240" s="34"/>
      <c r="I1240" s="37"/>
    </row>
    <row r="1241" ht="22.5" customHeight="1">
      <c r="A1241" s="30"/>
      <c r="B1241" s="31"/>
      <c r="C1241" s="32"/>
      <c r="D1241" s="33"/>
      <c r="E1241" s="34"/>
      <c r="F1241" s="34"/>
      <c r="G1241" s="35"/>
      <c r="H1241" s="34"/>
      <c r="I1241" s="37"/>
    </row>
    <row r="1242" ht="22.5" customHeight="1">
      <c r="A1242" s="30"/>
      <c r="B1242" s="40"/>
      <c r="C1242" s="32"/>
      <c r="D1242" s="33"/>
      <c r="E1242" s="34"/>
      <c r="F1242" s="34"/>
      <c r="G1242" s="35"/>
      <c r="H1242" s="34"/>
      <c r="I1242" s="37"/>
    </row>
    <row r="1243" ht="22.5" customHeight="1">
      <c r="A1243" s="30"/>
      <c r="B1243" s="31"/>
      <c r="C1243" s="32"/>
      <c r="D1243" s="33"/>
      <c r="E1243" s="34"/>
      <c r="F1243" s="34"/>
      <c r="G1243" s="35"/>
      <c r="H1243" s="34"/>
      <c r="I1243" s="37"/>
    </row>
    <row r="1244" ht="22.5" customHeight="1">
      <c r="A1244" s="30"/>
      <c r="B1244" s="31"/>
      <c r="C1244" s="32"/>
      <c r="D1244" s="33"/>
      <c r="E1244" s="34"/>
      <c r="F1244" s="34"/>
      <c r="G1244" s="35"/>
      <c r="H1244" s="34"/>
      <c r="I1244" s="37"/>
    </row>
    <row r="1245" ht="22.5" customHeight="1">
      <c r="A1245" s="30"/>
      <c r="B1245" s="31"/>
      <c r="C1245" s="32"/>
      <c r="D1245" s="33"/>
      <c r="E1245" s="34"/>
      <c r="F1245" s="34"/>
      <c r="G1245" s="35"/>
      <c r="H1245" s="34"/>
      <c r="I1245" s="37"/>
    </row>
    <row r="1246" ht="22.5" customHeight="1">
      <c r="A1246" s="30"/>
      <c r="B1246" s="31"/>
      <c r="C1246" s="32"/>
      <c r="D1246" s="33"/>
      <c r="E1246" s="34"/>
      <c r="F1246" s="34"/>
      <c r="G1246" s="35"/>
      <c r="H1246" s="34"/>
      <c r="I1246" s="37"/>
    </row>
    <row r="1247" ht="22.5" customHeight="1">
      <c r="A1247" s="30"/>
      <c r="B1247" s="31"/>
      <c r="C1247" s="32"/>
      <c r="D1247" s="33"/>
      <c r="E1247" s="34"/>
      <c r="F1247" s="34"/>
      <c r="G1247" s="35"/>
      <c r="H1247" s="34"/>
      <c r="I1247" s="37"/>
    </row>
    <row r="1248" ht="22.5" customHeight="1">
      <c r="A1248" s="30"/>
      <c r="B1248" s="31"/>
      <c r="C1248" s="32"/>
      <c r="D1248" s="33"/>
      <c r="E1248" s="34"/>
      <c r="F1248" s="34"/>
      <c r="G1248" s="35"/>
      <c r="H1248" s="34"/>
      <c r="I1248" s="37"/>
    </row>
    <row r="1249" ht="22.5" customHeight="1">
      <c r="A1249" s="30"/>
      <c r="B1249" s="31"/>
      <c r="C1249" s="32"/>
      <c r="D1249" s="33"/>
      <c r="E1249" s="34"/>
      <c r="F1249" s="34"/>
      <c r="G1249" s="35"/>
      <c r="H1249" s="34"/>
      <c r="I1249" s="37"/>
    </row>
    <row r="1250" ht="22.5" customHeight="1">
      <c r="A1250" s="30"/>
      <c r="B1250" s="31"/>
      <c r="C1250" s="32"/>
      <c r="D1250" s="33"/>
      <c r="E1250" s="34"/>
      <c r="F1250" s="34"/>
      <c r="G1250" s="35"/>
      <c r="H1250" s="34"/>
      <c r="I1250" s="37"/>
    </row>
    <row r="1251" ht="22.5" customHeight="1">
      <c r="A1251" s="30"/>
      <c r="B1251" s="31"/>
      <c r="C1251" s="32"/>
      <c r="D1251" s="33"/>
      <c r="E1251" s="34"/>
      <c r="F1251" s="34"/>
      <c r="G1251" s="35"/>
      <c r="H1251" s="34"/>
      <c r="I1251" s="37"/>
    </row>
    <row r="1252" ht="22.5" customHeight="1">
      <c r="A1252" s="30"/>
      <c r="B1252" s="31"/>
      <c r="C1252" s="32"/>
      <c r="D1252" s="33"/>
      <c r="E1252" s="34"/>
      <c r="F1252" s="34"/>
      <c r="G1252" s="35"/>
      <c r="H1252" s="34"/>
      <c r="I1252" s="37"/>
    </row>
    <row r="1253" ht="22.5" customHeight="1">
      <c r="A1253" s="30"/>
      <c r="B1253" s="31"/>
      <c r="C1253" s="32"/>
      <c r="D1253" s="33"/>
      <c r="E1253" s="34"/>
      <c r="F1253" s="34"/>
      <c r="G1253" s="35"/>
      <c r="H1253" s="34"/>
      <c r="I1253" s="37"/>
    </row>
    <row r="1254" ht="22.5" customHeight="1">
      <c r="A1254" s="30"/>
      <c r="B1254" s="31"/>
      <c r="C1254" s="32"/>
      <c r="D1254" s="33"/>
      <c r="E1254" s="34"/>
      <c r="F1254" s="34"/>
      <c r="G1254" s="35"/>
      <c r="H1254" s="34"/>
      <c r="I1254" s="37"/>
    </row>
    <row r="1255" ht="22.5" customHeight="1">
      <c r="A1255" s="30"/>
      <c r="B1255" s="31"/>
      <c r="C1255" s="32"/>
      <c r="D1255" s="33"/>
      <c r="E1255" s="34"/>
      <c r="F1255" s="34"/>
      <c r="G1255" s="35"/>
      <c r="H1255" s="34"/>
      <c r="I1255" s="37"/>
    </row>
    <row r="1256" ht="22.5" customHeight="1">
      <c r="A1256" s="30"/>
      <c r="B1256" s="31"/>
      <c r="C1256" s="32"/>
      <c r="D1256" s="33"/>
      <c r="E1256" s="34"/>
      <c r="F1256" s="34"/>
      <c r="G1256" s="35"/>
      <c r="H1256" s="34"/>
      <c r="I1256" s="37"/>
    </row>
    <row r="1257" ht="22.5" customHeight="1">
      <c r="A1257" s="30"/>
      <c r="B1257" s="31"/>
      <c r="C1257" s="32"/>
      <c r="D1257" s="33"/>
      <c r="E1257" s="34"/>
      <c r="F1257" s="34"/>
      <c r="G1257" s="35"/>
      <c r="H1257" s="34"/>
      <c r="I1257" s="37"/>
    </row>
    <row r="1258" ht="22.5" customHeight="1">
      <c r="A1258" s="30"/>
      <c r="B1258" s="31"/>
      <c r="C1258" s="32"/>
      <c r="D1258" s="33"/>
      <c r="E1258" s="34"/>
      <c r="F1258" s="34"/>
      <c r="G1258" s="35"/>
      <c r="H1258" s="34"/>
      <c r="I1258" s="37"/>
    </row>
    <row r="1259" ht="22.5" customHeight="1">
      <c r="A1259" s="30"/>
      <c r="B1259" s="31"/>
      <c r="C1259" s="32"/>
      <c r="D1259" s="33"/>
      <c r="E1259" s="34"/>
      <c r="F1259" s="34"/>
      <c r="G1259" s="35"/>
      <c r="H1259" s="34"/>
      <c r="I1259" s="37"/>
    </row>
    <row r="1260" ht="22.5" customHeight="1">
      <c r="A1260" s="30"/>
      <c r="B1260" s="31"/>
      <c r="C1260" s="32"/>
      <c r="D1260" s="33"/>
      <c r="E1260" s="34"/>
      <c r="F1260" s="34"/>
      <c r="G1260" s="35"/>
      <c r="H1260" s="34"/>
      <c r="I1260" s="37"/>
    </row>
    <row r="1261" ht="22.5" customHeight="1">
      <c r="A1261" s="30"/>
      <c r="B1261" s="31"/>
      <c r="C1261" s="32"/>
      <c r="D1261" s="33"/>
      <c r="E1261" s="34"/>
      <c r="F1261" s="34"/>
      <c r="G1261" s="35"/>
      <c r="H1261" s="34"/>
      <c r="I1261" s="37"/>
    </row>
    <row r="1262" ht="22.5" customHeight="1">
      <c r="A1262" s="30"/>
      <c r="B1262" s="31"/>
      <c r="C1262" s="32"/>
      <c r="D1262" s="33"/>
      <c r="E1262" s="34"/>
      <c r="F1262" s="34"/>
      <c r="G1262" s="35"/>
      <c r="H1262" s="34"/>
      <c r="I1262" s="37"/>
    </row>
    <row r="1263" ht="22.5" customHeight="1">
      <c r="A1263" s="30"/>
      <c r="B1263" s="31"/>
      <c r="C1263" s="32"/>
      <c r="D1263" s="33"/>
      <c r="E1263" s="34"/>
      <c r="F1263" s="34"/>
      <c r="G1263" s="35"/>
      <c r="H1263" s="34"/>
      <c r="I1263" s="37"/>
    </row>
    <row r="1264" ht="22.5" customHeight="1">
      <c r="A1264" s="30"/>
      <c r="B1264" s="40"/>
      <c r="C1264" s="32"/>
      <c r="D1264" s="33"/>
      <c r="E1264" s="34"/>
      <c r="F1264" s="34"/>
      <c r="G1264" s="35"/>
      <c r="H1264" s="34"/>
      <c r="I1264" s="37"/>
    </row>
    <row r="1265" ht="22.5" customHeight="1">
      <c r="A1265" s="30"/>
      <c r="B1265" s="31"/>
      <c r="C1265" s="32"/>
      <c r="D1265" s="33"/>
      <c r="E1265" s="34"/>
      <c r="F1265" s="34"/>
      <c r="G1265" s="35"/>
      <c r="H1265" s="34"/>
      <c r="I1265" s="37"/>
    </row>
    <row r="1266" ht="22.5" customHeight="1">
      <c r="A1266" s="30"/>
      <c r="B1266" s="31"/>
      <c r="C1266" s="32"/>
      <c r="D1266" s="33"/>
      <c r="E1266" s="34"/>
      <c r="F1266" s="34"/>
      <c r="G1266" s="35"/>
      <c r="H1266" s="34"/>
      <c r="I1266" s="37"/>
    </row>
    <row r="1267" ht="22.5" customHeight="1">
      <c r="A1267" s="30"/>
      <c r="B1267" s="31"/>
      <c r="C1267" s="32"/>
      <c r="D1267" s="33"/>
      <c r="E1267" s="34"/>
      <c r="F1267" s="34"/>
      <c r="G1267" s="35"/>
      <c r="H1267" s="34"/>
      <c r="I1267" s="37"/>
    </row>
    <row r="1268" ht="22.5" customHeight="1">
      <c r="A1268" s="30"/>
      <c r="B1268" s="31"/>
      <c r="C1268" s="32"/>
      <c r="D1268" s="33"/>
      <c r="E1268" s="34"/>
      <c r="F1268" s="34"/>
      <c r="G1268" s="35"/>
      <c r="H1268" s="34"/>
      <c r="I1268" s="38"/>
    </row>
    <row r="1269" ht="22.5" customHeight="1">
      <c r="A1269" s="30"/>
      <c r="B1269" s="39"/>
      <c r="C1269" s="32"/>
      <c r="D1269" s="33"/>
      <c r="E1269" s="34"/>
      <c r="F1269" s="34"/>
      <c r="G1269" s="35"/>
      <c r="H1269" s="34"/>
      <c r="I1269" s="37"/>
    </row>
    <row r="1270" ht="22.5" customHeight="1">
      <c r="A1270" s="30"/>
      <c r="B1270" s="31"/>
      <c r="C1270" s="32"/>
      <c r="D1270" s="33"/>
      <c r="E1270" s="34"/>
      <c r="F1270" s="34"/>
      <c r="G1270" s="35"/>
      <c r="H1270" s="34"/>
      <c r="I1270" s="37"/>
    </row>
    <row r="1271" ht="22.5" customHeight="1">
      <c r="A1271" s="30"/>
      <c r="B1271" s="31"/>
      <c r="C1271" s="32"/>
      <c r="D1271" s="33"/>
      <c r="E1271" s="34"/>
      <c r="F1271" s="34"/>
      <c r="G1271" s="35"/>
      <c r="H1271" s="34"/>
      <c r="I1271" s="37"/>
    </row>
    <row r="1272" ht="22.5" customHeight="1">
      <c r="A1272" s="30"/>
      <c r="B1272" s="31"/>
      <c r="C1272" s="32"/>
      <c r="D1272" s="33"/>
      <c r="E1272" s="34"/>
      <c r="F1272" s="34"/>
      <c r="G1272" s="35"/>
      <c r="H1272" s="34"/>
      <c r="I1272" s="37"/>
    </row>
    <row r="1273" ht="22.5" customHeight="1">
      <c r="A1273" s="30"/>
      <c r="B1273" s="39"/>
      <c r="C1273" s="32"/>
      <c r="D1273" s="33"/>
      <c r="E1273" s="34"/>
      <c r="F1273" s="34"/>
      <c r="G1273" s="35"/>
      <c r="H1273" s="34"/>
      <c r="I1273" s="37"/>
    </row>
    <row r="1274" ht="22.5" customHeight="1">
      <c r="A1274" s="30"/>
      <c r="B1274" s="31"/>
      <c r="C1274" s="32"/>
      <c r="D1274" s="33"/>
      <c r="E1274" s="34"/>
      <c r="F1274" s="34"/>
      <c r="G1274" s="35"/>
      <c r="H1274" s="34"/>
      <c r="I1274" s="37"/>
    </row>
    <row r="1275" ht="22.5" customHeight="1">
      <c r="A1275" s="30"/>
      <c r="B1275" s="39"/>
      <c r="C1275" s="32"/>
      <c r="D1275" s="33"/>
      <c r="E1275" s="34"/>
      <c r="F1275" s="34"/>
      <c r="G1275" s="35"/>
      <c r="H1275" s="34"/>
      <c r="I1275" s="37"/>
    </row>
    <row r="1276" ht="22.5" customHeight="1">
      <c r="A1276" s="30"/>
      <c r="B1276" s="31"/>
      <c r="C1276" s="32"/>
      <c r="D1276" s="33"/>
      <c r="E1276" s="34"/>
      <c r="F1276" s="34"/>
      <c r="G1276" s="35"/>
      <c r="H1276" s="34"/>
      <c r="I1276" s="37"/>
    </row>
    <row r="1277" ht="22.5" customHeight="1">
      <c r="A1277" s="30"/>
      <c r="B1277" s="31"/>
      <c r="C1277" s="32"/>
      <c r="D1277" s="33"/>
      <c r="E1277" s="34"/>
      <c r="F1277" s="34"/>
      <c r="G1277" s="35"/>
      <c r="H1277" s="34"/>
      <c r="I1277" s="37"/>
    </row>
    <row r="1278" ht="22.5" customHeight="1">
      <c r="A1278" s="30"/>
      <c r="B1278" s="31"/>
      <c r="C1278" s="32"/>
      <c r="D1278" s="33"/>
      <c r="E1278" s="34"/>
      <c r="F1278" s="34"/>
      <c r="G1278" s="35"/>
      <c r="H1278" s="34"/>
      <c r="I1278" s="37"/>
    </row>
    <row r="1279" ht="22.5" customHeight="1">
      <c r="A1279" s="30"/>
      <c r="B1279" s="31"/>
      <c r="C1279" s="32"/>
      <c r="D1279" s="33"/>
      <c r="E1279" s="34"/>
      <c r="F1279" s="34"/>
      <c r="G1279" s="35"/>
      <c r="H1279" s="34"/>
      <c r="I1279" s="37"/>
    </row>
    <row r="1280" ht="22.5" customHeight="1">
      <c r="A1280" s="30"/>
      <c r="B1280" s="31"/>
      <c r="C1280" s="32"/>
      <c r="D1280" s="33"/>
      <c r="E1280" s="34"/>
      <c r="F1280" s="34"/>
      <c r="G1280" s="35"/>
      <c r="H1280" s="34"/>
      <c r="I1280" s="37"/>
    </row>
    <row r="1281" ht="22.5" customHeight="1">
      <c r="A1281" s="30"/>
      <c r="B1281" s="31"/>
      <c r="C1281" s="32"/>
      <c r="D1281" s="33"/>
      <c r="E1281" s="34"/>
      <c r="F1281" s="34"/>
      <c r="G1281" s="35"/>
      <c r="H1281" s="34"/>
      <c r="I1281" s="37"/>
    </row>
    <row r="1282" ht="22.5" customHeight="1">
      <c r="A1282" s="30"/>
      <c r="B1282" s="31"/>
      <c r="C1282" s="32"/>
      <c r="D1282" s="33"/>
      <c r="E1282" s="34"/>
      <c r="F1282" s="34"/>
      <c r="G1282" s="35"/>
      <c r="H1282" s="34"/>
      <c r="I1282" s="37"/>
    </row>
    <row r="1283" ht="22.5" customHeight="1">
      <c r="A1283" s="30"/>
      <c r="B1283" s="31"/>
      <c r="C1283" s="32"/>
      <c r="D1283" s="33"/>
      <c r="E1283" s="34"/>
      <c r="F1283" s="34"/>
      <c r="G1283" s="35"/>
      <c r="H1283" s="34"/>
      <c r="I1283" s="37"/>
    </row>
    <row r="1284" ht="22.5" customHeight="1">
      <c r="A1284" s="30"/>
      <c r="B1284" s="31"/>
      <c r="C1284" s="32"/>
      <c r="D1284" s="33"/>
      <c r="E1284" s="34"/>
      <c r="F1284" s="34"/>
      <c r="G1284" s="35"/>
      <c r="H1284" s="34"/>
      <c r="I1284" s="37"/>
    </row>
    <row r="1285" ht="22.5" customHeight="1">
      <c r="A1285" s="30"/>
      <c r="B1285" s="31"/>
      <c r="C1285" s="32"/>
      <c r="D1285" s="33"/>
      <c r="E1285" s="34"/>
      <c r="F1285" s="34"/>
      <c r="G1285" s="35"/>
      <c r="H1285" s="34"/>
      <c r="I1285" s="37"/>
    </row>
    <row r="1286" ht="22.5" customHeight="1">
      <c r="A1286" s="30"/>
      <c r="B1286" s="40"/>
      <c r="C1286" s="32"/>
      <c r="D1286" s="33"/>
      <c r="E1286" s="34"/>
      <c r="F1286" s="34"/>
      <c r="G1286" s="35"/>
      <c r="H1286" s="34"/>
      <c r="I1286" s="37"/>
    </row>
    <row r="1287" ht="22.5" customHeight="1">
      <c r="A1287" s="30"/>
      <c r="B1287" s="31"/>
      <c r="C1287" s="32"/>
      <c r="D1287" s="33"/>
      <c r="E1287" s="34"/>
      <c r="F1287" s="34"/>
      <c r="G1287" s="35"/>
      <c r="H1287" s="34"/>
      <c r="I1287" s="37"/>
    </row>
    <row r="1288" ht="22.5" customHeight="1">
      <c r="A1288" s="30"/>
      <c r="B1288" s="31"/>
      <c r="C1288" s="32"/>
      <c r="D1288" s="33"/>
      <c r="E1288" s="34"/>
      <c r="F1288" s="34"/>
      <c r="G1288" s="35"/>
      <c r="H1288" s="34"/>
      <c r="I1288" s="37"/>
    </row>
    <row r="1289" ht="22.5" customHeight="1">
      <c r="A1289" s="30"/>
      <c r="B1289" s="31"/>
      <c r="C1289" s="32"/>
      <c r="D1289" s="33"/>
      <c r="E1289" s="34"/>
      <c r="F1289" s="34"/>
      <c r="G1289" s="35"/>
      <c r="H1289" s="34"/>
      <c r="I1289" s="37"/>
    </row>
    <row r="1290" ht="22.5" customHeight="1">
      <c r="A1290" s="30"/>
      <c r="B1290" s="31"/>
      <c r="C1290" s="32"/>
      <c r="D1290" s="33"/>
      <c r="E1290" s="34"/>
      <c r="F1290" s="34"/>
      <c r="G1290" s="35"/>
      <c r="H1290" s="34"/>
      <c r="I1290" s="37"/>
    </row>
    <row r="1291" ht="22.5" customHeight="1">
      <c r="A1291" s="30"/>
      <c r="B1291" s="31"/>
      <c r="C1291" s="32"/>
      <c r="D1291" s="33"/>
      <c r="E1291" s="34"/>
      <c r="F1291" s="34"/>
      <c r="G1291" s="35"/>
      <c r="H1291" s="34"/>
      <c r="I1291" s="37"/>
    </row>
    <row r="1292" ht="22.5" customHeight="1">
      <c r="A1292" s="30"/>
      <c r="B1292" s="31"/>
      <c r="C1292" s="32"/>
      <c r="D1292" s="33"/>
      <c r="E1292" s="34"/>
      <c r="F1292" s="34"/>
      <c r="G1292" s="35"/>
      <c r="H1292" s="34"/>
      <c r="I1292" s="37"/>
    </row>
    <row r="1293" ht="22.5" customHeight="1">
      <c r="A1293" s="30"/>
      <c r="B1293" s="39"/>
      <c r="C1293" s="32"/>
      <c r="D1293" s="33"/>
      <c r="E1293" s="34"/>
      <c r="F1293" s="34"/>
      <c r="G1293" s="35"/>
      <c r="H1293" s="34"/>
      <c r="I1293" s="37"/>
    </row>
    <row r="1294" ht="22.5" customHeight="1">
      <c r="A1294" s="30"/>
      <c r="B1294" s="39"/>
      <c r="C1294" s="32"/>
      <c r="D1294" s="33"/>
      <c r="E1294" s="34"/>
      <c r="F1294" s="34"/>
      <c r="G1294" s="35"/>
      <c r="H1294" s="34"/>
      <c r="I1294" s="37"/>
    </row>
    <row r="1295" ht="22.5" customHeight="1">
      <c r="A1295" s="30"/>
      <c r="B1295" s="39"/>
      <c r="C1295" s="32"/>
      <c r="D1295" s="33"/>
      <c r="E1295" s="34"/>
      <c r="F1295" s="34"/>
      <c r="G1295" s="35"/>
      <c r="H1295" s="34"/>
      <c r="I1295" s="37"/>
    </row>
    <row r="1296" ht="22.5" customHeight="1">
      <c r="A1296" s="30"/>
      <c r="B1296" s="40"/>
      <c r="C1296" s="32"/>
      <c r="D1296" s="33"/>
      <c r="E1296" s="34"/>
      <c r="F1296" s="34"/>
      <c r="G1296" s="35"/>
      <c r="H1296" s="34"/>
      <c r="I1296" s="37"/>
    </row>
    <row r="1297" ht="22.5" customHeight="1">
      <c r="A1297" s="30"/>
      <c r="B1297" s="31"/>
      <c r="C1297" s="32"/>
      <c r="D1297" s="33"/>
      <c r="E1297" s="34"/>
      <c r="F1297" s="34"/>
      <c r="G1297" s="35"/>
      <c r="H1297" s="34"/>
      <c r="I1297" s="37"/>
    </row>
    <row r="1298" ht="22.5" customHeight="1">
      <c r="A1298" s="30"/>
      <c r="B1298" s="31"/>
      <c r="C1298" s="32"/>
      <c r="D1298" s="33"/>
      <c r="E1298" s="34"/>
      <c r="F1298" s="34"/>
      <c r="G1298" s="35"/>
      <c r="H1298" s="34"/>
      <c r="I1298" s="37"/>
    </row>
    <row r="1299" ht="22.5" customHeight="1">
      <c r="A1299" s="30"/>
      <c r="B1299" s="31"/>
      <c r="C1299" s="32"/>
      <c r="D1299" s="33"/>
      <c r="E1299" s="34"/>
      <c r="F1299" s="34"/>
      <c r="G1299" s="35"/>
      <c r="H1299" s="34"/>
      <c r="I1299" s="37"/>
    </row>
    <row r="1300" ht="22.5" customHeight="1">
      <c r="A1300" s="30"/>
      <c r="B1300" s="31"/>
      <c r="C1300" s="32"/>
      <c r="D1300" s="33"/>
      <c r="E1300" s="34"/>
      <c r="F1300" s="34"/>
      <c r="G1300" s="35"/>
      <c r="H1300" s="34"/>
      <c r="I1300" s="37"/>
    </row>
    <row r="1301" ht="22.5" customHeight="1">
      <c r="A1301" s="30"/>
      <c r="B1301" s="31"/>
      <c r="C1301" s="32"/>
      <c r="D1301" s="33"/>
      <c r="E1301" s="34"/>
      <c r="F1301" s="34"/>
      <c r="G1301" s="35"/>
      <c r="H1301" s="34"/>
      <c r="I1301" s="37"/>
    </row>
    <row r="1302" ht="22.5" customHeight="1">
      <c r="A1302" s="30"/>
      <c r="B1302" s="31"/>
      <c r="C1302" s="32"/>
      <c r="D1302" s="33"/>
      <c r="E1302" s="34"/>
      <c r="F1302" s="34"/>
      <c r="G1302" s="35"/>
      <c r="H1302" s="34"/>
      <c r="I1302" s="37"/>
    </row>
    <row r="1303" ht="22.5" customHeight="1">
      <c r="A1303" s="30"/>
      <c r="B1303" s="31"/>
      <c r="C1303" s="32"/>
      <c r="D1303" s="33"/>
      <c r="E1303" s="34"/>
      <c r="F1303" s="34"/>
      <c r="G1303" s="35"/>
      <c r="H1303" s="34"/>
      <c r="I1303" s="37"/>
    </row>
    <row r="1304" ht="22.5" customHeight="1">
      <c r="A1304" s="30"/>
      <c r="B1304" s="31"/>
      <c r="C1304" s="32"/>
      <c r="D1304" s="33"/>
      <c r="E1304" s="34"/>
      <c r="F1304" s="34"/>
      <c r="G1304" s="35"/>
      <c r="H1304" s="34"/>
      <c r="I1304" s="37"/>
    </row>
    <row r="1305" ht="22.5" customHeight="1">
      <c r="A1305" s="30"/>
      <c r="B1305" s="31"/>
      <c r="C1305" s="32"/>
      <c r="D1305" s="33"/>
      <c r="E1305" s="34"/>
      <c r="F1305" s="34"/>
      <c r="G1305" s="35"/>
      <c r="H1305" s="34"/>
      <c r="I1305" s="37"/>
    </row>
    <row r="1306" ht="22.5" customHeight="1">
      <c r="A1306" s="30"/>
      <c r="B1306" s="40"/>
      <c r="C1306" s="32"/>
      <c r="D1306" s="33"/>
      <c r="E1306" s="34"/>
      <c r="F1306" s="34"/>
      <c r="G1306" s="35"/>
      <c r="H1306" s="34"/>
      <c r="I1306" s="37"/>
    </row>
    <row r="1307" ht="22.5" customHeight="1">
      <c r="A1307" s="30"/>
      <c r="B1307" s="31"/>
      <c r="C1307" s="32"/>
      <c r="D1307" s="33"/>
      <c r="E1307" s="34"/>
      <c r="F1307" s="34"/>
      <c r="G1307" s="35"/>
      <c r="H1307" s="34"/>
      <c r="I1307" s="37"/>
    </row>
    <row r="1308" ht="22.5" customHeight="1">
      <c r="A1308" s="30"/>
      <c r="B1308" s="31"/>
      <c r="C1308" s="32"/>
      <c r="D1308" s="33"/>
      <c r="E1308" s="34"/>
      <c r="F1308" s="34"/>
      <c r="G1308" s="35"/>
      <c r="H1308" s="34"/>
      <c r="I1308" s="37"/>
    </row>
    <row r="1309" ht="22.5" customHeight="1">
      <c r="A1309" s="30"/>
      <c r="B1309" s="31"/>
      <c r="C1309" s="32"/>
      <c r="D1309" s="33"/>
      <c r="E1309" s="34"/>
      <c r="F1309" s="34"/>
      <c r="G1309" s="35"/>
      <c r="H1309" s="34"/>
      <c r="I1309" s="37"/>
    </row>
    <row r="1310" ht="22.5" customHeight="1">
      <c r="A1310" s="30"/>
      <c r="B1310" s="40"/>
      <c r="C1310" s="32"/>
      <c r="D1310" s="33"/>
      <c r="E1310" s="34"/>
      <c r="F1310" s="34"/>
      <c r="G1310" s="35"/>
      <c r="H1310" s="34"/>
      <c r="I1310" s="37"/>
    </row>
    <row r="1311" ht="22.5" customHeight="1">
      <c r="A1311" s="30"/>
      <c r="B1311" s="31"/>
      <c r="C1311" s="32"/>
      <c r="D1311" s="33"/>
      <c r="E1311" s="34"/>
      <c r="F1311" s="34"/>
      <c r="G1311" s="35"/>
      <c r="H1311" s="34"/>
      <c r="I1311" s="37"/>
    </row>
    <row r="1312" ht="22.5" customHeight="1">
      <c r="A1312" s="30"/>
      <c r="B1312" s="31"/>
      <c r="C1312" s="32"/>
      <c r="D1312" s="33"/>
      <c r="E1312" s="34"/>
      <c r="F1312" s="34"/>
      <c r="G1312" s="35"/>
      <c r="H1312" s="34"/>
      <c r="I1312" s="37"/>
    </row>
    <row r="1313" ht="22.5" customHeight="1">
      <c r="A1313" s="30"/>
      <c r="B1313" s="31"/>
      <c r="C1313" s="32"/>
      <c r="D1313" s="33"/>
      <c r="E1313" s="34"/>
      <c r="F1313" s="34"/>
      <c r="G1313" s="35"/>
      <c r="H1313" s="34"/>
      <c r="I1313" s="37"/>
    </row>
    <row r="1314" ht="22.5" customHeight="1">
      <c r="A1314" s="30"/>
      <c r="B1314" s="31"/>
      <c r="C1314" s="32"/>
      <c r="D1314" s="33"/>
      <c r="E1314" s="34"/>
      <c r="F1314" s="34"/>
      <c r="G1314" s="35"/>
      <c r="H1314" s="34"/>
      <c r="I1314" s="37"/>
    </row>
    <row r="1315" ht="22.5" customHeight="1">
      <c r="A1315" s="30"/>
      <c r="B1315" s="31"/>
      <c r="C1315" s="32"/>
      <c r="D1315" s="33"/>
      <c r="E1315" s="34"/>
      <c r="F1315" s="34"/>
      <c r="G1315" s="35"/>
      <c r="H1315" s="34"/>
      <c r="I1315" s="37"/>
    </row>
    <row r="1316" ht="22.5" customHeight="1">
      <c r="A1316" s="30"/>
      <c r="B1316" s="31"/>
      <c r="C1316" s="32"/>
      <c r="D1316" s="33"/>
      <c r="E1316" s="34"/>
      <c r="F1316" s="34"/>
      <c r="G1316" s="35"/>
      <c r="H1316" s="34"/>
      <c r="I1316" s="37"/>
    </row>
    <row r="1317" ht="22.5" customHeight="1">
      <c r="A1317" s="30"/>
      <c r="B1317" s="31"/>
      <c r="C1317" s="32"/>
      <c r="D1317" s="33"/>
      <c r="E1317" s="34"/>
      <c r="F1317" s="34"/>
      <c r="G1317" s="35"/>
      <c r="H1317" s="34"/>
      <c r="I1317" s="37"/>
    </row>
    <row r="1318" ht="22.5" customHeight="1">
      <c r="A1318" s="30"/>
      <c r="B1318" s="31"/>
      <c r="C1318" s="32"/>
      <c r="D1318" s="33"/>
      <c r="E1318" s="34"/>
      <c r="F1318" s="34"/>
      <c r="G1318" s="35"/>
      <c r="H1318" s="34"/>
      <c r="I1318" s="37"/>
    </row>
    <row r="1319" ht="22.5" customHeight="1">
      <c r="A1319" s="30"/>
      <c r="B1319" s="31"/>
      <c r="C1319" s="32"/>
      <c r="D1319" s="33"/>
      <c r="E1319" s="34"/>
      <c r="F1319" s="34"/>
      <c r="G1319" s="35"/>
      <c r="H1319" s="34"/>
      <c r="I1319" s="37"/>
    </row>
    <row r="1320" ht="22.5" customHeight="1">
      <c r="A1320" s="30"/>
      <c r="B1320" s="31"/>
      <c r="C1320" s="32"/>
      <c r="D1320" s="33"/>
      <c r="E1320" s="34"/>
      <c r="F1320" s="34"/>
      <c r="G1320" s="35"/>
      <c r="H1320" s="34"/>
      <c r="I1320" s="37"/>
    </row>
    <row r="1321" ht="22.5" customHeight="1">
      <c r="A1321" s="30"/>
      <c r="B1321" s="31"/>
      <c r="C1321" s="32"/>
      <c r="D1321" s="33"/>
      <c r="E1321" s="34"/>
      <c r="F1321" s="34"/>
      <c r="G1321" s="35"/>
      <c r="H1321" s="34"/>
      <c r="I1321" s="37"/>
    </row>
    <row r="1322" ht="22.5" customHeight="1">
      <c r="A1322" s="30"/>
      <c r="B1322" s="31"/>
      <c r="C1322" s="32"/>
      <c r="D1322" s="33"/>
      <c r="E1322" s="34"/>
      <c r="F1322" s="34"/>
      <c r="G1322" s="35"/>
      <c r="H1322" s="34"/>
      <c r="I1322" s="37"/>
    </row>
    <row r="1323" ht="22.5" customHeight="1">
      <c r="A1323" s="30"/>
      <c r="B1323" s="31"/>
      <c r="C1323" s="32"/>
      <c r="D1323" s="33"/>
      <c r="E1323" s="34"/>
      <c r="F1323" s="34"/>
      <c r="G1323" s="35"/>
      <c r="H1323" s="34"/>
      <c r="I1323" s="37"/>
    </row>
    <row r="1324" ht="22.5" customHeight="1">
      <c r="A1324" s="30"/>
      <c r="B1324" s="31"/>
      <c r="C1324" s="32"/>
      <c r="D1324" s="33"/>
      <c r="E1324" s="34"/>
      <c r="F1324" s="34"/>
      <c r="G1324" s="35"/>
      <c r="H1324" s="34"/>
      <c r="I1324" s="37"/>
    </row>
    <row r="1325" ht="22.5" customHeight="1">
      <c r="A1325" s="30"/>
      <c r="B1325" s="40"/>
      <c r="C1325" s="32"/>
      <c r="D1325" s="33"/>
      <c r="E1325" s="34"/>
      <c r="F1325" s="34"/>
      <c r="G1325" s="35"/>
      <c r="H1325" s="34"/>
      <c r="I1325" s="37"/>
    </row>
    <row r="1326" ht="22.5" customHeight="1">
      <c r="A1326" s="30"/>
      <c r="B1326" s="31"/>
      <c r="C1326" s="32"/>
      <c r="D1326" s="33"/>
      <c r="E1326" s="34"/>
      <c r="F1326" s="34"/>
      <c r="G1326" s="35"/>
      <c r="H1326" s="34"/>
      <c r="I1326" s="37"/>
    </row>
    <row r="1327" ht="22.5" customHeight="1">
      <c r="A1327" s="30"/>
      <c r="B1327" s="40"/>
      <c r="C1327" s="32"/>
      <c r="D1327" s="33"/>
      <c r="E1327" s="34"/>
      <c r="F1327" s="34"/>
      <c r="G1327" s="35"/>
      <c r="H1327" s="34"/>
      <c r="I1327" s="37"/>
    </row>
    <row r="1328" ht="22.5" customHeight="1">
      <c r="A1328" s="30"/>
      <c r="B1328" s="31"/>
      <c r="C1328" s="32"/>
      <c r="D1328" s="33"/>
      <c r="E1328" s="34"/>
      <c r="F1328" s="34"/>
      <c r="G1328" s="35"/>
      <c r="H1328" s="34"/>
      <c r="I1328" s="37"/>
    </row>
    <row r="1329" ht="22.5" customHeight="1">
      <c r="A1329" s="30"/>
      <c r="B1329" s="31"/>
      <c r="C1329" s="32"/>
      <c r="D1329" s="33"/>
      <c r="E1329" s="34"/>
      <c r="F1329" s="34"/>
      <c r="G1329" s="35"/>
      <c r="H1329" s="34"/>
      <c r="I1329" s="37"/>
    </row>
    <row r="1330" ht="22.5" customHeight="1">
      <c r="A1330" s="30"/>
      <c r="B1330" s="31"/>
      <c r="C1330" s="32"/>
      <c r="D1330" s="33"/>
      <c r="E1330" s="34"/>
      <c r="F1330" s="34"/>
      <c r="G1330" s="35"/>
      <c r="H1330" s="34"/>
      <c r="I1330" s="37"/>
    </row>
    <row r="1331" ht="22.5" customHeight="1">
      <c r="A1331" s="30"/>
      <c r="B1331" s="31"/>
      <c r="C1331" s="32"/>
      <c r="D1331" s="33"/>
      <c r="E1331" s="34"/>
      <c r="F1331" s="34"/>
      <c r="G1331" s="35"/>
      <c r="H1331" s="34"/>
      <c r="I1331" s="37"/>
    </row>
    <row r="1332" ht="22.5" customHeight="1">
      <c r="A1332" s="30"/>
      <c r="B1332" s="40"/>
      <c r="C1332" s="32"/>
      <c r="D1332" s="33"/>
      <c r="E1332" s="34"/>
      <c r="F1332" s="34"/>
      <c r="G1332" s="35"/>
      <c r="H1332" s="34"/>
      <c r="I1332" s="37"/>
    </row>
    <row r="1333" ht="22.5" customHeight="1">
      <c r="A1333" s="30"/>
      <c r="B1333" s="31"/>
      <c r="C1333" s="32"/>
      <c r="D1333" s="33"/>
      <c r="E1333" s="34"/>
      <c r="F1333" s="34"/>
      <c r="G1333" s="35"/>
      <c r="H1333" s="34"/>
      <c r="I1333" s="37"/>
    </row>
    <row r="1334" ht="22.5" customHeight="1">
      <c r="A1334" s="30"/>
      <c r="B1334" s="31"/>
      <c r="C1334" s="32"/>
      <c r="D1334" s="33"/>
      <c r="E1334" s="34"/>
      <c r="F1334" s="34"/>
      <c r="G1334" s="35"/>
      <c r="H1334" s="34"/>
      <c r="I1334" s="37"/>
    </row>
    <row r="1335" ht="22.5" customHeight="1">
      <c r="A1335" s="30"/>
      <c r="B1335" s="31"/>
      <c r="C1335" s="32"/>
      <c r="D1335" s="33"/>
      <c r="E1335" s="34"/>
      <c r="F1335" s="34"/>
      <c r="G1335" s="35"/>
      <c r="H1335" s="34"/>
      <c r="I1335" s="37"/>
    </row>
    <row r="1336" ht="22.5" customHeight="1">
      <c r="A1336" s="30"/>
      <c r="B1336" s="31"/>
      <c r="C1336" s="32"/>
      <c r="D1336" s="33"/>
      <c r="E1336" s="34"/>
      <c r="F1336" s="34"/>
      <c r="G1336" s="35"/>
      <c r="H1336" s="34"/>
      <c r="I1336" s="37"/>
    </row>
    <row r="1337" ht="22.5" customHeight="1">
      <c r="A1337" s="30"/>
      <c r="B1337" s="31"/>
      <c r="C1337" s="32"/>
      <c r="D1337" s="33"/>
      <c r="E1337" s="34"/>
      <c r="F1337" s="34"/>
      <c r="G1337" s="35"/>
      <c r="H1337" s="34"/>
      <c r="I1337" s="37"/>
    </row>
    <row r="1338" ht="22.5" customHeight="1">
      <c r="A1338" s="30"/>
      <c r="B1338" s="31"/>
      <c r="C1338" s="32"/>
      <c r="D1338" s="33"/>
      <c r="E1338" s="34"/>
      <c r="F1338" s="34"/>
      <c r="G1338" s="35"/>
      <c r="H1338" s="34"/>
      <c r="I1338" s="37"/>
    </row>
    <row r="1339" ht="22.5" customHeight="1">
      <c r="A1339" s="30"/>
      <c r="B1339" s="31"/>
      <c r="C1339" s="32"/>
      <c r="D1339" s="33"/>
      <c r="E1339" s="34"/>
      <c r="F1339" s="34"/>
      <c r="G1339" s="35"/>
      <c r="H1339" s="34"/>
      <c r="I1339" s="37"/>
    </row>
    <row r="1340" ht="22.5" customHeight="1">
      <c r="A1340" s="30"/>
      <c r="B1340" s="31"/>
      <c r="C1340" s="32"/>
      <c r="D1340" s="33"/>
      <c r="E1340" s="34"/>
      <c r="F1340" s="34"/>
      <c r="G1340" s="35"/>
      <c r="H1340" s="34"/>
      <c r="I1340" s="37"/>
    </row>
    <row r="1341" ht="22.5" customHeight="1">
      <c r="A1341" s="30"/>
      <c r="B1341" s="31"/>
      <c r="C1341" s="32"/>
      <c r="D1341" s="33"/>
      <c r="E1341" s="34"/>
      <c r="F1341" s="34"/>
      <c r="G1341" s="35"/>
      <c r="H1341" s="34"/>
      <c r="I1341" s="37"/>
    </row>
    <row r="1342" ht="22.5" customHeight="1">
      <c r="A1342" s="30"/>
      <c r="B1342" s="31"/>
      <c r="C1342" s="32"/>
      <c r="D1342" s="33"/>
      <c r="E1342" s="34"/>
      <c r="F1342" s="34"/>
      <c r="G1342" s="35"/>
      <c r="H1342" s="34"/>
      <c r="I1342" s="37"/>
    </row>
    <row r="1343" ht="22.5" customHeight="1">
      <c r="A1343" s="30"/>
      <c r="B1343" s="31"/>
      <c r="C1343" s="32"/>
      <c r="D1343" s="33"/>
      <c r="E1343" s="34"/>
      <c r="F1343" s="34"/>
      <c r="G1343" s="35"/>
      <c r="H1343" s="34"/>
      <c r="I1343" s="37"/>
    </row>
    <row r="1344" ht="22.5" customHeight="1">
      <c r="A1344" s="30"/>
      <c r="B1344" s="31"/>
      <c r="C1344" s="32"/>
      <c r="D1344" s="33"/>
      <c r="E1344" s="34"/>
      <c r="F1344" s="34"/>
      <c r="G1344" s="35"/>
      <c r="H1344" s="34"/>
      <c r="I1344" s="37"/>
    </row>
    <row r="1345" ht="22.5" customHeight="1">
      <c r="A1345" s="30"/>
      <c r="B1345" s="31"/>
      <c r="C1345" s="32"/>
      <c r="D1345" s="33"/>
      <c r="E1345" s="34"/>
      <c r="F1345" s="34"/>
      <c r="G1345" s="35"/>
      <c r="H1345" s="34"/>
      <c r="I1345" s="37"/>
    </row>
    <row r="1346" ht="22.5" customHeight="1">
      <c r="A1346" s="30"/>
      <c r="B1346" s="31"/>
      <c r="C1346" s="32"/>
      <c r="D1346" s="33"/>
      <c r="E1346" s="34"/>
      <c r="F1346" s="34"/>
      <c r="G1346" s="35"/>
      <c r="H1346" s="34"/>
      <c r="I1346" s="37"/>
    </row>
    <row r="1347" ht="22.5" customHeight="1">
      <c r="A1347" s="30"/>
      <c r="B1347" s="31"/>
      <c r="C1347" s="32"/>
      <c r="D1347" s="33"/>
      <c r="E1347" s="34"/>
      <c r="F1347" s="34"/>
      <c r="G1347" s="35"/>
      <c r="H1347" s="34"/>
      <c r="I1347" s="37"/>
    </row>
    <row r="1348" ht="22.5" customHeight="1">
      <c r="A1348" s="30"/>
      <c r="B1348" s="31"/>
      <c r="C1348" s="32"/>
      <c r="D1348" s="33"/>
      <c r="E1348" s="34"/>
      <c r="F1348" s="34"/>
      <c r="G1348" s="35"/>
      <c r="H1348" s="34"/>
      <c r="I1348" s="37"/>
    </row>
    <row r="1349" ht="22.5" customHeight="1">
      <c r="A1349" s="30"/>
      <c r="B1349" s="31"/>
      <c r="C1349" s="32"/>
      <c r="D1349" s="33"/>
      <c r="E1349" s="34"/>
      <c r="F1349" s="34"/>
      <c r="G1349" s="35"/>
      <c r="H1349" s="34"/>
      <c r="I1349" s="37"/>
    </row>
    <row r="1350" ht="22.5" customHeight="1">
      <c r="A1350" s="30"/>
      <c r="B1350" s="31"/>
      <c r="C1350" s="32"/>
      <c r="D1350" s="33"/>
      <c r="E1350" s="34"/>
      <c r="F1350" s="34"/>
      <c r="G1350" s="35"/>
      <c r="H1350" s="34"/>
      <c r="I1350" s="37"/>
    </row>
    <row r="1351" ht="22.5" customHeight="1">
      <c r="A1351" s="30"/>
      <c r="B1351" s="31"/>
      <c r="C1351" s="32"/>
      <c r="D1351" s="33"/>
      <c r="E1351" s="34"/>
      <c r="F1351" s="34"/>
      <c r="G1351" s="35"/>
      <c r="H1351" s="34"/>
      <c r="I1351" s="37"/>
    </row>
    <row r="1352" ht="22.5" customHeight="1">
      <c r="A1352" s="30"/>
      <c r="B1352" s="31"/>
      <c r="C1352" s="32"/>
      <c r="D1352" s="33"/>
      <c r="E1352" s="34"/>
      <c r="F1352" s="34"/>
      <c r="G1352" s="35"/>
      <c r="H1352" s="34"/>
      <c r="I1352" s="37"/>
    </row>
    <row r="1353" ht="22.5" customHeight="1">
      <c r="A1353" s="30"/>
      <c r="B1353" s="31"/>
      <c r="C1353" s="32"/>
      <c r="D1353" s="33"/>
      <c r="E1353" s="34"/>
      <c r="F1353" s="34"/>
      <c r="G1353" s="35"/>
      <c r="H1353" s="34"/>
      <c r="I1353" s="37"/>
    </row>
    <row r="1354" ht="22.5" customHeight="1">
      <c r="A1354" s="30"/>
      <c r="B1354" s="40"/>
      <c r="C1354" s="32"/>
      <c r="D1354" s="33"/>
      <c r="E1354" s="34"/>
      <c r="F1354" s="34"/>
      <c r="G1354" s="35"/>
      <c r="H1354" s="34"/>
      <c r="I1354" s="37"/>
    </row>
    <row r="1355" ht="22.5" customHeight="1">
      <c r="A1355" s="30"/>
      <c r="B1355" s="31"/>
      <c r="C1355" s="32"/>
      <c r="D1355" s="33"/>
      <c r="E1355" s="34"/>
      <c r="F1355" s="34"/>
      <c r="G1355" s="35"/>
      <c r="H1355" s="34"/>
      <c r="I1355" s="37"/>
    </row>
    <row r="1356" ht="22.5" customHeight="1">
      <c r="A1356" s="30"/>
      <c r="B1356" s="31"/>
      <c r="C1356" s="32"/>
      <c r="D1356" s="33"/>
      <c r="E1356" s="34"/>
      <c r="F1356" s="34"/>
      <c r="G1356" s="35"/>
      <c r="H1356" s="34"/>
      <c r="I1356" s="37"/>
    </row>
    <row r="1357" ht="22.5" customHeight="1">
      <c r="A1357" s="30"/>
      <c r="B1357" s="31"/>
      <c r="C1357" s="32"/>
      <c r="D1357" s="33"/>
      <c r="E1357" s="34"/>
      <c r="F1357" s="34"/>
      <c r="G1357" s="35"/>
      <c r="H1357" s="34"/>
      <c r="I1357" s="37"/>
    </row>
    <row r="1358" ht="22.5" customHeight="1">
      <c r="A1358" s="30"/>
      <c r="B1358" s="31"/>
      <c r="C1358" s="32"/>
      <c r="D1358" s="33"/>
      <c r="E1358" s="34"/>
      <c r="F1358" s="34"/>
      <c r="G1358" s="35"/>
      <c r="H1358" s="34"/>
      <c r="I1358" s="38"/>
    </row>
    <row r="1359" ht="22.5" customHeight="1">
      <c r="A1359" s="30"/>
      <c r="B1359" s="39"/>
      <c r="C1359" s="32"/>
      <c r="D1359" s="33"/>
      <c r="E1359" s="34"/>
      <c r="F1359" s="34"/>
      <c r="G1359" s="35"/>
      <c r="H1359" s="34"/>
      <c r="I1359" s="37"/>
    </row>
    <row r="1360" ht="22.5" customHeight="1">
      <c r="A1360" s="30"/>
      <c r="B1360" s="31"/>
      <c r="C1360" s="32"/>
      <c r="D1360" s="33"/>
      <c r="E1360" s="34"/>
      <c r="F1360" s="34"/>
      <c r="G1360" s="35"/>
      <c r="H1360" s="34"/>
      <c r="I1360" s="37"/>
    </row>
    <row r="1361" ht="22.5" customHeight="1">
      <c r="A1361" s="30"/>
      <c r="B1361" s="31"/>
      <c r="C1361" s="32"/>
      <c r="D1361" s="33"/>
      <c r="E1361" s="34"/>
      <c r="F1361" s="34"/>
      <c r="G1361" s="35"/>
      <c r="H1361" s="34"/>
      <c r="I1361" s="37"/>
    </row>
    <row r="1362" ht="22.5" customHeight="1">
      <c r="A1362" s="30"/>
      <c r="B1362" s="31"/>
      <c r="C1362" s="32"/>
      <c r="D1362" s="33"/>
      <c r="E1362" s="34"/>
      <c r="F1362" s="34"/>
      <c r="G1362" s="35"/>
      <c r="H1362" s="34"/>
      <c r="I1362" s="37"/>
    </row>
    <row r="1363" ht="22.5" customHeight="1">
      <c r="A1363" s="30"/>
      <c r="B1363" s="39"/>
      <c r="C1363" s="32"/>
      <c r="D1363" s="33"/>
      <c r="E1363" s="34"/>
      <c r="F1363" s="34"/>
      <c r="G1363" s="35"/>
      <c r="H1363" s="34"/>
      <c r="I1363" s="37"/>
    </row>
    <row r="1364" ht="22.5" customHeight="1">
      <c r="A1364" s="30"/>
      <c r="B1364" s="31"/>
      <c r="C1364" s="32"/>
      <c r="D1364" s="33"/>
      <c r="E1364" s="34"/>
      <c r="F1364" s="34"/>
      <c r="G1364" s="35"/>
      <c r="H1364" s="34"/>
      <c r="I1364" s="37"/>
    </row>
    <row r="1365" ht="22.5" customHeight="1">
      <c r="A1365" s="30"/>
      <c r="B1365" s="39"/>
      <c r="C1365" s="32"/>
      <c r="D1365" s="33"/>
      <c r="E1365" s="34"/>
      <c r="F1365" s="34"/>
      <c r="G1365" s="35"/>
      <c r="H1365" s="34"/>
      <c r="I1365" s="37"/>
    </row>
    <row r="1366" ht="22.5" customHeight="1">
      <c r="A1366" s="30"/>
      <c r="B1366" s="31"/>
      <c r="C1366" s="32"/>
      <c r="D1366" s="33"/>
      <c r="E1366" s="34"/>
      <c r="F1366" s="34"/>
      <c r="G1366" s="35"/>
      <c r="H1366" s="34"/>
      <c r="I1366" s="37"/>
    </row>
    <row r="1367" ht="22.5" customHeight="1">
      <c r="A1367" s="30"/>
      <c r="B1367" s="31"/>
      <c r="C1367" s="32"/>
      <c r="D1367" s="33"/>
      <c r="E1367" s="34"/>
      <c r="F1367" s="34"/>
      <c r="G1367" s="35"/>
      <c r="H1367" s="34"/>
      <c r="I1367" s="37"/>
    </row>
    <row r="1368" ht="22.5" customHeight="1">
      <c r="A1368" s="30"/>
      <c r="B1368" s="31"/>
      <c r="C1368" s="32"/>
      <c r="D1368" s="33"/>
      <c r="E1368" s="34"/>
      <c r="F1368" s="34"/>
      <c r="G1368" s="35"/>
      <c r="H1368" s="34"/>
      <c r="I1368" s="37"/>
    </row>
    <row r="1369" ht="22.5" customHeight="1">
      <c r="A1369" s="30"/>
      <c r="B1369" s="31"/>
      <c r="C1369" s="32"/>
      <c r="D1369" s="33"/>
      <c r="E1369" s="34"/>
      <c r="F1369" s="34"/>
      <c r="G1369" s="35"/>
      <c r="H1369" s="34"/>
      <c r="I1369" s="37"/>
    </row>
    <row r="1370" ht="22.5" customHeight="1">
      <c r="A1370" s="30"/>
      <c r="B1370" s="31"/>
      <c r="C1370" s="32"/>
      <c r="D1370" s="33"/>
      <c r="E1370" s="34"/>
      <c r="F1370" s="34"/>
      <c r="G1370" s="35"/>
      <c r="H1370" s="34"/>
      <c r="I1370" s="37"/>
    </row>
    <row r="1371" ht="22.5" customHeight="1">
      <c r="A1371" s="30"/>
      <c r="B1371" s="31"/>
      <c r="C1371" s="32"/>
      <c r="D1371" s="33"/>
      <c r="E1371" s="34"/>
      <c r="F1371" s="34"/>
      <c r="G1371" s="35"/>
      <c r="H1371" s="34"/>
      <c r="I1371" s="37"/>
    </row>
    <row r="1372" ht="22.5" customHeight="1">
      <c r="A1372" s="30"/>
      <c r="B1372" s="31"/>
      <c r="C1372" s="32"/>
      <c r="D1372" s="33"/>
      <c r="E1372" s="34"/>
      <c r="F1372" s="34"/>
      <c r="G1372" s="35"/>
      <c r="H1372" s="34"/>
      <c r="I1372" s="37"/>
    </row>
    <row r="1373" ht="22.5" customHeight="1">
      <c r="A1373" s="30"/>
      <c r="B1373" s="31"/>
      <c r="C1373" s="32"/>
      <c r="D1373" s="33"/>
      <c r="E1373" s="34"/>
      <c r="F1373" s="34"/>
      <c r="G1373" s="35"/>
      <c r="H1373" s="34"/>
      <c r="I1373" s="37"/>
    </row>
    <row r="1374" ht="22.5" customHeight="1">
      <c r="A1374" s="30"/>
      <c r="B1374" s="31"/>
      <c r="C1374" s="32"/>
      <c r="D1374" s="33"/>
      <c r="E1374" s="34"/>
      <c r="F1374" s="34"/>
      <c r="G1374" s="35"/>
      <c r="H1374" s="34"/>
      <c r="I1374" s="37"/>
    </row>
    <row r="1375" ht="22.5" customHeight="1">
      <c r="A1375" s="30"/>
      <c r="B1375" s="31"/>
      <c r="C1375" s="32"/>
      <c r="D1375" s="33"/>
      <c r="E1375" s="34"/>
      <c r="F1375" s="34"/>
      <c r="G1375" s="35"/>
      <c r="H1375" s="34"/>
      <c r="I1375" s="37"/>
    </row>
    <row r="1376" ht="22.5" customHeight="1">
      <c r="A1376" s="30"/>
      <c r="B1376" s="40"/>
      <c r="C1376" s="32"/>
      <c r="D1376" s="33"/>
      <c r="E1376" s="34"/>
      <c r="F1376" s="34"/>
      <c r="G1376" s="35"/>
      <c r="H1376" s="34"/>
      <c r="I1376" s="37"/>
    </row>
    <row r="1377" ht="22.5" customHeight="1">
      <c r="A1377" s="30"/>
      <c r="B1377" s="31"/>
      <c r="C1377" s="32"/>
      <c r="D1377" s="33"/>
      <c r="E1377" s="34"/>
      <c r="F1377" s="34"/>
      <c r="G1377" s="35"/>
      <c r="H1377" s="34"/>
      <c r="I1377" s="37"/>
    </row>
    <row r="1378" ht="22.5" customHeight="1">
      <c r="A1378" s="30"/>
      <c r="B1378" s="31"/>
      <c r="C1378" s="32"/>
      <c r="D1378" s="33"/>
      <c r="E1378" s="34"/>
      <c r="F1378" s="34"/>
      <c r="G1378" s="35"/>
      <c r="H1378" s="34"/>
      <c r="I1378" s="37"/>
    </row>
    <row r="1379" ht="22.5" customHeight="1">
      <c r="A1379" s="30"/>
      <c r="B1379" s="31"/>
      <c r="C1379" s="32"/>
      <c r="D1379" s="33"/>
      <c r="E1379" s="34"/>
      <c r="F1379" s="34"/>
      <c r="G1379" s="35"/>
      <c r="H1379" s="34"/>
      <c r="I1379" s="37"/>
    </row>
    <row r="1380" ht="22.5" customHeight="1">
      <c r="A1380" s="30"/>
      <c r="B1380" s="31"/>
      <c r="C1380" s="32"/>
      <c r="D1380" s="33"/>
      <c r="E1380" s="34"/>
      <c r="F1380" s="34"/>
      <c r="G1380" s="35"/>
      <c r="H1380" s="34"/>
      <c r="I1380" s="37"/>
    </row>
    <row r="1381" ht="22.5" customHeight="1">
      <c r="A1381" s="30"/>
      <c r="B1381" s="31"/>
      <c r="C1381" s="32"/>
      <c r="D1381" s="33"/>
      <c r="E1381" s="34"/>
      <c r="F1381" s="34"/>
      <c r="G1381" s="35"/>
      <c r="H1381" s="34"/>
      <c r="I1381" s="37"/>
    </row>
    <row r="1382" ht="22.5" customHeight="1">
      <c r="A1382" s="30"/>
      <c r="B1382" s="31"/>
      <c r="C1382" s="32"/>
      <c r="D1382" s="33"/>
      <c r="E1382" s="34"/>
      <c r="F1382" s="34"/>
      <c r="G1382" s="35"/>
      <c r="H1382" s="34"/>
      <c r="I1382" s="37"/>
    </row>
    <row r="1383" ht="22.5" customHeight="1">
      <c r="A1383" s="30"/>
      <c r="B1383" s="39"/>
      <c r="C1383" s="32"/>
      <c r="D1383" s="33"/>
      <c r="E1383" s="34"/>
      <c r="F1383" s="34"/>
      <c r="G1383" s="35"/>
      <c r="H1383" s="34"/>
      <c r="I1383" s="37"/>
    </row>
    <row r="1384" ht="22.5" customHeight="1">
      <c r="A1384" s="30"/>
      <c r="B1384" s="39"/>
      <c r="C1384" s="32"/>
      <c r="D1384" s="33"/>
      <c r="E1384" s="34"/>
      <c r="F1384" s="34"/>
      <c r="G1384" s="35"/>
      <c r="H1384" s="34"/>
      <c r="I1384" s="37"/>
    </row>
    <row r="1385" ht="22.5" customHeight="1">
      <c r="A1385" s="30"/>
      <c r="B1385" s="39"/>
      <c r="C1385" s="32"/>
      <c r="D1385" s="33"/>
      <c r="E1385" s="34"/>
      <c r="F1385" s="34"/>
      <c r="G1385" s="35"/>
      <c r="H1385" s="34"/>
      <c r="I1385" s="37"/>
    </row>
    <row r="1386" ht="22.5" customHeight="1">
      <c r="A1386" s="30"/>
      <c r="B1386" s="40"/>
      <c r="C1386" s="32"/>
      <c r="D1386" s="33"/>
      <c r="E1386" s="34"/>
      <c r="F1386" s="34"/>
      <c r="G1386" s="35"/>
      <c r="H1386" s="34"/>
      <c r="I1386" s="37"/>
    </row>
    <row r="1387" ht="22.5" customHeight="1">
      <c r="A1387" s="30"/>
      <c r="B1387" s="31"/>
      <c r="C1387" s="32"/>
      <c r="D1387" s="33"/>
      <c r="E1387" s="34"/>
      <c r="F1387" s="34"/>
      <c r="G1387" s="35"/>
      <c r="H1387" s="34"/>
      <c r="I1387" s="37"/>
    </row>
    <row r="1388" ht="22.5" customHeight="1">
      <c r="A1388" s="30"/>
      <c r="B1388" s="31"/>
      <c r="C1388" s="32"/>
      <c r="D1388" s="33"/>
      <c r="E1388" s="34"/>
      <c r="F1388" s="34"/>
      <c r="G1388" s="35"/>
      <c r="H1388" s="34"/>
      <c r="I1388" s="37"/>
    </row>
    <row r="1389" ht="22.5" customHeight="1">
      <c r="A1389" s="30"/>
      <c r="B1389" s="31"/>
      <c r="C1389" s="32"/>
      <c r="D1389" s="33"/>
      <c r="E1389" s="34"/>
      <c r="F1389" s="34"/>
      <c r="G1389" s="35"/>
      <c r="H1389" s="34"/>
      <c r="I1389" s="37"/>
    </row>
    <row r="1390" ht="22.5" customHeight="1">
      <c r="A1390" s="30"/>
      <c r="B1390" s="31"/>
      <c r="C1390" s="32"/>
      <c r="D1390" s="33"/>
      <c r="E1390" s="34"/>
      <c r="F1390" s="34"/>
      <c r="G1390" s="35"/>
      <c r="H1390" s="34"/>
      <c r="I1390" s="37"/>
    </row>
    <row r="1391" ht="22.5" customHeight="1">
      <c r="A1391" s="30"/>
      <c r="B1391" s="31"/>
      <c r="C1391" s="32"/>
      <c r="D1391" s="33"/>
      <c r="E1391" s="34"/>
      <c r="F1391" s="34"/>
      <c r="G1391" s="35"/>
      <c r="H1391" s="34"/>
      <c r="I1391" s="37"/>
    </row>
    <row r="1392" ht="22.5" customHeight="1">
      <c r="A1392" s="30"/>
      <c r="B1392" s="31"/>
      <c r="C1392" s="32"/>
      <c r="D1392" s="33"/>
      <c r="E1392" s="34"/>
      <c r="F1392" s="34"/>
      <c r="G1392" s="35"/>
      <c r="H1392" s="34"/>
      <c r="I1392" s="37"/>
    </row>
    <row r="1393" ht="22.5" customHeight="1">
      <c r="A1393" s="30"/>
      <c r="B1393" s="31"/>
      <c r="C1393" s="32"/>
      <c r="D1393" s="33"/>
      <c r="E1393" s="34"/>
      <c r="F1393" s="34"/>
      <c r="G1393" s="35"/>
      <c r="H1393" s="34"/>
      <c r="I1393" s="37"/>
    </row>
    <row r="1394" ht="22.5" customHeight="1">
      <c r="A1394" s="30"/>
      <c r="B1394" s="31"/>
      <c r="C1394" s="32"/>
      <c r="D1394" s="33"/>
      <c r="E1394" s="34"/>
      <c r="F1394" s="34"/>
      <c r="G1394" s="35"/>
      <c r="H1394" s="34"/>
      <c r="I1394" s="37"/>
    </row>
    <row r="1395" ht="22.5" customHeight="1">
      <c r="A1395" s="30"/>
      <c r="B1395" s="31"/>
      <c r="C1395" s="32"/>
      <c r="D1395" s="33"/>
      <c r="E1395" s="34"/>
      <c r="F1395" s="34"/>
      <c r="G1395" s="35"/>
      <c r="H1395" s="34"/>
      <c r="I1395" s="37"/>
    </row>
    <row r="1396" ht="22.5" customHeight="1">
      <c r="A1396" s="30"/>
      <c r="B1396" s="40"/>
      <c r="C1396" s="32"/>
      <c r="D1396" s="33"/>
      <c r="E1396" s="34"/>
      <c r="F1396" s="34"/>
      <c r="G1396" s="35"/>
      <c r="H1396" s="34"/>
      <c r="I1396" s="37"/>
    </row>
    <row r="1397" ht="22.5" customHeight="1">
      <c r="A1397" s="30"/>
      <c r="B1397" s="31"/>
      <c r="C1397" s="32"/>
      <c r="D1397" s="33"/>
      <c r="E1397" s="34"/>
      <c r="F1397" s="34"/>
      <c r="G1397" s="35"/>
      <c r="H1397" s="34"/>
      <c r="I1397" s="37"/>
    </row>
    <row r="1398" ht="22.5" customHeight="1">
      <c r="A1398" s="30"/>
      <c r="B1398" s="31"/>
      <c r="C1398" s="32"/>
      <c r="D1398" s="33"/>
      <c r="E1398" s="34"/>
      <c r="F1398" s="34"/>
      <c r="G1398" s="35"/>
      <c r="H1398" s="34"/>
      <c r="I1398" s="37"/>
    </row>
    <row r="1399" ht="22.5" customHeight="1">
      <c r="A1399" s="30"/>
      <c r="B1399" s="31"/>
      <c r="C1399" s="32"/>
      <c r="D1399" s="33"/>
      <c r="E1399" s="34"/>
      <c r="F1399" s="34"/>
      <c r="G1399" s="35"/>
      <c r="H1399" s="34"/>
      <c r="I1399" s="37"/>
    </row>
    <row r="1400" ht="22.5" customHeight="1">
      <c r="A1400" s="30"/>
      <c r="B1400" s="40"/>
      <c r="C1400" s="32"/>
      <c r="D1400" s="33"/>
      <c r="E1400" s="34"/>
      <c r="F1400" s="34"/>
      <c r="G1400" s="35"/>
      <c r="H1400" s="34"/>
      <c r="I1400" s="37"/>
    </row>
    <row r="1401" ht="22.5" customHeight="1">
      <c r="A1401" s="30"/>
      <c r="B1401" s="31"/>
      <c r="C1401" s="32"/>
      <c r="D1401" s="33"/>
      <c r="E1401" s="34"/>
      <c r="F1401" s="34"/>
      <c r="G1401" s="35"/>
      <c r="H1401" s="34"/>
      <c r="I1401" s="37"/>
    </row>
    <row r="1402" ht="22.5" customHeight="1">
      <c r="A1402" s="30"/>
      <c r="B1402" s="31"/>
      <c r="C1402" s="32"/>
      <c r="D1402" s="33"/>
      <c r="E1402" s="34"/>
      <c r="F1402" s="34"/>
      <c r="G1402" s="35"/>
      <c r="H1402" s="34"/>
      <c r="I1402" s="37"/>
    </row>
    <row r="1403" ht="22.5" customHeight="1">
      <c r="A1403" s="30"/>
      <c r="B1403" s="31"/>
      <c r="C1403" s="32"/>
      <c r="D1403" s="33"/>
      <c r="E1403" s="34"/>
      <c r="F1403" s="34"/>
      <c r="G1403" s="35"/>
      <c r="H1403" s="34"/>
      <c r="I1403" s="37"/>
    </row>
    <row r="1404" ht="22.5" customHeight="1">
      <c r="A1404" s="30"/>
      <c r="B1404" s="31"/>
      <c r="C1404" s="32"/>
      <c r="D1404" s="33"/>
      <c r="E1404" s="34"/>
      <c r="F1404" s="34"/>
      <c r="G1404" s="35"/>
      <c r="H1404" s="34"/>
      <c r="I1404" s="37"/>
    </row>
    <row r="1405" ht="22.5" customHeight="1">
      <c r="A1405" s="30"/>
      <c r="B1405" s="31"/>
      <c r="C1405" s="32"/>
      <c r="D1405" s="33"/>
      <c r="E1405" s="34"/>
      <c r="F1405" s="34"/>
      <c r="G1405" s="35"/>
      <c r="H1405" s="34"/>
      <c r="I1405" s="37"/>
    </row>
    <row r="1406" ht="22.5" customHeight="1">
      <c r="A1406" s="30"/>
      <c r="B1406" s="31"/>
      <c r="C1406" s="32"/>
      <c r="D1406" s="33"/>
      <c r="E1406" s="34"/>
      <c r="F1406" s="34"/>
      <c r="G1406" s="35"/>
      <c r="H1406" s="34"/>
      <c r="I1406" s="37"/>
    </row>
    <row r="1407" ht="22.5" customHeight="1">
      <c r="A1407" s="30"/>
      <c r="B1407" s="31"/>
      <c r="C1407" s="32"/>
      <c r="D1407" s="33"/>
      <c r="E1407" s="34"/>
      <c r="F1407" s="34"/>
      <c r="G1407" s="35"/>
      <c r="H1407" s="34"/>
      <c r="I1407" s="37"/>
    </row>
    <row r="1408" ht="22.5" customHeight="1">
      <c r="A1408" s="30"/>
      <c r="B1408" s="31"/>
      <c r="C1408" s="32"/>
      <c r="D1408" s="33"/>
      <c r="E1408" s="34"/>
      <c r="F1408" s="34"/>
      <c r="G1408" s="35"/>
      <c r="H1408" s="34"/>
      <c r="I1408" s="37"/>
    </row>
    <row r="1409" ht="22.5" customHeight="1">
      <c r="A1409" s="30"/>
      <c r="B1409" s="31"/>
      <c r="C1409" s="32"/>
      <c r="D1409" s="33"/>
      <c r="E1409" s="34"/>
      <c r="F1409" s="34"/>
      <c r="G1409" s="35"/>
      <c r="H1409" s="34"/>
      <c r="I1409" s="37"/>
    </row>
    <row r="1410" ht="22.5" customHeight="1">
      <c r="A1410" s="30"/>
      <c r="B1410" s="31"/>
      <c r="C1410" s="32"/>
      <c r="D1410" s="33"/>
      <c r="E1410" s="34"/>
      <c r="F1410" s="34"/>
      <c r="G1410" s="35"/>
      <c r="H1410" s="34"/>
      <c r="I1410" s="37"/>
    </row>
    <row r="1411" ht="22.5" customHeight="1">
      <c r="A1411" s="30"/>
      <c r="B1411" s="31"/>
      <c r="C1411" s="32"/>
      <c r="D1411" s="33"/>
      <c r="E1411" s="34"/>
      <c r="F1411" s="34"/>
      <c r="G1411" s="35"/>
      <c r="H1411" s="34"/>
      <c r="I1411" s="37"/>
    </row>
    <row r="1412" ht="22.5" customHeight="1">
      <c r="A1412" s="30"/>
      <c r="B1412" s="31"/>
      <c r="C1412" s="32"/>
      <c r="D1412" s="33"/>
      <c r="E1412" s="34"/>
      <c r="F1412" s="34"/>
      <c r="G1412" s="35"/>
      <c r="H1412" s="34"/>
      <c r="I1412" s="37"/>
    </row>
    <row r="1413" ht="22.5" customHeight="1">
      <c r="A1413" s="30"/>
      <c r="B1413" s="31"/>
      <c r="C1413" s="32"/>
      <c r="D1413" s="33"/>
      <c r="E1413" s="34"/>
      <c r="F1413" s="34"/>
      <c r="G1413" s="35"/>
      <c r="H1413" s="34"/>
      <c r="I1413" s="37"/>
    </row>
    <row r="1414" ht="22.5" customHeight="1">
      <c r="A1414" s="30"/>
      <c r="B1414" s="31"/>
      <c r="C1414" s="32"/>
      <c r="D1414" s="33"/>
      <c r="E1414" s="34"/>
      <c r="F1414" s="34"/>
      <c r="G1414" s="35"/>
      <c r="H1414" s="34"/>
      <c r="I1414" s="37"/>
    </row>
    <row r="1415" ht="22.5" customHeight="1">
      <c r="A1415" s="30"/>
      <c r="B1415" s="40"/>
      <c r="C1415" s="32"/>
      <c r="D1415" s="33"/>
      <c r="E1415" s="34"/>
      <c r="F1415" s="34"/>
      <c r="G1415" s="35"/>
      <c r="H1415" s="34"/>
      <c r="I1415" s="37"/>
    </row>
    <row r="1416" ht="22.5" customHeight="1">
      <c r="A1416" s="30"/>
      <c r="B1416" s="31"/>
      <c r="C1416" s="32"/>
      <c r="D1416" s="33"/>
      <c r="E1416" s="34"/>
      <c r="F1416" s="34"/>
      <c r="G1416" s="35"/>
      <c r="H1416" s="34"/>
      <c r="I1416" s="37"/>
    </row>
    <row r="1417" ht="22.5" customHeight="1">
      <c r="A1417" s="30"/>
      <c r="B1417" s="40"/>
      <c r="C1417" s="32"/>
      <c r="D1417" s="33"/>
      <c r="E1417" s="34"/>
      <c r="F1417" s="34"/>
      <c r="G1417" s="35"/>
      <c r="H1417" s="34"/>
      <c r="I1417" s="37"/>
    </row>
    <row r="1418" ht="22.5" customHeight="1">
      <c r="A1418" s="30"/>
      <c r="B1418" s="31"/>
      <c r="C1418" s="32"/>
      <c r="D1418" s="33"/>
      <c r="E1418" s="34"/>
      <c r="F1418" s="34"/>
      <c r="G1418" s="35"/>
      <c r="H1418" s="34"/>
      <c r="I1418" s="37"/>
    </row>
    <row r="1419" ht="22.5" customHeight="1">
      <c r="A1419" s="30"/>
      <c r="B1419" s="31"/>
      <c r="C1419" s="32"/>
      <c r="D1419" s="33"/>
      <c r="E1419" s="34"/>
      <c r="F1419" s="34"/>
      <c r="G1419" s="35"/>
      <c r="H1419" s="34"/>
      <c r="I1419" s="37"/>
    </row>
    <row r="1420" ht="22.5" customHeight="1">
      <c r="A1420" s="30"/>
      <c r="B1420" s="31"/>
      <c r="C1420" s="32"/>
      <c r="D1420" s="33"/>
      <c r="E1420" s="34"/>
      <c r="F1420" s="34"/>
      <c r="G1420" s="35"/>
      <c r="H1420" s="34"/>
      <c r="I1420" s="37"/>
    </row>
    <row r="1421" ht="22.5" customHeight="1">
      <c r="A1421" s="30"/>
      <c r="B1421" s="31"/>
      <c r="C1421" s="32"/>
      <c r="D1421" s="33"/>
      <c r="E1421" s="34"/>
      <c r="F1421" s="34"/>
      <c r="G1421" s="35"/>
      <c r="H1421" s="34"/>
      <c r="I1421" s="37"/>
    </row>
    <row r="1422" ht="22.5" customHeight="1">
      <c r="A1422" s="30"/>
      <c r="B1422" s="40"/>
      <c r="C1422" s="32"/>
      <c r="D1422" s="33"/>
      <c r="E1422" s="34"/>
      <c r="F1422" s="34"/>
      <c r="G1422" s="35"/>
      <c r="H1422" s="34"/>
      <c r="I1422" s="37"/>
    </row>
    <row r="1423" ht="22.5" customHeight="1">
      <c r="A1423" s="30"/>
      <c r="B1423" s="31"/>
      <c r="C1423" s="32"/>
      <c r="D1423" s="33"/>
      <c r="E1423" s="34"/>
      <c r="F1423" s="34"/>
      <c r="G1423" s="35"/>
      <c r="H1423" s="34"/>
      <c r="I1423" s="37"/>
    </row>
    <row r="1424" ht="22.5" customHeight="1">
      <c r="A1424" s="30"/>
      <c r="B1424" s="31"/>
      <c r="C1424" s="32"/>
      <c r="D1424" s="33"/>
      <c r="E1424" s="34"/>
      <c r="F1424" s="34"/>
      <c r="G1424" s="35"/>
      <c r="H1424" s="34"/>
      <c r="I1424" s="37"/>
    </row>
    <row r="1425" ht="22.5" customHeight="1">
      <c r="A1425" s="30"/>
      <c r="B1425" s="31"/>
      <c r="C1425" s="32"/>
      <c r="D1425" s="33"/>
      <c r="E1425" s="34"/>
      <c r="F1425" s="34"/>
      <c r="G1425" s="35"/>
      <c r="H1425" s="34"/>
      <c r="I1425" s="37"/>
    </row>
    <row r="1426" ht="22.5" customHeight="1">
      <c r="A1426" s="30"/>
      <c r="B1426" s="31"/>
      <c r="C1426" s="32"/>
      <c r="D1426" s="33"/>
      <c r="E1426" s="34"/>
      <c r="F1426" s="34"/>
      <c r="G1426" s="35"/>
      <c r="H1426" s="34"/>
      <c r="I1426" s="37"/>
    </row>
    <row r="1427" ht="22.5" customHeight="1">
      <c r="A1427" s="30"/>
      <c r="B1427" s="31"/>
      <c r="C1427" s="32"/>
      <c r="D1427" s="33"/>
      <c r="E1427" s="34"/>
      <c r="F1427" s="34"/>
      <c r="G1427" s="35"/>
      <c r="H1427" s="34"/>
      <c r="I1427" s="37"/>
    </row>
    <row r="1428" ht="22.5" customHeight="1">
      <c r="A1428" s="30"/>
      <c r="B1428" s="31"/>
      <c r="C1428" s="32"/>
      <c r="D1428" s="33"/>
      <c r="E1428" s="34"/>
      <c r="F1428" s="34"/>
      <c r="G1428" s="35"/>
      <c r="H1428" s="34"/>
      <c r="I1428" s="37"/>
    </row>
    <row r="1429" ht="22.5" customHeight="1">
      <c r="A1429" s="30"/>
      <c r="B1429" s="31"/>
      <c r="C1429" s="32"/>
      <c r="D1429" s="33"/>
      <c r="E1429" s="34"/>
      <c r="F1429" s="34"/>
      <c r="G1429" s="35"/>
      <c r="H1429" s="34"/>
      <c r="I1429" s="37"/>
    </row>
    <row r="1430" ht="22.5" customHeight="1">
      <c r="A1430" s="30"/>
      <c r="B1430" s="31"/>
      <c r="C1430" s="32"/>
      <c r="D1430" s="33"/>
      <c r="E1430" s="34"/>
      <c r="F1430" s="34"/>
      <c r="G1430" s="35"/>
      <c r="H1430" s="34"/>
      <c r="I1430" s="37"/>
    </row>
    <row r="1431" ht="22.5" customHeight="1">
      <c r="A1431" s="30"/>
      <c r="B1431" s="31"/>
      <c r="C1431" s="32"/>
      <c r="D1431" s="33"/>
      <c r="E1431" s="34"/>
      <c r="F1431" s="34"/>
      <c r="G1431" s="35"/>
      <c r="H1431" s="34"/>
      <c r="I1431" s="37"/>
    </row>
    <row r="1432" ht="22.5" customHeight="1">
      <c r="A1432" s="30"/>
      <c r="B1432" s="31"/>
      <c r="C1432" s="32"/>
      <c r="D1432" s="33"/>
      <c r="E1432" s="34"/>
      <c r="F1432" s="34"/>
      <c r="G1432" s="35"/>
      <c r="H1432" s="34"/>
      <c r="I1432" s="37"/>
    </row>
    <row r="1433" ht="22.5" customHeight="1">
      <c r="A1433" s="30"/>
      <c r="B1433" s="31"/>
      <c r="C1433" s="32"/>
      <c r="D1433" s="33"/>
      <c r="E1433" s="34"/>
      <c r="F1433" s="34"/>
      <c r="G1433" s="35"/>
      <c r="H1433" s="34"/>
      <c r="I1433" s="37"/>
    </row>
    <row r="1434" ht="22.5" customHeight="1">
      <c r="A1434" s="30"/>
      <c r="B1434" s="31"/>
      <c r="C1434" s="32"/>
      <c r="D1434" s="33"/>
      <c r="E1434" s="34"/>
      <c r="F1434" s="34"/>
      <c r="G1434" s="35"/>
      <c r="H1434" s="34"/>
      <c r="I1434" s="37"/>
    </row>
    <row r="1435" ht="22.5" customHeight="1">
      <c r="A1435" s="30"/>
      <c r="B1435" s="31"/>
      <c r="C1435" s="32"/>
      <c r="D1435" s="33"/>
      <c r="E1435" s="34"/>
      <c r="F1435" s="34"/>
      <c r="G1435" s="35"/>
      <c r="H1435" s="34"/>
      <c r="I1435" s="37"/>
    </row>
    <row r="1436" ht="22.5" customHeight="1">
      <c r="A1436" s="30"/>
      <c r="B1436" s="31"/>
      <c r="C1436" s="32"/>
      <c r="D1436" s="33"/>
      <c r="E1436" s="34"/>
      <c r="F1436" s="34"/>
      <c r="G1436" s="35"/>
      <c r="H1436" s="34"/>
      <c r="I1436" s="37"/>
    </row>
    <row r="1437" ht="22.5" customHeight="1">
      <c r="A1437" s="30"/>
      <c r="B1437" s="31"/>
      <c r="C1437" s="32"/>
      <c r="D1437" s="33"/>
      <c r="E1437" s="34"/>
      <c r="F1437" s="34"/>
      <c r="G1437" s="35"/>
      <c r="H1437" s="34"/>
      <c r="I1437" s="37"/>
    </row>
    <row r="1438" ht="22.5" customHeight="1">
      <c r="A1438" s="30"/>
      <c r="B1438" s="31"/>
      <c r="C1438" s="32"/>
      <c r="D1438" s="33"/>
      <c r="E1438" s="34"/>
      <c r="F1438" s="34"/>
      <c r="G1438" s="35"/>
      <c r="H1438" s="34"/>
      <c r="I1438" s="37"/>
    </row>
    <row r="1439" ht="22.5" customHeight="1">
      <c r="A1439" s="30"/>
      <c r="B1439" s="31"/>
      <c r="C1439" s="32"/>
      <c r="D1439" s="33"/>
      <c r="E1439" s="34"/>
      <c r="F1439" s="34"/>
      <c r="G1439" s="35"/>
      <c r="H1439" s="34"/>
      <c r="I1439" s="37"/>
    </row>
    <row r="1440" ht="22.5" customHeight="1">
      <c r="A1440" s="30"/>
      <c r="B1440" s="31"/>
      <c r="C1440" s="32"/>
      <c r="D1440" s="33"/>
      <c r="E1440" s="34"/>
      <c r="F1440" s="34"/>
      <c r="G1440" s="35"/>
      <c r="H1440" s="34"/>
      <c r="I1440" s="37"/>
    </row>
    <row r="1441" ht="22.5" customHeight="1">
      <c r="A1441" s="30"/>
      <c r="B1441" s="31"/>
      <c r="C1441" s="32"/>
      <c r="D1441" s="33"/>
      <c r="E1441" s="34"/>
      <c r="F1441" s="34"/>
      <c r="G1441" s="35"/>
      <c r="H1441" s="34"/>
      <c r="I1441" s="37"/>
    </row>
    <row r="1442" ht="22.5" customHeight="1">
      <c r="A1442" s="30"/>
      <c r="B1442" s="31"/>
      <c r="C1442" s="32"/>
      <c r="D1442" s="33"/>
      <c r="E1442" s="34"/>
      <c r="F1442" s="34"/>
      <c r="G1442" s="35"/>
      <c r="H1442" s="34"/>
      <c r="I1442" s="37"/>
    </row>
    <row r="1443" ht="22.5" customHeight="1">
      <c r="A1443" s="30"/>
      <c r="B1443" s="31"/>
      <c r="C1443" s="32"/>
      <c r="D1443" s="33"/>
      <c r="E1443" s="34"/>
      <c r="F1443" s="34"/>
      <c r="G1443" s="35"/>
      <c r="H1443" s="34"/>
      <c r="I1443" s="37"/>
    </row>
    <row r="1444" ht="22.5" customHeight="1">
      <c r="A1444" s="30"/>
      <c r="B1444" s="40"/>
      <c r="C1444" s="32"/>
      <c r="D1444" s="33"/>
      <c r="E1444" s="34"/>
      <c r="F1444" s="34"/>
      <c r="G1444" s="35"/>
      <c r="H1444" s="34"/>
      <c r="I1444" s="37"/>
    </row>
    <row r="1445" ht="22.5" customHeight="1">
      <c r="A1445" s="30"/>
      <c r="B1445" s="31"/>
      <c r="C1445" s="32"/>
      <c r="D1445" s="33"/>
      <c r="E1445" s="34"/>
      <c r="F1445" s="34"/>
      <c r="G1445" s="35"/>
      <c r="H1445" s="34"/>
      <c r="I1445" s="37"/>
    </row>
    <row r="1446" ht="22.5" customHeight="1">
      <c r="A1446" s="30"/>
      <c r="B1446" s="31"/>
      <c r="C1446" s="32"/>
      <c r="D1446" s="33"/>
      <c r="E1446" s="34"/>
      <c r="F1446" s="34"/>
      <c r="G1446" s="35"/>
      <c r="H1446" s="34"/>
      <c r="I1446" s="37"/>
    </row>
    <row r="1447" ht="22.5" customHeight="1">
      <c r="A1447" s="30"/>
      <c r="B1447" s="31"/>
      <c r="C1447" s="32"/>
      <c r="D1447" s="33"/>
      <c r="E1447" s="34"/>
      <c r="F1447" s="34"/>
      <c r="G1447" s="35"/>
      <c r="H1447" s="34"/>
      <c r="I1447" s="37"/>
    </row>
    <row r="1448" ht="22.5" customHeight="1">
      <c r="A1448" s="30"/>
      <c r="B1448" s="31"/>
      <c r="C1448" s="32"/>
      <c r="D1448" s="33"/>
      <c r="E1448" s="34"/>
      <c r="F1448" s="34"/>
      <c r="G1448" s="35"/>
      <c r="H1448" s="34"/>
      <c r="I1448" s="38"/>
    </row>
    <row r="1449" ht="22.5" customHeight="1">
      <c r="A1449" s="30"/>
      <c r="B1449" s="39"/>
      <c r="C1449" s="32"/>
      <c r="D1449" s="33"/>
      <c r="E1449" s="34"/>
      <c r="F1449" s="34"/>
      <c r="G1449" s="35"/>
      <c r="H1449" s="34"/>
      <c r="I1449" s="37"/>
    </row>
    <row r="1450" ht="22.5" customHeight="1">
      <c r="A1450" s="30"/>
      <c r="B1450" s="31"/>
      <c r="C1450" s="32"/>
      <c r="D1450" s="33"/>
      <c r="E1450" s="34"/>
      <c r="F1450" s="34"/>
      <c r="G1450" s="35"/>
      <c r="H1450" s="34"/>
      <c r="I1450" s="37"/>
    </row>
    <row r="1451" ht="22.5" customHeight="1">
      <c r="A1451" s="30"/>
      <c r="B1451" s="31"/>
      <c r="C1451" s="32"/>
      <c r="D1451" s="33"/>
      <c r="E1451" s="34"/>
      <c r="F1451" s="34"/>
      <c r="G1451" s="35"/>
      <c r="H1451" s="34"/>
      <c r="I1451" s="37"/>
    </row>
    <row r="1452" ht="22.5" customHeight="1">
      <c r="A1452" s="30"/>
      <c r="B1452" s="31"/>
      <c r="C1452" s="32"/>
      <c r="D1452" s="33"/>
      <c r="E1452" s="34"/>
      <c r="F1452" s="34"/>
      <c r="G1452" s="35"/>
      <c r="H1452" s="34"/>
      <c r="I1452" s="37"/>
    </row>
    <row r="1453" ht="22.5" customHeight="1">
      <c r="A1453" s="30"/>
      <c r="B1453" s="39"/>
      <c r="C1453" s="32"/>
      <c r="D1453" s="33"/>
      <c r="E1453" s="34"/>
      <c r="F1453" s="34"/>
      <c r="G1453" s="35"/>
      <c r="H1453" s="34"/>
      <c r="I1453" s="37"/>
    </row>
    <row r="1454" ht="22.5" customHeight="1">
      <c r="A1454" s="30"/>
      <c r="B1454" s="31"/>
      <c r="C1454" s="32"/>
      <c r="D1454" s="33"/>
      <c r="E1454" s="34"/>
      <c r="F1454" s="34"/>
      <c r="G1454" s="35"/>
      <c r="H1454" s="34"/>
      <c r="I1454" s="37"/>
    </row>
    <row r="1455" ht="22.5" customHeight="1">
      <c r="A1455" s="30"/>
      <c r="B1455" s="39"/>
      <c r="C1455" s="32"/>
      <c r="D1455" s="33"/>
      <c r="E1455" s="34"/>
      <c r="F1455" s="34"/>
      <c r="G1455" s="35"/>
      <c r="H1455" s="34"/>
      <c r="I1455" s="37"/>
    </row>
    <row r="1456" ht="22.5" customHeight="1">
      <c r="A1456" s="30"/>
      <c r="B1456" s="31"/>
      <c r="C1456" s="32"/>
      <c r="D1456" s="33"/>
      <c r="E1456" s="34"/>
      <c r="F1456" s="34"/>
      <c r="G1456" s="35"/>
      <c r="H1456" s="34"/>
      <c r="I1456" s="37"/>
    </row>
    <row r="1457" ht="22.5" customHeight="1">
      <c r="A1457" s="30"/>
      <c r="B1457" s="31"/>
      <c r="C1457" s="32"/>
      <c r="D1457" s="33"/>
      <c r="E1457" s="34"/>
      <c r="F1457" s="34"/>
      <c r="G1457" s="35"/>
      <c r="H1457" s="34"/>
      <c r="I1457" s="37"/>
    </row>
    <row r="1458" ht="22.5" customHeight="1">
      <c r="A1458" s="30"/>
      <c r="B1458" s="31"/>
      <c r="C1458" s="32"/>
      <c r="D1458" s="33"/>
      <c r="E1458" s="34"/>
      <c r="F1458" s="34"/>
      <c r="G1458" s="35"/>
      <c r="H1458" s="34"/>
      <c r="I1458" s="37"/>
    </row>
    <row r="1459" ht="22.5" customHeight="1">
      <c r="A1459" s="30"/>
      <c r="B1459" s="31"/>
      <c r="C1459" s="32"/>
      <c r="D1459" s="33"/>
      <c r="E1459" s="34"/>
      <c r="F1459" s="34"/>
      <c r="G1459" s="35"/>
      <c r="H1459" s="34"/>
      <c r="I1459" s="37"/>
    </row>
    <row r="1460" ht="22.5" customHeight="1">
      <c r="A1460" s="30"/>
      <c r="B1460" s="31"/>
      <c r="C1460" s="32"/>
      <c r="D1460" s="33"/>
      <c r="E1460" s="34"/>
      <c r="F1460" s="34"/>
      <c r="G1460" s="35"/>
      <c r="H1460" s="34"/>
      <c r="I1460" s="37"/>
    </row>
    <row r="1461" ht="22.5" customHeight="1">
      <c r="A1461" s="30"/>
      <c r="B1461" s="31"/>
      <c r="C1461" s="32"/>
      <c r="D1461" s="33"/>
      <c r="E1461" s="34"/>
      <c r="F1461" s="34"/>
      <c r="G1461" s="35"/>
      <c r="H1461" s="34"/>
      <c r="I1461" s="37"/>
    </row>
    <row r="1462" ht="22.5" customHeight="1">
      <c r="A1462" s="30"/>
      <c r="B1462" s="31"/>
      <c r="C1462" s="32"/>
      <c r="D1462" s="33"/>
      <c r="E1462" s="34"/>
      <c r="F1462" s="34"/>
      <c r="G1462" s="35"/>
      <c r="H1462" s="34"/>
      <c r="I1462" s="37"/>
    </row>
    <row r="1463" ht="22.5" customHeight="1">
      <c r="A1463" s="30"/>
      <c r="B1463" s="31"/>
      <c r="C1463" s="32"/>
      <c r="D1463" s="33"/>
      <c r="E1463" s="34"/>
      <c r="F1463" s="34"/>
      <c r="G1463" s="35"/>
      <c r="H1463" s="34"/>
      <c r="I1463" s="37"/>
    </row>
    <row r="1464" ht="22.5" customHeight="1">
      <c r="A1464" s="30"/>
      <c r="B1464" s="31"/>
      <c r="C1464" s="32"/>
      <c r="D1464" s="33"/>
      <c r="E1464" s="34"/>
      <c r="F1464" s="34"/>
      <c r="G1464" s="35"/>
      <c r="H1464" s="34"/>
      <c r="I1464" s="37"/>
    </row>
    <row r="1465" ht="22.5" customHeight="1">
      <c r="A1465" s="30"/>
      <c r="B1465" s="31"/>
      <c r="C1465" s="32"/>
      <c r="D1465" s="33"/>
      <c r="E1465" s="34"/>
      <c r="F1465" s="34"/>
      <c r="G1465" s="35"/>
      <c r="H1465" s="34"/>
      <c r="I1465" s="37"/>
    </row>
    <row r="1466" ht="22.5" customHeight="1">
      <c r="A1466" s="30"/>
      <c r="B1466" s="40"/>
      <c r="C1466" s="32"/>
      <c r="D1466" s="33"/>
      <c r="E1466" s="34"/>
      <c r="F1466" s="34"/>
      <c r="G1466" s="35"/>
      <c r="H1466" s="34"/>
      <c r="I1466" s="37"/>
    </row>
    <row r="1467" ht="22.5" customHeight="1">
      <c r="A1467" s="30"/>
      <c r="B1467" s="31"/>
      <c r="C1467" s="32"/>
      <c r="D1467" s="33"/>
      <c r="E1467" s="34"/>
      <c r="F1467" s="34"/>
      <c r="G1467" s="35"/>
      <c r="H1467" s="34"/>
      <c r="I1467" s="37"/>
    </row>
    <row r="1468" ht="22.5" customHeight="1">
      <c r="A1468" s="30"/>
      <c r="B1468" s="31"/>
      <c r="C1468" s="32"/>
      <c r="D1468" s="33"/>
      <c r="E1468" s="34"/>
      <c r="F1468" s="34"/>
      <c r="G1468" s="35"/>
      <c r="H1468" s="34"/>
      <c r="I1468" s="37"/>
    </row>
    <row r="1469" ht="22.5" customHeight="1">
      <c r="A1469" s="30"/>
      <c r="B1469" s="31"/>
      <c r="C1469" s="32"/>
      <c r="D1469" s="33"/>
      <c r="E1469" s="34"/>
      <c r="F1469" s="34"/>
      <c r="G1469" s="35"/>
      <c r="H1469" s="34"/>
      <c r="I1469" s="37"/>
    </row>
    <row r="1470" ht="22.5" customHeight="1">
      <c r="A1470" s="30"/>
      <c r="B1470" s="31"/>
      <c r="C1470" s="32"/>
      <c r="D1470" s="33"/>
      <c r="E1470" s="34"/>
      <c r="F1470" s="34"/>
      <c r="G1470" s="35"/>
      <c r="H1470" s="34"/>
      <c r="I1470" s="37"/>
    </row>
    <row r="1471" ht="22.5" customHeight="1">
      <c r="A1471" s="30"/>
      <c r="B1471" s="31"/>
      <c r="C1471" s="32"/>
      <c r="D1471" s="33"/>
      <c r="E1471" s="34"/>
      <c r="F1471" s="34"/>
      <c r="G1471" s="35"/>
      <c r="H1471" s="34"/>
      <c r="I1471" s="37"/>
    </row>
    <row r="1472" ht="22.5" customHeight="1">
      <c r="A1472" s="30"/>
      <c r="B1472" s="31"/>
      <c r="C1472" s="32"/>
      <c r="D1472" s="33"/>
      <c r="E1472" s="34"/>
      <c r="F1472" s="34"/>
      <c r="G1472" s="35"/>
      <c r="H1472" s="34"/>
      <c r="I1472" s="37"/>
    </row>
    <row r="1473" ht="22.5" customHeight="1">
      <c r="A1473" s="30"/>
      <c r="B1473" s="39"/>
      <c r="C1473" s="32"/>
      <c r="D1473" s="33"/>
      <c r="E1473" s="34"/>
      <c r="F1473" s="34"/>
      <c r="G1473" s="35"/>
      <c r="H1473" s="34"/>
      <c r="I1473" s="37"/>
    </row>
    <row r="1474" ht="22.5" customHeight="1">
      <c r="A1474" s="30"/>
      <c r="B1474" s="39"/>
      <c r="C1474" s="32"/>
      <c r="D1474" s="33"/>
      <c r="E1474" s="34"/>
      <c r="F1474" s="34"/>
      <c r="G1474" s="35"/>
      <c r="H1474" s="34"/>
      <c r="I1474" s="37"/>
    </row>
    <row r="1475" ht="22.5" customHeight="1">
      <c r="A1475" s="30"/>
      <c r="B1475" s="39"/>
      <c r="C1475" s="32"/>
      <c r="D1475" s="33"/>
      <c r="E1475" s="34"/>
      <c r="F1475" s="34"/>
      <c r="G1475" s="35"/>
      <c r="H1475" s="34"/>
      <c r="I1475" s="37"/>
    </row>
    <row r="1476" ht="22.5" customHeight="1">
      <c r="A1476" s="30"/>
      <c r="B1476" s="40"/>
      <c r="C1476" s="32"/>
      <c r="D1476" s="33"/>
      <c r="E1476" s="34"/>
      <c r="F1476" s="34"/>
      <c r="G1476" s="35"/>
      <c r="H1476" s="34"/>
      <c r="I1476" s="37"/>
    </row>
    <row r="1477" ht="22.5" customHeight="1">
      <c r="A1477" s="30"/>
      <c r="B1477" s="31"/>
      <c r="C1477" s="32"/>
      <c r="D1477" s="33"/>
      <c r="E1477" s="34"/>
      <c r="F1477" s="34"/>
      <c r="G1477" s="35"/>
      <c r="H1477" s="34"/>
      <c r="I1477" s="37"/>
    </row>
    <row r="1478" ht="22.5" customHeight="1">
      <c r="A1478" s="30"/>
      <c r="B1478" s="31"/>
      <c r="C1478" s="32"/>
      <c r="D1478" s="33"/>
      <c r="E1478" s="34"/>
      <c r="F1478" s="34"/>
      <c r="G1478" s="35"/>
      <c r="H1478" s="34"/>
      <c r="I1478" s="37"/>
    </row>
    <row r="1479" ht="22.5" customHeight="1">
      <c r="A1479" s="30"/>
      <c r="B1479" s="31"/>
      <c r="C1479" s="32"/>
      <c r="D1479" s="33"/>
      <c r="E1479" s="34"/>
      <c r="F1479" s="34"/>
      <c r="G1479" s="35"/>
      <c r="H1479" s="34"/>
      <c r="I1479" s="37"/>
    </row>
    <row r="1480" ht="22.5" customHeight="1">
      <c r="A1480" s="30"/>
      <c r="B1480" s="31"/>
      <c r="C1480" s="32"/>
      <c r="D1480" s="33"/>
      <c r="E1480" s="34"/>
      <c r="F1480" s="34"/>
      <c r="G1480" s="35"/>
      <c r="H1480" s="34"/>
      <c r="I1480" s="37"/>
    </row>
    <row r="1481" ht="22.5" customHeight="1">
      <c r="A1481" s="30"/>
      <c r="B1481" s="31"/>
      <c r="C1481" s="32"/>
      <c r="D1481" s="33"/>
      <c r="E1481" s="34"/>
      <c r="F1481" s="34"/>
      <c r="G1481" s="35"/>
      <c r="H1481" s="34"/>
      <c r="I1481" s="37"/>
    </row>
    <row r="1482" ht="22.5" customHeight="1">
      <c r="A1482" s="30"/>
      <c r="B1482" s="31"/>
      <c r="C1482" s="32"/>
      <c r="D1482" s="33"/>
      <c r="E1482" s="34"/>
      <c r="F1482" s="34"/>
      <c r="G1482" s="35"/>
      <c r="H1482" s="34"/>
      <c r="I1482" s="37"/>
    </row>
    <row r="1483" ht="22.5" customHeight="1">
      <c r="A1483" s="30"/>
      <c r="B1483" s="31"/>
      <c r="C1483" s="32"/>
      <c r="D1483" s="33"/>
      <c r="E1483" s="34"/>
      <c r="F1483" s="34"/>
      <c r="G1483" s="35"/>
      <c r="H1483" s="34"/>
      <c r="I1483" s="37"/>
    </row>
    <row r="1484" ht="22.5" customHeight="1">
      <c r="A1484" s="30"/>
      <c r="B1484" s="31"/>
      <c r="C1484" s="32"/>
      <c r="D1484" s="33"/>
      <c r="E1484" s="34"/>
      <c r="F1484" s="34"/>
      <c r="G1484" s="35"/>
      <c r="H1484" s="34"/>
      <c r="I1484" s="37"/>
    </row>
    <row r="1485" ht="22.5" customHeight="1">
      <c r="A1485" s="30"/>
      <c r="B1485" s="31"/>
      <c r="C1485" s="32"/>
      <c r="D1485" s="33"/>
      <c r="E1485" s="34"/>
      <c r="F1485" s="34"/>
      <c r="G1485" s="35"/>
      <c r="H1485" s="34"/>
      <c r="I1485" s="37"/>
    </row>
    <row r="1486" ht="22.5" customHeight="1">
      <c r="A1486" s="30"/>
      <c r="B1486" s="40"/>
      <c r="C1486" s="32"/>
      <c r="D1486" s="33"/>
      <c r="E1486" s="34"/>
      <c r="F1486" s="34"/>
      <c r="G1486" s="35"/>
      <c r="H1486" s="34"/>
      <c r="I1486" s="37"/>
    </row>
    <row r="1487" ht="22.5" customHeight="1">
      <c r="A1487" s="30"/>
      <c r="B1487" s="31"/>
      <c r="C1487" s="32"/>
      <c r="D1487" s="33"/>
      <c r="E1487" s="34"/>
      <c r="F1487" s="34"/>
      <c r="G1487" s="35"/>
      <c r="H1487" s="34"/>
      <c r="I1487" s="37"/>
    </row>
    <row r="1488" ht="22.5" customHeight="1">
      <c r="A1488" s="30"/>
      <c r="B1488" s="31"/>
      <c r="C1488" s="32"/>
      <c r="D1488" s="33"/>
      <c r="E1488" s="34"/>
      <c r="F1488" s="34"/>
      <c r="G1488" s="35"/>
      <c r="H1488" s="34"/>
      <c r="I1488" s="37"/>
    </row>
    <row r="1489" ht="22.5" customHeight="1">
      <c r="A1489" s="30"/>
      <c r="B1489" s="31"/>
      <c r="C1489" s="32"/>
      <c r="D1489" s="33"/>
      <c r="E1489" s="34"/>
      <c r="F1489" s="34"/>
      <c r="G1489" s="35"/>
      <c r="H1489" s="34"/>
      <c r="I1489" s="37"/>
    </row>
    <row r="1490" ht="22.5" customHeight="1">
      <c r="A1490" s="30"/>
      <c r="B1490" s="40"/>
      <c r="C1490" s="32"/>
      <c r="D1490" s="33"/>
      <c r="E1490" s="34"/>
      <c r="F1490" s="34"/>
      <c r="G1490" s="35"/>
      <c r="H1490" s="34"/>
      <c r="I1490" s="37"/>
    </row>
    <row r="1491" ht="22.5" customHeight="1">
      <c r="A1491" s="30"/>
      <c r="B1491" s="31"/>
      <c r="C1491" s="32"/>
      <c r="D1491" s="33"/>
      <c r="E1491" s="34"/>
      <c r="F1491" s="34"/>
      <c r="G1491" s="35"/>
      <c r="H1491" s="34"/>
      <c r="I1491" s="37"/>
    </row>
    <row r="1492" ht="22.5" customHeight="1">
      <c r="A1492" s="30"/>
      <c r="B1492" s="31"/>
      <c r="C1492" s="32"/>
      <c r="D1492" s="33"/>
      <c r="E1492" s="34"/>
      <c r="F1492" s="34"/>
      <c r="G1492" s="35"/>
      <c r="H1492" s="34"/>
      <c r="I1492" s="37"/>
    </row>
    <row r="1493" ht="22.5" customHeight="1">
      <c r="A1493" s="30"/>
      <c r="B1493" s="31"/>
      <c r="C1493" s="32"/>
      <c r="D1493" s="33"/>
      <c r="E1493" s="34"/>
      <c r="F1493" s="34"/>
      <c r="G1493" s="35"/>
      <c r="H1493" s="34"/>
      <c r="I1493" s="37"/>
    </row>
    <row r="1494" ht="22.5" customHeight="1">
      <c r="A1494" s="30"/>
      <c r="B1494" s="31"/>
      <c r="C1494" s="32"/>
      <c r="D1494" s="33"/>
      <c r="E1494" s="34"/>
      <c r="F1494" s="34"/>
      <c r="G1494" s="35"/>
      <c r="H1494" s="34"/>
      <c r="I1494" s="37"/>
    </row>
    <row r="1495" ht="22.5" customHeight="1">
      <c r="A1495" s="30"/>
      <c r="B1495" s="31"/>
      <c r="C1495" s="32"/>
      <c r="D1495" s="33"/>
      <c r="E1495" s="34"/>
      <c r="F1495" s="34"/>
      <c r="G1495" s="35"/>
      <c r="H1495" s="34"/>
      <c r="I1495" s="37"/>
    </row>
    <row r="1496" ht="22.5" customHeight="1">
      <c r="A1496" s="30"/>
      <c r="B1496" s="31"/>
      <c r="C1496" s="32"/>
      <c r="D1496" s="33"/>
      <c r="E1496" s="34"/>
      <c r="F1496" s="34"/>
      <c r="G1496" s="35"/>
      <c r="H1496" s="34"/>
      <c r="I1496" s="37"/>
    </row>
    <row r="1497" ht="22.5" customHeight="1">
      <c r="A1497" s="30"/>
      <c r="B1497" s="31"/>
      <c r="C1497" s="32"/>
      <c r="D1497" s="33"/>
      <c r="E1497" s="34"/>
      <c r="F1497" s="34"/>
      <c r="G1497" s="35"/>
      <c r="H1497" s="34"/>
      <c r="I1497" s="37"/>
    </row>
    <row r="1498" ht="22.5" customHeight="1">
      <c r="A1498" s="30"/>
      <c r="B1498" s="31"/>
      <c r="C1498" s="32"/>
      <c r="D1498" s="33"/>
      <c r="E1498" s="34"/>
      <c r="F1498" s="34"/>
      <c r="G1498" s="35"/>
      <c r="H1498" s="34"/>
      <c r="I1498" s="37"/>
    </row>
    <row r="1499" ht="22.5" customHeight="1">
      <c r="A1499" s="30"/>
      <c r="B1499" s="31"/>
      <c r="C1499" s="32"/>
      <c r="D1499" s="33"/>
      <c r="E1499" s="34"/>
      <c r="F1499" s="34"/>
      <c r="G1499" s="35"/>
      <c r="H1499" s="34"/>
      <c r="I1499" s="37"/>
    </row>
    <row r="1500" ht="22.5" customHeight="1">
      <c r="A1500" s="30"/>
      <c r="B1500" s="31"/>
      <c r="C1500" s="32"/>
      <c r="D1500" s="33"/>
      <c r="E1500" s="34"/>
      <c r="F1500" s="34"/>
      <c r="G1500" s="35"/>
      <c r="H1500" s="34"/>
      <c r="I1500" s="37"/>
    </row>
    <row r="1501" ht="22.5" customHeight="1">
      <c r="A1501" s="30"/>
      <c r="B1501" s="31"/>
      <c r="C1501" s="32"/>
      <c r="D1501" s="33"/>
      <c r="E1501" s="34"/>
      <c r="F1501" s="34"/>
      <c r="G1501" s="35"/>
      <c r="H1501" s="34"/>
      <c r="I1501" s="37"/>
    </row>
    <row r="1502" ht="22.5" customHeight="1">
      <c r="A1502" s="30"/>
      <c r="B1502" s="31"/>
      <c r="C1502" s="32"/>
      <c r="D1502" s="33"/>
      <c r="E1502" s="34"/>
      <c r="F1502" s="34"/>
      <c r="G1502" s="35"/>
      <c r="H1502" s="34"/>
      <c r="I1502" s="37"/>
    </row>
    <row r="1503" ht="22.5" customHeight="1">
      <c r="A1503" s="30"/>
      <c r="B1503" s="31"/>
      <c r="C1503" s="32"/>
      <c r="D1503" s="33"/>
      <c r="E1503" s="34"/>
      <c r="F1503" s="34"/>
      <c r="G1503" s="35"/>
      <c r="H1503" s="34"/>
      <c r="I1503" s="37"/>
    </row>
    <row r="1504" ht="22.5" customHeight="1">
      <c r="A1504" s="30"/>
      <c r="B1504" s="31"/>
      <c r="C1504" s="32"/>
      <c r="D1504" s="33"/>
      <c r="E1504" s="34"/>
      <c r="F1504" s="34"/>
      <c r="G1504" s="35"/>
      <c r="H1504" s="34"/>
      <c r="I1504" s="37"/>
    </row>
    <row r="1505" ht="22.5" customHeight="1">
      <c r="A1505" s="30"/>
      <c r="B1505" s="40"/>
      <c r="C1505" s="32"/>
      <c r="D1505" s="33"/>
      <c r="E1505" s="34"/>
      <c r="F1505" s="34"/>
      <c r="G1505" s="35"/>
      <c r="H1505" s="34"/>
      <c r="I1505" s="37"/>
    </row>
    <row r="1506" ht="22.5" customHeight="1">
      <c r="A1506" s="30"/>
      <c r="B1506" s="31"/>
      <c r="C1506" s="32"/>
      <c r="D1506" s="33"/>
      <c r="E1506" s="34"/>
      <c r="F1506" s="34"/>
      <c r="G1506" s="35"/>
      <c r="H1506" s="34"/>
      <c r="I1506" s="37"/>
    </row>
    <row r="1507" ht="22.5" customHeight="1">
      <c r="A1507" s="30"/>
      <c r="B1507" s="40"/>
      <c r="C1507" s="32"/>
      <c r="D1507" s="33"/>
      <c r="E1507" s="34"/>
      <c r="F1507" s="34"/>
      <c r="G1507" s="35"/>
      <c r="H1507" s="34"/>
      <c r="I1507" s="37"/>
    </row>
    <row r="1508" ht="22.5" customHeight="1">
      <c r="A1508" s="30"/>
      <c r="B1508" s="31"/>
      <c r="C1508" s="32"/>
      <c r="D1508" s="33"/>
      <c r="E1508" s="34"/>
      <c r="F1508" s="34"/>
      <c r="G1508" s="35"/>
      <c r="H1508" s="34"/>
      <c r="I1508" s="37"/>
    </row>
    <row r="1509" ht="22.5" customHeight="1">
      <c r="A1509" s="30"/>
      <c r="B1509" s="31"/>
      <c r="C1509" s="32"/>
      <c r="D1509" s="33"/>
      <c r="E1509" s="34"/>
      <c r="F1509" s="34"/>
      <c r="G1509" s="35"/>
      <c r="H1509" s="34"/>
      <c r="I1509" s="37"/>
    </row>
    <row r="1510" ht="22.5" customHeight="1">
      <c r="A1510" s="30"/>
      <c r="B1510" s="31"/>
      <c r="C1510" s="32"/>
      <c r="D1510" s="33"/>
      <c r="E1510" s="34"/>
      <c r="F1510" s="34"/>
      <c r="G1510" s="35"/>
      <c r="H1510" s="34"/>
      <c r="I1510" s="37"/>
    </row>
    <row r="1511" ht="22.5" customHeight="1">
      <c r="A1511" s="30"/>
      <c r="B1511" s="31"/>
      <c r="C1511" s="32"/>
      <c r="D1511" s="33"/>
      <c r="E1511" s="34"/>
      <c r="F1511" s="34"/>
      <c r="G1511" s="35"/>
      <c r="H1511" s="34"/>
      <c r="I1511" s="37"/>
    </row>
    <row r="1512" ht="22.5" customHeight="1">
      <c r="A1512" s="30"/>
      <c r="B1512" s="40"/>
      <c r="C1512" s="32"/>
      <c r="D1512" s="33"/>
      <c r="E1512" s="34"/>
      <c r="F1512" s="34"/>
      <c r="G1512" s="35"/>
      <c r="H1512" s="34"/>
      <c r="I1512" s="37"/>
    </row>
    <row r="1513" ht="22.5" customHeight="1">
      <c r="A1513" s="30"/>
      <c r="B1513" s="31"/>
      <c r="C1513" s="32"/>
      <c r="D1513" s="33"/>
      <c r="E1513" s="34"/>
      <c r="F1513" s="34"/>
      <c r="G1513" s="35"/>
      <c r="H1513" s="34"/>
      <c r="I1513" s="37"/>
    </row>
    <row r="1514" ht="22.5" customHeight="1">
      <c r="A1514" s="30"/>
      <c r="B1514" s="31"/>
      <c r="C1514" s="32"/>
      <c r="D1514" s="33"/>
      <c r="E1514" s="34"/>
      <c r="F1514" s="34"/>
      <c r="G1514" s="35"/>
      <c r="H1514" s="34"/>
      <c r="I1514" s="37"/>
    </row>
    <row r="1515" ht="22.5" customHeight="1">
      <c r="A1515" s="30"/>
      <c r="B1515" s="31"/>
      <c r="C1515" s="32"/>
      <c r="D1515" s="33"/>
      <c r="E1515" s="34"/>
      <c r="F1515" s="34"/>
      <c r="G1515" s="35"/>
      <c r="H1515" s="34"/>
      <c r="I1515" s="37"/>
    </row>
    <row r="1516" ht="22.5" customHeight="1">
      <c r="A1516" s="30"/>
      <c r="B1516" s="31"/>
      <c r="C1516" s="32"/>
      <c r="D1516" s="33"/>
      <c r="E1516" s="34"/>
      <c r="F1516" s="34"/>
      <c r="G1516" s="35"/>
      <c r="H1516" s="34"/>
      <c r="I1516" s="37"/>
    </row>
    <row r="1517" ht="22.5" customHeight="1">
      <c r="A1517" s="30"/>
      <c r="B1517" s="31"/>
      <c r="C1517" s="32"/>
      <c r="D1517" s="33"/>
      <c r="E1517" s="34"/>
      <c r="F1517" s="34"/>
      <c r="G1517" s="35"/>
      <c r="H1517" s="34"/>
      <c r="I1517" s="37"/>
    </row>
    <row r="1518" ht="22.5" customHeight="1">
      <c r="A1518" s="30"/>
      <c r="B1518" s="31"/>
      <c r="C1518" s="32"/>
      <c r="D1518" s="33"/>
      <c r="E1518" s="34"/>
      <c r="F1518" s="34"/>
      <c r="G1518" s="35"/>
      <c r="H1518" s="34"/>
      <c r="I1518" s="37"/>
    </row>
    <row r="1519" ht="22.5" customHeight="1">
      <c r="A1519" s="30"/>
      <c r="B1519" s="31"/>
      <c r="C1519" s="32"/>
      <c r="D1519" s="33"/>
      <c r="E1519" s="34"/>
      <c r="F1519" s="34"/>
      <c r="G1519" s="35"/>
      <c r="H1519" s="34"/>
      <c r="I1519" s="37"/>
    </row>
    <row r="1520" ht="22.5" customHeight="1">
      <c r="A1520" s="30"/>
      <c r="B1520" s="31"/>
      <c r="C1520" s="32"/>
      <c r="D1520" s="33"/>
      <c r="E1520" s="34"/>
      <c r="F1520" s="34"/>
      <c r="G1520" s="35"/>
      <c r="H1520" s="34"/>
      <c r="I1520" s="37"/>
    </row>
    <row r="1521" ht="22.5" customHeight="1">
      <c r="A1521" s="30"/>
      <c r="B1521" s="31"/>
      <c r="C1521" s="32"/>
      <c r="D1521" s="33"/>
      <c r="E1521" s="34"/>
      <c r="F1521" s="34"/>
      <c r="G1521" s="35"/>
      <c r="H1521" s="34"/>
      <c r="I1521" s="37"/>
    </row>
    <row r="1522" ht="22.5" customHeight="1">
      <c r="A1522" s="30"/>
      <c r="B1522" s="31"/>
      <c r="C1522" s="32"/>
      <c r="D1522" s="33"/>
      <c r="E1522" s="34"/>
      <c r="F1522" s="34"/>
      <c r="G1522" s="35"/>
      <c r="H1522" s="34"/>
      <c r="I1522" s="37"/>
    </row>
    <row r="1523" ht="22.5" customHeight="1">
      <c r="A1523" s="30"/>
      <c r="B1523" s="31"/>
      <c r="C1523" s="32"/>
      <c r="D1523" s="33"/>
      <c r="E1523" s="34"/>
      <c r="F1523" s="34"/>
      <c r="G1523" s="35"/>
      <c r="H1523" s="34"/>
      <c r="I1523" s="37"/>
    </row>
    <row r="1524" ht="22.5" customHeight="1">
      <c r="A1524" s="30"/>
      <c r="B1524" s="31"/>
      <c r="C1524" s="32"/>
      <c r="D1524" s="33"/>
      <c r="E1524" s="34"/>
      <c r="F1524" s="34"/>
      <c r="G1524" s="35"/>
      <c r="H1524" s="34"/>
      <c r="I1524" s="37"/>
    </row>
    <row r="1525" ht="22.5" customHeight="1">
      <c r="A1525" s="30"/>
      <c r="B1525" s="31"/>
      <c r="C1525" s="32"/>
      <c r="D1525" s="33"/>
      <c r="E1525" s="34"/>
      <c r="F1525" s="34"/>
      <c r="G1525" s="35"/>
      <c r="H1525" s="34"/>
      <c r="I1525" s="37"/>
    </row>
    <row r="1526" ht="22.5" customHeight="1">
      <c r="A1526" s="30"/>
      <c r="B1526" s="31"/>
      <c r="C1526" s="32"/>
      <c r="D1526" s="33"/>
      <c r="E1526" s="34"/>
      <c r="F1526" s="34"/>
      <c r="G1526" s="35"/>
      <c r="H1526" s="34"/>
      <c r="I1526" s="37"/>
    </row>
    <row r="1527" ht="22.5" customHeight="1">
      <c r="A1527" s="30"/>
      <c r="B1527" s="31"/>
      <c r="C1527" s="32"/>
      <c r="D1527" s="33"/>
      <c r="E1527" s="34"/>
      <c r="F1527" s="34"/>
      <c r="G1527" s="35"/>
      <c r="H1527" s="34"/>
      <c r="I1527" s="37"/>
    </row>
    <row r="1528" ht="22.5" customHeight="1">
      <c r="A1528" s="30"/>
      <c r="B1528" s="31"/>
      <c r="C1528" s="32"/>
      <c r="D1528" s="33"/>
      <c r="E1528" s="34"/>
      <c r="F1528" s="34"/>
      <c r="G1528" s="35"/>
      <c r="H1528" s="34"/>
      <c r="I1528" s="37"/>
    </row>
    <row r="1529" ht="22.5" customHeight="1">
      <c r="A1529" s="30"/>
      <c r="B1529" s="31"/>
      <c r="C1529" s="32"/>
      <c r="D1529" s="33"/>
      <c r="E1529" s="34"/>
      <c r="F1529" s="34"/>
      <c r="G1529" s="35"/>
      <c r="H1529" s="34"/>
      <c r="I1529" s="37"/>
    </row>
    <row r="1530" ht="22.5" customHeight="1">
      <c r="A1530" s="30"/>
      <c r="B1530" s="31"/>
      <c r="C1530" s="32"/>
      <c r="D1530" s="33"/>
      <c r="E1530" s="34"/>
      <c r="F1530" s="34"/>
      <c r="G1530" s="35"/>
      <c r="H1530" s="34"/>
      <c r="I1530" s="37"/>
    </row>
    <row r="1531" ht="22.5" customHeight="1">
      <c r="A1531" s="30"/>
      <c r="B1531" s="31"/>
      <c r="C1531" s="32"/>
      <c r="D1531" s="33"/>
      <c r="E1531" s="34"/>
      <c r="F1531" s="34"/>
      <c r="G1531" s="35"/>
      <c r="H1531" s="34"/>
      <c r="I1531" s="37"/>
    </row>
    <row r="1532" ht="22.5" customHeight="1">
      <c r="A1532" s="30"/>
      <c r="B1532" s="31"/>
      <c r="C1532" s="32"/>
      <c r="D1532" s="33"/>
      <c r="E1532" s="34"/>
      <c r="F1532" s="34"/>
      <c r="G1532" s="35"/>
      <c r="H1532" s="34"/>
      <c r="I1532" s="37"/>
    </row>
    <row r="1533" ht="22.5" customHeight="1">
      <c r="A1533" s="30"/>
      <c r="B1533" s="31"/>
      <c r="C1533" s="32"/>
      <c r="D1533" s="33"/>
      <c r="E1533" s="34"/>
      <c r="F1533" s="34"/>
      <c r="G1533" s="35"/>
      <c r="H1533" s="34"/>
      <c r="I1533" s="37"/>
    </row>
    <row r="1534" ht="22.5" customHeight="1">
      <c r="A1534" s="30"/>
      <c r="B1534" s="40"/>
      <c r="C1534" s="32"/>
      <c r="D1534" s="33"/>
      <c r="E1534" s="34"/>
      <c r="F1534" s="34"/>
      <c r="G1534" s="35"/>
      <c r="H1534" s="34"/>
      <c r="I1534" s="37"/>
    </row>
    <row r="1535" ht="22.5" customHeight="1">
      <c r="A1535" s="30"/>
      <c r="B1535" s="31"/>
      <c r="C1535" s="32"/>
      <c r="D1535" s="33"/>
      <c r="E1535" s="34"/>
      <c r="F1535" s="34"/>
      <c r="G1535" s="35"/>
      <c r="H1535" s="34"/>
      <c r="I1535" s="37"/>
    </row>
    <row r="1536" ht="22.5" customHeight="1">
      <c r="A1536" s="30"/>
      <c r="B1536" s="31"/>
      <c r="C1536" s="32"/>
      <c r="D1536" s="33"/>
      <c r="E1536" s="34"/>
      <c r="F1536" s="34"/>
      <c r="G1536" s="35"/>
      <c r="H1536" s="34"/>
      <c r="I1536" s="37"/>
    </row>
    <row r="1537" ht="22.5" customHeight="1">
      <c r="A1537" s="30"/>
      <c r="B1537" s="31"/>
      <c r="C1537" s="32"/>
      <c r="D1537" s="33"/>
      <c r="E1537" s="34"/>
      <c r="F1537" s="34"/>
      <c r="G1537" s="35"/>
      <c r="H1537" s="34"/>
      <c r="I1537" s="37"/>
    </row>
    <row r="1538" ht="22.5" customHeight="1">
      <c r="A1538" s="30"/>
      <c r="B1538" s="31"/>
      <c r="C1538" s="32"/>
      <c r="D1538" s="33"/>
      <c r="E1538" s="34"/>
      <c r="F1538" s="34"/>
      <c r="G1538" s="35"/>
      <c r="H1538" s="34"/>
      <c r="I1538" s="38"/>
    </row>
    <row r="1539" ht="22.5" customHeight="1">
      <c r="A1539" s="30"/>
      <c r="B1539" s="39"/>
      <c r="C1539" s="32"/>
      <c r="D1539" s="33"/>
      <c r="E1539" s="34"/>
      <c r="F1539" s="34"/>
      <c r="G1539" s="35"/>
      <c r="H1539" s="34"/>
      <c r="I1539" s="37"/>
    </row>
    <row r="1540" ht="22.5" customHeight="1">
      <c r="A1540" s="30"/>
      <c r="B1540" s="31"/>
      <c r="C1540" s="32"/>
      <c r="D1540" s="33"/>
      <c r="E1540" s="34"/>
      <c r="F1540" s="34"/>
      <c r="G1540" s="35"/>
      <c r="H1540" s="34"/>
      <c r="I1540" s="37"/>
    </row>
    <row r="1541" ht="22.5" customHeight="1">
      <c r="A1541" s="30"/>
      <c r="B1541" s="31"/>
      <c r="C1541" s="32"/>
      <c r="D1541" s="33"/>
      <c r="E1541" s="34"/>
      <c r="F1541" s="34"/>
      <c r="G1541" s="35"/>
      <c r="H1541" s="34"/>
      <c r="I1541" s="37"/>
    </row>
    <row r="1542" ht="22.5" customHeight="1">
      <c r="A1542" s="30"/>
      <c r="B1542" s="31"/>
      <c r="C1542" s="32"/>
      <c r="D1542" s="33"/>
      <c r="E1542" s="34"/>
      <c r="F1542" s="34"/>
      <c r="G1542" s="35"/>
      <c r="H1542" s="34"/>
      <c r="I1542" s="37"/>
    </row>
    <row r="1543" ht="22.5" customHeight="1">
      <c r="A1543" s="30"/>
      <c r="B1543" s="39"/>
      <c r="C1543" s="32"/>
      <c r="D1543" s="33"/>
      <c r="E1543" s="34"/>
      <c r="F1543" s="34"/>
      <c r="G1543" s="35"/>
      <c r="H1543" s="34"/>
      <c r="I1543" s="37"/>
    </row>
    <row r="1544" ht="22.5" customHeight="1">
      <c r="A1544" s="30"/>
      <c r="B1544" s="31"/>
      <c r="C1544" s="32"/>
      <c r="D1544" s="33"/>
      <c r="E1544" s="34"/>
      <c r="F1544" s="34"/>
      <c r="G1544" s="35"/>
      <c r="H1544" s="34"/>
      <c r="I1544" s="37"/>
    </row>
    <row r="1545" ht="22.5" customHeight="1">
      <c r="A1545" s="30"/>
      <c r="B1545" s="39"/>
      <c r="C1545" s="32"/>
      <c r="D1545" s="33"/>
      <c r="E1545" s="34"/>
      <c r="F1545" s="34"/>
      <c r="G1545" s="35"/>
      <c r="H1545" s="34"/>
      <c r="I1545" s="37"/>
    </row>
    <row r="1546" ht="22.5" customHeight="1">
      <c r="A1546" s="30"/>
      <c r="B1546" s="31"/>
      <c r="C1546" s="32"/>
      <c r="D1546" s="33"/>
      <c r="E1546" s="34"/>
      <c r="F1546" s="34"/>
      <c r="G1546" s="35"/>
      <c r="H1546" s="34"/>
      <c r="I1546" s="37"/>
    </row>
    <row r="1547" ht="22.5" customHeight="1">
      <c r="A1547" s="30"/>
      <c r="B1547" s="31"/>
      <c r="C1547" s="32"/>
      <c r="D1547" s="33"/>
      <c r="E1547" s="34"/>
      <c r="F1547" s="34"/>
      <c r="G1547" s="35"/>
      <c r="H1547" s="34"/>
      <c r="I1547" s="37"/>
    </row>
    <row r="1548" ht="22.5" customHeight="1">
      <c r="A1548" s="30"/>
      <c r="B1548" s="31"/>
      <c r="C1548" s="32"/>
      <c r="D1548" s="33"/>
      <c r="E1548" s="34"/>
      <c r="F1548" s="34"/>
      <c r="G1548" s="35"/>
      <c r="H1548" s="34"/>
      <c r="I1548" s="37"/>
    </row>
    <row r="1549" ht="22.5" customHeight="1">
      <c r="A1549" s="30"/>
      <c r="B1549" s="31"/>
      <c r="C1549" s="32"/>
      <c r="D1549" s="33"/>
      <c r="E1549" s="34"/>
      <c r="F1549" s="34"/>
      <c r="G1549" s="35"/>
      <c r="H1549" s="34"/>
      <c r="I1549" s="37"/>
    </row>
    <row r="1550" ht="22.5" customHeight="1">
      <c r="A1550" s="30"/>
      <c r="B1550" s="31"/>
      <c r="C1550" s="32"/>
      <c r="D1550" s="33"/>
      <c r="E1550" s="34"/>
      <c r="F1550" s="34"/>
      <c r="G1550" s="35"/>
      <c r="H1550" s="34"/>
      <c r="I1550" s="37"/>
    </row>
    <row r="1551" ht="22.5" customHeight="1">
      <c r="A1551" s="30"/>
      <c r="B1551" s="31"/>
      <c r="C1551" s="32"/>
      <c r="D1551" s="33"/>
      <c r="E1551" s="34"/>
      <c r="F1551" s="34"/>
      <c r="G1551" s="35"/>
      <c r="H1551" s="34"/>
      <c r="I1551" s="37"/>
    </row>
    <row r="1552" ht="22.5" customHeight="1">
      <c r="A1552" s="30"/>
      <c r="B1552" s="31"/>
      <c r="C1552" s="32"/>
      <c r="D1552" s="33"/>
      <c r="E1552" s="34"/>
      <c r="F1552" s="34"/>
      <c r="G1552" s="35"/>
      <c r="H1552" s="34"/>
      <c r="I1552" s="37"/>
    </row>
    <row r="1553" ht="22.5" customHeight="1">
      <c r="A1553" s="30"/>
      <c r="B1553" s="31"/>
      <c r="C1553" s="32"/>
      <c r="D1553" s="33"/>
      <c r="E1553" s="34"/>
      <c r="F1553" s="34"/>
      <c r="G1553" s="35"/>
      <c r="H1553" s="34"/>
      <c r="I1553" s="37"/>
    </row>
    <row r="1554" ht="22.5" customHeight="1">
      <c r="A1554" s="30"/>
      <c r="B1554" s="31"/>
      <c r="C1554" s="32"/>
      <c r="D1554" s="33"/>
      <c r="E1554" s="34"/>
      <c r="F1554" s="34"/>
      <c r="G1554" s="35"/>
      <c r="H1554" s="34"/>
      <c r="I1554" s="37"/>
    </row>
    <row r="1555" ht="22.5" customHeight="1">
      <c r="A1555" s="30"/>
      <c r="B1555" s="31"/>
      <c r="C1555" s="32"/>
      <c r="D1555" s="33"/>
      <c r="E1555" s="34"/>
      <c r="F1555" s="34"/>
      <c r="G1555" s="35"/>
      <c r="H1555" s="34"/>
      <c r="I1555" s="37"/>
    </row>
    <row r="1556" ht="22.5" customHeight="1">
      <c r="A1556" s="30"/>
      <c r="B1556" s="40"/>
      <c r="C1556" s="32"/>
      <c r="D1556" s="33"/>
      <c r="E1556" s="34"/>
      <c r="F1556" s="34"/>
      <c r="G1556" s="35"/>
      <c r="H1556" s="34"/>
      <c r="I1556" s="37"/>
    </row>
    <row r="1557" ht="22.5" customHeight="1">
      <c r="A1557" s="30"/>
      <c r="B1557" s="31"/>
      <c r="C1557" s="32"/>
      <c r="D1557" s="33"/>
      <c r="E1557" s="34"/>
      <c r="F1557" s="34"/>
      <c r="G1557" s="35"/>
      <c r="H1557" s="34"/>
      <c r="I1557" s="37"/>
    </row>
    <row r="1558" ht="22.5" customHeight="1">
      <c r="A1558" s="30"/>
      <c r="B1558" s="31"/>
      <c r="C1558" s="32"/>
      <c r="D1558" s="33"/>
      <c r="E1558" s="34"/>
      <c r="F1558" s="34"/>
      <c r="G1558" s="35"/>
      <c r="H1558" s="34"/>
      <c r="I1558" s="37"/>
    </row>
    <row r="1559" ht="22.5" customHeight="1">
      <c r="A1559" s="30"/>
      <c r="B1559" s="31"/>
      <c r="C1559" s="32"/>
      <c r="D1559" s="33"/>
      <c r="E1559" s="34"/>
      <c r="F1559" s="34"/>
      <c r="G1559" s="35"/>
      <c r="H1559" s="34"/>
      <c r="I1559" s="37"/>
    </row>
    <row r="1560" ht="22.5" customHeight="1">
      <c r="A1560" s="30"/>
      <c r="B1560" s="31"/>
      <c r="C1560" s="32"/>
      <c r="D1560" s="33"/>
      <c r="E1560" s="34"/>
      <c r="F1560" s="34"/>
      <c r="G1560" s="35"/>
      <c r="H1560" s="34"/>
      <c r="I1560" s="37"/>
    </row>
    <row r="1561" ht="22.5" customHeight="1">
      <c r="A1561" s="30"/>
      <c r="B1561" s="31"/>
      <c r="C1561" s="32"/>
      <c r="D1561" s="33"/>
      <c r="E1561" s="34"/>
      <c r="F1561" s="34"/>
      <c r="G1561" s="35"/>
      <c r="H1561" s="34"/>
      <c r="I1561" s="37"/>
    </row>
    <row r="1562" ht="22.5" customHeight="1">
      <c r="A1562" s="30"/>
      <c r="B1562" s="31"/>
      <c r="C1562" s="32"/>
      <c r="D1562" s="33"/>
      <c r="E1562" s="34"/>
      <c r="F1562" s="34"/>
      <c r="G1562" s="35"/>
      <c r="H1562" s="34"/>
      <c r="I1562" s="37"/>
    </row>
    <row r="1563" ht="22.5" customHeight="1">
      <c r="A1563" s="30"/>
      <c r="B1563" s="39"/>
      <c r="C1563" s="32"/>
      <c r="D1563" s="33"/>
      <c r="E1563" s="34"/>
      <c r="F1563" s="34"/>
      <c r="G1563" s="35"/>
      <c r="H1563" s="34"/>
      <c r="I1563" s="37"/>
    </row>
    <row r="1564" ht="22.5" customHeight="1">
      <c r="A1564" s="30"/>
      <c r="B1564" s="39"/>
      <c r="C1564" s="32"/>
      <c r="D1564" s="33"/>
      <c r="E1564" s="34"/>
      <c r="F1564" s="34"/>
      <c r="G1564" s="35"/>
      <c r="H1564" s="34"/>
      <c r="I1564" s="37"/>
    </row>
    <row r="1565" ht="22.5" customHeight="1">
      <c r="A1565" s="30"/>
      <c r="B1565" s="39"/>
      <c r="C1565" s="32"/>
      <c r="D1565" s="33"/>
      <c r="E1565" s="34"/>
      <c r="F1565" s="34"/>
      <c r="G1565" s="35"/>
      <c r="H1565" s="34"/>
      <c r="I1565" s="37"/>
    </row>
    <row r="1566" ht="22.5" customHeight="1">
      <c r="A1566" s="30"/>
      <c r="B1566" s="40"/>
      <c r="C1566" s="32"/>
      <c r="D1566" s="33"/>
      <c r="E1566" s="34"/>
      <c r="F1566" s="34"/>
      <c r="G1566" s="35"/>
      <c r="H1566" s="34"/>
      <c r="I1566" s="37"/>
    </row>
    <row r="1567" ht="22.5" customHeight="1">
      <c r="A1567" s="30"/>
      <c r="B1567" s="31"/>
      <c r="C1567" s="32"/>
      <c r="D1567" s="33"/>
      <c r="E1567" s="34"/>
      <c r="F1567" s="34"/>
      <c r="G1567" s="35"/>
      <c r="H1567" s="34"/>
      <c r="I1567" s="37"/>
    </row>
    <row r="1568" ht="22.5" customHeight="1">
      <c r="A1568" s="30"/>
      <c r="B1568" s="31"/>
      <c r="C1568" s="32"/>
      <c r="D1568" s="33"/>
      <c r="E1568" s="34"/>
      <c r="F1568" s="34"/>
      <c r="G1568" s="35"/>
      <c r="H1568" s="34"/>
      <c r="I1568" s="37"/>
    </row>
    <row r="1569" ht="22.5" customHeight="1">
      <c r="A1569" s="30"/>
      <c r="B1569" s="31"/>
      <c r="C1569" s="32"/>
      <c r="D1569" s="33"/>
      <c r="E1569" s="34"/>
      <c r="F1569" s="34"/>
      <c r="G1569" s="35"/>
      <c r="H1569" s="34"/>
      <c r="I1569" s="37"/>
    </row>
    <row r="1570" ht="22.5" customHeight="1">
      <c r="A1570" s="30"/>
      <c r="B1570" s="31"/>
      <c r="C1570" s="32"/>
      <c r="D1570" s="33"/>
      <c r="E1570" s="34"/>
      <c r="F1570" s="34"/>
      <c r="G1570" s="35"/>
      <c r="H1570" s="34"/>
      <c r="I1570" s="37"/>
    </row>
    <row r="1571" ht="22.5" customHeight="1">
      <c r="A1571" s="30"/>
      <c r="B1571" s="31"/>
      <c r="C1571" s="32"/>
      <c r="D1571" s="33"/>
      <c r="E1571" s="34"/>
      <c r="F1571" s="34"/>
      <c r="G1571" s="35"/>
      <c r="H1571" s="34"/>
      <c r="I1571" s="37"/>
    </row>
    <row r="1572" ht="22.5" customHeight="1">
      <c r="A1572" s="30"/>
      <c r="B1572" s="31"/>
      <c r="C1572" s="32"/>
      <c r="D1572" s="33"/>
      <c r="E1572" s="34"/>
      <c r="F1572" s="34"/>
      <c r="G1572" s="35"/>
      <c r="H1572" s="34"/>
      <c r="I1572" s="37"/>
    </row>
    <row r="1573" ht="22.5" customHeight="1">
      <c r="A1573" s="30"/>
      <c r="B1573" s="31"/>
      <c r="C1573" s="32"/>
      <c r="D1573" s="33"/>
      <c r="E1573" s="34"/>
      <c r="F1573" s="34"/>
      <c r="G1573" s="35"/>
      <c r="H1573" s="34"/>
      <c r="I1573" s="37"/>
    </row>
    <row r="1574" ht="22.5" customHeight="1">
      <c r="A1574" s="30"/>
      <c r="B1574" s="31"/>
      <c r="C1574" s="32"/>
      <c r="D1574" s="33"/>
      <c r="E1574" s="34"/>
      <c r="F1574" s="34"/>
      <c r="G1574" s="35"/>
      <c r="H1574" s="34"/>
      <c r="I1574" s="37"/>
    </row>
    <row r="1575" ht="22.5" customHeight="1">
      <c r="A1575" s="30"/>
      <c r="B1575" s="31"/>
      <c r="C1575" s="32"/>
      <c r="D1575" s="33"/>
      <c r="E1575" s="34"/>
      <c r="F1575" s="34"/>
      <c r="G1575" s="35"/>
      <c r="H1575" s="34"/>
      <c r="I1575" s="37"/>
    </row>
    <row r="1576" ht="22.5" customHeight="1">
      <c r="A1576" s="30"/>
      <c r="B1576" s="40"/>
      <c r="C1576" s="32"/>
      <c r="D1576" s="33"/>
      <c r="E1576" s="34"/>
      <c r="F1576" s="34"/>
      <c r="G1576" s="35"/>
      <c r="H1576" s="34"/>
      <c r="I1576" s="37"/>
    </row>
    <row r="1577" ht="22.5" customHeight="1">
      <c r="A1577" s="30"/>
      <c r="B1577" s="31"/>
      <c r="C1577" s="32"/>
      <c r="D1577" s="33"/>
      <c r="E1577" s="34"/>
      <c r="F1577" s="34"/>
      <c r="G1577" s="35"/>
      <c r="H1577" s="34"/>
      <c r="I1577" s="37"/>
    </row>
    <row r="1578" ht="22.5" customHeight="1">
      <c r="A1578" s="30"/>
      <c r="B1578" s="31"/>
      <c r="C1578" s="32"/>
      <c r="D1578" s="33"/>
      <c r="E1578" s="34"/>
      <c r="F1578" s="34"/>
      <c r="G1578" s="35"/>
      <c r="H1578" s="34"/>
      <c r="I1578" s="37"/>
    </row>
    <row r="1579" ht="22.5" customHeight="1">
      <c r="A1579" s="30"/>
      <c r="B1579" s="31"/>
      <c r="C1579" s="32"/>
      <c r="D1579" s="33"/>
      <c r="E1579" s="34"/>
      <c r="F1579" s="34"/>
      <c r="G1579" s="35"/>
      <c r="H1579" s="34"/>
      <c r="I1579" s="37"/>
    </row>
    <row r="1580" ht="22.5" customHeight="1">
      <c r="A1580" s="30"/>
      <c r="B1580" s="40"/>
      <c r="C1580" s="32"/>
      <c r="D1580" s="33"/>
      <c r="E1580" s="34"/>
      <c r="F1580" s="34"/>
      <c r="G1580" s="35"/>
      <c r="H1580" s="34"/>
      <c r="I1580" s="37"/>
    </row>
    <row r="1581" ht="22.5" customHeight="1">
      <c r="A1581" s="30"/>
      <c r="B1581" s="31"/>
      <c r="C1581" s="32"/>
      <c r="D1581" s="33"/>
      <c r="E1581" s="34"/>
      <c r="F1581" s="34"/>
      <c r="G1581" s="35"/>
      <c r="H1581" s="34"/>
      <c r="I1581" s="37"/>
    </row>
    <row r="1582" ht="22.5" customHeight="1">
      <c r="A1582" s="30"/>
      <c r="B1582" s="31"/>
      <c r="C1582" s="32"/>
      <c r="D1582" s="33"/>
      <c r="E1582" s="34"/>
      <c r="F1582" s="34"/>
      <c r="G1582" s="35"/>
      <c r="H1582" s="34"/>
      <c r="I1582" s="37"/>
    </row>
    <row r="1583" ht="22.5" customHeight="1">
      <c r="A1583" s="30"/>
      <c r="B1583" s="31"/>
      <c r="C1583" s="32"/>
      <c r="D1583" s="33"/>
      <c r="E1583" s="34"/>
      <c r="F1583" s="34"/>
      <c r="G1583" s="35"/>
      <c r="H1583" s="34"/>
      <c r="I1583" s="37"/>
    </row>
    <row r="1584" ht="22.5" customHeight="1">
      <c r="A1584" s="30"/>
      <c r="B1584" s="31"/>
      <c r="C1584" s="32"/>
      <c r="D1584" s="33"/>
      <c r="E1584" s="34"/>
      <c r="F1584" s="34"/>
      <c r="G1584" s="35"/>
      <c r="H1584" s="34"/>
      <c r="I1584" s="37"/>
    </row>
    <row r="1585" ht="22.5" customHeight="1">
      <c r="A1585" s="30"/>
      <c r="B1585" s="31"/>
      <c r="C1585" s="32"/>
      <c r="D1585" s="33"/>
      <c r="E1585" s="34"/>
      <c r="F1585" s="34"/>
      <c r="G1585" s="35"/>
      <c r="H1585" s="34"/>
      <c r="I1585" s="37"/>
    </row>
    <row r="1586" ht="22.5" customHeight="1">
      <c r="A1586" s="30"/>
      <c r="B1586" s="31"/>
      <c r="C1586" s="32"/>
      <c r="D1586" s="33"/>
      <c r="E1586" s="34"/>
      <c r="F1586" s="34"/>
      <c r="G1586" s="35"/>
      <c r="H1586" s="34"/>
      <c r="I1586" s="37"/>
    </row>
    <row r="1587" ht="22.5" customHeight="1">
      <c r="A1587" s="30"/>
      <c r="B1587" s="31"/>
      <c r="C1587" s="32"/>
      <c r="D1587" s="33"/>
      <c r="E1587" s="34"/>
      <c r="F1587" s="34"/>
      <c r="G1587" s="35"/>
      <c r="H1587" s="34"/>
      <c r="I1587" s="37"/>
    </row>
    <row r="1588" ht="22.5" customHeight="1">
      <c r="A1588" s="30"/>
      <c r="B1588" s="31"/>
      <c r="C1588" s="32"/>
      <c r="D1588" s="33"/>
      <c r="E1588" s="34"/>
      <c r="F1588" s="34"/>
      <c r="G1588" s="35"/>
      <c r="H1588" s="34"/>
      <c r="I1588" s="37"/>
    </row>
    <row r="1589" ht="22.5" customHeight="1">
      <c r="A1589" s="30"/>
      <c r="B1589" s="31"/>
      <c r="C1589" s="32"/>
      <c r="D1589" s="33"/>
      <c r="E1589" s="34"/>
      <c r="F1589" s="34"/>
      <c r="G1589" s="35"/>
      <c r="H1589" s="34"/>
      <c r="I1589" s="37"/>
    </row>
    <row r="1590" ht="22.5" customHeight="1">
      <c r="A1590" s="30"/>
      <c r="B1590" s="31"/>
      <c r="C1590" s="32"/>
      <c r="D1590" s="33"/>
      <c r="E1590" s="34"/>
      <c r="F1590" s="34"/>
      <c r="G1590" s="35"/>
      <c r="H1590" s="34"/>
      <c r="I1590" s="37"/>
    </row>
    <row r="1591" ht="22.5" customHeight="1">
      <c r="A1591" s="30"/>
      <c r="B1591" s="31"/>
      <c r="C1591" s="32"/>
      <c r="D1591" s="33"/>
      <c r="E1591" s="34"/>
      <c r="F1591" s="34"/>
      <c r="G1591" s="35"/>
      <c r="H1591" s="34"/>
      <c r="I1591" s="37"/>
    </row>
    <row r="1592" ht="22.5" customHeight="1">
      <c r="A1592" s="30"/>
      <c r="B1592" s="31"/>
      <c r="C1592" s="32"/>
      <c r="D1592" s="33"/>
      <c r="E1592" s="34"/>
      <c r="F1592" s="34"/>
      <c r="G1592" s="35"/>
      <c r="H1592" s="34"/>
      <c r="I1592" s="37"/>
    </row>
    <row r="1593" ht="22.5" customHeight="1">
      <c r="A1593" s="30"/>
      <c r="B1593" s="31"/>
      <c r="C1593" s="32"/>
      <c r="D1593" s="33"/>
      <c r="E1593" s="34"/>
      <c r="F1593" s="34"/>
      <c r="G1593" s="35"/>
      <c r="H1593" s="34"/>
      <c r="I1593" s="37"/>
    </row>
    <row r="1594" ht="22.5" customHeight="1">
      <c r="A1594" s="30"/>
      <c r="B1594" s="31"/>
      <c r="C1594" s="32"/>
      <c r="D1594" s="33"/>
      <c r="E1594" s="34"/>
      <c r="F1594" s="34"/>
      <c r="G1594" s="35"/>
      <c r="H1594" s="34"/>
      <c r="I1594" s="37"/>
    </row>
    <row r="1595" ht="22.5" customHeight="1">
      <c r="A1595" s="30"/>
      <c r="B1595" s="40"/>
      <c r="C1595" s="32"/>
      <c r="D1595" s="33"/>
      <c r="E1595" s="34"/>
      <c r="F1595" s="34"/>
      <c r="G1595" s="35"/>
      <c r="H1595" s="34"/>
      <c r="I1595" s="37"/>
    </row>
    <row r="1596" ht="22.5" customHeight="1">
      <c r="A1596" s="30"/>
      <c r="B1596" s="31"/>
      <c r="C1596" s="32"/>
      <c r="D1596" s="33"/>
      <c r="E1596" s="34"/>
      <c r="F1596" s="34"/>
      <c r="G1596" s="35"/>
      <c r="H1596" s="34"/>
      <c r="I1596" s="37"/>
    </row>
    <row r="1597" ht="22.5" customHeight="1">
      <c r="A1597" s="30"/>
      <c r="B1597" s="40"/>
      <c r="C1597" s="32"/>
      <c r="D1597" s="33"/>
      <c r="E1597" s="34"/>
      <c r="F1597" s="34"/>
      <c r="G1597" s="35"/>
      <c r="H1597" s="34"/>
      <c r="I1597" s="37"/>
    </row>
    <row r="1598" ht="22.5" customHeight="1">
      <c r="A1598" s="30"/>
      <c r="B1598" s="31"/>
      <c r="C1598" s="32"/>
      <c r="D1598" s="33"/>
      <c r="E1598" s="34"/>
      <c r="F1598" s="34"/>
      <c r="G1598" s="35"/>
      <c r="H1598" s="34"/>
      <c r="I1598" s="37"/>
    </row>
    <row r="1599" ht="22.5" customHeight="1">
      <c r="A1599" s="30"/>
      <c r="B1599" s="31"/>
      <c r="C1599" s="32"/>
      <c r="D1599" s="33"/>
      <c r="E1599" s="34"/>
      <c r="F1599" s="34"/>
      <c r="G1599" s="35"/>
      <c r="H1599" s="34"/>
      <c r="I1599" s="37"/>
    </row>
    <row r="1600" ht="22.5" customHeight="1">
      <c r="A1600" s="30"/>
      <c r="B1600" s="31"/>
      <c r="C1600" s="32"/>
      <c r="D1600" s="33"/>
      <c r="E1600" s="34"/>
      <c r="F1600" s="34"/>
      <c r="G1600" s="35"/>
      <c r="H1600" s="34"/>
      <c r="I1600" s="37"/>
    </row>
    <row r="1601" ht="22.5" customHeight="1">
      <c r="A1601" s="30"/>
      <c r="B1601" s="31"/>
      <c r="C1601" s="32"/>
      <c r="D1601" s="33"/>
      <c r="E1601" s="34"/>
      <c r="F1601" s="34"/>
      <c r="G1601" s="35"/>
      <c r="H1601" s="34"/>
      <c r="I1601" s="37"/>
    </row>
    <row r="1602" ht="22.5" customHeight="1">
      <c r="A1602" s="30"/>
      <c r="B1602" s="40"/>
      <c r="C1602" s="32"/>
      <c r="D1602" s="33"/>
      <c r="E1602" s="34"/>
      <c r="F1602" s="34"/>
      <c r="G1602" s="35"/>
      <c r="H1602" s="34"/>
      <c r="I1602" s="37"/>
    </row>
    <row r="1603" ht="22.5" customHeight="1">
      <c r="A1603" s="30"/>
      <c r="B1603" s="31"/>
      <c r="C1603" s="32"/>
      <c r="D1603" s="33"/>
      <c r="E1603" s="34"/>
      <c r="F1603" s="34"/>
      <c r="G1603" s="35"/>
      <c r="H1603" s="34"/>
      <c r="I1603" s="37"/>
    </row>
    <row r="1604" ht="22.5" customHeight="1">
      <c r="A1604" s="30"/>
      <c r="B1604" s="31"/>
      <c r="C1604" s="32"/>
      <c r="D1604" s="33"/>
      <c r="E1604" s="34"/>
      <c r="F1604" s="34"/>
      <c r="G1604" s="35"/>
      <c r="H1604" s="34"/>
      <c r="I1604" s="37"/>
    </row>
    <row r="1605" ht="22.5" customHeight="1">
      <c r="A1605" s="30"/>
      <c r="B1605" s="31"/>
      <c r="C1605" s="32"/>
      <c r="D1605" s="33"/>
      <c r="E1605" s="34"/>
      <c r="F1605" s="34"/>
      <c r="G1605" s="35"/>
      <c r="H1605" s="34"/>
      <c r="I1605" s="37"/>
    </row>
    <row r="1606" ht="22.5" customHeight="1">
      <c r="A1606" s="30"/>
      <c r="B1606" s="31"/>
      <c r="C1606" s="32"/>
      <c r="D1606" s="33"/>
      <c r="E1606" s="34"/>
      <c r="F1606" s="34"/>
      <c r="G1606" s="35"/>
      <c r="H1606" s="34"/>
      <c r="I1606" s="37"/>
    </row>
    <row r="1607" ht="22.5" customHeight="1">
      <c r="A1607" s="30"/>
      <c r="B1607" s="31"/>
      <c r="C1607" s="32"/>
      <c r="D1607" s="33"/>
      <c r="E1607" s="34"/>
      <c r="F1607" s="34"/>
      <c r="G1607" s="35"/>
      <c r="H1607" s="34"/>
      <c r="I1607" s="37"/>
    </row>
    <row r="1608" ht="22.5" customHeight="1">
      <c r="A1608" s="30"/>
      <c r="B1608" s="31"/>
      <c r="C1608" s="32"/>
      <c r="D1608" s="33"/>
      <c r="E1608" s="34"/>
      <c r="F1608" s="34"/>
      <c r="G1608" s="35"/>
      <c r="H1608" s="34"/>
      <c r="I1608" s="37"/>
    </row>
    <row r="1609" ht="22.5" customHeight="1">
      <c r="A1609" s="30"/>
      <c r="B1609" s="31"/>
      <c r="C1609" s="32"/>
      <c r="D1609" s="33"/>
      <c r="E1609" s="34"/>
      <c r="F1609" s="34"/>
      <c r="G1609" s="35"/>
      <c r="H1609" s="34"/>
      <c r="I1609" s="37"/>
    </row>
    <row r="1610" ht="22.5" customHeight="1">
      <c r="A1610" s="30"/>
      <c r="B1610" s="31"/>
      <c r="C1610" s="32"/>
      <c r="D1610" s="33"/>
      <c r="E1610" s="34"/>
      <c r="F1610" s="34"/>
      <c r="G1610" s="35"/>
      <c r="H1610" s="34"/>
      <c r="I1610" s="37"/>
    </row>
    <row r="1611" ht="22.5" customHeight="1">
      <c r="A1611" s="30"/>
      <c r="B1611" s="31"/>
      <c r="C1611" s="32"/>
      <c r="D1611" s="33"/>
      <c r="E1611" s="34"/>
      <c r="F1611" s="34"/>
      <c r="G1611" s="35"/>
      <c r="H1611" s="34"/>
      <c r="I1611" s="37"/>
    </row>
    <row r="1612" ht="22.5" customHeight="1">
      <c r="A1612" s="30"/>
      <c r="B1612" s="31"/>
      <c r="C1612" s="32"/>
      <c r="D1612" s="33"/>
      <c r="E1612" s="34"/>
      <c r="F1612" s="34"/>
      <c r="G1612" s="35"/>
      <c r="H1612" s="34"/>
      <c r="I1612" s="37"/>
    </row>
    <row r="1613" ht="22.5" customHeight="1">
      <c r="A1613" s="30"/>
      <c r="B1613" s="31"/>
      <c r="C1613" s="32"/>
      <c r="D1613" s="33"/>
      <c r="E1613" s="34"/>
      <c r="F1613" s="34"/>
      <c r="G1613" s="35"/>
      <c r="H1613" s="34"/>
      <c r="I1613" s="37"/>
    </row>
    <row r="1614" ht="22.5" customHeight="1">
      <c r="A1614" s="30"/>
      <c r="B1614" s="31"/>
      <c r="C1614" s="32"/>
      <c r="D1614" s="33"/>
      <c r="E1614" s="34"/>
      <c r="F1614" s="34"/>
      <c r="G1614" s="35"/>
      <c r="H1614" s="34"/>
      <c r="I1614" s="37"/>
    </row>
    <row r="1615" ht="22.5" customHeight="1">
      <c r="A1615" s="30"/>
      <c r="B1615" s="31"/>
      <c r="C1615" s="32"/>
      <c r="D1615" s="33"/>
      <c r="E1615" s="34"/>
      <c r="F1615" s="34"/>
      <c r="G1615" s="35"/>
      <c r="H1615" s="34"/>
      <c r="I1615" s="37"/>
    </row>
    <row r="1616" ht="22.5" customHeight="1">
      <c r="A1616" s="30"/>
      <c r="B1616" s="31"/>
      <c r="C1616" s="32"/>
      <c r="D1616" s="33"/>
      <c r="E1616" s="34"/>
      <c r="F1616" s="34"/>
      <c r="G1616" s="35"/>
      <c r="H1616" s="34"/>
      <c r="I1616" s="37"/>
    </row>
    <row r="1617" ht="22.5" customHeight="1">
      <c r="A1617" s="30"/>
      <c r="B1617" s="31"/>
      <c r="C1617" s="32"/>
      <c r="D1617" s="33"/>
      <c r="E1617" s="34"/>
      <c r="F1617" s="34"/>
      <c r="G1617" s="35"/>
      <c r="H1617" s="34"/>
      <c r="I1617" s="37"/>
    </row>
    <row r="1618" ht="22.5" customHeight="1">
      <c r="A1618" s="30"/>
      <c r="B1618" s="31"/>
      <c r="C1618" s="32"/>
      <c r="D1618" s="33"/>
      <c r="E1618" s="34"/>
      <c r="F1618" s="34"/>
      <c r="G1618" s="35"/>
      <c r="H1618" s="34"/>
      <c r="I1618" s="37"/>
    </row>
    <row r="1619" ht="22.5" customHeight="1">
      <c r="A1619" s="30"/>
      <c r="B1619" s="31"/>
      <c r="C1619" s="32"/>
      <c r="D1619" s="33"/>
      <c r="E1619" s="34"/>
      <c r="F1619" s="34"/>
      <c r="G1619" s="35"/>
      <c r="H1619" s="34"/>
      <c r="I1619" s="37"/>
    </row>
    <row r="1620" ht="22.5" customHeight="1">
      <c r="A1620" s="30"/>
      <c r="B1620" s="31"/>
      <c r="C1620" s="32"/>
      <c r="D1620" s="33"/>
      <c r="E1620" s="34"/>
      <c r="F1620" s="34"/>
      <c r="G1620" s="35"/>
      <c r="H1620" s="34"/>
      <c r="I1620" s="37"/>
    </row>
    <row r="1621" ht="22.5" customHeight="1">
      <c r="A1621" s="30"/>
      <c r="B1621" s="31"/>
      <c r="C1621" s="32"/>
      <c r="D1621" s="33"/>
      <c r="E1621" s="34"/>
      <c r="F1621" s="34"/>
      <c r="G1621" s="35"/>
      <c r="H1621" s="34"/>
      <c r="I1621" s="37"/>
    </row>
    <row r="1622" ht="22.5" customHeight="1">
      <c r="A1622" s="30"/>
      <c r="B1622" s="31"/>
      <c r="C1622" s="32"/>
      <c r="D1622" s="33"/>
      <c r="E1622" s="34"/>
      <c r="F1622" s="34"/>
      <c r="G1622" s="35"/>
      <c r="H1622" s="34"/>
      <c r="I1622" s="37"/>
    </row>
    <row r="1623" ht="22.5" customHeight="1">
      <c r="A1623" s="30"/>
      <c r="B1623" s="31"/>
      <c r="C1623" s="32"/>
      <c r="D1623" s="33"/>
      <c r="E1623" s="34"/>
      <c r="F1623" s="34"/>
      <c r="G1623" s="35"/>
      <c r="H1623" s="34"/>
      <c r="I1623" s="37"/>
    </row>
    <row r="1624" ht="22.5" customHeight="1">
      <c r="A1624" s="30"/>
      <c r="B1624" s="31"/>
      <c r="C1624" s="30"/>
      <c r="D1624" s="33"/>
      <c r="E1624" s="34"/>
      <c r="F1624" s="34"/>
      <c r="G1624" s="36"/>
      <c r="H1624" s="34"/>
      <c r="I1624" s="37"/>
    </row>
    <row r="1625" ht="22.5" customHeight="1">
      <c r="A1625" s="30"/>
      <c r="B1625" s="31"/>
      <c r="C1625" s="30"/>
      <c r="D1625" s="33"/>
      <c r="E1625" s="34"/>
      <c r="F1625" s="34"/>
      <c r="G1625" s="36"/>
      <c r="H1625" s="34"/>
      <c r="I1625" s="37"/>
    </row>
    <row r="1626" ht="22.5" customHeight="1">
      <c r="A1626" s="30"/>
      <c r="B1626" s="31"/>
      <c r="C1626" s="30"/>
      <c r="D1626" s="33"/>
      <c r="E1626" s="34"/>
      <c r="F1626" s="34"/>
      <c r="G1626" s="36"/>
      <c r="H1626" s="34"/>
      <c r="I1626" s="37"/>
    </row>
    <row r="1627" ht="22.5" customHeight="1">
      <c r="A1627" s="30"/>
      <c r="B1627" s="31"/>
      <c r="C1627" s="30"/>
      <c r="D1627" s="33"/>
      <c r="E1627" s="34"/>
      <c r="F1627" s="34"/>
      <c r="G1627" s="36"/>
      <c r="H1627" s="34"/>
      <c r="I1627" s="37"/>
    </row>
    <row r="1628" ht="22.5" customHeight="1">
      <c r="A1628" s="30"/>
      <c r="B1628" s="31"/>
      <c r="C1628" s="30"/>
      <c r="D1628" s="33"/>
      <c r="E1628" s="34"/>
      <c r="F1628" s="34"/>
      <c r="G1628" s="36"/>
      <c r="H1628" s="34"/>
      <c r="I1628" s="37"/>
    </row>
    <row r="1629" ht="22.5" customHeight="1">
      <c r="A1629" s="30"/>
      <c r="B1629" s="31"/>
      <c r="C1629" s="30"/>
      <c r="D1629" s="33"/>
      <c r="E1629" s="34"/>
      <c r="F1629" s="34"/>
      <c r="G1629" s="36"/>
      <c r="H1629" s="34"/>
      <c r="I1629" s="37"/>
    </row>
    <row r="1630" ht="22.5" customHeight="1">
      <c r="A1630" s="30"/>
      <c r="B1630" s="31"/>
      <c r="C1630" s="30"/>
      <c r="D1630" s="33"/>
      <c r="E1630" s="34"/>
      <c r="F1630" s="34"/>
      <c r="G1630" s="36"/>
      <c r="H1630" s="34"/>
      <c r="I1630" s="37"/>
    </row>
    <row r="1631" ht="22.5" customHeight="1">
      <c r="A1631" s="30"/>
      <c r="B1631" s="31"/>
      <c r="C1631" s="30"/>
      <c r="D1631" s="33"/>
      <c r="E1631" s="34"/>
      <c r="F1631" s="34"/>
      <c r="G1631" s="36"/>
      <c r="H1631" s="34"/>
      <c r="I1631" s="37"/>
    </row>
    <row r="1632" ht="22.5" customHeight="1">
      <c r="A1632" s="30"/>
      <c r="B1632" s="31"/>
      <c r="C1632" s="30"/>
      <c r="D1632" s="33"/>
      <c r="E1632" s="34"/>
      <c r="F1632" s="34"/>
      <c r="G1632" s="36"/>
      <c r="H1632" s="34"/>
      <c r="I1632" s="37"/>
    </row>
    <row r="1633" ht="22.5" customHeight="1">
      <c r="A1633" s="30"/>
      <c r="B1633" s="31"/>
      <c r="C1633" s="30"/>
      <c r="D1633" s="33"/>
      <c r="E1633" s="34"/>
      <c r="F1633" s="34"/>
      <c r="G1633" s="36"/>
      <c r="H1633" s="34"/>
      <c r="I1633" s="37"/>
    </row>
    <row r="1634" ht="22.5" customHeight="1">
      <c r="A1634" s="30"/>
      <c r="B1634" s="31"/>
      <c r="C1634" s="30"/>
      <c r="D1634" s="33"/>
      <c r="E1634" s="34"/>
      <c r="F1634" s="34"/>
      <c r="G1634" s="36"/>
      <c r="H1634" s="34"/>
      <c r="I1634" s="37"/>
    </row>
    <row r="1635" ht="22.5" customHeight="1">
      <c r="A1635" s="30"/>
      <c r="B1635" s="31"/>
      <c r="C1635" s="30"/>
      <c r="D1635" s="33"/>
      <c r="E1635" s="34"/>
      <c r="F1635" s="34"/>
      <c r="G1635" s="36"/>
      <c r="H1635" s="34"/>
      <c r="I1635" s="37"/>
    </row>
    <row r="1636" ht="22.5" customHeight="1">
      <c r="A1636" s="30"/>
      <c r="B1636" s="31"/>
      <c r="C1636" s="30"/>
      <c r="D1636" s="33"/>
      <c r="E1636" s="34"/>
      <c r="F1636" s="34"/>
      <c r="G1636" s="36"/>
      <c r="H1636" s="34"/>
      <c r="I1636" s="37"/>
    </row>
    <row r="1637" ht="22.5" customHeight="1">
      <c r="A1637" s="30"/>
      <c r="B1637" s="31"/>
      <c r="C1637" s="30"/>
      <c r="D1637" s="33"/>
      <c r="E1637" s="34"/>
      <c r="F1637" s="34"/>
      <c r="G1637" s="36"/>
      <c r="H1637" s="34"/>
      <c r="I1637" s="37"/>
    </row>
    <row r="1638" ht="22.5" customHeight="1">
      <c r="A1638" s="30"/>
      <c r="B1638" s="31"/>
      <c r="C1638" s="30"/>
      <c r="D1638" s="33"/>
      <c r="E1638" s="34"/>
      <c r="F1638" s="34"/>
      <c r="G1638" s="36"/>
      <c r="H1638" s="34"/>
      <c r="I1638" s="37"/>
    </row>
    <row r="1639" ht="22.5" customHeight="1">
      <c r="A1639" s="30"/>
      <c r="B1639" s="31"/>
      <c r="C1639" s="30"/>
      <c r="D1639" s="33"/>
      <c r="E1639" s="34"/>
      <c r="F1639" s="34"/>
      <c r="G1639" s="36"/>
      <c r="H1639" s="34"/>
      <c r="I1639" s="37"/>
    </row>
    <row r="1640" ht="22.5" customHeight="1">
      <c r="A1640" s="30"/>
      <c r="B1640" s="31"/>
      <c r="C1640" s="30"/>
      <c r="D1640" s="33"/>
      <c r="E1640" s="34"/>
      <c r="F1640" s="34"/>
      <c r="G1640" s="36"/>
      <c r="H1640" s="34"/>
      <c r="I1640" s="37"/>
    </row>
    <row r="1641" ht="22.5" customHeight="1">
      <c r="A1641" s="30"/>
      <c r="B1641" s="31"/>
      <c r="C1641" s="30"/>
      <c r="D1641" s="33"/>
      <c r="E1641" s="34"/>
      <c r="F1641" s="34"/>
      <c r="G1641" s="36"/>
      <c r="H1641" s="34"/>
      <c r="I1641" s="37"/>
    </row>
    <row r="1642" ht="22.5" customHeight="1">
      <c r="A1642" s="30"/>
      <c r="B1642" s="31"/>
      <c r="C1642" s="30"/>
      <c r="D1642" s="33"/>
      <c r="E1642" s="34"/>
      <c r="F1642" s="34"/>
      <c r="G1642" s="36"/>
      <c r="H1642" s="34"/>
      <c r="I1642" s="37"/>
    </row>
    <row r="1643" ht="22.5" customHeight="1">
      <c r="A1643" s="30"/>
      <c r="B1643" s="31"/>
      <c r="C1643" s="30"/>
      <c r="D1643" s="33"/>
      <c r="E1643" s="34"/>
      <c r="F1643" s="34"/>
      <c r="G1643" s="36"/>
      <c r="H1643" s="34"/>
      <c r="I1643" s="37"/>
    </row>
    <row r="1644" ht="22.5" customHeight="1">
      <c r="A1644" s="30"/>
      <c r="B1644" s="31"/>
      <c r="C1644" s="30"/>
      <c r="D1644" s="33"/>
      <c r="E1644" s="34"/>
      <c r="F1644" s="34"/>
      <c r="G1644" s="36"/>
      <c r="H1644" s="34"/>
      <c r="I1644" s="37"/>
    </row>
    <row r="1645" ht="22.5" customHeight="1">
      <c r="A1645" s="30"/>
      <c r="B1645" s="31"/>
      <c r="C1645" s="30"/>
      <c r="D1645" s="33"/>
      <c r="E1645" s="34"/>
      <c r="F1645" s="34"/>
      <c r="G1645" s="36"/>
      <c r="H1645" s="34"/>
      <c r="I1645" s="37"/>
    </row>
    <row r="1646" ht="22.5" customHeight="1">
      <c r="A1646" s="30"/>
      <c r="B1646" s="31"/>
      <c r="C1646" s="30"/>
      <c r="D1646" s="33"/>
      <c r="E1646" s="34"/>
      <c r="F1646" s="34"/>
      <c r="G1646" s="36"/>
      <c r="H1646" s="34"/>
      <c r="I1646" s="37"/>
    </row>
    <row r="1647" ht="22.5" customHeight="1">
      <c r="A1647" s="30"/>
      <c r="B1647" s="31"/>
      <c r="C1647" s="30"/>
      <c r="D1647" s="33"/>
      <c r="E1647" s="34"/>
      <c r="F1647" s="34"/>
      <c r="G1647" s="36"/>
      <c r="H1647" s="34"/>
      <c r="I1647" s="37"/>
    </row>
    <row r="1648" ht="22.5" customHeight="1">
      <c r="A1648" s="30"/>
      <c r="B1648" s="31"/>
      <c r="C1648" s="30"/>
      <c r="D1648" s="33"/>
      <c r="E1648" s="34"/>
      <c r="F1648" s="34"/>
      <c r="G1648" s="36"/>
      <c r="H1648" s="34"/>
      <c r="I1648" s="37"/>
    </row>
    <row r="1649" ht="22.5" customHeight="1">
      <c r="A1649" s="30"/>
      <c r="B1649" s="31"/>
      <c r="C1649" s="30"/>
      <c r="D1649" s="33"/>
      <c r="E1649" s="34"/>
      <c r="F1649" s="34"/>
      <c r="G1649" s="36"/>
      <c r="H1649" s="34"/>
      <c r="I1649" s="37"/>
    </row>
    <row r="1650" ht="22.5" customHeight="1">
      <c r="A1650" s="30"/>
      <c r="B1650" s="31"/>
      <c r="C1650" s="30"/>
      <c r="D1650" s="33"/>
      <c r="E1650" s="34"/>
      <c r="F1650" s="34"/>
      <c r="G1650" s="36"/>
      <c r="H1650" s="34"/>
      <c r="I1650" s="37"/>
    </row>
    <row r="1651" ht="22.5" customHeight="1">
      <c r="A1651" s="30"/>
      <c r="B1651" s="31"/>
      <c r="C1651" s="30"/>
      <c r="D1651" s="33"/>
      <c r="E1651" s="34"/>
      <c r="F1651" s="34"/>
      <c r="G1651" s="36"/>
      <c r="H1651" s="34"/>
      <c r="I1651" s="37"/>
    </row>
    <row r="1652" ht="22.5" customHeight="1">
      <c r="A1652" s="30"/>
      <c r="B1652" s="31"/>
      <c r="C1652" s="30"/>
      <c r="D1652" s="33"/>
      <c r="E1652" s="34"/>
      <c r="F1652" s="34"/>
      <c r="G1652" s="36"/>
      <c r="H1652" s="34"/>
      <c r="I1652" s="37"/>
    </row>
    <row r="1653" ht="22.5" customHeight="1">
      <c r="A1653" s="30"/>
      <c r="B1653" s="31"/>
      <c r="C1653" s="30"/>
      <c r="D1653" s="33"/>
      <c r="E1653" s="34"/>
      <c r="F1653" s="34"/>
      <c r="G1653" s="36"/>
      <c r="H1653" s="34"/>
      <c r="I1653" s="37"/>
    </row>
    <row r="1654" ht="22.5" customHeight="1">
      <c r="A1654" s="30"/>
      <c r="B1654" s="31"/>
      <c r="C1654" s="30"/>
      <c r="D1654" s="33"/>
      <c r="E1654" s="34"/>
      <c r="F1654" s="34"/>
      <c r="G1654" s="36"/>
      <c r="H1654" s="34"/>
      <c r="I1654" s="37"/>
    </row>
    <row r="1655" ht="22.5" customHeight="1">
      <c r="A1655" s="30"/>
      <c r="B1655" s="31"/>
      <c r="C1655" s="30"/>
      <c r="D1655" s="33"/>
      <c r="E1655" s="34"/>
      <c r="F1655" s="34"/>
      <c r="G1655" s="36"/>
      <c r="H1655" s="34"/>
      <c r="I1655" s="37"/>
    </row>
    <row r="1656" ht="22.5" customHeight="1">
      <c r="A1656" s="30"/>
      <c r="B1656" s="31"/>
      <c r="C1656" s="30"/>
      <c r="D1656" s="33"/>
      <c r="E1656" s="34"/>
      <c r="F1656" s="34"/>
      <c r="G1656" s="36"/>
      <c r="H1656" s="34"/>
      <c r="I1656" s="37"/>
    </row>
    <row r="1657" ht="22.5" customHeight="1">
      <c r="A1657" s="30"/>
      <c r="B1657" s="31"/>
      <c r="C1657" s="30"/>
      <c r="D1657" s="33"/>
      <c r="E1657" s="34"/>
      <c r="F1657" s="34"/>
      <c r="G1657" s="36"/>
      <c r="H1657" s="34"/>
      <c r="I1657" s="37"/>
    </row>
    <row r="1658" ht="22.5" customHeight="1">
      <c r="A1658" s="30"/>
      <c r="B1658" s="31"/>
      <c r="C1658" s="30"/>
      <c r="D1658" s="33"/>
      <c r="E1658" s="34"/>
      <c r="F1658" s="34"/>
      <c r="G1658" s="36"/>
      <c r="H1658" s="34"/>
      <c r="I1658" s="37"/>
    </row>
    <row r="1659" ht="22.5" customHeight="1">
      <c r="A1659" s="30"/>
      <c r="B1659" s="31"/>
      <c r="C1659" s="30"/>
      <c r="D1659" s="33"/>
      <c r="E1659" s="34"/>
      <c r="F1659" s="34"/>
      <c r="G1659" s="36"/>
      <c r="H1659" s="34"/>
      <c r="I1659" s="37"/>
    </row>
    <row r="1660" ht="22.5" customHeight="1">
      <c r="A1660" s="30"/>
      <c r="B1660" s="31"/>
      <c r="C1660" s="30"/>
      <c r="D1660" s="33"/>
      <c r="E1660" s="34"/>
      <c r="F1660" s="34"/>
      <c r="G1660" s="36"/>
      <c r="H1660" s="34"/>
      <c r="I1660" s="37"/>
    </row>
    <row r="1661" ht="22.5" customHeight="1">
      <c r="A1661" s="30"/>
      <c r="B1661" s="31"/>
      <c r="C1661" s="30"/>
      <c r="D1661" s="33"/>
      <c r="E1661" s="34"/>
      <c r="F1661" s="34"/>
      <c r="G1661" s="36"/>
      <c r="H1661" s="34"/>
      <c r="I1661" s="37"/>
    </row>
    <row r="1662" ht="22.5" customHeight="1">
      <c r="A1662" s="30"/>
      <c r="B1662" s="31"/>
      <c r="C1662" s="30"/>
      <c r="D1662" s="33"/>
      <c r="E1662" s="34"/>
      <c r="F1662" s="34"/>
      <c r="G1662" s="36"/>
      <c r="H1662" s="34"/>
      <c r="I1662" s="37"/>
    </row>
    <row r="1663" ht="22.5" customHeight="1">
      <c r="A1663" s="30"/>
      <c r="B1663" s="31"/>
      <c r="C1663" s="30"/>
      <c r="D1663" s="33"/>
      <c r="E1663" s="34"/>
      <c r="F1663" s="34"/>
      <c r="G1663" s="36"/>
      <c r="H1663" s="34"/>
      <c r="I1663" s="37"/>
    </row>
    <row r="1664" ht="22.5" customHeight="1">
      <c r="A1664" s="30"/>
      <c r="B1664" s="31"/>
      <c r="C1664" s="30"/>
      <c r="D1664" s="33"/>
      <c r="E1664" s="34"/>
      <c r="F1664" s="34"/>
      <c r="G1664" s="36"/>
      <c r="H1664" s="34"/>
      <c r="I1664" s="37"/>
    </row>
    <row r="1665" ht="22.5" customHeight="1">
      <c r="A1665" s="30"/>
      <c r="B1665" s="31"/>
      <c r="C1665" s="30"/>
      <c r="D1665" s="33"/>
      <c r="E1665" s="34"/>
      <c r="F1665" s="34"/>
      <c r="G1665" s="36"/>
      <c r="H1665" s="34"/>
      <c r="I1665" s="37"/>
    </row>
    <row r="1666" ht="22.5" customHeight="1">
      <c r="A1666" s="30"/>
      <c r="B1666" s="31"/>
      <c r="C1666" s="30"/>
      <c r="D1666" s="33"/>
      <c r="E1666" s="34"/>
      <c r="F1666" s="34"/>
      <c r="G1666" s="36"/>
      <c r="H1666" s="34"/>
      <c r="I1666" s="37"/>
    </row>
    <row r="1667" ht="22.5" customHeight="1">
      <c r="A1667" s="30"/>
      <c r="B1667" s="31"/>
      <c r="C1667" s="30"/>
      <c r="D1667" s="33"/>
      <c r="E1667" s="34"/>
      <c r="F1667" s="34"/>
      <c r="G1667" s="36"/>
      <c r="H1667" s="34"/>
      <c r="I1667" s="37"/>
    </row>
    <row r="1668" ht="22.5" customHeight="1">
      <c r="A1668" s="30"/>
      <c r="B1668" s="31"/>
      <c r="C1668" s="30"/>
      <c r="D1668" s="33"/>
      <c r="E1668" s="34"/>
      <c r="F1668" s="34"/>
      <c r="G1668" s="36"/>
      <c r="H1668" s="34"/>
      <c r="I1668" s="37"/>
    </row>
    <row r="1669" ht="22.5" customHeight="1">
      <c r="A1669" s="30"/>
      <c r="B1669" s="31"/>
      <c r="C1669" s="30"/>
      <c r="D1669" s="33"/>
      <c r="E1669" s="34"/>
      <c r="F1669" s="34"/>
      <c r="G1669" s="36"/>
      <c r="H1669" s="34"/>
      <c r="I1669" s="37"/>
    </row>
    <row r="1670" ht="22.5" customHeight="1">
      <c r="A1670" s="30"/>
      <c r="B1670" s="31"/>
      <c r="C1670" s="30"/>
      <c r="D1670" s="33"/>
      <c r="E1670" s="34"/>
      <c r="F1670" s="34"/>
      <c r="G1670" s="36"/>
      <c r="H1670" s="34"/>
      <c r="I1670" s="37"/>
    </row>
    <row r="1671" ht="22.5" customHeight="1">
      <c r="A1671" s="30"/>
      <c r="B1671" s="31"/>
      <c r="C1671" s="30"/>
      <c r="D1671" s="33"/>
      <c r="E1671" s="34"/>
      <c r="F1671" s="34"/>
      <c r="G1671" s="36"/>
      <c r="H1671" s="34"/>
      <c r="I1671" s="37"/>
    </row>
    <row r="1672" ht="22.5" customHeight="1">
      <c r="A1672" s="30"/>
      <c r="B1672" s="31"/>
      <c r="C1672" s="30"/>
      <c r="D1672" s="33"/>
      <c r="E1672" s="34"/>
      <c r="F1672" s="34"/>
      <c r="G1672" s="36"/>
      <c r="H1672" s="34"/>
      <c r="I1672" s="37"/>
    </row>
    <row r="1673" ht="22.5" customHeight="1">
      <c r="A1673" s="30"/>
      <c r="B1673" s="31"/>
      <c r="C1673" s="30"/>
      <c r="D1673" s="33"/>
      <c r="E1673" s="34"/>
      <c r="F1673" s="34"/>
      <c r="G1673" s="36"/>
      <c r="H1673" s="34"/>
      <c r="I1673" s="37"/>
    </row>
    <row r="1674" ht="22.5" customHeight="1">
      <c r="A1674" s="30"/>
      <c r="B1674" s="31"/>
      <c r="C1674" s="30"/>
      <c r="D1674" s="33"/>
      <c r="E1674" s="34"/>
      <c r="F1674" s="34"/>
      <c r="G1674" s="36"/>
      <c r="H1674" s="34"/>
      <c r="I1674" s="37"/>
    </row>
    <row r="1675" ht="22.5" customHeight="1">
      <c r="A1675" s="30"/>
      <c r="B1675" s="31"/>
      <c r="C1675" s="30"/>
      <c r="D1675" s="33"/>
      <c r="E1675" s="34"/>
      <c r="F1675" s="34"/>
      <c r="G1675" s="36"/>
      <c r="H1675" s="34"/>
      <c r="I1675" s="37"/>
    </row>
    <row r="1676" ht="22.5" customHeight="1">
      <c r="A1676" s="30"/>
      <c r="B1676" s="31"/>
      <c r="C1676" s="30"/>
      <c r="D1676" s="33"/>
      <c r="E1676" s="34"/>
      <c r="F1676" s="34"/>
      <c r="G1676" s="36"/>
      <c r="H1676" s="34"/>
      <c r="I1676" s="37"/>
    </row>
    <row r="1677" ht="22.5" customHeight="1">
      <c r="A1677" s="30"/>
      <c r="B1677" s="31"/>
      <c r="C1677" s="30"/>
      <c r="D1677" s="33"/>
      <c r="E1677" s="34"/>
      <c r="F1677" s="34"/>
      <c r="G1677" s="36"/>
      <c r="H1677" s="34"/>
      <c r="I1677" s="37"/>
    </row>
    <row r="1678" ht="22.5" customHeight="1">
      <c r="A1678" s="30"/>
      <c r="B1678" s="31"/>
      <c r="C1678" s="30"/>
      <c r="D1678" s="33"/>
      <c r="E1678" s="34"/>
      <c r="F1678" s="34"/>
      <c r="G1678" s="36"/>
      <c r="H1678" s="34"/>
      <c r="I1678" s="37"/>
    </row>
    <row r="1679" ht="22.5" customHeight="1">
      <c r="A1679" s="30"/>
      <c r="B1679" s="31"/>
      <c r="C1679" s="30"/>
      <c r="D1679" s="33"/>
      <c r="E1679" s="34"/>
      <c r="F1679" s="34"/>
      <c r="G1679" s="36"/>
      <c r="H1679" s="34"/>
      <c r="I1679" s="37"/>
    </row>
    <row r="1680" ht="22.5" customHeight="1">
      <c r="A1680" s="30"/>
      <c r="B1680" s="31"/>
      <c r="C1680" s="30"/>
      <c r="D1680" s="33"/>
      <c r="E1680" s="34"/>
      <c r="F1680" s="34"/>
      <c r="G1680" s="36"/>
      <c r="H1680" s="34"/>
      <c r="I1680" s="37"/>
    </row>
    <row r="1681" ht="22.5" customHeight="1">
      <c r="A1681" s="30"/>
      <c r="B1681" s="31"/>
      <c r="C1681" s="30"/>
      <c r="D1681" s="33"/>
      <c r="E1681" s="34"/>
      <c r="F1681" s="34"/>
      <c r="G1681" s="36"/>
      <c r="H1681" s="34"/>
      <c r="I1681" s="37"/>
    </row>
    <row r="1682" ht="22.5" customHeight="1">
      <c r="A1682" s="30"/>
      <c r="B1682" s="31"/>
      <c r="C1682" s="30"/>
      <c r="D1682" s="33"/>
      <c r="E1682" s="34"/>
      <c r="F1682" s="34"/>
      <c r="G1682" s="36"/>
      <c r="H1682" s="34"/>
      <c r="I1682" s="37"/>
    </row>
    <row r="1683" ht="22.5" customHeight="1">
      <c r="A1683" s="30"/>
      <c r="B1683" s="31"/>
      <c r="C1683" s="30"/>
      <c r="D1683" s="33"/>
      <c r="E1683" s="34"/>
      <c r="F1683" s="34"/>
      <c r="G1683" s="36"/>
      <c r="H1683" s="34"/>
      <c r="I1683" s="37"/>
    </row>
    <row r="1684" ht="22.5" customHeight="1">
      <c r="A1684" s="30"/>
      <c r="B1684" s="31"/>
      <c r="C1684" s="30"/>
      <c r="D1684" s="33"/>
      <c r="E1684" s="34"/>
      <c r="F1684" s="34"/>
      <c r="G1684" s="36"/>
      <c r="H1684" s="34"/>
      <c r="I1684" s="37"/>
    </row>
    <row r="1685" ht="22.5" customHeight="1">
      <c r="A1685" s="30"/>
      <c r="B1685" s="31"/>
      <c r="C1685" s="30"/>
      <c r="D1685" s="33"/>
      <c r="E1685" s="34"/>
      <c r="F1685" s="34"/>
      <c r="G1685" s="36"/>
      <c r="H1685" s="34"/>
      <c r="I1685" s="37"/>
    </row>
    <row r="1686" ht="22.5" customHeight="1">
      <c r="A1686" s="30"/>
      <c r="B1686" s="31"/>
      <c r="C1686" s="30"/>
      <c r="D1686" s="33"/>
      <c r="E1686" s="34"/>
      <c r="F1686" s="34"/>
      <c r="G1686" s="36"/>
      <c r="H1686" s="34"/>
      <c r="I1686" s="37"/>
    </row>
    <row r="1687" ht="22.5" customHeight="1">
      <c r="A1687" s="30"/>
      <c r="B1687" s="31"/>
      <c r="C1687" s="30"/>
      <c r="D1687" s="33"/>
      <c r="E1687" s="34"/>
      <c r="F1687" s="34"/>
      <c r="G1687" s="36"/>
      <c r="H1687" s="34"/>
      <c r="I1687" s="37"/>
    </row>
    <row r="1688" ht="22.5" customHeight="1">
      <c r="A1688" s="30"/>
      <c r="B1688" s="31"/>
      <c r="C1688" s="30"/>
      <c r="D1688" s="33"/>
      <c r="E1688" s="34"/>
      <c r="F1688" s="34"/>
      <c r="G1688" s="36"/>
      <c r="H1688" s="34"/>
      <c r="I1688" s="37"/>
    </row>
    <row r="1689" ht="22.5" customHeight="1">
      <c r="A1689" s="30"/>
      <c r="B1689" s="31"/>
      <c r="C1689" s="30"/>
      <c r="D1689" s="33"/>
      <c r="E1689" s="34"/>
      <c r="F1689" s="34"/>
      <c r="G1689" s="36"/>
      <c r="H1689" s="34"/>
      <c r="I1689" s="37"/>
    </row>
    <row r="1690" ht="22.5" customHeight="1">
      <c r="A1690" s="30"/>
      <c r="B1690" s="31"/>
      <c r="C1690" s="30"/>
      <c r="D1690" s="33"/>
      <c r="E1690" s="34"/>
      <c r="F1690" s="34"/>
      <c r="G1690" s="36"/>
      <c r="H1690" s="34"/>
      <c r="I1690" s="37"/>
    </row>
    <row r="1691" ht="22.5" customHeight="1">
      <c r="A1691" s="30"/>
      <c r="B1691" s="31"/>
      <c r="C1691" s="30"/>
      <c r="D1691" s="33"/>
      <c r="E1691" s="34"/>
      <c r="F1691" s="34"/>
      <c r="G1691" s="36"/>
      <c r="H1691" s="34"/>
      <c r="I1691" s="37"/>
    </row>
    <row r="1692" ht="22.5" customHeight="1">
      <c r="A1692" s="30"/>
      <c r="B1692" s="31"/>
      <c r="C1692" s="30"/>
      <c r="D1692" s="33"/>
      <c r="E1692" s="34"/>
      <c r="F1692" s="34"/>
      <c r="G1692" s="36"/>
      <c r="H1692" s="34"/>
      <c r="I1692" s="37"/>
    </row>
    <row r="1693" ht="22.5" customHeight="1">
      <c r="A1693" s="30"/>
      <c r="B1693" s="31"/>
      <c r="C1693" s="30"/>
      <c r="D1693" s="33"/>
      <c r="E1693" s="34"/>
      <c r="F1693" s="34"/>
      <c r="G1693" s="36"/>
      <c r="H1693" s="34"/>
      <c r="I1693" s="37"/>
    </row>
    <row r="1694" ht="22.5" customHeight="1">
      <c r="A1694" s="30"/>
      <c r="B1694" s="31"/>
      <c r="C1694" s="30"/>
      <c r="D1694" s="33"/>
      <c r="E1694" s="34"/>
      <c r="F1694" s="34"/>
      <c r="G1694" s="36"/>
      <c r="H1694" s="34"/>
      <c r="I1694" s="37"/>
    </row>
    <row r="1695" ht="22.5" customHeight="1">
      <c r="A1695" s="30"/>
      <c r="B1695" s="31"/>
      <c r="C1695" s="30"/>
      <c r="D1695" s="33"/>
      <c r="E1695" s="34"/>
      <c r="F1695" s="34"/>
      <c r="G1695" s="36"/>
      <c r="H1695" s="34"/>
      <c r="I1695" s="37"/>
    </row>
    <row r="1696" ht="22.5" customHeight="1">
      <c r="A1696" s="30"/>
      <c r="B1696" s="31"/>
      <c r="C1696" s="30"/>
      <c r="D1696" s="33"/>
      <c r="E1696" s="34"/>
      <c r="F1696" s="34"/>
      <c r="G1696" s="36"/>
      <c r="H1696" s="34"/>
      <c r="I1696" s="37"/>
    </row>
    <row r="1697" ht="22.5" customHeight="1">
      <c r="A1697" s="30"/>
      <c r="B1697" s="31"/>
      <c r="C1697" s="30"/>
      <c r="D1697" s="33"/>
      <c r="E1697" s="34"/>
      <c r="F1697" s="34"/>
      <c r="G1697" s="36"/>
      <c r="H1697" s="34"/>
      <c r="I1697" s="37"/>
    </row>
    <row r="1698" ht="22.5" customHeight="1">
      <c r="A1698" s="30"/>
      <c r="B1698" s="31"/>
      <c r="C1698" s="30"/>
      <c r="D1698" s="33"/>
      <c r="E1698" s="34"/>
      <c r="F1698" s="34"/>
      <c r="G1698" s="36"/>
      <c r="H1698" s="34"/>
      <c r="I1698" s="37"/>
    </row>
    <row r="1699" ht="22.5" customHeight="1">
      <c r="A1699" s="30"/>
      <c r="B1699" s="31"/>
      <c r="C1699" s="30"/>
      <c r="D1699" s="33"/>
      <c r="E1699" s="34"/>
      <c r="F1699" s="34"/>
      <c r="G1699" s="36"/>
      <c r="H1699" s="34"/>
      <c r="I1699" s="37"/>
    </row>
    <row r="1700" ht="22.5" customHeight="1">
      <c r="A1700" s="30"/>
      <c r="B1700" s="31"/>
      <c r="C1700" s="30"/>
      <c r="D1700" s="33"/>
      <c r="E1700" s="34"/>
      <c r="F1700" s="34"/>
      <c r="G1700" s="36"/>
      <c r="H1700" s="34"/>
      <c r="I1700" s="37"/>
    </row>
    <row r="1701" ht="22.5" customHeight="1">
      <c r="A1701" s="30"/>
      <c r="B1701" s="31"/>
      <c r="C1701" s="30"/>
      <c r="D1701" s="33"/>
      <c r="E1701" s="34"/>
      <c r="F1701" s="34"/>
      <c r="G1701" s="36"/>
      <c r="H1701" s="34"/>
      <c r="I1701" s="37"/>
    </row>
    <row r="1702" ht="22.5" customHeight="1">
      <c r="A1702" s="41"/>
      <c r="B1702" s="42"/>
      <c r="C1702" s="41"/>
      <c r="D1702" s="43"/>
      <c r="E1702" s="44"/>
      <c r="F1702" s="44"/>
      <c r="G1702" s="45"/>
      <c r="H1702" s="44"/>
      <c r="I1702" s="46"/>
    </row>
    <row r="1703" ht="22.5" customHeight="1">
      <c r="A1703" s="14"/>
      <c r="B1703" s="60"/>
      <c r="C1703" s="14"/>
      <c r="D1703" s="17"/>
      <c r="E1703" s="18"/>
      <c r="F1703" s="18"/>
      <c r="G1703" s="20"/>
      <c r="H1703" s="18"/>
      <c r="I1703" s="21"/>
    </row>
  </sheetData>
  <conditionalFormatting sqref="A5:I1702">
    <cfRule type="expression" dxfId="23" priority="1">
      <formula>$F5="BOLSA DE OXIGÊNIO"</formula>
    </cfRule>
  </conditionalFormatting>
  <conditionalFormatting sqref="A5:I1702">
    <cfRule type="expression" dxfId="17" priority="2">
      <formula>$F5="BOLSA DE SALV. ALTURA"</formula>
    </cfRule>
  </conditionalFormatting>
  <conditionalFormatting sqref="A5:I1702">
    <cfRule type="expression" dxfId="18" priority="3">
      <formula>$F5="BOLSA DE SALV ALTURA VERMELHA LACRADA"</formula>
    </cfRule>
  </conditionalFormatting>
  <conditionalFormatting sqref="A5:I1702">
    <cfRule type="expression" dxfId="19" priority="4">
      <formula>$F5="BOLSA DE SALV ALTURA CINZA LACRADA"</formula>
    </cfRule>
  </conditionalFormatting>
  <conditionalFormatting sqref="A5:I1702">
    <cfRule type="expression" dxfId="20" priority="5">
      <formula>$F5="BOX 06"</formula>
    </cfRule>
  </conditionalFormatting>
  <conditionalFormatting sqref="A5:I1702">
    <cfRule type="expression" dxfId="21" priority="6">
      <formula>$F5="BOX 07"</formula>
    </cfRule>
  </conditionalFormatting>
  <conditionalFormatting sqref="A5:I1702">
    <cfRule type="expression" dxfId="22" priority="7">
      <formula>$F5="BOX 08"</formula>
    </cfRule>
  </conditionalFormatting>
  <conditionalFormatting sqref="A5:I184">
    <cfRule type="expression" dxfId="24" priority="8">
      <formula>$F5="BOX TRASEIRO"</formula>
    </cfRule>
  </conditionalFormatting>
  <conditionalFormatting sqref="A5:I1702">
    <cfRule type="expression" dxfId="6" priority="9">
      <formula>$F5="BOLSA SALV. ALTURA (MERET)"</formula>
    </cfRule>
  </conditionalFormatting>
  <conditionalFormatting sqref="A5:I1702">
    <cfRule type="expression" dxfId="7" priority="10">
      <formula>$F5="BOX 01"</formula>
    </cfRule>
  </conditionalFormatting>
  <conditionalFormatting sqref="A5:I1702">
    <cfRule type="expression" dxfId="8" priority="11">
      <formula>$F5="BOX 02"</formula>
    </cfRule>
  </conditionalFormatting>
  <conditionalFormatting sqref="A5:I1702">
    <cfRule type="expression" dxfId="9" priority="12">
      <formula>$F5="BOX 03"</formula>
    </cfRule>
  </conditionalFormatting>
  <conditionalFormatting sqref="A5:I1702">
    <cfRule type="expression" dxfId="10" priority="13">
      <formula>$F5="BOX 04"</formula>
    </cfRule>
  </conditionalFormatting>
  <conditionalFormatting sqref="A5:I1702">
    <cfRule type="expression" dxfId="11" priority="14">
      <formula>$F5="BOX 05"</formula>
    </cfRule>
  </conditionalFormatting>
  <conditionalFormatting sqref="A5:I1702">
    <cfRule type="expression" dxfId="12" priority="15">
      <formula>$F5="BOX CENTRAL"</formula>
    </cfRule>
  </conditionalFormatting>
  <conditionalFormatting sqref="A5:I1702">
    <cfRule type="expression" dxfId="13" priority="16">
      <formula>$F5="BOX SUPERIOR 01"</formula>
    </cfRule>
  </conditionalFormatting>
  <conditionalFormatting sqref="A5:I1702">
    <cfRule type="expression" dxfId="14" priority="17">
      <formula>$F5="CABINE"</formula>
    </cfRule>
  </conditionalFormatting>
  <conditionalFormatting sqref="A5:I1702">
    <cfRule type="expression" dxfId="15" priority="18">
      <formula>$F5="CARROCERIA"</formula>
    </cfRule>
  </conditionalFormatting>
  <conditionalFormatting sqref="A5:I1702">
    <cfRule type="expression" dxfId="16" priority="19">
      <formula>$F5="CAIXA DE FERRAMENTA"</formula>
    </cfRule>
  </conditionalFormatting>
  <conditionalFormatting sqref="A6:I77">
    <cfRule type="expression" dxfId="25" priority="20">
      <formula>$F6="BOLSA DE RESGATE"</formula>
    </cfRule>
  </conditionalFormatting>
  <dataValidations>
    <dataValidation type="list" allowBlank="1" sqref="B2">
      <formula1>'Cadastro Automático VTRSEÇÃOMIL'!$C$1:$C1703</formula1>
    </dataValidation>
    <dataValidation allowBlank="1" showDropDown="1" sqref="B5:B1703"/>
    <dataValidation type="list" allowBlank="1" sqref="B1">
      <formula1>'Cadastro Automático VTRSEÇÃOMIL'!$B$1:$B1703</formula1>
    </dataValidation>
  </dataValidations>
  <printOptions gridLines="1" horizontalCentered="1"/>
  <pageMargins bottom="0.75" footer="0.0" header="0.0" left="0.25" right="0.25" top="0.75"/>
  <pageSetup fitToHeight="0" paperSize="9" cellComments="atEnd" orientation="portrait" pageOrder="overThenDown"/>
  <drawing r:id="rId1"/>
  <tableParts count="2">
    <tablePart r:id="rId4"/>
    <tablePart r:id="rId5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155CC"/>
    <outlinePr summaryBelow="0" summaryRight="0"/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20.38"/>
    <col customWidth="1" min="2" max="2" width="50.13"/>
    <col customWidth="1" min="3" max="3" width="9.5"/>
    <col customWidth="1" min="4" max="4" width="14.0"/>
    <col customWidth="1" min="5" max="5" width="17.75"/>
    <col customWidth="1" min="6" max="6" width="30.5"/>
    <col customWidth="1" min="7" max="7" width="14.25"/>
    <col customWidth="1" min="8" max="8" width="31.25"/>
    <col customWidth="1" min="9" max="9" width="81.38"/>
  </cols>
  <sheetData>
    <row r="1" ht="21.0" customHeight="1">
      <c r="A1" s="1" t="s">
        <v>0</v>
      </c>
      <c r="B1" s="2" t="s">
        <v>20</v>
      </c>
      <c r="C1" s="3"/>
      <c r="D1" s="3"/>
      <c r="E1" s="3"/>
      <c r="F1" s="3"/>
      <c r="G1" s="4"/>
      <c r="H1" s="49"/>
      <c r="I1" s="5"/>
    </row>
    <row r="2" ht="17.25" customHeight="1">
      <c r="A2" s="1" t="s">
        <v>2</v>
      </c>
      <c r="B2" s="2"/>
      <c r="C2" s="3"/>
      <c r="D2" s="3"/>
      <c r="E2" s="3"/>
      <c r="F2" s="3"/>
      <c r="G2" s="4"/>
      <c r="H2" s="4"/>
      <c r="I2" s="5"/>
    </row>
    <row r="3" ht="30.0" customHeight="1">
      <c r="A3" s="3"/>
      <c r="B3" s="48"/>
      <c r="C3" s="3"/>
      <c r="D3" s="3"/>
      <c r="E3" s="3"/>
      <c r="F3" s="3"/>
      <c r="G3" s="4"/>
      <c r="H3" s="49"/>
      <c r="I3" s="8"/>
    </row>
    <row r="4" ht="37.5" customHeight="1">
      <c r="A4" s="9" t="s">
        <v>14</v>
      </c>
      <c r="B4" s="10" t="s">
        <v>4</v>
      </c>
      <c r="C4" s="11" t="s">
        <v>5</v>
      </c>
      <c r="D4" s="12" t="s">
        <v>6</v>
      </c>
      <c r="E4" s="12" t="s">
        <v>0</v>
      </c>
      <c r="F4" s="12" t="s">
        <v>7</v>
      </c>
      <c r="G4" s="11" t="s">
        <v>8</v>
      </c>
      <c r="H4" s="50" t="s">
        <v>9</v>
      </c>
      <c r="I4" s="13" t="s">
        <v>10</v>
      </c>
    </row>
    <row r="5" ht="22.5" customHeight="1">
      <c r="A5" s="22"/>
      <c r="B5" s="23"/>
      <c r="C5" s="24"/>
      <c r="D5" s="25"/>
      <c r="E5" s="26"/>
      <c r="F5" s="26"/>
      <c r="G5" s="27"/>
      <c r="H5" s="26"/>
      <c r="I5" s="29"/>
    </row>
    <row r="6" ht="25.5" customHeight="1">
      <c r="A6" s="30">
        <f>IFERROR(__xludf.DUMMYFUNCTION("IF(B2&lt;&gt;"""",FILTER('Planilhas compilada ordem alfab'!A2:I1703,'Planilhas compilada ordem alfab'!E2:E1703=B1,'Planilhas compilada ordem alfab'!F2:F1703=B2),FILTER('Planilhas compilada ordem alfab'!A2:I1703,'Planilhas compilada ordem alfab'!E2:E1703=B1))"),1157.0)</f>
        <v>1157</v>
      </c>
      <c r="B6" s="31" t="str">
        <f>IFERROR(__xludf.DUMMYFUNCTION("""COMPUTED_VALUE""")," (KIT GUARANI) CONJ ACOPLAVEL A VEICULO, COMBATE INCENDIO -")</f>
        <v> (KIT GUARANI) CONJ ACOPLAVEL A VEICULO, COMBATE INCENDIO -</v>
      </c>
      <c r="C6" s="32">
        <f>IFERROR(__xludf.DUMMYFUNCTION("""COMPUTED_VALUE"""),1.0)</f>
        <v>1</v>
      </c>
      <c r="D6" s="33" t="str">
        <f>IFERROR(__xludf.DUMMYFUNCTION("""COMPUTED_VALUE"""),"VIATURA")</f>
        <v>VIATURA</v>
      </c>
      <c r="E6" s="34" t="str">
        <f>IFERROR(__xludf.DUMMYFUNCTION("""COMPUTED_VALUE"""),"1 - ACA2230")</f>
        <v>1 - ACA2230</v>
      </c>
      <c r="F6" s="34" t="str">
        <f>IFERROR(__xludf.DUMMYFUNCTION("""COMPUTED_VALUE"""),"CARROCERIA")</f>
        <v>CARROCERIA</v>
      </c>
      <c r="G6" s="35">
        <f>IFERROR(__xludf.DUMMYFUNCTION("""COMPUTED_VALUE"""),7.6856011E7)</f>
        <v>76856011</v>
      </c>
      <c r="H6" s="34" t="str">
        <f>IFERROR(__xludf.DUMMYFUNCTION("""COMPUTED_VALUE"""),"T051002110016456")</f>
        <v>T051002110016456</v>
      </c>
      <c r="I6" s="37" t="str">
        <f>IFERROR(__xludf.DUMMYFUNCTION("""COMPUTED_VALUE"""),"CONJ. DE COMBATE PICKUP TR C/ MANGUEIRA RESERVA (LARANJADA) + ESGUICHO 2 ESTÁGIOS + MANGUEIRA P/ ESCORVA AZUL.. ")</f>
        <v>CONJ. DE COMBATE PICKUP TR C/ MANGUEIRA RESERVA (LARANJADA) + ESGUICHO 2 ESTÁGIOS + MANGUEIRA P/ ESCORVA AZUL.. </v>
      </c>
    </row>
    <row r="7" ht="22.5" customHeight="1">
      <c r="A7" s="30">
        <f>IFERROR(__xludf.DUMMYFUNCTION("""COMPUTED_VALUE"""),748.0)</f>
        <v>748</v>
      </c>
      <c r="B7" s="31" t="str">
        <f>IFERROR(__xludf.DUMMYFUNCTION("""COMPUTED_VALUE"""),"ABAFADOR PARA COMBATE A INCENDIO FLORESTAL")</f>
        <v>ABAFADOR PARA COMBATE A INCENDIO FLORESTAL</v>
      </c>
      <c r="C7" s="32">
        <f>IFERROR(__xludf.DUMMYFUNCTION("""COMPUTED_VALUE"""),3.0)</f>
        <v>3</v>
      </c>
      <c r="D7" s="33" t="str">
        <f>IFERROR(__xludf.DUMMYFUNCTION("""COMPUTED_VALUE"""),"VIATURA")</f>
        <v>VIATURA</v>
      </c>
      <c r="E7" s="34" t="str">
        <f>IFERROR(__xludf.DUMMYFUNCTION("""COMPUTED_VALUE"""),"1 - ACA2230")</f>
        <v>1 - ACA2230</v>
      </c>
      <c r="F7" s="34" t="str">
        <f>IFERROR(__xludf.DUMMYFUNCTION("""COMPUTED_VALUE"""),"CARROCERIA")</f>
        <v>CARROCERIA</v>
      </c>
      <c r="G7" s="35"/>
      <c r="H7" s="34"/>
      <c r="I7" s="37"/>
    </row>
    <row r="8" ht="22.5" customHeight="1">
      <c r="A8" s="30">
        <f>IFERROR(__xludf.DUMMYFUNCTION("""COMPUTED_VALUE"""),745.0)</f>
        <v>745</v>
      </c>
      <c r="B8" s="31" t="str">
        <f>IFERROR(__xludf.DUMMYFUNCTION("""COMPUTED_VALUE"""),"BIDÃO")</f>
        <v>BIDÃO</v>
      </c>
      <c r="C8" s="32">
        <f>IFERROR(__xludf.DUMMYFUNCTION("""COMPUTED_VALUE"""),1.0)</f>
        <v>1</v>
      </c>
      <c r="D8" s="33" t="str">
        <f>IFERROR(__xludf.DUMMYFUNCTION("""COMPUTED_VALUE"""),"VIATURA")</f>
        <v>VIATURA</v>
      </c>
      <c r="E8" s="34" t="str">
        <f>IFERROR(__xludf.DUMMYFUNCTION("""COMPUTED_VALUE"""),"1 - ACA2230")</f>
        <v>1 - ACA2230</v>
      </c>
      <c r="F8" s="34" t="str">
        <f>IFERROR(__xludf.DUMMYFUNCTION("""COMPUTED_VALUE"""),"CARROCERIA")</f>
        <v>CARROCERIA</v>
      </c>
      <c r="G8" s="35"/>
      <c r="H8" s="34"/>
      <c r="I8" s="38"/>
    </row>
    <row r="9" ht="22.5" customHeight="1">
      <c r="A9" s="30">
        <f>IFERROR(__xludf.DUMMYFUNCTION("""COMPUTED_VALUE"""),747.0)</f>
        <v>747</v>
      </c>
      <c r="B9" s="39" t="str">
        <f>IFERROR(__xludf.DUMMYFUNCTION("""COMPUTED_VALUE"""),"BOMBA COSTAL")</f>
        <v>BOMBA COSTAL</v>
      </c>
      <c r="C9" s="32">
        <f>IFERROR(__xludf.DUMMYFUNCTION("""COMPUTED_VALUE"""),2.0)</f>
        <v>2</v>
      </c>
      <c r="D9" s="33" t="str">
        <f>IFERROR(__xludf.DUMMYFUNCTION("""COMPUTED_VALUE"""),"VIATURA")</f>
        <v>VIATURA</v>
      </c>
      <c r="E9" s="34" t="str">
        <f>IFERROR(__xludf.DUMMYFUNCTION("""COMPUTED_VALUE"""),"1 - ACA2230")</f>
        <v>1 - ACA2230</v>
      </c>
      <c r="F9" s="34" t="str">
        <f>IFERROR(__xludf.DUMMYFUNCTION("""COMPUTED_VALUE"""),"CARROCERIA")</f>
        <v>CARROCERIA</v>
      </c>
      <c r="G9" s="35"/>
      <c r="H9" s="34"/>
      <c r="I9" s="37"/>
    </row>
    <row r="10" ht="22.5" customHeight="1">
      <c r="A10" s="30">
        <f>IFERROR(__xludf.DUMMYFUNCTION("""COMPUTED_VALUE"""),749.0)</f>
        <v>749</v>
      </c>
      <c r="B10" s="31" t="str">
        <f>IFERROR(__xludf.DUMMYFUNCTION("""COMPUTED_VALUE"""),"CABO SOLTEIRO")</f>
        <v>CABO SOLTEIRO</v>
      </c>
      <c r="C10" s="32">
        <f>IFERROR(__xludf.DUMMYFUNCTION("""COMPUTED_VALUE"""),2.0)</f>
        <v>2</v>
      </c>
      <c r="D10" s="33" t="str">
        <f>IFERROR(__xludf.DUMMYFUNCTION("""COMPUTED_VALUE"""),"VIATURA")</f>
        <v>VIATURA</v>
      </c>
      <c r="E10" s="34" t="str">
        <f>IFERROR(__xludf.DUMMYFUNCTION("""COMPUTED_VALUE"""),"1 - ACA2230")</f>
        <v>1 - ACA2230</v>
      </c>
      <c r="F10" s="34" t="str">
        <f>IFERROR(__xludf.DUMMYFUNCTION("""COMPUTED_VALUE"""),"CARROCERIA")</f>
        <v>CARROCERIA</v>
      </c>
      <c r="G10" s="35"/>
      <c r="H10" s="34"/>
      <c r="I10" s="37"/>
    </row>
    <row r="11" ht="22.5" customHeight="1">
      <c r="A11" s="30">
        <f>IFERROR(__xludf.DUMMYFUNCTION("""COMPUTED_VALUE"""),744.0)</f>
        <v>744</v>
      </c>
      <c r="B11" s="31" t="str">
        <f>IFERROR(__xludf.DUMMYFUNCTION("""COMPUTED_VALUE"""),"CATRACA 1,5 TON")</f>
        <v>CATRACA 1,5 TON</v>
      </c>
      <c r="C11" s="32">
        <f>IFERROR(__xludf.DUMMYFUNCTION("""COMPUTED_VALUE"""),2.0)</f>
        <v>2</v>
      </c>
      <c r="D11" s="33" t="str">
        <f>IFERROR(__xludf.DUMMYFUNCTION("""COMPUTED_VALUE"""),"VIATURA")</f>
        <v>VIATURA</v>
      </c>
      <c r="E11" s="34" t="str">
        <f>IFERROR(__xludf.DUMMYFUNCTION("""COMPUTED_VALUE"""),"1 - ACA2230")</f>
        <v>1 - ACA2230</v>
      </c>
      <c r="F11" s="34" t="str">
        <f>IFERROR(__xludf.DUMMYFUNCTION("""COMPUTED_VALUE"""),"CARROCERIA")</f>
        <v>CARROCERIA</v>
      </c>
      <c r="G11" s="35"/>
      <c r="H11" s="34"/>
      <c r="I11" s="37"/>
    </row>
    <row r="12" ht="22.5" customHeight="1">
      <c r="A12" s="30">
        <f>IFERROR(__xludf.DUMMYFUNCTION("""COMPUTED_VALUE"""),746.0)</f>
        <v>746</v>
      </c>
      <c r="B12" s="31" t="str">
        <f>IFERROR(__xludf.DUMMYFUNCTION("""COMPUTED_VALUE"""),"MISTURADOR DE COMBUSTÍVEL STIHL")</f>
        <v>MISTURADOR DE COMBUSTÍVEL STIHL</v>
      </c>
      <c r="C12" s="32">
        <f>IFERROR(__xludf.DUMMYFUNCTION("""COMPUTED_VALUE"""),1.0)</f>
        <v>1</v>
      </c>
      <c r="D12" s="33" t="str">
        <f>IFERROR(__xludf.DUMMYFUNCTION("""COMPUTED_VALUE"""),"VIATURA")</f>
        <v>VIATURA</v>
      </c>
      <c r="E12" s="34" t="str">
        <f>IFERROR(__xludf.DUMMYFUNCTION("""COMPUTED_VALUE"""),"1 - ACA2230")</f>
        <v>1 - ACA2230</v>
      </c>
      <c r="F12" s="34" t="str">
        <f>IFERROR(__xludf.DUMMYFUNCTION("""COMPUTED_VALUE"""),"CARROCERIA")</f>
        <v>CARROCERIA</v>
      </c>
      <c r="G12" s="35"/>
      <c r="H12" s="34"/>
      <c r="I12" s="37"/>
    </row>
    <row r="13" ht="22.5" customHeight="1">
      <c r="A13" s="30">
        <f>IFERROR(__xludf.DUMMYFUNCTION("""COMPUTED_VALUE"""),753.0)</f>
        <v>753</v>
      </c>
      <c r="B13" s="39" t="str">
        <f>IFERROR(__xludf.DUMMYFUNCTION("""COMPUTED_VALUE"""),"LANTERNA TÁTICA NIGHTSTICK")</f>
        <v>LANTERNA TÁTICA NIGHTSTICK</v>
      </c>
      <c r="C13" s="32">
        <f>IFERROR(__xludf.DUMMYFUNCTION("""COMPUTED_VALUE"""),1.0)</f>
        <v>1</v>
      </c>
      <c r="D13" s="33" t="str">
        <f>IFERROR(__xludf.DUMMYFUNCTION("""COMPUTED_VALUE"""),"VIATURA")</f>
        <v>VIATURA</v>
      </c>
      <c r="E13" s="34" t="str">
        <f>IFERROR(__xludf.DUMMYFUNCTION("""COMPUTED_VALUE"""),"1 - ACA2230")</f>
        <v>1 - ACA2230</v>
      </c>
      <c r="F13" s="34"/>
      <c r="G13" s="35"/>
      <c r="H13" s="34"/>
      <c r="I13" s="37"/>
    </row>
    <row r="14" ht="22.5" customHeight="1">
      <c r="A14" s="30"/>
      <c r="B14" s="31"/>
      <c r="C14" s="32"/>
      <c r="D14" s="33"/>
      <c r="E14" s="34"/>
      <c r="F14" s="34"/>
      <c r="G14" s="35"/>
      <c r="H14" s="34"/>
      <c r="I14" s="37"/>
    </row>
    <row r="15" ht="22.5" customHeight="1">
      <c r="A15" s="30"/>
      <c r="B15" s="39"/>
      <c r="C15" s="32"/>
      <c r="D15" s="33"/>
      <c r="E15" s="34"/>
      <c r="F15" s="34"/>
      <c r="G15" s="35"/>
      <c r="H15" s="34"/>
      <c r="I15" s="37"/>
    </row>
    <row r="16" ht="22.5" customHeight="1">
      <c r="A16" s="30"/>
      <c r="B16" s="31"/>
      <c r="C16" s="32"/>
      <c r="D16" s="33"/>
      <c r="E16" s="34"/>
      <c r="F16" s="34"/>
      <c r="G16" s="35"/>
      <c r="H16" s="34"/>
      <c r="I16" s="37"/>
    </row>
    <row r="17" ht="22.5" customHeight="1">
      <c r="A17" s="30"/>
      <c r="B17" s="31"/>
      <c r="C17" s="32"/>
      <c r="D17" s="33"/>
      <c r="E17" s="34"/>
      <c r="F17" s="34"/>
      <c r="G17" s="35"/>
      <c r="H17" s="34"/>
      <c r="I17" s="37"/>
    </row>
    <row r="18" ht="22.5" customHeight="1">
      <c r="A18" s="30"/>
      <c r="B18" s="31"/>
      <c r="C18" s="32"/>
      <c r="D18" s="33"/>
      <c r="E18" s="34"/>
      <c r="F18" s="34"/>
      <c r="G18" s="35"/>
      <c r="H18" s="34"/>
      <c r="I18" s="37"/>
    </row>
    <row r="19" ht="22.5" customHeight="1">
      <c r="A19" s="30"/>
      <c r="B19" s="31"/>
      <c r="C19" s="32"/>
      <c r="D19" s="33"/>
      <c r="E19" s="34"/>
      <c r="F19" s="34"/>
      <c r="G19" s="35"/>
      <c r="H19" s="34"/>
      <c r="I19" s="37"/>
    </row>
    <row r="20" ht="22.5" customHeight="1">
      <c r="A20" s="30"/>
      <c r="B20" s="31"/>
      <c r="C20" s="32"/>
      <c r="D20" s="33"/>
      <c r="E20" s="34"/>
      <c r="F20" s="34"/>
      <c r="G20" s="35"/>
      <c r="H20" s="34"/>
      <c r="I20" s="37"/>
    </row>
    <row r="21" ht="22.5" customHeight="1">
      <c r="A21" s="30"/>
      <c r="B21" s="31"/>
      <c r="C21" s="32"/>
      <c r="D21" s="33"/>
      <c r="E21" s="34"/>
      <c r="F21" s="34"/>
      <c r="G21" s="35"/>
      <c r="H21" s="34"/>
      <c r="I21" s="37"/>
    </row>
    <row r="22" ht="22.5" customHeight="1">
      <c r="A22" s="30"/>
      <c r="B22" s="31"/>
      <c r="C22" s="32"/>
      <c r="D22" s="33"/>
      <c r="E22" s="34"/>
      <c r="F22" s="34"/>
      <c r="G22" s="35"/>
      <c r="H22" s="34"/>
      <c r="I22" s="37"/>
    </row>
    <row r="23" ht="22.5" customHeight="1">
      <c r="A23" s="30"/>
      <c r="B23" s="31"/>
      <c r="C23" s="32"/>
      <c r="D23" s="33"/>
      <c r="E23" s="34"/>
      <c r="F23" s="34"/>
      <c r="G23" s="35"/>
      <c r="H23" s="34"/>
      <c r="I23" s="37"/>
    </row>
    <row r="24" ht="22.5" customHeight="1">
      <c r="A24" s="30"/>
      <c r="B24" s="31"/>
      <c r="C24" s="32"/>
      <c r="D24" s="33"/>
      <c r="E24" s="34"/>
      <c r="F24" s="34"/>
      <c r="G24" s="35"/>
      <c r="H24" s="34"/>
      <c r="I24" s="37"/>
    </row>
    <row r="25" ht="22.5" customHeight="1">
      <c r="A25" s="30"/>
      <c r="B25" s="31"/>
      <c r="C25" s="32"/>
      <c r="D25" s="33"/>
      <c r="E25" s="34"/>
      <c r="F25" s="34"/>
      <c r="G25" s="35"/>
      <c r="H25" s="34"/>
      <c r="I25" s="37"/>
    </row>
    <row r="26" ht="22.5" customHeight="1">
      <c r="A26" s="30"/>
      <c r="B26" s="40"/>
      <c r="C26" s="32"/>
      <c r="D26" s="33"/>
      <c r="E26" s="34"/>
      <c r="F26" s="34"/>
      <c r="G26" s="35"/>
      <c r="H26" s="34"/>
      <c r="I26" s="37"/>
    </row>
    <row r="27" ht="22.5" customHeight="1">
      <c r="A27" s="30"/>
      <c r="B27" s="31"/>
      <c r="C27" s="32"/>
      <c r="D27" s="33"/>
      <c r="E27" s="34"/>
      <c r="F27" s="34"/>
      <c r="G27" s="35"/>
      <c r="H27" s="34"/>
      <c r="I27" s="37"/>
    </row>
    <row r="28" ht="22.5" customHeight="1">
      <c r="A28" s="30"/>
      <c r="B28" s="31"/>
      <c r="C28" s="32"/>
      <c r="D28" s="33"/>
      <c r="E28" s="34"/>
      <c r="F28" s="34"/>
      <c r="G28" s="35"/>
      <c r="H28" s="34"/>
      <c r="I28" s="37"/>
    </row>
    <row r="29" ht="22.5" customHeight="1">
      <c r="A29" s="30"/>
      <c r="B29" s="31"/>
      <c r="C29" s="32"/>
      <c r="D29" s="33"/>
      <c r="E29" s="34"/>
      <c r="F29" s="34"/>
      <c r="G29" s="35"/>
      <c r="H29" s="34"/>
      <c r="I29" s="37"/>
    </row>
    <row r="30" ht="22.5" customHeight="1">
      <c r="A30" s="30"/>
      <c r="B30" s="31"/>
      <c r="C30" s="32"/>
      <c r="D30" s="33"/>
      <c r="E30" s="34"/>
      <c r="F30" s="34"/>
      <c r="G30" s="35"/>
      <c r="H30" s="34"/>
      <c r="I30" s="37"/>
    </row>
    <row r="31" ht="22.5" customHeight="1">
      <c r="A31" s="30"/>
      <c r="B31" s="31"/>
      <c r="C31" s="32"/>
      <c r="D31" s="33"/>
      <c r="E31" s="34"/>
      <c r="F31" s="34"/>
      <c r="G31" s="35"/>
      <c r="H31" s="34"/>
      <c r="I31" s="37"/>
    </row>
    <row r="32" ht="22.5" customHeight="1">
      <c r="A32" s="30"/>
      <c r="B32" s="31"/>
      <c r="C32" s="32"/>
      <c r="D32" s="33"/>
      <c r="E32" s="34"/>
      <c r="F32" s="34"/>
      <c r="G32" s="35"/>
      <c r="H32" s="34"/>
      <c r="I32" s="37"/>
    </row>
    <row r="33" ht="22.5" customHeight="1">
      <c r="A33" s="30"/>
      <c r="B33" s="39"/>
      <c r="C33" s="32"/>
      <c r="D33" s="33"/>
      <c r="E33" s="34"/>
      <c r="F33" s="34"/>
      <c r="G33" s="35"/>
      <c r="H33" s="34"/>
      <c r="I33" s="37"/>
    </row>
    <row r="34" ht="22.5" customHeight="1">
      <c r="A34" s="30"/>
      <c r="B34" s="39"/>
      <c r="C34" s="32"/>
      <c r="D34" s="33"/>
      <c r="E34" s="34"/>
      <c r="F34" s="34"/>
      <c r="G34" s="35"/>
      <c r="H34" s="34"/>
      <c r="I34" s="37"/>
    </row>
    <row r="35" ht="22.5" customHeight="1">
      <c r="A35" s="30"/>
      <c r="B35" s="39"/>
      <c r="C35" s="32"/>
      <c r="D35" s="33"/>
      <c r="E35" s="34"/>
      <c r="F35" s="34"/>
      <c r="G35" s="35"/>
      <c r="H35" s="34"/>
      <c r="I35" s="37"/>
    </row>
    <row r="36" ht="22.5" customHeight="1">
      <c r="A36" s="30"/>
      <c r="B36" s="40"/>
      <c r="C36" s="32"/>
      <c r="D36" s="33"/>
      <c r="E36" s="34"/>
      <c r="F36" s="34"/>
      <c r="G36" s="35"/>
      <c r="H36" s="34"/>
      <c r="I36" s="37"/>
    </row>
    <row r="37" ht="22.5" customHeight="1">
      <c r="A37" s="30"/>
      <c r="B37" s="31"/>
      <c r="C37" s="32"/>
      <c r="D37" s="33"/>
      <c r="E37" s="34"/>
      <c r="F37" s="34"/>
      <c r="G37" s="35"/>
      <c r="H37" s="34"/>
      <c r="I37" s="37"/>
    </row>
    <row r="38" ht="22.5" customHeight="1">
      <c r="A38" s="30"/>
      <c r="B38" s="31"/>
      <c r="C38" s="32"/>
      <c r="D38" s="33"/>
      <c r="E38" s="34"/>
      <c r="F38" s="34"/>
      <c r="G38" s="35"/>
      <c r="H38" s="34"/>
      <c r="I38" s="37"/>
    </row>
    <row r="39" ht="22.5" customHeight="1">
      <c r="A39" s="30"/>
      <c r="B39" s="31"/>
      <c r="C39" s="32"/>
      <c r="D39" s="33"/>
      <c r="E39" s="34"/>
      <c r="F39" s="34"/>
      <c r="G39" s="35"/>
      <c r="H39" s="34"/>
      <c r="I39" s="37"/>
    </row>
    <row r="40" ht="22.5" customHeight="1">
      <c r="A40" s="30"/>
      <c r="B40" s="31"/>
      <c r="C40" s="32"/>
      <c r="D40" s="33"/>
      <c r="E40" s="34"/>
      <c r="F40" s="34"/>
      <c r="G40" s="35"/>
      <c r="H40" s="34"/>
      <c r="I40" s="37"/>
    </row>
    <row r="41" ht="22.5" customHeight="1">
      <c r="A41" s="30"/>
      <c r="B41" s="31"/>
      <c r="C41" s="32"/>
      <c r="D41" s="33"/>
      <c r="E41" s="34"/>
      <c r="F41" s="34"/>
      <c r="G41" s="35"/>
      <c r="H41" s="34"/>
      <c r="I41" s="37"/>
    </row>
    <row r="42" ht="22.5" customHeight="1">
      <c r="A42" s="30"/>
      <c r="B42" s="31"/>
      <c r="C42" s="32"/>
      <c r="D42" s="33"/>
      <c r="E42" s="34"/>
      <c r="F42" s="34"/>
      <c r="G42" s="35"/>
      <c r="H42" s="34"/>
      <c r="I42" s="37"/>
    </row>
    <row r="43" ht="22.5" customHeight="1">
      <c r="A43" s="30"/>
      <c r="B43" s="31"/>
      <c r="C43" s="32"/>
      <c r="D43" s="33"/>
      <c r="E43" s="34"/>
      <c r="F43" s="34"/>
      <c r="G43" s="35"/>
      <c r="H43" s="34"/>
      <c r="I43" s="37"/>
    </row>
    <row r="44" ht="22.5" customHeight="1">
      <c r="A44" s="30"/>
      <c r="B44" s="31"/>
      <c r="C44" s="32"/>
      <c r="D44" s="33"/>
      <c r="E44" s="34"/>
      <c r="F44" s="34"/>
      <c r="G44" s="35"/>
      <c r="H44" s="34"/>
      <c r="I44" s="37"/>
    </row>
    <row r="45" ht="22.5" customHeight="1">
      <c r="A45" s="30"/>
      <c r="B45" s="31"/>
      <c r="C45" s="32"/>
      <c r="D45" s="33"/>
      <c r="E45" s="34"/>
      <c r="F45" s="34"/>
      <c r="G45" s="35"/>
      <c r="H45" s="34"/>
      <c r="I45" s="37"/>
    </row>
    <row r="46" ht="22.5" customHeight="1">
      <c r="A46" s="30"/>
      <c r="B46" s="40"/>
      <c r="C46" s="32"/>
      <c r="D46" s="33"/>
      <c r="E46" s="34"/>
      <c r="F46" s="34"/>
      <c r="G46" s="35"/>
      <c r="H46" s="34"/>
      <c r="I46" s="37"/>
    </row>
    <row r="47" ht="22.5" customHeight="1">
      <c r="A47" s="30"/>
      <c r="B47" s="31"/>
      <c r="C47" s="32"/>
      <c r="D47" s="33"/>
      <c r="E47" s="34"/>
      <c r="F47" s="34"/>
      <c r="G47" s="35"/>
      <c r="H47" s="34"/>
      <c r="I47" s="37"/>
    </row>
    <row r="48" ht="22.5" customHeight="1">
      <c r="A48" s="30"/>
      <c r="B48" s="31"/>
      <c r="C48" s="32"/>
      <c r="D48" s="33"/>
      <c r="E48" s="34"/>
      <c r="F48" s="34"/>
      <c r="G48" s="35"/>
      <c r="H48" s="34"/>
      <c r="I48" s="37"/>
    </row>
    <row r="49" ht="22.5" customHeight="1">
      <c r="A49" s="30"/>
      <c r="B49" s="31"/>
      <c r="C49" s="32"/>
      <c r="D49" s="33"/>
      <c r="E49" s="34"/>
      <c r="F49" s="34"/>
      <c r="G49" s="35"/>
      <c r="H49" s="34"/>
      <c r="I49" s="37"/>
    </row>
    <row r="50" ht="22.5" customHeight="1">
      <c r="A50" s="30"/>
      <c r="B50" s="40"/>
      <c r="C50" s="32"/>
      <c r="D50" s="33"/>
      <c r="E50" s="34"/>
      <c r="F50" s="34"/>
      <c r="G50" s="35"/>
      <c r="H50" s="34"/>
      <c r="I50" s="37"/>
    </row>
    <row r="51" ht="22.5" customHeight="1">
      <c r="A51" s="30"/>
      <c r="B51" s="31"/>
      <c r="C51" s="32"/>
      <c r="D51" s="33"/>
      <c r="E51" s="34"/>
      <c r="F51" s="34"/>
      <c r="G51" s="35"/>
      <c r="H51" s="34"/>
      <c r="I51" s="37"/>
    </row>
    <row r="52" ht="22.5" customHeight="1">
      <c r="A52" s="30"/>
      <c r="B52" s="31"/>
      <c r="C52" s="32"/>
      <c r="D52" s="33"/>
      <c r="E52" s="34"/>
      <c r="F52" s="34"/>
      <c r="G52" s="35"/>
      <c r="H52" s="34"/>
      <c r="I52" s="37"/>
    </row>
    <row r="53" ht="22.5" customHeight="1">
      <c r="A53" s="30"/>
      <c r="B53" s="31"/>
      <c r="C53" s="32"/>
      <c r="D53" s="33"/>
      <c r="E53" s="34"/>
      <c r="F53" s="34"/>
      <c r="G53" s="35"/>
      <c r="H53" s="34"/>
      <c r="I53" s="37"/>
    </row>
    <row r="54" ht="22.5" customHeight="1">
      <c r="A54" s="30"/>
      <c r="B54" s="31"/>
      <c r="C54" s="32"/>
      <c r="D54" s="33"/>
      <c r="E54" s="34"/>
      <c r="F54" s="34"/>
      <c r="G54" s="35"/>
      <c r="H54" s="34"/>
      <c r="I54" s="37"/>
    </row>
    <row r="55" ht="22.5" customHeight="1">
      <c r="A55" s="30"/>
      <c r="B55" s="31"/>
      <c r="C55" s="32"/>
      <c r="D55" s="33"/>
      <c r="E55" s="34"/>
      <c r="F55" s="34"/>
      <c r="G55" s="35"/>
      <c r="H55" s="34"/>
      <c r="I55" s="37"/>
    </row>
    <row r="56" ht="22.5" customHeight="1">
      <c r="A56" s="30"/>
      <c r="B56" s="31"/>
      <c r="C56" s="32"/>
      <c r="D56" s="33"/>
      <c r="E56" s="34"/>
      <c r="F56" s="34"/>
      <c r="G56" s="35"/>
      <c r="H56" s="34"/>
      <c r="I56" s="37"/>
    </row>
    <row r="57" ht="22.5" customHeight="1">
      <c r="A57" s="30"/>
      <c r="B57" s="31"/>
      <c r="C57" s="32"/>
      <c r="D57" s="33"/>
      <c r="E57" s="34"/>
      <c r="F57" s="34"/>
      <c r="G57" s="35"/>
      <c r="H57" s="34"/>
      <c r="I57" s="37"/>
    </row>
    <row r="58" ht="22.5" customHeight="1">
      <c r="A58" s="30"/>
      <c r="B58" s="31"/>
      <c r="C58" s="32"/>
      <c r="D58" s="33"/>
      <c r="E58" s="34"/>
      <c r="F58" s="34"/>
      <c r="G58" s="35"/>
      <c r="H58" s="34"/>
      <c r="I58" s="37"/>
    </row>
    <row r="59" ht="22.5" customHeight="1">
      <c r="A59" s="30"/>
      <c r="B59" s="31"/>
      <c r="C59" s="32"/>
      <c r="D59" s="33"/>
      <c r="E59" s="34"/>
      <c r="F59" s="34"/>
      <c r="G59" s="35"/>
      <c r="H59" s="34"/>
      <c r="I59" s="37"/>
    </row>
    <row r="60" ht="22.5" customHeight="1">
      <c r="A60" s="30"/>
      <c r="B60" s="31"/>
      <c r="C60" s="32"/>
      <c r="D60" s="33"/>
      <c r="E60" s="34"/>
      <c r="F60" s="34"/>
      <c r="G60" s="35"/>
      <c r="H60" s="34"/>
      <c r="I60" s="37"/>
    </row>
    <row r="61" ht="22.5" customHeight="1">
      <c r="A61" s="30"/>
      <c r="B61" s="31"/>
      <c r="C61" s="32"/>
      <c r="D61" s="33"/>
      <c r="E61" s="34"/>
      <c r="F61" s="34"/>
      <c r="G61" s="35"/>
      <c r="H61" s="34"/>
      <c r="I61" s="37"/>
    </row>
    <row r="62" ht="22.5" customHeight="1">
      <c r="A62" s="30"/>
      <c r="B62" s="31"/>
      <c r="C62" s="32"/>
      <c r="D62" s="33"/>
      <c r="E62" s="34"/>
      <c r="F62" s="34"/>
      <c r="G62" s="35"/>
      <c r="H62" s="34"/>
      <c r="I62" s="37"/>
    </row>
    <row r="63" ht="22.5" customHeight="1">
      <c r="A63" s="30"/>
      <c r="B63" s="31"/>
      <c r="C63" s="32"/>
      <c r="D63" s="33"/>
      <c r="E63" s="34"/>
      <c r="F63" s="34"/>
      <c r="G63" s="35"/>
      <c r="H63" s="34"/>
      <c r="I63" s="37"/>
    </row>
    <row r="64" ht="22.5" customHeight="1">
      <c r="A64" s="30"/>
      <c r="B64" s="31"/>
      <c r="C64" s="32"/>
      <c r="D64" s="33"/>
      <c r="E64" s="34"/>
      <c r="F64" s="34"/>
      <c r="G64" s="35"/>
      <c r="H64" s="34"/>
      <c r="I64" s="37"/>
    </row>
    <row r="65" ht="22.5" customHeight="1">
      <c r="A65" s="30"/>
      <c r="B65" s="40"/>
      <c r="C65" s="32"/>
      <c r="D65" s="33"/>
      <c r="E65" s="34"/>
      <c r="F65" s="34"/>
      <c r="G65" s="35"/>
      <c r="H65" s="34"/>
      <c r="I65" s="37"/>
    </row>
    <row r="66" ht="22.5" customHeight="1">
      <c r="A66" s="30"/>
      <c r="B66" s="31"/>
      <c r="C66" s="32"/>
      <c r="D66" s="33"/>
      <c r="E66" s="34"/>
      <c r="F66" s="34"/>
      <c r="G66" s="35"/>
      <c r="H66" s="34"/>
      <c r="I66" s="37"/>
    </row>
    <row r="67" ht="22.5" customHeight="1">
      <c r="A67" s="30"/>
      <c r="B67" s="40"/>
      <c r="C67" s="32"/>
      <c r="D67" s="33"/>
      <c r="E67" s="34"/>
      <c r="F67" s="34"/>
      <c r="G67" s="35"/>
      <c r="H67" s="34"/>
      <c r="I67" s="37"/>
    </row>
    <row r="68" ht="22.5" customHeight="1">
      <c r="A68" s="30"/>
      <c r="B68" s="31"/>
      <c r="C68" s="32"/>
      <c r="D68" s="33"/>
      <c r="E68" s="34"/>
      <c r="F68" s="34"/>
      <c r="G68" s="35"/>
      <c r="H68" s="34"/>
      <c r="I68" s="37"/>
    </row>
    <row r="69" ht="22.5" customHeight="1">
      <c r="A69" s="30"/>
      <c r="B69" s="31"/>
      <c r="C69" s="32"/>
      <c r="D69" s="33"/>
      <c r="E69" s="34"/>
      <c r="F69" s="34"/>
      <c r="G69" s="35"/>
      <c r="H69" s="34"/>
      <c r="I69" s="37"/>
    </row>
    <row r="70" ht="22.5" customHeight="1">
      <c r="A70" s="30"/>
      <c r="B70" s="31"/>
      <c r="C70" s="32"/>
      <c r="D70" s="33"/>
      <c r="E70" s="34"/>
      <c r="F70" s="34"/>
      <c r="G70" s="35"/>
      <c r="H70" s="34"/>
      <c r="I70" s="37"/>
    </row>
    <row r="71" ht="22.5" customHeight="1">
      <c r="A71" s="30"/>
      <c r="B71" s="31"/>
      <c r="C71" s="32"/>
      <c r="D71" s="33"/>
      <c r="E71" s="34"/>
      <c r="F71" s="34"/>
      <c r="G71" s="35"/>
      <c r="H71" s="34"/>
      <c r="I71" s="37"/>
    </row>
    <row r="72" ht="22.5" customHeight="1">
      <c r="A72" s="30"/>
      <c r="B72" s="40"/>
      <c r="C72" s="32"/>
      <c r="D72" s="33"/>
      <c r="E72" s="34"/>
      <c r="F72" s="34"/>
      <c r="G72" s="35"/>
      <c r="H72" s="34"/>
      <c r="I72" s="37"/>
    </row>
    <row r="73" ht="22.5" customHeight="1">
      <c r="A73" s="30"/>
      <c r="B73" s="31"/>
      <c r="C73" s="32"/>
      <c r="D73" s="33"/>
      <c r="E73" s="34"/>
      <c r="F73" s="34"/>
      <c r="G73" s="35"/>
      <c r="H73" s="34"/>
      <c r="I73" s="37"/>
    </row>
    <row r="74" ht="22.5" customHeight="1">
      <c r="A74" s="30"/>
      <c r="B74" s="31"/>
      <c r="C74" s="32"/>
      <c r="D74" s="33"/>
      <c r="E74" s="34"/>
      <c r="F74" s="34"/>
      <c r="G74" s="35"/>
      <c r="H74" s="34"/>
      <c r="I74" s="37"/>
    </row>
    <row r="75" ht="22.5" customHeight="1">
      <c r="A75" s="30"/>
      <c r="B75" s="31"/>
      <c r="C75" s="32"/>
      <c r="D75" s="33"/>
      <c r="E75" s="34"/>
      <c r="F75" s="34"/>
      <c r="G75" s="35"/>
      <c r="H75" s="34"/>
      <c r="I75" s="37"/>
    </row>
    <row r="76" ht="22.5" customHeight="1">
      <c r="A76" s="30"/>
      <c r="B76" s="31"/>
      <c r="C76" s="32"/>
      <c r="D76" s="33"/>
      <c r="E76" s="34"/>
      <c r="F76" s="34"/>
      <c r="G76" s="35"/>
      <c r="H76" s="34"/>
      <c r="I76" s="37"/>
    </row>
    <row r="77" ht="22.5" customHeight="1">
      <c r="A77" s="30"/>
      <c r="B77" s="31"/>
      <c r="C77" s="32"/>
      <c r="D77" s="33"/>
      <c r="E77" s="34"/>
      <c r="F77" s="34"/>
      <c r="G77" s="35"/>
      <c r="H77" s="34"/>
      <c r="I77" s="37"/>
    </row>
    <row r="78" ht="22.5" customHeight="1">
      <c r="A78" s="30"/>
      <c r="B78" s="31"/>
      <c r="C78" s="32"/>
      <c r="D78" s="33"/>
      <c r="E78" s="34"/>
      <c r="F78" s="34"/>
      <c r="G78" s="35"/>
      <c r="H78" s="34"/>
      <c r="I78" s="37"/>
    </row>
    <row r="79" ht="22.5" customHeight="1">
      <c r="A79" s="30"/>
      <c r="B79" s="31"/>
      <c r="C79" s="32"/>
      <c r="D79" s="33"/>
      <c r="E79" s="34"/>
      <c r="F79" s="34"/>
      <c r="G79" s="35"/>
      <c r="H79" s="34"/>
      <c r="I79" s="37"/>
    </row>
    <row r="80" ht="22.5" customHeight="1">
      <c r="A80" s="30"/>
      <c r="B80" s="31"/>
      <c r="C80" s="32"/>
      <c r="D80" s="33"/>
      <c r="E80" s="34"/>
      <c r="F80" s="34"/>
      <c r="G80" s="35"/>
      <c r="H80" s="34"/>
      <c r="I80" s="37"/>
    </row>
    <row r="81" ht="22.5" customHeight="1">
      <c r="A81" s="30"/>
      <c r="B81" s="31"/>
      <c r="C81" s="32"/>
      <c r="D81" s="33"/>
      <c r="E81" s="34"/>
      <c r="F81" s="34"/>
      <c r="G81" s="35"/>
      <c r="H81" s="34"/>
      <c r="I81" s="37"/>
    </row>
    <row r="82" ht="22.5" customHeight="1">
      <c r="A82" s="30"/>
      <c r="B82" s="31"/>
      <c r="C82" s="32"/>
      <c r="D82" s="33"/>
      <c r="E82" s="34"/>
      <c r="F82" s="34"/>
      <c r="G82" s="35"/>
      <c r="H82" s="34"/>
      <c r="I82" s="37"/>
    </row>
    <row r="83" ht="22.5" customHeight="1">
      <c r="A83" s="30"/>
      <c r="B83" s="31"/>
      <c r="C83" s="32"/>
      <c r="D83" s="33"/>
      <c r="E83" s="34"/>
      <c r="F83" s="34"/>
      <c r="G83" s="35"/>
      <c r="H83" s="34"/>
      <c r="I83" s="37"/>
    </row>
    <row r="84" ht="22.5" customHeight="1">
      <c r="A84" s="30"/>
      <c r="B84" s="31"/>
      <c r="C84" s="32"/>
      <c r="D84" s="33"/>
      <c r="E84" s="34"/>
      <c r="F84" s="34"/>
      <c r="G84" s="35"/>
      <c r="H84" s="34"/>
      <c r="I84" s="37"/>
    </row>
    <row r="85" ht="22.5" customHeight="1">
      <c r="A85" s="30"/>
      <c r="B85" s="31"/>
      <c r="C85" s="32"/>
      <c r="D85" s="33"/>
      <c r="E85" s="34"/>
      <c r="F85" s="34"/>
      <c r="G85" s="35"/>
      <c r="H85" s="34"/>
      <c r="I85" s="37"/>
    </row>
    <row r="86" ht="22.5" customHeight="1">
      <c r="A86" s="30"/>
      <c r="B86" s="31"/>
      <c r="C86" s="32"/>
      <c r="D86" s="33"/>
      <c r="E86" s="34"/>
      <c r="F86" s="34"/>
      <c r="G86" s="35"/>
      <c r="H86" s="34"/>
      <c r="I86" s="37"/>
    </row>
    <row r="87" ht="22.5" customHeight="1">
      <c r="A87" s="30"/>
      <c r="B87" s="31"/>
      <c r="C87" s="32"/>
      <c r="D87" s="33"/>
      <c r="E87" s="34"/>
      <c r="F87" s="34"/>
      <c r="G87" s="35"/>
      <c r="H87" s="34"/>
      <c r="I87" s="37"/>
    </row>
    <row r="88" ht="22.5" customHeight="1">
      <c r="A88" s="30"/>
      <c r="B88" s="31"/>
      <c r="C88" s="32"/>
      <c r="D88" s="33"/>
      <c r="E88" s="34"/>
      <c r="F88" s="34"/>
      <c r="G88" s="35"/>
      <c r="H88" s="34"/>
      <c r="I88" s="37"/>
    </row>
    <row r="89" ht="22.5" customHeight="1">
      <c r="A89" s="30"/>
      <c r="B89" s="31"/>
      <c r="C89" s="32"/>
      <c r="D89" s="33"/>
      <c r="E89" s="34"/>
      <c r="F89" s="34"/>
      <c r="G89" s="35"/>
      <c r="H89" s="34"/>
      <c r="I89" s="37"/>
    </row>
    <row r="90" ht="22.5" customHeight="1">
      <c r="A90" s="30"/>
      <c r="B90" s="31"/>
      <c r="C90" s="32"/>
      <c r="D90" s="33"/>
      <c r="E90" s="34"/>
      <c r="F90" s="34"/>
      <c r="G90" s="35"/>
      <c r="H90" s="34"/>
      <c r="I90" s="37"/>
    </row>
    <row r="91" ht="22.5" customHeight="1">
      <c r="A91" s="30"/>
      <c r="B91" s="31"/>
      <c r="C91" s="32"/>
      <c r="D91" s="33"/>
      <c r="E91" s="34"/>
      <c r="F91" s="34"/>
      <c r="G91" s="35"/>
      <c r="H91" s="34"/>
      <c r="I91" s="37"/>
    </row>
    <row r="92" ht="22.5" customHeight="1">
      <c r="A92" s="30"/>
      <c r="B92" s="31"/>
      <c r="C92" s="32"/>
      <c r="D92" s="33"/>
      <c r="E92" s="34"/>
      <c r="F92" s="34"/>
      <c r="G92" s="35"/>
      <c r="H92" s="34"/>
      <c r="I92" s="37"/>
    </row>
    <row r="93" ht="22.5" customHeight="1">
      <c r="A93" s="30"/>
      <c r="B93" s="31"/>
      <c r="C93" s="32"/>
      <c r="D93" s="33"/>
      <c r="E93" s="34"/>
      <c r="F93" s="34"/>
      <c r="G93" s="35"/>
      <c r="H93" s="34"/>
      <c r="I93" s="37"/>
    </row>
    <row r="94" ht="22.5" customHeight="1">
      <c r="A94" s="30"/>
      <c r="B94" s="40"/>
      <c r="C94" s="32"/>
      <c r="D94" s="33"/>
      <c r="E94" s="34"/>
      <c r="F94" s="34"/>
      <c r="G94" s="35"/>
      <c r="H94" s="34"/>
      <c r="I94" s="37"/>
    </row>
    <row r="95" ht="22.5" customHeight="1">
      <c r="A95" s="30"/>
      <c r="B95" s="31"/>
      <c r="C95" s="32"/>
      <c r="D95" s="33"/>
      <c r="E95" s="34"/>
      <c r="F95" s="34"/>
      <c r="G95" s="35"/>
      <c r="H95" s="34"/>
      <c r="I95" s="37"/>
    </row>
    <row r="96" ht="22.5" customHeight="1">
      <c r="A96" s="30"/>
      <c r="B96" s="31"/>
      <c r="C96" s="32"/>
      <c r="D96" s="33"/>
      <c r="E96" s="34"/>
      <c r="F96" s="34"/>
      <c r="G96" s="35"/>
      <c r="H96" s="34"/>
      <c r="I96" s="37"/>
    </row>
    <row r="97" ht="22.5" customHeight="1">
      <c r="A97" s="30"/>
      <c r="B97" s="31"/>
      <c r="C97" s="32"/>
      <c r="D97" s="33"/>
      <c r="E97" s="34"/>
      <c r="F97" s="34"/>
      <c r="G97" s="35"/>
      <c r="H97" s="34"/>
      <c r="I97" s="37"/>
    </row>
    <row r="98" ht="22.5" customHeight="1">
      <c r="A98" s="30"/>
      <c r="B98" s="31"/>
      <c r="C98" s="32"/>
      <c r="D98" s="33"/>
      <c r="E98" s="34"/>
      <c r="F98" s="34"/>
      <c r="G98" s="35"/>
      <c r="H98" s="34"/>
      <c r="I98" s="38"/>
    </row>
    <row r="99" ht="22.5" customHeight="1">
      <c r="A99" s="30"/>
      <c r="B99" s="39"/>
      <c r="C99" s="32"/>
      <c r="D99" s="33"/>
      <c r="E99" s="34"/>
      <c r="F99" s="34"/>
      <c r="G99" s="35"/>
      <c r="H99" s="34"/>
      <c r="I99" s="37"/>
    </row>
    <row r="100" ht="22.5" customHeight="1">
      <c r="A100" s="30"/>
      <c r="B100" s="31"/>
      <c r="C100" s="32"/>
      <c r="D100" s="33"/>
      <c r="E100" s="34"/>
      <c r="F100" s="34"/>
      <c r="G100" s="35"/>
      <c r="H100" s="34"/>
      <c r="I100" s="37"/>
    </row>
    <row r="101" ht="22.5" customHeight="1">
      <c r="A101" s="30"/>
      <c r="B101" s="31"/>
      <c r="C101" s="32"/>
      <c r="D101" s="33"/>
      <c r="E101" s="34"/>
      <c r="F101" s="34"/>
      <c r="G101" s="35"/>
      <c r="H101" s="34"/>
      <c r="I101" s="37"/>
    </row>
    <row r="102" ht="22.5" customHeight="1">
      <c r="A102" s="30"/>
      <c r="B102" s="31"/>
      <c r="C102" s="32"/>
      <c r="D102" s="33"/>
      <c r="E102" s="34"/>
      <c r="F102" s="34"/>
      <c r="G102" s="35"/>
      <c r="H102" s="34"/>
      <c r="I102" s="37"/>
    </row>
    <row r="103" ht="22.5" customHeight="1">
      <c r="A103" s="30"/>
      <c r="B103" s="39"/>
      <c r="C103" s="32"/>
      <c r="D103" s="33"/>
      <c r="E103" s="34"/>
      <c r="F103" s="34"/>
      <c r="G103" s="35"/>
      <c r="H103" s="34"/>
      <c r="I103" s="37"/>
    </row>
    <row r="104" ht="22.5" customHeight="1">
      <c r="A104" s="30"/>
      <c r="B104" s="31"/>
      <c r="C104" s="32"/>
      <c r="D104" s="33"/>
      <c r="E104" s="34"/>
      <c r="F104" s="34"/>
      <c r="G104" s="35"/>
      <c r="H104" s="34"/>
      <c r="I104" s="37"/>
    </row>
    <row r="105" ht="22.5" customHeight="1">
      <c r="A105" s="30"/>
      <c r="B105" s="39"/>
      <c r="C105" s="32"/>
      <c r="D105" s="33"/>
      <c r="E105" s="34"/>
      <c r="F105" s="34"/>
      <c r="G105" s="35"/>
      <c r="H105" s="34"/>
      <c r="I105" s="37"/>
    </row>
    <row r="106" ht="22.5" customHeight="1">
      <c r="A106" s="30"/>
      <c r="B106" s="31"/>
      <c r="C106" s="32"/>
      <c r="D106" s="33"/>
      <c r="E106" s="34"/>
      <c r="F106" s="34"/>
      <c r="G106" s="35"/>
      <c r="H106" s="34"/>
      <c r="I106" s="37"/>
    </row>
    <row r="107" ht="22.5" customHeight="1">
      <c r="A107" s="30"/>
      <c r="B107" s="31"/>
      <c r="C107" s="32"/>
      <c r="D107" s="33"/>
      <c r="E107" s="34"/>
      <c r="F107" s="34"/>
      <c r="G107" s="35"/>
      <c r="H107" s="34"/>
      <c r="I107" s="37"/>
    </row>
    <row r="108" ht="22.5" customHeight="1">
      <c r="A108" s="30"/>
      <c r="B108" s="31"/>
      <c r="C108" s="32"/>
      <c r="D108" s="33"/>
      <c r="E108" s="34"/>
      <c r="F108" s="34"/>
      <c r="G108" s="35"/>
      <c r="H108" s="34"/>
      <c r="I108" s="37"/>
    </row>
    <row r="109" ht="22.5" customHeight="1">
      <c r="A109" s="30"/>
      <c r="B109" s="31"/>
      <c r="C109" s="32"/>
      <c r="D109" s="33"/>
      <c r="E109" s="34"/>
      <c r="F109" s="34"/>
      <c r="G109" s="35"/>
      <c r="H109" s="34"/>
      <c r="I109" s="37"/>
    </row>
    <row r="110" ht="22.5" customHeight="1">
      <c r="A110" s="30"/>
      <c r="B110" s="31"/>
      <c r="C110" s="32"/>
      <c r="D110" s="33"/>
      <c r="E110" s="34"/>
      <c r="F110" s="34"/>
      <c r="G110" s="35"/>
      <c r="H110" s="34"/>
      <c r="I110" s="37"/>
    </row>
    <row r="111" ht="22.5" customHeight="1">
      <c r="A111" s="30"/>
      <c r="B111" s="31"/>
      <c r="C111" s="32"/>
      <c r="D111" s="33"/>
      <c r="E111" s="34"/>
      <c r="F111" s="34"/>
      <c r="G111" s="35"/>
      <c r="H111" s="34"/>
      <c r="I111" s="37"/>
    </row>
    <row r="112" ht="22.5" customHeight="1">
      <c r="A112" s="30"/>
      <c r="B112" s="31"/>
      <c r="C112" s="32"/>
      <c r="D112" s="33"/>
      <c r="E112" s="34"/>
      <c r="F112" s="34"/>
      <c r="G112" s="35"/>
      <c r="H112" s="34"/>
      <c r="I112" s="37"/>
    </row>
    <row r="113" ht="22.5" customHeight="1">
      <c r="A113" s="30"/>
      <c r="B113" s="31"/>
      <c r="C113" s="32"/>
      <c r="D113" s="33"/>
      <c r="E113" s="34"/>
      <c r="F113" s="34"/>
      <c r="G113" s="35"/>
      <c r="H113" s="34"/>
      <c r="I113" s="37"/>
    </row>
    <row r="114" ht="22.5" customHeight="1">
      <c r="A114" s="30"/>
      <c r="B114" s="31"/>
      <c r="C114" s="32"/>
      <c r="D114" s="33"/>
      <c r="E114" s="34"/>
      <c r="F114" s="34"/>
      <c r="G114" s="35"/>
      <c r="H114" s="34"/>
      <c r="I114" s="37"/>
    </row>
    <row r="115" ht="22.5" customHeight="1">
      <c r="A115" s="30"/>
      <c r="B115" s="31"/>
      <c r="C115" s="32"/>
      <c r="D115" s="33"/>
      <c r="E115" s="34"/>
      <c r="F115" s="34"/>
      <c r="G115" s="35"/>
      <c r="H115" s="34"/>
      <c r="I115" s="37"/>
    </row>
    <row r="116" ht="22.5" customHeight="1">
      <c r="A116" s="30"/>
      <c r="B116" s="40"/>
      <c r="C116" s="32"/>
      <c r="D116" s="33"/>
      <c r="E116" s="34"/>
      <c r="F116" s="34"/>
      <c r="G116" s="35"/>
      <c r="H116" s="34"/>
      <c r="I116" s="37"/>
    </row>
    <row r="117" ht="22.5" customHeight="1">
      <c r="A117" s="30"/>
      <c r="B117" s="31"/>
      <c r="C117" s="32"/>
      <c r="D117" s="33"/>
      <c r="E117" s="34"/>
      <c r="F117" s="34"/>
      <c r="G117" s="35"/>
      <c r="H117" s="34"/>
      <c r="I117" s="37"/>
    </row>
    <row r="118" ht="22.5" customHeight="1">
      <c r="A118" s="30"/>
      <c r="B118" s="31"/>
      <c r="C118" s="32"/>
      <c r="D118" s="33"/>
      <c r="E118" s="34"/>
      <c r="F118" s="34"/>
      <c r="G118" s="35"/>
      <c r="H118" s="34"/>
      <c r="I118" s="37"/>
    </row>
    <row r="119" ht="22.5" customHeight="1">
      <c r="A119" s="30"/>
      <c r="B119" s="31"/>
      <c r="C119" s="32"/>
      <c r="D119" s="33"/>
      <c r="E119" s="34"/>
      <c r="F119" s="34"/>
      <c r="G119" s="35"/>
      <c r="H119" s="34"/>
      <c r="I119" s="37"/>
    </row>
    <row r="120" ht="22.5" customHeight="1">
      <c r="A120" s="30"/>
      <c r="B120" s="31"/>
      <c r="C120" s="32"/>
      <c r="D120" s="33"/>
      <c r="E120" s="34"/>
      <c r="F120" s="34"/>
      <c r="G120" s="35"/>
      <c r="H120" s="34"/>
      <c r="I120" s="37"/>
    </row>
    <row r="121" ht="22.5" customHeight="1">
      <c r="A121" s="30"/>
      <c r="B121" s="31"/>
      <c r="C121" s="32"/>
      <c r="D121" s="33"/>
      <c r="E121" s="34"/>
      <c r="F121" s="34"/>
      <c r="G121" s="35"/>
      <c r="H121" s="34"/>
      <c r="I121" s="37"/>
    </row>
    <row r="122" ht="22.5" customHeight="1">
      <c r="A122" s="30"/>
      <c r="B122" s="31"/>
      <c r="C122" s="32"/>
      <c r="D122" s="33"/>
      <c r="E122" s="34"/>
      <c r="F122" s="34"/>
      <c r="G122" s="35"/>
      <c r="H122" s="34"/>
      <c r="I122" s="37"/>
    </row>
    <row r="123" ht="22.5" customHeight="1">
      <c r="A123" s="30"/>
      <c r="B123" s="39"/>
      <c r="C123" s="32"/>
      <c r="D123" s="33"/>
      <c r="E123" s="34"/>
      <c r="F123" s="34"/>
      <c r="G123" s="35"/>
      <c r="H123" s="34"/>
      <c r="I123" s="37"/>
    </row>
    <row r="124" ht="22.5" customHeight="1">
      <c r="A124" s="30"/>
      <c r="B124" s="39"/>
      <c r="C124" s="32"/>
      <c r="D124" s="33"/>
      <c r="E124" s="34"/>
      <c r="F124" s="34"/>
      <c r="G124" s="35"/>
      <c r="H124" s="34"/>
      <c r="I124" s="37"/>
    </row>
    <row r="125" ht="22.5" customHeight="1">
      <c r="A125" s="30"/>
      <c r="B125" s="39"/>
      <c r="C125" s="32"/>
      <c r="D125" s="33"/>
      <c r="E125" s="34"/>
      <c r="F125" s="34"/>
      <c r="G125" s="35"/>
      <c r="H125" s="34"/>
      <c r="I125" s="37"/>
    </row>
    <row r="126" ht="22.5" customHeight="1">
      <c r="A126" s="30"/>
      <c r="B126" s="40"/>
      <c r="C126" s="32"/>
      <c r="D126" s="33"/>
      <c r="E126" s="34"/>
      <c r="F126" s="34"/>
      <c r="G126" s="35"/>
      <c r="H126" s="34"/>
      <c r="I126" s="37"/>
    </row>
    <row r="127" ht="22.5" customHeight="1">
      <c r="A127" s="30"/>
      <c r="B127" s="31"/>
      <c r="C127" s="32"/>
      <c r="D127" s="33"/>
      <c r="E127" s="34"/>
      <c r="F127" s="34"/>
      <c r="G127" s="35"/>
      <c r="H127" s="34"/>
      <c r="I127" s="37"/>
    </row>
    <row r="128" ht="22.5" customHeight="1">
      <c r="A128" s="30"/>
      <c r="B128" s="31"/>
      <c r="C128" s="32"/>
      <c r="D128" s="33"/>
      <c r="E128" s="34"/>
      <c r="F128" s="34"/>
      <c r="G128" s="35"/>
      <c r="H128" s="34"/>
      <c r="I128" s="37"/>
    </row>
    <row r="129" ht="22.5" customHeight="1">
      <c r="A129" s="30"/>
      <c r="B129" s="31"/>
      <c r="C129" s="32"/>
      <c r="D129" s="33"/>
      <c r="E129" s="34"/>
      <c r="F129" s="34"/>
      <c r="G129" s="35"/>
      <c r="H129" s="34"/>
      <c r="I129" s="37"/>
    </row>
    <row r="130" ht="22.5" customHeight="1">
      <c r="A130" s="30"/>
      <c r="B130" s="31"/>
      <c r="C130" s="32"/>
      <c r="D130" s="33"/>
      <c r="E130" s="34"/>
      <c r="F130" s="34"/>
      <c r="G130" s="35"/>
      <c r="H130" s="34"/>
      <c r="I130" s="37"/>
    </row>
    <row r="131" ht="22.5" customHeight="1">
      <c r="A131" s="30"/>
      <c r="B131" s="31"/>
      <c r="C131" s="32"/>
      <c r="D131" s="33"/>
      <c r="E131" s="34"/>
      <c r="F131" s="34"/>
      <c r="G131" s="35"/>
      <c r="H131" s="34"/>
      <c r="I131" s="37"/>
    </row>
    <row r="132" ht="22.5" customHeight="1">
      <c r="A132" s="30"/>
      <c r="B132" s="31"/>
      <c r="C132" s="32"/>
      <c r="D132" s="33"/>
      <c r="E132" s="34"/>
      <c r="F132" s="34"/>
      <c r="G132" s="35"/>
      <c r="H132" s="34"/>
      <c r="I132" s="37"/>
    </row>
    <row r="133" ht="22.5" customHeight="1">
      <c r="A133" s="30"/>
      <c r="B133" s="31"/>
      <c r="C133" s="32"/>
      <c r="D133" s="33"/>
      <c r="E133" s="34"/>
      <c r="F133" s="34"/>
      <c r="G133" s="35"/>
      <c r="H133" s="34"/>
      <c r="I133" s="37"/>
    </row>
    <row r="134" ht="22.5" customHeight="1">
      <c r="A134" s="30"/>
      <c r="B134" s="31"/>
      <c r="C134" s="32"/>
      <c r="D134" s="33"/>
      <c r="E134" s="34"/>
      <c r="F134" s="34"/>
      <c r="G134" s="35"/>
      <c r="H134" s="34"/>
      <c r="I134" s="37"/>
    </row>
    <row r="135" ht="22.5" customHeight="1">
      <c r="A135" s="30"/>
      <c r="B135" s="31"/>
      <c r="C135" s="32"/>
      <c r="D135" s="33"/>
      <c r="E135" s="34"/>
      <c r="F135" s="34"/>
      <c r="G135" s="35"/>
      <c r="H135" s="34"/>
      <c r="I135" s="37"/>
    </row>
    <row r="136" ht="22.5" customHeight="1">
      <c r="A136" s="30"/>
      <c r="B136" s="40"/>
      <c r="C136" s="32"/>
      <c r="D136" s="33"/>
      <c r="E136" s="34"/>
      <c r="F136" s="34"/>
      <c r="G136" s="35"/>
      <c r="H136" s="34"/>
      <c r="I136" s="37"/>
    </row>
    <row r="137" ht="22.5" customHeight="1">
      <c r="A137" s="30"/>
      <c r="B137" s="31"/>
      <c r="C137" s="32"/>
      <c r="D137" s="33"/>
      <c r="E137" s="34"/>
      <c r="F137" s="34"/>
      <c r="G137" s="35"/>
      <c r="H137" s="34"/>
      <c r="I137" s="37"/>
    </row>
    <row r="138" ht="22.5" customHeight="1">
      <c r="A138" s="30"/>
      <c r="B138" s="31"/>
      <c r="C138" s="32"/>
      <c r="D138" s="33"/>
      <c r="E138" s="34"/>
      <c r="F138" s="34"/>
      <c r="G138" s="35"/>
      <c r="H138" s="34"/>
      <c r="I138" s="37"/>
    </row>
    <row r="139" ht="22.5" customHeight="1">
      <c r="A139" s="30"/>
      <c r="B139" s="31"/>
      <c r="C139" s="32"/>
      <c r="D139" s="33"/>
      <c r="E139" s="34"/>
      <c r="F139" s="34"/>
      <c r="G139" s="35"/>
      <c r="H139" s="34"/>
      <c r="I139" s="37"/>
    </row>
    <row r="140" ht="22.5" customHeight="1">
      <c r="A140" s="30"/>
      <c r="B140" s="40"/>
      <c r="C140" s="32"/>
      <c r="D140" s="33"/>
      <c r="E140" s="34"/>
      <c r="F140" s="34"/>
      <c r="G140" s="35"/>
      <c r="H140" s="34"/>
      <c r="I140" s="37"/>
    </row>
    <row r="141" ht="22.5" customHeight="1">
      <c r="A141" s="30"/>
      <c r="B141" s="31"/>
      <c r="C141" s="32"/>
      <c r="D141" s="33"/>
      <c r="E141" s="34"/>
      <c r="F141" s="34"/>
      <c r="G141" s="35"/>
      <c r="H141" s="34"/>
      <c r="I141" s="37"/>
    </row>
    <row r="142" ht="22.5" customHeight="1">
      <c r="A142" s="30"/>
      <c r="B142" s="31"/>
      <c r="C142" s="32"/>
      <c r="D142" s="33"/>
      <c r="E142" s="34"/>
      <c r="F142" s="34"/>
      <c r="G142" s="35"/>
      <c r="H142" s="34"/>
      <c r="I142" s="37"/>
    </row>
    <row r="143" ht="22.5" customHeight="1">
      <c r="A143" s="30"/>
      <c r="B143" s="31"/>
      <c r="C143" s="32"/>
      <c r="D143" s="33"/>
      <c r="E143" s="34"/>
      <c r="F143" s="34"/>
      <c r="G143" s="35"/>
      <c r="H143" s="34"/>
      <c r="I143" s="37"/>
    </row>
    <row r="144" ht="22.5" customHeight="1">
      <c r="A144" s="30"/>
      <c r="B144" s="31"/>
      <c r="C144" s="32"/>
      <c r="D144" s="33"/>
      <c r="E144" s="34"/>
      <c r="F144" s="34"/>
      <c r="G144" s="35"/>
      <c r="H144" s="34"/>
      <c r="I144" s="37"/>
    </row>
    <row r="145" ht="22.5" customHeight="1">
      <c r="A145" s="30"/>
      <c r="B145" s="31"/>
      <c r="C145" s="32"/>
      <c r="D145" s="33"/>
      <c r="E145" s="34"/>
      <c r="F145" s="34"/>
      <c r="G145" s="35"/>
      <c r="H145" s="34"/>
      <c r="I145" s="37"/>
    </row>
    <row r="146" ht="22.5" customHeight="1">
      <c r="A146" s="30"/>
      <c r="B146" s="31"/>
      <c r="C146" s="32"/>
      <c r="D146" s="33"/>
      <c r="E146" s="34"/>
      <c r="F146" s="34"/>
      <c r="G146" s="35"/>
      <c r="H146" s="34"/>
      <c r="I146" s="37"/>
    </row>
    <row r="147" ht="22.5" customHeight="1">
      <c r="A147" s="30"/>
      <c r="B147" s="31"/>
      <c r="C147" s="32"/>
      <c r="D147" s="33"/>
      <c r="E147" s="34"/>
      <c r="F147" s="34"/>
      <c r="G147" s="35"/>
      <c r="H147" s="34"/>
      <c r="I147" s="37"/>
    </row>
    <row r="148" ht="22.5" customHeight="1">
      <c r="A148" s="30"/>
      <c r="B148" s="31"/>
      <c r="C148" s="32"/>
      <c r="D148" s="33"/>
      <c r="E148" s="34"/>
      <c r="F148" s="34"/>
      <c r="G148" s="35"/>
      <c r="H148" s="34"/>
      <c r="I148" s="37"/>
    </row>
    <row r="149" ht="22.5" customHeight="1">
      <c r="A149" s="30"/>
      <c r="B149" s="31"/>
      <c r="C149" s="32"/>
      <c r="D149" s="33"/>
      <c r="E149" s="34"/>
      <c r="F149" s="34"/>
      <c r="G149" s="35"/>
      <c r="H149" s="34"/>
      <c r="I149" s="37"/>
    </row>
    <row r="150" ht="22.5" customHeight="1">
      <c r="A150" s="30"/>
      <c r="B150" s="31"/>
      <c r="C150" s="32"/>
      <c r="D150" s="33"/>
      <c r="E150" s="34"/>
      <c r="F150" s="34"/>
      <c r="G150" s="35"/>
      <c r="H150" s="34"/>
      <c r="I150" s="37"/>
    </row>
    <row r="151" ht="22.5" customHeight="1">
      <c r="A151" s="30"/>
      <c r="B151" s="31"/>
      <c r="C151" s="32"/>
      <c r="D151" s="33"/>
      <c r="E151" s="34"/>
      <c r="F151" s="34"/>
      <c r="G151" s="35"/>
      <c r="H151" s="34"/>
      <c r="I151" s="37"/>
    </row>
    <row r="152" ht="22.5" customHeight="1">
      <c r="A152" s="30"/>
      <c r="B152" s="31"/>
      <c r="C152" s="32"/>
      <c r="D152" s="33"/>
      <c r="E152" s="34"/>
      <c r="F152" s="34"/>
      <c r="G152" s="35"/>
      <c r="H152" s="34"/>
      <c r="I152" s="37"/>
    </row>
    <row r="153" ht="22.5" customHeight="1">
      <c r="A153" s="30"/>
      <c r="B153" s="31"/>
      <c r="C153" s="32"/>
      <c r="D153" s="33"/>
      <c r="E153" s="34"/>
      <c r="F153" s="34"/>
      <c r="G153" s="35"/>
      <c r="H153" s="34"/>
      <c r="I153" s="37"/>
    </row>
    <row r="154" ht="22.5" customHeight="1">
      <c r="A154" s="30"/>
      <c r="B154" s="31"/>
      <c r="C154" s="32"/>
      <c r="D154" s="33"/>
      <c r="E154" s="34"/>
      <c r="F154" s="34"/>
      <c r="G154" s="35"/>
      <c r="H154" s="34"/>
      <c r="I154" s="37"/>
    </row>
    <row r="155" ht="22.5" customHeight="1">
      <c r="A155" s="30"/>
      <c r="B155" s="40"/>
      <c r="C155" s="32"/>
      <c r="D155" s="33"/>
      <c r="E155" s="34"/>
      <c r="F155" s="34"/>
      <c r="G155" s="35"/>
      <c r="H155" s="34"/>
      <c r="I155" s="37"/>
    </row>
    <row r="156" ht="22.5" customHeight="1">
      <c r="A156" s="30"/>
      <c r="B156" s="31"/>
      <c r="C156" s="32"/>
      <c r="D156" s="33"/>
      <c r="E156" s="34"/>
      <c r="F156" s="34"/>
      <c r="G156" s="35"/>
      <c r="H156" s="34"/>
      <c r="I156" s="37"/>
    </row>
    <row r="157" ht="22.5" customHeight="1">
      <c r="A157" s="30"/>
      <c r="B157" s="40"/>
      <c r="C157" s="32"/>
      <c r="D157" s="33"/>
      <c r="E157" s="34"/>
      <c r="F157" s="34"/>
      <c r="G157" s="35"/>
      <c r="H157" s="34"/>
      <c r="I157" s="37"/>
    </row>
    <row r="158" ht="22.5" customHeight="1">
      <c r="A158" s="30"/>
      <c r="B158" s="31"/>
      <c r="C158" s="32"/>
      <c r="D158" s="33"/>
      <c r="E158" s="34"/>
      <c r="F158" s="34"/>
      <c r="G158" s="35"/>
      <c r="H158" s="34"/>
      <c r="I158" s="37"/>
    </row>
    <row r="159" ht="22.5" customHeight="1">
      <c r="A159" s="30"/>
      <c r="B159" s="31"/>
      <c r="C159" s="32"/>
      <c r="D159" s="33"/>
      <c r="E159" s="34"/>
      <c r="F159" s="34"/>
      <c r="G159" s="35"/>
      <c r="H159" s="34"/>
      <c r="I159" s="37"/>
    </row>
    <row r="160" ht="22.5" customHeight="1">
      <c r="A160" s="30"/>
      <c r="B160" s="31"/>
      <c r="C160" s="32"/>
      <c r="D160" s="33"/>
      <c r="E160" s="34"/>
      <c r="F160" s="34"/>
      <c r="G160" s="35"/>
      <c r="H160" s="34"/>
      <c r="I160" s="37"/>
    </row>
    <row r="161" ht="22.5" customHeight="1">
      <c r="A161" s="30"/>
      <c r="B161" s="31"/>
      <c r="C161" s="32"/>
      <c r="D161" s="33"/>
      <c r="E161" s="34"/>
      <c r="F161" s="34"/>
      <c r="G161" s="35"/>
      <c r="H161" s="34"/>
      <c r="I161" s="37"/>
    </row>
    <row r="162" ht="22.5" customHeight="1">
      <c r="A162" s="30"/>
      <c r="B162" s="40"/>
      <c r="C162" s="32"/>
      <c r="D162" s="33"/>
      <c r="E162" s="34"/>
      <c r="F162" s="34"/>
      <c r="G162" s="35"/>
      <c r="H162" s="34"/>
      <c r="I162" s="37"/>
    </row>
    <row r="163" ht="22.5" customHeight="1">
      <c r="A163" s="30"/>
      <c r="B163" s="31"/>
      <c r="C163" s="32"/>
      <c r="D163" s="33"/>
      <c r="E163" s="34"/>
      <c r="F163" s="34"/>
      <c r="G163" s="35"/>
      <c r="H163" s="34"/>
      <c r="I163" s="37"/>
    </row>
    <row r="164" ht="22.5" customHeight="1">
      <c r="A164" s="30"/>
      <c r="B164" s="31"/>
      <c r="C164" s="32"/>
      <c r="D164" s="33"/>
      <c r="E164" s="34"/>
      <c r="F164" s="34"/>
      <c r="G164" s="35"/>
      <c r="H164" s="34"/>
      <c r="I164" s="37"/>
    </row>
    <row r="165" ht="22.5" customHeight="1">
      <c r="A165" s="30"/>
      <c r="B165" s="31"/>
      <c r="C165" s="32"/>
      <c r="D165" s="33"/>
      <c r="E165" s="34"/>
      <c r="F165" s="34"/>
      <c r="G165" s="35"/>
      <c r="H165" s="34"/>
      <c r="I165" s="37"/>
    </row>
    <row r="166" ht="22.5" customHeight="1">
      <c r="A166" s="30"/>
      <c r="B166" s="31"/>
      <c r="C166" s="32"/>
      <c r="D166" s="33"/>
      <c r="E166" s="34"/>
      <c r="F166" s="34"/>
      <c r="G166" s="35"/>
      <c r="H166" s="34"/>
      <c r="I166" s="37"/>
    </row>
    <row r="167" ht="22.5" customHeight="1">
      <c r="A167" s="30"/>
      <c r="B167" s="31"/>
      <c r="C167" s="32"/>
      <c r="D167" s="33"/>
      <c r="E167" s="34"/>
      <c r="F167" s="34"/>
      <c r="G167" s="35"/>
      <c r="H167" s="34"/>
      <c r="I167" s="37"/>
    </row>
    <row r="168" ht="22.5" customHeight="1">
      <c r="A168" s="30"/>
      <c r="B168" s="31"/>
      <c r="C168" s="32"/>
      <c r="D168" s="33"/>
      <c r="E168" s="34"/>
      <c r="F168" s="34"/>
      <c r="G168" s="35"/>
      <c r="H168" s="34"/>
      <c r="I168" s="37"/>
    </row>
    <row r="169" ht="22.5" customHeight="1">
      <c r="A169" s="30"/>
      <c r="B169" s="31"/>
      <c r="C169" s="32"/>
      <c r="D169" s="33"/>
      <c r="E169" s="34"/>
      <c r="F169" s="34"/>
      <c r="G169" s="35"/>
      <c r="H169" s="34"/>
      <c r="I169" s="37"/>
    </row>
    <row r="170" ht="22.5" customHeight="1">
      <c r="A170" s="30"/>
      <c r="B170" s="31"/>
      <c r="C170" s="32"/>
      <c r="D170" s="33"/>
      <c r="E170" s="34"/>
      <c r="F170" s="34"/>
      <c r="G170" s="35"/>
      <c r="H170" s="34"/>
      <c r="I170" s="37"/>
    </row>
    <row r="171" ht="22.5" customHeight="1">
      <c r="A171" s="30"/>
      <c r="B171" s="31"/>
      <c r="C171" s="32"/>
      <c r="D171" s="33"/>
      <c r="E171" s="34"/>
      <c r="F171" s="34"/>
      <c r="G171" s="35"/>
      <c r="H171" s="34"/>
      <c r="I171" s="37"/>
    </row>
    <row r="172" ht="22.5" customHeight="1">
      <c r="A172" s="30"/>
      <c r="B172" s="31"/>
      <c r="C172" s="32"/>
      <c r="D172" s="33"/>
      <c r="E172" s="34"/>
      <c r="F172" s="34"/>
      <c r="G172" s="35"/>
      <c r="H172" s="34"/>
      <c r="I172" s="37"/>
    </row>
    <row r="173" ht="22.5" customHeight="1">
      <c r="A173" s="30"/>
      <c r="B173" s="31"/>
      <c r="C173" s="32"/>
      <c r="D173" s="33"/>
      <c r="E173" s="34"/>
      <c r="F173" s="34"/>
      <c r="G173" s="35"/>
      <c r="H173" s="34"/>
      <c r="I173" s="37"/>
    </row>
    <row r="174" ht="22.5" customHeight="1">
      <c r="A174" s="30"/>
      <c r="B174" s="31"/>
      <c r="C174" s="32"/>
      <c r="D174" s="33"/>
      <c r="E174" s="34"/>
      <c r="F174" s="34"/>
      <c r="G174" s="35"/>
      <c r="H174" s="34"/>
      <c r="I174" s="37"/>
    </row>
    <row r="175" ht="22.5" customHeight="1">
      <c r="A175" s="30"/>
      <c r="B175" s="31"/>
      <c r="C175" s="32"/>
      <c r="D175" s="33"/>
      <c r="E175" s="34"/>
      <c r="F175" s="34"/>
      <c r="G175" s="35"/>
      <c r="H175" s="34"/>
      <c r="I175" s="37"/>
    </row>
    <row r="176" ht="22.5" customHeight="1">
      <c r="A176" s="30"/>
      <c r="B176" s="31"/>
      <c r="C176" s="32"/>
      <c r="D176" s="33"/>
      <c r="E176" s="34"/>
      <c r="F176" s="34"/>
      <c r="G176" s="35"/>
      <c r="H176" s="34"/>
      <c r="I176" s="37"/>
    </row>
    <row r="177" ht="22.5" customHeight="1">
      <c r="A177" s="30"/>
      <c r="B177" s="31"/>
      <c r="C177" s="32"/>
      <c r="D177" s="33"/>
      <c r="E177" s="34"/>
      <c r="F177" s="34"/>
      <c r="G177" s="35"/>
      <c r="H177" s="34"/>
      <c r="I177" s="37"/>
    </row>
    <row r="178" ht="22.5" customHeight="1">
      <c r="A178" s="30"/>
      <c r="B178" s="31"/>
      <c r="C178" s="32"/>
      <c r="D178" s="33"/>
      <c r="E178" s="34"/>
      <c r="F178" s="34"/>
      <c r="G178" s="35"/>
      <c r="H178" s="34"/>
      <c r="I178" s="37"/>
    </row>
    <row r="179" ht="22.5" customHeight="1">
      <c r="A179" s="30"/>
      <c r="B179" s="31"/>
      <c r="C179" s="32"/>
      <c r="D179" s="33"/>
      <c r="E179" s="34"/>
      <c r="F179" s="34"/>
      <c r="G179" s="35"/>
      <c r="H179" s="34"/>
      <c r="I179" s="37"/>
    </row>
    <row r="180" ht="22.5" customHeight="1">
      <c r="A180" s="30"/>
      <c r="B180" s="31"/>
      <c r="C180" s="32"/>
      <c r="D180" s="33"/>
      <c r="E180" s="34"/>
      <c r="F180" s="34"/>
      <c r="G180" s="35"/>
      <c r="H180" s="34"/>
      <c r="I180" s="37"/>
    </row>
    <row r="181" ht="22.5" customHeight="1">
      <c r="A181" s="30"/>
      <c r="B181" s="31"/>
      <c r="C181" s="32"/>
      <c r="D181" s="33"/>
      <c r="E181" s="34"/>
      <c r="F181" s="34"/>
      <c r="G181" s="35"/>
      <c r="H181" s="34"/>
      <c r="I181" s="37"/>
    </row>
    <row r="182" ht="22.5" customHeight="1">
      <c r="A182" s="30"/>
      <c r="B182" s="31"/>
      <c r="C182" s="32"/>
      <c r="D182" s="33"/>
      <c r="E182" s="34"/>
      <c r="F182" s="34"/>
      <c r="G182" s="35"/>
      <c r="H182" s="34"/>
      <c r="I182" s="37"/>
    </row>
    <row r="183" ht="22.5" customHeight="1">
      <c r="A183" s="30"/>
      <c r="B183" s="31"/>
      <c r="C183" s="32"/>
      <c r="D183" s="33"/>
      <c r="E183" s="34"/>
      <c r="F183" s="34"/>
      <c r="G183" s="35"/>
      <c r="H183" s="34"/>
      <c r="I183" s="37"/>
    </row>
    <row r="184" ht="22.5" customHeight="1">
      <c r="A184" s="30"/>
      <c r="B184" s="40"/>
      <c r="C184" s="32"/>
      <c r="D184" s="33"/>
      <c r="E184" s="34"/>
      <c r="F184" s="34"/>
      <c r="G184" s="35"/>
      <c r="H184" s="34"/>
      <c r="I184" s="37"/>
    </row>
    <row r="185" ht="22.5" customHeight="1">
      <c r="A185" s="30"/>
      <c r="B185" s="31"/>
      <c r="C185" s="32"/>
      <c r="D185" s="33"/>
      <c r="E185" s="34"/>
      <c r="F185" s="34"/>
      <c r="G185" s="35"/>
      <c r="H185" s="34"/>
      <c r="I185" s="37"/>
    </row>
    <row r="186" ht="22.5" customHeight="1">
      <c r="A186" s="30"/>
      <c r="B186" s="31"/>
      <c r="C186" s="32"/>
      <c r="D186" s="33"/>
      <c r="E186" s="34"/>
      <c r="F186" s="34"/>
      <c r="G186" s="35"/>
      <c r="H186" s="34"/>
      <c r="I186" s="37"/>
    </row>
    <row r="187" ht="22.5" customHeight="1">
      <c r="A187" s="30"/>
      <c r="B187" s="31"/>
      <c r="C187" s="32"/>
      <c r="D187" s="33"/>
      <c r="E187" s="34"/>
      <c r="F187" s="34"/>
      <c r="G187" s="35"/>
      <c r="H187" s="34"/>
      <c r="I187" s="37"/>
    </row>
    <row r="188" ht="22.5" customHeight="1">
      <c r="A188" s="30"/>
      <c r="B188" s="31"/>
      <c r="C188" s="32"/>
      <c r="D188" s="33"/>
      <c r="E188" s="34"/>
      <c r="F188" s="34"/>
      <c r="G188" s="35"/>
      <c r="H188" s="34"/>
      <c r="I188" s="38"/>
    </row>
    <row r="189" ht="22.5" customHeight="1">
      <c r="A189" s="30"/>
      <c r="B189" s="39"/>
      <c r="C189" s="32"/>
      <c r="D189" s="33"/>
      <c r="E189" s="34"/>
      <c r="F189" s="34"/>
      <c r="G189" s="35"/>
      <c r="H189" s="34"/>
      <c r="I189" s="37"/>
    </row>
    <row r="190" ht="22.5" customHeight="1">
      <c r="A190" s="30"/>
      <c r="B190" s="31"/>
      <c r="C190" s="32"/>
      <c r="D190" s="33"/>
      <c r="E190" s="34"/>
      <c r="F190" s="34"/>
      <c r="G190" s="35"/>
      <c r="H190" s="34"/>
      <c r="I190" s="37"/>
    </row>
    <row r="191" ht="22.5" customHeight="1">
      <c r="A191" s="30"/>
      <c r="B191" s="31"/>
      <c r="C191" s="32"/>
      <c r="D191" s="33"/>
      <c r="E191" s="34"/>
      <c r="F191" s="34"/>
      <c r="G191" s="35"/>
      <c r="H191" s="34"/>
      <c r="I191" s="37"/>
    </row>
    <row r="192" ht="22.5" customHeight="1">
      <c r="A192" s="30"/>
      <c r="B192" s="31"/>
      <c r="C192" s="32"/>
      <c r="D192" s="33"/>
      <c r="E192" s="34"/>
      <c r="F192" s="34"/>
      <c r="G192" s="35"/>
      <c r="H192" s="34"/>
      <c r="I192" s="37"/>
    </row>
    <row r="193" ht="22.5" customHeight="1">
      <c r="A193" s="30"/>
      <c r="B193" s="39"/>
      <c r="C193" s="32"/>
      <c r="D193" s="33"/>
      <c r="E193" s="34"/>
      <c r="F193" s="34"/>
      <c r="G193" s="35"/>
      <c r="H193" s="34"/>
      <c r="I193" s="37"/>
    </row>
    <row r="194" ht="22.5" customHeight="1">
      <c r="A194" s="30"/>
      <c r="B194" s="31"/>
      <c r="C194" s="32"/>
      <c r="D194" s="33"/>
      <c r="E194" s="34"/>
      <c r="F194" s="34"/>
      <c r="G194" s="35"/>
      <c r="H194" s="34"/>
      <c r="I194" s="37"/>
    </row>
    <row r="195" ht="22.5" customHeight="1">
      <c r="A195" s="30"/>
      <c r="B195" s="39"/>
      <c r="C195" s="32"/>
      <c r="D195" s="33"/>
      <c r="E195" s="34"/>
      <c r="F195" s="34"/>
      <c r="G195" s="35"/>
      <c r="H195" s="34"/>
      <c r="I195" s="37"/>
    </row>
    <row r="196" ht="22.5" customHeight="1">
      <c r="A196" s="30"/>
      <c r="B196" s="31"/>
      <c r="C196" s="32"/>
      <c r="D196" s="33"/>
      <c r="E196" s="34"/>
      <c r="F196" s="34"/>
      <c r="G196" s="35"/>
      <c r="H196" s="34"/>
      <c r="I196" s="37"/>
    </row>
    <row r="197" ht="22.5" customHeight="1">
      <c r="A197" s="30"/>
      <c r="B197" s="31"/>
      <c r="C197" s="32"/>
      <c r="D197" s="33"/>
      <c r="E197" s="34"/>
      <c r="F197" s="34"/>
      <c r="G197" s="35"/>
      <c r="H197" s="34"/>
      <c r="I197" s="37"/>
    </row>
    <row r="198" ht="22.5" customHeight="1">
      <c r="A198" s="30"/>
      <c r="B198" s="31"/>
      <c r="C198" s="32"/>
      <c r="D198" s="33"/>
      <c r="E198" s="34"/>
      <c r="F198" s="34"/>
      <c r="G198" s="35"/>
      <c r="H198" s="34"/>
      <c r="I198" s="37"/>
    </row>
    <row r="199" ht="22.5" customHeight="1">
      <c r="A199" s="30"/>
      <c r="B199" s="31"/>
      <c r="C199" s="32"/>
      <c r="D199" s="33"/>
      <c r="E199" s="34"/>
      <c r="F199" s="34"/>
      <c r="G199" s="35"/>
      <c r="H199" s="34"/>
      <c r="I199" s="37"/>
    </row>
    <row r="200" ht="22.5" customHeight="1">
      <c r="A200" s="30"/>
      <c r="B200" s="31"/>
      <c r="C200" s="32"/>
      <c r="D200" s="33"/>
      <c r="E200" s="34"/>
      <c r="F200" s="34"/>
      <c r="G200" s="35"/>
      <c r="H200" s="34"/>
      <c r="I200" s="37"/>
    </row>
    <row r="201" ht="22.5" customHeight="1">
      <c r="A201" s="30"/>
      <c r="B201" s="31"/>
      <c r="C201" s="32"/>
      <c r="D201" s="33"/>
      <c r="E201" s="34"/>
      <c r="F201" s="34"/>
      <c r="G201" s="35"/>
      <c r="H201" s="34"/>
      <c r="I201" s="37"/>
    </row>
    <row r="202" ht="22.5" customHeight="1">
      <c r="A202" s="30"/>
      <c r="B202" s="31"/>
      <c r="C202" s="32"/>
      <c r="D202" s="33"/>
      <c r="E202" s="34"/>
      <c r="F202" s="34"/>
      <c r="G202" s="35"/>
      <c r="H202" s="34"/>
      <c r="I202" s="37"/>
    </row>
    <row r="203" ht="22.5" customHeight="1">
      <c r="A203" s="30"/>
      <c r="B203" s="31"/>
      <c r="C203" s="32"/>
      <c r="D203" s="33"/>
      <c r="E203" s="34"/>
      <c r="F203" s="34"/>
      <c r="G203" s="35"/>
      <c r="H203" s="34"/>
      <c r="I203" s="37"/>
    </row>
    <row r="204" ht="22.5" customHeight="1">
      <c r="A204" s="30"/>
      <c r="B204" s="31"/>
      <c r="C204" s="32"/>
      <c r="D204" s="33"/>
      <c r="E204" s="34"/>
      <c r="F204" s="34"/>
      <c r="G204" s="35"/>
      <c r="H204" s="34"/>
      <c r="I204" s="37"/>
    </row>
    <row r="205" ht="22.5" customHeight="1">
      <c r="A205" s="30"/>
      <c r="B205" s="31"/>
      <c r="C205" s="32"/>
      <c r="D205" s="33"/>
      <c r="E205" s="34"/>
      <c r="F205" s="34"/>
      <c r="G205" s="35"/>
      <c r="H205" s="34"/>
      <c r="I205" s="37"/>
    </row>
    <row r="206" ht="22.5" customHeight="1">
      <c r="A206" s="30"/>
      <c r="B206" s="40"/>
      <c r="C206" s="32"/>
      <c r="D206" s="33"/>
      <c r="E206" s="34"/>
      <c r="F206" s="34"/>
      <c r="G206" s="35"/>
      <c r="H206" s="34"/>
      <c r="I206" s="37"/>
    </row>
    <row r="207" ht="22.5" customHeight="1">
      <c r="A207" s="30"/>
      <c r="B207" s="31"/>
      <c r="C207" s="32"/>
      <c r="D207" s="33"/>
      <c r="E207" s="34"/>
      <c r="F207" s="34"/>
      <c r="G207" s="35"/>
      <c r="H207" s="34"/>
      <c r="I207" s="37"/>
    </row>
    <row r="208" ht="22.5" customHeight="1">
      <c r="A208" s="30"/>
      <c r="B208" s="31"/>
      <c r="C208" s="32"/>
      <c r="D208" s="33"/>
      <c r="E208" s="34"/>
      <c r="F208" s="34"/>
      <c r="G208" s="35"/>
      <c r="H208" s="34"/>
      <c r="I208" s="37"/>
    </row>
    <row r="209" ht="22.5" customHeight="1">
      <c r="A209" s="30"/>
      <c r="B209" s="31"/>
      <c r="C209" s="32"/>
      <c r="D209" s="33"/>
      <c r="E209" s="34"/>
      <c r="F209" s="34"/>
      <c r="G209" s="35"/>
      <c r="H209" s="34"/>
      <c r="I209" s="37"/>
    </row>
    <row r="210" ht="22.5" customHeight="1">
      <c r="A210" s="30"/>
      <c r="B210" s="31"/>
      <c r="C210" s="32"/>
      <c r="D210" s="33"/>
      <c r="E210" s="34"/>
      <c r="F210" s="34"/>
      <c r="G210" s="35"/>
      <c r="H210" s="34"/>
      <c r="I210" s="37"/>
    </row>
    <row r="211" ht="22.5" customHeight="1">
      <c r="A211" s="30"/>
      <c r="B211" s="31"/>
      <c r="C211" s="32"/>
      <c r="D211" s="33"/>
      <c r="E211" s="34"/>
      <c r="F211" s="34"/>
      <c r="G211" s="35"/>
      <c r="H211" s="34"/>
      <c r="I211" s="37"/>
    </row>
    <row r="212" ht="22.5" customHeight="1">
      <c r="A212" s="30"/>
      <c r="B212" s="31"/>
      <c r="C212" s="32"/>
      <c r="D212" s="33"/>
      <c r="E212" s="34"/>
      <c r="F212" s="34"/>
      <c r="G212" s="35"/>
      <c r="H212" s="34"/>
      <c r="I212" s="37"/>
    </row>
    <row r="213" ht="22.5" customHeight="1">
      <c r="A213" s="30"/>
      <c r="B213" s="39"/>
      <c r="C213" s="32"/>
      <c r="D213" s="33"/>
      <c r="E213" s="34"/>
      <c r="F213" s="34"/>
      <c r="G213" s="35"/>
      <c r="H213" s="34"/>
      <c r="I213" s="37"/>
    </row>
    <row r="214" ht="22.5" customHeight="1">
      <c r="A214" s="30"/>
      <c r="B214" s="39"/>
      <c r="C214" s="32"/>
      <c r="D214" s="33"/>
      <c r="E214" s="34"/>
      <c r="F214" s="34"/>
      <c r="G214" s="35"/>
      <c r="H214" s="34"/>
      <c r="I214" s="37"/>
    </row>
    <row r="215" ht="22.5" customHeight="1">
      <c r="A215" s="30"/>
      <c r="B215" s="39"/>
      <c r="C215" s="32"/>
      <c r="D215" s="33"/>
      <c r="E215" s="34"/>
      <c r="F215" s="34"/>
      <c r="G215" s="35"/>
      <c r="H215" s="34"/>
      <c r="I215" s="37"/>
    </row>
    <row r="216" ht="22.5" customHeight="1">
      <c r="A216" s="30"/>
      <c r="B216" s="40"/>
      <c r="C216" s="32"/>
      <c r="D216" s="33"/>
      <c r="E216" s="34"/>
      <c r="F216" s="34"/>
      <c r="G216" s="35"/>
      <c r="H216" s="34"/>
      <c r="I216" s="37"/>
    </row>
    <row r="217" ht="22.5" customHeight="1">
      <c r="A217" s="30"/>
      <c r="B217" s="31"/>
      <c r="C217" s="32"/>
      <c r="D217" s="33"/>
      <c r="E217" s="34"/>
      <c r="F217" s="34"/>
      <c r="G217" s="35"/>
      <c r="H217" s="34"/>
      <c r="I217" s="37"/>
    </row>
    <row r="218" ht="22.5" customHeight="1">
      <c r="A218" s="30"/>
      <c r="B218" s="31"/>
      <c r="C218" s="32"/>
      <c r="D218" s="33"/>
      <c r="E218" s="34"/>
      <c r="F218" s="34"/>
      <c r="G218" s="35"/>
      <c r="H218" s="34"/>
      <c r="I218" s="37"/>
    </row>
    <row r="219" ht="22.5" customHeight="1">
      <c r="A219" s="30"/>
      <c r="B219" s="31"/>
      <c r="C219" s="32"/>
      <c r="D219" s="33"/>
      <c r="E219" s="34"/>
      <c r="F219" s="34"/>
      <c r="G219" s="35"/>
      <c r="H219" s="34"/>
      <c r="I219" s="37"/>
    </row>
    <row r="220" ht="22.5" customHeight="1">
      <c r="A220" s="30"/>
      <c r="B220" s="31"/>
      <c r="C220" s="32"/>
      <c r="D220" s="33"/>
      <c r="E220" s="34"/>
      <c r="F220" s="34"/>
      <c r="G220" s="35"/>
      <c r="H220" s="34"/>
      <c r="I220" s="37"/>
    </row>
    <row r="221" ht="22.5" customHeight="1">
      <c r="A221" s="30"/>
      <c r="B221" s="31"/>
      <c r="C221" s="32"/>
      <c r="D221" s="33"/>
      <c r="E221" s="34"/>
      <c r="F221" s="34"/>
      <c r="G221" s="35"/>
      <c r="H221" s="34"/>
      <c r="I221" s="37"/>
    </row>
    <row r="222" ht="22.5" customHeight="1">
      <c r="A222" s="30"/>
      <c r="B222" s="31"/>
      <c r="C222" s="32"/>
      <c r="D222" s="33"/>
      <c r="E222" s="34"/>
      <c r="F222" s="34"/>
      <c r="G222" s="35"/>
      <c r="H222" s="34"/>
      <c r="I222" s="37"/>
    </row>
    <row r="223" ht="22.5" customHeight="1">
      <c r="A223" s="30"/>
      <c r="B223" s="31"/>
      <c r="C223" s="32"/>
      <c r="D223" s="33"/>
      <c r="E223" s="34"/>
      <c r="F223" s="34"/>
      <c r="G223" s="35"/>
      <c r="H223" s="34"/>
      <c r="I223" s="37"/>
    </row>
    <row r="224" ht="22.5" customHeight="1">
      <c r="A224" s="30"/>
      <c r="B224" s="31"/>
      <c r="C224" s="32"/>
      <c r="D224" s="33"/>
      <c r="E224" s="34"/>
      <c r="F224" s="34"/>
      <c r="G224" s="35"/>
      <c r="H224" s="34"/>
      <c r="I224" s="37"/>
    </row>
    <row r="225" ht="22.5" customHeight="1">
      <c r="A225" s="30"/>
      <c r="B225" s="31"/>
      <c r="C225" s="32"/>
      <c r="D225" s="33"/>
      <c r="E225" s="34"/>
      <c r="F225" s="34"/>
      <c r="G225" s="35"/>
      <c r="H225" s="34"/>
      <c r="I225" s="37"/>
    </row>
    <row r="226" ht="22.5" customHeight="1">
      <c r="A226" s="30"/>
      <c r="B226" s="40"/>
      <c r="C226" s="32"/>
      <c r="D226" s="33"/>
      <c r="E226" s="34"/>
      <c r="F226" s="34"/>
      <c r="G226" s="35"/>
      <c r="H226" s="34"/>
      <c r="I226" s="37"/>
    </row>
    <row r="227" ht="22.5" customHeight="1">
      <c r="A227" s="30"/>
      <c r="B227" s="31"/>
      <c r="C227" s="32"/>
      <c r="D227" s="33"/>
      <c r="E227" s="34"/>
      <c r="F227" s="34"/>
      <c r="G227" s="35"/>
      <c r="H227" s="34"/>
      <c r="I227" s="37"/>
    </row>
    <row r="228" ht="22.5" customHeight="1">
      <c r="A228" s="30"/>
      <c r="B228" s="31"/>
      <c r="C228" s="32"/>
      <c r="D228" s="33"/>
      <c r="E228" s="34"/>
      <c r="F228" s="34"/>
      <c r="G228" s="35"/>
      <c r="H228" s="34"/>
      <c r="I228" s="37"/>
    </row>
    <row r="229" ht="22.5" customHeight="1">
      <c r="A229" s="30"/>
      <c r="B229" s="31"/>
      <c r="C229" s="32"/>
      <c r="D229" s="33"/>
      <c r="E229" s="34"/>
      <c r="F229" s="34"/>
      <c r="G229" s="35"/>
      <c r="H229" s="34"/>
      <c r="I229" s="37"/>
    </row>
    <row r="230" ht="22.5" customHeight="1">
      <c r="A230" s="30"/>
      <c r="B230" s="40"/>
      <c r="C230" s="32"/>
      <c r="D230" s="33"/>
      <c r="E230" s="34"/>
      <c r="F230" s="34"/>
      <c r="G230" s="35"/>
      <c r="H230" s="34"/>
      <c r="I230" s="37"/>
    </row>
    <row r="231" ht="22.5" customHeight="1">
      <c r="A231" s="30"/>
      <c r="B231" s="31"/>
      <c r="C231" s="32"/>
      <c r="D231" s="33"/>
      <c r="E231" s="34"/>
      <c r="F231" s="34"/>
      <c r="G231" s="35"/>
      <c r="H231" s="34"/>
      <c r="I231" s="37"/>
    </row>
    <row r="232" ht="22.5" customHeight="1">
      <c r="A232" s="30"/>
      <c r="B232" s="31"/>
      <c r="C232" s="32"/>
      <c r="D232" s="33"/>
      <c r="E232" s="34"/>
      <c r="F232" s="34"/>
      <c r="G232" s="35"/>
      <c r="H232" s="34"/>
      <c r="I232" s="37"/>
    </row>
    <row r="233" ht="22.5" customHeight="1">
      <c r="A233" s="30"/>
      <c r="B233" s="31"/>
      <c r="C233" s="32"/>
      <c r="D233" s="33"/>
      <c r="E233" s="34"/>
      <c r="F233" s="34"/>
      <c r="G233" s="35"/>
      <c r="H233" s="34"/>
      <c r="I233" s="37"/>
    </row>
    <row r="234" ht="22.5" customHeight="1">
      <c r="A234" s="30"/>
      <c r="B234" s="31"/>
      <c r="C234" s="32"/>
      <c r="D234" s="33"/>
      <c r="E234" s="34"/>
      <c r="F234" s="34"/>
      <c r="G234" s="35"/>
      <c r="H234" s="34"/>
      <c r="I234" s="37"/>
    </row>
    <row r="235" ht="22.5" customHeight="1">
      <c r="A235" s="30"/>
      <c r="B235" s="31"/>
      <c r="C235" s="32"/>
      <c r="D235" s="33"/>
      <c r="E235" s="34"/>
      <c r="F235" s="34"/>
      <c r="G235" s="35"/>
      <c r="H235" s="34"/>
      <c r="I235" s="37"/>
    </row>
    <row r="236" ht="22.5" customHeight="1">
      <c r="A236" s="30"/>
      <c r="B236" s="31"/>
      <c r="C236" s="32"/>
      <c r="D236" s="33"/>
      <c r="E236" s="34"/>
      <c r="F236" s="34"/>
      <c r="G236" s="35"/>
      <c r="H236" s="34"/>
      <c r="I236" s="37"/>
    </row>
    <row r="237" ht="22.5" customHeight="1">
      <c r="A237" s="30"/>
      <c r="B237" s="31"/>
      <c r="C237" s="32"/>
      <c r="D237" s="33"/>
      <c r="E237" s="34"/>
      <c r="F237" s="34"/>
      <c r="G237" s="35"/>
      <c r="H237" s="34"/>
      <c r="I237" s="37"/>
    </row>
    <row r="238" ht="22.5" customHeight="1">
      <c r="A238" s="30"/>
      <c r="B238" s="31"/>
      <c r="C238" s="32"/>
      <c r="D238" s="33"/>
      <c r="E238" s="34"/>
      <c r="F238" s="34"/>
      <c r="G238" s="35"/>
      <c r="H238" s="34"/>
      <c r="I238" s="37"/>
    </row>
    <row r="239" ht="22.5" customHeight="1">
      <c r="A239" s="30"/>
      <c r="B239" s="31"/>
      <c r="C239" s="32"/>
      <c r="D239" s="33"/>
      <c r="E239" s="34"/>
      <c r="F239" s="34"/>
      <c r="G239" s="35"/>
      <c r="H239" s="34"/>
      <c r="I239" s="37"/>
    </row>
    <row r="240" ht="22.5" customHeight="1">
      <c r="A240" s="30"/>
      <c r="B240" s="31"/>
      <c r="C240" s="32"/>
      <c r="D240" s="33"/>
      <c r="E240" s="34"/>
      <c r="F240" s="34"/>
      <c r="G240" s="35"/>
      <c r="H240" s="34"/>
      <c r="I240" s="37"/>
    </row>
    <row r="241" ht="22.5" customHeight="1">
      <c r="A241" s="30"/>
      <c r="B241" s="31"/>
      <c r="C241" s="32"/>
      <c r="D241" s="33"/>
      <c r="E241" s="34"/>
      <c r="F241" s="34"/>
      <c r="G241" s="35"/>
      <c r="H241" s="34"/>
      <c r="I241" s="37"/>
    </row>
    <row r="242" ht="22.5" customHeight="1">
      <c r="A242" s="30"/>
      <c r="B242" s="31"/>
      <c r="C242" s="32"/>
      <c r="D242" s="33"/>
      <c r="E242" s="34"/>
      <c r="F242" s="34"/>
      <c r="G242" s="35"/>
      <c r="H242" s="34"/>
      <c r="I242" s="37"/>
    </row>
    <row r="243" ht="22.5" customHeight="1">
      <c r="A243" s="30"/>
      <c r="B243" s="31"/>
      <c r="C243" s="32"/>
      <c r="D243" s="33"/>
      <c r="E243" s="34"/>
      <c r="F243" s="34"/>
      <c r="G243" s="35"/>
      <c r="H243" s="34"/>
      <c r="I243" s="37"/>
    </row>
    <row r="244" ht="22.5" customHeight="1">
      <c r="A244" s="30"/>
      <c r="B244" s="31"/>
      <c r="C244" s="32"/>
      <c r="D244" s="33"/>
      <c r="E244" s="34"/>
      <c r="F244" s="34"/>
      <c r="G244" s="35"/>
      <c r="H244" s="34"/>
      <c r="I244" s="37"/>
    </row>
    <row r="245" ht="22.5" customHeight="1">
      <c r="A245" s="30"/>
      <c r="B245" s="40"/>
      <c r="C245" s="32"/>
      <c r="D245" s="33"/>
      <c r="E245" s="34"/>
      <c r="F245" s="34"/>
      <c r="G245" s="35"/>
      <c r="H245" s="34"/>
      <c r="I245" s="37"/>
    </row>
    <row r="246" ht="22.5" customHeight="1">
      <c r="A246" s="30"/>
      <c r="B246" s="31"/>
      <c r="C246" s="32"/>
      <c r="D246" s="33"/>
      <c r="E246" s="34"/>
      <c r="F246" s="34"/>
      <c r="G246" s="35"/>
      <c r="H246" s="34"/>
      <c r="I246" s="37"/>
    </row>
    <row r="247" ht="22.5" customHeight="1">
      <c r="A247" s="30"/>
      <c r="B247" s="40"/>
      <c r="C247" s="32"/>
      <c r="D247" s="33"/>
      <c r="E247" s="34"/>
      <c r="F247" s="34"/>
      <c r="G247" s="35"/>
      <c r="H247" s="34"/>
      <c r="I247" s="37"/>
    </row>
    <row r="248" ht="22.5" customHeight="1">
      <c r="A248" s="30"/>
      <c r="B248" s="31"/>
      <c r="C248" s="32"/>
      <c r="D248" s="33"/>
      <c r="E248" s="34"/>
      <c r="F248" s="34"/>
      <c r="G248" s="35"/>
      <c r="H248" s="34"/>
      <c r="I248" s="37"/>
    </row>
    <row r="249" ht="22.5" customHeight="1">
      <c r="A249" s="30"/>
      <c r="B249" s="31"/>
      <c r="C249" s="32"/>
      <c r="D249" s="33"/>
      <c r="E249" s="34"/>
      <c r="F249" s="34"/>
      <c r="G249" s="35"/>
      <c r="H249" s="34"/>
      <c r="I249" s="37"/>
    </row>
    <row r="250" ht="22.5" customHeight="1">
      <c r="A250" s="30"/>
      <c r="B250" s="31"/>
      <c r="C250" s="32"/>
      <c r="D250" s="33"/>
      <c r="E250" s="34"/>
      <c r="F250" s="34"/>
      <c r="G250" s="35"/>
      <c r="H250" s="34"/>
      <c r="I250" s="37"/>
    </row>
    <row r="251" ht="22.5" customHeight="1">
      <c r="A251" s="30"/>
      <c r="B251" s="31"/>
      <c r="C251" s="32"/>
      <c r="D251" s="33"/>
      <c r="E251" s="34"/>
      <c r="F251" s="34"/>
      <c r="G251" s="35"/>
      <c r="H251" s="34"/>
      <c r="I251" s="37"/>
    </row>
    <row r="252" ht="22.5" customHeight="1">
      <c r="A252" s="30"/>
      <c r="B252" s="40"/>
      <c r="C252" s="32"/>
      <c r="D252" s="33"/>
      <c r="E252" s="34"/>
      <c r="F252" s="34"/>
      <c r="G252" s="35"/>
      <c r="H252" s="34"/>
      <c r="I252" s="37"/>
    </row>
    <row r="253" ht="22.5" customHeight="1">
      <c r="A253" s="30"/>
      <c r="B253" s="31"/>
      <c r="C253" s="32"/>
      <c r="D253" s="33"/>
      <c r="E253" s="34"/>
      <c r="F253" s="34"/>
      <c r="G253" s="35"/>
      <c r="H253" s="34"/>
      <c r="I253" s="37"/>
    </row>
    <row r="254" ht="22.5" customHeight="1">
      <c r="A254" s="30"/>
      <c r="B254" s="31"/>
      <c r="C254" s="32"/>
      <c r="D254" s="33"/>
      <c r="E254" s="34"/>
      <c r="F254" s="34"/>
      <c r="G254" s="35"/>
      <c r="H254" s="34"/>
      <c r="I254" s="37"/>
    </row>
    <row r="255" ht="22.5" customHeight="1">
      <c r="A255" s="30"/>
      <c r="B255" s="31"/>
      <c r="C255" s="32"/>
      <c r="D255" s="33"/>
      <c r="E255" s="34"/>
      <c r="F255" s="34"/>
      <c r="G255" s="35"/>
      <c r="H255" s="34"/>
      <c r="I255" s="37"/>
    </row>
    <row r="256" ht="22.5" customHeight="1">
      <c r="A256" s="30"/>
      <c r="B256" s="31"/>
      <c r="C256" s="32"/>
      <c r="D256" s="33"/>
      <c r="E256" s="34"/>
      <c r="F256" s="34"/>
      <c r="G256" s="35"/>
      <c r="H256" s="34"/>
      <c r="I256" s="37"/>
    </row>
    <row r="257" ht="22.5" customHeight="1">
      <c r="A257" s="30"/>
      <c r="B257" s="31"/>
      <c r="C257" s="32"/>
      <c r="D257" s="33"/>
      <c r="E257" s="34"/>
      <c r="F257" s="34"/>
      <c r="G257" s="35"/>
      <c r="H257" s="34"/>
      <c r="I257" s="37"/>
    </row>
    <row r="258" ht="22.5" customHeight="1">
      <c r="A258" s="30"/>
      <c r="B258" s="31"/>
      <c r="C258" s="32"/>
      <c r="D258" s="33"/>
      <c r="E258" s="34"/>
      <c r="F258" s="34"/>
      <c r="G258" s="35"/>
      <c r="H258" s="34"/>
      <c r="I258" s="37"/>
    </row>
    <row r="259" ht="22.5" customHeight="1">
      <c r="A259" s="30"/>
      <c r="B259" s="31"/>
      <c r="C259" s="32"/>
      <c r="D259" s="33"/>
      <c r="E259" s="34"/>
      <c r="F259" s="34"/>
      <c r="G259" s="35"/>
      <c r="H259" s="34"/>
      <c r="I259" s="37"/>
    </row>
    <row r="260" ht="22.5" customHeight="1">
      <c r="A260" s="30"/>
      <c r="B260" s="31"/>
      <c r="C260" s="32"/>
      <c r="D260" s="33"/>
      <c r="E260" s="34"/>
      <c r="F260" s="34"/>
      <c r="G260" s="35"/>
      <c r="H260" s="34"/>
      <c r="I260" s="37"/>
    </row>
    <row r="261" ht="22.5" customHeight="1">
      <c r="A261" s="30"/>
      <c r="B261" s="31"/>
      <c r="C261" s="32"/>
      <c r="D261" s="33"/>
      <c r="E261" s="34"/>
      <c r="F261" s="34"/>
      <c r="G261" s="35"/>
      <c r="H261" s="34"/>
      <c r="I261" s="37"/>
    </row>
    <row r="262" ht="22.5" customHeight="1">
      <c r="A262" s="30"/>
      <c r="B262" s="31"/>
      <c r="C262" s="32"/>
      <c r="D262" s="33"/>
      <c r="E262" s="34"/>
      <c r="F262" s="34"/>
      <c r="G262" s="35"/>
      <c r="H262" s="34"/>
      <c r="I262" s="37"/>
    </row>
    <row r="263" ht="22.5" customHeight="1">
      <c r="A263" s="30"/>
      <c r="B263" s="31"/>
      <c r="C263" s="32"/>
      <c r="D263" s="33"/>
      <c r="E263" s="34"/>
      <c r="F263" s="34"/>
      <c r="G263" s="35"/>
      <c r="H263" s="34"/>
      <c r="I263" s="37"/>
    </row>
    <row r="264" ht="22.5" customHeight="1">
      <c r="A264" s="30"/>
      <c r="B264" s="31"/>
      <c r="C264" s="32"/>
      <c r="D264" s="33"/>
      <c r="E264" s="34"/>
      <c r="F264" s="34"/>
      <c r="G264" s="35"/>
      <c r="H264" s="34"/>
      <c r="I264" s="37"/>
    </row>
    <row r="265" ht="22.5" customHeight="1">
      <c r="A265" s="30"/>
      <c r="B265" s="31"/>
      <c r="C265" s="32"/>
      <c r="D265" s="33"/>
      <c r="E265" s="34"/>
      <c r="F265" s="34"/>
      <c r="G265" s="35"/>
      <c r="H265" s="34"/>
      <c r="I265" s="37"/>
    </row>
    <row r="266" ht="22.5" customHeight="1">
      <c r="A266" s="30"/>
      <c r="B266" s="31"/>
      <c r="C266" s="32"/>
      <c r="D266" s="33"/>
      <c r="E266" s="34"/>
      <c r="F266" s="34"/>
      <c r="G266" s="35"/>
      <c r="H266" s="34"/>
      <c r="I266" s="37"/>
    </row>
    <row r="267" ht="22.5" customHeight="1">
      <c r="A267" s="30"/>
      <c r="B267" s="31"/>
      <c r="C267" s="32"/>
      <c r="D267" s="33"/>
      <c r="E267" s="34"/>
      <c r="F267" s="34"/>
      <c r="G267" s="35"/>
      <c r="H267" s="34"/>
      <c r="I267" s="37"/>
    </row>
    <row r="268" ht="22.5" customHeight="1">
      <c r="A268" s="30"/>
      <c r="B268" s="31"/>
      <c r="C268" s="32"/>
      <c r="D268" s="33"/>
      <c r="E268" s="34"/>
      <c r="F268" s="34"/>
      <c r="G268" s="35"/>
      <c r="H268" s="34"/>
      <c r="I268" s="37"/>
    </row>
    <row r="269" ht="22.5" customHeight="1">
      <c r="A269" s="30"/>
      <c r="B269" s="31"/>
      <c r="C269" s="32"/>
      <c r="D269" s="33"/>
      <c r="E269" s="34"/>
      <c r="F269" s="34"/>
      <c r="G269" s="35"/>
      <c r="H269" s="34"/>
      <c r="I269" s="37"/>
    </row>
    <row r="270" ht="22.5" customHeight="1">
      <c r="A270" s="30"/>
      <c r="B270" s="31"/>
      <c r="C270" s="32"/>
      <c r="D270" s="33"/>
      <c r="E270" s="34"/>
      <c r="F270" s="34"/>
      <c r="G270" s="35"/>
      <c r="H270" s="34"/>
      <c r="I270" s="37"/>
    </row>
    <row r="271" ht="22.5" customHeight="1">
      <c r="A271" s="30"/>
      <c r="B271" s="31"/>
      <c r="C271" s="32"/>
      <c r="D271" s="33"/>
      <c r="E271" s="34"/>
      <c r="F271" s="34"/>
      <c r="G271" s="35"/>
      <c r="H271" s="34"/>
      <c r="I271" s="37"/>
    </row>
    <row r="272" ht="22.5" customHeight="1">
      <c r="A272" s="30"/>
      <c r="B272" s="31"/>
      <c r="C272" s="32"/>
      <c r="D272" s="33"/>
      <c r="E272" s="34"/>
      <c r="F272" s="34"/>
      <c r="G272" s="35"/>
      <c r="H272" s="34"/>
      <c r="I272" s="37"/>
    </row>
    <row r="273" ht="22.5" customHeight="1">
      <c r="A273" s="30"/>
      <c r="B273" s="31"/>
      <c r="C273" s="32"/>
      <c r="D273" s="33"/>
      <c r="E273" s="34"/>
      <c r="F273" s="34"/>
      <c r="G273" s="35"/>
      <c r="H273" s="34"/>
      <c r="I273" s="37"/>
    </row>
    <row r="274" ht="22.5" customHeight="1">
      <c r="A274" s="30"/>
      <c r="B274" s="40"/>
      <c r="C274" s="32"/>
      <c r="D274" s="33"/>
      <c r="E274" s="34"/>
      <c r="F274" s="34"/>
      <c r="G274" s="35"/>
      <c r="H274" s="34"/>
      <c r="I274" s="37"/>
    </row>
    <row r="275" ht="22.5" customHeight="1">
      <c r="A275" s="30"/>
      <c r="B275" s="31"/>
      <c r="C275" s="32"/>
      <c r="D275" s="33"/>
      <c r="E275" s="34"/>
      <c r="F275" s="34"/>
      <c r="G275" s="35"/>
      <c r="H275" s="34"/>
      <c r="I275" s="37"/>
    </row>
    <row r="276" ht="22.5" customHeight="1">
      <c r="A276" s="30"/>
      <c r="B276" s="31"/>
      <c r="C276" s="32"/>
      <c r="D276" s="33"/>
      <c r="E276" s="34"/>
      <c r="F276" s="34"/>
      <c r="G276" s="35"/>
      <c r="H276" s="34"/>
      <c r="I276" s="37"/>
    </row>
    <row r="277" ht="22.5" customHeight="1">
      <c r="A277" s="30"/>
      <c r="B277" s="31"/>
      <c r="C277" s="32"/>
      <c r="D277" s="33"/>
      <c r="E277" s="34"/>
      <c r="F277" s="34"/>
      <c r="G277" s="35"/>
      <c r="H277" s="34"/>
      <c r="I277" s="37"/>
    </row>
    <row r="278" ht="22.5" customHeight="1">
      <c r="A278" s="30"/>
      <c r="B278" s="31"/>
      <c r="C278" s="32"/>
      <c r="D278" s="33"/>
      <c r="E278" s="34"/>
      <c r="F278" s="34"/>
      <c r="G278" s="35"/>
      <c r="H278" s="34"/>
      <c r="I278" s="38"/>
    </row>
    <row r="279" ht="22.5" customHeight="1">
      <c r="A279" s="30"/>
      <c r="B279" s="39"/>
      <c r="C279" s="32"/>
      <c r="D279" s="33"/>
      <c r="E279" s="34"/>
      <c r="F279" s="34"/>
      <c r="G279" s="35"/>
      <c r="H279" s="34"/>
      <c r="I279" s="37"/>
    </row>
    <row r="280" ht="22.5" customHeight="1">
      <c r="A280" s="30"/>
      <c r="B280" s="31"/>
      <c r="C280" s="32"/>
      <c r="D280" s="33"/>
      <c r="E280" s="34"/>
      <c r="F280" s="34"/>
      <c r="G280" s="35"/>
      <c r="H280" s="34"/>
      <c r="I280" s="37"/>
    </row>
    <row r="281" ht="22.5" customHeight="1">
      <c r="A281" s="30"/>
      <c r="B281" s="31"/>
      <c r="C281" s="32"/>
      <c r="D281" s="33"/>
      <c r="E281" s="34"/>
      <c r="F281" s="34"/>
      <c r="G281" s="35"/>
      <c r="H281" s="34"/>
      <c r="I281" s="37"/>
    </row>
    <row r="282" ht="22.5" customHeight="1">
      <c r="A282" s="30"/>
      <c r="B282" s="31"/>
      <c r="C282" s="32"/>
      <c r="D282" s="33"/>
      <c r="E282" s="34"/>
      <c r="F282" s="34"/>
      <c r="G282" s="35"/>
      <c r="H282" s="34"/>
      <c r="I282" s="37"/>
    </row>
    <row r="283" ht="22.5" customHeight="1">
      <c r="A283" s="30"/>
      <c r="B283" s="39"/>
      <c r="C283" s="32"/>
      <c r="D283" s="33"/>
      <c r="E283" s="34"/>
      <c r="F283" s="34"/>
      <c r="G283" s="35"/>
      <c r="H283" s="34"/>
      <c r="I283" s="37"/>
    </row>
    <row r="284" ht="22.5" customHeight="1">
      <c r="A284" s="30"/>
      <c r="B284" s="31"/>
      <c r="C284" s="32"/>
      <c r="D284" s="33"/>
      <c r="E284" s="34"/>
      <c r="F284" s="34"/>
      <c r="G284" s="35"/>
      <c r="H284" s="34"/>
      <c r="I284" s="37"/>
    </row>
    <row r="285" ht="22.5" customHeight="1">
      <c r="A285" s="30"/>
      <c r="B285" s="39"/>
      <c r="C285" s="32"/>
      <c r="D285" s="33"/>
      <c r="E285" s="34"/>
      <c r="F285" s="34"/>
      <c r="G285" s="35"/>
      <c r="H285" s="34"/>
      <c r="I285" s="37"/>
    </row>
    <row r="286" ht="22.5" customHeight="1">
      <c r="A286" s="30"/>
      <c r="B286" s="31"/>
      <c r="C286" s="32"/>
      <c r="D286" s="33"/>
      <c r="E286" s="34"/>
      <c r="F286" s="34"/>
      <c r="G286" s="35"/>
      <c r="H286" s="34"/>
      <c r="I286" s="37"/>
    </row>
    <row r="287" ht="22.5" customHeight="1">
      <c r="A287" s="30"/>
      <c r="B287" s="31"/>
      <c r="C287" s="32"/>
      <c r="D287" s="33"/>
      <c r="E287" s="34"/>
      <c r="F287" s="34"/>
      <c r="G287" s="35"/>
      <c r="H287" s="34"/>
      <c r="I287" s="37"/>
    </row>
    <row r="288" ht="22.5" customHeight="1">
      <c r="A288" s="30"/>
      <c r="B288" s="31"/>
      <c r="C288" s="32"/>
      <c r="D288" s="33"/>
      <c r="E288" s="34"/>
      <c r="F288" s="34"/>
      <c r="G288" s="35"/>
      <c r="H288" s="34"/>
      <c r="I288" s="37"/>
    </row>
    <row r="289" ht="22.5" customHeight="1">
      <c r="A289" s="30"/>
      <c r="B289" s="31"/>
      <c r="C289" s="32"/>
      <c r="D289" s="33"/>
      <c r="E289" s="34"/>
      <c r="F289" s="34"/>
      <c r="G289" s="35"/>
      <c r="H289" s="34"/>
      <c r="I289" s="37"/>
    </row>
    <row r="290" ht="22.5" customHeight="1">
      <c r="A290" s="30"/>
      <c r="B290" s="31"/>
      <c r="C290" s="32"/>
      <c r="D290" s="33"/>
      <c r="E290" s="34"/>
      <c r="F290" s="34"/>
      <c r="G290" s="35"/>
      <c r="H290" s="34"/>
      <c r="I290" s="37"/>
    </row>
    <row r="291" ht="22.5" customHeight="1">
      <c r="A291" s="30"/>
      <c r="B291" s="31"/>
      <c r="C291" s="32"/>
      <c r="D291" s="33"/>
      <c r="E291" s="34"/>
      <c r="F291" s="34"/>
      <c r="G291" s="35"/>
      <c r="H291" s="34"/>
      <c r="I291" s="37"/>
    </row>
    <row r="292" ht="22.5" customHeight="1">
      <c r="A292" s="30"/>
      <c r="B292" s="31"/>
      <c r="C292" s="32"/>
      <c r="D292" s="33"/>
      <c r="E292" s="34"/>
      <c r="F292" s="34"/>
      <c r="G292" s="35"/>
      <c r="H292" s="34"/>
      <c r="I292" s="37"/>
    </row>
    <row r="293" ht="22.5" customHeight="1">
      <c r="A293" s="30"/>
      <c r="B293" s="31"/>
      <c r="C293" s="32"/>
      <c r="D293" s="33"/>
      <c r="E293" s="34"/>
      <c r="F293" s="34"/>
      <c r="G293" s="35"/>
      <c r="H293" s="34"/>
      <c r="I293" s="37"/>
    </row>
    <row r="294" ht="22.5" customHeight="1">
      <c r="A294" s="30"/>
      <c r="B294" s="31"/>
      <c r="C294" s="32"/>
      <c r="D294" s="33"/>
      <c r="E294" s="34"/>
      <c r="F294" s="34"/>
      <c r="G294" s="35"/>
      <c r="H294" s="34"/>
      <c r="I294" s="37"/>
    </row>
    <row r="295" ht="22.5" customHeight="1">
      <c r="A295" s="30"/>
      <c r="B295" s="31"/>
      <c r="C295" s="32"/>
      <c r="D295" s="33"/>
      <c r="E295" s="34"/>
      <c r="F295" s="34"/>
      <c r="G295" s="35"/>
      <c r="H295" s="34"/>
      <c r="I295" s="37"/>
    </row>
    <row r="296" ht="22.5" customHeight="1">
      <c r="A296" s="30"/>
      <c r="B296" s="40"/>
      <c r="C296" s="32"/>
      <c r="D296" s="33"/>
      <c r="E296" s="34"/>
      <c r="F296" s="34"/>
      <c r="G296" s="35"/>
      <c r="H296" s="34"/>
      <c r="I296" s="37"/>
    </row>
    <row r="297" ht="22.5" customHeight="1">
      <c r="A297" s="30"/>
      <c r="B297" s="31"/>
      <c r="C297" s="32"/>
      <c r="D297" s="33"/>
      <c r="E297" s="34"/>
      <c r="F297" s="34"/>
      <c r="G297" s="35"/>
      <c r="H297" s="34"/>
      <c r="I297" s="37"/>
    </row>
    <row r="298" ht="22.5" customHeight="1">
      <c r="A298" s="30"/>
      <c r="B298" s="31"/>
      <c r="C298" s="32"/>
      <c r="D298" s="33"/>
      <c r="E298" s="34"/>
      <c r="F298" s="34"/>
      <c r="G298" s="35"/>
      <c r="H298" s="34"/>
      <c r="I298" s="37"/>
    </row>
    <row r="299" ht="22.5" customHeight="1">
      <c r="A299" s="30"/>
      <c r="B299" s="31"/>
      <c r="C299" s="32"/>
      <c r="D299" s="33"/>
      <c r="E299" s="34"/>
      <c r="F299" s="34"/>
      <c r="G299" s="35"/>
      <c r="H299" s="34"/>
      <c r="I299" s="37"/>
    </row>
    <row r="300" ht="22.5" customHeight="1">
      <c r="A300" s="30"/>
      <c r="B300" s="31"/>
      <c r="C300" s="32"/>
      <c r="D300" s="33"/>
      <c r="E300" s="34"/>
      <c r="F300" s="34"/>
      <c r="G300" s="35"/>
      <c r="H300" s="34"/>
      <c r="I300" s="37"/>
    </row>
    <row r="301" ht="22.5" customHeight="1">
      <c r="A301" s="30"/>
      <c r="B301" s="31"/>
      <c r="C301" s="32"/>
      <c r="D301" s="33"/>
      <c r="E301" s="34"/>
      <c r="F301" s="34"/>
      <c r="G301" s="35"/>
      <c r="H301" s="34"/>
      <c r="I301" s="37"/>
    </row>
    <row r="302" ht="22.5" customHeight="1">
      <c r="A302" s="30"/>
      <c r="B302" s="31"/>
      <c r="C302" s="32"/>
      <c r="D302" s="33"/>
      <c r="E302" s="34"/>
      <c r="F302" s="34"/>
      <c r="G302" s="35"/>
      <c r="H302" s="34"/>
      <c r="I302" s="37"/>
    </row>
    <row r="303" ht="22.5" customHeight="1">
      <c r="A303" s="30"/>
      <c r="B303" s="39"/>
      <c r="C303" s="32"/>
      <c r="D303" s="33"/>
      <c r="E303" s="34"/>
      <c r="F303" s="34"/>
      <c r="G303" s="35"/>
      <c r="H303" s="34"/>
      <c r="I303" s="37"/>
    </row>
    <row r="304" ht="22.5" customHeight="1">
      <c r="A304" s="30"/>
      <c r="B304" s="39"/>
      <c r="C304" s="32"/>
      <c r="D304" s="33"/>
      <c r="E304" s="34"/>
      <c r="F304" s="34"/>
      <c r="G304" s="35"/>
      <c r="H304" s="34"/>
      <c r="I304" s="37"/>
    </row>
    <row r="305" ht="22.5" customHeight="1">
      <c r="A305" s="30"/>
      <c r="B305" s="39"/>
      <c r="C305" s="32"/>
      <c r="D305" s="33"/>
      <c r="E305" s="34"/>
      <c r="F305" s="34"/>
      <c r="G305" s="35"/>
      <c r="H305" s="34"/>
      <c r="I305" s="37"/>
    </row>
    <row r="306" ht="22.5" customHeight="1">
      <c r="A306" s="30"/>
      <c r="B306" s="40"/>
      <c r="C306" s="32"/>
      <c r="D306" s="33"/>
      <c r="E306" s="34"/>
      <c r="F306" s="34"/>
      <c r="G306" s="35"/>
      <c r="H306" s="34"/>
      <c r="I306" s="37"/>
    </row>
    <row r="307" ht="22.5" customHeight="1">
      <c r="A307" s="30"/>
      <c r="B307" s="31"/>
      <c r="C307" s="32"/>
      <c r="D307" s="33"/>
      <c r="E307" s="34"/>
      <c r="F307" s="34"/>
      <c r="G307" s="35"/>
      <c r="H307" s="34"/>
      <c r="I307" s="37"/>
    </row>
    <row r="308" ht="22.5" customHeight="1">
      <c r="A308" s="30"/>
      <c r="B308" s="31"/>
      <c r="C308" s="32"/>
      <c r="D308" s="33"/>
      <c r="E308" s="34"/>
      <c r="F308" s="34"/>
      <c r="G308" s="35"/>
      <c r="H308" s="34"/>
      <c r="I308" s="37"/>
    </row>
    <row r="309" ht="22.5" customHeight="1">
      <c r="A309" s="30"/>
      <c r="B309" s="31"/>
      <c r="C309" s="32"/>
      <c r="D309" s="33"/>
      <c r="E309" s="34"/>
      <c r="F309" s="34"/>
      <c r="G309" s="35"/>
      <c r="H309" s="34"/>
      <c r="I309" s="37"/>
    </row>
    <row r="310" ht="22.5" customHeight="1">
      <c r="A310" s="30"/>
      <c r="B310" s="31"/>
      <c r="C310" s="32"/>
      <c r="D310" s="33"/>
      <c r="E310" s="34"/>
      <c r="F310" s="34"/>
      <c r="G310" s="35"/>
      <c r="H310" s="34"/>
      <c r="I310" s="37"/>
    </row>
    <row r="311" ht="22.5" customHeight="1">
      <c r="A311" s="30"/>
      <c r="B311" s="31"/>
      <c r="C311" s="32"/>
      <c r="D311" s="33"/>
      <c r="E311" s="34"/>
      <c r="F311" s="34"/>
      <c r="G311" s="35"/>
      <c r="H311" s="34"/>
      <c r="I311" s="37"/>
    </row>
    <row r="312" ht="22.5" customHeight="1">
      <c r="A312" s="30"/>
      <c r="B312" s="31"/>
      <c r="C312" s="32"/>
      <c r="D312" s="33"/>
      <c r="E312" s="34"/>
      <c r="F312" s="34"/>
      <c r="G312" s="35"/>
      <c r="H312" s="34"/>
      <c r="I312" s="37"/>
    </row>
    <row r="313" ht="22.5" customHeight="1">
      <c r="A313" s="30"/>
      <c r="B313" s="31"/>
      <c r="C313" s="32"/>
      <c r="D313" s="33"/>
      <c r="E313" s="34"/>
      <c r="F313" s="34"/>
      <c r="G313" s="35"/>
      <c r="H313" s="34"/>
      <c r="I313" s="37"/>
    </row>
    <row r="314" ht="22.5" customHeight="1">
      <c r="A314" s="30"/>
      <c r="B314" s="31"/>
      <c r="C314" s="32"/>
      <c r="D314" s="33"/>
      <c r="E314" s="34"/>
      <c r="F314" s="34"/>
      <c r="G314" s="35"/>
      <c r="H314" s="34"/>
      <c r="I314" s="37"/>
    </row>
    <row r="315" ht="22.5" customHeight="1">
      <c r="A315" s="30"/>
      <c r="B315" s="31"/>
      <c r="C315" s="32"/>
      <c r="D315" s="33"/>
      <c r="E315" s="34"/>
      <c r="F315" s="34"/>
      <c r="G315" s="35"/>
      <c r="H315" s="34"/>
      <c r="I315" s="37"/>
    </row>
    <row r="316" ht="22.5" customHeight="1">
      <c r="A316" s="30"/>
      <c r="B316" s="40"/>
      <c r="C316" s="32"/>
      <c r="D316" s="33"/>
      <c r="E316" s="34"/>
      <c r="F316" s="34"/>
      <c r="G316" s="35"/>
      <c r="H316" s="34"/>
      <c r="I316" s="37"/>
    </row>
    <row r="317" ht="22.5" customHeight="1">
      <c r="A317" s="30"/>
      <c r="B317" s="31"/>
      <c r="C317" s="32"/>
      <c r="D317" s="33"/>
      <c r="E317" s="34"/>
      <c r="F317" s="34"/>
      <c r="G317" s="35"/>
      <c r="H317" s="34"/>
      <c r="I317" s="37"/>
    </row>
    <row r="318" ht="22.5" customHeight="1">
      <c r="A318" s="30"/>
      <c r="B318" s="31"/>
      <c r="C318" s="32"/>
      <c r="D318" s="33"/>
      <c r="E318" s="34"/>
      <c r="F318" s="34"/>
      <c r="G318" s="35"/>
      <c r="H318" s="34"/>
      <c r="I318" s="37"/>
    </row>
    <row r="319" ht="22.5" customHeight="1">
      <c r="A319" s="30"/>
      <c r="B319" s="31"/>
      <c r="C319" s="32"/>
      <c r="D319" s="33"/>
      <c r="E319" s="34"/>
      <c r="F319" s="34"/>
      <c r="G319" s="35"/>
      <c r="H319" s="34"/>
      <c r="I319" s="37"/>
    </row>
    <row r="320" ht="22.5" customHeight="1">
      <c r="A320" s="30"/>
      <c r="B320" s="40"/>
      <c r="C320" s="32"/>
      <c r="D320" s="33"/>
      <c r="E320" s="34"/>
      <c r="F320" s="34"/>
      <c r="G320" s="35"/>
      <c r="H320" s="34"/>
      <c r="I320" s="37"/>
    </row>
    <row r="321" ht="22.5" customHeight="1">
      <c r="A321" s="30"/>
      <c r="B321" s="31"/>
      <c r="C321" s="32"/>
      <c r="D321" s="33"/>
      <c r="E321" s="34"/>
      <c r="F321" s="34"/>
      <c r="G321" s="35"/>
      <c r="H321" s="34"/>
      <c r="I321" s="37"/>
    </row>
    <row r="322" ht="22.5" customHeight="1">
      <c r="A322" s="30"/>
      <c r="B322" s="31"/>
      <c r="C322" s="32"/>
      <c r="D322" s="33"/>
      <c r="E322" s="34"/>
      <c r="F322" s="34"/>
      <c r="G322" s="35"/>
      <c r="H322" s="34"/>
      <c r="I322" s="37"/>
    </row>
    <row r="323" ht="22.5" customHeight="1">
      <c r="A323" s="30"/>
      <c r="B323" s="31"/>
      <c r="C323" s="32"/>
      <c r="D323" s="33"/>
      <c r="E323" s="34"/>
      <c r="F323" s="34"/>
      <c r="G323" s="35"/>
      <c r="H323" s="34"/>
      <c r="I323" s="37"/>
    </row>
    <row r="324" ht="22.5" customHeight="1">
      <c r="A324" s="30"/>
      <c r="B324" s="31"/>
      <c r="C324" s="32"/>
      <c r="D324" s="33"/>
      <c r="E324" s="34"/>
      <c r="F324" s="34"/>
      <c r="G324" s="35"/>
      <c r="H324" s="34"/>
      <c r="I324" s="37"/>
    </row>
    <row r="325" ht="22.5" customHeight="1">
      <c r="A325" s="30"/>
      <c r="B325" s="31"/>
      <c r="C325" s="32"/>
      <c r="D325" s="33"/>
      <c r="E325" s="34"/>
      <c r="F325" s="34"/>
      <c r="G325" s="35"/>
      <c r="H325" s="34"/>
      <c r="I325" s="37"/>
    </row>
    <row r="326" ht="22.5" customHeight="1">
      <c r="A326" s="30"/>
      <c r="B326" s="31"/>
      <c r="C326" s="32"/>
      <c r="D326" s="33"/>
      <c r="E326" s="34"/>
      <c r="F326" s="34"/>
      <c r="G326" s="35"/>
      <c r="H326" s="34"/>
      <c r="I326" s="37"/>
    </row>
    <row r="327" ht="22.5" customHeight="1">
      <c r="A327" s="30"/>
      <c r="B327" s="31"/>
      <c r="C327" s="32"/>
      <c r="D327" s="33"/>
      <c r="E327" s="34"/>
      <c r="F327" s="34"/>
      <c r="G327" s="35"/>
      <c r="H327" s="34"/>
      <c r="I327" s="37"/>
    </row>
    <row r="328" ht="22.5" customHeight="1">
      <c r="A328" s="30"/>
      <c r="B328" s="31"/>
      <c r="C328" s="32"/>
      <c r="D328" s="33"/>
      <c r="E328" s="34"/>
      <c r="F328" s="34"/>
      <c r="G328" s="35"/>
      <c r="H328" s="34"/>
      <c r="I328" s="37"/>
    </row>
    <row r="329" ht="22.5" customHeight="1">
      <c r="A329" s="30"/>
      <c r="B329" s="31"/>
      <c r="C329" s="32"/>
      <c r="D329" s="33"/>
      <c r="E329" s="34"/>
      <c r="F329" s="34"/>
      <c r="G329" s="35"/>
      <c r="H329" s="34"/>
      <c r="I329" s="37"/>
    </row>
    <row r="330" ht="22.5" customHeight="1">
      <c r="A330" s="30"/>
      <c r="B330" s="31"/>
      <c r="C330" s="32"/>
      <c r="D330" s="33"/>
      <c r="E330" s="34"/>
      <c r="F330" s="34"/>
      <c r="G330" s="35"/>
      <c r="H330" s="34"/>
      <c r="I330" s="37"/>
    </row>
    <row r="331" ht="22.5" customHeight="1">
      <c r="A331" s="30"/>
      <c r="B331" s="31"/>
      <c r="C331" s="32"/>
      <c r="D331" s="33"/>
      <c r="E331" s="34"/>
      <c r="F331" s="34"/>
      <c r="G331" s="35"/>
      <c r="H331" s="34"/>
      <c r="I331" s="37"/>
    </row>
    <row r="332" ht="22.5" customHeight="1">
      <c r="A332" s="30"/>
      <c r="B332" s="31"/>
      <c r="C332" s="32"/>
      <c r="D332" s="33"/>
      <c r="E332" s="34"/>
      <c r="F332" s="34"/>
      <c r="G332" s="35"/>
      <c r="H332" s="34"/>
      <c r="I332" s="37"/>
    </row>
    <row r="333" ht="22.5" customHeight="1">
      <c r="A333" s="30"/>
      <c r="B333" s="31"/>
      <c r="C333" s="32"/>
      <c r="D333" s="33"/>
      <c r="E333" s="34"/>
      <c r="F333" s="34"/>
      <c r="G333" s="35"/>
      <c r="H333" s="34"/>
      <c r="I333" s="37"/>
    </row>
    <row r="334" ht="22.5" customHeight="1">
      <c r="A334" s="30"/>
      <c r="B334" s="31"/>
      <c r="C334" s="32"/>
      <c r="D334" s="33"/>
      <c r="E334" s="34"/>
      <c r="F334" s="34"/>
      <c r="G334" s="35"/>
      <c r="H334" s="34"/>
      <c r="I334" s="37"/>
    </row>
    <row r="335" ht="22.5" customHeight="1">
      <c r="A335" s="30"/>
      <c r="B335" s="40"/>
      <c r="C335" s="32"/>
      <c r="D335" s="33"/>
      <c r="E335" s="34"/>
      <c r="F335" s="34"/>
      <c r="G335" s="35"/>
      <c r="H335" s="34"/>
      <c r="I335" s="37"/>
    </row>
    <row r="336" ht="22.5" customHeight="1">
      <c r="A336" s="30"/>
      <c r="B336" s="31"/>
      <c r="C336" s="32"/>
      <c r="D336" s="33"/>
      <c r="E336" s="34"/>
      <c r="F336" s="34"/>
      <c r="G336" s="35"/>
      <c r="H336" s="34"/>
      <c r="I336" s="37"/>
    </row>
    <row r="337" ht="22.5" customHeight="1">
      <c r="A337" s="30"/>
      <c r="B337" s="40"/>
      <c r="C337" s="32"/>
      <c r="D337" s="33"/>
      <c r="E337" s="34"/>
      <c r="F337" s="34"/>
      <c r="G337" s="35"/>
      <c r="H337" s="34"/>
      <c r="I337" s="37"/>
    </row>
    <row r="338" ht="22.5" customHeight="1">
      <c r="A338" s="30"/>
      <c r="B338" s="31"/>
      <c r="C338" s="32"/>
      <c r="D338" s="33"/>
      <c r="E338" s="34"/>
      <c r="F338" s="34"/>
      <c r="G338" s="35"/>
      <c r="H338" s="34"/>
      <c r="I338" s="37"/>
    </row>
    <row r="339" ht="22.5" customHeight="1">
      <c r="A339" s="30"/>
      <c r="B339" s="31"/>
      <c r="C339" s="32"/>
      <c r="D339" s="33"/>
      <c r="E339" s="34"/>
      <c r="F339" s="34"/>
      <c r="G339" s="35"/>
      <c r="H339" s="34"/>
      <c r="I339" s="37"/>
    </row>
    <row r="340" ht="22.5" customHeight="1">
      <c r="A340" s="30"/>
      <c r="B340" s="31"/>
      <c r="C340" s="32"/>
      <c r="D340" s="33"/>
      <c r="E340" s="34"/>
      <c r="F340" s="34"/>
      <c r="G340" s="35"/>
      <c r="H340" s="34"/>
      <c r="I340" s="37"/>
    </row>
    <row r="341" ht="22.5" customHeight="1">
      <c r="A341" s="30"/>
      <c r="B341" s="31"/>
      <c r="C341" s="32"/>
      <c r="D341" s="33"/>
      <c r="E341" s="34"/>
      <c r="F341" s="34"/>
      <c r="G341" s="35"/>
      <c r="H341" s="34"/>
      <c r="I341" s="37"/>
    </row>
    <row r="342" ht="22.5" customHeight="1">
      <c r="A342" s="30"/>
      <c r="B342" s="40"/>
      <c r="C342" s="32"/>
      <c r="D342" s="33"/>
      <c r="E342" s="34"/>
      <c r="F342" s="34"/>
      <c r="G342" s="35"/>
      <c r="H342" s="34"/>
      <c r="I342" s="37"/>
    </row>
    <row r="343" ht="22.5" customHeight="1">
      <c r="A343" s="30"/>
      <c r="B343" s="31"/>
      <c r="C343" s="32"/>
      <c r="D343" s="33"/>
      <c r="E343" s="34"/>
      <c r="F343" s="34"/>
      <c r="G343" s="35"/>
      <c r="H343" s="34"/>
      <c r="I343" s="37"/>
    </row>
    <row r="344" ht="22.5" customHeight="1">
      <c r="A344" s="30"/>
      <c r="B344" s="31"/>
      <c r="C344" s="32"/>
      <c r="D344" s="33"/>
      <c r="E344" s="34"/>
      <c r="F344" s="34"/>
      <c r="G344" s="35"/>
      <c r="H344" s="34"/>
      <c r="I344" s="37"/>
    </row>
    <row r="345" ht="22.5" customHeight="1">
      <c r="A345" s="30"/>
      <c r="B345" s="31"/>
      <c r="C345" s="32"/>
      <c r="D345" s="33"/>
      <c r="E345" s="34"/>
      <c r="F345" s="34"/>
      <c r="G345" s="35"/>
      <c r="H345" s="34"/>
      <c r="I345" s="37"/>
    </row>
    <row r="346" ht="22.5" customHeight="1">
      <c r="A346" s="30"/>
      <c r="B346" s="31"/>
      <c r="C346" s="32"/>
      <c r="D346" s="33"/>
      <c r="E346" s="34"/>
      <c r="F346" s="34"/>
      <c r="G346" s="35"/>
      <c r="H346" s="34"/>
      <c r="I346" s="37"/>
    </row>
    <row r="347" ht="22.5" customHeight="1">
      <c r="A347" s="30"/>
      <c r="B347" s="31"/>
      <c r="C347" s="32"/>
      <c r="D347" s="33"/>
      <c r="E347" s="34"/>
      <c r="F347" s="34"/>
      <c r="G347" s="35"/>
      <c r="H347" s="34"/>
      <c r="I347" s="37"/>
    </row>
    <row r="348" ht="22.5" customHeight="1">
      <c r="A348" s="30"/>
      <c r="B348" s="31"/>
      <c r="C348" s="32"/>
      <c r="D348" s="33"/>
      <c r="E348" s="34"/>
      <c r="F348" s="34"/>
      <c r="G348" s="35"/>
      <c r="H348" s="34"/>
      <c r="I348" s="37"/>
    </row>
    <row r="349" ht="22.5" customHeight="1">
      <c r="A349" s="30"/>
      <c r="B349" s="31"/>
      <c r="C349" s="32"/>
      <c r="D349" s="33"/>
      <c r="E349" s="34"/>
      <c r="F349" s="34"/>
      <c r="G349" s="35"/>
      <c r="H349" s="34"/>
      <c r="I349" s="37"/>
    </row>
    <row r="350" ht="22.5" customHeight="1">
      <c r="A350" s="30"/>
      <c r="B350" s="31"/>
      <c r="C350" s="32"/>
      <c r="D350" s="33"/>
      <c r="E350" s="34"/>
      <c r="F350" s="34"/>
      <c r="G350" s="35"/>
      <c r="H350" s="34"/>
      <c r="I350" s="37"/>
    </row>
    <row r="351" ht="22.5" customHeight="1">
      <c r="A351" s="30"/>
      <c r="B351" s="31"/>
      <c r="C351" s="32"/>
      <c r="D351" s="33"/>
      <c r="E351" s="34"/>
      <c r="F351" s="34"/>
      <c r="G351" s="35"/>
      <c r="H351" s="34"/>
      <c r="I351" s="37"/>
    </row>
    <row r="352" ht="22.5" customHeight="1">
      <c r="A352" s="30"/>
      <c r="B352" s="31"/>
      <c r="C352" s="32"/>
      <c r="D352" s="33"/>
      <c r="E352" s="34"/>
      <c r="F352" s="34"/>
      <c r="G352" s="35"/>
      <c r="H352" s="34"/>
      <c r="I352" s="37"/>
    </row>
    <row r="353" ht="22.5" customHeight="1">
      <c r="A353" s="30"/>
      <c r="B353" s="31"/>
      <c r="C353" s="32"/>
      <c r="D353" s="33"/>
      <c r="E353" s="34"/>
      <c r="F353" s="34"/>
      <c r="G353" s="35"/>
      <c r="H353" s="34"/>
      <c r="I353" s="37"/>
    </row>
    <row r="354" ht="22.5" customHeight="1">
      <c r="A354" s="30"/>
      <c r="B354" s="31"/>
      <c r="C354" s="32"/>
      <c r="D354" s="33"/>
      <c r="E354" s="34"/>
      <c r="F354" s="34"/>
      <c r="G354" s="35"/>
      <c r="H354" s="34"/>
      <c r="I354" s="37"/>
    </row>
    <row r="355" ht="22.5" customHeight="1">
      <c r="A355" s="30"/>
      <c r="B355" s="31"/>
      <c r="C355" s="32"/>
      <c r="D355" s="33"/>
      <c r="E355" s="34"/>
      <c r="F355" s="34"/>
      <c r="G355" s="35"/>
      <c r="H355" s="34"/>
      <c r="I355" s="37"/>
    </row>
    <row r="356" ht="22.5" customHeight="1">
      <c r="A356" s="30"/>
      <c r="B356" s="31"/>
      <c r="C356" s="32"/>
      <c r="D356" s="33"/>
      <c r="E356" s="34"/>
      <c r="F356" s="34"/>
      <c r="G356" s="35"/>
      <c r="H356" s="34"/>
      <c r="I356" s="37"/>
    </row>
    <row r="357" ht="22.5" customHeight="1">
      <c r="A357" s="30"/>
      <c r="B357" s="31"/>
      <c r="C357" s="32"/>
      <c r="D357" s="33"/>
      <c r="E357" s="34"/>
      <c r="F357" s="34"/>
      <c r="G357" s="35"/>
      <c r="H357" s="34"/>
      <c r="I357" s="37"/>
    </row>
    <row r="358" ht="22.5" customHeight="1">
      <c r="A358" s="30"/>
      <c r="B358" s="31"/>
      <c r="C358" s="32"/>
      <c r="D358" s="33"/>
      <c r="E358" s="34"/>
      <c r="F358" s="34"/>
      <c r="G358" s="35"/>
      <c r="H358" s="34"/>
      <c r="I358" s="37"/>
    </row>
    <row r="359" ht="22.5" customHeight="1">
      <c r="A359" s="30"/>
      <c r="B359" s="31"/>
      <c r="C359" s="32"/>
      <c r="D359" s="33"/>
      <c r="E359" s="34"/>
      <c r="F359" s="34"/>
      <c r="G359" s="35"/>
      <c r="H359" s="34"/>
      <c r="I359" s="37"/>
    </row>
    <row r="360" ht="22.5" customHeight="1">
      <c r="A360" s="30"/>
      <c r="B360" s="31"/>
      <c r="C360" s="32"/>
      <c r="D360" s="33"/>
      <c r="E360" s="34"/>
      <c r="F360" s="34"/>
      <c r="G360" s="35"/>
      <c r="H360" s="34"/>
      <c r="I360" s="37"/>
    </row>
    <row r="361" ht="22.5" customHeight="1">
      <c r="A361" s="30"/>
      <c r="B361" s="31"/>
      <c r="C361" s="32"/>
      <c r="D361" s="33"/>
      <c r="E361" s="34"/>
      <c r="F361" s="34"/>
      <c r="G361" s="35"/>
      <c r="H361" s="34"/>
      <c r="I361" s="37"/>
    </row>
    <row r="362" ht="22.5" customHeight="1">
      <c r="A362" s="30"/>
      <c r="B362" s="31"/>
      <c r="C362" s="32"/>
      <c r="D362" s="33"/>
      <c r="E362" s="34"/>
      <c r="F362" s="34"/>
      <c r="G362" s="35"/>
      <c r="H362" s="34"/>
      <c r="I362" s="37"/>
    </row>
    <row r="363" ht="22.5" customHeight="1">
      <c r="A363" s="30"/>
      <c r="B363" s="31"/>
      <c r="C363" s="32"/>
      <c r="D363" s="33"/>
      <c r="E363" s="34"/>
      <c r="F363" s="34"/>
      <c r="G363" s="35"/>
      <c r="H363" s="34"/>
      <c r="I363" s="37"/>
    </row>
    <row r="364" ht="22.5" customHeight="1">
      <c r="A364" s="30"/>
      <c r="B364" s="40"/>
      <c r="C364" s="32"/>
      <c r="D364" s="33"/>
      <c r="E364" s="34"/>
      <c r="F364" s="34"/>
      <c r="G364" s="35"/>
      <c r="H364" s="34"/>
      <c r="I364" s="37"/>
    </row>
    <row r="365" ht="22.5" customHeight="1">
      <c r="A365" s="30"/>
      <c r="B365" s="31"/>
      <c r="C365" s="32"/>
      <c r="D365" s="33"/>
      <c r="E365" s="34"/>
      <c r="F365" s="34"/>
      <c r="G365" s="35"/>
      <c r="H365" s="34"/>
      <c r="I365" s="37"/>
    </row>
    <row r="366" ht="22.5" customHeight="1">
      <c r="A366" s="30"/>
      <c r="B366" s="31"/>
      <c r="C366" s="32"/>
      <c r="D366" s="33"/>
      <c r="E366" s="34"/>
      <c r="F366" s="34"/>
      <c r="G366" s="35"/>
      <c r="H366" s="34"/>
      <c r="I366" s="37"/>
    </row>
    <row r="367" ht="22.5" customHeight="1">
      <c r="A367" s="30"/>
      <c r="B367" s="31"/>
      <c r="C367" s="32"/>
      <c r="D367" s="33"/>
      <c r="E367" s="34"/>
      <c r="F367" s="34"/>
      <c r="G367" s="35"/>
      <c r="H367" s="34"/>
      <c r="I367" s="37"/>
    </row>
    <row r="368" ht="22.5" customHeight="1">
      <c r="A368" s="30"/>
      <c r="B368" s="31"/>
      <c r="C368" s="32"/>
      <c r="D368" s="33"/>
      <c r="E368" s="34"/>
      <c r="F368" s="34"/>
      <c r="G368" s="35"/>
      <c r="H368" s="34"/>
      <c r="I368" s="38"/>
    </row>
    <row r="369" ht="22.5" customHeight="1">
      <c r="A369" s="30"/>
      <c r="B369" s="39"/>
      <c r="C369" s="32"/>
      <c r="D369" s="33"/>
      <c r="E369" s="34"/>
      <c r="F369" s="34"/>
      <c r="G369" s="35"/>
      <c r="H369" s="34"/>
      <c r="I369" s="37"/>
    </row>
    <row r="370" ht="22.5" customHeight="1">
      <c r="A370" s="30"/>
      <c r="B370" s="31"/>
      <c r="C370" s="32"/>
      <c r="D370" s="33"/>
      <c r="E370" s="34"/>
      <c r="F370" s="34"/>
      <c r="G370" s="35"/>
      <c r="H370" s="34"/>
      <c r="I370" s="37"/>
    </row>
    <row r="371" ht="22.5" customHeight="1">
      <c r="A371" s="30"/>
      <c r="B371" s="31"/>
      <c r="C371" s="32"/>
      <c r="D371" s="33"/>
      <c r="E371" s="34"/>
      <c r="F371" s="34"/>
      <c r="G371" s="35"/>
      <c r="H371" s="34"/>
      <c r="I371" s="37"/>
    </row>
    <row r="372" ht="22.5" customHeight="1">
      <c r="A372" s="30"/>
      <c r="B372" s="31"/>
      <c r="C372" s="32"/>
      <c r="D372" s="33"/>
      <c r="E372" s="34"/>
      <c r="F372" s="34"/>
      <c r="G372" s="35"/>
      <c r="H372" s="34"/>
      <c r="I372" s="37"/>
    </row>
    <row r="373" ht="22.5" customHeight="1">
      <c r="A373" s="30"/>
      <c r="B373" s="39"/>
      <c r="C373" s="32"/>
      <c r="D373" s="33"/>
      <c r="E373" s="34"/>
      <c r="F373" s="34"/>
      <c r="G373" s="35"/>
      <c r="H373" s="34"/>
      <c r="I373" s="37"/>
    </row>
    <row r="374" ht="22.5" customHeight="1">
      <c r="A374" s="30"/>
      <c r="B374" s="31"/>
      <c r="C374" s="32"/>
      <c r="D374" s="33"/>
      <c r="E374" s="34"/>
      <c r="F374" s="34"/>
      <c r="G374" s="35"/>
      <c r="H374" s="34"/>
      <c r="I374" s="37"/>
    </row>
    <row r="375" ht="22.5" customHeight="1">
      <c r="A375" s="30"/>
      <c r="B375" s="39"/>
      <c r="C375" s="32"/>
      <c r="D375" s="33"/>
      <c r="E375" s="34"/>
      <c r="F375" s="34"/>
      <c r="G375" s="35"/>
      <c r="H375" s="34"/>
      <c r="I375" s="37"/>
    </row>
    <row r="376" ht="22.5" customHeight="1">
      <c r="A376" s="30"/>
      <c r="B376" s="31"/>
      <c r="C376" s="32"/>
      <c r="D376" s="33"/>
      <c r="E376" s="34"/>
      <c r="F376" s="34"/>
      <c r="G376" s="35"/>
      <c r="H376" s="34"/>
      <c r="I376" s="37"/>
    </row>
    <row r="377" ht="22.5" customHeight="1">
      <c r="A377" s="30"/>
      <c r="B377" s="31"/>
      <c r="C377" s="32"/>
      <c r="D377" s="33"/>
      <c r="E377" s="34"/>
      <c r="F377" s="34"/>
      <c r="G377" s="35"/>
      <c r="H377" s="34"/>
      <c r="I377" s="37"/>
    </row>
    <row r="378" ht="22.5" customHeight="1">
      <c r="A378" s="30"/>
      <c r="B378" s="31"/>
      <c r="C378" s="32"/>
      <c r="D378" s="33"/>
      <c r="E378" s="34"/>
      <c r="F378" s="34"/>
      <c r="G378" s="35"/>
      <c r="H378" s="34"/>
      <c r="I378" s="37"/>
    </row>
    <row r="379" ht="22.5" customHeight="1">
      <c r="A379" s="30"/>
      <c r="B379" s="31"/>
      <c r="C379" s="32"/>
      <c r="D379" s="33"/>
      <c r="E379" s="34"/>
      <c r="F379" s="34"/>
      <c r="G379" s="35"/>
      <c r="H379" s="34"/>
      <c r="I379" s="37"/>
    </row>
    <row r="380" ht="22.5" customHeight="1">
      <c r="A380" s="30"/>
      <c r="B380" s="31"/>
      <c r="C380" s="32"/>
      <c r="D380" s="33"/>
      <c r="E380" s="34"/>
      <c r="F380" s="34"/>
      <c r="G380" s="35"/>
      <c r="H380" s="34"/>
      <c r="I380" s="37"/>
    </row>
    <row r="381" ht="22.5" customHeight="1">
      <c r="A381" s="30"/>
      <c r="B381" s="31"/>
      <c r="C381" s="32"/>
      <c r="D381" s="33"/>
      <c r="E381" s="34"/>
      <c r="F381" s="34"/>
      <c r="G381" s="35"/>
      <c r="H381" s="34"/>
      <c r="I381" s="37"/>
    </row>
    <row r="382" ht="22.5" customHeight="1">
      <c r="A382" s="30"/>
      <c r="B382" s="31"/>
      <c r="C382" s="32"/>
      <c r="D382" s="33"/>
      <c r="E382" s="34"/>
      <c r="F382" s="34"/>
      <c r="G382" s="35"/>
      <c r="H382" s="34"/>
      <c r="I382" s="37"/>
    </row>
    <row r="383" ht="22.5" customHeight="1">
      <c r="A383" s="30"/>
      <c r="B383" s="31"/>
      <c r="C383" s="32"/>
      <c r="D383" s="33"/>
      <c r="E383" s="34"/>
      <c r="F383" s="34"/>
      <c r="G383" s="35"/>
      <c r="H383" s="34"/>
      <c r="I383" s="37"/>
    </row>
    <row r="384" ht="22.5" customHeight="1">
      <c r="A384" s="30"/>
      <c r="B384" s="31"/>
      <c r="C384" s="32"/>
      <c r="D384" s="33"/>
      <c r="E384" s="34"/>
      <c r="F384" s="34"/>
      <c r="G384" s="35"/>
      <c r="H384" s="34"/>
      <c r="I384" s="37"/>
    </row>
    <row r="385" ht="22.5" customHeight="1">
      <c r="A385" s="30"/>
      <c r="B385" s="31"/>
      <c r="C385" s="32"/>
      <c r="D385" s="33"/>
      <c r="E385" s="34"/>
      <c r="F385" s="34"/>
      <c r="G385" s="35"/>
      <c r="H385" s="34"/>
      <c r="I385" s="37"/>
    </row>
    <row r="386" ht="22.5" customHeight="1">
      <c r="A386" s="30"/>
      <c r="B386" s="40"/>
      <c r="C386" s="32"/>
      <c r="D386" s="33"/>
      <c r="E386" s="34"/>
      <c r="F386" s="34"/>
      <c r="G386" s="35"/>
      <c r="H386" s="34"/>
      <c r="I386" s="37"/>
    </row>
    <row r="387" ht="22.5" customHeight="1">
      <c r="A387" s="30"/>
      <c r="B387" s="31"/>
      <c r="C387" s="32"/>
      <c r="D387" s="33"/>
      <c r="E387" s="34"/>
      <c r="F387" s="34"/>
      <c r="G387" s="35"/>
      <c r="H387" s="34"/>
      <c r="I387" s="37"/>
    </row>
    <row r="388" ht="22.5" customHeight="1">
      <c r="A388" s="30"/>
      <c r="B388" s="31"/>
      <c r="C388" s="32"/>
      <c r="D388" s="33"/>
      <c r="E388" s="34"/>
      <c r="F388" s="34"/>
      <c r="G388" s="35"/>
      <c r="H388" s="34"/>
      <c r="I388" s="37"/>
    </row>
    <row r="389" ht="22.5" customHeight="1">
      <c r="A389" s="30"/>
      <c r="B389" s="31"/>
      <c r="C389" s="32"/>
      <c r="D389" s="33"/>
      <c r="E389" s="34"/>
      <c r="F389" s="34"/>
      <c r="G389" s="35"/>
      <c r="H389" s="34"/>
      <c r="I389" s="37"/>
    </row>
    <row r="390" ht="22.5" customHeight="1">
      <c r="A390" s="30"/>
      <c r="B390" s="31"/>
      <c r="C390" s="32"/>
      <c r="D390" s="33"/>
      <c r="E390" s="34"/>
      <c r="F390" s="34"/>
      <c r="G390" s="35"/>
      <c r="H390" s="34"/>
      <c r="I390" s="37"/>
    </row>
    <row r="391" ht="22.5" customHeight="1">
      <c r="A391" s="30"/>
      <c r="B391" s="31"/>
      <c r="C391" s="32"/>
      <c r="D391" s="33"/>
      <c r="E391" s="34"/>
      <c r="F391" s="34"/>
      <c r="G391" s="35"/>
      <c r="H391" s="34"/>
      <c r="I391" s="37"/>
    </row>
    <row r="392" ht="22.5" customHeight="1">
      <c r="A392" s="30"/>
      <c r="B392" s="31"/>
      <c r="C392" s="32"/>
      <c r="D392" s="33"/>
      <c r="E392" s="34"/>
      <c r="F392" s="34"/>
      <c r="G392" s="35"/>
      <c r="H392" s="34"/>
      <c r="I392" s="37"/>
    </row>
    <row r="393" ht="22.5" customHeight="1">
      <c r="A393" s="30"/>
      <c r="B393" s="39"/>
      <c r="C393" s="32"/>
      <c r="D393" s="33"/>
      <c r="E393" s="34"/>
      <c r="F393" s="34"/>
      <c r="G393" s="35"/>
      <c r="H393" s="34"/>
      <c r="I393" s="37"/>
    </row>
    <row r="394" ht="22.5" customHeight="1">
      <c r="A394" s="30"/>
      <c r="B394" s="39"/>
      <c r="C394" s="32"/>
      <c r="D394" s="33"/>
      <c r="E394" s="34"/>
      <c r="F394" s="34"/>
      <c r="G394" s="35"/>
      <c r="H394" s="34"/>
      <c r="I394" s="37"/>
    </row>
    <row r="395" ht="22.5" customHeight="1">
      <c r="A395" s="30"/>
      <c r="B395" s="39"/>
      <c r="C395" s="32"/>
      <c r="D395" s="33"/>
      <c r="E395" s="34"/>
      <c r="F395" s="34"/>
      <c r="G395" s="35"/>
      <c r="H395" s="34"/>
      <c r="I395" s="37"/>
    </row>
    <row r="396" ht="22.5" customHeight="1">
      <c r="A396" s="30"/>
      <c r="B396" s="40"/>
      <c r="C396" s="32"/>
      <c r="D396" s="33"/>
      <c r="E396" s="34"/>
      <c r="F396" s="34"/>
      <c r="G396" s="35"/>
      <c r="H396" s="34"/>
      <c r="I396" s="37"/>
    </row>
    <row r="397" ht="22.5" customHeight="1">
      <c r="A397" s="30"/>
      <c r="B397" s="31"/>
      <c r="C397" s="32"/>
      <c r="D397" s="33"/>
      <c r="E397" s="34"/>
      <c r="F397" s="34"/>
      <c r="G397" s="35"/>
      <c r="H397" s="34"/>
      <c r="I397" s="37"/>
    </row>
    <row r="398" ht="22.5" customHeight="1">
      <c r="A398" s="30"/>
      <c r="B398" s="31"/>
      <c r="C398" s="32"/>
      <c r="D398" s="33"/>
      <c r="E398" s="34"/>
      <c r="F398" s="34"/>
      <c r="G398" s="35"/>
      <c r="H398" s="34"/>
      <c r="I398" s="37"/>
    </row>
    <row r="399" ht="22.5" customHeight="1">
      <c r="A399" s="30"/>
      <c r="B399" s="31"/>
      <c r="C399" s="32"/>
      <c r="D399" s="33"/>
      <c r="E399" s="34"/>
      <c r="F399" s="34"/>
      <c r="G399" s="35"/>
      <c r="H399" s="34"/>
      <c r="I399" s="37"/>
    </row>
    <row r="400" ht="22.5" customHeight="1">
      <c r="A400" s="30"/>
      <c r="B400" s="31"/>
      <c r="C400" s="32"/>
      <c r="D400" s="33"/>
      <c r="E400" s="34"/>
      <c r="F400" s="34"/>
      <c r="G400" s="35"/>
      <c r="H400" s="34"/>
      <c r="I400" s="37"/>
    </row>
    <row r="401" ht="22.5" customHeight="1">
      <c r="A401" s="30"/>
      <c r="B401" s="31"/>
      <c r="C401" s="32"/>
      <c r="D401" s="33"/>
      <c r="E401" s="34"/>
      <c r="F401" s="34"/>
      <c r="G401" s="35"/>
      <c r="H401" s="34"/>
      <c r="I401" s="37"/>
    </row>
    <row r="402" ht="22.5" customHeight="1">
      <c r="A402" s="30"/>
      <c r="B402" s="31"/>
      <c r="C402" s="32"/>
      <c r="D402" s="33"/>
      <c r="E402" s="34"/>
      <c r="F402" s="34"/>
      <c r="G402" s="35"/>
      <c r="H402" s="34"/>
      <c r="I402" s="37"/>
    </row>
    <row r="403" ht="22.5" customHeight="1">
      <c r="A403" s="30"/>
      <c r="B403" s="31"/>
      <c r="C403" s="32"/>
      <c r="D403" s="33"/>
      <c r="E403" s="34"/>
      <c r="F403" s="34"/>
      <c r="G403" s="35"/>
      <c r="H403" s="34"/>
      <c r="I403" s="37"/>
    </row>
    <row r="404" ht="22.5" customHeight="1">
      <c r="A404" s="30"/>
      <c r="B404" s="31"/>
      <c r="C404" s="32"/>
      <c r="D404" s="33"/>
      <c r="E404" s="34"/>
      <c r="F404" s="34"/>
      <c r="G404" s="35"/>
      <c r="H404" s="34"/>
      <c r="I404" s="37"/>
    </row>
    <row r="405" ht="22.5" customHeight="1">
      <c r="A405" s="30"/>
      <c r="B405" s="31"/>
      <c r="C405" s="32"/>
      <c r="D405" s="33"/>
      <c r="E405" s="34"/>
      <c r="F405" s="34"/>
      <c r="G405" s="35"/>
      <c r="H405" s="34"/>
      <c r="I405" s="37"/>
    </row>
    <row r="406" ht="22.5" customHeight="1">
      <c r="A406" s="30"/>
      <c r="B406" s="40"/>
      <c r="C406" s="32"/>
      <c r="D406" s="33"/>
      <c r="E406" s="34"/>
      <c r="F406" s="34"/>
      <c r="G406" s="35"/>
      <c r="H406" s="34"/>
      <c r="I406" s="37"/>
    </row>
    <row r="407" ht="22.5" customHeight="1">
      <c r="A407" s="30"/>
      <c r="B407" s="31"/>
      <c r="C407" s="32"/>
      <c r="D407" s="33"/>
      <c r="E407" s="34"/>
      <c r="F407" s="34"/>
      <c r="G407" s="35"/>
      <c r="H407" s="34"/>
      <c r="I407" s="37"/>
    </row>
    <row r="408" ht="22.5" customHeight="1">
      <c r="A408" s="30"/>
      <c r="B408" s="31"/>
      <c r="C408" s="32"/>
      <c r="D408" s="33"/>
      <c r="E408" s="34"/>
      <c r="F408" s="34"/>
      <c r="G408" s="35"/>
      <c r="H408" s="34"/>
      <c r="I408" s="37"/>
    </row>
    <row r="409" ht="22.5" customHeight="1">
      <c r="A409" s="30"/>
      <c r="B409" s="31"/>
      <c r="C409" s="32"/>
      <c r="D409" s="33"/>
      <c r="E409" s="34"/>
      <c r="F409" s="34"/>
      <c r="G409" s="35"/>
      <c r="H409" s="34"/>
      <c r="I409" s="37"/>
    </row>
    <row r="410" ht="22.5" customHeight="1">
      <c r="A410" s="30"/>
      <c r="B410" s="40"/>
      <c r="C410" s="32"/>
      <c r="D410" s="33"/>
      <c r="E410" s="34"/>
      <c r="F410" s="34"/>
      <c r="G410" s="35"/>
      <c r="H410" s="34"/>
      <c r="I410" s="37"/>
    </row>
    <row r="411" ht="22.5" customHeight="1">
      <c r="A411" s="30"/>
      <c r="B411" s="31"/>
      <c r="C411" s="32"/>
      <c r="D411" s="33"/>
      <c r="E411" s="34"/>
      <c r="F411" s="34"/>
      <c r="G411" s="35"/>
      <c r="H411" s="34"/>
      <c r="I411" s="37"/>
    </row>
    <row r="412" ht="22.5" customHeight="1">
      <c r="A412" s="30"/>
      <c r="B412" s="31"/>
      <c r="C412" s="32"/>
      <c r="D412" s="33"/>
      <c r="E412" s="34"/>
      <c r="F412" s="34"/>
      <c r="G412" s="35"/>
      <c r="H412" s="34"/>
      <c r="I412" s="37"/>
    </row>
    <row r="413" ht="22.5" customHeight="1">
      <c r="A413" s="30"/>
      <c r="B413" s="31"/>
      <c r="C413" s="32"/>
      <c r="D413" s="33"/>
      <c r="E413" s="34"/>
      <c r="F413" s="34"/>
      <c r="G413" s="35"/>
      <c r="H413" s="34"/>
      <c r="I413" s="37"/>
    </row>
    <row r="414" ht="22.5" customHeight="1">
      <c r="A414" s="30"/>
      <c r="B414" s="31"/>
      <c r="C414" s="32"/>
      <c r="D414" s="33"/>
      <c r="E414" s="34"/>
      <c r="F414" s="34"/>
      <c r="G414" s="35"/>
      <c r="H414" s="34"/>
      <c r="I414" s="37"/>
    </row>
    <row r="415" ht="22.5" customHeight="1">
      <c r="A415" s="30"/>
      <c r="B415" s="31"/>
      <c r="C415" s="32"/>
      <c r="D415" s="33"/>
      <c r="E415" s="34"/>
      <c r="F415" s="34"/>
      <c r="G415" s="35"/>
      <c r="H415" s="34"/>
      <c r="I415" s="37"/>
    </row>
    <row r="416" ht="22.5" customHeight="1">
      <c r="A416" s="30"/>
      <c r="B416" s="31"/>
      <c r="C416" s="32"/>
      <c r="D416" s="33"/>
      <c r="E416" s="34"/>
      <c r="F416" s="34"/>
      <c r="G416" s="35"/>
      <c r="H416" s="34"/>
      <c r="I416" s="37"/>
    </row>
    <row r="417" ht="22.5" customHeight="1">
      <c r="A417" s="30"/>
      <c r="B417" s="31"/>
      <c r="C417" s="32"/>
      <c r="D417" s="33"/>
      <c r="E417" s="34"/>
      <c r="F417" s="34"/>
      <c r="G417" s="35"/>
      <c r="H417" s="34"/>
      <c r="I417" s="37"/>
    </row>
    <row r="418" ht="22.5" customHeight="1">
      <c r="A418" s="30"/>
      <c r="B418" s="31"/>
      <c r="C418" s="32"/>
      <c r="D418" s="33"/>
      <c r="E418" s="34"/>
      <c r="F418" s="34"/>
      <c r="G418" s="35"/>
      <c r="H418" s="34"/>
      <c r="I418" s="37"/>
    </row>
    <row r="419" ht="22.5" customHeight="1">
      <c r="A419" s="30"/>
      <c r="B419" s="31"/>
      <c r="C419" s="32"/>
      <c r="D419" s="33"/>
      <c r="E419" s="34"/>
      <c r="F419" s="34"/>
      <c r="G419" s="35"/>
      <c r="H419" s="34"/>
      <c r="I419" s="37"/>
    </row>
    <row r="420" ht="22.5" customHeight="1">
      <c r="A420" s="30"/>
      <c r="B420" s="31"/>
      <c r="C420" s="32"/>
      <c r="D420" s="33"/>
      <c r="E420" s="34"/>
      <c r="F420" s="34"/>
      <c r="G420" s="35"/>
      <c r="H420" s="34"/>
      <c r="I420" s="37"/>
    </row>
    <row r="421" ht="22.5" customHeight="1">
      <c r="A421" s="30"/>
      <c r="B421" s="31"/>
      <c r="C421" s="32"/>
      <c r="D421" s="33"/>
      <c r="E421" s="34"/>
      <c r="F421" s="34"/>
      <c r="G421" s="35"/>
      <c r="H421" s="34"/>
      <c r="I421" s="37"/>
    </row>
    <row r="422" ht="22.5" customHeight="1">
      <c r="A422" s="30"/>
      <c r="B422" s="31"/>
      <c r="C422" s="32"/>
      <c r="D422" s="33"/>
      <c r="E422" s="34"/>
      <c r="F422" s="34"/>
      <c r="G422" s="35"/>
      <c r="H422" s="34"/>
      <c r="I422" s="37"/>
    </row>
    <row r="423" ht="22.5" customHeight="1">
      <c r="A423" s="30"/>
      <c r="B423" s="31"/>
      <c r="C423" s="32"/>
      <c r="D423" s="33"/>
      <c r="E423" s="34"/>
      <c r="F423" s="34"/>
      <c r="G423" s="35"/>
      <c r="H423" s="34"/>
      <c r="I423" s="37"/>
    </row>
    <row r="424" ht="22.5" customHeight="1">
      <c r="A424" s="30"/>
      <c r="B424" s="31"/>
      <c r="C424" s="32"/>
      <c r="D424" s="33"/>
      <c r="E424" s="34"/>
      <c r="F424" s="34"/>
      <c r="G424" s="35"/>
      <c r="H424" s="34"/>
      <c r="I424" s="37"/>
    </row>
    <row r="425" ht="22.5" customHeight="1">
      <c r="A425" s="30"/>
      <c r="B425" s="40"/>
      <c r="C425" s="32"/>
      <c r="D425" s="33"/>
      <c r="E425" s="34"/>
      <c r="F425" s="34"/>
      <c r="G425" s="35"/>
      <c r="H425" s="34"/>
      <c r="I425" s="37"/>
    </row>
    <row r="426" ht="22.5" customHeight="1">
      <c r="A426" s="30"/>
      <c r="B426" s="31"/>
      <c r="C426" s="32"/>
      <c r="D426" s="33"/>
      <c r="E426" s="34"/>
      <c r="F426" s="34"/>
      <c r="G426" s="35"/>
      <c r="H426" s="34"/>
      <c r="I426" s="37"/>
    </row>
    <row r="427" ht="22.5" customHeight="1">
      <c r="A427" s="30"/>
      <c r="B427" s="40"/>
      <c r="C427" s="32"/>
      <c r="D427" s="33"/>
      <c r="E427" s="34"/>
      <c r="F427" s="34"/>
      <c r="G427" s="35"/>
      <c r="H427" s="34"/>
      <c r="I427" s="37"/>
    </row>
    <row r="428" ht="22.5" customHeight="1">
      <c r="A428" s="30"/>
      <c r="B428" s="31"/>
      <c r="C428" s="32"/>
      <c r="D428" s="33"/>
      <c r="E428" s="34"/>
      <c r="F428" s="34"/>
      <c r="G428" s="35"/>
      <c r="H428" s="34"/>
      <c r="I428" s="37"/>
    </row>
    <row r="429" ht="22.5" customHeight="1">
      <c r="A429" s="30"/>
      <c r="B429" s="31"/>
      <c r="C429" s="32"/>
      <c r="D429" s="33"/>
      <c r="E429" s="34"/>
      <c r="F429" s="34"/>
      <c r="G429" s="35"/>
      <c r="H429" s="34"/>
      <c r="I429" s="37"/>
    </row>
    <row r="430" ht="22.5" customHeight="1">
      <c r="A430" s="30"/>
      <c r="B430" s="31"/>
      <c r="C430" s="32"/>
      <c r="D430" s="33"/>
      <c r="E430" s="34"/>
      <c r="F430" s="34"/>
      <c r="G430" s="35"/>
      <c r="H430" s="34"/>
      <c r="I430" s="37"/>
    </row>
    <row r="431" ht="22.5" customHeight="1">
      <c r="A431" s="30"/>
      <c r="B431" s="31"/>
      <c r="C431" s="32"/>
      <c r="D431" s="33"/>
      <c r="E431" s="34"/>
      <c r="F431" s="34"/>
      <c r="G431" s="35"/>
      <c r="H431" s="34"/>
      <c r="I431" s="37"/>
    </row>
    <row r="432" ht="22.5" customHeight="1">
      <c r="A432" s="30"/>
      <c r="B432" s="40"/>
      <c r="C432" s="32"/>
      <c r="D432" s="33"/>
      <c r="E432" s="34"/>
      <c r="F432" s="34"/>
      <c r="G432" s="35"/>
      <c r="H432" s="34"/>
      <c r="I432" s="37"/>
    </row>
    <row r="433" ht="22.5" customHeight="1">
      <c r="A433" s="30"/>
      <c r="B433" s="31"/>
      <c r="C433" s="32"/>
      <c r="D433" s="33"/>
      <c r="E433" s="34"/>
      <c r="F433" s="34"/>
      <c r="G433" s="35"/>
      <c r="H433" s="34"/>
      <c r="I433" s="37"/>
    </row>
    <row r="434" ht="22.5" customHeight="1">
      <c r="A434" s="30"/>
      <c r="B434" s="31"/>
      <c r="C434" s="32"/>
      <c r="D434" s="33"/>
      <c r="E434" s="34"/>
      <c r="F434" s="34"/>
      <c r="G434" s="35"/>
      <c r="H434" s="34"/>
      <c r="I434" s="37"/>
    </row>
    <row r="435" ht="22.5" customHeight="1">
      <c r="A435" s="30"/>
      <c r="B435" s="31"/>
      <c r="C435" s="32"/>
      <c r="D435" s="33"/>
      <c r="E435" s="34"/>
      <c r="F435" s="34"/>
      <c r="G435" s="35"/>
      <c r="H435" s="34"/>
      <c r="I435" s="37"/>
    </row>
    <row r="436" ht="22.5" customHeight="1">
      <c r="A436" s="30"/>
      <c r="B436" s="31"/>
      <c r="C436" s="32"/>
      <c r="D436" s="33"/>
      <c r="E436" s="34"/>
      <c r="F436" s="34"/>
      <c r="G436" s="35"/>
      <c r="H436" s="34"/>
      <c r="I436" s="37"/>
    </row>
    <row r="437" ht="22.5" customHeight="1">
      <c r="A437" s="30"/>
      <c r="B437" s="31"/>
      <c r="C437" s="32"/>
      <c r="D437" s="33"/>
      <c r="E437" s="34"/>
      <c r="F437" s="34"/>
      <c r="G437" s="35"/>
      <c r="H437" s="34"/>
      <c r="I437" s="37"/>
    </row>
    <row r="438" ht="22.5" customHeight="1">
      <c r="A438" s="30"/>
      <c r="B438" s="31"/>
      <c r="C438" s="32"/>
      <c r="D438" s="33"/>
      <c r="E438" s="34"/>
      <c r="F438" s="34"/>
      <c r="G438" s="35"/>
      <c r="H438" s="34"/>
      <c r="I438" s="37"/>
    </row>
    <row r="439" ht="22.5" customHeight="1">
      <c r="A439" s="30"/>
      <c r="B439" s="31"/>
      <c r="C439" s="32"/>
      <c r="D439" s="33"/>
      <c r="E439" s="34"/>
      <c r="F439" s="34"/>
      <c r="G439" s="35"/>
      <c r="H439" s="34"/>
      <c r="I439" s="37"/>
    </row>
    <row r="440" ht="22.5" customHeight="1">
      <c r="A440" s="30"/>
      <c r="B440" s="31"/>
      <c r="C440" s="32"/>
      <c r="D440" s="33"/>
      <c r="E440" s="34"/>
      <c r="F440" s="34"/>
      <c r="G440" s="35"/>
      <c r="H440" s="34"/>
      <c r="I440" s="37"/>
    </row>
    <row r="441" ht="22.5" customHeight="1">
      <c r="A441" s="30"/>
      <c r="B441" s="31"/>
      <c r="C441" s="32"/>
      <c r="D441" s="33"/>
      <c r="E441" s="34"/>
      <c r="F441" s="34"/>
      <c r="G441" s="35"/>
      <c r="H441" s="34"/>
      <c r="I441" s="37"/>
    </row>
    <row r="442" ht="22.5" customHeight="1">
      <c r="A442" s="30"/>
      <c r="B442" s="31"/>
      <c r="C442" s="32"/>
      <c r="D442" s="33"/>
      <c r="E442" s="34"/>
      <c r="F442" s="34"/>
      <c r="G442" s="35"/>
      <c r="H442" s="34"/>
      <c r="I442" s="37"/>
    </row>
    <row r="443" ht="22.5" customHeight="1">
      <c r="A443" s="30"/>
      <c r="B443" s="31"/>
      <c r="C443" s="32"/>
      <c r="D443" s="33"/>
      <c r="E443" s="34"/>
      <c r="F443" s="34"/>
      <c r="G443" s="35"/>
      <c r="H443" s="34"/>
      <c r="I443" s="37"/>
    </row>
    <row r="444" ht="22.5" customHeight="1">
      <c r="A444" s="30"/>
      <c r="B444" s="31"/>
      <c r="C444" s="32"/>
      <c r="D444" s="33"/>
      <c r="E444" s="34"/>
      <c r="F444" s="34"/>
      <c r="G444" s="35"/>
      <c r="H444" s="34"/>
      <c r="I444" s="37"/>
    </row>
    <row r="445" ht="22.5" customHeight="1">
      <c r="A445" s="30"/>
      <c r="B445" s="31"/>
      <c r="C445" s="32"/>
      <c r="D445" s="33"/>
      <c r="E445" s="34"/>
      <c r="F445" s="34"/>
      <c r="G445" s="35"/>
      <c r="H445" s="34"/>
      <c r="I445" s="37"/>
    </row>
    <row r="446" ht="22.5" customHeight="1">
      <c r="A446" s="30"/>
      <c r="B446" s="31"/>
      <c r="C446" s="32"/>
      <c r="D446" s="33"/>
      <c r="E446" s="34"/>
      <c r="F446" s="34"/>
      <c r="G446" s="35"/>
      <c r="H446" s="34"/>
      <c r="I446" s="37"/>
    </row>
    <row r="447" ht="22.5" customHeight="1">
      <c r="A447" s="30"/>
      <c r="B447" s="31"/>
      <c r="C447" s="32"/>
      <c r="D447" s="33"/>
      <c r="E447" s="34"/>
      <c r="F447" s="34"/>
      <c r="G447" s="35"/>
      <c r="H447" s="34"/>
      <c r="I447" s="37"/>
    </row>
    <row r="448" ht="22.5" customHeight="1">
      <c r="A448" s="30"/>
      <c r="B448" s="31"/>
      <c r="C448" s="32"/>
      <c r="D448" s="33"/>
      <c r="E448" s="34"/>
      <c r="F448" s="34"/>
      <c r="G448" s="35"/>
      <c r="H448" s="34"/>
      <c r="I448" s="37"/>
    </row>
    <row r="449" ht="22.5" customHeight="1">
      <c r="A449" s="30"/>
      <c r="B449" s="31"/>
      <c r="C449" s="32"/>
      <c r="D449" s="33"/>
      <c r="E449" s="34"/>
      <c r="F449" s="34"/>
      <c r="G449" s="35"/>
      <c r="H449" s="34"/>
      <c r="I449" s="37"/>
    </row>
    <row r="450" ht="22.5" customHeight="1">
      <c r="A450" s="30"/>
      <c r="B450" s="31"/>
      <c r="C450" s="32"/>
      <c r="D450" s="33"/>
      <c r="E450" s="34"/>
      <c r="F450" s="34"/>
      <c r="G450" s="35"/>
      <c r="H450" s="34"/>
      <c r="I450" s="37"/>
    </row>
    <row r="451" ht="22.5" customHeight="1">
      <c r="A451" s="30"/>
      <c r="B451" s="31"/>
      <c r="C451" s="32"/>
      <c r="D451" s="33"/>
      <c r="E451" s="34"/>
      <c r="F451" s="34"/>
      <c r="G451" s="35"/>
      <c r="H451" s="34"/>
      <c r="I451" s="37"/>
    </row>
    <row r="452" ht="22.5" customHeight="1">
      <c r="A452" s="30"/>
      <c r="B452" s="31"/>
      <c r="C452" s="32"/>
      <c r="D452" s="33"/>
      <c r="E452" s="34"/>
      <c r="F452" s="34"/>
      <c r="G452" s="35"/>
      <c r="H452" s="34"/>
      <c r="I452" s="37"/>
    </row>
    <row r="453" ht="22.5" customHeight="1">
      <c r="A453" s="30"/>
      <c r="B453" s="31"/>
      <c r="C453" s="32"/>
      <c r="D453" s="33"/>
      <c r="E453" s="34"/>
      <c r="F453" s="34"/>
      <c r="G453" s="35"/>
      <c r="H453" s="34"/>
      <c r="I453" s="37"/>
    </row>
    <row r="454" ht="22.5" customHeight="1">
      <c r="A454" s="30"/>
      <c r="B454" s="40"/>
      <c r="C454" s="32"/>
      <c r="D454" s="33"/>
      <c r="E454" s="34"/>
      <c r="F454" s="34"/>
      <c r="G454" s="35"/>
      <c r="H454" s="34"/>
      <c r="I454" s="37"/>
    </row>
    <row r="455" ht="22.5" customHeight="1">
      <c r="A455" s="30"/>
      <c r="B455" s="31"/>
      <c r="C455" s="32"/>
      <c r="D455" s="33"/>
      <c r="E455" s="34"/>
      <c r="F455" s="34"/>
      <c r="G455" s="35"/>
      <c r="H455" s="34"/>
      <c r="I455" s="37"/>
    </row>
    <row r="456" ht="22.5" customHeight="1">
      <c r="A456" s="30"/>
      <c r="B456" s="31"/>
      <c r="C456" s="32"/>
      <c r="D456" s="33"/>
      <c r="E456" s="34"/>
      <c r="F456" s="34"/>
      <c r="G456" s="35"/>
      <c r="H456" s="34"/>
      <c r="I456" s="37"/>
    </row>
    <row r="457" ht="22.5" customHeight="1">
      <c r="A457" s="30"/>
      <c r="B457" s="31"/>
      <c r="C457" s="32"/>
      <c r="D457" s="33"/>
      <c r="E457" s="34"/>
      <c r="F457" s="34"/>
      <c r="G457" s="35"/>
      <c r="H457" s="34"/>
      <c r="I457" s="37"/>
    </row>
    <row r="458" ht="22.5" customHeight="1">
      <c r="A458" s="30"/>
      <c r="B458" s="31"/>
      <c r="C458" s="32"/>
      <c r="D458" s="33"/>
      <c r="E458" s="34"/>
      <c r="F458" s="34"/>
      <c r="G458" s="35"/>
      <c r="H458" s="34"/>
      <c r="I458" s="38"/>
    </row>
    <row r="459" ht="22.5" customHeight="1">
      <c r="A459" s="30"/>
      <c r="B459" s="39"/>
      <c r="C459" s="32"/>
      <c r="D459" s="33"/>
      <c r="E459" s="34"/>
      <c r="F459" s="34"/>
      <c r="G459" s="35"/>
      <c r="H459" s="34"/>
      <c r="I459" s="37"/>
    </row>
    <row r="460" ht="22.5" customHeight="1">
      <c r="A460" s="30"/>
      <c r="B460" s="31"/>
      <c r="C460" s="32"/>
      <c r="D460" s="33"/>
      <c r="E460" s="34"/>
      <c r="F460" s="34"/>
      <c r="G460" s="35"/>
      <c r="H460" s="34"/>
      <c r="I460" s="37"/>
    </row>
    <row r="461" ht="22.5" customHeight="1">
      <c r="A461" s="30"/>
      <c r="B461" s="31"/>
      <c r="C461" s="32"/>
      <c r="D461" s="33"/>
      <c r="E461" s="34"/>
      <c r="F461" s="34"/>
      <c r="G461" s="35"/>
      <c r="H461" s="34"/>
      <c r="I461" s="37"/>
    </row>
    <row r="462" ht="22.5" customHeight="1">
      <c r="A462" s="30"/>
      <c r="B462" s="31"/>
      <c r="C462" s="32"/>
      <c r="D462" s="33"/>
      <c r="E462" s="34"/>
      <c r="F462" s="34"/>
      <c r="G462" s="35"/>
      <c r="H462" s="34"/>
      <c r="I462" s="37"/>
    </row>
    <row r="463" ht="22.5" customHeight="1">
      <c r="A463" s="30"/>
      <c r="B463" s="39"/>
      <c r="C463" s="32"/>
      <c r="D463" s="33"/>
      <c r="E463" s="34"/>
      <c r="F463" s="34"/>
      <c r="G463" s="35"/>
      <c r="H463" s="34"/>
      <c r="I463" s="37"/>
    </row>
    <row r="464" ht="22.5" customHeight="1">
      <c r="A464" s="30"/>
      <c r="B464" s="31"/>
      <c r="C464" s="32"/>
      <c r="D464" s="33"/>
      <c r="E464" s="34"/>
      <c r="F464" s="34"/>
      <c r="G464" s="35"/>
      <c r="H464" s="34"/>
      <c r="I464" s="37"/>
    </row>
    <row r="465" ht="22.5" customHeight="1">
      <c r="A465" s="30"/>
      <c r="B465" s="39"/>
      <c r="C465" s="32"/>
      <c r="D465" s="33"/>
      <c r="E465" s="34"/>
      <c r="F465" s="34"/>
      <c r="G465" s="35"/>
      <c r="H465" s="34"/>
      <c r="I465" s="37"/>
    </row>
    <row r="466" ht="22.5" customHeight="1">
      <c r="A466" s="30"/>
      <c r="B466" s="31"/>
      <c r="C466" s="32"/>
      <c r="D466" s="33"/>
      <c r="E466" s="34"/>
      <c r="F466" s="34"/>
      <c r="G466" s="35"/>
      <c r="H466" s="34"/>
      <c r="I466" s="37"/>
    </row>
    <row r="467" ht="22.5" customHeight="1">
      <c r="A467" s="30"/>
      <c r="B467" s="31"/>
      <c r="C467" s="32"/>
      <c r="D467" s="33"/>
      <c r="E467" s="34"/>
      <c r="F467" s="34"/>
      <c r="G467" s="35"/>
      <c r="H467" s="34"/>
      <c r="I467" s="37"/>
    </row>
    <row r="468" ht="22.5" customHeight="1">
      <c r="A468" s="30"/>
      <c r="B468" s="31"/>
      <c r="C468" s="32"/>
      <c r="D468" s="33"/>
      <c r="E468" s="34"/>
      <c r="F468" s="34"/>
      <c r="G468" s="35"/>
      <c r="H468" s="34"/>
      <c r="I468" s="37"/>
    </row>
    <row r="469" ht="22.5" customHeight="1">
      <c r="A469" s="30"/>
      <c r="B469" s="31"/>
      <c r="C469" s="32"/>
      <c r="D469" s="33"/>
      <c r="E469" s="34"/>
      <c r="F469" s="34"/>
      <c r="G469" s="35"/>
      <c r="H469" s="34"/>
      <c r="I469" s="37"/>
    </row>
    <row r="470" ht="22.5" customHeight="1">
      <c r="A470" s="30"/>
      <c r="B470" s="31"/>
      <c r="C470" s="32"/>
      <c r="D470" s="33"/>
      <c r="E470" s="34"/>
      <c r="F470" s="34"/>
      <c r="G470" s="35"/>
      <c r="H470" s="34"/>
      <c r="I470" s="37"/>
    </row>
    <row r="471" ht="22.5" customHeight="1">
      <c r="A471" s="30"/>
      <c r="B471" s="31"/>
      <c r="C471" s="32"/>
      <c r="D471" s="33"/>
      <c r="E471" s="34"/>
      <c r="F471" s="34"/>
      <c r="G471" s="35"/>
      <c r="H471" s="34"/>
      <c r="I471" s="37"/>
    </row>
    <row r="472" ht="22.5" customHeight="1">
      <c r="A472" s="30"/>
      <c r="B472" s="31"/>
      <c r="C472" s="32"/>
      <c r="D472" s="33"/>
      <c r="E472" s="34"/>
      <c r="F472" s="34"/>
      <c r="G472" s="35"/>
      <c r="H472" s="34"/>
      <c r="I472" s="37"/>
    </row>
    <row r="473" ht="22.5" customHeight="1">
      <c r="A473" s="30"/>
      <c r="B473" s="31"/>
      <c r="C473" s="32"/>
      <c r="D473" s="33"/>
      <c r="E473" s="34"/>
      <c r="F473" s="34"/>
      <c r="G473" s="35"/>
      <c r="H473" s="34"/>
      <c r="I473" s="37"/>
    </row>
    <row r="474" ht="22.5" customHeight="1">
      <c r="A474" s="30"/>
      <c r="B474" s="31"/>
      <c r="C474" s="32"/>
      <c r="D474" s="33"/>
      <c r="E474" s="34"/>
      <c r="F474" s="34"/>
      <c r="G474" s="35"/>
      <c r="H474" s="34"/>
      <c r="I474" s="37"/>
    </row>
    <row r="475" ht="22.5" customHeight="1">
      <c r="A475" s="30"/>
      <c r="B475" s="31"/>
      <c r="C475" s="32"/>
      <c r="D475" s="33"/>
      <c r="E475" s="34"/>
      <c r="F475" s="34"/>
      <c r="G475" s="35"/>
      <c r="H475" s="34"/>
      <c r="I475" s="37"/>
    </row>
    <row r="476" ht="22.5" customHeight="1">
      <c r="A476" s="30"/>
      <c r="B476" s="40"/>
      <c r="C476" s="32"/>
      <c r="D476" s="33"/>
      <c r="E476" s="34"/>
      <c r="F476" s="34"/>
      <c r="G476" s="35"/>
      <c r="H476" s="34"/>
      <c r="I476" s="37"/>
    </row>
    <row r="477" ht="22.5" customHeight="1">
      <c r="A477" s="30"/>
      <c r="B477" s="31"/>
      <c r="C477" s="32"/>
      <c r="D477" s="33"/>
      <c r="E477" s="34"/>
      <c r="F477" s="34"/>
      <c r="G477" s="35"/>
      <c r="H477" s="34"/>
      <c r="I477" s="37"/>
    </row>
    <row r="478" ht="22.5" customHeight="1">
      <c r="A478" s="30"/>
      <c r="B478" s="31"/>
      <c r="C478" s="32"/>
      <c r="D478" s="33"/>
      <c r="E478" s="34"/>
      <c r="F478" s="34"/>
      <c r="G478" s="35"/>
      <c r="H478" s="34"/>
      <c r="I478" s="37"/>
    </row>
    <row r="479" ht="22.5" customHeight="1">
      <c r="A479" s="30"/>
      <c r="B479" s="31"/>
      <c r="C479" s="32"/>
      <c r="D479" s="33"/>
      <c r="E479" s="34"/>
      <c r="F479" s="34"/>
      <c r="G479" s="35"/>
      <c r="H479" s="34"/>
      <c r="I479" s="37"/>
    </row>
    <row r="480" ht="22.5" customHeight="1">
      <c r="A480" s="30"/>
      <c r="B480" s="31"/>
      <c r="C480" s="32"/>
      <c r="D480" s="33"/>
      <c r="E480" s="34"/>
      <c r="F480" s="34"/>
      <c r="G480" s="35"/>
      <c r="H480" s="34"/>
      <c r="I480" s="37"/>
    </row>
    <row r="481" ht="22.5" customHeight="1">
      <c r="A481" s="30"/>
      <c r="B481" s="31"/>
      <c r="C481" s="32"/>
      <c r="D481" s="33"/>
      <c r="E481" s="34"/>
      <c r="F481" s="34"/>
      <c r="G481" s="35"/>
      <c r="H481" s="34"/>
      <c r="I481" s="37"/>
    </row>
    <row r="482" ht="22.5" customHeight="1">
      <c r="A482" s="30"/>
      <c r="B482" s="31"/>
      <c r="C482" s="32"/>
      <c r="D482" s="33"/>
      <c r="E482" s="34"/>
      <c r="F482" s="34"/>
      <c r="G482" s="35"/>
      <c r="H482" s="34"/>
      <c r="I482" s="37"/>
    </row>
    <row r="483" ht="22.5" customHeight="1">
      <c r="A483" s="30"/>
      <c r="B483" s="39"/>
      <c r="C483" s="32"/>
      <c r="D483" s="33"/>
      <c r="E483" s="34"/>
      <c r="F483" s="34"/>
      <c r="G483" s="35"/>
      <c r="H483" s="34"/>
      <c r="I483" s="37"/>
    </row>
    <row r="484" ht="22.5" customHeight="1">
      <c r="A484" s="30"/>
      <c r="B484" s="39"/>
      <c r="C484" s="32"/>
      <c r="D484" s="33"/>
      <c r="E484" s="34"/>
      <c r="F484" s="34"/>
      <c r="G484" s="35"/>
      <c r="H484" s="34"/>
      <c r="I484" s="37"/>
    </row>
    <row r="485" ht="22.5" customHeight="1">
      <c r="A485" s="30"/>
      <c r="B485" s="39"/>
      <c r="C485" s="32"/>
      <c r="D485" s="33"/>
      <c r="E485" s="34"/>
      <c r="F485" s="34"/>
      <c r="G485" s="35"/>
      <c r="H485" s="34"/>
      <c r="I485" s="37"/>
    </row>
    <row r="486" ht="22.5" customHeight="1">
      <c r="A486" s="30"/>
      <c r="B486" s="40"/>
      <c r="C486" s="32"/>
      <c r="D486" s="33"/>
      <c r="E486" s="34"/>
      <c r="F486" s="34"/>
      <c r="G486" s="35"/>
      <c r="H486" s="34"/>
      <c r="I486" s="37"/>
    </row>
    <row r="487" ht="22.5" customHeight="1">
      <c r="A487" s="30"/>
      <c r="B487" s="31"/>
      <c r="C487" s="32"/>
      <c r="D487" s="33"/>
      <c r="E487" s="34"/>
      <c r="F487" s="34"/>
      <c r="G487" s="35"/>
      <c r="H487" s="34"/>
      <c r="I487" s="37"/>
    </row>
    <row r="488" ht="22.5" customHeight="1">
      <c r="A488" s="30"/>
      <c r="B488" s="31"/>
      <c r="C488" s="32"/>
      <c r="D488" s="33"/>
      <c r="E488" s="34"/>
      <c r="F488" s="34"/>
      <c r="G488" s="35"/>
      <c r="H488" s="34"/>
      <c r="I488" s="37"/>
    </row>
    <row r="489" ht="22.5" customHeight="1">
      <c r="A489" s="30"/>
      <c r="B489" s="31"/>
      <c r="C489" s="32"/>
      <c r="D489" s="33"/>
      <c r="E489" s="34"/>
      <c r="F489" s="34"/>
      <c r="G489" s="35"/>
      <c r="H489" s="34"/>
      <c r="I489" s="37"/>
    </row>
    <row r="490" ht="22.5" customHeight="1">
      <c r="A490" s="30"/>
      <c r="B490" s="31"/>
      <c r="C490" s="32"/>
      <c r="D490" s="33"/>
      <c r="E490" s="34"/>
      <c r="F490" s="34"/>
      <c r="G490" s="35"/>
      <c r="H490" s="34"/>
      <c r="I490" s="37"/>
    </row>
    <row r="491" ht="22.5" customHeight="1">
      <c r="A491" s="30"/>
      <c r="B491" s="31"/>
      <c r="C491" s="32"/>
      <c r="D491" s="33"/>
      <c r="E491" s="34"/>
      <c r="F491" s="34"/>
      <c r="G491" s="35"/>
      <c r="H491" s="34"/>
      <c r="I491" s="37"/>
    </row>
    <row r="492" ht="22.5" customHeight="1">
      <c r="A492" s="30"/>
      <c r="B492" s="31"/>
      <c r="C492" s="32"/>
      <c r="D492" s="33"/>
      <c r="E492" s="34"/>
      <c r="F492" s="34"/>
      <c r="G492" s="35"/>
      <c r="H492" s="34"/>
      <c r="I492" s="37"/>
    </row>
    <row r="493" ht="22.5" customHeight="1">
      <c r="A493" s="30"/>
      <c r="B493" s="31"/>
      <c r="C493" s="32"/>
      <c r="D493" s="33"/>
      <c r="E493" s="34"/>
      <c r="F493" s="34"/>
      <c r="G493" s="35"/>
      <c r="H493" s="34"/>
      <c r="I493" s="37"/>
    </row>
    <row r="494" ht="22.5" customHeight="1">
      <c r="A494" s="30"/>
      <c r="B494" s="31"/>
      <c r="C494" s="32"/>
      <c r="D494" s="33"/>
      <c r="E494" s="34"/>
      <c r="F494" s="34"/>
      <c r="G494" s="35"/>
      <c r="H494" s="34"/>
      <c r="I494" s="37"/>
    </row>
    <row r="495" ht="22.5" customHeight="1">
      <c r="A495" s="30"/>
      <c r="B495" s="31"/>
      <c r="C495" s="32"/>
      <c r="D495" s="33"/>
      <c r="E495" s="34"/>
      <c r="F495" s="34"/>
      <c r="G495" s="35"/>
      <c r="H495" s="34"/>
      <c r="I495" s="37"/>
    </row>
    <row r="496" ht="22.5" customHeight="1">
      <c r="A496" s="30"/>
      <c r="B496" s="40"/>
      <c r="C496" s="32"/>
      <c r="D496" s="33"/>
      <c r="E496" s="34"/>
      <c r="F496" s="34"/>
      <c r="G496" s="35"/>
      <c r="H496" s="34"/>
      <c r="I496" s="37"/>
    </row>
    <row r="497" ht="22.5" customHeight="1">
      <c r="A497" s="30"/>
      <c r="B497" s="31"/>
      <c r="C497" s="32"/>
      <c r="D497" s="33"/>
      <c r="E497" s="34"/>
      <c r="F497" s="34"/>
      <c r="G497" s="35"/>
      <c r="H497" s="34"/>
      <c r="I497" s="37"/>
    </row>
    <row r="498" ht="22.5" customHeight="1">
      <c r="A498" s="30"/>
      <c r="B498" s="31"/>
      <c r="C498" s="32"/>
      <c r="D498" s="33"/>
      <c r="E498" s="34"/>
      <c r="F498" s="34"/>
      <c r="G498" s="35"/>
      <c r="H498" s="34"/>
      <c r="I498" s="37"/>
    </row>
    <row r="499" ht="22.5" customHeight="1">
      <c r="A499" s="30"/>
      <c r="B499" s="31"/>
      <c r="C499" s="32"/>
      <c r="D499" s="33"/>
      <c r="E499" s="34"/>
      <c r="F499" s="34"/>
      <c r="G499" s="35"/>
      <c r="H499" s="34"/>
      <c r="I499" s="37"/>
    </row>
    <row r="500" ht="22.5" customHeight="1">
      <c r="A500" s="30"/>
      <c r="B500" s="40"/>
      <c r="C500" s="32"/>
      <c r="D500" s="33"/>
      <c r="E500" s="34"/>
      <c r="F500" s="34"/>
      <c r="G500" s="35"/>
      <c r="H500" s="34"/>
      <c r="I500" s="37"/>
    </row>
    <row r="501" ht="22.5" customHeight="1">
      <c r="A501" s="30"/>
      <c r="B501" s="31"/>
      <c r="C501" s="32"/>
      <c r="D501" s="33"/>
      <c r="E501" s="34"/>
      <c r="F501" s="34"/>
      <c r="G501" s="35"/>
      <c r="H501" s="34"/>
      <c r="I501" s="37"/>
    </row>
    <row r="502" ht="22.5" customHeight="1">
      <c r="A502" s="30"/>
      <c r="B502" s="31"/>
      <c r="C502" s="32"/>
      <c r="D502" s="33"/>
      <c r="E502" s="34"/>
      <c r="F502" s="34"/>
      <c r="G502" s="35"/>
      <c r="H502" s="34"/>
      <c r="I502" s="37"/>
    </row>
    <row r="503" ht="22.5" customHeight="1">
      <c r="A503" s="30"/>
      <c r="B503" s="31"/>
      <c r="C503" s="32"/>
      <c r="D503" s="33"/>
      <c r="E503" s="34"/>
      <c r="F503" s="34"/>
      <c r="G503" s="35"/>
      <c r="H503" s="34"/>
      <c r="I503" s="37"/>
    </row>
    <row r="504" ht="22.5" customHeight="1">
      <c r="A504" s="30"/>
      <c r="B504" s="31"/>
      <c r="C504" s="32"/>
      <c r="D504" s="33"/>
      <c r="E504" s="34"/>
      <c r="F504" s="34"/>
      <c r="G504" s="35"/>
      <c r="H504" s="34"/>
      <c r="I504" s="37"/>
    </row>
    <row r="505" ht="22.5" customHeight="1">
      <c r="A505" s="30"/>
      <c r="B505" s="31"/>
      <c r="C505" s="32"/>
      <c r="D505" s="33"/>
      <c r="E505" s="34"/>
      <c r="F505" s="34"/>
      <c r="G505" s="35"/>
      <c r="H505" s="34"/>
      <c r="I505" s="37"/>
    </row>
    <row r="506" ht="22.5" customHeight="1">
      <c r="A506" s="30"/>
      <c r="B506" s="31"/>
      <c r="C506" s="32"/>
      <c r="D506" s="33"/>
      <c r="E506" s="34"/>
      <c r="F506" s="34"/>
      <c r="G506" s="35"/>
      <c r="H506" s="34"/>
      <c r="I506" s="37"/>
    </row>
    <row r="507" ht="22.5" customHeight="1">
      <c r="A507" s="30"/>
      <c r="B507" s="31"/>
      <c r="C507" s="32"/>
      <c r="D507" s="33"/>
      <c r="E507" s="34"/>
      <c r="F507" s="34"/>
      <c r="G507" s="35"/>
      <c r="H507" s="34"/>
      <c r="I507" s="37"/>
    </row>
    <row r="508" ht="22.5" customHeight="1">
      <c r="A508" s="30"/>
      <c r="B508" s="31"/>
      <c r="C508" s="32"/>
      <c r="D508" s="33"/>
      <c r="E508" s="34"/>
      <c r="F508" s="34"/>
      <c r="G508" s="35"/>
      <c r="H508" s="34"/>
      <c r="I508" s="37"/>
    </row>
    <row r="509" ht="22.5" customHeight="1">
      <c r="A509" s="30"/>
      <c r="B509" s="31"/>
      <c r="C509" s="32"/>
      <c r="D509" s="33"/>
      <c r="E509" s="34"/>
      <c r="F509" s="34"/>
      <c r="G509" s="35"/>
      <c r="H509" s="34"/>
      <c r="I509" s="37"/>
    </row>
    <row r="510" ht="22.5" customHeight="1">
      <c r="A510" s="30"/>
      <c r="B510" s="31"/>
      <c r="C510" s="32"/>
      <c r="D510" s="33"/>
      <c r="E510" s="34"/>
      <c r="F510" s="34"/>
      <c r="G510" s="35"/>
      <c r="H510" s="34"/>
      <c r="I510" s="37"/>
    </row>
    <row r="511" ht="22.5" customHeight="1">
      <c r="A511" s="30"/>
      <c r="B511" s="31"/>
      <c r="C511" s="32"/>
      <c r="D511" s="33"/>
      <c r="E511" s="34"/>
      <c r="F511" s="34"/>
      <c r="G511" s="35"/>
      <c r="H511" s="34"/>
      <c r="I511" s="37"/>
    </row>
    <row r="512" ht="22.5" customHeight="1">
      <c r="A512" s="30"/>
      <c r="B512" s="31"/>
      <c r="C512" s="32"/>
      <c r="D512" s="33"/>
      <c r="E512" s="34"/>
      <c r="F512" s="34"/>
      <c r="G512" s="35"/>
      <c r="H512" s="34"/>
      <c r="I512" s="37"/>
    </row>
    <row r="513" ht="22.5" customHeight="1">
      <c r="A513" s="30"/>
      <c r="B513" s="31"/>
      <c r="C513" s="32"/>
      <c r="D513" s="33"/>
      <c r="E513" s="34"/>
      <c r="F513" s="34"/>
      <c r="G513" s="35"/>
      <c r="H513" s="34"/>
      <c r="I513" s="37"/>
    </row>
    <row r="514" ht="22.5" customHeight="1">
      <c r="A514" s="30"/>
      <c r="B514" s="31"/>
      <c r="C514" s="32"/>
      <c r="D514" s="33"/>
      <c r="E514" s="34"/>
      <c r="F514" s="34"/>
      <c r="G514" s="35"/>
      <c r="H514" s="34"/>
      <c r="I514" s="37"/>
    </row>
    <row r="515" ht="22.5" customHeight="1">
      <c r="A515" s="30"/>
      <c r="B515" s="40"/>
      <c r="C515" s="32"/>
      <c r="D515" s="33"/>
      <c r="E515" s="34"/>
      <c r="F515" s="34"/>
      <c r="G515" s="35"/>
      <c r="H515" s="34"/>
      <c r="I515" s="37"/>
    </row>
    <row r="516" ht="22.5" customHeight="1">
      <c r="A516" s="30"/>
      <c r="B516" s="31"/>
      <c r="C516" s="32"/>
      <c r="D516" s="33"/>
      <c r="E516" s="34"/>
      <c r="F516" s="34"/>
      <c r="G516" s="35"/>
      <c r="H516" s="34"/>
      <c r="I516" s="37"/>
    </row>
    <row r="517" ht="22.5" customHeight="1">
      <c r="A517" s="30"/>
      <c r="B517" s="40"/>
      <c r="C517" s="32"/>
      <c r="D517" s="33"/>
      <c r="E517" s="34"/>
      <c r="F517" s="34"/>
      <c r="G517" s="35"/>
      <c r="H517" s="34"/>
      <c r="I517" s="37"/>
    </row>
    <row r="518" ht="22.5" customHeight="1">
      <c r="A518" s="30"/>
      <c r="B518" s="31"/>
      <c r="C518" s="32"/>
      <c r="D518" s="33"/>
      <c r="E518" s="34"/>
      <c r="F518" s="34"/>
      <c r="G518" s="35"/>
      <c r="H518" s="34"/>
      <c r="I518" s="37"/>
    </row>
    <row r="519" ht="22.5" customHeight="1">
      <c r="A519" s="30"/>
      <c r="B519" s="31"/>
      <c r="C519" s="32"/>
      <c r="D519" s="33"/>
      <c r="E519" s="34"/>
      <c r="F519" s="34"/>
      <c r="G519" s="35"/>
      <c r="H519" s="34"/>
      <c r="I519" s="37"/>
    </row>
    <row r="520" ht="22.5" customHeight="1">
      <c r="A520" s="30"/>
      <c r="B520" s="31"/>
      <c r="C520" s="32"/>
      <c r="D520" s="33"/>
      <c r="E520" s="34"/>
      <c r="F520" s="34"/>
      <c r="G520" s="35"/>
      <c r="H520" s="34"/>
      <c r="I520" s="37"/>
    </row>
    <row r="521" ht="22.5" customHeight="1">
      <c r="A521" s="30"/>
      <c r="B521" s="31"/>
      <c r="C521" s="32"/>
      <c r="D521" s="33"/>
      <c r="E521" s="34"/>
      <c r="F521" s="34"/>
      <c r="G521" s="35"/>
      <c r="H521" s="34"/>
      <c r="I521" s="37"/>
    </row>
    <row r="522" ht="22.5" customHeight="1">
      <c r="A522" s="30"/>
      <c r="B522" s="40"/>
      <c r="C522" s="32"/>
      <c r="D522" s="33"/>
      <c r="E522" s="34"/>
      <c r="F522" s="34"/>
      <c r="G522" s="35"/>
      <c r="H522" s="34"/>
      <c r="I522" s="37"/>
    </row>
    <row r="523" ht="22.5" customHeight="1">
      <c r="A523" s="30"/>
      <c r="B523" s="31"/>
      <c r="C523" s="32"/>
      <c r="D523" s="33"/>
      <c r="E523" s="34"/>
      <c r="F523" s="34"/>
      <c r="G523" s="35"/>
      <c r="H523" s="34"/>
      <c r="I523" s="37"/>
    </row>
    <row r="524" ht="22.5" customHeight="1">
      <c r="A524" s="30"/>
      <c r="B524" s="31"/>
      <c r="C524" s="32"/>
      <c r="D524" s="33"/>
      <c r="E524" s="34"/>
      <c r="F524" s="34"/>
      <c r="G524" s="35"/>
      <c r="H524" s="34"/>
      <c r="I524" s="37"/>
    </row>
    <row r="525" ht="22.5" customHeight="1">
      <c r="A525" s="30"/>
      <c r="B525" s="31"/>
      <c r="C525" s="32"/>
      <c r="D525" s="33"/>
      <c r="E525" s="34"/>
      <c r="F525" s="34"/>
      <c r="G525" s="35"/>
      <c r="H525" s="34"/>
      <c r="I525" s="37"/>
    </row>
    <row r="526" ht="22.5" customHeight="1">
      <c r="A526" s="30"/>
      <c r="B526" s="31"/>
      <c r="C526" s="32"/>
      <c r="D526" s="33"/>
      <c r="E526" s="34"/>
      <c r="F526" s="34"/>
      <c r="G526" s="35"/>
      <c r="H526" s="34"/>
      <c r="I526" s="37"/>
    </row>
    <row r="527" ht="22.5" customHeight="1">
      <c r="A527" s="30"/>
      <c r="B527" s="31"/>
      <c r="C527" s="32"/>
      <c r="D527" s="33"/>
      <c r="E527" s="34"/>
      <c r="F527" s="34"/>
      <c r="G527" s="35"/>
      <c r="H527" s="34"/>
      <c r="I527" s="37"/>
    </row>
    <row r="528" ht="22.5" customHeight="1">
      <c r="A528" s="30"/>
      <c r="B528" s="31"/>
      <c r="C528" s="32"/>
      <c r="D528" s="33"/>
      <c r="E528" s="34"/>
      <c r="F528" s="34"/>
      <c r="G528" s="35"/>
      <c r="H528" s="34"/>
      <c r="I528" s="37"/>
    </row>
    <row r="529" ht="22.5" customHeight="1">
      <c r="A529" s="30"/>
      <c r="B529" s="31"/>
      <c r="C529" s="32"/>
      <c r="D529" s="33"/>
      <c r="E529" s="34"/>
      <c r="F529" s="34"/>
      <c r="G529" s="35"/>
      <c r="H529" s="34"/>
      <c r="I529" s="37"/>
    </row>
    <row r="530" ht="22.5" customHeight="1">
      <c r="A530" s="30"/>
      <c r="B530" s="31"/>
      <c r="C530" s="32"/>
      <c r="D530" s="33"/>
      <c r="E530" s="34"/>
      <c r="F530" s="34"/>
      <c r="G530" s="35"/>
      <c r="H530" s="34"/>
      <c r="I530" s="37"/>
    </row>
    <row r="531" ht="22.5" customHeight="1">
      <c r="A531" s="30"/>
      <c r="B531" s="31"/>
      <c r="C531" s="32"/>
      <c r="D531" s="33"/>
      <c r="E531" s="34"/>
      <c r="F531" s="34"/>
      <c r="G531" s="35"/>
      <c r="H531" s="34"/>
      <c r="I531" s="37"/>
    </row>
    <row r="532" ht="22.5" customHeight="1">
      <c r="A532" s="30"/>
      <c r="B532" s="31"/>
      <c r="C532" s="32"/>
      <c r="D532" s="33"/>
      <c r="E532" s="34"/>
      <c r="F532" s="34"/>
      <c r="G532" s="35"/>
      <c r="H532" s="34"/>
      <c r="I532" s="37"/>
    </row>
    <row r="533" ht="22.5" customHeight="1">
      <c r="A533" s="30"/>
      <c r="B533" s="31"/>
      <c r="C533" s="32"/>
      <c r="D533" s="33"/>
      <c r="E533" s="34"/>
      <c r="F533" s="34"/>
      <c r="G533" s="35"/>
      <c r="H533" s="34"/>
      <c r="I533" s="37"/>
    </row>
    <row r="534" ht="22.5" customHeight="1">
      <c r="A534" s="30"/>
      <c r="B534" s="31"/>
      <c r="C534" s="32"/>
      <c r="D534" s="33"/>
      <c r="E534" s="34"/>
      <c r="F534" s="34"/>
      <c r="G534" s="35"/>
      <c r="H534" s="34"/>
      <c r="I534" s="37"/>
    </row>
    <row r="535" ht="22.5" customHeight="1">
      <c r="A535" s="30"/>
      <c r="B535" s="31"/>
      <c r="C535" s="32"/>
      <c r="D535" s="33"/>
      <c r="E535" s="34"/>
      <c r="F535" s="34"/>
      <c r="G535" s="35"/>
      <c r="H535" s="34"/>
      <c r="I535" s="37"/>
    </row>
    <row r="536" ht="22.5" customHeight="1">
      <c r="A536" s="30"/>
      <c r="B536" s="31"/>
      <c r="C536" s="32"/>
      <c r="D536" s="33"/>
      <c r="E536" s="34"/>
      <c r="F536" s="34"/>
      <c r="G536" s="35"/>
      <c r="H536" s="34"/>
      <c r="I536" s="37"/>
    </row>
    <row r="537" ht="22.5" customHeight="1">
      <c r="A537" s="30"/>
      <c r="B537" s="31"/>
      <c r="C537" s="32"/>
      <c r="D537" s="33"/>
      <c r="E537" s="34"/>
      <c r="F537" s="34"/>
      <c r="G537" s="35"/>
      <c r="H537" s="34"/>
      <c r="I537" s="37"/>
    </row>
    <row r="538" ht="22.5" customHeight="1">
      <c r="A538" s="30"/>
      <c r="B538" s="31"/>
      <c r="C538" s="32"/>
      <c r="D538" s="33"/>
      <c r="E538" s="34"/>
      <c r="F538" s="34"/>
      <c r="G538" s="35"/>
      <c r="H538" s="34"/>
      <c r="I538" s="37"/>
    </row>
    <row r="539" ht="22.5" customHeight="1">
      <c r="A539" s="30"/>
      <c r="B539" s="31"/>
      <c r="C539" s="32"/>
      <c r="D539" s="33"/>
      <c r="E539" s="34"/>
      <c r="F539" s="34"/>
      <c r="G539" s="35"/>
      <c r="H539" s="34"/>
      <c r="I539" s="37"/>
    </row>
    <row r="540" ht="22.5" customHeight="1">
      <c r="A540" s="30"/>
      <c r="B540" s="31"/>
      <c r="C540" s="32"/>
      <c r="D540" s="33"/>
      <c r="E540" s="34"/>
      <c r="F540" s="34"/>
      <c r="G540" s="35"/>
      <c r="H540" s="34"/>
      <c r="I540" s="37"/>
    </row>
    <row r="541" ht="22.5" customHeight="1">
      <c r="A541" s="30"/>
      <c r="B541" s="31"/>
      <c r="C541" s="32"/>
      <c r="D541" s="33"/>
      <c r="E541" s="34"/>
      <c r="F541" s="34"/>
      <c r="G541" s="35"/>
      <c r="H541" s="34"/>
      <c r="I541" s="37"/>
    </row>
    <row r="542" ht="22.5" customHeight="1">
      <c r="A542" s="30"/>
      <c r="B542" s="31"/>
      <c r="C542" s="32"/>
      <c r="D542" s="33"/>
      <c r="E542" s="34"/>
      <c r="F542" s="34"/>
      <c r="G542" s="35"/>
      <c r="H542" s="34"/>
      <c r="I542" s="37"/>
    </row>
    <row r="543" ht="22.5" customHeight="1">
      <c r="A543" s="30"/>
      <c r="B543" s="31"/>
      <c r="C543" s="32"/>
      <c r="D543" s="33"/>
      <c r="E543" s="34"/>
      <c r="F543" s="34"/>
      <c r="G543" s="35"/>
      <c r="H543" s="34"/>
      <c r="I543" s="37"/>
    </row>
    <row r="544" ht="22.5" customHeight="1">
      <c r="A544" s="30"/>
      <c r="B544" s="40"/>
      <c r="C544" s="32"/>
      <c r="D544" s="33"/>
      <c r="E544" s="34"/>
      <c r="F544" s="34"/>
      <c r="G544" s="35"/>
      <c r="H544" s="34"/>
      <c r="I544" s="37"/>
    </row>
    <row r="545" ht="22.5" customHeight="1">
      <c r="A545" s="30"/>
      <c r="B545" s="31"/>
      <c r="C545" s="32"/>
      <c r="D545" s="33"/>
      <c r="E545" s="34"/>
      <c r="F545" s="34"/>
      <c r="G545" s="35"/>
      <c r="H545" s="34"/>
      <c r="I545" s="37"/>
    </row>
    <row r="546" ht="22.5" customHeight="1">
      <c r="A546" s="30"/>
      <c r="B546" s="31"/>
      <c r="C546" s="32"/>
      <c r="D546" s="33"/>
      <c r="E546" s="34"/>
      <c r="F546" s="34"/>
      <c r="G546" s="35"/>
      <c r="H546" s="34"/>
      <c r="I546" s="37"/>
    </row>
    <row r="547" ht="22.5" customHeight="1">
      <c r="A547" s="30"/>
      <c r="B547" s="31"/>
      <c r="C547" s="32"/>
      <c r="D547" s="33"/>
      <c r="E547" s="34"/>
      <c r="F547" s="34"/>
      <c r="G547" s="35"/>
      <c r="H547" s="34"/>
      <c r="I547" s="37"/>
    </row>
    <row r="548" ht="22.5" customHeight="1">
      <c r="A548" s="30"/>
      <c r="B548" s="31"/>
      <c r="C548" s="32"/>
      <c r="D548" s="33"/>
      <c r="E548" s="34"/>
      <c r="F548" s="34"/>
      <c r="G548" s="35"/>
      <c r="H548" s="34"/>
      <c r="I548" s="38"/>
    </row>
    <row r="549" ht="22.5" customHeight="1">
      <c r="A549" s="30"/>
      <c r="B549" s="39"/>
      <c r="C549" s="32"/>
      <c r="D549" s="33"/>
      <c r="E549" s="34"/>
      <c r="F549" s="34"/>
      <c r="G549" s="35"/>
      <c r="H549" s="34"/>
      <c r="I549" s="37"/>
    </row>
    <row r="550" ht="22.5" customHeight="1">
      <c r="A550" s="30"/>
      <c r="B550" s="31"/>
      <c r="C550" s="32"/>
      <c r="D550" s="33"/>
      <c r="E550" s="34"/>
      <c r="F550" s="34"/>
      <c r="G550" s="35"/>
      <c r="H550" s="34"/>
      <c r="I550" s="37"/>
    </row>
    <row r="551" ht="22.5" customHeight="1">
      <c r="A551" s="30"/>
      <c r="B551" s="31"/>
      <c r="C551" s="32"/>
      <c r="D551" s="33"/>
      <c r="E551" s="34"/>
      <c r="F551" s="34"/>
      <c r="G551" s="35"/>
      <c r="H551" s="34"/>
      <c r="I551" s="37"/>
    </row>
    <row r="552" ht="22.5" customHeight="1">
      <c r="A552" s="30"/>
      <c r="B552" s="31"/>
      <c r="C552" s="32"/>
      <c r="D552" s="33"/>
      <c r="E552" s="34"/>
      <c r="F552" s="34"/>
      <c r="G552" s="35"/>
      <c r="H552" s="34"/>
      <c r="I552" s="37"/>
    </row>
    <row r="553" ht="22.5" customHeight="1">
      <c r="A553" s="30"/>
      <c r="B553" s="39"/>
      <c r="C553" s="32"/>
      <c r="D553" s="33"/>
      <c r="E553" s="34"/>
      <c r="F553" s="34"/>
      <c r="G553" s="35"/>
      <c r="H553" s="34"/>
      <c r="I553" s="37"/>
    </row>
    <row r="554" ht="22.5" customHeight="1">
      <c r="A554" s="30"/>
      <c r="B554" s="31"/>
      <c r="C554" s="32"/>
      <c r="D554" s="33"/>
      <c r="E554" s="34"/>
      <c r="F554" s="34"/>
      <c r="G554" s="35"/>
      <c r="H554" s="34"/>
      <c r="I554" s="37"/>
    </row>
    <row r="555" ht="22.5" customHeight="1">
      <c r="A555" s="30"/>
      <c r="B555" s="39"/>
      <c r="C555" s="32"/>
      <c r="D555" s="33"/>
      <c r="E555" s="34"/>
      <c r="F555" s="34"/>
      <c r="G555" s="35"/>
      <c r="H555" s="34"/>
      <c r="I555" s="37"/>
    </row>
    <row r="556" ht="22.5" customHeight="1">
      <c r="A556" s="30"/>
      <c r="B556" s="31"/>
      <c r="C556" s="32"/>
      <c r="D556" s="33"/>
      <c r="E556" s="34"/>
      <c r="F556" s="34"/>
      <c r="G556" s="35"/>
      <c r="H556" s="34"/>
      <c r="I556" s="37"/>
    </row>
    <row r="557" ht="22.5" customHeight="1">
      <c r="A557" s="30"/>
      <c r="B557" s="31"/>
      <c r="C557" s="32"/>
      <c r="D557" s="33"/>
      <c r="E557" s="34"/>
      <c r="F557" s="34"/>
      <c r="G557" s="35"/>
      <c r="H557" s="34"/>
      <c r="I557" s="37"/>
    </row>
    <row r="558" ht="22.5" customHeight="1">
      <c r="A558" s="30"/>
      <c r="B558" s="31"/>
      <c r="C558" s="32"/>
      <c r="D558" s="33"/>
      <c r="E558" s="34"/>
      <c r="F558" s="34"/>
      <c r="G558" s="35"/>
      <c r="H558" s="34"/>
      <c r="I558" s="37"/>
    </row>
    <row r="559" ht="22.5" customHeight="1">
      <c r="A559" s="30"/>
      <c r="B559" s="31"/>
      <c r="C559" s="32"/>
      <c r="D559" s="33"/>
      <c r="E559" s="34"/>
      <c r="F559" s="34"/>
      <c r="G559" s="35"/>
      <c r="H559" s="34"/>
      <c r="I559" s="37"/>
    </row>
    <row r="560" ht="22.5" customHeight="1">
      <c r="A560" s="30"/>
      <c r="B560" s="31"/>
      <c r="C560" s="32"/>
      <c r="D560" s="33"/>
      <c r="E560" s="34"/>
      <c r="F560" s="34"/>
      <c r="G560" s="35"/>
      <c r="H560" s="34"/>
      <c r="I560" s="37"/>
    </row>
    <row r="561" ht="22.5" customHeight="1">
      <c r="A561" s="30"/>
      <c r="B561" s="31"/>
      <c r="C561" s="32"/>
      <c r="D561" s="33"/>
      <c r="E561" s="34"/>
      <c r="F561" s="34"/>
      <c r="G561" s="35"/>
      <c r="H561" s="34"/>
      <c r="I561" s="37"/>
    </row>
    <row r="562" ht="22.5" customHeight="1">
      <c r="A562" s="30"/>
      <c r="B562" s="31"/>
      <c r="C562" s="32"/>
      <c r="D562" s="33"/>
      <c r="E562" s="34"/>
      <c r="F562" s="34"/>
      <c r="G562" s="35"/>
      <c r="H562" s="34"/>
      <c r="I562" s="37"/>
    </row>
    <row r="563" ht="22.5" customHeight="1">
      <c r="A563" s="30"/>
      <c r="B563" s="31"/>
      <c r="C563" s="32"/>
      <c r="D563" s="33"/>
      <c r="E563" s="34"/>
      <c r="F563" s="34"/>
      <c r="G563" s="35"/>
      <c r="H563" s="34"/>
      <c r="I563" s="37"/>
    </row>
    <row r="564" ht="22.5" customHeight="1">
      <c r="A564" s="30"/>
      <c r="B564" s="31"/>
      <c r="C564" s="32"/>
      <c r="D564" s="33"/>
      <c r="E564" s="34"/>
      <c r="F564" s="34"/>
      <c r="G564" s="35"/>
      <c r="H564" s="34"/>
      <c r="I564" s="37"/>
    </row>
    <row r="565" ht="22.5" customHeight="1">
      <c r="A565" s="30"/>
      <c r="B565" s="31"/>
      <c r="C565" s="32"/>
      <c r="D565" s="33"/>
      <c r="E565" s="34"/>
      <c r="F565" s="34"/>
      <c r="G565" s="35"/>
      <c r="H565" s="34"/>
      <c r="I565" s="37"/>
    </row>
    <row r="566" ht="22.5" customHeight="1">
      <c r="A566" s="30"/>
      <c r="B566" s="40"/>
      <c r="C566" s="32"/>
      <c r="D566" s="33"/>
      <c r="E566" s="34"/>
      <c r="F566" s="34"/>
      <c r="G566" s="35"/>
      <c r="H566" s="34"/>
      <c r="I566" s="37"/>
    </row>
    <row r="567" ht="22.5" customHeight="1">
      <c r="A567" s="30"/>
      <c r="B567" s="31"/>
      <c r="C567" s="32"/>
      <c r="D567" s="33"/>
      <c r="E567" s="34"/>
      <c r="F567" s="34"/>
      <c r="G567" s="35"/>
      <c r="H567" s="34"/>
      <c r="I567" s="37"/>
    </row>
    <row r="568" ht="22.5" customHeight="1">
      <c r="A568" s="30"/>
      <c r="B568" s="31"/>
      <c r="C568" s="32"/>
      <c r="D568" s="33"/>
      <c r="E568" s="34"/>
      <c r="F568" s="34"/>
      <c r="G568" s="35"/>
      <c r="H568" s="34"/>
      <c r="I568" s="37"/>
    </row>
    <row r="569" ht="22.5" customHeight="1">
      <c r="A569" s="30"/>
      <c r="B569" s="31"/>
      <c r="C569" s="32"/>
      <c r="D569" s="33"/>
      <c r="E569" s="34"/>
      <c r="F569" s="34"/>
      <c r="G569" s="35"/>
      <c r="H569" s="34"/>
      <c r="I569" s="37"/>
    </row>
    <row r="570" ht="22.5" customHeight="1">
      <c r="A570" s="30"/>
      <c r="B570" s="31"/>
      <c r="C570" s="32"/>
      <c r="D570" s="33"/>
      <c r="E570" s="34"/>
      <c r="F570" s="34"/>
      <c r="G570" s="35"/>
      <c r="H570" s="34"/>
      <c r="I570" s="37"/>
    </row>
    <row r="571" ht="22.5" customHeight="1">
      <c r="A571" s="30"/>
      <c r="B571" s="31"/>
      <c r="C571" s="32"/>
      <c r="D571" s="33"/>
      <c r="E571" s="34"/>
      <c r="F571" s="34"/>
      <c r="G571" s="35"/>
      <c r="H571" s="34"/>
      <c r="I571" s="37"/>
    </row>
    <row r="572" ht="22.5" customHeight="1">
      <c r="A572" s="30"/>
      <c r="B572" s="31"/>
      <c r="C572" s="32"/>
      <c r="D572" s="33"/>
      <c r="E572" s="34"/>
      <c r="F572" s="34"/>
      <c r="G572" s="35"/>
      <c r="H572" s="34"/>
      <c r="I572" s="37"/>
    </row>
    <row r="573" ht="22.5" customHeight="1">
      <c r="A573" s="30"/>
      <c r="B573" s="39"/>
      <c r="C573" s="32"/>
      <c r="D573" s="33"/>
      <c r="E573" s="34"/>
      <c r="F573" s="34"/>
      <c r="G573" s="35"/>
      <c r="H573" s="34"/>
      <c r="I573" s="37"/>
    </row>
    <row r="574" ht="22.5" customHeight="1">
      <c r="A574" s="30"/>
      <c r="B574" s="39"/>
      <c r="C574" s="32"/>
      <c r="D574" s="33"/>
      <c r="E574" s="34"/>
      <c r="F574" s="34"/>
      <c r="G574" s="35"/>
      <c r="H574" s="34"/>
      <c r="I574" s="37"/>
    </row>
    <row r="575" ht="22.5" customHeight="1">
      <c r="A575" s="30"/>
      <c r="B575" s="39"/>
      <c r="C575" s="32"/>
      <c r="D575" s="33"/>
      <c r="E575" s="34"/>
      <c r="F575" s="34"/>
      <c r="G575" s="35"/>
      <c r="H575" s="34"/>
      <c r="I575" s="37"/>
    </row>
    <row r="576" ht="22.5" customHeight="1">
      <c r="A576" s="30"/>
      <c r="B576" s="40"/>
      <c r="C576" s="32"/>
      <c r="D576" s="33"/>
      <c r="E576" s="34"/>
      <c r="F576" s="34"/>
      <c r="G576" s="35"/>
      <c r="H576" s="34"/>
      <c r="I576" s="37"/>
    </row>
    <row r="577" ht="22.5" customHeight="1">
      <c r="A577" s="30"/>
      <c r="B577" s="31"/>
      <c r="C577" s="32"/>
      <c r="D577" s="33"/>
      <c r="E577" s="34"/>
      <c r="F577" s="34"/>
      <c r="G577" s="35"/>
      <c r="H577" s="34"/>
      <c r="I577" s="37"/>
    </row>
    <row r="578" ht="22.5" customHeight="1">
      <c r="A578" s="30"/>
      <c r="B578" s="31"/>
      <c r="C578" s="32"/>
      <c r="D578" s="33"/>
      <c r="E578" s="34"/>
      <c r="F578" s="34"/>
      <c r="G578" s="35"/>
      <c r="H578" s="34"/>
      <c r="I578" s="37"/>
    </row>
    <row r="579" ht="22.5" customHeight="1">
      <c r="A579" s="30"/>
      <c r="B579" s="31"/>
      <c r="C579" s="32"/>
      <c r="D579" s="33"/>
      <c r="E579" s="34"/>
      <c r="F579" s="34"/>
      <c r="G579" s="35"/>
      <c r="H579" s="34"/>
      <c r="I579" s="37"/>
    </row>
    <row r="580" ht="22.5" customHeight="1">
      <c r="A580" s="30"/>
      <c r="B580" s="31"/>
      <c r="C580" s="32"/>
      <c r="D580" s="33"/>
      <c r="E580" s="34"/>
      <c r="F580" s="34"/>
      <c r="G580" s="35"/>
      <c r="H580" s="34"/>
      <c r="I580" s="37"/>
    </row>
    <row r="581" ht="22.5" customHeight="1">
      <c r="A581" s="30"/>
      <c r="B581" s="31"/>
      <c r="C581" s="32"/>
      <c r="D581" s="33"/>
      <c r="E581" s="34"/>
      <c r="F581" s="34"/>
      <c r="G581" s="35"/>
      <c r="H581" s="34"/>
      <c r="I581" s="37"/>
    </row>
    <row r="582" ht="22.5" customHeight="1">
      <c r="A582" s="30"/>
      <c r="B582" s="31"/>
      <c r="C582" s="32"/>
      <c r="D582" s="33"/>
      <c r="E582" s="34"/>
      <c r="F582" s="34"/>
      <c r="G582" s="35"/>
      <c r="H582" s="34"/>
      <c r="I582" s="37"/>
    </row>
    <row r="583" ht="22.5" customHeight="1">
      <c r="A583" s="30"/>
      <c r="B583" s="31"/>
      <c r="C583" s="32"/>
      <c r="D583" s="33"/>
      <c r="E583" s="34"/>
      <c r="F583" s="34"/>
      <c r="G583" s="35"/>
      <c r="H583" s="34"/>
      <c r="I583" s="37"/>
    </row>
    <row r="584" ht="22.5" customHeight="1">
      <c r="A584" s="30"/>
      <c r="B584" s="31"/>
      <c r="C584" s="32"/>
      <c r="D584" s="33"/>
      <c r="E584" s="34"/>
      <c r="F584" s="34"/>
      <c r="G584" s="35"/>
      <c r="H584" s="34"/>
      <c r="I584" s="37"/>
    </row>
    <row r="585" ht="22.5" customHeight="1">
      <c r="A585" s="30"/>
      <c r="B585" s="31"/>
      <c r="C585" s="32"/>
      <c r="D585" s="33"/>
      <c r="E585" s="34"/>
      <c r="F585" s="34"/>
      <c r="G585" s="35"/>
      <c r="H585" s="34"/>
      <c r="I585" s="37"/>
    </row>
    <row r="586" ht="22.5" customHeight="1">
      <c r="A586" s="30"/>
      <c r="B586" s="40"/>
      <c r="C586" s="32"/>
      <c r="D586" s="33"/>
      <c r="E586" s="34"/>
      <c r="F586" s="34"/>
      <c r="G586" s="35"/>
      <c r="H586" s="34"/>
      <c r="I586" s="37"/>
    </row>
    <row r="587" ht="22.5" customHeight="1">
      <c r="A587" s="30"/>
      <c r="B587" s="31"/>
      <c r="C587" s="32"/>
      <c r="D587" s="33"/>
      <c r="E587" s="34"/>
      <c r="F587" s="34"/>
      <c r="G587" s="35"/>
      <c r="H587" s="34"/>
      <c r="I587" s="37"/>
    </row>
    <row r="588" ht="22.5" customHeight="1">
      <c r="A588" s="30"/>
      <c r="B588" s="31"/>
      <c r="C588" s="32"/>
      <c r="D588" s="33"/>
      <c r="E588" s="34"/>
      <c r="F588" s="34"/>
      <c r="G588" s="35"/>
      <c r="H588" s="34"/>
      <c r="I588" s="37"/>
    </row>
    <row r="589" ht="22.5" customHeight="1">
      <c r="A589" s="30"/>
      <c r="B589" s="31"/>
      <c r="C589" s="32"/>
      <c r="D589" s="33"/>
      <c r="E589" s="34"/>
      <c r="F589" s="34"/>
      <c r="G589" s="35"/>
      <c r="H589" s="34"/>
      <c r="I589" s="37"/>
    </row>
    <row r="590" ht="22.5" customHeight="1">
      <c r="A590" s="30"/>
      <c r="B590" s="40"/>
      <c r="C590" s="32"/>
      <c r="D590" s="33"/>
      <c r="E590" s="34"/>
      <c r="F590" s="34"/>
      <c r="G590" s="35"/>
      <c r="H590" s="34"/>
      <c r="I590" s="37"/>
    </row>
    <row r="591" ht="22.5" customHeight="1">
      <c r="A591" s="30"/>
      <c r="B591" s="31"/>
      <c r="C591" s="32"/>
      <c r="D591" s="33"/>
      <c r="E591" s="34"/>
      <c r="F591" s="34"/>
      <c r="G591" s="35"/>
      <c r="H591" s="34"/>
      <c r="I591" s="37"/>
    </row>
    <row r="592" ht="22.5" customHeight="1">
      <c r="A592" s="30"/>
      <c r="B592" s="31"/>
      <c r="C592" s="32"/>
      <c r="D592" s="33"/>
      <c r="E592" s="34"/>
      <c r="F592" s="34"/>
      <c r="G592" s="35"/>
      <c r="H592" s="34"/>
      <c r="I592" s="37"/>
    </row>
    <row r="593" ht="22.5" customHeight="1">
      <c r="A593" s="30"/>
      <c r="B593" s="31"/>
      <c r="C593" s="32"/>
      <c r="D593" s="33"/>
      <c r="E593" s="34"/>
      <c r="F593" s="34"/>
      <c r="G593" s="35"/>
      <c r="H593" s="34"/>
      <c r="I593" s="37"/>
    </row>
    <row r="594" ht="22.5" customHeight="1">
      <c r="A594" s="30"/>
      <c r="B594" s="31"/>
      <c r="C594" s="32"/>
      <c r="D594" s="33"/>
      <c r="E594" s="34"/>
      <c r="F594" s="34"/>
      <c r="G594" s="35"/>
      <c r="H594" s="34"/>
      <c r="I594" s="37"/>
    </row>
    <row r="595" ht="22.5" customHeight="1">
      <c r="A595" s="30"/>
      <c r="B595" s="31"/>
      <c r="C595" s="32"/>
      <c r="D595" s="33"/>
      <c r="E595" s="34"/>
      <c r="F595" s="34"/>
      <c r="G595" s="35"/>
      <c r="H595" s="34"/>
      <c r="I595" s="37"/>
    </row>
    <row r="596" ht="22.5" customHeight="1">
      <c r="A596" s="30"/>
      <c r="B596" s="31"/>
      <c r="C596" s="32"/>
      <c r="D596" s="33"/>
      <c r="E596" s="34"/>
      <c r="F596" s="34"/>
      <c r="G596" s="35"/>
      <c r="H596" s="34"/>
      <c r="I596" s="37"/>
    </row>
    <row r="597" ht="22.5" customHeight="1">
      <c r="A597" s="30"/>
      <c r="B597" s="31"/>
      <c r="C597" s="32"/>
      <c r="D597" s="33"/>
      <c r="E597" s="34"/>
      <c r="F597" s="34"/>
      <c r="G597" s="35"/>
      <c r="H597" s="34"/>
      <c r="I597" s="37"/>
    </row>
    <row r="598" ht="22.5" customHeight="1">
      <c r="A598" s="30"/>
      <c r="B598" s="31"/>
      <c r="C598" s="32"/>
      <c r="D598" s="33"/>
      <c r="E598" s="34"/>
      <c r="F598" s="34"/>
      <c r="G598" s="35"/>
      <c r="H598" s="34"/>
      <c r="I598" s="37"/>
    </row>
    <row r="599" ht="22.5" customHeight="1">
      <c r="A599" s="30"/>
      <c r="B599" s="31"/>
      <c r="C599" s="32"/>
      <c r="D599" s="33"/>
      <c r="E599" s="34"/>
      <c r="F599" s="34"/>
      <c r="G599" s="35"/>
      <c r="H599" s="34"/>
      <c r="I599" s="37"/>
    </row>
    <row r="600" ht="22.5" customHeight="1">
      <c r="A600" s="30"/>
      <c r="B600" s="31"/>
      <c r="C600" s="32"/>
      <c r="D600" s="33"/>
      <c r="E600" s="34"/>
      <c r="F600" s="34"/>
      <c r="G600" s="35"/>
      <c r="H600" s="34"/>
      <c r="I600" s="37"/>
    </row>
    <row r="601" ht="22.5" customHeight="1">
      <c r="A601" s="30"/>
      <c r="B601" s="31"/>
      <c r="C601" s="32"/>
      <c r="D601" s="33"/>
      <c r="E601" s="34"/>
      <c r="F601" s="34"/>
      <c r="G601" s="35"/>
      <c r="H601" s="34"/>
      <c r="I601" s="37"/>
    </row>
    <row r="602" ht="22.5" customHeight="1">
      <c r="A602" s="30"/>
      <c r="B602" s="31"/>
      <c r="C602" s="32"/>
      <c r="D602" s="33"/>
      <c r="E602" s="34"/>
      <c r="F602" s="34"/>
      <c r="G602" s="35"/>
      <c r="H602" s="34"/>
      <c r="I602" s="37"/>
    </row>
    <row r="603" ht="22.5" customHeight="1">
      <c r="A603" s="30"/>
      <c r="B603" s="31"/>
      <c r="C603" s="32"/>
      <c r="D603" s="33"/>
      <c r="E603" s="34"/>
      <c r="F603" s="34"/>
      <c r="G603" s="35"/>
      <c r="H603" s="34"/>
      <c r="I603" s="37"/>
    </row>
    <row r="604" ht="22.5" customHeight="1">
      <c r="A604" s="30"/>
      <c r="B604" s="31"/>
      <c r="C604" s="32"/>
      <c r="D604" s="33"/>
      <c r="E604" s="34"/>
      <c r="F604" s="34"/>
      <c r="G604" s="35"/>
      <c r="H604" s="34"/>
      <c r="I604" s="37"/>
    </row>
    <row r="605" ht="22.5" customHeight="1">
      <c r="A605" s="30"/>
      <c r="B605" s="40"/>
      <c r="C605" s="32"/>
      <c r="D605" s="33"/>
      <c r="E605" s="34"/>
      <c r="F605" s="34"/>
      <c r="G605" s="35"/>
      <c r="H605" s="34"/>
      <c r="I605" s="37"/>
    </row>
    <row r="606" ht="22.5" customHeight="1">
      <c r="A606" s="30"/>
      <c r="B606" s="31"/>
      <c r="C606" s="32"/>
      <c r="D606" s="33"/>
      <c r="E606" s="34"/>
      <c r="F606" s="34"/>
      <c r="G606" s="35"/>
      <c r="H606" s="34"/>
      <c r="I606" s="37"/>
    </row>
    <row r="607" ht="22.5" customHeight="1">
      <c r="A607" s="30"/>
      <c r="B607" s="40"/>
      <c r="C607" s="32"/>
      <c r="D607" s="33"/>
      <c r="E607" s="34"/>
      <c r="F607" s="34"/>
      <c r="G607" s="35"/>
      <c r="H607" s="34"/>
      <c r="I607" s="37"/>
    </row>
    <row r="608" ht="22.5" customHeight="1">
      <c r="A608" s="30"/>
      <c r="B608" s="31"/>
      <c r="C608" s="32"/>
      <c r="D608" s="33"/>
      <c r="E608" s="34"/>
      <c r="F608" s="34"/>
      <c r="G608" s="35"/>
      <c r="H608" s="34"/>
      <c r="I608" s="37"/>
    </row>
    <row r="609" ht="22.5" customHeight="1">
      <c r="A609" s="30"/>
      <c r="B609" s="31"/>
      <c r="C609" s="32"/>
      <c r="D609" s="33"/>
      <c r="E609" s="34"/>
      <c r="F609" s="34"/>
      <c r="G609" s="35"/>
      <c r="H609" s="34"/>
      <c r="I609" s="37"/>
    </row>
    <row r="610" ht="22.5" customHeight="1">
      <c r="A610" s="30"/>
      <c r="B610" s="31"/>
      <c r="C610" s="32"/>
      <c r="D610" s="33"/>
      <c r="E610" s="34"/>
      <c r="F610" s="34"/>
      <c r="G610" s="35"/>
      <c r="H610" s="34"/>
      <c r="I610" s="37"/>
    </row>
    <row r="611" ht="22.5" customHeight="1">
      <c r="A611" s="30"/>
      <c r="B611" s="31"/>
      <c r="C611" s="32"/>
      <c r="D611" s="33"/>
      <c r="E611" s="34"/>
      <c r="F611" s="34"/>
      <c r="G611" s="35"/>
      <c r="H611" s="34"/>
      <c r="I611" s="37"/>
    </row>
    <row r="612" ht="22.5" customHeight="1">
      <c r="A612" s="30"/>
      <c r="B612" s="40"/>
      <c r="C612" s="32"/>
      <c r="D612" s="33"/>
      <c r="E612" s="34"/>
      <c r="F612" s="34"/>
      <c r="G612" s="35"/>
      <c r="H612" s="34"/>
      <c r="I612" s="37"/>
    </row>
    <row r="613" ht="22.5" customHeight="1">
      <c r="A613" s="30"/>
      <c r="B613" s="31"/>
      <c r="C613" s="32"/>
      <c r="D613" s="33"/>
      <c r="E613" s="34"/>
      <c r="F613" s="34"/>
      <c r="G613" s="35"/>
      <c r="H613" s="34"/>
      <c r="I613" s="37"/>
    </row>
    <row r="614" ht="22.5" customHeight="1">
      <c r="A614" s="30"/>
      <c r="B614" s="31"/>
      <c r="C614" s="32"/>
      <c r="D614" s="33"/>
      <c r="E614" s="34"/>
      <c r="F614" s="34"/>
      <c r="G614" s="35"/>
      <c r="H614" s="34"/>
      <c r="I614" s="37"/>
    </row>
    <row r="615" ht="22.5" customHeight="1">
      <c r="A615" s="30"/>
      <c r="B615" s="31"/>
      <c r="C615" s="32"/>
      <c r="D615" s="33"/>
      <c r="E615" s="34"/>
      <c r="F615" s="34"/>
      <c r="G615" s="35"/>
      <c r="H615" s="34"/>
      <c r="I615" s="37"/>
    </row>
    <row r="616" ht="22.5" customHeight="1">
      <c r="A616" s="30"/>
      <c r="B616" s="31"/>
      <c r="C616" s="32"/>
      <c r="D616" s="33"/>
      <c r="E616" s="34"/>
      <c r="F616" s="34"/>
      <c r="G616" s="35"/>
      <c r="H616" s="34"/>
      <c r="I616" s="37"/>
    </row>
    <row r="617" ht="22.5" customHeight="1">
      <c r="A617" s="30"/>
      <c r="B617" s="31"/>
      <c r="C617" s="32"/>
      <c r="D617" s="33"/>
      <c r="E617" s="34"/>
      <c r="F617" s="34"/>
      <c r="G617" s="35"/>
      <c r="H617" s="34"/>
      <c r="I617" s="37"/>
    </row>
    <row r="618" ht="22.5" customHeight="1">
      <c r="A618" s="30"/>
      <c r="B618" s="31"/>
      <c r="C618" s="32"/>
      <c r="D618" s="33"/>
      <c r="E618" s="34"/>
      <c r="F618" s="34"/>
      <c r="G618" s="35"/>
      <c r="H618" s="34"/>
      <c r="I618" s="37"/>
    </row>
    <row r="619" ht="22.5" customHeight="1">
      <c r="A619" s="30"/>
      <c r="B619" s="31"/>
      <c r="C619" s="32"/>
      <c r="D619" s="33"/>
      <c r="E619" s="34"/>
      <c r="F619" s="34"/>
      <c r="G619" s="35"/>
      <c r="H619" s="34"/>
      <c r="I619" s="37"/>
    </row>
    <row r="620" ht="22.5" customHeight="1">
      <c r="A620" s="30"/>
      <c r="B620" s="31"/>
      <c r="C620" s="32"/>
      <c r="D620" s="33"/>
      <c r="E620" s="34"/>
      <c r="F620" s="34"/>
      <c r="G620" s="35"/>
      <c r="H620" s="34"/>
      <c r="I620" s="37"/>
    </row>
    <row r="621" ht="22.5" customHeight="1">
      <c r="A621" s="30"/>
      <c r="B621" s="31"/>
      <c r="C621" s="32"/>
      <c r="D621" s="33"/>
      <c r="E621" s="34"/>
      <c r="F621" s="34"/>
      <c r="G621" s="35"/>
      <c r="H621" s="34"/>
      <c r="I621" s="37"/>
    </row>
    <row r="622" ht="22.5" customHeight="1">
      <c r="A622" s="30"/>
      <c r="B622" s="31"/>
      <c r="C622" s="32"/>
      <c r="D622" s="33"/>
      <c r="E622" s="34"/>
      <c r="F622" s="34"/>
      <c r="G622" s="35"/>
      <c r="H622" s="34"/>
      <c r="I622" s="37"/>
    </row>
    <row r="623" ht="22.5" customHeight="1">
      <c r="A623" s="30"/>
      <c r="B623" s="31"/>
      <c r="C623" s="32"/>
      <c r="D623" s="33"/>
      <c r="E623" s="34"/>
      <c r="F623" s="34"/>
      <c r="G623" s="35"/>
      <c r="H623" s="34"/>
      <c r="I623" s="37"/>
    </row>
    <row r="624" ht="22.5" customHeight="1">
      <c r="A624" s="30"/>
      <c r="B624" s="31"/>
      <c r="C624" s="32"/>
      <c r="D624" s="33"/>
      <c r="E624" s="34"/>
      <c r="F624" s="34"/>
      <c r="G624" s="35"/>
      <c r="H624" s="34"/>
      <c r="I624" s="37"/>
    </row>
    <row r="625" ht="22.5" customHeight="1">
      <c r="A625" s="30"/>
      <c r="B625" s="31"/>
      <c r="C625" s="32"/>
      <c r="D625" s="33"/>
      <c r="E625" s="34"/>
      <c r="F625" s="34"/>
      <c r="G625" s="35"/>
      <c r="H625" s="34"/>
      <c r="I625" s="37"/>
    </row>
    <row r="626" ht="22.5" customHeight="1">
      <c r="A626" s="30"/>
      <c r="B626" s="31"/>
      <c r="C626" s="32"/>
      <c r="D626" s="33"/>
      <c r="E626" s="34"/>
      <c r="F626" s="34"/>
      <c r="G626" s="35"/>
      <c r="H626" s="34"/>
      <c r="I626" s="37"/>
    </row>
    <row r="627" ht="22.5" customHeight="1">
      <c r="A627" s="30"/>
      <c r="B627" s="31"/>
      <c r="C627" s="32"/>
      <c r="D627" s="33"/>
      <c r="E627" s="34"/>
      <c r="F627" s="34"/>
      <c r="G627" s="35"/>
      <c r="H627" s="34"/>
      <c r="I627" s="37"/>
    </row>
    <row r="628" ht="22.5" customHeight="1">
      <c r="A628" s="30"/>
      <c r="B628" s="31"/>
      <c r="C628" s="32"/>
      <c r="D628" s="33"/>
      <c r="E628" s="34"/>
      <c r="F628" s="34"/>
      <c r="G628" s="35"/>
      <c r="H628" s="34"/>
      <c r="I628" s="37"/>
    </row>
    <row r="629" ht="22.5" customHeight="1">
      <c r="A629" s="30"/>
      <c r="B629" s="31"/>
      <c r="C629" s="32"/>
      <c r="D629" s="33"/>
      <c r="E629" s="34"/>
      <c r="F629" s="34"/>
      <c r="G629" s="35"/>
      <c r="H629" s="34"/>
      <c r="I629" s="37"/>
    </row>
    <row r="630" ht="22.5" customHeight="1">
      <c r="A630" s="30"/>
      <c r="B630" s="31"/>
      <c r="C630" s="32"/>
      <c r="D630" s="33"/>
      <c r="E630" s="34"/>
      <c r="F630" s="34"/>
      <c r="G630" s="35"/>
      <c r="H630" s="34"/>
      <c r="I630" s="37"/>
    </row>
    <row r="631" ht="22.5" customHeight="1">
      <c r="A631" s="30"/>
      <c r="B631" s="31"/>
      <c r="C631" s="32"/>
      <c r="D631" s="33"/>
      <c r="E631" s="34"/>
      <c r="F631" s="34"/>
      <c r="G631" s="35"/>
      <c r="H631" s="34"/>
      <c r="I631" s="37"/>
    </row>
    <row r="632" ht="22.5" customHeight="1">
      <c r="A632" s="30"/>
      <c r="B632" s="31"/>
      <c r="C632" s="32"/>
      <c r="D632" s="33"/>
      <c r="E632" s="34"/>
      <c r="F632" s="34"/>
      <c r="G632" s="35"/>
      <c r="H632" s="34"/>
      <c r="I632" s="37"/>
    </row>
    <row r="633" ht="22.5" customHeight="1">
      <c r="A633" s="30"/>
      <c r="B633" s="31"/>
      <c r="C633" s="32"/>
      <c r="D633" s="33"/>
      <c r="E633" s="34"/>
      <c r="F633" s="34"/>
      <c r="G633" s="35"/>
      <c r="H633" s="34"/>
      <c r="I633" s="37"/>
    </row>
    <row r="634" ht="22.5" customHeight="1">
      <c r="A634" s="30"/>
      <c r="B634" s="40"/>
      <c r="C634" s="32"/>
      <c r="D634" s="33"/>
      <c r="E634" s="34"/>
      <c r="F634" s="34"/>
      <c r="G634" s="35"/>
      <c r="H634" s="34"/>
      <c r="I634" s="37"/>
    </row>
    <row r="635" ht="22.5" customHeight="1">
      <c r="A635" s="30"/>
      <c r="B635" s="31"/>
      <c r="C635" s="32"/>
      <c r="D635" s="33"/>
      <c r="E635" s="34"/>
      <c r="F635" s="34"/>
      <c r="G635" s="35"/>
      <c r="H635" s="34"/>
      <c r="I635" s="37"/>
    </row>
    <row r="636" ht="22.5" customHeight="1">
      <c r="A636" s="30"/>
      <c r="B636" s="31"/>
      <c r="C636" s="32"/>
      <c r="D636" s="33"/>
      <c r="E636" s="34"/>
      <c r="F636" s="34"/>
      <c r="G636" s="35"/>
      <c r="H636" s="34"/>
      <c r="I636" s="37"/>
    </row>
    <row r="637" ht="22.5" customHeight="1">
      <c r="A637" s="30"/>
      <c r="B637" s="31"/>
      <c r="C637" s="32"/>
      <c r="D637" s="33"/>
      <c r="E637" s="34"/>
      <c r="F637" s="34"/>
      <c r="G637" s="35"/>
      <c r="H637" s="34"/>
      <c r="I637" s="37"/>
    </row>
    <row r="638" ht="22.5" customHeight="1">
      <c r="A638" s="30"/>
      <c r="B638" s="31"/>
      <c r="C638" s="32"/>
      <c r="D638" s="33"/>
      <c r="E638" s="34"/>
      <c r="F638" s="34"/>
      <c r="G638" s="35"/>
      <c r="H638" s="34"/>
      <c r="I638" s="38"/>
    </row>
    <row r="639" ht="22.5" customHeight="1">
      <c r="A639" s="30"/>
      <c r="B639" s="39"/>
      <c r="C639" s="32"/>
      <c r="D639" s="33"/>
      <c r="E639" s="34"/>
      <c r="F639" s="34"/>
      <c r="G639" s="35"/>
      <c r="H639" s="34"/>
      <c r="I639" s="37"/>
    </row>
    <row r="640" ht="22.5" customHeight="1">
      <c r="A640" s="30"/>
      <c r="B640" s="31"/>
      <c r="C640" s="32"/>
      <c r="D640" s="33"/>
      <c r="E640" s="34"/>
      <c r="F640" s="34"/>
      <c r="G640" s="35"/>
      <c r="H640" s="34"/>
      <c r="I640" s="37"/>
    </row>
    <row r="641" ht="22.5" customHeight="1">
      <c r="A641" s="30"/>
      <c r="B641" s="31"/>
      <c r="C641" s="32"/>
      <c r="D641" s="33"/>
      <c r="E641" s="34"/>
      <c r="F641" s="34"/>
      <c r="G641" s="35"/>
      <c r="H641" s="34"/>
      <c r="I641" s="37"/>
    </row>
    <row r="642" ht="22.5" customHeight="1">
      <c r="A642" s="30"/>
      <c r="B642" s="31"/>
      <c r="C642" s="32"/>
      <c r="D642" s="33"/>
      <c r="E642" s="34"/>
      <c r="F642" s="34"/>
      <c r="G642" s="35"/>
      <c r="H642" s="34"/>
      <c r="I642" s="37"/>
    </row>
    <row r="643" ht="22.5" customHeight="1">
      <c r="A643" s="30"/>
      <c r="B643" s="39"/>
      <c r="C643" s="32"/>
      <c r="D643" s="33"/>
      <c r="E643" s="34"/>
      <c r="F643" s="34"/>
      <c r="G643" s="35"/>
      <c r="H643" s="34"/>
      <c r="I643" s="37"/>
    </row>
    <row r="644" ht="22.5" customHeight="1">
      <c r="A644" s="30"/>
      <c r="B644" s="31"/>
      <c r="C644" s="32"/>
      <c r="D644" s="33"/>
      <c r="E644" s="34"/>
      <c r="F644" s="34"/>
      <c r="G644" s="35"/>
      <c r="H644" s="34"/>
      <c r="I644" s="37"/>
    </row>
    <row r="645" ht="22.5" customHeight="1">
      <c r="A645" s="30"/>
      <c r="B645" s="39"/>
      <c r="C645" s="32"/>
      <c r="D645" s="33"/>
      <c r="E645" s="34"/>
      <c r="F645" s="34"/>
      <c r="G645" s="35"/>
      <c r="H645" s="34"/>
      <c r="I645" s="37"/>
    </row>
    <row r="646" ht="22.5" customHeight="1">
      <c r="A646" s="30"/>
      <c r="B646" s="31"/>
      <c r="C646" s="32"/>
      <c r="D646" s="33"/>
      <c r="E646" s="34"/>
      <c r="F646" s="34"/>
      <c r="G646" s="35"/>
      <c r="H646" s="34"/>
      <c r="I646" s="37"/>
    </row>
    <row r="647" ht="22.5" customHeight="1">
      <c r="A647" s="30"/>
      <c r="B647" s="31"/>
      <c r="C647" s="32"/>
      <c r="D647" s="33"/>
      <c r="E647" s="34"/>
      <c r="F647" s="34"/>
      <c r="G647" s="35"/>
      <c r="H647" s="34"/>
      <c r="I647" s="37"/>
    </row>
    <row r="648" ht="22.5" customHeight="1">
      <c r="A648" s="30"/>
      <c r="B648" s="31"/>
      <c r="C648" s="32"/>
      <c r="D648" s="33"/>
      <c r="E648" s="34"/>
      <c r="F648" s="34"/>
      <c r="G648" s="35"/>
      <c r="H648" s="34"/>
      <c r="I648" s="37"/>
    </row>
    <row r="649" ht="22.5" customHeight="1">
      <c r="A649" s="30"/>
      <c r="B649" s="31"/>
      <c r="C649" s="32"/>
      <c r="D649" s="33"/>
      <c r="E649" s="34"/>
      <c r="F649" s="34"/>
      <c r="G649" s="35"/>
      <c r="H649" s="34"/>
      <c r="I649" s="37"/>
    </row>
    <row r="650" ht="22.5" customHeight="1">
      <c r="A650" s="30"/>
      <c r="B650" s="31"/>
      <c r="C650" s="32"/>
      <c r="D650" s="33"/>
      <c r="E650" s="34"/>
      <c r="F650" s="34"/>
      <c r="G650" s="35"/>
      <c r="H650" s="34"/>
      <c r="I650" s="37"/>
    </row>
    <row r="651" ht="22.5" customHeight="1">
      <c r="A651" s="30"/>
      <c r="B651" s="31"/>
      <c r="C651" s="32"/>
      <c r="D651" s="33"/>
      <c r="E651" s="34"/>
      <c r="F651" s="34"/>
      <c r="G651" s="35"/>
      <c r="H651" s="34"/>
      <c r="I651" s="37"/>
    </row>
    <row r="652" ht="22.5" customHeight="1">
      <c r="A652" s="30"/>
      <c r="B652" s="31"/>
      <c r="C652" s="32"/>
      <c r="D652" s="33"/>
      <c r="E652" s="34"/>
      <c r="F652" s="34"/>
      <c r="G652" s="35"/>
      <c r="H652" s="34"/>
      <c r="I652" s="37"/>
    </row>
    <row r="653" ht="22.5" customHeight="1">
      <c r="A653" s="30"/>
      <c r="B653" s="31"/>
      <c r="C653" s="32"/>
      <c r="D653" s="33"/>
      <c r="E653" s="34"/>
      <c r="F653" s="34"/>
      <c r="G653" s="35"/>
      <c r="H653" s="34"/>
      <c r="I653" s="37"/>
    </row>
    <row r="654" ht="22.5" customHeight="1">
      <c r="A654" s="30"/>
      <c r="B654" s="31"/>
      <c r="C654" s="32"/>
      <c r="D654" s="33"/>
      <c r="E654" s="34"/>
      <c r="F654" s="34"/>
      <c r="G654" s="35"/>
      <c r="H654" s="34"/>
      <c r="I654" s="37"/>
    </row>
    <row r="655" ht="22.5" customHeight="1">
      <c r="A655" s="30"/>
      <c r="B655" s="31"/>
      <c r="C655" s="32"/>
      <c r="D655" s="33"/>
      <c r="E655" s="34"/>
      <c r="F655" s="34"/>
      <c r="G655" s="35"/>
      <c r="H655" s="34"/>
      <c r="I655" s="37"/>
    </row>
    <row r="656" ht="22.5" customHeight="1">
      <c r="A656" s="30"/>
      <c r="B656" s="40"/>
      <c r="C656" s="32"/>
      <c r="D656" s="33"/>
      <c r="E656" s="34"/>
      <c r="F656" s="34"/>
      <c r="G656" s="35"/>
      <c r="H656" s="34"/>
      <c r="I656" s="37"/>
    </row>
    <row r="657" ht="22.5" customHeight="1">
      <c r="A657" s="30"/>
      <c r="B657" s="31"/>
      <c r="C657" s="32"/>
      <c r="D657" s="33"/>
      <c r="E657" s="34"/>
      <c r="F657" s="34"/>
      <c r="G657" s="35"/>
      <c r="H657" s="34"/>
      <c r="I657" s="37"/>
    </row>
    <row r="658" ht="22.5" customHeight="1">
      <c r="A658" s="30"/>
      <c r="B658" s="31"/>
      <c r="C658" s="32"/>
      <c r="D658" s="33"/>
      <c r="E658" s="34"/>
      <c r="F658" s="34"/>
      <c r="G658" s="35"/>
      <c r="H658" s="34"/>
      <c r="I658" s="37"/>
    </row>
    <row r="659" ht="22.5" customHeight="1">
      <c r="A659" s="30"/>
      <c r="B659" s="31"/>
      <c r="C659" s="32"/>
      <c r="D659" s="33"/>
      <c r="E659" s="34"/>
      <c r="F659" s="34"/>
      <c r="G659" s="35"/>
      <c r="H659" s="34"/>
      <c r="I659" s="37"/>
    </row>
    <row r="660" ht="22.5" customHeight="1">
      <c r="A660" s="30"/>
      <c r="B660" s="31"/>
      <c r="C660" s="32"/>
      <c r="D660" s="33"/>
      <c r="E660" s="34"/>
      <c r="F660" s="34"/>
      <c r="G660" s="35"/>
      <c r="H660" s="34"/>
      <c r="I660" s="37"/>
    </row>
    <row r="661" ht="22.5" customHeight="1">
      <c r="A661" s="30"/>
      <c r="B661" s="31"/>
      <c r="C661" s="32"/>
      <c r="D661" s="33"/>
      <c r="E661" s="34"/>
      <c r="F661" s="34"/>
      <c r="G661" s="35"/>
      <c r="H661" s="34"/>
      <c r="I661" s="37"/>
    </row>
    <row r="662" ht="22.5" customHeight="1">
      <c r="A662" s="30"/>
      <c r="B662" s="31"/>
      <c r="C662" s="32"/>
      <c r="D662" s="33"/>
      <c r="E662" s="34"/>
      <c r="F662" s="34"/>
      <c r="G662" s="35"/>
      <c r="H662" s="34"/>
      <c r="I662" s="37"/>
    </row>
    <row r="663" ht="22.5" customHeight="1">
      <c r="A663" s="30"/>
      <c r="B663" s="39"/>
      <c r="C663" s="32"/>
      <c r="D663" s="33"/>
      <c r="E663" s="34"/>
      <c r="F663" s="34"/>
      <c r="G663" s="35"/>
      <c r="H663" s="34"/>
      <c r="I663" s="37"/>
    </row>
    <row r="664" ht="22.5" customHeight="1">
      <c r="A664" s="30"/>
      <c r="B664" s="39"/>
      <c r="C664" s="32"/>
      <c r="D664" s="33"/>
      <c r="E664" s="34"/>
      <c r="F664" s="34"/>
      <c r="G664" s="35"/>
      <c r="H664" s="34"/>
      <c r="I664" s="37"/>
    </row>
    <row r="665" ht="22.5" customHeight="1">
      <c r="A665" s="30"/>
      <c r="B665" s="39"/>
      <c r="C665" s="32"/>
      <c r="D665" s="33"/>
      <c r="E665" s="34"/>
      <c r="F665" s="34"/>
      <c r="G665" s="35"/>
      <c r="H665" s="34"/>
      <c r="I665" s="37"/>
    </row>
    <row r="666" ht="22.5" customHeight="1">
      <c r="A666" s="30"/>
      <c r="B666" s="40"/>
      <c r="C666" s="32"/>
      <c r="D666" s="33"/>
      <c r="E666" s="34"/>
      <c r="F666" s="34"/>
      <c r="G666" s="35"/>
      <c r="H666" s="34"/>
      <c r="I666" s="37"/>
    </row>
    <row r="667" ht="22.5" customHeight="1">
      <c r="A667" s="30"/>
      <c r="B667" s="31"/>
      <c r="C667" s="32"/>
      <c r="D667" s="33"/>
      <c r="E667" s="34"/>
      <c r="F667" s="34"/>
      <c r="G667" s="35"/>
      <c r="H667" s="34"/>
      <c r="I667" s="37"/>
    </row>
    <row r="668" ht="22.5" customHeight="1">
      <c r="A668" s="30"/>
      <c r="B668" s="31"/>
      <c r="C668" s="32"/>
      <c r="D668" s="33"/>
      <c r="E668" s="34"/>
      <c r="F668" s="34"/>
      <c r="G668" s="35"/>
      <c r="H668" s="34"/>
      <c r="I668" s="37"/>
    </row>
    <row r="669" ht="22.5" customHeight="1">
      <c r="A669" s="30"/>
      <c r="B669" s="31"/>
      <c r="C669" s="32"/>
      <c r="D669" s="33"/>
      <c r="E669" s="34"/>
      <c r="F669" s="34"/>
      <c r="G669" s="35"/>
      <c r="H669" s="34"/>
      <c r="I669" s="37"/>
    </row>
    <row r="670" ht="22.5" customHeight="1">
      <c r="A670" s="30"/>
      <c r="B670" s="31"/>
      <c r="C670" s="32"/>
      <c r="D670" s="33"/>
      <c r="E670" s="34"/>
      <c r="F670" s="34"/>
      <c r="G670" s="35"/>
      <c r="H670" s="34"/>
      <c r="I670" s="37"/>
    </row>
    <row r="671" ht="22.5" customHeight="1">
      <c r="A671" s="30"/>
      <c r="B671" s="31"/>
      <c r="C671" s="32"/>
      <c r="D671" s="33"/>
      <c r="E671" s="34"/>
      <c r="F671" s="34"/>
      <c r="G671" s="35"/>
      <c r="H671" s="34"/>
      <c r="I671" s="37"/>
    </row>
    <row r="672" ht="22.5" customHeight="1">
      <c r="A672" s="30"/>
      <c r="B672" s="31"/>
      <c r="C672" s="32"/>
      <c r="D672" s="33"/>
      <c r="E672" s="34"/>
      <c r="F672" s="34"/>
      <c r="G672" s="35"/>
      <c r="H672" s="34"/>
      <c r="I672" s="37"/>
    </row>
    <row r="673" ht="22.5" customHeight="1">
      <c r="A673" s="30"/>
      <c r="B673" s="31"/>
      <c r="C673" s="32"/>
      <c r="D673" s="33"/>
      <c r="E673" s="34"/>
      <c r="F673" s="34"/>
      <c r="G673" s="35"/>
      <c r="H673" s="34"/>
      <c r="I673" s="37"/>
    </row>
    <row r="674" ht="22.5" customHeight="1">
      <c r="A674" s="30"/>
      <c r="B674" s="31"/>
      <c r="C674" s="32"/>
      <c r="D674" s="33"/>
      <c r="E674" s="34"/>
      <c r="F674" s="34"/>
      <c r="G674" s="35"/>
      <c r="H674" s="34"/>
      <c r="I674" s="37"/>
    </row>
    <row r="675" ht="22.5" customHeight="1">
      <c r="A675" s="30"/>
      <c r="B675" s="31"/>
      <c r="C675" s="32"/>
      <c r="D675" s="33"/>
      <c r="E675" s="34"/>
      <c r="F675" s="34"/>
      <c r="G675" s="35"/>
      <c r="H675" s="34"/>
      <c r="I675" s="37"/>
    </row>
    <row r="676" ht="22.5" customHeight="1">
      <c r="A676" s="30"/>
      <c r="B676" s="40"/>
      <c r="C676" s="32"/>
      <c r="D676" s="33"/>
      <c r="E676" s="34"/>
      <c r="F676" s="34"/>
      <c r="G676" s="35"/>
      <c r="H676" s="34"/>
      <c r="I676" s="37"/>
    </row>
    <row r="677" ht="22.5" customHeight="1">
      <c r="A677" s="30"/>
      <c r="B677" s="31"/>
      <c r="C677" s="32"/>
      <c r="D677" s="33"/>
      <c r="E677" s="34"/>
      <c r="F677" s="34"/>
      <c r="G677" s="35"/>
      <c r="H677" s="34"/>
      <c r="I677" s="37"/>
    </row>
    <row r="678" ht="22.5" customHeight="1">
      <c r="A678" s="30"/>
      <c r="B678" s="31"/>
      <c r="C678" s="32"/>
      <c r="D678" s="33"/>
      <c r="E678" s="34"/>
      <c r="F678" s="34"/>
      <c r="G678" s="35"/>
      <c r="H678" s="34"/>
      <c r="I678" s="37"/>
    </row>
    <row r="679" ht="22.5" customHeight="1">
      <c r="A679" s="30"/>
      <c r="B679" s="31"/>
      <c r="C679" s="32"/>
      <c r="D679" s="33"/>
      <c r="E679" s="34"/>
      <c r="F679" s="34"/>
      <c r="G679" s="35"/>
      <c r="H679" s="34"/>
      <c r="I679" s="37"/>
    </row>
    <row r="680" ht="22.5" customHeight="1">
      <c r="A680" s="30"/>
      <c r="B680" s="40"/>
      <c r="C680" s="32"/>
      <c r="D680" s="33"/>
      <c r="E680" s="34"/>
      <c r="F680" s="34"/>
      <c r="G680" s="35"/>
      <c r="H680" s="34"/>
      <c r="I680" s="37"/>
    </row>
    <row r="681" ht="22.5" customHeight="1">
      <c r="A681" s="30"/>
      <c r="B681" s="31"/>
      <c r="C681" s="32"/>
      <c r="D681" s="33"/>
      <c r="E681" s="34"/>
      <c r="F681" s="34"/>
      <c r="G681" s="35"/>
      <c r="H681" s="34"/>
      <c r="I681" s="37"/>
    </row>
    <row r="682" ht="22.5" customHeight="1">
      <c r="A682" s="30"/>
      <c r="B682" s="31"/>
      <c r="C682" s="32"/>
      <c r="D682" s="33"/>
      <c r="E682" s="34"/>
      <c r="F682" s="34"/>
      <c r="G682" s="35"/>
      <c r="H682" s="34"/>
      <c r="I682" s="37"/>
    </row>
    <row r="683" ht="22.5" customHeight="1">
      <c r="A683" s="30"/>
      <c r="B683" s="31"/>
      <c r="C683" s="32"/>
      <c r="D683" s="33"/>
      <c r="E683" s="34"/>
      <c r="F683" s="34"/>
      <c r="G683" s="35"/>
      <c r="H683" s="34"/>
      <c r="I683" s="37"/>
    </row>
    <row r="684" ht="22.5" customHeight="1">
      <c r="A684" s="30"/>
      <c r="B684" s="31"/>
      <c r="C684" s="32"/>
      <c r="D684" s="33"/>
      <c r="E684" s="34"/>
      <c r="F684" s="34"/>
      <c r="G684" s="35"/>
      <c r="H684" s="34"/>
      <c r="I684" s="37"/>
    </row>
    <row r="685" ht="22.5" customHeight="1">
      <c r="A685" s="30"/>
      <c r="B685" s="31"/>
      <c r="C685" s="32"/>
      <c r="D685" s="33"/>
      <c r="E685" s="34"/>
      <c r="F685" s="34"/>
      <c r="G685" s="35"/>
      <c r="H685" s="34"/>
      <c r="I685" s="37"/>
    </row>
    <row r="686" ht="22.5" customHeight="1">
      <c r="A686" s="30"/>
      <c r="B686" s="31"/>
      <c r="C686" s="32"/>
      <c r="D686" s="33"/>
      <c r="E686" s="34"/>
      <c r="F686" s="34"/>
      <c r="G686" s="35"/>
      <c r="H686" s="34"/>
      <c r="I686" s="37"/>
    </row>
    <row r="687" ht="22.5" customHeight="1">
      <c r="A687" s="30"/>
      <c r="B687" s="31"/>
      <c r="C687" s="32"/>
      <c r="D687" s="33"/>
      <c r="E687" s="34"/>
      <c r="F687" s="34"/>
      <c r="G687" s="35"/>
      <c r="H687" s="34"/>
      <c r="I687" s="37"/>
    </row>
    <row r="688" ht="22.5" customHeight="1">
      <c r="A688" s="30"/>
      <c r="B688" s="31"/>
      <c r="C688" s="32"/>
      <c r="D688" s="33"/>
      <c r="E688" s="34"/>
      <c r="F688" s="34"/>
      <c r="G688" s="35"/>
      <c r="H688" s="34"/>
      <c r="I688" s="37"/>
    </row>
    <row r="689" ht="22.5" customHeight="1">
      <c r="A689" s="30"/>
      <c r="B689" s="31"/>
      <c r="C689" s="32"/>
      <c r="D689" s="33"/>
      <c r="E689" s="34"/>
      <c r="F689" s="34"/>
      <c r="G689" s="35"/>
      <c r="H689" s="34"/>
      <c r="I689" s="37"/>
    </row>
    <row r="690" ht="22.5" customHeight="1">
      <c r="A690" s="30"/>
      <c r="B690" s="31"/>
      <c r="C690" s="32"/>
      <c r="D690" s="33"/>
      <c r="E690" s="34"/>
      <c r="F690" s="34"/>
      <c r="G690" s="35"/>
      <c r="H690" s="34"/>
      <c r="I690" s="37"/>
    </row>
    <row r="691" ht="22.5" customHeight="1">
      <c r="A691" s="30"/>
      <c r="B691" s="31"/>
      <c r="C691" s="32"/>
      <c r="D691" s="33"/>
      <c r="E691" s="34"/>
      <c r="F691" s="34"/>
      <c r="G691" s="35"/>
      <c r="H691" s="34"/>
      <c r="I691" s="37"/>
    </row>
    <row r="692" ht="22.5" customHeight="1">
      <c r="A692" s="30"/>
      <c r="B692" s="31"/>
      <c r="C692" s="32"/>
      <c r="D692" s="33"/>
      <c r="E692" s="34"/>
      <c r="F692" s="34"/>
      <c r="G692" s="35"/>
      <c r="H692" s="34"/>
      <c r="I692" s="37"/>
    </row>
    <row r="693" ht="22.5" customHeight="1">
      <c r="A693" s="30"/>
      <c r="B693" s="31"/>
      <c r="C693" s="32"/>
      <c r="D693" s="33"/>
      <c r="E693" s="34"/>
      <c r="F693" s="34"/>
      <c r="G693" s="35"/>
      <c r="H693" s="34"/>
      <c r="I693" s="37"/>
    </row>
    <row r="694" ht="22.5" customHeight="1">
      <c r="A694" s="30"/>
      <c r="B694" s="31"/>
      <c r="C694" s="32"/>
      <c r="D694" s="33"/>
      <c r="E694" s="34"/>
      <c r="F694" s="34"/>
      <c r="G694" s="35"/>
      <c r="H694" s="34"/>
      <c r="I694" s="37"/>
    </row>
    <row r="695" ht="22.5" customHeight="1">
      <c r="A695" s="30"/>
      <c r="B695" s="40"/>
      <c r="C695" s="32"/>
      <c r="D695" s="33"/>
      <c r="E695" s="34"/>
      <c r="F695" s="34"/>
      <c r="G695" s="35"/>
      <c r="H695" s="34"/>
      <c r="I695" s="37"/>
    </row>
    <row r="696" ht="22.5" customHeight="1">
      <c r="A696" s="30"/>
      <c r="B696" s="31"/>
      <c r="C696" s="32"/>
      <c r="D696" s="33"/>
      <c r="E696" s="34"/>
      <c r="F696" s="34"/>
      <c r="G696" s="35"/>
      <c r="H696" s="34"/>
      <c r="I696" s="37"/>
    </row>
    <row r="697" ht="22.5" customHeight="1">
      <c r="A697" s="30"/>
      <c r="B697" s="40"/>
      <c r="C697" s="32"/>
      <c r="D697" s="33"/>
      <c r="E697" s="34"/>
      <c r="F697" s="34"/>
      <c r="G697" s="35"/>
      <c r="H697" s="34"/>
      <c r="I697" s="37"/>
    </row>
    <row r="698" ht="22.5" customHeight="1">
      <c r="A698" s="30"/>
      <c r="B698" s="31"/>
      <c r="C698" s="32"/>
      <c r="D698" s="33"/>
      <c r="E698" s="34"/>
      <c r="F698" s="34"/>
      <c r="G698" s="35"/>
      <c r="H698" s="34"/>
      <c r="I698" s="37"/>
    </row>
    <row r="699" ht="22.5" customHeight="1">
      <c r="A699" s="30"/>
      <c r="B699" s="31"/>
      <c r="C699" s="32"/>
      <c r="D699" s="33"/>
      <c r="E699" s="34"/>
      <c r="F699" s="34"/>
      <c r="G699" s="35"/>
      <c r="H699" s="34"/>
      <c r="I699" s="37"/>
    </row>
    <row r="700" ht="22.5" customHeight="1">
      <c r="A700" s="30"/>
      <c r="B700" s="31"/>
      <c r="C700" s="32"/>
      <c r="D700" s="33"/>
      <c r="E700" s="34"/>
      <c r="F700" s="34"/>
      <c r="G700" s="35"/>
      <c r="H700" s="34"/>
      <c r="I700" s="37"/>
    </row>
    <row r="701" ht="22.5" customHeight="1">
      <c r="A701" s="30"/>
      <c r="B701" s="31"/>
      <c r="C701" s="32"/>
      <c r="D701" s="33"/>
      <c r="E701" s="34"/>
      <c r="F701" s="34"/>
      <c r="G701" s="35"/>
      <c r="H701" s="34"/>
      <c r="I701" s="37"/>
    </row>
    <row r="702" ht="22.5" customHeight="1">
      <c r="A702" s="30"/>
      <c r="B702" s="40"/>
      <c r="C702" s="32"/>
      <c r="D702" s="33"/>
      <c r="E702" s="34"/>
      <c r="F702" s="34"/>
      <c r="G702" s="35"/>
      <c r="H702" s="34"/>
      <c r="I702" s="37"/>
    </row>
    <row r="703" ht="22.5" customHeight="1">
      <c r="A703" s="30"/>
      <c r="B703" s="31"/>
      <c r="C703" s="32"/>
      <c r="D703" s="33"/>
      <c r="E703" s="34"/>
      <c r="F703" s="34"/>
      <c r="G703" s="35"/>
      <c r="H703" s="34"/>
      <c r="I703" s="37"/>
    </row>
    <row r="704" ht="22.5" customHeight="1">
      <c r="A704" s="30"/>
      <c r="B704" s="31"/>
      <c r="C704" s="32"/>
      <c r="D704" s="33"/>
      <c r="E704" s="34"/>
      <c r="F704" s="34"/>
      <c r="G704" s="35"/>
      <c r="H704" s="34"/>
      <c r="I704" s="37"/>
    </row>
    <row r="705" ht="22.5" customHeight="1">
      <c r="A705" s="30"/>
      <c r="B705" s="31"/>
      <c r="C705" s="32"/>
      <c r="D705" s="33"/>
      <c r="E705" s="34"/>
      <c r="F705" s="34"/>
      <c r="G705" s="35"/>
      <c r="H705" s="34"/>
      <c r="I705" s="37"/>
    </row>
    <row r="706" ht="22.5" customHeight="1">
      <c r="A706" s="30"/>
      <c r="B706" s="31"/>
      <c r="C706" s="32"/>
      <c r="D706" s="33"/>
      <c r="E706" s="34"/>
      <c r="F706" s="34"/>
      <c r="G706" s="35"/>
      <c r="H706" s="34"/>
      <c r="I706" s="37"/>
    </row>
    <row r="707" ht="22.5" customHeight="1">
      <c r="A707" s="30"/>
      <c r="B707" s="31"/>
      <c r="C707" s="32"/>
      <c r="D707" s="33"/>
      <c r="E707" s="34"/>
      <c r="F707" s="34"/>
      <c r="G707" s="35"/>
      <c r="H707" s="34"/>
      <c r="I707" s="37"/>
    </row>
    <row r="708" ht="22.5" customHeight="1">
      <c r="A708" s="30"/>
      <c r="B708" s="31"/>
      <c r="C708" s="32"/>
      <c r="D708" s="33"/>
      <c r="E708" s="34"/>
      <c r="F708" s="34"/>
      <c r="G708" s="35"/>
      <c r="H708" s="34"/>
      <c r="I708" s="37"/>
    </row>
    <row r="709" ht="22.5" customHeight="1">
      <c r="A709" s="30"/>
      <c r="B709" s="31"/>
      <c r="C709" s="32"/>
      <c r="D709" s="33"/>
      <c r="E709" s="34"/>
      <c r="F709" s="34"/>
      <c r="G709" s="35"/>
      <c r="H709" s="34"/>
      <c r="I709" s="37"/>
    </row>
    <row r="710" ht="22.5" customHeight="1">
      <c r="A710" s="30"/>
      <c r="B710" s="31"/>
      <c r="C710" s="32"/>
      <c r="D710" s="33"/>
      <c r="E710" s="34"/>
      <c r="F710" s="34"/>
      <c r="G710" s="35"/>
      <c r="H710" s="34"/>
      <c r="I710" s="37"/>
    </row>
    <row r="711" ht="22.5" customHeight="1">
      <c r="A711" s="30"/>
      <c r="B711" s="31"/>
      <c r="C711" s="32"/>
      <c r="D711" s="33"/>
      <c r="E711" s="34"/>
      <c r="F711" s="34"/>
      <c r="G711" s="35"/>
      <c r="H711" s="34"/>
      <c r="I711" s="37"/>
    </row>
    <row r="712" ht="22.5" customHeight="1">
      <c r="A712" s="30"/>
      <c r="B712" s="31"/>
      <c r="C712" s="32"/>
      <c r="D712" s="33"/>
      <c r="E712" s="34"/>
      <c r="F712" s="34"/>
      <c r="G712" s="35"/>
      <c r="H712" s="34"/>
      <c r="I712" s="37"/>
    </row>
    <row r="713" ht="22.5" customHeight="1">
      <c r="A713" s="30"/>
      <c r="B713" s="31"/>
      <c r="C713" s="32"/>
      <c r="D713" s="33"/>
      <c r="E713" s="34"/>
      <c r="F713" s="34"/>
      <c r="G713" s="35"/>
      <c r="H713" s="34"/>
      <c r="I713" s="37"/>
    </row>
    <row r="714" ht="22.5" customHeight="1">
      <c r="A714" s="30"/>
      <c r="B714" s="31"/>
      <c r="C714" s="32"/>
      <c r="D714" s="33"/>
      <c r="E714" s="34"/>
      <c r="F714" s="34"/>
      <c r="G714" s="35"/>
      <c r="H714" s="34"/>
      <c r="I714" s="37"/>
    </row>
    <row r="715" ht="22.5" customHeight="1">
      <c r="A715" s="30"/>
      <c r="B715" s="31"/>
      <c r="C715" s="32"/>
      <c r="D715" s="33"/>
      <c r="E715" s="34"/>
      <c r="F715" s="34"/>
      <c r="G715" s="35"/>
      <c r="H715" s="34"/>
      <c r="I715" s="37"/>
    </row>
    <row r="716" ht="22.5" customHeight="1">
      <c r="A716" s="30"/>
      <c r="B716" s="31"/>
      <c r="C716" s="32"/>
      <c r="D716" s="33"/>
      <c r="E716" s="34"/>
      <c r="F716" s="34"/>
      <c r="G716" s="35"/>
      <c r="H716" s="34"/>
      <c r="I716" s="37"/>
    </row>
    <row r="717" ht="22.5" customHeight="1">
      <c r="A717" s="30"/>
      <c r="B717" s="31"/>
      <c r="C717" s="32"/>
      <c r="D717" s="33"/>
      <c r="E717" s="34"/>
      <c r="F717" s="34"/>
      <c r="G717" s="35"/>
      <c r="H717" s="34"/>
      <c r="I717" s="37"/>
    </row>
    <row r="718" ht="22.5" customHeight="1">
      <c r="A718" s="30"/>
      <c r="B718" s="31"/>
      <c r="C718" s="32"/>
      <c r="D718" s="33"/>
      <c r="E718" s="34"/>
      <c r="F718" s="34"/>
      <c r="G718" s="35"/>
      <c r="H718" s="34"/>
      <c r="I718" s="37"/>
    </row>
    <row r="719" ht="22.5" customHeight="1">
      <c r="A719" s="30"/>
      <c r="B719" s="31"/>
      <c r="C719" s="32"/>
      <c r="D719" s="33"/>
      <c r="E719" s="34"/>
      <c r="F719" s="34"/>
      <c r="G719" s="35"/>
      <c r="H719" s="34"/>
      <c r="I719" s="37"/>
    </row>
    <row r="720" ht="22.5" customHeight="1">
      <c r="A720" s="30"/>
      <c r="B720" s="31"/>
      <c r="C720" s="32"/>
      <c r="D720" s="33"/>
      <c r="E720" s="34"/>
      <c r="F720" s="34"/>
      <c r="G720" s="35"/>
      <c r="H720" s="34"/>
      <c r="I720" s="37"/>
    </row>
    <row r="721" ht="22.5" customHeight="1">
      <c r="A721" s="30"/>
      <c r="B721" s="31"/>
      <c r="C721" s="32"/>
      <c r="D721" s="33"/>
      <c r="E721" s="34"/>
      <c r="F721" s="34"/>
      <c r="G721" s="35"/>
      <c r="H721" s="34"/>
      <c r="I721" s="37"/>
    </row>
    <row r="722" ht="22.5" customHeight="1">
      <c r="A722" s="30"/>
      <c r="B722" s="31"/>
      <c r="C722" s="32"/>
      <c r="D722" s="33"/>
      <c r="E722" s="34"/>
      <c r="F722" s="34"/>
      <c r="G722" s="35"/>
      <c r="H722" s="34"/>
      <c r="I722" s="37"/>
    </row>
    <row r="723" ht="22.5" customHeight="1">
      <c r="A723" s="30"/>
      <c r="B723" s="31"/>
      <c r="C723" s="32"/>
      <c r="D723" s="33"/>
      <c r="E723" s="34"/>
      <c r="F723" s="34"/>
      <c r="G723" s="35"/>
      <c r="H723" s="34"/>
      <c r="I723" s="37"/>
    </row>
    <row r="724" ht="22.5" customHeight="1">
      <c r="A724" s="30"/>
      <c r="B724" s="40"/>
      <c r="C724" s="32"/>
      <c r="D724" s="33"/>
      <c r="E724" s="34"/>
      <c r="F724" s="34"/>
      <c r="G724" s="35"/>
      <c r="H724" s="34"/>
      <c r="I724" s="37"/>
    </row>
    <row r="725" ht="22.5" customHeight="1">
      <c r="A725" s="30"/>
      <c r="B725" s="31"/>
      <c r="C725" s="32"/>
      <c r="D725" s="33"/>
      <c r="E725" s="34"/>
      <c r="F725" s="34"/>
      <c r="G725" s="35"/>
      <c r="H725" s="34"/>
      <c r="I725" s="37"/>
    </row>
    <row r="726" ht="22.5" customHeight="1">
      <c r="A726" s="30"/>
      <c r="B726" s="31"/>
      <c r="C726" s="32"/>
      <c r="D726" s="33"/>
      <c r="E726" s="34"/>
      <c r="F726" s="34"/>
      <c r="G726" s="35"/>
      <c r="H726" s="34"/>
      <c r="I726" s="37"/>
    </row>
    <row r="727" ht="22.5" customHeight="1">
      <c r="A727" s="30"/>
      <c r="B727" s="31"/>
      <c r="C727" s="32"/>
      <c r="D727" s="33"/>
      <c r="E727" s="34"/>
      <c r="F727" s="34"/>
      <c r="G727" s="35"/>
      <c r="H727" s="34"/>
      <c r="I727" s="37"/>
    </row>
    <row r="728" ht="22.5" customHeight="1">
      <c r="A728" s="30"/>
      <c r="B728" s="31"/>
      <c r="C728" s="32"/>
      <c r="D728" s="33"/>
      <c r="E728" s="34"/>
      <c r="F728" s="34"/>
      <c r="G728" s="35"/>
      <c r="H728" s="34"/>
      <c r="I728" s="38"/>
    </row>
    <row r="729" ht="22.5" customHeight="1">
      <c r="A729" s="30"/>
      <c r="B729" s="39"/>
      <c r="C729" s="32"/>
      <c r="D729" s="33"/>
      <c r="E729" s="34"/>
      <c r="F729" s="34"/>
      <c r="G729" s="35"/>
      <c r="H729" s="34"/>
      <c r="I729" s="37"/>
    </row>
    <row r="730" ht="22.5" customHeight="1">
      <c r="A730" s="30"/>
      <c r="B730" s="31"/>
      <c r="C730" s="32"/>
      <c r="D730" s="33"/>
      <c r="E730" s="34"/>
      <c r="F730" s="34"/>
      <c r="G730" s="35"/>
      <c r="H730" s="34"/>
      <c r="I730" s="37"/>
    </row>
    <row r="731" ht="22.5" customHeight="1">
      <c r="A731" s="30"/>
      <c r="B731" s="31"/>
      <c r="C731" s="32"/>
      <c r="D731" s="33"/>
      <c r="E731" s="34"/>
      <c r="F731" s="34"/>
      <c r="G731" s="35"/>
      <c r="H731" s="34"/>
      <c r="I731" s="37"/>
    </row>
    <row r="732" ht="22.5" customHeight="1">
      <c r="A732" s="30"/>
      <c r="B732" s="31"/>
      <c r="C732" s="32"/>
      <c r="D732" s="33"/>
      <c r="E732" s="34"/>
      <c r="F732" s="34"/>
      <c r="G732" s="35"/>
      <c r="H732" s="34"/>
      <c r="I732" s="37"/>
    </row>
    <row r="733" ht="22.5" customHeight="1">
      <c r="A733" s="30"/>
      <c r="B733" s="39"/>
      <c r="C733" s="32"/>
      <c r="D733" s="33"/>
      <c r="E733" s="34"/>
      <c r="F733" s="34"/>
      <c r="G733" s="35"/>
      <c r="H733" s="34"/>
      <c r="I733" s="37"/>
    </row>
    <row r="734" ht="22.5" customHeight="1">
      <c r="A734" s="30"/>
      <c r="B734" s="31"/>
      <c r="C734" s="32"/>
      <c r="D734" s="33"/>
      <c r="E734" s="34"/>
      <c r="F734" s="34"/>
      <c r="G734" s="35"/>
      <c r="H734" s="34"/>
      <c r="I734" s="37"/>
    </row>
    <row r="735" ht="22.5" customHeight="1">
      <c r="A735" s="30"/>
      <c r="B735" s="39"/>
      <c r="C735" s="32"/>
      <c r="D735" s="33"/>
      <c r="E735" s="34"/>
      <c r="F735" s="34"/>
      <c r="G735" s="35"/>
      <c r="H735" s="34"/>
      <c r="I735" s="37"/>
    </row>
    <row r="736" ht="22.5" customHeight="1">
      <c r="A736" s="30"/>
      <c r="B736" s="31"/>
      <c r="C736" s="32"/>
      <c r="D736" s="33"/>
      <c r="E736" s="34"/>
      <c r="F736" s="34"/>
      <c r="G736" s="35"/>
      <c r="H736" s="34"/>
      <c r="I736" s="37"/>
    </row>
    <row r="737" ht="22.5" customHeight="1">
      <c r="A737" s="30"/>
      <c r="B737" s="31"/>
      <c r="C737" s="32"/>
      <c r="D737" s="33"/>
      <c r="E737" s="34"/>
      <c r="F737" s="34"/>
      <c r="G737" s="35"/>
      <c r="H737" s="34"/>
      <c r="I737" s="37"/>
    </row>
    <row r="738" ht="22.5" customHeight="1">
      <c r="A738" s="30"/>
      <c r="B738" s="31"/>
      <c r="C738" s="32"/>
      <c r="D738" s="33"/>
      <c r="E738" s="34"/>
      <c r="F738" s="34"/>
      <c r="G738" s="35"/>
      <c r="H738" s="34"/>
      <c r="I738" s="37"/>
    </row>
    <row r="739" ht="22.5" customHeight="1">
      <c r="A739" s="30"/>
      <c r="B739" s="31"/>
      <c r="C739" s="32"/>
      <c r="D739" s="33"/>
      <c r="E739" s="34"/>
      <c r="F739" s="34"/>
      <c r="G739" s="35"/>
      <c r="H739" s="34"/>
      <c r="I739" s="37"/>
    </row>
    <row r="740" ht="22.5" customHeight="1">
      <c r="A740" s="30"/>
      <c r="B740" s="31"/>
      <c r="C740" s="32"/>
      <c r="D740" s="33"/>
      <c r="E740" s="34"/>
      <c r="F740" s="34"/>
      <c r="G740" s="35"/>
      <c r="H740" s="34"/>
      <c r="I740" s="37"/>
    </row>
    <row r="741" ht="22.5" customHeight="1">
      <c r="A741" s="30"/>
      <c r="B741" s="31"/>
      <c r="C741" s="32"/>
      <c r="D741" s="33"/>
      <c r="E741" s="34"/>
      <c r="F741" s="34"/>
      <c r="G741" s="35"/>
      <c r="H741" s="34"/>
      <c r="I741" s="37"/>
    </row>
    <row r="742" ht="22.5" customHeight="1">
      <c r="A742" s="30"/>
      <c r="B742" s="31"/>
      <c r="C742" s="32"/>
      <c r="D742" s="33"/>
      <c r="E742" s="34"/>
      <c r="F742" s="34"/>
      <c r="G742" s="35"/>
      <c r="H742" s="34"/>
      <c r="I742" s="37"/>
    </row>
    <row r="743" ht="22.5" customHeight="1">
      <c r="A743" s="30"/>
      <c r="B743" s="31"/>
      <c r="C743" s="32"/>
      <c r="D743" s="33"/>
      <c r="E743" s="34"/>
      <c r="F743" s="34"/>
      <c r="G743" s="35"/>
      <c r="H743" s="34"/>
      <c r="I743" s="37"/>
    </row>
    <row r="744" ht="22.5" customHeight="1">
      <c r="A744" s="30"/>
      <c r="B744" s="31"/>
      <c r="C744" s="32"/>
      <c r="D744" s="33"/>
      <c r="E744" s="34"/>
      <c r="F744" s="34"/>
      <c r="G744" s="35"/>
      <c r="H744" s="34"/>
      <c r="I744" s="37"/>
    </row>
    <row r="745" ht="22.5" customHeight="1">
      <c r="A745" s="30"/>
      <c r="B745" s="31"/>
      <c r="C745" s="32"/>
      <c r="D745" s="33"/>
      <c r="E745" s="34"/>
      <c r="F745" s="34"/>
      <c r="G745" s="35"/>
      <c r="H745" s="34"/>
      <c r="I745" s="37"/>
    </row>
    <row r="746" ht="22.5" customHeight="1">
      <c r="A746" s="30"/>
      <c r="B746" s="40"/>
      <c r="C746" s="32"/>
      <c r="D746" s="33"/>
      <c r="E746" s="34"/>
      <c r="F746" s="34"/>
      <c r="G746" s="35"/>
      <c r="H746" s="34"/>
      <c r="I746" s="37"/>
    </row>
    <row r="747" ht="22.5" customHeight="1">
      <c r="A747" s="30"/>
      <c r="B747" s="31"/>
      <c r="C747" s="32"/>
      <c r="D747" s="33"/>
      <c r="E747" s="34"/>
      <c r="F747" s="34"/>
      <c r="G747" s="35"/>
      <c r="H747" s="34"/>
      <c r="I747" s="37"/>
    </row>
    <row r="748" ht="22.5" customHeight="1">
      <c r="A748" s="30"/>
      <c r="B748" s="31"/>
      <c r="C748" s="32"/>
      <c r="D748" s="33"/>
      <c r="E748" s="34"/>
      <c r="F748" s="34"/>
      <c r="G748" s="35"/>
      <c r="H748" s="34"/>
      <c r="I748" s="37"/>
    </row>
    <row r="749" ht="22.5" customHeight="1">
      <c r="A749" s="30"/>
      <c r="B749" s="31"/>
      <c r="C749" s="32"/>
      <c r="D749" s="33"/>
      <c r="E749" s="34"/>
      <c r="F749" s="34"/>
      <c r="G749" s="35"/>
      <c r="H749" s="34"/>
      <c r="I749" s="37"/>
    </row>
    <row r="750" ht="22.5" customHeight="1">
      <c r="A750" s="30"/>
      <c r="B750" s="31"/>
      <c r="C750" s="32"/>
      <c r="D750" s="33"/>
      <c r="E750" s="34"/>
      <c r="F750" s="34"/>
      <c r="G750" s="35"/>
      <c r="H750" s="34"/>
      <c r="I750" s="37"/>
    </row>
    <row r="751" ht="22.5" customHeight="1">
      <c r="A751" s="30"/>
      <c r="B751" s="31"/>
      <c r="C751" s="32"/>
      <c r="D751" s="33"/>
      <c r="E751" s="34"/>
      <c r="F751" s="34"/>
      <c r="G751" s="35"/>
      <c r="H751" s="34"/>
      <c r="I751" s="37"/>
    </row>
    <row r="752" ht="22.5" customHeight="1">
      <c r="A752" s="30"/>
      <c r="B752" s="31"/>
      <c r="C752" s="32"/>
      <c r="D752" s="33"/>
      <c r="E752" s="34"/>
      <c r="F752" s="34"/>
      <c r="G752" s="35"/>
      <c r="H752" s="34"/>
      <c r="I752" s="37"/>
    </row>
    <row r="753" ht="22.5" customHeight="1">
      <c r="A753" s="30"/>
      <c r="B753" s="39"/>
      <c r="C753" s="32"/>
      <c r="D753" s="33"/>
      <c r="E753" s="34"/>
      <c r="F753" s="34"/>
      <c r="G753" s="35"/>
      <c r="H753" s="34"/>
      <c r="I753" s="37"/>
    </row>
    <row r="754" ht="22.5" customHeight="1">
      <c r="A754" s="30"/>
      <c r="B754" s="39"/>
      <c r="C754" s="32"/>
      <c r="D754" s="33"/>
      <c r="E754" s="34"/>
      <c r="F754" s="34"/>
      <c r="G754" s="35"/>
      <c r="H754" s="34"/>
      <c r="I754" s="37"/>
    </row>
    <row r="755" ht="22.5" customHeight="1">
      <c r="A755" s="30"/>
      <c r="B755" s="39"/>
      <c r="C755" s="32"/>
      <c r="D755" s="33"/>
      <c r="E755" s="34"/>
      <c r="F755" s="34"/>
      <c r="G755" s="35"/>
      <c r="H755" s="34"/>
      <c r="I755" s="37"/>
    </row>
    <row r="756" ht="22.5" customHeight="1">
      <c r="A756" s="30"/>
      <c r="B756" s="40"/>
      <c r="C756" s="32"/>
      <c r="D756" s="33"/>
      <c r="E756" s="34"/>
      <c r="F756" s="34"/>
      <c r="G756" s="35"/>
      <c r="H756" s="34"/>
      <c r="I756" s="37"/>
    </row>
    <row r="757" ht="22.5" customHeight="1">
      <c r="A757" s="30"/>
      <c r="B757" s="31"/>
      <c r="C757" s="32"/>
      <c r="D757" s="33"/>
      <c r="E757" s="34"/>
      <c r="F757" s="34"/>
      <c r="G757" s="35"/>
      <c r="H757" s="34"/>
      <c r="I757" s="37"/>
    </row>
    <row r="758" ht="22.5" customHeight="1">
      <c r="A758" s="30"/>
      <c r="B758" s="31"/>
      <c r="C758" s="32"/>
      <c r="D758" s="33"/>
      <c r="E758" s="34"/>
      <c r="F758" s="34"/>
      <c r="G758" s="35"/>
      <c r="H758" s="34"/>
      <c r="I758" s="37"/>
    </row>
    <row r="759" ht="22.5" customHeight="1">
      <c r="A759" s="30"/>
      <c r="B759" s="31"/>
      <c r="C759" s="32"/>
      <c r="D759" s="33"/>
      <c r="E759" s="34"/>
      <c r="F759" s="34"/>
      <c r="G759" s="35"/>
      <c r="H759" s="34"/>
      <c r="I759" s="37"/>
    </row>
    <row r="760" ht="22.5" customHeight="1">
      <c r="A760" s="30"/>
      <c r="B760" s="31"/>
      <c r="C760" s="32"/>
      <c r="D760" s="33"/>
      <c r="E760" s="34"/>
      <c r="F760" s="34"/>
      <c r="G760" s="35"/>
      <c r="H760" s="34"/>
      <c r="I760" s="37"/>
    </row>
    <row r="761" ht="22.5" customHeight="1">
      <c r="A761" s="30"/>
      <c r="B761" s="31"/>
      <c r="C761" s="32"/>
      <c r="D761" s="33"/>
      <c r="E761" s="34"/>
      <c r="F761" s="34"/>
      <c r="G761" s="35"/>
      <c r="H761" s="34"/>
      <c r="I761" s="37"/>
    </row>
    <row r="762" ht="22.5" customHeight="1">
      <c r="A762" s="30"/>
      <c r="B762" s="31"/>
      <c r="C762" s="32"/>
      <c r="D762" s="33"/>
      <c r="E762" s="34"/>
      <c r="F762" s="34"/>
      <c r="G762" s="35"/>
      <c r="H762" s="34"/>
      <c r="I762" s="37"/>
    </row>
    <row r="763" ht="22.5" customHeight="1">
      <c r="A763" s="30"/>
      <c r="B763" s="31"/>
      <c r="C763" s="32"/>
      <c r="D763" s="33"/>
      <c r="E763" s="34"/>
      <c r="F763" s="34"/>
      <c r="G763" s="35"/>
      <c r="H763" s="34"/>
      <c r="I763" s="37"/>
    </row>
    <row r="764" ht="22.5" customHeight="1">
      <c r="A764" s="30"/>
      <c r="B764" s="31"/>
      <c r="C764" s="32"/>
      <c r="D764" s="33"/>
      <c r="E764" s="34"/>
      <c r="F764" s="34"/>
      <c r="G764" s="35"/>
      <c r="H764" s="34"/>
      <c r="I764" s="37"/>
    </row>
    <row r="765" ht="22.5" customHeight="1">
      <c r="A765" s="30"/>
      <c r="B765" s="31"/>
      <c r="C765" s="32"/>
      <c r="D765" s="33"/>
      <c r="E765" s="34"/>
      <c r="F765" s="34"/>
      <c r="G765" s="35"/>
      <c r="H765" s="34"/>
      <c r="I765" s="37"/>
    </row>
    <row r="766" ht="22.5" customHeight="1">
      <c r="A766" s="30"/>
      <c r="B766" s="40"/>
      <c r="C766" s="32"/>
      <c r="D766" s="33"/>
      <c r="E766" s="34"/>
      <c r="F766" s="34"/>
      <c r="G766" s="35"/>
      <c r="H766" s="34"/>
      <c r="I766" s="37"/>
    </row>
    <row r="767" ht="22.5" customHeight="1">
      <c r="A767" s="30"/>
      <c r="B767" s="31"/>
      <c r="C767" s="32"/>
      <c r="D767" s="33"/>
      <c r="E767" s="34"/>
      <c r="F767" s="34"/>
      <c r="G767" s="35"/>
      <c r="H767" s="34"/>
      <c r="I767" s="37"/>
    </row>
    <row r="768" ht="22.5" customHeight="1">
      <c r="A768" s="30"/>
      <c r="B768" s="31"/>
      <c r="C768" s="32"/>
      <c r="D768" s="33"/>
      <c r="E768" s="34"/>
      <c r="F768" s="34"/>
      <c r="G768" s="35"/>
      <c r="H768" s="34"/>
      <c r="I768" s="37"/>
    </row>
    <row r="769" ht="22.5" customHeight="1">
      <c r="A769" s="30"/>
      <c r="B769" s="31"/>
      <c r="C769" s="32"/>
      <c r="D769" s="33"/>
      <c r="E769" s="34"/>
      <c r="F769" s="34"/>
      <c r="G769" s="35"/>
      <c r="H769" s="34"/>
      <c r="I769" s="37"/>
    </row>
    <row r="770" ht="22.5" customHeight="1">
      <c r="A770" s="30"/>
      <c r="B770" s="40"/>
      <c r="C770" s="32"/>
      <c r="D770" s="33"/>
      <c r="E770" s="34"/>
      <c r="F770" s="34"/>
      <c r="G770" s="35"/>
      <c r="H770" s="34"/>
      <c r="I770" s="37"/>
    </row>
    <row r="771" ht="22.5" customHeight="1">
      <c r="A771" s="30"/>
      <c r="B771" s="31"/>
      <c r="C771" s="32"/>
      <c r="D771" s="33"/>
      <c r="E771" s="34"/>
      <c r="F771" s="34"/>
      <c r="G771" s="35"/>
      <c r="H771" s="34"/>
      <c r="I771" s="37"/>
    </row>
    <row r="772" ht="22.5" customHeight="1">
      <c r="A772" s="30"/>
      <c r="B772" s="31"/>
      <c r="C772" s="32"/>
      <c r="D772" s="33"/>
      <c r="E772" s="34"/>
      <c r="F772" s="34"/>
      <c r="G772" s="35"/>
      <c r="H772" s="34"/>
      <c r="I772" s="37"/>
    </row>
    <row r="773" ht="22.5" customHeight="1">
      <c r="A773" s="30"/>
      <c r="B773" s="31"/>
      <c r="C773" s="32"/>
      <c r="D773" s="33"/>
      <c r="E773" s="34"/>
      <c r="F773" s="34"/>
      <c r="G773" s="35"/>
      <c r="H773" s="34"/>
      <c r="I773" s="37"/>
    </row>
    <row r="774" ht="22.5" customHeight="1">
      <c r="A774" s="30"/>
      <c r="B774" s="31"/>
      <c r="C774" s="32"/>
      <c r="D774" s="33"/>
      <c r="E774" s="34"/>
      <c r="F774" s="34"/>
      <c r="G774" s="35"/>
      <c r="H774" s="34"/>
      <c r="I774" s="37"/>
    </row>
    <row r="775" ht="22.5" customHeight="1">
      <c r="A775" s="30"/>
      <c r="B775" s="31"/>
      <c r="C775" s="32"/>
      <c r="D775" s="33"/>
      <c r="E775" s="34"/>
      <c r="F775" s="34"/>
      <c r="G775" s="35"/>
      <c r="H775" s="34"/>
      <c r="I775" s="37"/>
    </row>
    <row r="776" ht="22.5" customHeight="1">
      <c r="A776" s="30"/>
      <c r="B776" s="31"/>
      <c r="C776" s="32"/>
      <c r="D776" s="33"/>
      <c r="E776" s="34"/>
      <c r="F776" s="34"/>
      <c r="G776" s="35"/>
      <c r="H776" s="34"/>
      <c r="I776" s="37"/>
    </row>
    <row r="777" ht="22.5" customHeight="1">
      <c r="A777" s="30"/>
      <c r="B777" s="31"/>
      <c r="C777" s="32"/>
      <c r="D777" s="33"/>
      <c r="E777" s="34"/>
      <c r="F777" s="34"/>
      <c r="G777" s="35"/>
      <c r="H777" s="34"/>
      <c r="I777" s="37"/>
    </row>
    <row r="778" ht="22.5" customHeight="1">
      <c r="A778" s="30"/>
      <c r="B778" s="31"/>
      <c r="C778" s="32"/>
      <c r="D778" s="33"/>
      <c r="E778" s="34"/>
      <c r="F778" s="34"/>
      <c r="G778" s="35"/>
      <c r="H778" s="34"/>
      <c r="I778" s="37"/>
    </row>
    <row r="779" ht="22.5" customHeight="1">
      <c r="A779" s="30"/>
      <c r="B779" s="31"/>
      <c r="C779" s="32"/>
      <c r="D779" s="33"/>
      <c r="E779" s="34"/>
      <c r="F779" s="34"/>
      <c r="G779" s="35"/>
      <c r="H779" s="34"/>
      <c r="I779" s="37"/>
    </row>
    <row r="780" ht="22.5" customHeight="1">
      <c r="A780" s="30"/>
      <c r="B780" s="31"/>
      <c r="C780" s="32"/>
      <c r="D780" s="33"/>
      <c r="E780" s="34"/>
      <c r="F780" s="34"/>
      <c r="G780" s="35"/>
      <c r="H780" s="34"/>
      <c r="I780" s="37"/>
    </row>
    <row r="781" ht="22.5" customHeight="1">
      <c r="A781" s="30"/>
      <c r="B781" s="31"/>
      <c r="C781" s="32"/>
      <c r="D781" s="33"/>
      <c r="E781" s="34"/>
      <c r="F781" s="34"/>
      <c r="G781" s="35"/>
      <c r="H781" s="34"/>
      <c r="I781" s="37"/>
    </row>
    <row r="782" ht="22.5" customHeight="1">
      <c r="A782" s="30"/>
      <c r="B782" s="31"/>
      <c r="C782" s="32"/>
      <c r="D782" s="33"/>
      <c r="E782" s="34"/>
      <c r="F782" s="34"/>
      <c r="G782" s="35"/>
      <c r="H782" s="34"/>
      <c r="I782" s="37"/>
    </row>
    <row r="783" ht="22.5" customHeight="1">
      <c r="A783" s="30"/>
      <c r="B783" s="31"/>
      <c r="C783" s="32"/>
      <c r="D783" s="33"/>
      <c r="E783" s="34"/>
      <c r="F783" s="34"/>
      <c r="G783" s="35"/>
      <c r="H783" s="34"/>
      <c r="I783" s="37"/>
    </row>
    <row r="784" ht="22.5" customHeight="1">
      <c r="A784" s="30"/>
      <c r="B784" s="31"/>
      <c r="C784" s="32"/>
      <c r="D784" s="33"/>
      <c r="E784" s="34"/>
      <c r="F784" s="34"/>
      <c r="G784" s="35"/>
      <c r="H784" s="34"/>
      <c r="I784" s="37"/>
    </row>
    <row r="785" ht="22.5" customHeight="1">
      <c r="A785" s="30"/>
      <c r="B785" s="40"/>
      <c r="C785" s="32"/>
      <c r="D785" s="33"/>
      <c r="E785" s="34"/>
      <c r="F785" s="34"/>
      <c r="G785" s="35"/>
      <c r="H785" s="34"/>
      <c r="I785" s="37"/>
    </row>
    <row r="786" ht="22.5" customHeight="1">
      <c r="A786" s="30"/>
      <c r="B786" s="31"/>
      <c r="C786" s="32"/>
      <c r="D786" s="33"/>
      <c r="E786" s="34"/>
      <c r="F786" s="34"/>
      <c r="G786" s="35"/>
      <c r="H786" s="34"/>
      <c r="I786" s="37"/>
    </row>
    <row r="787" ht="22.5" customHeight="1">
      <c r="A787" s="30"/>
      <c r="B787" s="40"/>
      <c r="C787" s="32"/>
      <c r="D787" s="33"/>
      <c r="E787" s="34"/>
      <c r="F787" s="34"/>
      <c r="G787" s="35"/>
      <c r="H787" s="34"/>
      <c r="I787" s="37"/>
    </row>
    <row r="788" ht="22.5" customHeight="1">
      <c r="A788" s="30"/>
      <c r="B788" s="31"/>
      <c r="C788" s="32"/>
      <c r="D788" s="33"/>
      <c r="E788" s="34"/>
      <c r="F788" s="34"/>
      <c r="G788" s="35"/>
      <c r="H788" s="34"/>
      <c r="I788" s="37"/>
    </row>
    <row r="789" ht="22.5" customHeight="1">
      <c r="A789" s="30"/>
      <c r="B789" s="31"/>
      <c r="C789" s="32"/>
      <c r="D789" s="33"/>
      <c r="E789" s="34"/>
      <c r="F789" s="34"/>
      <c r="G789" s="35"/>
      <c r="H789" s="34"/>
      <c r="I789" s="37"/>
    </row>
    <row r="790" ht="22.5" customHeight="1">
      <c r="A790" s="30"/>
      <c r="B790" s="31"/>
      <c r="C790" s="32"/>
      <c r="D790" s="33"/>
      <c r="E790" s="34"/>
      <c r="F790" s="34"/>
      <c r="G790" s="35"/>
      <c r="H790" s="34"/>
      <c r="I790" s="37"/>
    </row>
    <row r="791" ht="22.5" customHeight="1">
      <c r="A791" s="30"/>
      <c r="B791" s="31"/>
      <c r="C791" s="32"/>
      <c r="D791" s="33"/>
      <c r="E791" s="34"/>
      <c r="F791" s="34"/>
      <c r="G791" s="35"/>
      <c r="H791" s="34"/>
      <c r="I791" s="37"/>
    </row>
    <row r="792" ht="22.5" customHeight="1">
      <c r="A792" s="30"/>
      <c r="B792" s="40"/>
      <c r="C792" s="32"/>
      <c r="D792" s="33"/>
      <c r="E792" s="34"/>
      <c r="F792" s="34"/>
      <c r="G792" s="35"/>
      <c r="H792" s="34"/>
      <c r="I792" s="37"/>
    </row>
    <row r="793" ht="22.5" customHeight="1">
      <c r="A793" s="30"/>
      <c r="B793" s="31"/>
      <c r="C793" s="32"/>
      <c r="D793" s="33"/>
      <c r="E793" s="34"/>
      <c r="F793" s="34"/>
      <c r="G793" s="35"/>
      <c r="H793" s="34"/>
      <c r="I793" s="37"/>
    </row>
    <row r="794" ht="22.5" customHeight="1">
      <c r="A794" s="30"/>
      <c r="B794" s="31"/>
      <c r="C794" s="32"/>
      <c r="D794" s="33"/>
      <c r="E794" s="34"/>
      <c r="F794" s="34"/>
      <c r="G794" s="35"/>
      <c r="H794" s="34"/>
      <c r="I794" s="37"/>
    </row>
    <row r="795" ht="22.5" customHeight="1">
      <c r="A795" s="30"/>
      <c r="B795" s="31"/>
      <c r="C795" s="32"/>
      <c r="D795" s="33"/>
      <c r="E795" s="34"/>
      <c r="F795" s="34"/>
      <c r="G795" s="35"/>
      <c r="H795" s="34"/>
      <c r="I795" s="37"/>
    </row>
    <row r="796" ht="22.5" customHeight="1">
      <c r="A796" s="30"/>
      <c r="B796" s="31"/>
      <c r="C796" s="32"/>
      <c r="D796" s="33"/>
      <c r="E796" s="34"/>
      <c r="F796" s="34"/>
      <c r="G796" s="35"/>
      <c r="H796" s="34"/>
      <c r="I796" s="37"/>
    </row>
    <row r="797" ht="22.5" customHeight="1">
      <c r="A797" s="30"/>
      <c r="B797" s="31"/>
      <c r="C797" s="32"/>
      <c r="D797" s="33"/>
      <c r="E797" s="34"/>
      <c r="F797" s="34"/>
      <c r="G797" s="35"/>
      <c r="H797" s="34"/>
      <c r="I797" s="37"/>
    </row>
    <row r="798" ht="22.5" customHeight="1">
      <c r="A798" s="30"/>
      <c r="B798" s="31"/>
      <c r="C798" s="32"/>
      <c r="D798" s="33"/>
      <c r="E798" s="34"/>
      <c r="F798" s="34"/>
      <c r="G798" s="35"/>
      <c r="H798" s="34"/>
      <c r="I798" s="37"/>
    </row>
    <row r="799" ht="22.5" customHeight="1">
      <c r="A799" s="30"/>
      <c r="B799" s="31"/>
      <c r="C799" s="32"/>
      <c r="D799" s="33"/>
      <c r="E799" s="34"/>
      <c r="F799" s="34"/>
      <c r="G799" s="35"/>
      <c r="H799" s="34"/>
      <c r="I799" s="37"/>
    </row>
    <row r="800" ht="22.5" customHeight="1">
      <c r="A800" s="30"/>
      <c r="B800" s="31"/>
      <c r="C800" s="32"/>
      <c r="D800" s="33"/>
      <c r="E800" s="34"/>
      <c r="F800" s="34"/>
      <c r="G800" s="35"/>
      <c r="H800" s="34"/>
      <c r="I800" s="37"/>
    </row>
    <row r="801" ht="22.5" customHeight="1">
      <c r="A801" s="30"/>
      <c r="B801" s="31"/>
      <c r="C801" s="32"/>
      <c r="D801" s="33"/>
      <c r="E801" s="34"/>
      <c r="F801" s="34"/>
      <c r="G801" s="35"/>
      <c r="H801" s="34"/>
      <c r="I801" s="37"/>
    </row>
    <row r="802" ht="22.5" customHeight="1">
      <c r="A802" s="30"/>
      <c r="B802" s="31"/>
      <c r="C802" s="32"/>
      <c r="D802" s="33"/>
      <c r="E802" s="34"/>
      <c r="F802" s="34"/>
      <c r="G802" s="35"/>
      <c r="H802" s="34"/>
      <c r="I802" s="37"/>
    </row>
    <row r="803" ht="22.5" customHeight="1">
      <c r="A803" s="30"/>
      <c r="B803" s="31"/>
      <c r="C803" s="32"/>
      <c r="D803" s="33"/>
      <c r="E803" s="34"/>
      <c r="F803" s="34"/>
      <c r="G803" s="35"/>
      <c r="H803" s="34"/>
      <c r="I803" s="37"/>
    </row>
    <row r="804" ht="22.5" customHeight="1">
      <c r="A804" s="30"/>
      <c r="B804" s="31"/>
      <c r="C804" s="32"/>
      <c r="D804" s="33"/>
      <c r="E804" s="34"/>
      <c r="F804" s="34"/>
      <c r="G804" s="35"/>
      <c r="H804" s="34"/>
      <c r="I804" s="37"/>
    </row>
    <row r="805" ht="22.5" customHeight="1">
      <c r="A805" s="30"/>
      <c r="B805" s="31"/>
      <c r="C805" s="32"/>
      <c r="D805" s="33"/>
      <c r="E805" s="34"/>
      <c r="F805" s="34"/>
      <c r="G805" s="35"/>
      <c r="H805" s="34"/>
      <c r="I805" s="37"/>
    </row>
    <row r="806" ht="22.5" customHeight="1">
      <c r="A806" s="30"/>
      <c r="B806" s="31"/>
      <c r="C806" s="32"/>
      <c r="D806" s="33"/>
      <c r="E806" s="34"/>
      <c r="F806" s="34"/>
      <c r="G806" s="35"/>
      <c r="H806" s="34"/>
      <c r="I806" s="37"/>
    </row>
    <row r="807" ht="22.5" customHeight="1">
      <c r="A807" s="30"/>
      <c r="B807" s="31"/>
      <c r="C807" s="32"/>
      <c r="D807" s="33"/>
      <c r="E807" s="34"/>
      <c r="F807" s="34"/>
      <c r="G807" s="35"/>
      <c r="H807" s="34"/>
      <c r="I807" s="37"/>
    </row>
    <row r="808" ht="22.5" customHeight="1">
      <c r="A808" s="30"/>
      <c r="B808" s="31"/>
      <c r="C808" s="32"/>
      <c r="D808" s="33"/>
      <c r="E808" s="34"/>
      <c r="F808" s="34"/>
      <c r="G808" s="35"/>
      <c r="H808" s="34"/>
      <c r="I808" s="37"/>
    </row>
    <row r="809" ht="22.5" customHeight="1">
      <c r="A809" s="30"/>
      <c r="B809" s="31"/>
      <c r="C809" s="32"/>
      <c r="D809" s="33"/>
      <c r="E809" s="34"/>
      <c r="F809" s="34"/>
      <c r="G809" s="35"/>
      <c r="H809" s="34"/>
      <c r="I809" s="37"/>
    </row>
    <row r="810" ht="22.5" customHeight="1">
      <c r="A810" s="30"/>
      <c r="B810" s="31"/>
      <c r="C810" s="32"/>
      <c r="D810" s="33"/>
      <c r="E810" s="34"/>
      <c r="F810" s="34"/>
      <c r="G810" s="35"/>
      <c r="H810" s="34"/>
      <c r="I810" s="37"/>
    </row>
    <row r="811" ht="22.5" customHeight="1">
      <c r="A811" s="30"/>
      <c r="B811" s="31"/>
      <c r="C811" s="32"/>
      <c r="D811" s="33"/>
      <c r="E811" s="34"/>
      <c r="F811" s="34"/>
      <c r="G811" s="35"/>
      <c r="H811" s="34"/>
      <c r="I811" s="37"/>
    </row>
    <row r="812" ht="22.5" customHeight="1">
      <c r="A812" s="30"/>
      <c r="B812" s="31"/>
      <c r="C812" s="32"/>
      <c r="D812" s="33"/>
      <c r="E812" s="34"/>
      <c r="F812" s="34"/>
      <c r="G812" s="35"/>
      <c r="H812" s="34"/>
      <c r="I812" s="37"/>
    </row>
    <row r="813" ht="22.5" customHeight="1">
      <c r="A813" s="30"/>
      <c r="B813" s="31"/>
      <c r="C813" s="32"/>
      <c r="D813" s="33"/>
      <c r="E813" s="34"/>
      <c r="F813" s="34"/>
      <c r="G813" s="35"/>
      <c r="H813" s="34"/>
      <c r="I813" s="37"/>
    </row>
    <row r="814" ht="22.5" customHeight="1">
      <c r="A814" s="30"/>
      <c r="B814" s="40"/>
      <c r="C814" s="32"/>
      <c r="D814" s="33"/>
      <c r="E814" s="34"/>
      <c r="F814" s="34"/>
      <c r="G814" s="35"/>
      <c r="H814" s="34"/>
      <c r="I814" s="37"/>
    </row>
    <row r="815" ht="22.5" customHeight="1">
      <c r="A815" s="30"/>
      <c r="B815" s="31"/>
      <c r="C815" s="32"/>
      <c r="D815" s="33"/>
      <c r="E815" s="34"/>
      <c r="F815" s="34"/>
      <c r="G815" s="35"/>
      <c r="H815" s="34"/>
      <c r="I815" s="37"/>
    </row>
    <row r="816" ht="22.5" customHeight="1">
      <c r="A816" s="30"/>
      <c r="B816" s="31"/>
      <c r="C816" s="32"/>
      <c r="D816" s="33"/>
      <c r="E816" s="34"/>
      <c r="F816" s="34"/>
      <c r="G816" s="35"/>
      <c r="H816" s="34"/>
      <c r="I816" s="37"/>
    </row>
    <row r="817" ht="22.5" customHeight="1">
      <c r="A817" s="30"/>
      <c r="B817" s="31"/>
      <c r="C817" s="32"/>
      <c r="D817" s="33"/>
      <c r="E817" s="34"/>
      <c r="F817" s="34"/>
      <c r="G817" s="35"/>
      <c r="H817" s="34"/>
      <c r="I817" s="37"/>
    </row>
    <row r="818" ht="22.5" customHeight="1">
      <c r="A818" s="30"/>
      <c r="B818" s="31"/>
      <c r="C818" s="32"/>
      <c r="D818" s="33"/>
      <c r="E818" s="34"/>
      <c r="F818" s="34"/>
      <c r="G818" s="35"/>
      <c r="H818" s="34"/>
      <c r="I818" s="38"/>
    </row>
    <row r="819" ht="22.5" customHeight="1">
      <c r="A819" s="30"/>
      <c r="B819" s="39"/>
      <c r="C819" s="32"/>
      <c r="D819" s="33"/>
      <c r="E819" s="34"/>
      <c r="F819" s="34"/>
      <c r="G819" s="35"/>
      <c r="H819" s="34"/>
      <c r="I819" s="37"/>
    </row>
    <row r="820" ht="22.5" customHeight="1">
      <c r="A820" s="30"/>
      <c r="B820" s="31"/>
      <c r="C820" s="32"/>
      <c r="D820" s="33"/>
      <c r="E820" s="34"/>
      <c r="F820" s="34"/>
      <c r="G820" s="35"/>
      <c r="H820" s="34"/>
      <c r="I820" s="37"/>
    </row>
    <row r="821" ht="22.5" customHeight="1">
      <c r="A821" s="30"/>
      <c r="B821" s="31"/>
      <c r="C821" s="32"/>
      <c r="D821" s="33"/>
      <c r="E821" s="34"/>
      <c r="F821" s="34"/>
      <c r="G821" s="35"/>
      <c r="H821" s="34"/>
      <c r="I821" s="37"/>
    </row>
    <row r="822" ht="22.5" customHeight="1">
      <c r="A822" s="30"/>
      <c r="B822" s="31"/>
      <c r="C822" s="32"/>
      <c r="D822" s="33"/>
      <c r="E822" s="34"/>
      <c r="F822" s="34"/>
      <c r="G822" s="35"/>
      <c r="H822" s="34"/>
      <c r="I822" s="37"/>
    </row>
    <row r="823" ht="22.5" customHeight="1">
      <c r="A823" s="30"/>
      <c r="B823" s="39"/>
      <c r="C823" s="32"/>
      <c r="D823" s="33"/>
      <c r="E823" s="34"/>
      <c r="F823" s="34"/>
      <c r="G823" s="35"/>
      <c r="H823" s="34"/>
      <c r="I823" s="37"/>
    </row>
    <row r="824" ht="22.5" customHeight="1">
      <c r="A824" s="30"/>
      <c r="B824" s="31"/>
      <c r="C824" s="32"/>
      <c r="D824" s="33"/>
      <c r="E824" s="34"/>
      <c r="F824" s="34"/>
      <c r="G824" s="35"/>
      <c r="H824" s="34"/>
      <c r="I824" s="37"/>
    </row>
    <row r="825" ht="22.5" customHeight="1">
      <c r="A825" s="30"/>
      <c r="B825" s="39"/>
      <c r="C825" s="32"/>
      <c r="D825" s="33"/>
      <c r="E825" s="34"/>
      <c r="F825" s="34"/>
      <c r="G825" s="35"/>
      <c r="H825" s="34"/>
      <c r="I825" s="37"/>
    </row>
    <row r="826" ht="22.5" customHeight="1">
      <c r="A826" s="30"/>
      <c r="B826" s="31"/>
      <c r="C826" s="32"/>
      <c r="D826" s="33"/>
      <c r="E826" s="34"/>
      <c r="F826" s="34"/>
      <c r="G826" s="35"/>
      <c r="H826" s="34"/>
      <c r="I826" s="37"/>
    </row>
    <row r="827" ht="22.5" customHeight="1">
      <c r="A827" s="30"/>
      <c r="B827" s="31"/>
      <c r="C827" s="32"/>
      <c r="D827" s="33"/>
      <c r="E827" s="34"/>
      <c r="F827" s="34"/>
      <c r="G827" s="35"/>
      <c r="H827" s="34"/>
      <c r="I827" s="37"/>
    </row>
    <row r="828" ht="22.5" customHeight="1">
      <c r="A828" s="30"/>
      <c r="B828" s="31"/>
      <c r="C828" s="32"/>
      <c r="D828" s="33"/>
      <c r="E828" s="34"/>
      <c r="F828" s="34"/>
      <c r="G828" s="35"/>
      <c r="H828" s="34"/>
      <c r="I828" s="37"/>
    </row>
    <row r="829" ht="22.5" customHeight="1">
      <c r="A829" s="30"/>
      <c r="B829" s="31"/>
      <c r="C829" s="32"/>
      <c r="D829" s="33"/>
      <c r="E829" s="34"/>
      <c r="F829" s="34"/>
      <c r="G829" s="35"/>
      <c r="H829" s="34"/>
      <c r="I829" s="37"/>
    </row>
    <row r="830" ht="22.5" customHeight="1">
      <c r="A830" s="30"/>
      <c r="B830" s="31"/>
      <c r="C830" s="32"/>
      <c r="D830" s="33"/>
      <c r="E830" s="34"/>
      <c r="F830" s="34"/>
      <c r="G830" s="35"/>
      <c r="H830" s="34"/>
      <c r="I830" s="37"/>
    </row>
    <row r="831" ht="22.5" customHeight="1">
      <c r="A831" s="30"/>
      <c r="B831" s="31"/>
      <c r="C831" s="32"/>
      <c r="D831" s="33"/>
      <c r="E831" s="34"/>
      <c r="F831" s="34"/>
      <c r="G831" s="35"/>
      <c r="H831" s="34"/>
      <c r="I831" s="37"/>
    </row>
    <row r="832" ht="22.5" customHeight="1">
      <c r="A832" s="30"/>
      <c r="B832" s="31"/>
      <c r="C832" s="32"/>
      <c r="D832" s="33"/>
      <c r="E832" s="34"/>
      <c r="F832" s="34"/>
      <c r="G832" s="35"/>
      <c r="H832" s="34"/>
      <c r="I832" s="37"/>
    </row>
    <row r="833" ht="22.5" customHeight="1">
      <c r="A833" s="30"/>
      <c r="B833" s="31"/>
      <c r="C833" s="32"/>
      <c r="D833" s="33"/>
      <c r="E833" s="34"/>
      <c r="F833" s="34"/>
      <c r="G833" s="35"/>
      <c r="H833" s="34"/>
      <c r="I833" s="37"/>
    </row>
    <row r="834" ht="22.5" customHeight="1">
      <c r="A834" s="30"/>
      <c r="B834" s="31"/>
      <c r="C834" s="32"/>
      <c r="D834" s="33"/>
      <c r="E834" s="34"/>
      <c r="F834" s="34"/>
      <c r="G834" s="35"/>
      <c r="H834" s="34"/>
      <c r="I834" s="37"/>
    </row>
    <row r="835" ht="22.5" customHeight="1">
      <c r="A835" s="30"/>
      <c r="B835" s="31"/>
      <c r="C835" s="32"/>
      <c r="D835" s="33"/>
      <c r="E835" s="34"/>
      <c r="F835" s="34"/>
      <c r="G835" s="35"/>
      <c r="H835" s="34"/>
      <c r="I835" s="37"/>
    </row>
    <row r="836" ht="22.5" customHeight="1">
      <c r="A836" s="30"/>
      <c r="B836" s="40"/>
      <c r="C836" s="32"/>
      <c r="D836" s="33"/>
      <c r="E836" s="34"/>
      <c r="F836" s="34"/>
      <c r="G836" s="35"/>
      <c r="H836" s="34"/>
      <c r="I836" s="37"/>
    </row>
    <row r="837" ht="22.5" customHeight="1">
      <c r="A837" s="30"/>
      <c r="B837" s="31"/>
      <c r="C837" s="32"/>
      <c r="D837" s="33"/>
      <c r="E837" s="34"/>
      <c r="F837" s="34"/>
      <c r="G837" s="35"/>
      <c r="H837" s="34"/>
      <c r="I837" s="37"/>
    </row>
    <row r="838" ht="22.5" customHeight="1">
      <c r="A838" s="30"/>
      <c r="B838" s="31"/>
      <c r="C838" s="32"/>
      <c r="D838" s="33"/>
      <c r="E838" s="34"/>
      <c r="F838" s="34"/>
      <c r="G838" s="35"/>
      <c r="H838" s="34"/>
      <c r="I838" s="37"/>
    </row>
    <row r="839" ht="22.5" customHeight="1">
      <c r="A839" s="30"/>
      <c r="B839" s="31"/>
      <c r="C839" s="32"/>
      <c r="D839" s="33"/>
      <c r="E839" s="34"/>
      <c r="F839" s="34"/>
      <c r="G839" s="35"/>
      <c r="H839" s="34"/>
      <c r="I839" s="37"/>
    </row>
    <row r="840" ht="22.5" customHeight="1">
      <c r="A840" s="30"/>
      <c r="B840" s="31"/>
      <c r="C840" s="32"/>
      <c r="D840" s="33"/>
      <c r="E840" s="34"/>
      <c r="F840" s="34"/>
      <c r="G840" s="35"/>
      <c r="H840" s="34"/>
      <c r="I840" s="37"/>
    </row>
    <row r="841" ht="22.5" customHeight="1">
      <c r="A841" s="30"/>
      <c r="B841" s="31"/>
      <c r="C841" s="32"/>
      <c r="D841" s="33"/>
      <c r="E841" s="34"/>
      <c r="F841" s="34"/>
      <c r="G841" s="35"/>
      <c r="H841" s="34"/>
      <c r="I841" s="37"/>
    </row>
    <row r="842" ht="22.5" customHeight="1">
      <c r="A842" s="30"/>
      <c r="B842" s="31"/>
      <c r="C842" s="32"/>
      <c r="D842" s="33"/>
      <c r="E842" s="34"/>
      <c r="F842" s="34"/>
      <c r="G842" s="35"/>
      <c r="H842" s="34"/>
      <c r="I842" s="37"/>
    </row>
    <row r="843" ht="22.5" customHeight="1">
      <c r="A843" s="30"/>
      <c r="B843" s="39"/>
      <c r="C843" s="32"/>
      <c r="D843" s="33"/>
      <c r="E843" s="34"/>
      <c r="F843" s="34"/>
      <c r="G843" s="35"/>
      <c r="H843" s="34"/>
      <c r="I843" s="37"/>
    </row>
    <row r="844" ht="22.5" customHeight="1">
      <c r="A844" s="30"/>
      <c r="B844" s="39"/>
      <c r="C844" s="32"/>
      <c r="D844" s="33"/>
      <c r="E844" s="34"/>
      <c r="F844" s="34"/>
      <c r="G844" s="35"/>
      <c r="H844" s="34"/>
      <c r="I844" s="37"/>
    </row>
    <row r="845" ht="22.5" customHeight="1">
      <c r="A845" s="30"/>
      <c r="B845" s="39"/>
      <c r="C845" s="32"/>
      <c r="D845" s="33"/>
      <c r="E845" s="34"/>
      <c r="F845" s="34"/>
      <c r="G845" s="35"/>
      <c r="H845" s="34"/>
      <c r="I845" s="37"/>
    </row>
    <row r="846" ht="22.5" customHeight="1">
      <c r="A846" s="30"/>
      <c r="B846" s="40"/>
      <c r="C846" s="32"/>
      <c r="D846" s="33"/>
      <c r="E846" s="34"/>
      <c r="F846" s="34"/>
      <c r="G846" s="35"/>
      <c r="H846" s="34"/>
      <c r="I846" s="37"/>
    </row>
    <row r="847" ht="22.5" customHeight="1">
      <c r="A847" s="30"/>
      <c r="B847" s="31"/>
      <c r="C847" s="32"/>
      <c r="D847" s="33"/>
      <c r="E847" s="34"/>
      <c r="F847" s="34"/>
      <c r="G847" s="35"/>
      <c r="H847" s="34"/>
      <c r="I847" s="37"/>
    </row>
    <row r="848" ht="22.5" customHeight="1">
      <c r="A848" s="30"/>
      <c r="B848" s="31"/>
      <c r="C848" s="32"/>
      <c r="D848" s="33"/>
      <c r="E848" s="34"/>
      <c r="F848" s="34"/>
      <c r="G848" s="35"/>
      <c r="H848" s="34"/>
      <c r="I848" s="37"/>
    </row>
    <row r="849" ht="22.5" customHeight="1">
      <c r="A849" s="30"/>
      <c r="B849" s="31"/>
      <c r="C849" s="32"/>
      <c r="D849" s="33"/>
      <c r="E849" s="34"/>
      <c r="F849" s="34"/>
      <c r="G849" s="35"/>
      <c r="H849" s="34"/>
      <c r="I849" s="37"/>
    </row>
    <row r="850" ht="22.5" customHeight="1">
      <c r="A850" s="30"/>
      <c r="B850" s="31"/>
      <c r="C850" s="32"/>
      <c r="D850" s="33"/>
      <c r="E850" s="34"/>
      <c r="F850" s="34"/>
      <c r="G850" s="35"/>
      <c r="H850" s="34"/>
      <c r="I850" s="37"/>
    </row>
    <row r="851" ht="22.5" customHeight="1">
      <c r="A851" s="30"/>
      <c r="B851" s="31"/>
      <c r="C851" s="32"/>
      <c r="D851" s="33"/>
      <c r="E851" s="34"/>
      <c r="F851" s="34"/>
      <c r="G851" s="35"/>
      <c r="H851" s="34"/>
      <c r="I851" s="37"/>
    </row>
    <row r="852" ht="22.5" customHeight="1">
      <c r="A852" s="30"/>
      <c r="B852" s="31"/>
      <c r="C852" s="32"/>
      <c r="D852" s="33"/>
      <c r="E852" s="34"/>
      <c r="F852" s="34"/>
      <c r="G852" s="35"/>
      <c r="H852" s="34"/>
      <c r="I852" s="37"/>
    </row>
    <row r="853" ht="22.5" customHeight="1">
      <c r="A853" s="30"/>
      <c r="B853" s="31"/>
      <c r="C853" s="32"/>
      <c r="D853" s="33"/>
      <c r="E853" s="34"/>
      <c r="F853" s="34"/>
      <c r="G853" s="35"/>
      <c r="H853" s="34"/>
      <c r="I853" s="37"/>
    </row>
    <row r="854" ht="22.5" customHeight="1">
      <c r="A854" s="30"/>
      <c r="B854" s="31"/>
      <c r="C854" s="32"/>
      <c r="D854" s="33"/>
      <c r="E854" s="34"/>
      <c r="F854" s="34"/>
      <c r="G854" s="35"/>
      <c r="H854" s="34"/>
      <c r="I854" s="37"/>
    </row>
    <row r="855" ht="22.5" customHeight="1">
      <c r="A855" s="30"/>
      <c r="B855" s="31"/>
      <c r="C855" s="32"/>
      <c r="D855" s="33"/>
      <c r="E855" s="34"/>
      <c r="F855" s="34"/>
      <c r="G855" s="35"/>
      <c r="H855" s="34"/>
      <c r="I855" s="37"/>
    </row>
    <row r="856" ht="22.5" customHeight="1">
      <c r="A856" s="30"/>
      <c r="B856" s="40"/>
      <c r="C856" s="32"/>
      <c r="D856" s="33"/>
      <c r="E856" s="34"/>
      <c r="F856" s="34"/>
      <c r="G856" s="35"/>
      <c r="H856" s="34"/>
      <c r="I856" s="37"/>
    </row>
    <row r="857" ht="22.5" customHeight="1">
      <c r="A857" s="30"/>
      <c r="B857" s="31"/>
      <c r="C857" s="32"/>
      <c r="D857" s="33"/>
      <c r="E857" s="34"/>
      <c r="F857" s="34"/>
      <c r="G857" s="35"/>
      <c r="H857" s="34"/>
      <c r="I857" s="37"/>
    </row>
    <row r="858" ht="22.5" customHeight="1">
      <c r="A858" s="30"/>
      <c r="B858" s="31"/>
      <c r="C858" s="32"/>
      <c r="D858" s="33"/>
      <c r="E858" s="34"/>
      <c r="F858" s="34"/>
      <c r="G858" s="35"/>
      <c r="H858" s="34"/>
      <c r="I858" s="37"/>
    </row>
    <row r="859" ht="22.5" customHeight="1">
      <c r="A859" s="30"/>
      <c r="B859" s="31"/>
      <c r="C859" s="32"/>
      <c r="D859" s="33"/>
      <c r="E859" s="34"/>
      <c r="F859" s="34"/>
      <c r="G859" s="35"/>
      <c r="H859" s="34"/>
      <c r="I859" s="37"/>
    </row>
    <row r="860" ht="22.5" customHeight="1">
      <c r="A860" s="30"/>
      <c r="B860" s="40"/>
      <c r="C860" s="32"/>
      <c r="D860" s="33"/>
      <c r="E860" s="34"/>
      <c r="F860" s="34"/>
      <c r="G860" s="35"/>
      <c r="H860" s="34"/>
      <c r="I860" s="37"/>
    </row>
    <row r="861" ht="22.5" customHeight="1">
      <c r="A861" s="30"/>
      <c r="B861" s="31"/>
      <c r="C861" s="32"/>
      <c r="D861" s="33"/>
      <c r="E861" s="34"/>
      <c r="F861" s="34"/>
      <c r="G861" s="35"/>
      <c r="H861" s="34"/>
      <c r="I861" s="37"/>
    </row>
    <row r="862" ht="22.5" customHeight="1">
      <c r="A862" s="30"/>
      <c r="B862" s="31"/>
      <c r="C862" s="32"/>
      <c r="D862" s="33"/>
      <c r="E862" s="34"/>
      <c r="F862" s="34"/>
      <c r="G862" s="35"/>
      <c r="H862" s="34"/>
      <c r="I862" s="37"/>
    </row>
    <row r="863" ht="22.5" customHeight="1">
      <c r="A863" s="30"/>
      <c r="B863" s="31"/>
      <c r="C863" s="32"/>
      <c r="D863" s="33"/>
      <c r="E863" s="34"/>
      <c r="F863" s="34"/>
      <c r="G863" s="35"/>
      <c r="H863" s="34"/>
      <c r="I863" s="37"/>
    </row>
    <row r="864" ht="22.5" customHeight="1">
      <c r="A864" s="30"/>
      <c r="B864" s="31"/>
      <c r="C864" s="32"/>
      <c r="D864" s="33"/>
      <c r="E864" s="34"/>
      <c r="F864" s="34"/>
      <c r="G864" s="35"/>
      <c r="H864" s="34"/>
      <c r="I864" s="37"/>
    </row>
    <row r="865" ht="22.5" customHeight="1">
      <c r="A865" s="30"/>
      <c r="B865" s="31"/>
      <c r="C865" s="32"/>
      <c r="D865" s="33"/>
      <c r="E865" s="34"/>
      <c r="F865" s="34"/>
      <c r="G865" s="35"/>
      <c r="H865" s="34"/>
      <c r="I865" s="37"/>
    </row>
    <row r="866" ht="22.5" customHeight="1">
      <c r="A866" s="30"/>
      <c r="B866" s="31"/>
      <c r="C866" s="32"/>
      <c r="D866" s="33"/>
      <c r="E866" s="34"/>
      <c r="F866" s="34"/>
      <c r="G866" s="35"/>
      <c r="H866" s="34"/>
      <c r="I866" s="37"/>
    </row>
    <row r="867" ht="22.5" customHeight="1">
      <c r="A867" s="30"/>
      <c r="B867" s="31"/>
      <c r="C867" s="32"/>
      <c r="D867" s="33"/>
      <c r="E867" s="34"/>
      <c r="F867" s="34"/>
      <c r="G867" s="35"/>
      <c r="H867" s="34"/>
      <c r="I867" s="37"/>
    </row>
    <row r="868" ht="22.5" customHeight="1">
      <c r="A868" s="30"/>
      <c r="B868" s="31"/>
      <c r="C868" s="32"/>
      <c r="D868" s="33"/>
      <c r="E868" s="34"/>
      <c r="F868" s="34"/>
      <c r="G868" s="35"/>
      <c r="H868" s="34"/>
      <c r="I868" s="37"/>
    </row>
    <row r="869" ht="22.5" customHeight="1">
      <c r="A869" s="30"/>
      <c r="B869" s="31"/>
      <c r="C869" s="32"/>
      <c r="D869" s="33"/>
      <c r="E869" s="34"/>
      <c r="F869" s="34"/>
      <c r="G869" s="35"/>
      <c r="H869" s="34"/>
      <c r="I869" s="37"/>
    </row>
    <row r="870" ht="22.5" customHeight="1">
      <c r="A870" s="30"/>
      <c r="B870" s="31"/>
      <c r="C870" s="32"/>
      <c r="D870" s="33"/>
      <c r="E870" s="34"/>
      <c r="F870" s="34"/>
      <c r="G870" s="35"/>
      <c r="H870" s="34"/>
      <c r="I870" s="37"/>
    </row>
    <row r="871" ht="22.5" customHeight="1">
      <c r="A871" s="30"/>
      <c r="B871" s="31"/>
      <c r="C871" s="32"/>
      <c r="D871" s="33"/>
      <c r="E871" s="34"/>
      <c r="F871" s="34"/>
      <c r="G871" s="35"/>
      <c r="H871" s="34"/>
      <c r="I871" s="37"/>
    </row>
    <row r="872" ht="22.5" customHeight="1">
      <c r="A872" s="30"/>
      <c r="B872" s="31"/>
      <c r="C872" s="32"/>
      <c r="D872" s="33"/>
      <c r="E872" s="34"/>
      <c r="F872" s="34"/>
      <c r="G872" s="35"/>
      <c r="H872" s="34"/>
      <c r="I872" s="37"/>
    </row>
    <row r="873" ht="22.5" customHeight="1">
      <c r="A873" s="30"/>
      <c r="B873" s="31"/>
      <c r="C873" s="32"/>
      <c r="D873" s="33"/>
      <c r="E873" s="34"/>
      <c r="F873" s="34"/>
      <c r="G873" s="35"/>
      <c r="H873" s="34"/>
      <c r="I873" s="37"/>
    </row>
    <row r="874" ht="22.5" customHeight="1">
      <c r="A874" s="30"/>
      <c r="B874" s="31"/>
      <c r="C874" s="32"/>
      <c r="D874" s="33"/>
      <c r="E874" s="34"/>
      <c r="F874" s="34"/>
      <c r="G874" s="35"/>
      <c r="H874" s="34"/>
      <c r="I874" s="37"/>
    </row>
    <row r="875" ht="22.5" customHeight="1">
      <c r="A875" s="30"/>
      <c r="B875" s="40"/>
      <c r="C875" s="32"/>
      <c r="D875" s="33"/>
      <c r="E875" s="34"/>
      <c r="F875" s="34"/>
      <c r="G875" s="35"/>
      <c r="H875" s="34"/>
      <c r="I875" s="37"/>
    </row>
    <row r="876" ht="22.5" customHeight="1">
      <c r="A876" s="30"/>
      <c r="B876" s="31"/>
      <c r="C876" s="32"/>
      <c r="D876" s="33"/>
      <c r="E876" s="34"/>
      <c r="F876" s="34"/>
      <c r="G876" s="35"/>
      <c r="H876" s="34"/>
      <c r="I876" s="37"/>
    </row>
    <row r="877" ht="22.5" customHeight="1">
      <c r="A877" s="30"/>
      <c r="B877" s="40"/>
      <c r="C877" s="32"/>
      <c r="D877" s="33"/>
      <c r="E877" s="34"/>
      <c r="F877" s="34"/>
      <c r="G877" s="35"/>
      <c r="H877" s="34"/>
      <c r="I877" s="37"/>
    </row>
    <row r="878" ht="22.5" customHeight="1">
      <c r="A878" s="30"/>
      <c r="B878" s="31"/>
      <c r="C878" s="32"/>
      <c r="D878" s="33"/>
      <c r="E878" s="34"/>
      <c r="F878" s="34"/>
      <c r="G878" s="35"/>
      <c r="H878" s="34"/>
      <c r="I878" s="37"/>
    </row>
    <row r="879" ht="22.5" customHeight="1">
      <c r="A879" s="30"/>
      <c r="B879" s="31"/>
      <c r="C879" s="32"/>
      <c r="D879" s="33"/>
      <c r="E879" s="34"/>
      <c r="F879" s="34"/>
      <c r="G879" s="35"/>
      <c r="H879" s="34"/>
      <c r="I879" s="37"/>
    </row>
    <row r="880" ht="22.5" customHeight="1">
      <c r="A880" s="30"/>
      <c r="B880" s="31"/>
      <c r="C880" s="32"/>
      <c r="D880" s="33"/>
      <c r="E880" s="34"/>
      <c r="F880" s="34"/>
      <c r="G880" s="35"/>
      <c r="H880" s="34"/>
      <c r="I880" s="37"/>
    </row>
    <row r="881" ht="22.5" customHeight="1">
      <c r="A881" s="30"/>
      <c r="B881" s="31"/>
      <c r="C881" s="32"/>
      <c r="D881" s="33"/>
      <c r="E881" s="34"/>
      <c r="F881" s="34"/>
      <c r="G881" s="35"/>
      <c r="H881" s="34"/>
      <c r="I881" s="37"/>
    </row>
    <row r="882" ht="22.5" customHeight="1">
      <c r="A882" s="30"/>
      <c r="B882" s="40"/>
      <c r="C882" s="32"/>
      <c r="D882" s="33"/>
      <c r="E882" s="34"/>
      <c r="F882" s="34"/>
      <c r="G882" s="35"/>
      <c r="H882" s="34"/>
      <c r="I882" s="37"/>
    </row>
    <row r="883" ht="22.5" customHeight="1">
      <c r="A883" s="30"/>
      <c r="B883" s="31"/>
      <c r="C883" s="32"/>
      <c r="D883" s="33"/>
      <c r="E883" s="34"/>
      <c r="F883" s="34"/>
      <c r="G883" s="35"/>
      <c r="H883" s="34"/>
      <c r="I883" s="37"/>
    </row>
    <row r="884" ht="22.5" customHeight="1">
      <c r="A884" s="30"/>
      <c r="B884" s="31"/>
      <c r="C884" s="32"/>
      <c r="D884" s="33"/>
      <c r="E884" s="34"/>
      <c r="F884" s="34"/>
      <c r="G884" s="35"/>
      <c r="H884" s="34"/>
      <c r="I884" s="37"/>
    </row>
    <row r="885" ht="22.5" customHeight="1">
      <c r="A885" s="30"/>
      <c r="B885" s="31"/>
      <c r="C885" s="32"/>
      <c r="D885" s="33"/>
      <c r="E885" s="34"/>
      <c r="F885" s="34"/>
      <c r="G885" s="35"/>
      <c r="H885" s="34"/>
      <c r="I885" s="37"/>
    </row>
    <row r="886" ht="22.5" customHeight="1">
      <c r="A886" s="30"/>
      <c r="B886" s="31"/>
      <c r="C886" s="32"/>
      <c r="D886" s="33"/>
      <c r="E886" s="34"/>
      <c r="F886" s="34"/>
      <c r="G886" s="35"/>
      <c r="H886" s="34"/>
      <c r="I886" s="37"/>
    </row>
    <row r="887" ht="22.5" customHeight="1">
      <c r="A887" s="30"/>
      <c r="B887" s="31"/>
      <c r="C887" s="32"/>
      <c r="D887" s="33"/>
      <c r="E887" s="34"/>
      <c r="F887" s="34"/>
      <c r="G887" s="35"/>
      <c r="H887" s="34"/>
      <c r="I887" s="37"/>
    </row>
    <row r="888" ht="22.5" customHeight="1">
      <c r="A888" s="30"/>
      <c r="B888" s="31"/>
      <c r="C888" s="32"/>
      <c r="D888" s="33"/>
      <c r="E888" s="34"/>
      <c r="F888" s="34"/>
      <c r="G888" s="35"/>
      <c r="H888" s="34"/>
      <c r="I888" s="37"/>
    </row>
    <row r="889" ht="22.5" customHeight="1">
      <c r="A889" s="30"/>
      <c r="B889" s="31"/>
      <c r="C889" s="32"/>
      <c r="D889" s="33"/>
      <c r="E889" s="34"/>
      <c r="F889" s="34"/>
      <c r="G889" s="35"/>
      <c r="H889" s="34"/>
      <c r="I889" s="37"/>
    </row>
    <row r="890" ht="22.5" customHeight="1">
      <c r="A890" s="30"/>
      <c r="B890" s="31"/>
      <c r="C890" s="32"/>
      <c r="D890" s="33"/>
      <c r="E890" s="34"/>
      <c r="F890" s="34"/>
      <c r="G890" s="35"/>
      <c r="H890" s="34"/>
      <c r="I890" s="37"/>
    </row>
    <row r="891" ht="22.5" customHeight="1">
      <c r="A891" s="30"/>
      <c r="B891" s="31"/>
      <c r="C891" s="32"/>
      <c r="D891" s="33"/>
      <c r="E891" s="34"/>
      <c r="F891" s="34"/>
      <c r="G891" s="35"/>
      <c r="H891" s="34"/>
      <c r="I891" s="37"/>
    </row>
    <row r="892" ht="22.5" customHeight="1">
      <c r="A892" s="30"/>
      <c r="B892" s="31"/>
      <c r="C892" s="32"/>
      <c r="D892" s="33"/>
      <c r="E892" s="34"/>
      <c r="F892" s="34"/>
      <c r="G892" s="35"/>
      <c r="H892" s="34"/>
      <c r="I892" s="37"/>
    </row>
    <row r="893" ht="22.5" customHeight="1">
      <c r="A893" s="30"/>
      <c r="B893" s="31"/>
      <c r="C893" s="32"/>
      <c r="D893" s="33"/>
      <c r="E893" s="34"/>
      <c r="F893" s="34"/>
      <c r="G893" s="35"/>
      <c r="H893" s="34"/>
      <c r="I893" s="37"/>
    </row>
    <row r="894" ht="22.5" customHeight="1">
      <c r="A894" s="30"/>
      <c r="B894" s="31"/>
      <c r="C894" s="32"/>
      <c r="D894" s="33"/>
      <c r="E894" s="34"/>
      <c r="F894" s="34"/>
      <c r="G894" s="35"/>
      <c r="H894" s="34"/>
      <c r="I894" s="37"/>
    </row>
    <row r="895" ht="22.5" customHeight="1">
      <c r="A895" s="30"/>
      <c r="B895" s="31"/>
      <c r="C895" s="32"/>
      <c r="D895" s="33"/>
      <c r="E895" s="34"/>
      <c r="F895" s="34"/>
      <c r="G895" s="35"/>
      <c r="H895" s="34"/>
      <c r="I895" s="37"/>
    </row>
    <row r="896" ht="22.5" customHeight="1">
      <c r="A896" s="30"/>
      <c r="B896" s="31"/>
      <c r="C896" s="32"/>
      <c r="D896" s="33"/>
      <c r="E896" s="34"/>
      <c r="F896" s="34"/>
      <c r="G896" s="35"/>
      <c r="H896" s="34"/>
      <c r="I896" s="37"/>
    </row>
    <row r="897" ht="22.5" customHeight="1">
      <c r="A897" s="30"/>
      <c r="B897" s="31"/>
      <c r="C897" s="32"/>
      <c r="D897" s="33"/>
      <c r="E897" s="34"/>
      <c r="F897" s="34"/>
      <c r="G897" s="35"/>
      <c r="H897" s="34"/>
      <c r="I897" s="37"/>
    </row>
    <row r="898" ht="22.5" customHeight="1">
      <c r="A898" s="30"/>
      <c r="B898" s="31"/>
      <c r="C898" s="32"/>
      <c r="D898" s="33"/>
      <c r="E898" s="34"/>
      <c r="F898" s="34"/>
      <c r="G898" s="35"/>
      <c r="H898" s="34"/>
      <c r="I898" s="37"/>
    </row>
    <row r="899" ht="22.5" customHeight="1">
      <c r="A899" s="30"/>
      <c r="B899" s="31"/>
      <c r="C899" s="32"/>
      <c r="D899" s="33"/>
      <c r="E899" s="34"/>
      <c r="F899" s="34"/>
      <c r="G899" s="35"/>
      <c r="H899" s="34"/>
      <c r="I899" s="37"/>
    </row>
    <row r="900" ht="22.5" customHeight="1">
      <c r="A900" s="30"/>
      <c r="B900" s="31"/>
      <c r="C900" s="32"/>
      <c r="D900" s="33"/>
      <c r="E900" s="34"/>
      <c r="F900" s="34"/>
      <c r="G900" s="35"/>
      <c r="H900" s="34"/>
      <c r="I900" s="37"/>
    </row>
    <row r="901" ht="22.5" customHeight="1">
      <c r="A901" s="30"/>
      <c r="B901" s="31"/>
      <c r="C901" s="32"/>
      <c r="D901" s="33"/>
      <c r="E901" s="34"/>
      <c r="F901" s="34"/>
      <c r="G901" s="35"/>
      <c r="H901" s="34"/>
      <c r="I901" s="37"/>
    </row>
    <row r="902" ht="22.5" customHeight="1">
      <c r="A902" s="30"/>
      <c r="B902" s="31"/>
      <c r="C902" s="32"/>
      <c r="D902" s="33"/>
      <c r="E902" s="34"/>
      <c r="F902" s="34"/>
      <c r="G902" s="35"/>
      <c r="H902" s="34"/>
      <c r="I902" s="37"/>
    </row>
    <row r="903" ht="22.5" customHeight="1">
      <c r="A903" s="30"/>
      <c r="B903" s="31"/>
      <c r="C903" s="32"/>
      <c r="D903" s="33"/>
      <c r="E903" s="34"/>
      <c r="F903" s="34"/>
      <c r="G903" s="35"/>
      <c r="H903" s="34"/>
      <c r="I903" s="37"/>
    </row>
    <row r="904" ht="22.5" customHeight="1">
      <c r="A904" s="30"/>
      <c r="B904" s="40"/>
      <c r="C904" s="32"/>
      <c r="D904" s="33"/>
      <c r="E904" s="34"/>
      <c r="F904" s="34"/>
      <c r="G904" s="35"/>
      <c r="H904" s="34"/>
      <c r="I904" s="37"/>
    </row>
    <row r="905" ht="22.5" customHeight="1">
      <c r="A905" s="30"/>
      <c r="B905" s="31"/>
      <c r="C905" s="32"/>
      <c r="D905" s="33"/>
      <c r="E905" s="34"/>
      <c r="F905" s="34"/>
      <c r="G905" s="35"/>
      <c r="H905" s="34"/>
      <c r="I905" s="37"/>
    </row>
    <row r="906" ht="22.5" customHeight="1">
      <c r="A906" s="30"/>
      <c r="B906" s="31"/>
      <c r="C906" s="32"/>
      <c r="D906" s="33"/>
      <c r="E906" s="34"/>
      <c r="F906" s="34"/>
      <c r="G906" s="35"/>
      <c r="H906" s="34"/>
      <c r="I906" s="37"/>
    </row>
    <row r="907" ht="22.5" customHeight="1">
      <c r="A907" s="30"/>
      <c r="B907" s="31"/>
      <c r="C907" s="32"/>
      <c r="D907" s="33"/>
      <c r="E907" s="34"/>
      <c r="F907" s="34"/>
      <c r="G907" s="35"/>
      <c r="H907" s="34"/>
      <c r="I907" s="37"/>
    </row>
    <row r="908" ht="22.5" customHeight="1">
      <c r="A908" s="30"/>
      <c r="B908" s="31"/>
      <c r="C908" s="32"/>
      <c r="D908" s="33"/>
      <c r="E908" s="34"/>
      <c r="F908" s="34"/>
      <c r="G908" s="35"/>
      <c r="H908" s="34"/>
      <c r="I908" s="38"/>
    </row>
    <row r="909" ht="22.5" customHeight="1">
      <c r="A909" s="30"/>
      <c r="B909" s="39"/>
      <c r="C909" s="32"/>
      <c r="D909" s="33"/>
      <c r="E909" s="34"/>
      <c r="F909" s="34"/>
      <c r="G909" s="35"/>
      <c r="H909" s="34"/>
      <c r="I909" s="37"/>
    </row>
    <row r="910" ht="22.5" customHeight="1">
      <c r="A910" s="30"/>
      <c r="B910" s="31"/>
      <c r="C910" s="32"/>
      <c r="D910" s="33"/>
      <c r="E910" s="34"/>
      <c r="F910" s="34"/>
      <c r="G910" s="35"/>
      <c r="H910" s="34"/>
      <c r="I910" s="37"/>
    </row>
    <row r="911" ht="22.5" customHeight="1">
      <c r="A911" s="30"/>
      <c r="B911" s="31"/>
      <c r="C911" s="32"/>
      <c r="D911" s="33"/>
      <c r="E911" s="34"/>
      <c r="F911" s="34"/>
      <c r="G911" s="35"/>
      <c r="H911" s="34"/>
      <c r="I911" s="37"/>
    </row>
    <row r="912" ht="22.5" customHeight="1">
      <c r="A912" s="30"/>
      <c r="B912" s="31"/>
      <c r="C912" s="32"/>
      <c r="D912" s="33"/>
      <c r="E912" s="34"/>
      <c r="F912" s="34"/>
      <c r="G912" s="35"/>
      <c r="H912" s="34"/>
      <c r="I912" s="37"/>
    </row>
    <row r="913" ht="22.5" customHeight="1">
      <c r="A913" s="30"/>
      <c r="B913" s="39"/>
      <c r="C913" s="32"/>
      <c r="D913" s="33"/>
      <c r="E913" s="34"/>
      <c r="F913" s="34"/>
      <c r="G913" s="35"/>
      <c r="H913" s="34"/>
      <c r="I913" s="37"/>
    </row>
    <row r="914" ht="22.5" customHeight="1">
      <c r="A914" s="30"/>
      <c r="B914" s="31"/>
      <c r="C914" s="32"/>
      <c r="D914" s="33"/>
      <c r="E914" s="34"/>
      <c r="F914" s="34"/>
      <c r="G914" s="35"/>
      <c r="H914" s="34"/>
      <c r="I914" s="37"/>
    </row>
    <row r="915" ht="22.5" customHeight="1">
      <c r="A915" s="30"/>
      <c r="B915" s="39"/>
      <c r="C915" s="32"/>
      <c r="D915" s="33"/>
      <c r="E915" s="34"/>
      <c r="F915" s="34"/>
      <c r="G915" s="35"/>
      <c r="H915" s="34"/>
      <c r="I915" s="37"/>
    </row>
    <row r="916" ht="22.5" customHeight="1">
      <c r="A916" s="30"/>
      <c r="B916" s="31"/>
      <c r="C916" s="32"/>
      <c r="D916" s="33"/>
      <c r="E916" s="34"/>
      <c r="F916" s="34"/>
      <c r="G916" s="35"/>
      <c r="H916" s="34"/>
      <c r="I916" s="37"/>
    </row>
    <row r="917" ht="22.5" customHeight="1">
      <c r="A917" s="30"/>
      <c r="B917" s="31"/>
      <c r="C917" s="32"/>
      <c r="D917" s="33"/>
      <c r="E917" s="34"/>
      <c r="F917" s="34"/>
      <c r="G917" s="35"/>
      <c r="H917" s="34"/>
      <c r="I917" s="37"/>
    </row>
    <row r="918" ht="22.5" customHeight="1">
      <c r="A918" s="30"/>
      <c r="B918" s="31"/>
      <c r="C918" s="32"/>
      <c r="D918" s="33"/>
      <c r="E918" s="34"/>
      <c r="F918" s="34"/>
      <c r="G918" s="35"/>
      <c r="H918" s="34"/>
      <c r="I918" s="37"/>
    </row>
    <row r="919" ht="22.5" customHeight="1">
      <c r="A919" s="30"/>
      <c r="B919" s="31"/>
      <c r="C919" s="32"/>
      <c r="D919" s="33"/>
      <c r="E919" s="34"/>
      <c r="F919" s="34"/>
      <c r="G919" s="35"/>
      <c r="H919" s="34"/>
      <c r="I919" s="37"/>
    </row>
    <row r="920" ht="22.5" customHeight="1">
      <c r="A920" s="30"/>
      <c r="B920" s="31"/>
      <c r="C920" s="32"/>
      <c r="D920" s="33"/>
      <c r="E920" s="34"/>
      <c r="F920" s="34"/>
      <c r="G920" s="35"/>
      <c r="H920" s="34"/>
      <c r="I920" s="37"/>
    </row>
    <row r="921" ht="22.5" customHeight="1">
      <c r="A921" s="30"/>
      <c r="B921" s="31"/>
      <c r="C921" s="32"/>
      <c r="D921" s="33"/>
      <c r="E921" s="34"/>
      <c r="F921" s="34"/>
      <c r="G921" s="35"/>
      <c r="H921" s="34"/>
      <c r="I921" s="37"/>
    </row>
    <row r="922" ht="22.5" customHeight="1">
      <c r="A922" s="30"/>
      <c r="B922" s="31"/>
      <c r="C922" s="32"/>
      <c r="D922" s="33"/>
      <c r="E922" s="34"/>
      <c r="F922" s="34"/>
      <c r="G922" s="35"/>
      <c r="H922" s="34"/>
      <c r="I922" s="37"/>
    </row>
    <row r="923" ht="22.5" customHeight="1">
      <c r="A923" s="30"/>
      <c r="B923" s="31"/>
      <c r="C923" s="32"/>
      <c r="D923" s="33"/>
      <c r="E923" s="34"/>
      <c r="F923" s="34"/>
      <c r="G923" s="35"/>
      <c r="H923" s="34"/>
      <c r="I923" s="37"/>
    </row>
    <row r="924" ht="22.5" customHeight="1">
      <c r="A924" s="30"/>
      <c r="B924" s="31"/>
      <c r="C924" s="32"/>
      <c r="D924" s="33"/>
      <c r="E924" s="34"/>
      <c r="F924" s="34"/>
      <c r="G924" s="35"/>
      <c r="H924" s="34"/>
      <c r="I924" s="37"/>
    </row>
    <row r="925" ht="22.5" customHeight="1">
      <c r="A925" s="30"/>
      <c r="B925" s="31"/>
      <c r="C925" s="32"/>
      <c r="D925" s="33"/>
      <c r="E925" s="34"/>
      <c r="F925" s="34"/>
      <c r="G925" s="35"/>
      <c r="H925" s="34"/>
      <c r="I925" s="37"/>
    </row>
    <row r="926" ht="22.5" customHeight="1">
      <c r="A926" s="30"/>
      <c r="B926" s="40"/>
      <c r="C926" s="32"/>
      <c r="D926" s="33"/>
      <c r="E926" s="34"/>
      <c r="F926" s="34"/>
      <c r="G926" s="35"/>
      <c r="H926" s="34"/>
      <c r="I926" s="37"/>
    </row>
    <row r="927" ht="22.5" customHeight="1">
      <c r="A927" s="30"/>
      <c r="B927" s="31"/>
      <c r="C927" s="32"/>
      <c r="D927" s="33"/>
      <c r="E927" s="34"/>
      <c r="F927" s="34"/>
      <c r="G927" s="35"/>
      <c r="H927" s="34"/>
      <c r="I927" s="37"/>
    </row>
    <row r="928" ht="22.5" customHeight="1">
      <c r="A928" s="30"/>
      <c r="B928" s="31"/>
      <c r="C928" s="32"/>
      <c r="D928" s="33"/>
      <c r="E928" s="34"/>
      <c r="F928" s="34"/>
      <c r="G928" s="35"/>
      <c r="H928" s="34"/>
      <c r="I928" s="37"/>
    </row>
    <row r="929" ht="22.5" customHeight="1">
      <c r="A929" s="30"/>
      <c r="B929" s="31"/>
      <c r="C929" s="32"/>
      <c r="D929" s="33"/>
      <c r="E929" s="34"/>
      <c r="F929" s="34"/>
      <c r="G929" s="35"/>
      <c r="H929" s="34"/>
      <c r="I929" s="37"/>
    </row>
    <row r="930" ht="22.5" customHeight="1">
      <c r="A930" s="30"/>
      <c r="B930" s="31"/>
      <c r="C930" s="32"/>
      <c r="D930" s="33"/>
      <c r="E930" s="34"/>
      <c r="F930" s="34"/>
      <c r="G930" s="35"/>
      <c r="H930" s="34"/>
      <c r="I930" s="37"/>
    </row>
    <row r="931" ht="22.5" customHeight="1">
      <c r="A931" s="30"/>
      <c r="B931" s="31"/>
      <c r="C931" s="32"/>
      <c r="D931" s="33"/>
      <c r="E931" s="34"/>
      <c r="F931" s="34"/>
      <c r="G931" s="35"/>
      <c r="H931" s="34"/>
      <c r="I931" s="37"/>
    </row>
    <row r="932" ht="22.5" customHeight="1">
      <c r="A932" s="30"/>
      <c r="B932" s="31"/>
      <c r="C932" s="32"/>
      <c r="D932" s="33"/>
      <c r="E932" s="34"/>
      <c r="F932" s="34"/>
      <c r="G932" s="35"/>
      <c r="H932" s="34"/>
      <c r="I932" s="37"/>
    </row>
    <row r="933" ht="22.5" customHeight="1">
      <c r="A933" s="30"/>
      <c r="B933" s="39"/>
      <c r="C933" s="32"/>
      <c r="D933" s="33"/>
      <c r="E933" s="34"/>
      <c r="F933" s="34"/>
      <c r="G933" s="35"/>
      <c r="H933" s="34"/>
      <c r="I933" s="37"/>
    </row>
    <row r="934" ht="22.5" customHeight="1">
      <c r="A934" s="30"/>
      <c r="B934" s="39"/>
      <c r="C934" s="32"/>
      <c r="D934" s="33"/>
      <c r="E934" s="34"/>
      <c r="F934" s="34"/>
      <c r="G934" s="35"/>
      <c r="H934" s="34"/>
      <c r="I934" s="37"/>
    </row>
    <row r="935" ht="22.5" customHeight="1">
      <c r="A935" s="30"/>
      <c r="B935" s="39"/>
      <c r="C935" s="32"/>
      <c r="D935" s="33"/>
      <c r="E935" s="34"/>
      <c r="F935" s="34"/>
      <c r="G935" s="35"/>
      <c r="H935" s="34"/>
      <c r="I935" s="37"/>
    </row>
    <row r="936" ht="22.5" customHeight="1">
      <c r="A936" s="30"/>
      <c r="B936" s="40"/>
      <c r="C936" s="32"/>
      <c r="D936" s="33"/>
      <c r="E936" s="34"/>
      <c r="F936" s="34"/>
      <c r="G936" s="35"/>
      <c r="H936" s="34"/>
      <c r="I936" s="37"/>
    </row>
    <row r="937" ht="22.5" customHeight="1">
      <c r="A937" s="30"/>
      <c r="B937" s="31"/>
      <c r="C937" s="32"/>
      <c r="D937" s="33"/>
      <c r="E937" s="34"/>
      <c r="F937" s="34"/>
      <c r="G937" s="35"/>
      <c r="H937" s="34"/>
      <c r="I937" s="37"/>
    </row>
    <row r="938" ht="22.5" customHeight="1">
      <c r="A938" s="30"/>
      <c r="B938" s="31"/>
      <c r="C938" s="32"/>
      <c r="D938" s="33"/>
      <c r="E938" s="34"/>
      <c r="F938" s="34"/>
      <c r="G938" s="35"/>
      <c r="H938" s="34"/>
      <c r="I938" s="37"/>
    </row>
    <row r="939" ht="22.5" customHeight="1">
      <c r="A939" s="30"/>
      <c r="B939" s="31"/>
      <c r="C939" s="32"/>
      <c r="D939" s="33"/>
      <c r="E939" s="34"/>
      <c r="F939" s="34"/>
      <c r="G939" s="35"/>
      <c r="H939" s="34"/>
      <c r="I939" s="37"/>
    </row>
    <row r="940" ht="22.5" customHeight="1">
      <c r="A940" s="30"/>
      <c r="B940" s="31"/>
      <c r="C940" s="32"/>
      <c r="D940" s="33"/>
      <c r="E940" s="34"/>
      <c r="F940" s="34"/>
      <c r="G940" s="35"/>
      <c r="H940" s="34"/>
      <c r="I940" s="37"/>
    </row>
    <row r="941" ht="22.5" customHeight="1">
      <c r="A941" s="30"/>
      <c r="B941" s="31"/>
      <c r="C941" s="32"/>
      <c r="D941" s="33"/>
      <c r="E941" s="34"/>
      <c r="F941" s="34"/>
      <c r="G941" s="35"/>
      <c r="H941" s="34"/>
      <c r="I941" s="37"/>
    </row>
    <row r="942" ht="22.5" customHeight="1">
      <c r="A942" s="30"/>
      <c r="B942" s="31"/>
      <c r="C942" s="32"/>
      <c r="D942" s="33"/>
      <c r="E942" s="34"/>
      <c r="F942" s="34"/>
      <c r="G942" s="35"/>
      <c r="H942" s="34"/>
      <c r="I942" s="37"/>
    </row>
    <row r="943" ht="22.5" customHeight="1">
      <c r="A943" s="30"/>
      <c r="B943" s="31"/>
      <c r="C943" s="32"/>
      <c r="D943" s="33"/>
      <c r="E943" s="34"/>
      <c r="F943" s="34"/>
      <c r="G943" s="35"/>
      <c r="H943" s="34"/>
      <c r="I943" s="37"/>
    </row>
    <row r="944" ht="22.5" customHeight="1">
      <c r="A944" s="30"/>
      <c r="B944" s="31"/>
      <c r="C944" s="32"/>
      <c r="D944" s="33"/>
      <c r="E944" s="34"/>
      <c r="F944" s="34"/>
      <c r="G944" s="35"/>
      <c r="H944" s="34"/>
      <c r="I944" s="37"/>
    </row>
    <row r="945" ht="22.5" customHeight="1">
      <c r="A945" s="30"/>
      <c r="B945" s="31"/>
      <c r="C945" s="32"/>
      <c r="D945" s="33"/>
      <c r="E945" s="34"/>
      <c r="F945" s="34"/>
      <c r="G945" s="35"/>
      <c r="H945" s="34"/>
      <c r="I945" s="37"/>
    </row>
    <row r="946" ht="22.5" customHeight="1">
      <c r="A946" s="30"/>
      <c r="B946" s="40"/>
      <c r="C946" s="32"/>
      <c r="D946" s="33"/>
      <c r="E946" s="34"/>
      <c r="F946" s="34"/>
      <c r="G946" s="35"/>
      <c r="H946" s="34"/>
      <c r="I946" s="37"/>
    </row>
    <row r="947" ht="22.5" customHeight="1">
      <c r="A947" s="30"/>
      <c r="B947" s="31"/>
      <c r="C947" s="32"/>
      <c r="D947" s="33"/>
      <c r="E947" s="34"/>
      <c r="F947" s="34"/>
      <c r="G947" s="35"/>
      <c r="H947" s="34"/>
      <c r="I947" s="37"/>
    </row>
    <row r="948" ht="22.5" customHeight="1">
      <c r="A948" s="30"/>
      <c r="B948" s="31"/>
      <c r="C948" s="32"/>
      <c r="D948" s="33"/>
      <c r="E948" s="34"/>
      <c r="F948" s="34"/>
      <c r="G948" s="35"/>
      <c r="H948" s="34"/>
      <c r="I948" s="37"/>
    </row>
    <row r="949" ht="22.5" customHeight="1">
      <c r="A949" s="30"/>
      <c r="B949" s="31"/>
      <c r="C949" s="32"/>
      <c r="D949" s="33"/>
      <c r="E949" s="34"/>
      <c r="F949" s="34"/>
      <c r="G949" s="35"/>
      <c r="H949" s="34"/>
      <c r="I949" s="37"/>
    </row>
    <row r="950" ht="22.5" customHeight="1">
      <c r="A950" s="30"/>
      <c r="B950" s="40"/>
      <c r="C950" s="32"/>
      <c r="D950" s="33"/>
      <c r="E950" s="34"/>
      <c r="F950" s="34"/>
      <c r="G950" s="35"/>
      <c r="H950" s="34"/>
      <c r="I950" s="37"/>
    </row>
    <row r="951" ht="22.5" customHeight="1">
      <c r="A951" s="30"/>
      <c r="B951" s="31"/>
      <c r="C951" s="32"/>
      <c r="D951" s="33"/>
      <c r="E951" s="34"/>
      <c r="F951" s="34"/>
      <c r="G951" s="35"/>
      <c r="H951" s="34"/>
      <c r="I951" s="37"/>
    </row>
    <row r="952" ht="22.5" customHeight="1">
      <c r="A952" s="30"/>
      <c r="B952" s="31"/>
      <c r="C952" s="32"/>
      <c r="D952" s="33"/>
      <c r="E952" s="34"/>
      <c r="F952" s="34"/>
      <c r="G952" s="35"/>
      <c r="H952" s="34"/>
      <c r="I952" s="37"/>
    </row>
    <row r="953" ht="22.5" customHeight="1">
      <c r="A953" s="30"/>
      <c r="B953" s="31"/>
      <c r="C953" s="32"/>
      <c r="D953" s="33"/>
      <c r="E953" s="34"/>
      <c r="F953" s="34"/>
      <c r="G953" s="35"/>
      <c r="H953" s="34"/>
      <c r="I953" s="37"/>
    </row>
    <row r="954" ht="22.5" customHeight="1">
      <c r="A954" s="30"/>
      <c r="B954" s="31"/>
      <c r="C954" s="32"/>
      <c r="D954" s="33"/>
      <c r="E954" s="34"/>
      <c r="F954" s="34"/>
      <c r="G954" s="35"/>
      <c r="H954" s="34"/>
      <c r="I954" s="37"/>
    </row>
    <row r="955" ht="22.5" customHeight="1">
      <c r="A955" s="30"/>
      <c r="B955" s="31"/>
      <c r="C955" s="32"/>
      <c r="D955" s="33"/>
      <c r="E955" s="34"/>
      <c r="F955" s="34"/>
      <c r="G955" s="35"/>
      <c r="H955" s="34"/>
      <c r="I955" s="37"/>
    </row>
    <row r="956" ht="22.5" customHeight="1">
      <c r="A956" s="30"/>
      <c r="B956" s="31"/>
      <c r="C956" s="32"/>
      <c r="D956" s="33"/>
      <c r="E956" s="34"/>
      <c r="F956" s="34"/>
      <c r="G956" s="35"/>
      <c r="H956" s="34"/>
      <c r="I956" s="37"/>
    </row>
    <row r="957" ht="22.5" customHeight="1">
      <c r="A957" s="30"/>
      <c r="B957" s="31"/>
      <c r="C957" s="32"/>
      <c r="D957" s="33"/>
      <c r="E957" s="34"/>
      <c r="F957" s="34"/>
      <c r="G957" s="35"/>
      <c r="H957" s="34"/>
      <c r="I957" s="37"/>
    </row>
    <row r="958" ht="22.5" customHeight="1">
      <c r="A958" s="30"/>
      <c r="B958" s="31"/>
      <c r="C958" s="32"/>
      <c r="D958" s="33"/>
      <c r="E958" s="34"/>
      <c r="F958" s="34"/>
      <c r="G958" s="35"/>
      <c r="H958" s="34"/>
      <c r="I958" s="37"/>
    </row>
    <row r="959" ht="22.5" customHeight="1">
      <c r="A959" s="30"/>
      <c r="B959" s="31"/>
      <c r="C959" s="32"/>
      <c r="D959" s="33"/>
      <c r="E959" s="34"/>
      <c r="F959" s="34"/>
      <c r="G959" s="35"/>
      <c r="H959" s="34"/>
      <c r="I959" s="37"/>
    </row>
    <row r="960" ht="22.5" customHeight="1">
      <c r="A960" s="30"/>
      <c r="B960" s="31"/>
      <c r="C960" s="32"/>
      <c r="D960" s="33"/>
      <c r="E960" s="34"/>
      <c r="F960" s="34"/>
      <c r="G960" s="35"/>
      <c r="H960" s="34"/>
      <c r="I960" s="37"/>
    </row>
    <row r="961" ht="22.5" customHeight="1">
      <c r="A961" s="30"/>
      <c r="B961" s="31"/>
      <c r="C961" s="32"/>
      <c r="D961" s="33"/>
      <c r="E961" s="34"/>
      <c r="F961" s="34"/>
      <c r="G961" s="35"/>
      <c r="H961" s="34"/>
      <c r="I961" s="37"/>
    </row>
    <row r="962" ht="22.5" customHeight="1">
      <c r="A962" s="30"/>
      <c r="B962" s="31"/>
      <c r="C962" s="32"/>
      <c r="D962" s="33"/>
      <c r="E962" s="34"/>
      <c r="F962" s="34"/>
      <c r="G962" s="35"/>
      <c r="H962" s="34"/>
      <c r="I962" s="37"/>
    </row>
    <row r="963" ht="22.5" customHeight="1">
      <c r="A963" s="30"/>
      <c r="B963" s="31"/>
      <c r="C963" s="32"/>
      <c r="D963" s="33"/>
      <c r="E963" s="34"/>
      <c r="F963" s="34"/>
      <c r="G963" s="35"/>
      <c r="H963" s="34"/>
      <c r="I963" s="37"/>
    </row>
    <row r="964" ht="22.5" customHeight="1">
      <c r="A964" s="30"/>
      <c r="B964" s="31"/>
      <c r="C964" s="32"/>
      <c r="D964" s="33"/>
      <c r="E964" s="34"/>
      <c r="F964" s="34"/>
      <c r="G964" s="35"/>
      <c r="H964" s="34"/>
      <c r="I964" s="37"/>
    </row>
    <row r="965" ht="22.5" customHeight="1">
      <c r="A965" s="30"/>
      <c r="B965" s="40"/>
      <c r="C965" s="32"/>
      <c r="D965" s="33"/>
      <c r="E965" s="34"/>
      <c r="F965" s="34"/>
      <c r="G965" s="35"/>
      <c r="H965" s="34"/>
      <c r="I965" s="37"/>
    </row>
    <row r="966" ht="22.5" customHeight="1">
      <c r="A966" s="30"/>
      <c r="B966" s="31"/>
      <c r="C966" s="32"/>
      <c r="D966" s="33"/>
      <c r="E966" s="34"/>
      <c r="F966" s="34"/>
      <c r="G966" s="35"/>
      <c r="H966" s="34"/>
      <c r="I966" s="37"/>
    </row>
    <row r="967" ht="22.5" customHeight="1">
      <c r="A967" s="30"/>
      <c r="B967" s="40"/>
      <c r="C967" s="32"/>
      <c r="D967" s="33"/>
      <c r="E967" s="34"/>
      <c r="F967" s="34"/>
      <c r="G967" s="35"/>
      <c r="H967" s="34"/>
      <c r="I967" s="37"/>
    </row>
    <row r="968" ht="22.5" customHeight="1">
      <c r="A968" s="30"/>
      <c r="B968" s="31"/>
      <c r="C968" s="32"/>
      <c r="D968" s="33"/>
      <c r="E968" s="34"/>
      <c r="F968" s="34"/>
      <c r="G968" s="35"/>
      <c r="H968" s="34"/>
      <c r="I968" s="37"/>
    </row>
    <row r="969" ht="22.5" customHeight="1">
      <c r="A969" s="30"/>
      <c r="B969" s="31"/>
      <c r="C969" s="32"/>
      <c r="D969" s="33"/>
      <c r="E969" s="34"/>
      <c r="F969" s="34"/>
      <c r="G969" s="35"/>
      <c r="H969" s="34"/>
      <c r="I969" s="37"/>
    </row>
    <row r="970" ht="22.5" customHeight="1">
      <c r="A970" s="30"/>
      <c r="B970" s="31"/>
      <c r="C970" s="32"/>
      <c r="D970" s="33"/>
      <c r="E970" s="34"/>
      <c r="F970" s="34"/>
      <c r="G970" s="35"/>
      <c r="H970" s="34"/>
      <c r="I970" s="37"/>
    </row>
    <row r="971" ht="22.5" customHeight="1">
      <c r="A971" s="30"/>
      <c r="B971" s="31"/>
      <c r="C971" s="32"/>
      <c r="D971" s="33"/>
      <c r="E971" s="34"/>
      <c r="F971" s="34"/>
      <c r="G971" s="35"/>
      <c r="H971" s="34"/>
      <c r="I971" s="37"/>
    </row>
    <row r="972" ht="22.5" customHeight="1">
      <c r="A972" s="30"/>
      <c r="B972" s="40"/>
      <c r="C972" s="32"/>
      <c r="D972" s="33"/>
      <c r="E972" s="34"/>
      <c r="F972" s="34"/>
      <c r="G972" s="35"/>
      <c r="H972" s="34"/>
      <c r="I972" s="37"/>
    </row>
    <row r="973" ht="22.5" customHeight="1">
      <c r="A973" s="30"/>
      <c r="B973" s="31"/>
      <c r="C973" s="32"/>
      <c r="D973" s="33"/>
      <c r="E973" s="34"/>
      <c r="F973" s="34"/>
      <c r="G973" s="35"/>
      <c r="H973" s="34"/>
      <c r="I973" s="37"/>
    </row>
    <row r="974" ht="22.5" customHeight="1">
      <c r="A974" s="30"/>
      <c r="B974" s="31"/>
      <c r="C974" s="32"/>
      <c r="D974" s="33"/>
      <c r="E974" s="34"/>
      <c r="F974" s="34"/>
      <c r="G974" s="35"/>
      <c r="H974" s="34"/>
      <c r="I974" s="37"/>
    </row>
    <row r="975" ht="22.5" customHeight="1">
      <c r="A975" s="30"/>
      <c r="B975" s="31"/>
      <c r="C975" s="32"/>
      <c r="D975" s="33"/>
      <c r="E975" s="34"/>
      <c r="F975" s="34"/>
      <c r="G975" s="35"/>
      <c r="H975" s="34"/>
      <c r="I975" s="37"/>
    </row>
    <row r="976" ht="22.5" customHeight="1">
      <c r="A976" s="30"/>
      <c r="B976" s="31"/>
      <c r="C976" s="32"/>
      <c r="D976" s="33"/>
      <c r="E976" s="34"/>
      <c r="F976" s="34"/>
      <c r="G976" s="35"/>
      <c r="H976" s="34"/>
      <c r="I976" s="37"/>
    </row>
    <row r="977" ht="22.5" customHeight="1">
      <c r="A977" s="30"/>
      <c r="B977" s="31"/>
      <c r="C977" s="32"/>
      <c r="D977" s="33"/>
      <c r="E977" s="34"/>
      <c r="F977" s="34"/>
      <c r="G977" s="35"/>
      <c r="H977" s="34"/>
      <c r="I977" s="37"/>
    </row>
    <row r="978" ht="22.5" customHeight="1">
      <c r="A978" s="30"/>
      <c r="B978" s="31"/>
      <c r="C978" s="32"/>
      <c r="D978" s="33"/>
      <c r="E978" s="34"/>
      <c r="F978" s="34"/>
      <c r="G978" s="35"/>
      <c r="H978" s="34"/>
      <c r="I978" s="37"/>
    </row>
    <row r="979" ht="22.5" customHeight="1">
      <c r="A979" s="30"/>
      <c r="B979" s="31"/>
      <c r="C979" s="32"/>
      <c r="D979" s="33"/>
      <c r="E979" s="34"/>
      <c r="F979" s="34"/>
      <c r="G979" s="35"/>
      <c r="H979" s="34"/>
      <c r="I979" s="37"/>
    </row>
    <row r="980" ht="22.5" customHeight="1">
      <c r="A980" s="30"/>
      <c r="B980" s="31"/>
      <c r="C980" s="32"/>
      <c r="D980" s="33"/>
      <c r="E980" s="34"/>
      <c r="F980" s="34"/>
      <c r="G980" s="35"/>
      <c r="H980" s="34"/>
      <c r="I980" s="37"/>
    </row>
    <row r="981" ht="22.5" customHeight="1">
      <c r="A981" s="30"/>
      <c r="B981" s="31"/>
      <c r="C981" s="32"/>
      <c r="D981" s="33"/>
      <c r="E981" s="34"/>
      <c r="F981" s="34"/>
      <c r="G981" s="35"/>
      <c r="H981" s="34"/>
      <c r="I981" s="37"/>
    </row>
    <row r="982" ht="22.5" customHeight="1">
      <c r="A982" s="30"/>
      <c r="B982" s="31"/>
      <c r="C982" s="32"/>
      <c r="D982" s="33"/>
      <c r="E982" s="34"/>
      <c r="F982" s="34"/>
      <c r="G982" s="35"/>
      <c r="H982" s="34"/>
      <c r="I982" s="37"/>
    </row>
    <row r="983" ht="22.5" customHeight="1">
      <c r="A983" s="30"/>
      <c r="B983" s="31"/>
      <c r="C983" s="32"/>
      <c r="D983" s="33"/>
      <c r="E983" s="34"/>
      <c r="F983" s="34"/>
      <c r="G983" s="35"/>
      <c r="H983" s="34"/>
      <c r="I983" s="37"/>
    </row>
    <row r="984" ht="22.5" customHeight="1">
      <c r="A984" s="30"/>
      <c r="B984" s="31"/>
      <c r="C984" s="32"/>
      <c r="D984" s="33"/>
      <c r="E984" s="34"/>
      <c r="F984" s="34"/>
      <c r="G984" s="35"/>
      <c r="H984" s="34"/>
      <c r="I984" s="37"/>
    </row>
    <row r="985" ht="22.5" customHeight="1">
      <c r="A985" s="30"/>
      <c r="B985" s="31"/>
      <c r="C985" s="32"/>
      <c r="D985" s="33"/>
      <c r="E985" s="34"/>
      <c r="F985" s="34"/>
      <c r="G985" s="35"/>
      <c r="H985" s="34"/>
      <c r="I985" s="37"/>
    </row>
    <row r="986" ht="22.5" customHeight="1">
      <c r="A986" s="30"/>
      <c r="B986" s="31"/>
      <c r="C986" s="32"/>
      <c r="D986" s="33"/>
      <c r="E986" s="34"/>
      <c r="F986" s="34"/>
      <c r="G986" s="35"/>
      <c r="H986" s="34"/>
      <c r="I986" s="37"/>
    </row>
    <row r="987" ht="22.5" customHeight="1">
      <c r="A987" s="30"/>
      <c r="B987" s="31"/>
      <c r="C987" s="32"/>
      <c r="D987" s="33"/>
      <c r="E987" s="34"/>
      <c r="F987" s="34"/>
      <c r="G987" s="35"/>
      <c r="H987" s="34"/>
      <c r="I987" s="37"/>
    </row>
    <row r="988" ht="22.5" customHeight="1">
      <c r="A988" s="30"/>
      <c r="B988" s="31"/>
      <c r="C988" s="32"/>
      <c r="D988" s="33"/>
      <c r="E988" s="34"/>
      <c r="F988" s="34"/>
      <c r="G988" s="35"/>
      <c r="H988" s="34"/>
      <c r="I988" s="37"/>
    </row>
    <row r="989" ht="22.5" customHeight="1">
      <c r="A989" s="30"/>
      <c r="B989" s="31"/>
      <c r="C989" s="32"/>
      <c r="D989" s="33"/>
      <c r="E989" s="34"/>
      <c r="F989" s="34"/>
      <c r="G989" s="35"/>
      <c r="H989" s="34"/>
      <c r="I989" s="37"/>
    </row>
    <row r="990" ht="22.5" customHeight="1">
      <c r="A990" s="30"/>
      <c r="B990" s="31"/>
      <c r="C990" s="32"/>
      <c r="D990" s="33"/>
      <c r="E990" s="34"/>
      <c r="F990" s="34"/>
      <c r="G990" s="35"/>
      <c r="H990" s="34"/>
      <c r="I990" s="37"/>
    </row>
    <row r="991" ht="22.5" customHeight="1">
      <c r="A991" s="30"/>
      <c r="B991" s="31"/>
      <c r="C991" s="32"/>
      <c r="D991" s="33"/>
      <c r="E991" s="34"/>
      <c r="F991" s="34"/>
      <c r="G991" s="35"/>
      <c r="H991" s="34"/>
      <c r="I991" s="37"/>
    </row>
    <row r="992" ht="22.5" customHeight="1">
      <c r="A992" s="30"/>
      <c r="B992" s="31"/>
      <c r="C992" s="32"/>
      <c r="D992" s="33"/>
      <c r="E992" s="34"/>
      <c r="F992" s="34"/>
      <c r="G992" s="35"/>
      <c r="H992" s="34"/>
      <c r="I992" s="37"/>
    </row>
    <row r="993" ht="22.5" customHeight="1">
      <c r="A993" s="30"/>
      <c r="B993" s="31"/>
      <c r="C993" s="32"/>
      <c r="D993" s="33"/>
      <c r="E993" s="34"/>
      <c r="F993" s="34"/>
      <c r="G993" s="35"/>
      <c r="H993" s="34"/>
      <c r="I993" s="37"/>
    </row>
    <row r="994" ht="22.5" customHeight="1">
      <c r="A994" s="30"/>
      <c r="B994" s="40"/>
      <c r="C994" s="32"/>
      <c r="D994" s="33"/>
      <c r="E994" s="34"/>
      <c r="F994" s="34"/>
      <c r="G994" s="35"/>
      <c r="H994" s="34"/>
      <c r="I994" s="37"/>
    </row>
    <row r="995" ht="22.5" customHeight="1">
      <c r="A995" s="30"/>
      <c r="B995" s="31"/>
      <c r="C995" s="32"/>
      <c r="D995" s="33"/>
      <c r="E995" s="34"/>
      <c r="F995" s="34"/>
      <c r="G995" s="35"/>
      <c r="H995" s="34"/>
      <c r="I995" s="37"/>
    </row>
    <row r="996" ht="22.5" customHeight="1">
      <c r="A996" s="30"/>
      <c r="B996" s="31"/>
      <c r="C996" s="32"/>
      <c r="D996" s="33"/>
      <c r="E996" s="34"/>
      <c r="F996" s="34"/>
      <c r="G996" s="35"/>
      <c r="H996" s="34"/>
      <c r="I996" s="37"/>
    </row>
    <row r="997" ht="22.5" customHeight="1">
      <c r="A997" s="30"/>
      <c r="B997" s="31"/>
      <c r="C997" s="32"/>
      <c r="D997" s="33"/>
      <c r="E997" s="34"/>
      <c r="F997" s="34"/>
      <c r="G997" s="35"/>
      <c r="H997" s="34"/>
      <c r="I997" s="37"/>
    </row>
    <row r="998" ht="22.5" customHeight="1">
      <c r="A998" s="30"/>
      <c r="B998" s="31"/>
      <c r="C998" s="32"/>
      <c r="D998" s="33"/>
      <c r="E998" s="34"/>
      <c r="F998" s="34"/>
      <c r="G998" s="35"/>
      <c r="H998" s="34"/>
      <c r="I998" s="38"/>
    </row>
    <row r="999" ht="22.5" customHeight="1">
      <c r="A999" s="30"/>
      <c r="B999" s="39"/>
      <c r="C999" s="32"/>
      <c r="D999" s="33"/>
      <c r="E999" s="34"/>
      <c r="F999" s="34"/>
      <c r="G999" s="35"/>
      <c r="H999" s="34"/>
      <c r="I999" s="37"/>
    </row>
    <row r="1000" ht="22.5" customHeight="1">
      <c r="A1000" s="30"/>
      <c r="B1000" s="31"/>
      <c r="C1000" s="32"/>
      <c r="D1000" s="33"/>
      <c r="E1000" s="34"/>
      <c r="F1000" s="34"/>
      <c r="G1000" s="35"/>
      <c r="H1000" s="34"/>
      <c r="I1000" s="37"/>
    </row>
    <row r="1001" ht="22.5" customHeight="1">
      <c r="A1001" s="30"/>
      <c r="B1001" s="31"/>
      <c r="C1001" s="32"/>
      <c r="D1001" s="33"/>
      <c r="E1001" s="34"/>
      <c r="F1001" s="34"/>
      <c r="G1001" s="35"/>
      <c r="H1001" s="34"/>
      <c r="I1001" s="37"/>
    </row>
    <row r="1002" ht="22.5" customHeight="1">
      <c r="A1002" s="30"/>
      <c r="B1002" s="31"/>
      <c r="C1002" s="32"/>
      <c r="D1002" s="33"/>
      <c r="E1002" s="34"/>
      <c r="F1002" s="34"/>
      <c r="G1002" s="35"/>
      <c r="H1002" s="34"/>
      <c r="I1002" s="37"/>
    </row>
    <row r="1003" ht="22.5" customHeight="1">
      <c r="A1003" s="30"/>
      <c r="B1003" s="39"/>
      <c r="C1003" s="32"/>
      <c r="D1003" s="33"/>
      <c r="E1003" s="34"/>
      <c r="F1003" s="34"/>
      <c r="G1003" s="35"/>
      <c r="H1003" s="34"/>
      <c r="I1003" s="37"/>
    </row>
    <row r="1004" ht="22.5" customHeight="1">
      <c r="A1004" s="30"/>
      <c r="B1004" s="31"/>
      <c r="C1004" s="32"/>
      <c r="D1004" s="33"/>
      <c r="E1004" s="34"/>
      <c r="F1004" s="34"/>
      <c r="G1004" s="35"/>
      <c r="H1004" s="34"/>
      <c r="I1004" s="37"/>
    </row>
    <row r="1005" ht="22.5" customHeight="1">
      <c r="A1005" s="30"/>
      <c r="B1005" s="39"/>
      <c r="C1005" s="32"/>
      <c r="D1005" s="33"/>
      <c r="E1005" s="34"/>
      <c r="F1005" s="34"/>
      <c r="G1005" s="35"/>
      <c r="H1005" s="34"/>
      <c r="I1005" s="37"/>
    </row>
    <row r="1006" ht="22.5" customHeight="1">
      <c r="A1006" s="30"/>
      <c r="B1006" s="31"/>
      <c r="C1006" s="32"/>
      <c r="D1006" s="33"/>
      <c r="E1006" s="34"/>
      <c r="F1006" s="34"/>
      <c r="G1006" s="35"/>
      <c r="H1006" s="34"/>
      <c r="I1006" s="37"/>
    </row>
    <row r="1007" ht="22.5" customHeight="1">
      <c r="A1007" s="30"/>
      <c r="B1007" s="31"/>
      <c r="C1007" s="32"/>
      <c r="D1007" s="33"/>
      <c r="E1007" s="34"/>
      <c r="F1007" s="34"/>
      <c r="G1007" s="35"/>
      <c r="H1007" s="34"/>
      <c r="I1007" s="37"/>
    </row>
    <row r="1008" ht="22.5" customHeight="1">
      <c r="A1008" s="30"/>
      <c r="B1008" s="31"/>
      <c r="C1008" s="32"/>
      <c r="D1008" s="33"/>
      <c r="E1008" s="34"/>
      <c r="F1008" s="34"/>
      <c r="G1008" s="35"/>
      <c r="H1008" s="34"/>
      <c r="I1008" s="37"/>
    </row>
    <row r="1009" ht="22.5" customHeight="1">
      <c r="A1009" s="30"/>
      <c r="B1009" s="31"/>
      <c r="C1009" s="32"/>
      <c r="D1009" s="33"/>
      <c r="E1009" s="34"/>
      <c r="F1009" s="34"/>
      <c r="G1009" s="35"/>
      <c r="H1009" s="34"/>
      <c r="I1009" s="37"/>
    </row>
    <row r="1010" ht="22.5" customHeight="1">
      <c r="A1010" s="30"/>
      <c r="B1010" s="31"/>
      <c r="C1010" s="32"/>
      <c r="D1010" s="33"/>
      <c r="E1010" s="34"/>
      <c r="F1010" s="34"/>
      <c r="G1010" s="35"/>
      <c r="H1010" s="34"/>
      <c r="I1010" s="37"/>
    </row>
    <row r="1011" ht="22.5" customHeight="1">
      <c r="A1011" s="30"/>
      <c r="B1011" s="31"/>
      <c r="C1011" s="32"/>
      <c r="D1011" s="33"/>
      <c r="E1011" s="34"/>
      <c r="F1011" s="34"/>
      <c r="G1011" s="35"/>
      <c r="H1011" s="34"/>
      <c r="I1011" s="37"/>
    </row>
    <row r="1012" ht="22.5" customHeight="1">
      <c r="A1012" s="30"/>
      <c r="B1012" s="31"/>
      <c r="C1012" s="32"/>
      <c r="D1012" s="33"/>
      <c r="E1012" s="34"/>
      <c r="F1012" s="34"/>
      <c r="G1012" s="35"/>
      <c r="H1012" s="34"/>
      <c r="I1012" s="37"/>
    </row>
    <row r="1013" ht="22.5" customHeight="1">
      <c r="A1013" s="30"/>
      <c r="B1013" s="31"/>
      <c r="C1013" s="32"/>
      <c r="D1013" s="33"/>
      <c r="E1013" s="34"/>
      <c r="F1013" s="34"/>
      <c r="G1013" s="35"/>
      <c r="H1013" s="34"/>
      <c r="I1013" s="37"/>
    </row>
    <row r="1014" ht="22.5" customHeight="1">
      <c r="A1014" s="30"/>
      <c r="B1014" s="31"/>
      <c r="C1014" s="32"/>
      <c r="D1014" s="33"/>
      <c r="E1014" s="34"/>
      <c r="F1014" s="34"/>
      <c r="G1014" s="35"/>
      <c r="H1014" s="34"/>
      <c r="I1014" s="37"/>
    </row>
    <row r="1015" ht="22.5" customHeight="1">
      <c r="A1015" s="30"/>
      <c r="B1015" s="31"/>
      <c r="C1015" s="32"/>
      <c r="D1015" s="33"/>
      <c r="E1015" s="34"/>
      <c r="F1015" s="34"/>
      <c r="G1015" s="35"/>
      <c r="H1015" s="34"/>
      <c r="I1015" s="37"/>
    </row>
    <row r="1016" ht="22.5" customHeight="1">
      <c r="A1016" s="30"/>
      <c r="B1016" s="40"/>
      <c r="C1016" s="32"/>
      <c r="D1016" s="33"/>
      <c r="E1016" s="34"/>
      <c r="F1016" s="34"/>
      <c r="G1016" s="35"/>
      <c r="H1016" s="34"/>
      <c r="I1016" s="37"/>
    </row>
    <row r="1017" ht="22.5" customHeight="1">
      <c r="A1017" s="30"/>
      <c r="B1017" s="31"/>
      <c r="C1017" s="32"/>
      <c r="D1017" s="33"/>
      <c r="E1017" s="34"/>
      <c r="F1017" s="34"/>
      <c r="G1017" s="35"/>
      <c r="H1017" s="34"/>
      <c r="I1017" s="37"/>
    </row>
    <row r="1018" ht="22.5" customHeight="1">
      <c r="A1018" s="30"/>
      <c r="B1018" s="31"/>
      <c r="C1018" s="32"/>
      <c r="D1018" s="33"/>
      <c r="E1018" s="34"/>
      <c r="F1018" s="34"/>
      <c r="G1018" s="35"/>
      <c r="H1018" s="34"/>
      <c r="I1018" s="37"/>
    </row>
    <row r="1019" ht="22.5" customHeight="1">
      <c r="A1019" s="30"/>
      <c r="B1019" s="31"/>
      <c r="C1019" s="32"/>
      <c r="D1019" s="33"/>
      <c r="E1019" s="34"/>
      <c r="F1019" s="34"/>
      <c r="G1019" s="35"/>
      <c r="H1019" s="34"/>
      <c r="I1019" s="37"/>
    </row>
    <row r="1020" ht="22.5" customHeight="1">
      <c r="A1020" s="30"/>
      <c r="B1020" s="31"/>
      <c r="C1020" s="32"/>
      <c r="D1020" s="33"/>
      <c r="E1020" s="34"/>
      <c r="F1020" s="34"/>
      <c r="G1020" s="35"/>
      <c r="H1020" s="34"/>
      <c r="I1020" s="37"/>
    </row>
    <row r="1021" ht="22.5" customHeight="1">
      <c r="A1021" s="30"/>
      <c r="B1021" s="31"/>
      <c r="C1021" s="32"/>
      <c r="D1021" s="33"/>
      <c r="E1021" s="34"/>
      <c r="F1021" s="34"/>
      <c r="G1021" s="35"/>
      <c r="H1021" s="34"/>
      <c r="I1021" s="37"/>
    </row>
    <row r="1022" ht="22.5" customHeight="1">
      <c r="A1022" s="30"/>
      <c r="B1022" s="31"/>
      <c r="C1022" s="32"/>
      <c r="D1022" s="33"/>
      <c r="E1022" s="34"/>
      <c r="F1022" s="34"/>
      <c r="G1022" s="35"/>
      <c r="H1022" s="34"/>
      <c r="I1022" s="37"/>
    </row>
    <row r="1023" ht="22.5" customHeight="1">
      <c r="A1023" s="30"/>
      <c r="B1023" s="39"/>
      <c r="C1023" s="32"/>
      <c r="D1023" s="33"/>
      <c r="E1023" s="34"/>
      <c r="F1023" s="34"/>
      <c r="G1023" s="35"/>
      <c r="H1023" s="34"/>
      <c r="I1023" s="37"/>
    </row>
    <row r="1024" ht="22.5" customHeight="1">
      <c r="A1024" s="30"/>
      <c r="B1024" s="39"/>
      <c r="C1024" s="32"/>
      <c r="D1024" s="33"/>
      <c r="E1024" s="34"/>
      <c r="F1024" s="34"/>
      <c r="G1024" s="35"/>
      <c r="H1024" s="34"/>
      <c r="I1024" s="37"/>
    </row>
    <row r="1025" ht="22.5" customHeight="1">
      <c r="A1025" s="30"/>
      <c r="B1025" s="39"/>
      <c r="C1025" s="32"/>
      <c r="D1025" s="33"/>
      <c r="E1025" s="34"/>
      <c r="F1025" s="34"/>
      <c r="G1025" s="35"/>
      <c r="H1025" s="34"/>
      <c r="I1025" s="37"/>
    </row>
    <row r="1026" ht="22.5" customHeight="1">
      <c r="A1026" s="30"/>
      <c r="B1026" s="40"/>
      <c r="C1026" s="32"/>
      <c r="D1026" s="33"/>
      <c r="E1026" s="34"/>
      <c r="F1026" s="34"/>
      <c r="G1026" s="35"/>
      <c r="H1026" s="34"/>
      <c r="I1026" s="37"/>
    </row>
    <row r="1027" ht="22.5" customHeight="1">
      <c r="A1027" s="30"/>
      <c r="B1027" s="31"/>
      <c r="C1027" s="32"/>
      <c r="D1027" s="33"/>
      <c r="E1027" s="34"/>
      <c r="F1027" s="34"/>
      <c r="G1027" s="35"/>
      <c r="H1027" s="34"/>
      <c r="I1027" s="37"/>
    </row>
    <row r="1028" ht="22.5" customHeight="1">
      <c r="A1028" s="30"/>
      <c r="B1028" s="31"/>
      <c r="C1028" s="32"/>
      <c r="D1028" s="33"/>
      <c r="E1028" s="34"/>
      <c r="F1028" s="34"/>
      <c r="G1028" s="35"/>
      <c r="H1028" s="34"/>
      <c r="I1028" s="37"/>
    </row>
    <row r="1029" ht="22.5" customHeight="1">
      <c r="A1029" s="30"/>
      <c r="B1029" s="31"/>
      <c r="C1029" s="32"/>
      <c r="D1029" s="33"/>
      <c r="E1029" s="34"/>
      <c r="F1029" s="34"/>
      <c r="G1029" s="35"/>
      <c r="H1029" s="34"/>
      <c r="I1029" s="37"/>
    </row>
    <row r="1030" ht="22.5" customHeight="1">
      <c r="A1030" s="30"/>
      <c r="B1030" s="31"/>
      <c r="C1030" s="32"/>
      <c r="D1030" s="33"/>
      <c r="E1030" s="34"/>
      <c r="F1030" s="34"/>
      <c r="G1030" s="35"/>
      <c r="H1030" s="34"/>
      <c r="I1030" s="37"/>
    </row>
    <row r="1031" ht="22.5" customHeight="1">
      <c r="A1031" s="30"/>
      <c r="B1031" s="31"/>
      <c r="C1031" s="32"/>
      <c r="D1031" s="33"/>
      <c r="E1031" s="34"/>
      <c r="F1031" s="34"/>
      <c r="G1031" s="35"/>
      <c r="H1031" s="34"/>
      <c r="I1031" s="37"/>
    </row>
    <row r="1032" ht="22.5" customHeight="1">
      <c r="A1032" s="30"/>
      <c r="B1032" s="31"/>
      <c r="C1032" s="32"/>
      <c r="D1032" s="33"/>
      <c r="E1032" s="34"/>
      <c r="F1032" s="34"/>
      <c r="G1032" s="35"/>
      <c r="H1032" s="34"/>
      <c r="I1032" s="37"/>
    </row>
    <row r="1033" ht="22.5" customHeight="1">
      <c r="A1033" s="30"/>
      <c r="B1033" s="31"/>
      <c r="C1033" s="32"/>
      <c r="D1033" s="33"/>
      <c r="E1033" s="34"/>
      <c r="F1033" s="34"/>
      <c r="G1033" s="35"/>
      <c r="H1033" s="34"/>
      <c r="I1033" s="37"/>
    </row>
    <row r="1034" ht="22.5" customHeight="1">
      <c r="A1034" s="30"/>
      <c r="B1034" s="31"/>
      <c r="C1034" s="32"/>
      <c r="D1034" s="33"/>
      <c r="E1034" s="34"/>
      <c r="F1034" s="34"/>
      <c r="G1034" s="35"/>
      <c r="H1034" s="34"/>
      <c r="I1034" s="37"/>
    </row>
    <row r="1035" ht="22.5" customHeight="1">
      <c r="A1035" s="30"/>
      <c r="B1035" s="31"/>
      <c r="C1035" s="32"/>
      <c r="D1035" s="33"/>
      <c r="E1035" s="34"/>
      <c r="F1035" s="34"/>
      <c r="G1035" s="35"/>
      <c r="H1035" s="34"/>
      <c r="I1035" s="37"/>
    </row>
    <row r="1036" ht="22.5" customHeight="1">
      <c r="A1036" s="30"/>
      <c r="B1036" s="40"/>
      <c r="C1036" s="32"/>
      <c r="D1036" s="33"/>
      <c r="E1036" s="34"/>
      <c r="F1036" s="34"/>
      <c r="G1036" s="35"/>
      <c r="H1036" s="34"/>
      <c r="I1036" s="37"/>
    </row>
    <row r="1037" ht="22.5" customHeight="1">
      <c r="A1037" s="30"/>
      <c r="B1037" s="31"/>
      <c r="C1037" s="32"/>
      <c r="D1037" s="33"/>
      <c r="E1037" s="34"/>
      <c r="F1037" s="34"/>
      <c r="G1037" s="35"/>
      <c r="H1037" s="34"/>
      <c r="I1037" s="37"/>
    </row>
    <row r="1038" ht="22.5" customHeight="1">
      <c r="A1038" s="30"/>
      <c r="B1038" s="31"/>
      <c r="C1038" s="32"/>
      <c r="D1038" s="33"/>
      <c r="E1038" s="34"/>
      <c r="F1038" s="34"/>
      <c r="G1038" s="35"/>
      <c r="H1038" s="34"/>
      <c r="I1038" s="37"/>
    </row>
    <row r="1039" ht="22.5" customHeight="1">
      <c r="A1039" s="30"/>
      <c r="B1039" s="31"/>
      <c r="C1039" s="32"/>
      <c r="D1039" s="33"/>
      <c r="E1039" s="34"/>
      <c r="F1039" s="34"/>
      <c r="G1039" s="35"/>
      <c r="H1039" s="34"/>
      <c r="I1039" s="37"/>
    </row>
    <row r="1040" ht="22.5" customHeight="1">
      <c r="A1040" s="30"/>
      <c r="B1040" s="40"/>
      <c r="C1040" s="32"/>
      <c r="D1040" s="33"/>
      <c r="E1040" s="34"/>
      <c r="F1040" s="34"/>
      <c r="G1040" s="35"/>
      <c r="H1040" s="34"/>
      <c r="I1040" s="37"/>
    </row>
    <row r="1041" ht="22.5" customHeight="1">
      <c r="A1041" s="30"/>
      <c r="B1041" s="31"/>
      <c r="C1041" s="32"/>
      <c r="D1041" s="33"/>
      <c r="E1041" s="34"/>
      <c r="F1041" s="34"/>
      <c r="G1041" s="35"/>
      <c r="H1041" s="34"/>
      <c r="I1041" s="37"/>
    </row>
    <row r="1042" ht="22.5" customHeight="1">
      <c r="A1042" s="30"/>
      <c r="B1042" s="31"/>
      <c r="C1042" s="32"/>
      <c r="D1042" s="33"/>
      <c r="E1042" s="34"/>
      <c r="F1042" s="34"/>
      <c r="G1042" s="35"/>
      <c r="H1042" s="34"/>
      <c r="I1042" s="37"/>
    </row>
    <row r="1043" ht="22.5" customHeight="1">
      <c r="A1043" s="30"/>
      <c r="B1043" s="31"/>
      <c r="C1043" s="32"/>
      <c r="D1043" s="33"/>
      <c r="E1043" s="34"/>
      <c r="F1043" s="34"/>
      <c r="G1043" s="35"/>
      <c r="H1043" s="34"/>
      <c r="I1043" s="37"/>
    </row>
    <row r="1044" ht="22.5" customHeight="1">
      <c r="A1044" s="30"/>
      <c r="B1044" s="31"/>
      <c r="C1044" s="32"/>
      <c r="D1044" s="33"/>
      <c r="E1044" s="34"/>
      <c r="F1044" s="34"/>
      <c r="G1044" s="35"/>
      <c r="H1044" s="34"/>
      <c r="I1044" s="37"/>
    </row>
    <row r="1045" ht="22.5" customHeight="1">
      <c r="A1045" s="30"/>
      <c r="B1045" s="31"/>
      <c r="C1045" s="32"/>
      <c r="D1045" s="33"/>
      <c r="E1045" s="34"/>
      <c r="F1045" s="34"/>
      <c r="G1045" s="35"/>
      <c r="H1045" s="34"/>
      <c r="I1045" s="37"/>
    </row>
    <row r="1046" ht="22.5" customHeight="1">
      <c r="A1046" s="30"/>
      <c r="B1046" s="31"/>
      <c r="C1046" s="32"/>
      <c r="D1046" s="33"/>
      <c r="E1046" s="34"/>
      <c r="F1046" s="34"/>
      <c r="G1046" s="35"/>
      <c r="H1046" s="34"/>
      <c r="I1046" s="37"/>
    </row>
    <row r="1047" ht="22.5" customHeight="1">
      <c r="A1047" s="30"/>
      <c r="B1047" s="31"/>
      <c r="C1047" s="32"/>
      <c r="D1047" s="33"/>
      <c r="E1047" s="34"/>
      <c r="F1047" s="34"/>
      <c r="G1047" s="35"/>
      <c r="H1047" s="34"/>
      <c r="I1047" s="37"/>
    </row>
    <row r="1048" ht="22.5" customHeight="1">
      <c r="A1048" s="30"/>
      <c r="B1048" s="31"/>
      <c r="C1048" s="32"/>
      <c r="D1048" s="33"/>
      <c r="E1048" s="34"/>
      <c r="F1048" s="34"/>
      <c r="G1048" s="35"/>
      <c r="H1048" s="34"/>
      <c r="I1048" s="37"/>
    </row>
    <row r="1049" ht="22.5" customHeight="1">
      <c r="A1049" s="30"/>
      <c r="B1049" s="31"/>
      <c r="C1049" s="32"/>
      <c r="D1049" s="33"/>
      <c r="E1049" s="34"/>
      <c r="F1049" s="34"/>
      <c r="G1049" s="35"/>
      <c r="H1049" s="34"/>
      <c r="I1049" s="37"/>
    </row>
    <row r="1050" ht="22.5" customHeight="1">
      <c r="A1050" s="30"/>
      <c r="B1050" s="31"/>
      <c r="C1050" s="32"/>
      <c r="D1050" s="33"/>
      <c r="E1050" s="34"/>
      <c r="F1050" s="34"/>
      <c r="G1050" s="35"/>
      <c r="H1050" s="34"/>
      <c r="I1050" s="37"/>
    </row>
    <row r="1051" ht="22.5" customHeight="1">
      <c r="A1051" s="30"/>
      <c r="B1051" s="31"/>
      <c r="C1051" s="32"/>
      <c r="D1051" s="33"/>
      <c r="E1051" s="34"/>
      <c r="F1051" s="34"/>
      <c r="G1051" s="35"/>
      <c r="H1051" s="34"/>
      <c r="I1051" s="37"/>
    </row>
    <row r="1052" ht="22.5" customHeight="1">
      <c r="A1052" s="30"/>
      <c r="B1052" s="31"/>
      <c r="C1052" s="32"/>
      <c r="D1052" s="33"/>
      <c r="E1052" s="34"/>
      <c r="F1052" s="34"/>
      <c r="G1052" s="35"/>
      <c r="H1052" s="34"/>
      <c r="I1052" s="37"/>
    </row>
    <row r="1053" ht="22.5" customHeight="1">
      <c r="A1053" s="30"/>
      <c r="B1053" s="31"/>
      <c r="C1053" s="32"/>
      <c r="D1053" s="33"/>
      <c r="E1053" s="34"/>
      <c r="F1053" s="34"/>
      <c r="G1053" s="35"/>
      <c r="H1053" s="34"/>
      <c r="I1053" s="37"/>
    </row>
    <row r="1054" ht="22.5" customHeight="1">
      <c r="A1054" s="30"/>
      <c r="B1054" s="31"/>
      <c r="C1054" s="32"/>
      <c r="D1054" s="33"/>
      <c r="E1054" s="34"/>
      <c r="F1054" s="34"/>
      <c r="G1054" s="35"/>
      <c r="H1054" s="34"/>
      <c r="I1054" s="37"/>
    </row>
    <row r="1055" ht="22.5" customHeight="1">
      <c r="A1055" s="30"/>
      <c r="B1055" s="40"/>
      <c r="C1055" s="32"/>
      <c r="D1055" s="33"/>
      <c r="E1055" s="34"/>
      <c r="F1055" s="34"/>
      <c r="G1055" s="35"/>
      <c r="H1055" s="34"/>
      <c r="I1055" s="37"/>
    </row>
    <row r="1056" ht="22.5" customHeight="1">
      <c r="A1056" s="30"/>
      <c r="B1056" s="31"/>
      <c r="C1056" s="32"/>
      <c r="D1056" s="33"/>
      <c r="E1056" s="34"/>
      <c r="F1056" s="34"/>
      <c r="G1056" s="35"/>
      <c r="H1056" s="34"/>
      <c r="I1056" s="37"/>
    </row>
    <row r="1057" ht="22.5" customHeight="1">
      <c r="A1057" s="30"/>
      <c r="B1057" s="40"/>
      <c r="C1057" s="32"/>
      <c r="D1057" s="33"/>
      <c r="E1057" s="34"/>
      <c r="F1057" s="34"/>
      <c r="G1057" s="35"/>
      <c r="H1057" s="34"/>
      <c r="I1057" s="37"/>
    </row>
    <row r="1058" ht="22.5" customHeight="1">
      <c r="A1058" s="30"/>
      <c r="B1058" s="31"/>
      <c r="C1058" s="32"/>
      <c r="D1058" s="33"/>
      <c r="E1058" s="34"/>
      <c r="F1058" s="34"/>
      <c r="G1058" s="35"/>
      <c r="H1058" s="34"/>
      <c r="I1058" s="37"/>
    </row>
    <row r="1059" ht="22.5" customHeight="1">
      <c r="A1059" s="30"/>
      <c r="B1059" s="31"/>
      <c r="C1059" s="32"/>
      <c r="D1059" s="33"/>
      <c r="E1059" s="34"/>
      <c r="F1059" s="34"/>
      <c r="G1059" s="35"/>
      <c r="H1059" s="34"/>
      <c r="I1059" s="37"/>
    </row>
    <row r="1060" ht="22.5" customHeight="1">
      <c r="A1060" s="30"/>
      <c r="B1060" s="31"/>
      <c r="C1060" s="32"/>
      <c r="D1060" s="33"/>
      <c r="E1060" s="34"/>
      <c r="F1060" s="34"/>
      <c r="G1060" s="35"/>
      <c r="H1060" s="34"/>
      <c r="I1060" s="37"/>
    </row>
    <row r="1061" ht="22.5" customHeight="1">
      <c r="A1061" s="30"/>
      <c r="B1061" s="31"/>
      <c r="C1061" s="32"/>
      <c r="D1061" s="33"/>
      <c r="E1061" s="34"/>
      <c r="F1061" s="34"/>
      <c r="G1061" s="35"/>
      <c r="H1061" s="34"/>
      <c r="I1061" s="37"/>
    </row>
    <row r="1062" ht="22.5" customHeight="1">
      <c r="A1062" s="30"/>
      <c r="B1062" s="40"/>
      <c r="C1062" s="32"/>
      <c r="D1062" s="33"/>
      <c r="E1062" s="34"/>
      <c r="F1062" s="34"/>
      <c r="G1062" s="35"/>
      <c r="H1062" s="34"/>
      <c r="I1062" s="37"/>
    </row>
    <row r="1063" ht="22.5" customHeight="1">
      <c r="A1063" s="30"/>
      <c r="B1063" s="31"/>
      <c r="C1063" s="32"/>
      <c r="D1063" s="33"/>
      <c r="E1063" s="34"/>
      <c r="F1063" s="34"/>
      <c r="G1063" s="35"/>
      <c r="H1063" s="34"/>
      <c r="I1063" s="37"/>
    </row>
    <row r="1064" ht="22.5" customHeight="1">
      <c r="A1064" s="30"/>
      <c r="B1064" s="31"/>
      <c r="C1064" s="32"/>
      <c r="D1064" s="33"/>
      <c r="E1064" s="34"/>
      <c r="F1064" s="34"/>
      <c r="G1064" s="35"/>
      <c r="H1064" s="34"/>
      <c r="I1064" s="37"/>
    </row>
    <row r="1065" ht="22.5" customHeight="1">
      <c r="A1065" s="30"/>
      <c r="B1065" s="31"/>
      <c r="C1065" s="32"/>
      <c r="D1065" s="33"/>
      <c r="E1065" s="34"/>
      <c r="F1065" s="34"/>
      <c r="G1065" s="35"/>
      <c r="H1065" s="34"/>
      <c r="I1065" s="37"/>
    </row>
    <row r="1066" ht="22.5" customHeight="1">
      <c r="A1066" s="30"/>
      <c r="B1066" s="31"/>
      <c r="C1066" s="32"/>
      <c r="D1066" s="33"/>
      <c r="E1066" s="34"/>
      <c r="F1066" s="34"/>
      <c r="G1066" s="35"/>
      <c r="H1066" s="34"/>
      <c r="I1066" s="37"/>
    </row>
    <row r="1067" ht="22.5" customHeight="1">
      <c r="A1067" s="30"/>
      <c r="B1067" s="31"/>
      <c r="C1067" s="32"/>
      <c r="D1067" s="33"/>
      <c r="E1067" s="34"/>
      <c r="F1067" s="34"/>
      <c r="G1067" s="35"/>
      <c r="H1067" s="34"/>
      <c r="I1067" s="37"/>
    </row>
    <row r="1068" ht="22.5" customHeight="1">
      <c r="A1068" s="30"/>
      <c r="B1068" s="31"/>
      <c r="C1068" s="32"/>
      <c r="D1068" s="33"/>
      <c r="E1068" s="34"/>
      <c r="F1068" s="34"/>
      <c r="G1068" s="35"/>
      <c r="H1068" s="34"/>
      <c r="I1068" s="37"/>
    </row>
    <row r="1069" ht="22.5" customHeight="1">
      <c r="A1069" s="30"/>
      <c r="B1069" s="31"/>
      <c r="C1069" s="32"/>
      <c r="D1069" s="33"/>
      <c r="E1069" s="34"/>
      <c r="F1069" s="34"/>
      <c r="G1069" s="35"/>
      <c r="H1069" s="34"/>
      <c r="I1069" s="37"/>
    </row>
    <row r="1070" ht="22.5" customHeight="1">
      <c r="A1070" s="30"/>
      <c r="B1070" s="31"/>
      <c r="C1070" s="32"/>
      <c r="D1070" s="33"/>
      <c r="E1070" s="34"/>
      <c r="F1070" s="34"/>
      <c r="G1070" s="35"/>
      <c r="H1070" s="34"/>
      <c r="I1070" s="37"/>
    </row>
    <row r="1071" ht="22.5" customHeight="1">
      <c r="A1071" s="30"/>
      <c r="B1071" s="31"/>
      <c r="C1071" s="32"/>
      <c r="D1071" s="33"/>
      <c r="E1071" s="34"/>
      <c r="F1071" s="34"/>
      <c r="G1071" s="35"/>
      <c r="H1071" s="34"/>
      <c r="I1071" s="37"/>
    </row>
    <row r="1072" ht="22.5" customHeight="1">
      <c r="A1072" s="30"/>
      <c r="B1072" s="31"/>
      <c r="C1072" s="32"/>
      <c r="D1072" s="33"/>
      <c r="E1072" s="34"/>
      <c r="F1072" s="34"/>
      <c r="G1072" s="35"/>
      <c r="H1072" s="34"/>
      <c r="I1072" s="37"/>
    </row>
    <row r="1073" ht="22.5" customHeight="1">
      <c r="A1073" s="30"/>
      <c r="B1073" s="31"/>
      <c r="C1073" s="32"/>
      <c r="D1073" s="33"/>
      <c r="E1073" s="34"/>
      <c r="F1073" s="34"/>
      <c r="G1073" s="35"/>
      <c r="H1073" s="34"/>
      <c r="I1073" s="37"/>
    </row>
    <row r="1074" ht="22.5" customHeight="1">
      <c r="A1074" s="30"/>
      <c r="B1074" s="31"/>
      <c r="C1074" s="32"/>
      <c r="D1074" s="33"/>
      <c r="E1074" s="34"/>
      <c r="F1074" s="34"/>
      <c r="G1074" s="35"/>
      <c r="H1074" s="34"/>
      <c r="I1074" s="37"/>
    </row>
    <row r="1075" ht="22.5" customHeight="1">
      <c r="A1075" s="30"/>
      <c r="B1075" s="31"/>
      <c r="C1075" s="32"/>
      <c r="D1075" s="33"/>
      <c r="E1075" s="34"/>
      <c r="F1075" s="34"/>
      <c r="G1075" s="35"/>
      <c r="H1075" s="34"/>
      <c r="I1075" s="37"/>
    </row>
    <row r="1076" ht="22.5" customHeight="1">
      <c r="A1076" s="30"/>
      <c r="B1076" s="31"/>
      <c r="C1076" s="32"/>
      <c r="D1076" s="33"/>
      <c r="E1076" s="34"/>
      <c r="F1076" s="34"/>
      <c r="G1076" s="35"/>
      <c r="H1076" s="34"/>
      <c r="I1076" s="37"/>
    </row>
    <row r="1077" ht="22.5" customHeight="1">
      <c r="A1077" s="30"/>
      <c r="B1077" s="31"/>
      <c r="C1077" s="32"/>
      <c r="D1077" s="33"/>
      <c r="E1077" s="34"/>
      <c r="F1077" s="34"/>
      <c r="G1077" s="35"/>
      <c r="H1077" s="34"/>
      <c r="I1077" s="37"/>
    </row>
    <row r="1078" ht="22.5" customHeight="1">
      <c r="A1078" s="30"/>
      <c r="B1078" s="31"/>
      <c r="C1078" s="32"/>
      <c r="D1078" s="33"/>
      <c r="E1078" s="34"/>
      <c r="F1078" s="34"/>
      <c r="G1078" s="35"/>
      <c r="H1078" s="34"/>
      <c r="I1078" s="37"/>
    </row>
    <row r="1079" ht="22.5" customHeight="1">
      <c r="A1079" s="30"/>
      <c r="B1079" s="31"/>
      <c r="C1079" s="32"/>
      <c r="D1079" s="33"/>
      <c r="E1079" s="34"/>
      <c r="F1079" s="34"/>
      <c r="G1079" s="35"/>
      <c r="H1079" s="34"/>
      <c r="I1079" s="37"/>
    </row>
    <row r="1080" ht="22.5" customHeight="1">
      <c r="A1080" s="30"/>
      <c r="B1080" s="31"/>
      <c r="C1080" s="32"/>
      <c r="D1080" s="33"/>
      <c r="E1080" s="34"/>
      <c r="F1080" s="34"/>
      <c r="G1080" s="35"/>
      <c r="H1080" s="34"/>
      <c r="I1080" s="37"/>
    </row>
    <row r="1081" ht="22.5" customHeight="1">
      <c r="A1081" s="30"/>
      <c r="B1081" s="31"/>
      <c r="C1081" s="32"/>
      <c r="D1081" s="33"/>
      <c r="E1081" s="34"/>
      <c r="F1081" s="34"/>
      <c r="G1081" s="35"/>
      <c r="H1081" s="34"/>
      <c r="I1081" s="37"/>
    </row>
    <row r="1082" ht="22.5" customHeight="1">
      <c r="A1082" s="30"/>
      <c r="B1082" s="31"/>
      <c r="C1082" s="32"/>
      <c r="D1082" s="33"/>
      <c r="E1082" s="34"/>
      <c r="F1082" s="34"/>
      <c r="G1082" s="35"/>
      <c r="H1082" s="34"/>
      <c r="I1082" s="37"/>
    </row>
    <row r="1083" ht="22.5" customHeight="1">
      <c r="A1083" s="30"/>
      <c r="B1083" s="31"/>
      <c r="C1083" s="32"/>
      <c r="D1083" s="33"/>
      <c r="E1083" s="34"/>
      <c r="F1083" s="34"/>
      <c r="G1083" s="35"/>
      <c r="H1083" s="34"/>
      <c r="I1083" s="37"/>
    </row>
    <row r="1084" ht="22.5" customHeight="1">
      <c r="A1084" s="30"/>
      <c r="B1084" s="40"/>
      <c r="C1084" s="32"/>
      <c r="D1084" s="33"/>
      <c r="E1084" s="34"/>
      <c r="F1084" s="34"/>
      <c r="G1084" s="35"/>
      <c r="H1084" s="34"/>
      <c r="I1084" s="37"/>
    </row>
    <row r="1085" ht="22.5" customHeight="1">
      <c r="A1085" s="30"/>
      <c r="B1085" s="31"/>
      <c r="C1085" s="32"/>
      <c r="D1085" s="33"/>
      <c r="E1085" s="34"/>
      <c r="F1085" s="34"/>
      <c r="G1085" s="35"/>
      <c r="H1085" s="34"/>
      <c r="I1085" s="37"/>
    </row>
    <row r="1086" ht="22.5" customHeight="1">
      <c r="A1086" s="30"/>
      <c r="B1086" s="31"/>
      <c r="C1086" s="32"/>
      <c r="D1086" s="33"/>
      <c r="E1086" s="34"/>
      <c r="F1086" s="34"/>
      <c r="G1086" s="35"/>
      <c r="H1086" s="34"/>
      <c r="I1086" s="37"/>
    </row>
    <row r="1087" ht="22.5" customHeight="1">
      <c r="A1087" s="30"/>
      <c r="B1087" s="31"/>
      <c r="C1087" s="32"/>
      <c r="D1087" s="33"/>
      <c r="E1087" s="34"/>
      <c r="F1087" s="34"/>
      <c r="G1087" s="35"/>
      <c r="H1087" s="34"/>
      <c r="I1087" s="37"/>
    </row>
    <row r="1088" ht="22.5" customHeight="1">
      <c r="A1088" s="30"/>
      <c r="B1088" s="31"/>
      <c r="C1088" s="32"/>
      <c r="D1088" s="33"/>
      <c r="E1088" s="34"/>
      <c r="F1088" s="34"/>
      <c r="G1088" s="35"/>
      <c r="H1088" s="34"/>
      <c r="I1088" s="38"/>
    </row>
    <row r="1089" ht="22.5" customHeight="1">
      <c r="A1089" s="30"/>
      <c r="B1089" s="39"/>
      <c r="C1089" s="32"/>
      <c r="D1089" s="33"/>
      <c r="E1089" s="34"/>
      <c r="F1089" s="34"/>
      <c r="G1089" s="35"/>
      <c r="H1089" s="34"/>
      <c r="I1089" s="37"/>
    </row>
    <row r="1090" ht="22.5" customHeight="1">
      <c r="A1090" s="30"/>
      <c r="B1090" s="31"/>
      <c r="C1090" s="32"/>
      <c r="D1090" s="33"/>
      <c r="E1090" s="34"/>
      <c r="F1090" s="34"/>
      <c r="G1090" s="35"/>
      <c r="H1090" s="34"/>
      <c r="I1090" s="37"/>
    </row>
    <row r="1091" ht="22.5" customHeight="1">
      <c r="A1091" s="30"/>
      <c r="B1091" s="31"/>
      <c r="C1091" s="32"/>
      <c r="D1091" s="33"/>
      <c r="E1091" s="34"/>
      <c r="F1091" s="34"/>
      <c r="G1091" s="35"/>
      <c r="H1091" s="34"/>
      <c r="I1091" s="37"/>
    </row>
    <row r="1092" ht="22.5" customHeight="1">
      <c r="A1092" s="30"/>
      <c r="B1092" s="31"/>
      <c r="C1092" s="32"/>
      <c r="D1092" s="33"/>
      <c r="E1092" s="34"/>
      <c r="F1092" s="34"/>
      <c r="G1092" s="35"/>
      <c r="H1092" s="34"/>
      <c r="I1092" s="37"/>
    </row>
    <row r="1093" ht="22.5" customHeight="1">
      <c r="A1093" s="30"/>
      <c r="B1093" s="39"/>
      <c r="C1093" s="32"/>
      <c r="D1093" s="33"/>
      <c r="E1093" s="34"/>
      <c r="F1093" s="34"/>
      <c r="G1093" s="35"/>
      <c r="H1093" s="34"/>
      <c r="I1093" s="37"/>
    </row>
    <row r="1094" ht="22.5" customHeight="1">
      <c r="A1094" s="30"/>
      <c r="B1094" s="31"/>
      <c r="C1094" s="32"/>
      <c r="D1094" s="33"/>
      <c r="E1094" s="34"/>
      <c r="F1094" s="34"/>
      <c r="G1094" s="35"/>
      <c r="H1094" s="34"/>
      <c r="I1094" s="37"/>
    </row>
    <row r="1095" ht="22.5" customHeight="1">
      <c r="A1095" s="30"/>
      <c r="B1095" s="39"/>
      <c r="C1095" s="32"/>
      <c r="D1095" s="33"/>
      <c r="E1095" s="34"/>
      <c r="F1095" s="34"/>
      <c r="G1095" s="35"/>
      <c r="H1095" s="34"/>
      <c r="I1095" s="37"/>
    </row>
    <row r="1096" ht="22.5" customHeight="1">
      <c r="A1096" s="30"/>
      <c r="B1096" s="31"/>
      <c r="C1096" s="32"/>
      <c r="D1096" s="33"/>
      <c r="E1096" s="34"/>
      <c r="F1096" s="34"/>
      <c r="G1096" s="35"/>
      <c r="H1096" s="34"/>
      <c r="I1096" s="37"/>
    </row>
    <row r="1097" ht="22.5" customHeight="1">
      <c r="A1097" s="30"/>
      <c r="B1097" s="31"/>
      <c r="C1097" s="32"/>
      <c r="D1097" s="33"/>
      <c r="E1097" s="34"/>
      <c r="F1097" s="34"/>
      <c r="G1097" s="35"/>
      <c r="H1097" s="34"/>
      <c r="I1097" s="37"/>
    </row>
    <row r="1098" ht="22.5" customHeight="1">
      <c r="A1098" s="30"/>
      <c r="B1098" s="31"/>
      <c r="C1098" s="32"/>
      <c r="D1098" s="33"/>
      <c r="E1098" s="34"/>
      <c r="F1098" s="34"/>
      <c r="G1098" s="35"/>
      <c r="H1098" s="34"/>
      <c r="I1098" s="37"/>
    </row>
    <row r="1099" ht="22.5" customHeight="1">
      <c r="A1099" s="30"/>
      <c r="B1099" s="31"/>
      <c r="C1099" s="32"/>
      <c r="D1099" s="33"/>
      <c r="E1099" s="34"/>
      <c r="F1099" s="34"/>
      <c r="G1099" s="35"/>
      <c r="H1099" s="34"/>
      <c r="I1099" s="37"/>
    </row>
    <row r="1100" ht="22.5" customHeight="1">
      <c r="A1100" s="30"/>
      <c r="B1100" s="31"/>
      <c r="C1100" s="32"/>
      <c r="D1100" s="33"/>
      <c r="E1100" s="34"/>
      <c r="F1100" s="34"/>
      <c r="G1100" s="35"/>
      <c r="H1100" s="34"/>
      <c r="I1100" s="37"/>
    </row>
    <row r="1101" ht="22.5" customHeight="1">
      <c r="A1101" s="30"/>
      <c r="B1101" s="31"/>
      <c r="C1101" s="32"/>
      <c r="D1101" s="33"/>
      <c r="E1101" s="34"/>
      <c r="F1101" s="34"/>
      <c r="G1101" s="35"/>
      <c r="H1101" s="34"/>
      <c r="I1101" s="37"/>
    </row>
    <row r="1102" ht="22.5" customHeight="1">
      <c r="A1102" s="30"/>
      <c r="B1102" s="31"/>
      <c r="C1102" s="32"/>
      <c r="D1102" s="33"/>
      <c r="E1102" s="34"/>
      <c r="F1102" s="34"/>
      <c r="G1102" s="35"/>
      <c r="H1102" s="34"/>
      <c r="I1102" s="37"/>
    </row>
    <row r="1103" ht="22.5" customHeight="1">
      <c r="A1103" s="30"/>
      <c r="B1103" s="31"/>
      <c r="C1103" s="32"/>
      <c r="D1103" s="33"/>
      <c r="E1103" s="34"/>
      <c r="F1103" s="34"/>
      <c r="G1103" s="35"/>
      <c r="H1103" s="34"/>
      <c r="I1103" s="37"/>
    </row>
    <row r="1104" ht="22.5" customHeight="1">
      <c r="A1104" s="30"/>
      <c r="B1104" s="31"/>
      <c r="C1104" s="32"/>
      <c r="D1104" s="33"/>
      <c r="E1104" s="34"/>
      <c r="F1104" s="34"/>
      <c r="G1104" s="35"/>
      <c r="H1104" s="34"/>
      <c r="I1104" s="37"/>
    </row>
    <row r="1105" ht="22.5" customHeight="1">
      <c r="A1105" s="30"/>
      <c r="B1105" s="31"/>
      <c r="C1105" s="32"/>
      <c r="D1105" s="33"/>
      <c r="E1105" s="34"/>
      <c r="F1105" s="34"/>
      <c r="G1105" s="35"/>
      <c r="H1105" s="34"/>
      <c r="I1105" s="37"/>
    </row>
    <row r="1106" ht="22.5" customHeight="1">
      <c r="A1106" s="30"/>
      <c r="B1106" s="40"/>
      <c r="C1106" s="32"/>
      <c r="D1106" s="33"/>
      <c r="E1106" s="34"/>
      <c r="F1106" s="34"/>
      <c r="G1106" s="35"/>
      <c r="H1106" s="34"/>
      <c r="I1106" s="37"/>
    </row>
    <row r="1107" ht="22.5" customHeight="1">
      <c r="A1107" s="30"/>
      <c r="B1107" s="31"/>
      <c r="C1107" s="32"/>
      <c r="D1107" s="33"/>
      <c r="E1107" s="34"/>
      <c r="F1107" s="34"/>
      <c r="G1107" s="35"/>
      <c r="H1107" s="34"/>
      <c r="I1107" s="37"/>
    </row>
    <row r="1108" ht="22.5" customHeight="1">
      <c r="A1108" s="30"/>
      <c r="B1108" s="31"/>
      <c r="C1108" s="32"/>
      <c r="D1108" s="33"/>
      <c r="E1108" s="34"/>
      <c r="F1108" s="34"/>
      <c r="G1108" s="35"/>
      <c r="H1108" s="34"/>
      <c r="I1108" s="37"/>
    </row>
    <row r="1109" ht="22.5" customHeight="1">
      <c r="A1109" s="30"/>
      <c r="B1109" s="31"/>
      <c r="C1109" s="32"/>
      <c r="D1109" s="33"/>
      <c r="E1109" s="34"/>
      <c r="F1109" s="34"/>
      <c r="G1109" s="35"/>
      <c r="H1109" s="34"/>
      <c r="I1109" s="37"/>
    </row>
    <row r="1110" ht="22.5" customHeight="1">
      <c r="A1110" s="30"/>
      <c r="B1110" s="31"/>
      <c r="C1110" s="32"/>
      <c r="D1110" s="33"/>
      <c r="E1110" s="34"/>
      <c r="F1110" s="34"/>
      <c r="G1110" s="35"/>
      <c r="H1110" s="34"/>
      <c r="I1110" s="37"/>
    </row>
    <row r="1111" ht="22.5" customHeight="1">
      <c r="A1111" s="30"/>
      <c r="B1111" s="31"/>
      <c r="C1111" s="32"/>
      <c r="D1111" s="33"/>
      <c r="E1111" s="34"/>
      <c r="F1111" s="34"/>
      <c r="G1111" s="35"/>
      <c r="H1111" s="34"/>
      <c r="I1111" s="37"/>
    </row>
    <row r="1112" ht="22.5" customHeight="1">
      <c r="A1112" s="30"/>
      <c r="B1112" s="31"/>
      <c r="C1112" s="32"/>
      <c r="D1112" s="33"/>
      <c r="E1112" s="34"/>
      <c r="F1112" s="34"/>
      <c r="G1112" s="35"/>
      <c r="H1112" s="34"/>
      <c r="I1112" s="37"/>
    </row>
    <row r="1113" ht="22.5" customHeight="1">
      <c r="A1113" s="30"/>
      <c r="B1113" s="39"/>
      <c r="C1113" s="32"/>
      <c r="D1113" s="33"/>
      <c r="E1113" s="34"/>
      <c r="F1113" s="34"/>
      <c r="G1113" s="35"/>
      <c r="H1113" s="34"/>
      <c r="I1113" s="37"/>
    </row>
    <row r="1114" ht="22.5" customHeight="1">
      <c r="A1114" s="30"/>
      <c r="B1114" s="39"/>
      <c r="C1114" s="32"/>
      <c r="D1114" s="33"/>
      <c r="E1114" s="34"/>
      <c r="F1114" s="34"/>
      <c r="G1114" s="35"/>
      <c r="H1114" s="34"/>
      <c r="I1114" s="37"/>
    </row>
    <row r="1115" ht="22.5" customHeight="1">
      <c r="A1115" s="30"/>
      <c r="B1115" s="39"/>
      <c r="C1115" s="32"/>
      <c r="D1115" s="33"/>
      <c r="E1115" s="34"/>
      <c r="F1115" s="34"/>
      <c r="G1115" s="35"/>
      <c r="H1115" s="34"/>
      <c r="I1115" s="37"/>
    </row>
    <row r="1116" ht="22.5" customHeight="1">
      <c r="A1116" s="30"/>
      <c r="B1116" s="40"/>
      <c r="C1116" s="32"/>
      <c r="D1116" s="33"/>
      <c r="E1116" s="34"/>
      <c r="F1116" s="34"/>
      <c r="G1116" s="35"/>
      <c r="H1116" s="34"/>
      <c r="I1116" s="37"/>
    </row>
    <row r="1117" ht="22.5" customHeight="1">
      <c r="A1117" s="30"/>
      <c r="B1117" s="31"/>
      <c r="C1117" s="32"/>
      <c r="D1117" s="33"/>
      <c r="E1117" s="34"/>
      <c r="F1117" s="34"/>
      <c r="G1117" s="35"/>
      <c r="H1117" s="34"/>
      <c r="I1117" s="37"/>
    </row>
    <row r="1118" ht="22.5" customHeight="1">
      <c r="A1118" s="30"/>
      <c r="B1118" s="31"/>
      <c r="C1118" s="32"/>
      <c r="D1118" s="33"/>
      <c r="E1118" s="34"/>
      <c r="F1118" s="34"/>
      <c r="G1118" s="35"/>
      <c r="H1118" s="34"/>
      <c r="I1118" s="37"/>
    </row>
    <row r="1119" ht="22.5" customHeight="1">
      <c r="A1119" s="30"/>
      <c r="B1119" s="31"/>
      <c r="C1119" s="32"/>
      <c r="D1119" s="33"/>
      <c r="E1119" s="34"/>
      <c r="F1119" s="34"/>
      <c r="G1119" s="35"/>
      <c r="H1119" s="34"/>
      <c r="I1119" s="37"/>
    </row>
    <row r="1120" ht="22.5" customHeight="1">
      <c r="A1120" s="30"/>
      <c r="B1120" s="31"/>
      <c r="C1120" s="32"/>
      <c r="D1120" s="33"/>
      <c r="E1120" s="34"/>
      <c r="F1120" s="34"/>
      <c r="G1120" s="35"/>
      <c r="H1120" s="34"/>
      <c r="I1120" s="37"/>
    </row>
    <row r="1121" ht="22.5" customHeight="1">
      <c r="A1121" s="30"/>
      <c r="B1121" s="31"/>
      <c r="C1121" s="32"/>
      <c r="D1121" s="33"/>
      <c r="E1121" s="34"/>
      <c r="F1121" s="34"/>
      <c r="G1121" s="35"/>
      <c r="H1121" s="34"/>
      <c r="I1121" s="37"/>
    </row>
    <row r="1122" ht="22.5" customHeight="1">
      <c r="A1122" s="30"/>
      <c r="B1122" s="31"/>
      <c r="C1122" s="32"/>
      <c r="D1122" s="33"/>
      <c r="E1122" s="34"/>
      <c r="F1122" s="34"/>
      <c r="G1122" s="35"/>
      <c r="H1122" s="34"/>
      <c r="I1122" s="37"/>
    </row>
    <row r="1123" ht="22.5" customHeight="1">
      <c r="A1123" s="30"/>
      <c r="B1123" s="31"/>
      <c r="C1123" s="32"/>
      <c r="D1123" s="33"/>
      <c r="E1123" s="34"/>
      <c r="F1123" s="34"/>
      <c r="G1123" s="35"/>
      <c r="H1123" s="34"/>
      <c r="I1123" s="37"/>
    </row>
    <row r="1124" ht="22.5" customHeight="1">
      <c r="A1124" s="30"/>
      <c r="B1124" s="31"/>
      <c r="C1124" s="32"/>
      <c r="D1124" s="33"/>
      <c r="E1124" s="34"/>
      <c r="F1124" s="34"/>
      <c r="G1124" s="35"/>
      <c r="H1124" s="34"/>
      <c r="I1124" s="37"/>
    </row>
    <row r="1125" ht="22.5" customHeight="1">
      <c r="A1125" s="30"/>
      <c r="B1125" s="31"/>
      <c r="C1125" s="32"/>
      <c r="D1125" s="33"/>
      <c r="E1125" s="34"/>
      <c r="F1125" s="34"/>
      <c r="G1125" s="35"/>
      <c r="H1125" s="34"/>
      <c r="I1125" s="37"/>
    </row>
    <row r="1126" ht="22.5" customHeight="1">
      <c r="A1126" s="30"/>
      <c r="B1126" s="40"/>
      <c r="C1126" s="32"/>
      <c r="D1126" s="33"/>
      <c r="E1126" s="34"/>
      <c r="F1126" s="34"/>
      <c r="G1126" s="35"/>
      <c r="H1126" s="34"/>
      <c r="I1126" s="37"/>
    </row>
    <row r="1127" ht="22.5" customHeight="1">
      <c r="A1127" s="30"/>
      <c r="B1127" s="31"/>
      <c r="C1127" s="32"/>
      <c r="D1127" s="33"/>
      <c r="E1127" s="34"/>
      <c r="F1127" s="34"/>
      <c r="G1127" s="35"/>
      <c r="H1127" s="34"/>
      <c r="I1127" s="37"/>
    </row>
    <row r="1128" ht="22.5" customHeight="1">
      <c r="A1128" s="30"/>
      <c r="B1128" s="31"/>
      <c r="C1128" s="32"/>
      <c r="D1128" s="33"/>
      <c r="E1128" s="34"/>
      <c r="F1128" s="34"/>
      <c r="G1128" s="35"/>
      <c r="H1128" s="34"/>
      <c r="I1128" s="37"/>
    </row>
    <row r="1129" ht="22.5" customHeight="1">
      <c r="A1129" s="30"/>
      <c r="B1129" s="31"/>
      <c r="C1129" s="32"/>
      <c r="D1129" s="33"/>
      <c r="E1129" s="34"/>
      <c r="F1129" s="34"/>
      <c r="G1129" s="35"/>
      <c r="H1129" s="34"/>
      <c r="I1129" s="37"/>
    </row>
    <row r="1130" ht="22.5" customHeight="1">
      <c r="A1130" s="30"/>
      <c r="B1130" s="40"/>
      <c r="C1130" s="32"/>
      <c r="D1130" s="33"/>
      <c r="E1130" s="34"/>
      <c r="F1130" s="34"/>
      <c r="G1130" s="35"/>
      <c r="H1130" s="34"/>
      <c r="I1130" s="37"/>
    </row>
    <row r="1131" ht="22.5" customHeight="1">
      <c r="A1131" s="30"/>
      <c r="B1131" s="31"/>
      <c r="C1131" s="32"/>
      <c r="D1131" s="33"/>
      <c r="E1131" s="34"/>
      <c r="F1131" s="34"/>
      <c r="G1131" s="35"/>
      <c r="H1131" s="34"/>
      <c r="I1131" s="37"/>
    </row>
    <row r="1132" ht="22.5" customHeight="1">
      <c r="A1132" s="30"/>
      <c r="B1132" s="31"/>
      <c r="C1132" s="32"/>
      <c r="D1132" s="33"/>
      <c r="E1132" s="34"/>
      <c r="F1132" s="34"/>
      <c r="G1132" s="35"/>
      <c r="H1132" s="34"/>
      <c r="I1132" s="37"/>
    </row>
    <row r="1133" ht="22.5" customHeight="1">
      <c r="A1133" s="30"/>
      <c r="B1133" s="31"/>
      <c r="C1133" s="32"/>
      <c r="D1133" s="33"/>
      <c r="E1133" s="34"/>
      <c r="F1133" s="34"/>
      <c r="G1133" s="35"/>
      <c r="H1133" s="34"/>
      <c r="I1133" s="37"/>
    </row>
    <row r="1134" ht="22.5" customHeight="1">
      <c r="A1134" s="30"/>
      <c r="B1134" s="31"/>
      <c r="C1134" s="32"/>
      <c r="D1134" s="33"/>
      <c r="E1134" s="34"/>
      <c r="F1134" s="34"/>
      <c r="G1134" s="35"/>
      <c r="H1134" s="34"/>
      <c r="I1134" s="37"/>
    </row>
    <row r="1135" ht="22.5" customHeight="1">
      <c r="A1135" s="30"/>
      <c r="B1135" s="31"/>
      <c r="C1135" s="32"/>
      <c r="D1135" s="33"/>
      <c r="E1135" s="34"/>
      <c r="F1135" s="34"/>
      <c r="G1135" s="35"/>
      <c r="H1135" s="34"/>
      <c r="I1135" s="37"/>
    </row>
    <row r="1136" ht="22.5" customHeight="1">
      <c r="A1136" s="30"/>
      <c r="B1136" s="31"/>
      <c r="C1136" s="32"/>
      <c r="D1136" s="33"/>
      <c r="E1136" s="34"/>
      <c r="F1136" s="34"/>
      <c r="G1136" s="35"/>
      <c r="H1136" s="34"/>
      <c r="I1136" s="37"/>
    </row>
    <row r="1137" ht="22.5" customHeight="1">
      <c r="A1137" s="30"/>
      <c r="B1137" s="31"/>
      <c r="C1137" s="32"/>
      <c r="D1137" s="33"/>
      <c r="E1137" s="34"/>
      <c r="F1137" s="34"/>
      <c r="G1137" s="35"/>
      <c r="H1137" s="34"/>
      <c r="I1137" s="37"/>
    </row>
    <row r="1138" ht="22.5" customHeight="1">
      <c r="A1138" s="30"/>
      <c r="B1138" s="31"/>
      <c r="C1138" s="32"/>
      <c r="D1138" s="33"/>
      <c r="E1138" s="34"/>
      <c r="F1138" s="34"/>
      <c r="G1138" s="35"/>
      <c r="H1138" s="34"/>
      <c r="I1138" s="37"/>
    </row>
    <row r="1139" ht="22.5" customHeight="1">
      <c r="A1139" s="30"/>
      <c r="B1139" s="31"/>
      <c r="C1139" s="32"/>
      <c r="D1139" s="33"/>
      <c r="E1139" s="34"/>
      <c r="F1139" s="34"/>
      <c r="G1139" s="35"/>
      <c r="H1139" s="34"/>
      <c r="I1139" s="37"/>
    </row>
    <row r="1140" ht="22.5" customHeight="1">
      <c r="A1140" s="30"/>
      <c r="B1140" s="31"/>
      <c r="C1140" s="32"/>
      <c r="D1140" s="33"/>
      <c r="E1140" s="34"/>
      <c r="F1140" s="34"/>
      <c r="G1140" s="35"/>
      <c r="H1140" s="34"/>
      <c r="I1140" s="37"/>
    </row>
    <row r="1141" ht="22.5" customHeight="1">
      <c r="A1141" s="30"/>
      <c r="B1141" s="31"/>
      <c r="C1141" s="32"/>
      <c r="D1141" s="33"/>
      <c r="E1141" s="34"/>
      <c r="F1141" s="34"/>
      <c r="G1141" s="35"/>
      <c r="H1141" s="34"/>
      <c r="I1141" s="37"/>
    </row>
    <row r="1142" ht="22.5" customHeight="1">
      <c r="A1142" s="30"/>
      <c r="B1142" s="31"/>
      <c r="C1142" s="32"/>
      <c r="D1142" s="33"/>
      <c r="E1142" s="34"/>
      <c r="F1142" s="34"/>
      <c r="G1142" s="35"/>
      <c r="H1142" s="34"/>
      <c r="I1142" s="37"/>
    </row>
    <row r="1143" ht="22.5" customHeight="1">
      <c r="A1143" s="30"/>
      <c r="B1143" s="31"/>
      <c r="C1143" s="32"/>
      <c r="D1143" s="33"/>
      <c r="E1143" s="34"/>
      <c r="F1143" s="34"/>
      <c r="G1143" s="35"/>
      <c r="H1143" s="34"/>
      <c r="I1143" s="37"/>
    </row>
    <row r="1144" ht="22.5" customHeight="1">
      <c r="A1144" s="30"/>
      <c r="B1144" s="31"/>
      <c r="C1144" s="32"/>
      <c r="D1144" s="33"/>
      <c r="E1144" s="34"/>
      <c r="F1144" s="34"/>
      <c r="G1144" s="35"/>
      <c r="H1144" s="34"/>
      <c r="I1144" s="37"/>
    </row>
    <row r="1145" ht="22.5" customHeight="1">
      <c r="A1145" s="30"/>
      <c r="B1145" s="40"/>
      <c r="C1145" s="32"/>
      <c r="D1145" s="33"/>
      <c r="E1145" s="34"/>
      <c r="F1145" s="34"/>
      <c r="G1145" s="35"/>
      <c r="H1145" s="34"/>
      <c r="I1145" s="37"/>
    </row>
    <row r="1146" ht="22.5" customHeight="1">
      <c r="A1146" s="30"/>
      <c r="B1146" s="31"/>
      <c r="C1146" s="32"/>
      <c r="D1146" s="33"/>
      <c r="E1146" s="34"/>
      <c r="F1146" s="34"/>
      <c r="G1146" s="35"/>
      <c r="H1146" s="34"/>
      <c r="I1146" s="37"/>
    </row>
    <row r="1147" ht="22.5" customHeight="1">
      <c r="A1147" s="30"/>
      <c r="B1147" s="40"/>
      <c r="C1147" s="32"/>
      <c r="D1147" s="33"/>
      <c r="E1147" s="34"/>
      <c r="F1147" s="34"/>
      <c r="G1147" s="35"/>
      <c r="H1147" s="34"/>
      <c r="I1147" s="37"/>
    </row>
    <row r="1148" ht="22.5" customHeight="1">
      <c r="A1148" s="30"/>
      <c r="B1148" s="31"/>
      <c r="C1148" s="32"/>
      <c r="D1148" s="33"/>
      <c r="E1148" s="34"/>
      <c r="F1148" s="34"/>
      <c r="G1148" s="35"/>
      <c r="H1148" s="34"/>
      <c r="I1148" s="37"/>
    </row>
    <row r="1149" ht="22.5" customHeight="1">
      <c r="A1149" s="30"/>
      <c r="B1149" s="31"/>
      <c r="C1149" s="32"/>
      <c r="D1149" s="33"/>
      <c r="E1149" s="34"/>
      <c r="F1149" s="34"/>
      <c r="G1149" s="35"/>
      <c r="H1149" s="34"/>
      <c r="I1149" s="37"/>
    </row>
    <row r="1150" ht="22.5" customHeight="1">
      <c r="A1150" s="30"/>
      <c r="B1150" s="31"/>
      <c r="C1150" s="32"/>
      <c r="D1150" s="33"/>
      <c r="E1150" s="34"/>
      <c r="F1150" s="34"/>
      <c r="G1150" s="35"/>
      <c r="H1150" s="34"/>
      <c r="I1150" s="37"/>
    </row>
    <row r="1151" ht="22.5" customHeight="1">
      <c r="A1151" s="30"/>
      <c r="B1151" s="31"/>
      <c r="C1151" s="32"/>
      <c r="D1151" s="33"/>
      <c r="E1151" s="34"/>
      <c r="F1151" s="34"/>
      <c r="G1151" s="35"/>
      <c r="H1151" s="34"/>
      <c r="I1151" s="37"/>
    </row>
    <row r="1152" ht="22.5" customHeight="1">
      <c r="A1152" s="30"/>
      <c r="B1152" s="40"/>
      <c r="C1152" s="32"/>
      <c r="D1152" s="33"/>
      <c r="E1152" s="34"/>
      <c r="F1152" s="34"/>
      <c r="G1152" s="35"/>
      <c r="H1152" s="34"/>
      <c r="I1152" s="37"/>
    </row>
    <row r="1153" ht="22.5" customHeight="1">
      <c r="A1153" s="30"/>
      <c r="B1153" s="31"/>
      <c r="C1153" s="32"/>
      <c r="D1153" s="33"/>
      <c r="E1153" s="34"/>
      <c r="F1153" s="34"/>
      <c r="G1153" s="35"/>
      <c r="H1153" s="34"/>
      <c r="I1153" s="37"/>
    </row>
    <row r="1154" ht="22.5" customHeight="1">
      <c r="A1154" s="30"/>
      <c r="B1154" s="31"/>
      <c r="C1154" s="32"/>
      <c r="D1154" s="33"/>
      <c r="E1154" s="34"/>
      <c r="F1154" s="34"/>
      <c r="G1154" s="35"/>
      <c r="H1154" s="34"/>
      <c r="I1154" s="37"/>
    </row>
    <row r="1155" ht="22.5" customHeight="1">
      <c r="A1155" s="30"/>
      <c r="B1155" s="31"/>
      <c r="C1155" s="32"/>
      <c r="D1155" s="33"/>
      <c r="E1155" s="34"/>
      <c r="F1155" s="34"/>
      <c r="G1155" s="35"/>
      <c r="H1155" s="34"/>
      <c r="I1155" s="37"/>
    </row>
    <row r="1156" ht="22.5" customHeight="1">
      <c r="A1156" s="30"/>
      <c r="B1156" s="31"/>
      <c r="C1156" s="32"/>
      <c r="D1156" s="33"/>
      <c r="E1156" s="34"/>
      <c r="F1156" s="34"/>
      <c r="G1156" s="35"/>
      <c r="H1156" s="34"/>
      <c r="I1156" s="37"/>
    </row>
    <row r="1157" ht="22.5" customHeight="1">
      <c r="A1157" s="30"/>
      <c r="B1157" s="31"/>
      <c r="C1157" s="32"/>
      <c r="D1157" s="33"/>
      <c r="E1157" s="34"/>
      <c r="F1157" s="34"/>
      <c r="G1157" s="35"/>
      <c r="H1157" s="34"/>
      <c r="I1157" s="37"/>
    </row>
    <row r="1158" ht="22.5" customHeight="1">
      <c r="A1158" s="30"/>
      <c r="B1158" s="31"/>
      <c r="C1158" s="32"/>
      <c r="D1158" s="33"/>
      <c r="E1158" s="34"/>
      <c r="F1158" s="34"/>
      <c r="G1158" s="35"/>
      <c r="H1158" s="34"/>
      <c r="I1158" s="37"/>
    </row>
    <row r="1159" ht="22.5" customHeight="1">
      <c r="A1159" s="30"/>
      <c r="B1159" s="31"/>
      <c r="C1159" s="32"/>
      <c r="D1159" s="33"/>
      <c r="E1159" s="34"/>
      <c r="F1159" s="34"/>
      <c r="G1159" s="35"/>
      <c r="H1159" s="34"/>
      <c r="I1159" s="37"/>
    </row>
    <row r="1160" ht="22.5" customHeight="1">
      <c r="A1160" s="30"/>
      <c r="B1160" s="31"/>
      <c r="C1160" s="32"/>
      <c r="D1160" s="33"/>
      <c r="E1160" s="34"/>
      <c r="F1160" s="34"/>
      <c r="G1160" s="35"/>
      <c r="H1160" s="34"/>
      <c r="I1160" s="37"/>
    </row>
    <row r="1161" ht="22.5" customHeight="1">
      <c r="A1161" s="30"/>
      <c r="B1161" s="31"/>
      <c r="C1161" s="32"/>
      <c r="D1161" s="33"/>
      <c r="E1161" s="34"/>
      <c r="F1161" s="34"/>
      <c r="G1161" s="35"/>
      <c r="H1161" s="34"/>
      <c r="I1161" s="37"/>
    </row>
    <row r="1162" ht="22.5" customHeight="1">
      <c r="A1162" s="30"/>
      <c r="B1162" s="31"/>
      <c r="C1162" s="32"/>
      <c r="D1162" s="33"/>
      <c r="E1162" s="34"/>
      <c r="F1162" s="34"/>
      <c r="G1162" s="35"/>
      <c r="H1162" s="34"/>
      <c r="I1162" s="37"/>
    </row>
    <row r="1163" ht="22.5" customHeight="1">
      <c r="A1163" s="30"/>
      <c r="B1163" s="31"/>
      <c r="C1163" s="32"/>
      <c r="D1163" s="33"/>
      <c r="E1163" s="34"/>
      <c r="F1163" s="34"/>
      <c r="G1163" s="35"/>
      <c r="H1163" s="34"/>
      <c r="I1163" s="37"/>
    </row>
    <row r="1164" ht="22.5" customHeight="1">
      <c r="A1164" s="30"/>
      <c r="B1164" s="31"/>
      <c r="C1164" s="32"/>
      <c r="D1164" s="33"/>
      <c r="E1164" s="34"/>
      <c r="F1164" s="34"/>
      <c r="G1164" s="35"/>
      <c r="H1164" s="34"/>
      <c r="I1164" s="37"/>
    </row>
    <row r="1165" ht="22.5" customHeight="1">
      <c r="A1165" s="30"/>
      <c r="B1165" s="31"/>
      <c r="C1165" s="32"/>
      <c r="D1165" s="33"/>
      <c r="E1165" s="34"/>
      <c r="F1165" s="34"/>
      <c r="G1165" s="35"/>
      <c r="H1165" s="34"/>
      <c r="I1165" s="37"/>
    </row>
    <row r="1166" ht="22.5" customHeight="1">
      <c r="A1166" s="30"/>
      <c r="B1166" s="31"/>
      <c r="C1166" s="32"/>
      <c r="D1166" s="33"/>
      <c r="E1166" s="34"/>
      <c r="F1166" s="34"/>
      <c r="G1166" s="35"/>
      <c r="H1166" s="34"/>
      <c r="I1166" s="37"/>
    </row>
    <row r="1167" ht="22.5" customHeight="1">
      <c r="A1167" s="30"/>
      <c r="B1167" s="31"/>
      <c r="C1167" s="32"/>
      <c r="D1167" s="33"/>
      <c r="E1167" s="34"/>
      <c r="F1167" s="34"/>
      <c r="G1167" s="35"/>
      <c r="H1167" s="34"/>
      <c r="I1167" s="37"/>
    </row>
    <row r="1168" ht="22.5" customHeight="1">
      <c r="A1168" s="30"/>
      <c r="B1168" s="31"/>
      <c r="C1168" s="32"/>
      <c r="D1168" s="33"/>
      <c r="E1168" s="34"/>
      <c r="F1168" s="34"/>
      <c r="G1168" s="35"/>
      <c r="H1168" s="34"/>
      <c r="I1168" s="37"/>
    </row>
    <row r="1169" ht="22.5" customHeight="1">
      <c r="A1169" s="30"/>
      <c r="B1169" s="31"/>
      <c r="C1169" s="32"/>
      <c r="D1169" s="33"/>
      <c r="E1169" s="34"/>
      <c r="F1169" s="34"/>
      <c r="G1169" s="35"/>
      <c r="H1169" s="34"/>
      <c r="I1169" s="37"/>
    </row>
    <row r="1170" ht="22.5" customHeight="1">
      <c r="A1170" s="30"/>
      <c r="B1170" s="31"/>
      <c r="C1170" s="32"/>
      <c r="D1170" s="33"/>
      <c r="E1170" s="34"/>
      <c r="F1170" s="34"/>
      <c r="G1170" s="35"/>
      <c r="H1170" s="34"/>
      <c r="I1170" s="37"/>
    </row>
    <row r="1171" ht="22.5" customHeight="1">
      <c r="A1171" s="30"/>
      <c r="B1171" s="31"/>
      <c r="C1171" s="32"/>
      <c r="D1171" s="33"/>
      <c r="E1171" s="34"/>
      <c r="F1171" s="34"/>
      <c r="G1171" s="35"/>
      <c r="H1171" s="34"/>
      <c r="I1171" s="37"/>
    </row>
    <row r="1172" ht="22.5" customHeight="1">
      <c r="A1172" s="30"/>
      <c r="B1172" s="31"/>
      <c r="C1172" s="32"/>
      <c r="D1172" s="33"/>
      <c r="E1172" s="34"/>
      <c r="F1172" s="34"/>
      <c r="G1172" s="35"/>
      <c r="H1172" s="34"/>
      <c r="I1172" s="37"/>
    </row>
    <row r="1173" ht="22.5" customHeight="1">
      <c r="A1173" s="30"/>
      <c r="B1173" s="31"/>
      <c r="C1173" s="32"/>
      <c r="D1173" s="33"/>
      <c r="E1173" s="34"/>
      <c r="F1173" s="34"/>
      <c r="G1173" s="35"/>
      <c r="H1173" s="34"/>
      <c r="I1173" s="37"/>
    </row>
    <row r="1174" ht="22.5" customHeight="1">
      <c r="A1174" s="30"/>
      <c r="B1174" s="40"/>
      <c r="C1174" s="32"/>
      <c r="D1174" s="33"/>
      <c r="E1174" s="34"/>
      <c r="F1174" s="34"/>
      <c r="G1174" s="35"/>
      <c r="H1174" s="34"/>
      <c r="I1174" s="37"/>
    </row>
    <row r="1175" ht="22.5" customHeight="1">
      <c r="A1175" s="30"/>
      <c r="B1175" s="31"/>
      <c r="C1175" s="32"/>
      <c r="D1175" s="33"/>
      <c r="E1175" s="34"/>
      <c r="F1175" s="34"/>
      <c r="G1175" s="35"/>
      <c r="H1175" s="34"/>
      <c r="I1175" s="37"/>
    </row>
    <row r="1176" ht="22.5" customHeight="1">
      <c r="A1176" s="30"/>
      <c r="B1176" s="31"/>
      <c r="C1176" s="32"/>
      <c r="D1176" s="33"/>
      <c r="E1176" s="34"/>
      <c r="F1176" s="34"/>
      <c r="G1176" s="35"/>
      <c r="H1176" s="34"/>
      <c r="I1176" s="37"/>
    </row>
    <row r="1177" ht="22.5" customHeight="1">
      <c r="A1177" s="30"/>
      <c r="B1177" s="31"/>
      <c r="C1177" s="32"/>
      <c r="D1177" s="33"/>
      <c r="E1177" s="34"/>
      <c r="F1177" s="34"/>
      <c r="G1177" s="35"/>
      <c r="H1177" s="34"/>
      <c r="I1177" s="37"/>
    </row>
    <row r="1178" ht="22.5" customHeight="1">
      <c r="A1178" s="30"/>
      <c r="B1178" s="31"/>
      <c r="C1178" s="32"/>
      <c r="D1178" s="33"/>
      <c r="E1178" s="34"/>
      <c r="F1178" s="34"/>
      <c r="G1178" s="35"/>
      <c r="H1178" s="34"/>
      <c r="I1178" s="38"/>
    </row>
    <row r="1179" ht="22.5" customHeight="1">
      <c r="A1179" s="30"/>
      <c r="B1179" s="39"/>
      <c r="C1179" s="32"/>
      <c r="D1179" s="33"/>
      <c r="E1179" s="34"/>
      <c r="F1179" s="34"/>
      <c r="G1179" s="35"/>
      <c r="H1179" s="34"/>
      <c r="I1179" s="37"/>
    </row>
    <row r="1180" ht="22.5" customHeight="1">
      <c r="A1180" s="30"/>
      <c r="B1180" s="31"/>
      <c r="C1180" s="32"/>
      <c r="D1180" s="33"/>
      <c r="E1180" s="34"/>
      <c r="F1180" s="34"/>
      <c r="G1180" s="35"/>
      <c r="H1180" s="34"/>
      <c r="I1180" s="37"/>
    </row>
    <row r="1181" ht="22.5" customHeight="1">
      <c r="A1181" s="30"/>
      <c r="B1181" s="31"/>
      <c r="C1181" s="32"/>
      <c r="D1181" s="33"/>
      <c r="E1181" s="34"/>
      <c r="F1181" s="34"/>
      <c r="G1181" s="35"/>
      <c r="H1181" s="34"/>
      <c r="I1181" s="37"/>
    </row>
    <row r="1182" ht="22.5" customHeight="1">
      <c r="A1182" s="30"/>
      <c r="B1182" s="31"/>
      <c r="C1182" s="32"/>
      <c r="D1182" s="33"/>
      <c r="E1182" s="34"/>
      <c r="F1182" s="34"/>
      <c r="G1182" s="35"/>
      <c r="H1182" s="34"/>
      <c r="I1182" s="37"/>
    </row>
    <row r="1183" ht="22.5" customHeight="1">
      <c r="A1183" s="30"/>
      <c r="B1183" s="39"/>
      <c r="C1183" s="32"/>
      <c r="D1183" s="33"/>
      <c r="E1183" s="34"/>
      <c r="F1183" s="34"/>
      <c r="G1183" s="35"/>
      <c r="H1183" s="34"/>
      <c r="I1183" s="37"/>
    </row>
    <row r="1184" ht="22.5" customHeight="1">
      <c r="A1184" s="30"/>
      <c r="B1184" s="31"/>
      <c r="C1184" s="32"/>
      <c r="D1184" s="33"/>
      <c r="E1184" s="34"/>
      <c r="F1184" s="34"/>
      <c r="G1184" s="35"/>
      <c r="H1184" s="34"/>
      <c r="I1184" s="37"/>
    </row>
    <row r="1185" ht="22.5" customHeight="1">
      <c r="A1185" s="30"/>
      <c r="B1185" s="39"/>
      <c r="C1185" s="32"/>
      <c r="D1185" s="33"/>
      <c r="E1185" s="34"/>
      <c r="F1185" s="34"/>
      <c r="G1185" s="35"/>
      <c r="H1185" s="34"/>
      <c r="I1185" s="37"/>
    </row>
    <row r="1186" ht="22.5" customHeight="1">
      <c r="A1186" s="30"/>
      <c r="B1186" s="31"/>
      <c r="C1186" s="32"/>
      <c r="D1186" s="33"/>
      <c r="E1186" s="34"/>
      <c r="F1186" s="34"/>
      <c r="G1186" s="35"/>
      <c r="H1186" s="34"/>
      <c r="I1186" s="37"/>
    </row>
    <row r="1187" ht="22.5" customHeight="1">
      <c r="A1187" s="30"/>
      <c r="B1187" s="31"/>
      <c r="C1187" s="32"/>
      <c r="D1187" s="33"/>
      <c r="E1187" s="34"/>
      <c r="F1187" s="34"/>
      <c r="G1187" s="35"/>
      <c r="H1187" s="34"/>
      <c r="I1187" s="37"/>
    </row>
    <row r="1188" ht="22.5" customHeight="1">
      <c r="A1188" s="30"/>
      <c r="B1188" s="31"/>
      <c r="C1188" s="32"/>
      <c r="D1188" s="33"/>
      <c r="E1188" s="34"/>
      <c r="F1188" s="34"/>
      <c r="G1188" s="35"/>
      <c r="H1188" s="34"/>
      <c r="I1188" s="37"/>
    </row>
    <row r="1189" ht="22.5" customHeight="1">
      <c r="A1189" s="30"/>
      <c r="B1189" s="31"/>
      <c r="C1189" s="32"/>
      <c r="D1189" s="33"/>
      <c r="E1189" s="34"/>
      <c r="F1189" s="34"/>
      <c r="G1189" s="35"/>
      <c r="H1189" s="34"/>
      <c r="I1189" s="37"/>
    </row>
    <row r="1190" ht="22.5" customHeight="1">
      <c r="A1190" s="30"/>
      <c r="B1190" s="31"/>
      <c r="C1190" s="32"/>
      <c r="D1190" s="33"/>
      <c r="E1190" s="34"/>
      <c r="F1190" s="34"/>
      <c r="G1190" s="35"/>
      <c r="H1190" s="34"/>
      <c r="I1190" s="37"/>
    </row>
    <row r="1191" ht="22.5" customHeight="1">
      <c r="A1191" s="30"/>
      <c r="B1191" s="31"/>
      <c r="C1191" s="32"/>
      <c r="D1191" s="33"/>
      <c r="E1191" s="34"/>
      <c r="F1191" s="34"/>
      <c r="G1191" s="35"/>
      <c r="H1191" s="34"/>
      <c r="I1191" s="37"/>
    </row>
    <row r="1192" ht="22.5" customHeight="1">
      <c r="A1192" s="30"/>
      <c r="B1192" s="31"/>
      <c r="C1192" s="32"/>
      <c r="D1192" s="33"/>
      <c r="E1192" s="34"/>
      <c r="F1192" s="34"/>
      <c r="G1192" s="35"/>
      <c r="H1192" s="34"/>
      <c r="I1192" s="37"/>
    </row>
    <row r="1193" ht="22.5" customHeight="1">
      <c r="A1193" s="30"/>
      <c r="B1193" s="31"/>
      <c r="C1193" s="32"/>
      <c r="D1193" s="33"/>
      <c r="E1193" s="34"/>
      <c r="F1193" s="34"/>
      <c r="G1193" s="35"/>
      <c r="H1193" s="34"/>
      <c r="I1193" s="37"/>
    </row>
    <row r="1194" ht="22.5" customHeight="1">
      <c r="A1194" s="30"/>
      <c r="B1194" s="31"/>
      <c r="C1194" s="32"/>
      <c r="D1194" s="33"/>
      <c r="E1194" s="34"/>
      <c r="F1194" s="34"/>
      <c r="G1194" s="35"/>
      <c r="H1194" s="34"/>
      <c r="I1194" s="37"/>
    </row>
    <row r="1195" ht="22.5" customHeight="1">
      <c r="A1195" s="30"/>
      <c r="B1195" s="31"/>
      <c r="C1195" s="32"/>
      <c r="D1195" s="33"/>
      <c r="E1195" s="34"/>
      <c r="F1195" s="34"/>
      <c r="G1195" s="35"/>
      <c r="H1195" s="34"/>
      <c r="I1195" s="37"/>
    </row>
    <row r="1196" ht="22.5" customHeight="1">
      <c r="A1196" s="30"/>
      <c r="B1196" s="40"/>
      <c r="C1196" s="32"/>
      <c r="D1196" s="33"/>
      <c r="E1196" s="34"/>
      <c r="F1196" s="34"/>
      <c r="G1196" s="35"/>
      <c r="H1196" s="34"/>
      <c r="I1196" s="37"/>
    </row>
    <row r="1197" ht="22.5" customHeight="1">
      <c r="A1197" s="30"/>
      <c r="B1197" s="31"/>
      <c r="C1197" s="32"/>
      <c r="D1197" s="33"/>
      <c r="E1197" s="34"/>
      <c r="F1197" s="34"/>
      <c r="G1197" s="35"/>
      <c r="H1197" s="34"/>
      <c r="I1197" s="37"/>
    </row>
    <row r="1198" ht="22.5" customHeight="1">
      <c r="A1198" s="30"/>
      <c r="B1198" s="31"/>
      <c r="C1198" s="32"/>
      <c r="D1198" s="33"/>
      <c r="E1198" s="34"/>
      <c r="F1198" s="34"/>
      <c r="G1198" s="35"/>
      <c r="H1198" s="34"/>
      <c r="I1198" s="37"/>
    </row>
    <row r="1199" ht="22.5" customHeight="1">
      <c r="A1199" s="30"/>
      <c r="B1199" s="31"/>
      <c r="C1199" s="32"/>
      <c r="D1199" s="33"/>
      <c r="E1199" s="34"/>
      <c r="F1199" s="34"/>
      <c r="G1199" s="35"/>
      <c r="H1199" s="34"/>
      <c r="I1199" s="37"/>
    </row>
    <row r="1200" ht="22.5" customHeight="1">
      <c r="A1200" s="30"/>
      <c r="B1200" s="31"/>
      <c r="C1200" s="32"/>
      <c r="D1200" s="33"/>
      <c r="E1200" s="34"/>
      <c r="F1200" s="34"/>
      <c r="G1200" s="35"/>
      <c r="H1200" s="34"/>
      <c r="I1200" s="37"/>
    </row>
    <row r="1201" ht="22.5" customHeight="1">
      <c r="A1201" s="30"/>
      <c r="B1201" s="31"/>
      <c r="C1201" s="32"/>
      <c r="D1201" s="33"/>
      <c r="E1201" s="34"/>
      <c r="F1201" s="34"/>
      <c r="G1201" s="35"/>
      <c r="H1201" s="34"/>
      <c r="I1201" s="37"/>
    </row>
    <row r="1202" ht="22.5" customHeight="1">
      <c r="A1202" s="30"/>
      <c r="B1202" s="31"/>
      <c r="C1202" s="32"/>
      <c r="D1202" s="33"/>
      <c r="E1202" s="34"/>
      <c r="F1202" s="34"/>
      <c r="G1202" s="35"/>
      <c r="H1202" s="34"/>
      <c r="I1202" s="37"/>
    </row>
    <row r="1203" ht="22.5" customHeight="1">
      <c r="A1203" s="30"/>
      <c r="B1203" s="39"/>
      <c r="C1203" s="32"/>
      <c r="D1203" s="33"/>
      <c r="E1203" s="34"/>
      <c r="F1203" s="34"/>
      <c r="G1203" s="35"/>
      <c r="H1203" s="34"/>
      <c r="I1203" s="37"/>
    </row>
    <row r="1204" ht="22.5" customHeight="1">
      <c r="A1204" s="30"/>
      <c r="B1204" s="39"/>
      <c r="C1204" s="32"/>
      <c r="D1204" s="33"/>
      <c r="E1204" s="34"/>
      <c r="F1204" s="34"/>
      <c r="G1204" s="35"/>
      <c r="H1204" s="34"/>
      <c r="I1204" s="37"/>
    </row>
    <row r="1205" ht="22.5" customHeight="1">
      <c r="A1205" s="30"/>
      <c r="B1205" s="39"/>
      <c r="C1205" s="32"/>
      <c r="D1205" s="33"/>
      <c r="E1205" s="34"/>
      <c r="F1205" s="34"/>
      <c r="G1205" s="35"/>
      <c r="H1205" s="34"/>
      <c r="I1205" s="37"/>
    </row>
    <row r="1206" ht="22.5" customHeight="1">
      <c r="A1206" s="30"/>
      <c r="B1206" s="40"/>
      <c r="C1206" s="32"/>
      <c r="D1206" s="33"/>
      <c r="E1206" s="34"/>
      <c r="F1206" s="34"/>
      <c r="G1206" s="35"/>
      <c r="H1206" s="34"/>
      <c r="I1206" s="37"/>
    </row>
    <row r="1207" ht="22.5" customHeight="1">
      <c r="A1207" s="30"/>
      <c r="B1207" s="31"/>
      <c r="C1207" s="32"/>
      <c r="D1207" s="33"/>
      <c r="E1207" s="34"/>
      <c r="F1207" s="34"/>
      <c r="G1207" s="35"/>
      <c r="H1207" s="34"/>
      <c r="I1207" s="37"/>
    </row>
    <row r="1208" ht="22.5" customHeight="1">
      <c r="A1208" s="30"/>
      <c r="B1208" s="31"/>
      <c r="C1208" s="32"/>
      <c r="D1208" s="33"/>
      <c r="E1208" s="34"/>
      <c r="F1208" s="34"/>
      <c r="G1208" s="35"/>
      <c r="H1208" s="34"/>
      <c r="I1208" s="37"/>
    </row>
    <row r="1209" ht="22.5" customHeight="1">
      <c r="A1209" s="30"/>
      <c r="B1209" s="31"/>
      <c r="C1209" s="32"/>
      <c r="D1209" s="33"/>
      <c r="E1209" s="34"/>
      <c r="F1209" s="34"/>
      <c r="G1209" s="35"/>
      <c r="H1209" s="34"/>
      <c r="I1209" s="37"/>
    </row>
    <row r="1210" ht="22.5" customHeight="1">
      <c r="A1210" s="30"/>
      <c r="B1210" s="31"/>
      <c r="C1210" s="32"/>
      <c r="D1210" s="33"/>
      <c r="E1210" s="34"/>
      <c r="F1210" s="34"/>
      <c r="G1210" s="35"/>
      <c r="H1210" s="34"/>
      <c r="I1210" s="37"/>
    </row>
    <row r="1211" ht="22.5" customHeight="1">
      <c r="A1211" s="30"/>
      <c r="B1211" s="31"/>
      <c r="C1211" s="32"/>
      <c r="D1211" s="33"/>
      <c r="E1211" s="34"/>
      <c r="F1211" s="34"/>
      <c r="G1211" s="35"/>
      <c r="H1211" s="34"/>
      <c r="I1211" s="37"/>
    </row>
    <row r="1212" ht="22.5" customHeight="1">
      <c r="A1212" s="30"/>
      <c r="B1212" s="31"/>
      <c r="C1212" s="32"/>
      <c r="D1212" s="33"/>
      <c r="E1212" s="34"/>
      <c r="F1212" s="34"/>
      <c r="G1212" s="35"/>
      <c r="H1212" s="34"/>
      <c r="I1212" s="37"/>
    </row>
    <row r="1213" ht="22.5" customHeight="1">
      <c r="A1213" s="30"/>
      <c r="B1213" s="31"/>
      <c r="C1213" s="32"/>
      <c r="D1213" s="33"/>
      <c r="E1213" s="34"/>
      <c r="F1213" s="34"/>
      <c r="G1213" s="35"/>
      <c r="H1213" s="34"/>
      <c r="I1213" s="37"/>
    </row>
    <row r="1214" ht="22.5" customHeight="1">
      <c r="A1214" s="30"/>
      <c r="B1214" s="31"/>
      <c r="C1214" s="32"/>
      <c r="D1214" s="33"/>
      <c r="E1214" s="34"/>
      <c r="F1214" s="34"/>
      <c r="G1214" s="35"/>
      <c r="H1214" s="34"/>
      <c r="I1214" s="37"/>
    </row>
    <row r="1215" ht="22.5" customHeight="1">
      <c r="A1215" s="30"/>
      <c r="B1215" s="31"/>
      <c r="C1215" s="32"/>
      <c r="D1215" s="33"/>
      <c r="E1215" s="34"/>
      <c r="F1215" s="34"/>
      <c r="G1215" s="35"/>
      <c r="H1215" s="34"/>
      <c r="I1215" s="37"/>
    </row>
    <row r="1216" ht="22.5" customHeight="1">
      <c r="A1216" s="30"/>
      <c r="B1216" s="40"/>
      <c r="C1216" s="32"/>
      <c r="D1216" s="33"/>
      <c r="E1216" s="34"/>
      <c r="F1216" s="34"/>
      <c r="G1216" s="35"/>
      <c r="H1216" s="34"/>
      <c r="I1216" s="37"/>
    </row>
    <row r="1217" ht="22.5" customHeight="1">
      <c r="A1217" s="30"/>
      <c r="B1217" s="31"/>
      <c r="C1217" s="32"/>
      <c r="D1217" s="33"/>
      <c r="E1217" s="34"/>
      <c r="F1217" s="34"/>
      <c r="G1217" s="35"/>
      <c r="H1217" s="34"/>
      <c r="I1217" s="37"/>
    </row>
    <row r="1218" ht="22.5" customHeight="1">
      <c r="A1218" s="30"/>
      <c r="B1218" s="31"/>
      <c r="C1218" s="32"/>
      <c r="D1218" s="33"/>
      <c r="E1218" s="34"/>
      <c r="F1218" s="34"/>
      <c r="G1218" s="35"/>
      <c r="H1218" s="34"/>
      <c r="I1218" s="37"/>
    </row>
    <row r="1219" ht="22.5" customHeight="1">
      <c r="A1219" s="30"/>
      <c r="B1219" s="31"/>
      <c r="C1219" s="32"/>
      <c r="D1219" s="33"/>
      <c r="E1219" s="34"/>
      <c r="F1219" s="34"/>
      <c r="G1219" s="35"/>
      <c r="H1219" s="34"/>
      <c r="I1219" s="37"/>
    </row>
    <row r="1220" ht="22.5" customHeight="1">
      <c r="A1220" s="30"/>
      <c r="B1220" s="40"/>
      <c r="C1220" s="32"/>
      <c r="D1220" s="33"/>
      <c r="E1220" s="34"/>
      <c r="F1220" s="34"/>
      <c r="G1220" s="35"/>
      <c r="H1220" s="34"/>
      <c r="I1220" s="37"/>
    </row>
    <row r="1221" ht="22.5" customHeight="1">
      <c r="A1221" s="30"/>
      <c r="B1221" s="31"/>
      <c r="C1221" s="32"/>
      <c r="D1221" s="33"/>
      <c r="E1221" s="34"/>
      <c r="F1221" s="34"/>
      <c r="G1221" s="35"/>
      <c r="H1221" s="34"/>
      <c r="I1221" s="37"/>
    </row>
    <row r="1222" ht="22.5" customHeight="1">
      <c r="A1222" s="30"/>
      <c r="B1222" s="31"/>
      <c r="C1222" s="32"/>
      <c r="D1222" s="33"/>
      <c r="E1222" s="34"/>
      <c r="F1222" s="34"/>
      <c r="G1222" s="35"/>
      <c r="H1222" s="34"/>
      <c r="I1222" s="37"/>
    </row>
    <row r="1223" ht="22.5" customHeight="1">
      <c r="A1223" s="30"/>
      <c r="B1223" s="31"/>
      <c r="C1223" s="32"/>
      <c r="D1223" s="33"/>
      <c r="E1223" s="34"/>
      <c r="F1223" s="34"/>
      <c r="G1223" s="35"/>
      <c r="H1223" s="34"/>
      <c r="I1223" s="37"/>
    </row>
    <row r="1224" ht="22.5" customHeight="1">
      <c r="A1224" s="30"/>
      <c r="B1224" s="31"/>
      <c r="C1224" s="32"/>
      <c r="D1224" s="33"/>
      <c r="E1224" s="34"/>
      <c r="F1224" s="34"/>
      <c r="G1224" s="35"/>
      <c r="H1224" s="34"/>
      <c r="I1224" s="37"/>
    </row>
    <row r="1225" ht="22.5" customHeight="1">
      <c r="A1225" s="30"/>
      <c r="B1225" s="31"/>
      <c r="C1225" s="32"/>
      <c r="D1225" s="33"/>
      <c r="E1225" s="34"/>
      <c r="F1225" s="34"/>
      <c r="G1225" s="35"/>
      <c r="H1225" s="34"/>
      <c r="I1225" s="37"/>
    </row>
    <row r="1226" ht="22.5" customHeight="1">
      <c r="A1226" s="30"/>
      <c r="B1226" s="31"/>
      <c r="C1226" s="32"/>
      <c r="D1226" s="33"/>
      <c r="E1226" s="34"/>
      <c r="F1226" s="34"/>
      <c r="G1226" s="35"/>
      <c r="H1226" s="34"/>
      <c r="I1226" s="37"/>
    </row>
    <row r="1227" ht="22.5" customHeight="1">
      <c r="A1227" s="30"/>
      <c r="B1227" s="31"/>
      <c r="C1227" s="32"/>
      <c r="D1227" s="33"/>
      <c r="E1227" s="34"/>
      <c r="F1227" s="34"/>
      <c r="G1227" s="35"/>
      <c r="H1227" s="34"/>
      <c r="I1227" s="37"/>
    </row>
    <row r="1228" ht="22.5" customHeight="1">
      <c r="A1228" s="30"/>
      <c r="B1228" s="31"/>
      <c r="C1228" s="32"/>
      <c r="D1228" s="33"/>
      <c r="E1228" s="34"/>
      <c r="F1228" s="34"/>
      <c r="G1228" s="35"/>
      <c r="H1228" s="34"/>
      <c r="I1228" s="37"/>
    </row>
    <row r="1229" ht="22.5" customHeight="1">
      <c r="A1229" s="30"/>
      <c r="B1229" s="31"/>
      <c r="C1229" s="32"/>
      <c r="D1229" s="33"/>
      <c r="E1229" s="34"/>
      <c r="F1229" s="34"/>
      <c r="G1229" s="35"/>
      <c r="H1229" s="34"/>
      <c r="I1229" s="37"/>
    </row>
    <row r="1230" ht="22.5" customHeight="1">
      <c r="A1230" s="30"/>
      <c r="B1230" s="31"/>
      <c r="C1230" s="32"/>
      <c r="D1230" s="33"/>
      <c r="E1230" s="34"/>
      <c r="F1230" s="34"/>
      <c r="G1230" s="35"/>
      <c r="H1230" s="34"/>
      <c r="I1230" s="37"/>
    </row>
    <row r="1231" ht="22.5" customHeight="1">
      <c r="A1231" s="30"/>
      <c r="B1231" s="31"/>
      <c r="C1231" s="32"/>
      <c r="D1231" s="33"/>
      <c r="E1231" s="34"/>
      <c r="F1231" s="34"/>
      <c r="G1231" s="35"/>
      <c r="H1231" s="34"/>
      <c r="I1231" s="37"/>
    </row>
    <row r="1232" ht="22.5" customHeight="1">
      <c r="A1232" s="30"/>
      <c r="B1232" s="31"/>
      <c r="C1232" s="32"/>
      <c r="D1232" s="33"/>
      <c r="E1232" s="34"/>
      <c r="F1232" s="34"/>
      <c r="G1232" s="35"/>
      <c r="H1232" s="34"/>
      <c r="I1232" s="37"/>
    </row>
    <row r="1233" ht="22.5" customHeight="1">
      <c r="A1233" s="30"/>
      <c r="B1233" s="31"/>
      <c r="C1233" s="32"/>
      <c r="D1233" s="33"/>
      <c r="E1233" s="34"/>
      <c r="F1233" s="34"/>
      <c r="G1233" s="35"/>
      <c r="H1233" s="34"/>
      <c r="I1233" s="37"/>
    </row>
    <row r="1234" ht="22.5" customHeight="1">
      <c r="A1234" s="30"/>
      <c r="B1234" s="31"/>
      <c r="C1234" s="32"/>
      <c r="D1234" s="33"/>
      <c r="E1234" s="34"/>
      <c r="F1234" s="34"/>
      <c r="G1234" s="35"/>
      <c r="H1234" s="34"/>
      <c r="I1234" s="37"/>
    </row>
    <row r="1235" ht="22.5" customHeight="1">
      <c r="A1235" s="30"/>
      <c r="B1235" s="40"/>
      <c r="C1235" s="32"/>
      <c r="D1235" s="33"/>
      <c r="E1235" s="34"/>
      <c r="F1235" s="34"/>
      <c r="G1235" s="35"/>
      <c r="H1235" s="34"/>
      <c r="I1235" s="37"/>
    </row>
    <row r="1236" ht="22.5" customHeight="1">
      <c r="A1236" s="30"/>
      <c r="B1236" s="31"/>
      <c r="C1236" s="32"/>
      <c r="D1236" s="33"/>
      <c r="E1236" s="34"/>
      <c r="F1236" s="34"/>
      <c r="G1236" s="35"/>
      <c r="H1236" s="34"/>
      <c r="I1236" s="37"/>
    </row>
    <row r="1237" ht="22.5" customHeight="1">
      <c r="A1237" s="30"/>
      <c r="B1237" s="40"/>
      <c r="C1237" s="32"/>
      <c r="D1237" s="33"/>
      <c r="E1237" s="34"/>
      <c r="F1237" s="34"/>
      <c r="G1237" s="35"/>
      <c r="H1237" s="34"/>
      <c r="I1237" s="37"/>
    </row>
    <row r="1238" ht="22.5" customHeight="1">
      <c r="A1238" s="30"/>
      <c r="B1238" s="31"/>
      <c r="C1238" s="32"/>
      <c r="D1238" s="33"/>
      <c r="E1238" s="34"/>
      <c r="F1238" s="34"/>
      <c r="G1238" s="35"/>
      <c r="H1238" s="34"/>
      <c r="I1238" s="37"/>
    </row>
    <row r="1239" ht="22.5" customHeight="1">
      <c r="A1239" s="30"/>
      <c r="B1239" s="31"/>
      <c r="C1239" s="32"/>
      <c r="D1239" s="33"/>
      <c r="E1239" s="34"/>
      <c r="F1239" s="34"/>
      <c r="G1239" s="35"/>
      <c r="H1239" s="34"/>
      <c r="I1239" s="37"/>
    </row>
    <row r="1240" ht="22.5" customHeight="1">
      <c r="A1240" s="30"/>
      <c r="B1240" s="31"/>
      <c r="C1240" s="32"/>
      <c r="D1240" s="33"/>
      <c r="E1240" s="34"/>
      <c r="F1240" s="34"/>
      <c r="G1240" s="35"/>
      <c r="H1240" s="34"/>
      <c r="I1240" s="37"/>
    </row>
    <row r="1241" ht="22.5" customHeight="1">
      <c r="A1241" s="30"/>
      <c r="B1241" s="31"/>
      <c r="C1241" s="32"/>
      <c r="D1241" s="33"/>
      <c r="E1241" s="34"/>
      <c r="F1241" s="34"/>
      <c r="G1241" s="35"/>
      <c r="H1241" s="34"/>
      <c r="I1241" s="37"/>
    </row>
    <row r="1242" ht="22.5" customHeight="1">
      <c r="A1242" s="30"/>
      <c r="B1242" s="40"/>
      <c r="C1242" s="32"/>
      <c r="D1242" s="33"/>
      <c r="E1242" s="34"/>
      <c r="F1242" s="34"/>
      <c r="G1242" s="35"/>
      <c r="H1242" s="34"/>
      <c r="I1242" s="37"/>
    </row>
    <row r="1243" ht="22.5" customHeight="1">
      <c r="A1243" s="30"/>
      <c r="B1243" s="31"/>
      <c r="C1243" s="32"/>
      <c r="D1243" s="33"/>
      <c r="E1243" s="34"/>
      <c r="F1243" s="34"/>
      <c r="G1243" s="35"/>
      <c r="H1243" s="34"/>
      <c r="I1243" s="37"/>
    </row>
    <row r="1244" ht="22.5" customHeight="1">
      <c r="A1244" s="30"/>
      <c r="B1244" s="31"/>
      <c r="C1244" s="32"/>
      <c r="D1244" s="33"/>
      <c r="E1244" s="34"/>
      <c r="F1244" s="34"/>
      <c r="G1244" s="35"/>
      <c r="H1244" s="34"/>
      <c r="I1244" s="37"/>
    </row>
    <row r="1245" ht="22.5" customHeight="1">
      <c r="A1245" s="30"/>
      <c r="B1245" s="31"/>
      <c r="C1245" s="32"/>
      <c r="D1245" s="33"/>
      <c r="E1245" s="34"/>
      <c r="F1245" s="34"/>
      <c r="G1245" s="35"/>
      <c r="H1245" s="34"/>
      <c r="I1245" s="37"/>
    </row>
    <row r="1246" ht="22.5" customHeight="1">
      <c r="A1246" s="30"/>
      <c r="B1246" s="31"/>
      <c r="C1246" s="32"/>
      <c r="D1246" s="33"/>
      <c r="E1246" s="34"/>
      <c r="F1246" s="34"/>
      <c r="G1246" s="35"/>
      <c r="H1246" s="34"/>
      <c r="I1246" s="37"/>
    </row>
    <row r="1247" ht="22.5" customHeight="1">
      <c r="A1247" s="30"/>
      <c r="B1247" s="31"/>
      <c r="C1247" s="32"/>
      <c r="D1247" s="33"/>
      <c r="E1247" s="34"/>
      <c r="F1247" s="34"/>
      <c r="G1247" s="35"/>
      <c r="H1247" s="34"/>
      <c r="I1247" s="37"/>
    </row>
    <row r="1248" ht="22.5" customHeight="1">
      <c r="A1248" s="30"/>
      <c r="B1248" s="31"/>
      <c r="C1248" s="32"/>
      <c r="D1248" s="33"/>
      <c r="E1248" s="34"/>
      <c r="F1248" s="34"/>
      <c r="G1248" s="35"/>
      <c r="H1248" s="34"/>
      <c r="I1248" s="37"/>
    </row>
    <row r="1249" ht="22.5" customHeight="1">
      <c r="A1249" s="30"/>
      <c r="B1249" s="31"/>
      <c r="C1249" s="32"/>
      <c r="D1249" s="33"/>
      <c r="E1249" s="34"/>
      <c r="F1249" s="34"/>
      <c r="G1249" s="35"/>
      <c r="H1249" s="34"/>
      <c r="I1249" s="37"/>
    </row>
    <row r="1250" ht="22.5" customHeight="1">
      <c r="A1250" s="30"/>
      <c r="B1250" s="31"/>
      <c r="C1250" s="32"/>
      <c r="D1250" s="33"/>
      <c r="E1250" s="34"/>
      <c r="F1250" s="34"/>
      <c r="G1250" s="35"/>
      <c r="H1250" s="34"/>
      <c r="I1250" s="37"/>
    </row>
    <row r="1251" ht="22.5" customHeight="1">
      <c r="A1251" s="30"/>
      <c r="B1251" s="31"/>
      <c r="C1251" s="32"/>
      <c r="D1251" s="33"/>
      <c r="E1251" s="34"/>
      <c r="F1251" s="34"/>
      <c r="G1251" s="35"/>
      <c r="H1251" s="34"/>
      <c r="I1251" s="37"/>
    </row>
    <row r="1252" ht="22.5" customHeight="1">
      <c r="A1252" s="30"/>
      <c r="B1252" s="31"/>
      <c r="C1252" s="32"/>
      <c r="D1252" s="33"/>
      <c r="E1252" s="34"/>
      <c r="F1252" s="34"/>
      <c r="G1252" s="35"/>
      <c r="H1252" s="34"/>
      <c r="I1252" s="37"/>
    </row>
    <row r="1253" ht="22.5" customHeight="1">
      <c r="A1253" s="30"/>
      <c r="B1253" s="31"/>
      <c r="C1253" s="32"/>
      <c r="D1253" s="33"/>
      <c r="E1253" s="34"/>
      <c r="F1253" s="34"/>
      <c r="G1253" s="35"/>
      <c r="H1253" s="34"/>
      <c r="I1253" s="37"/>
    </row>
    <row r="1254" ht="22.5" customHeight="1">
      <c r="A1254" s="30"/>
      <c r="B1254" s="31"/>
      <c r="C1254" s="32"/>
      <c r="D1254" s="33"/>
      <c r="E1254" s="34"/>
      <c r="F1254" s="34"/>
      <c r="G1254" s="35"/>
      <c r="H1254" s="34"/>
      <c r="I1254" s="37"/>
    </row>
    <row r="1255" ht="22.5" customHeight="1">
      <c r="A1255" s="30"/>
      <c r="B1255" s="31"/>
      <c r="C1255" s="32"/>
      <c r="D1255" s="33"/>
      <c r="E1255" s="34"/>
      <c r="F1255" s="34"/>
      <c r="G1255" s="35"/>
      <c r="H1255" s="34"/>
      <c r="I1255" s="37"/>
    </row>
    <row r="1256" ht="22.5" customHeight="1">
      <c r="A1256" s="30"/>
      <c r="B1256" s="31"/>
      <c r="C1256" s="32"/>
      <c r="D1256" s="33"/>
      <c r="E1256" s="34"/>
      <c r="F1256" s="34"/>
      <c r="G1256" s="35"/>
      <c r="H1256" s="34"/>
      <c r="I1256" s="37"/>
    </row>
    <row r="1257" ht="22.5" customHeight="1">
      <c r="A1257" s="30"/>
      <c r="B1257" s="31"/>
      <c r="C1257" s="32"/>
      <c r="D1257" s="33"/>
      <c r="E1257" s="34"/>
      <c r="F1257" s="34"/>
      <c r="G1257" s="35"/>
      <c r="H1257" s="34"/>
      <c r="I1257" s="37"/>
    </row>
    <row r="1258" ht="22.5" customHeight="1">
      <c r="A1258" s="30"/>
      <c r="B1258" s="31"/>
      <c r="C1258" s="32"/>
      <c r="D1258" s="33"/>
      <c r="E1258" s="34"/>
      <c r="F1258" s="34"/>
      <c r="G1258" s="35"/>
      <c r="H1258" s="34"/>
      <c r="I1258" s="37"/>
    </row>
    <row r="1259" ht="22.5" customHeight="1">
      <c r="A1259" s="30"/>
      <c r="B1259" s="31"/>
      <c r="C1259" s="32"/>
      <c r="D1259" s="33"/>
      <c r="E1259" s="34"/>
      <c r="F1259" s="34"/>
      <c r="G1259" s="35"/>
      <c r="H1259" s="34"/>
      <c r="I1259" s="37"/>
    </row>
    <row r="1260" ht="22.5" customHeight="1">
      <c r="A1260" s="30"/>
      <c r="B1260" s="31"/>
      <c r="C1260" s="32"/>
      <c r="D1260" s="33"/>
      <c r="E1260" s="34"/>
      <c r="F1260" s="34"/>
      <c r="G1260" s="35"/>
      <c r="H1260" s="34"/>
      <c r="I1260" s="37"/>
    </row>
    <row r="1261" ht="22.5" customHeight="1">
      <c r="A1261" s="30"/>
      <c r="B1261" s="31"/>
      <c r="C1261" s="32"/>
      <c r="D1261" s="33"/>
      <c r="E1261" s="34"/>
      <c r="F1261" s="34"/>
      <c r="G1261" s="35"/>
      <c r="H1261" s="34"/>
      <c r="I1261" s="37"/>
    </row>
    <row r="1262" ht="22.5" customHeight="1">
      <c r="A1262" s="30"/>
      <c r="B1262" s="31"/>
      <c r="C1262" s="32"/>
      <c r="D1262" s="33"/>
      <c r="E1262" s="34"/>
      <c r="F1262" s="34"/>
      <c r="G1262" s="35"/>
      <c r="H1262" s="34"/>
      <c r="I1262" s="37"/>
    </row>
    <row r="1263" ht="22.5" customHeight="1">
      <c r="A1263" s="30"/>
      <c r="B1263" s="31"/>
      <c r="C1263" s="32"/>
      <c r="D1263" s="33"/>
      <c r="E1263" s="34"/>
      <c r="F1263" s="34"/>
      <c r="G1263" s="35"/>
      <c r="H1263" s="34"/>
      <c r="I1263" s="37"/>
    </row>
    <row r="1264" ht="22.5" customHeight="1">
      <c r="A1264" s="30"/>
      <c r="B1264" s="40"/>
      <c r="C1264" s="32"/>
      <c r="D1264" s="33"/>
      <c r="E1264" s="34"/>
      <c r="F1264" s="34"/>
      <c r="G1264" s="35"/>
      <c r="H1264" s="34"/>
      <c r="I1264" s="37"/>
    </row>
    <row r="1265" ht="22.5" customHeight="1">
      <c r="A1265" s="30"/>
      <c r="B1265" s="31"/>
      <c r="C1265" s="32"/>
      <c r="D1265" s="33"/>
      <c r="E1265" s="34"/>
      <c r="F1265" s="34"/>
      <c r="G1265" s="35"/>
      <c r="H1265" s="34"/>
      <c r="I1265" s="37"/>
    </row>
    <row r="1266" ht="22.5" customHeight="1">
      <c r="A1266" s="30"/>
      <c r="B1266" s="31"/>
      <c r="C1266" s="32"/>
      <c r="D1266" s="33"/>
      <c r="E1266" s="34"/>
      <c r="F1266" s="34"/>
      <c r="G1266" s="35"/>
      <c r="H1266" s="34"/>
      <c r="I1266" s="37"/>
    </row>
    <row r="1267" ht="22.5" customHeight="1">
      <c r="A1267" s="30"/>
      <c r="B1267" s="31"/>
      <c r="C1267" s="32"/>
      <c r="D1267" s="33"/>
      <c r="E1267" s="34"/>
      <c r="F1267" s="34"/>
      <c r="G1267" s="35"/>
      <c r="H1267" s="34"/>
      <c r="I1267" s="37"/>
    </row>
    <row r="1268" ht="22.5" customHeight="1">
      <c r="A1268" s="30"/>
      <c r="B1268" s="31"/>
      <c r="C1268" s="32"/>
      <c r="D1268" s="33"/>
      <c r="E1268" s="34"/>
      <c r="F1268" s="34"/>
      <c r="G1268" s="35"/>
      <c r="H1268" s="34"/>
      <c r="I1268" s="38"/>
    </row>
    <row r="1269" ht="22.5" customHeight="1">
      <c r="A1269" s="30"/>
      <c r="B1269" s="39"/>
      <c r="C1269" s="32"/>
      <c r="D1269" s="33"/>
      <c r="E1269" s="34"/>
      <c r="F1269" s="34"/>
      <c r="G1269" s="35"/>
      <c r="H1269" s="34"/>
      <c r="I1269" s="37"/>
    </row>
    <row r="1270" ht="22.5" customHeight="1">
      <c r="A1270" s="30"/>
      <c r="B1270" s="31"/>
      <c r="C1270" s="32"/>
      <c r="D1270" s="33"/>
      <c r="E1270" s="34"/>
      <c r="F1270" s="34"/>
      <c r="G1270" s="35"/>
      <c r="H1270" s="34"/>
      <c r="I1270" s="37"/>
    </row>
    <row r="1271" ht="22.5" customHeight="1">
      <c r="A1271" s="30"/>
      <c r="B1271" s="31"/>
      <c r="C1271" s="32"/>
      <c r="D1271" s="33"/>
      <c r="E1271" s="34"/>
      <c r="F1271" s="34"/>
      <c r="G1271" s="35"/>
      <c r="H1271" s="34"/>
      <c r="I1271" s="37"/>
    </row>
    <row r="1272" ht="22.5" customHeight="1">
      <c r="A1272" s="30"/>
      <c r="B1272" s="31"/>
      <c r="C1272" s="32"/>
      <c r="D1272" s="33"/>
      <c r="E1272" s="34"/>
      <c r="F1272" s="34"/>
      <c r="G1272" s="35"/>
      <c r="H1272" s="34"/>
      <c r="I1272" s="37"/>
    </row>
    <row r="1273" ht="22.5" customHeight="1">
      <c r="A1273" s="30"/>
      <c r="B1273" s="39"/>
      <c r="C1273" s="32"/>
      <c r="D1273" s="33"/>
      <c r="E1273" s="34"/>
      <c r="F1273" s="34"/>
      <c r="G1273" s="35"/>
      <c r="H1273" s="34"/>
      <c r="I1273" s="37"/>
    </row>
    <row r="1274" ht="22.5" customHeight="1">
      <c r="A1274" s="30"/>
      <c r="B1274" s="31"/>
      <c r="C1274" s="32"/>
      <c r="D1274" s="33"/>
      <c r="E1274" s="34"/>
      <c r="F1274" s="34"/>
      <c r="G1274" s="35"/>
      <c r="H1274" s="34"/>
      <c r="I1274" s="37"/>
    </row>
    <row r="1275" ht="22.5" customHeight="1">
      <c r="A1275" s="30"/>
      <c r="B1275" s="39"/>
      <c r="C1275" s="32"/>
      <c r="D1275" s="33"/>
      <c r="E1275" s="34"/>
      <c r="F1275" s="34"/>
      <c r="G1275" s="35"/>
      <c r="H1275" s="34"/>
      <c r="I1275" s="37"/>
    </row>
    <row r="1276" ht="22.5" customHeight="1">
      <c r="A1276" s="30"/>
      <c r="B1276" s="31"/>
      <c r="C1276" s="32"/>
      <c r="D1276" s="33"/>
      <c r="E1276" s="34"/>
      <c r="F1276" s="34"/>
      <c r="G1276" s="35"/>
      <c r="H1276" s="34"/>
      <c r="I1276" s="37"/>
    </row>
    <row r="1277" ht="22.5" customHeight="1">
      <c r="A1277" s="30"/>
      <c r="B1277" s="31"/>
      <c r="C1277" s="32"/>
      <c r="D1277" s="33"/>
      <c r="E1277" s="34"/>
      <c r="F1277" s="34"/>
      <c r="G1277" s="35"/>
      <c r="H1277" s="34"/>
      <c r="I1277" s="37"/>
    </row>
    <row r="1278" ht="22.5" customHeight="1">
      <c r="A1278" s="30"/>
      <c r="B1278" s="31"/>
      <c r="C1278" s="32"/>
      <c r="D1278" s="33"/>
      <c r="E1278" s="34"/>
      <c r="F1278" s="34"/>
      <c r="G1278" s="35"/>
      <c r="H1278" s="34"/>
      <c r="I1278" s="37"/>
    </row>
    <row r="1279" ht="22.5" customHeight="1">
      <c r="A1279" s="30"/>
      <c r="B1279" s="31"/>
      <c r="C1279" s="32"/>
      <c r="D1279" s="33"/>
      <c r="E1279" s="34"/>
      <c r="F1279" s="34"/>
      <c r="G1279" s="35"/>
      <c r="H1279" s="34"/>
      <c r="I1279" s="37"/>
    </row>
    <row r="1280" ht="22.5" customHeight="1">
      <c r="A1280" s="30"/>
      <c r="B1280" s="31"/>
      <c r="C1280" s="32"/>
      <c r="D1280" s="33"/>
      <c r="E1280" s="34"/>
      <c r="F1280" s="34"/>
      <c r="G1280" s="35"/>
      <c r="H1280" s="34"/>
      <c r="I1280" s="37"/>
    </row>
    <row r="1281" ht="22.5" customHeight="1">
      <c r="A1281" s="30"/>
      <c r="B1281" s="31"/>
      <c r="C1281" s="32"/>
      <c r="D1281" s="33"/>
      <c r="E1281" s="34"/>
      <c r="F1281" s="34"/>
      <c r="G1281" s="35"/>
      <c r="H1281" s="34"/>
      <c r="I1281" s="37"/>
    </row>
    <row r="1282" ht="22.5" customHeight="1">
      <c r="A1282" s="30"/>
      <c r="B1282" s="31"/>
      <c r="C1282" s="32"/>
      <c r="D1282" s="33"/>
      <c r="E1282" s="34"/>
      <c r="F1282" s="34"/>
      <c r="G1282" s="35"/>
      <c r="H1282" s="34"/>
      <c r="I1282" s="37"/>
    </row>
    <row r="1283" ht="22.5" customHeight="1">
      <c r="A1283" s="30"/>
      <c r="B1283" s="31"/>
      <c r="C1283" s="32"/>
      <c r="D1283" s="33"/>
      <c r="E1283" s="34"/>
      <c r="F1283" s="34"/>
      <c r="G1283" s="35"/>
      <c r="H1283" s="34"/>
      <c r="I1283" s="37"/>
    </row>
    <row r="1284" ht="22.5" customHeight="1">
      <c r="A1284" s="30"/>
      <c r="B1284" s="31"/>
      <c r="C1284" s="32"/>
      <c r="D1284" s="33"/>
      <c r="E1284" s="34"/>
      <c r="F1284" s="34"/>
      <c r="G1284" s="35"/>
      <c r="H1284" s="34"/>
      <c r="I1284" s="37"/>
    </row>
    <row r="1285" ht="22.5" customHeight="1">
      <c r="A1285" s="30"/>
      <c r="B1285" s="31"/>
      <c r="C1285" s="32"/>
      <c r="D1285" s="33"/>
      <c r="E1285" s="34"/>
      <c r="F1285" s="34"/>
      <c r="G1285" s="35"/>
      <c r="H1285" s="34"/>
      <c r="I1285" s="37"/>
    </row>
    <row r="1286" ht="22.5" customHeight="1">
      <c r="A1286" s="30"/>
      <c r="B1286" s="40"/>
      <c r="C1286" s="32"/>
      <c r="D1286" s="33"/>
      <c r="E1286" s="34"/>
      <c r="F1286" s="34"/>
      <c r="G1286" s="35"/>
      <c r="H1286" s="34"/>
      <c r="I1286" s="37"/>
    </row>
    <row r="1287" ht="22.5" customHeight="1">
      <c r="A1287" s="30"/>
      <c r="B1287" s="31"/>
      <c r="C1287" s="32"/>
      <c r="D1287" s="33"/>
      <c r="E1287" s="34"/>
      <c r="F1287" s="34"/>
      <c r="G1287" s="35"/>
      <c r="H1287" s="34"/>
      <c r="I1287" s="37"/>
    </row>
    <row r="1288" ht="22.5" customHeight="1">
      <c r="A1288" s="30"/>
      <c r="B1288" s="31"/>
      <c r="C1288" s="32"/>
      <c r="D1288" s="33"/>
      <c r="E1288" s="34"/>
      <c r="F1288" s="34"/>
      <c r="G1288" s="35"/>
      <c r="H1288" s="34"/>
      <c r="I1288" s="37"/>
    </row>
    <row r="1289" ht="22.5" customHeight="1">
      <c r="A1289" s="30"/>
      <c r="B1289" s="31"/>
      <c r="C1289" s="32"/>
      <c r="D1289" s="33"/>
      <c r="E1289" s="34"/>
      <c r="F1289" s="34"/>
      <c r="G1289" s="35"/>
      <c r="H1289" s="34"/>
      <c r="I1289" s="37"/>
    </row>
    <row r="1290" ht="22.5" customHeight="1">
      <c r="A1290" s="30"/>
      <c r="B1290" s="31"/>
      <c r="C1290" s="32"/>
      <c r="D1290" s="33"/>
      <c r="E1290" s="34"/>
      <c r="F1290" s="34"/>
      <c r="G1290" s="35"/>
      <c r="H1290" s="34"/>
      <c r="I1290" s="37"/>
    </row>
    <row r="1291" ht="22.5" customHeight="1">
      <c r="A1291" s="30"/>
      <c r="B1291" s="31"/>
      <c r="C1291" s="32"/>
      <c r="D1291" s="33"/>
      <c r="E1291" s="34"/>
      <c r="F1291" s="34"/>
      <c r="G1291" s="35"/>
      <c r="H1291" s="34"/>
      <c r="I1291" s="37"/>
    </row>
    <row r="1292" ht="22.5" customHeight="1">
      <c r="A1292" s="30"/>
      <c r="B1292" s="31"/>
      <c r="C1292" s="32"/>
      <c r="D1292" s="33"/>
      <c r="E1292" s="34"/>
      <c r="F1292" s="34"/>
      <c r="G1292" s="35"/>
      <c r="H1292" s="34"/>
      <c r="I1292" s="37"/>
    </row>
    <row r="1293" ht="22.5" customHeight="1">
      <c r="A1293" s="30"/>
      <c r="B1293" s="39"/>
      <c r="C1293" s="32"/>
      <c r="D1293" s="33"/>
      <c r="E1293" s="34"/>
      <c r="F1293" s="34"/>
      <c r="G1293" s="35"/>
      <c r="H1293" s="34"/>
      <c r="I1293" s="37"/>
    </row>
    <row r="1294" ht="22.5" customHeight="1">
      <c r="A1294" s="30"/>
      <c r="B1294" s="39"/>
      <c r="C1294" s="32"/>
      <c r="D1294" s="33"/>
      <c r="E1294" s="34"/>
      <c r="F1294" s="34"/>
      <c r="G1294" s="35"/>
      <c r="H1294" s="34"/>
      <c r="I1294" s="37"/>
    </row>
    <row r="1295" ht="22.5" customHeight="1">
      <c r="A1295" s="30"/>
      <c r="B1295" s="39"/>
      <c r="C1295" s="32"/>
      <c r="D1295" s="33"/>
      <c r="E1295" s="34"/>
      <c r="F1295" s="34"/>
      <c r="G1295" s="35"/>
      <c r="H1295" s="34"/>
      <c r="I1295" s="37"/>
    </row>
    <row r="1296" ht="22.5" customHeight="1">
      <c r="A1296" s="30"/>
      <c r="B1296" s="40"/>
      <c r="C1296" s="32"/>
      <c r="D1296" s="33"/>
      <c r="E1296" s="34"/>
      <c r="F1296" s="34"/>
      <c r="G1296" s="35"/>
      <c r="H1296" s="34"/>
      <c r="I1296" s="37"/>
    </row>
    <row r="1297" ht="22.5" customHeight="1">
      <c r="A1297" s="30"/>
      <c r="B1297" s="31"/>
      <c r="C1297" s="32"/>
      <c r="D1297" s="33"/>
      <c r="E1297" s="34"/>
      <c r="F1297" s="34"/>
      <c r="G1297" s="35"/>
      <c r="H1297" s="34"/>
      <c r="I1297" s="37"/>
    </row>
    <row r="1298" ht="22.5" customHeight="1">
      <c r="A1298" s="30"/>
      <c r="B1298" s="31"/>
      <c r="C1298" s="32"/>
      <c r="D1298" s="33"/>
      <c r="E1298" s="34"/>
      <c r="F1298" s="34"/>
      <c r="G1298" s="35"/>
      <c r="H1298" s="34"/>
      <c r="I1298" s="37"/>
    </row>
    <row r="1299" ht="22.5" customHeight="1">
      <c r="A1299" s="30"/>
      <c r="B1299" s="31"/>
      <c r="C1299" s="32"/>
      <c r="D1299" s="33"/>
      <c r="E1299" s="34"/>
      <c r="F1299" s="34"/>
      <c r="G1299" s="35"/>
      <c r="H1299" s="34"/>
      <c r="I1299" s="37"/>
    </row>
    <row r="1300" ht="22.5" customHeight="1">
      <c r="A1300" s="30"/>
      <c r="B1300" s="31"/>
      <c r="C1300" s="32"/>
      <c r="D1300" s="33"/>
      <c r="E1300" s="34"/>
      <c r="F1300" s="34"/>
      <c r="G1300" s="35"/>
      <c r="H1300" s="34"/>
      <c r="I1300" s="37"/>
    </row>
    <row r="1301" ht="22.5" customHeight="1">
      <c r="A1301" s="30"/>
      <c r="B1301" s="31"/>
      <c r="C1301" s="32"/>
      <c r="D1301" s="33"/>
      <c r="E1301" s="34"/>
      <c r="F1301" s="34"/>
      <c r="G1301" s="35"/>
      <c r="H1301" s="34"/>
      <c r="I1301" s="37"/>
    </row>
    <row r="1302" ht="22.5" customHeight="1">
      <c r="A1302" s="30"/>
      <c r="B1302" s="31"/>
      <c r="C1302" s="32"/>
      <c r="D1302" s="33"/>
      <c r="E1302" s="34"/>
      <c r="F1302" s="34"/>
      <c r="G1302" s="35"/>
      <c r="H1302" s="34"/>
      <c r="I1302" s="37"/>
    </row>
    <row r="1303" ht="22.5" customHeight="1">
      <c r="A1303" s="30"/>
      <c r="B1303" s="31"/>
      <c r="C1303" s="32"/>
      <c r="D1303" s="33"/>
      <c r="E1303" s="34"/>
      <c r="F1303" s="34"/>
      <c r="G1303" s="35"/>
      <c r="H1303" s="34"/>
      <c r="I1303" s="37"/>
    </row>
    <row r="1304" ht="22.5" customHeight="1">
      <c r="A1304" s="30"/>
      <c r="B1304" s="31"/>
      <c r="C1304" s="32"/>
      <c r="D1304" s="33"/>
      <c r="E1304" s="34"/>
      <c r="F1304" s="34"/>
      <c r="G1304" s="35"/>
      <c r="H1304" s="34"/>
      <c r="I1304" s="37"/>
    </row>
    <row r="1305" ht="22.5" customHeight="1">
      <c r="A1305" s="30"/>
      <c r="B1305" s="31"/>
      <c r="C1305" s="32"/>
      <c r="D1305" s="33"/>
      <c r="E1305" s="34"/>
      <c r="F1305" s="34"/>
      <c r="G1305" s="35"/>
      <c r="H1305" s="34"/>
      <c r="I1305" s="37"/>
    </row>
    <row r="1306" ht="22.5" customHeight="1">
      <c r="A1306" s="30"/>
      <c r="B1306" s="40"/>
      <c r="C1306" s="32"/>
      <c r="D1306" s="33"/>
      <c r="E1306" s="34"/>
      <c r="F1306" s="34"/>
      <c r="G1306" s="35"/>
      <c r="H1306" s="34"/>
      <c r="I1306" s="37"/>
    </row>
    <row r="1307" ht="22.5" customHeight="1">
      <c r="A1307" s="30"/>
      <c r="B1307" s="31"/>
      <c r="C1307" s="32"/>
      <c r="D1307" s="33"/>
      <c r="E1307" s="34"/>
      <c r="F1307" s="34"/>
      <c r="G1307" s="35"/>
      <c r="H1307" s="34"/>
      <c r="I1307" s="37"/>
    </row>
    <row r="1308" ht="22.5" customHeight="1">
      <c r="A1308" s="30"/>
      <c r="B1308" s="31"/>
      <c r="C1308" s="32"/>
      <c r="D1308" s="33"/>
      <c r="E1308" s="34"/>
      <c r="F1308" s="34"/>
      <c r="G1308" s="35"/>
      <c r="H1308" s="34"/>
      <c r="I1308" s="37"/>
    </row>
    <row r="1309" ht="22.5" customHeight="1">
      <c r="A1309" s="30"/>
      <c r="B1309" s="31"/>
      <c r="C1309" s="32"/>
      <c r="D1309" s="33"/>
      <c r="E1309" s="34"/>
      <c r="F1309" s="34"/>
      <c r="G1309" s="35"/>
      <c r="H1309" s="34"/>
      <c r="I1309" s="37"/>
    </row>
    <row r="1310" ht="22.5" customHeight="1">
      <c r="A1310" s="30"/>
      <c r="B1310" s="40"/>
      <c r="C1310" s="32"/>
      <c r="D1310" s="33"/>
      <c r="E1310" s="34"/>
      <c r="F1310" s="34"/>
      <c r="G1310" s="35"/>
      <c r="H1310" s="34"/>
      <c r="I1310" s="37"/>
    </row>
    <row r="1311" ht="22.5" customHeight="1">
      <c r="A1311" s="30"/>
      <c r="B1311" s="31"/>
      <c r="C1311" s="32"/>
      <c r="D1311" s="33"/>
      <c r="E1311" s="34"/>
      <c r="F1311" s="34"/>
      <c r="G1311" s="35"/>
      <c r="H1311" s="34"/>
      <c r="I1311" s="37"/>
    </row>
    <row r="1312" ht="22.5" customHeight="1">
      <c r="A1312" s="30"/>
      <c r="B1312" s="31"/>
      <c r="C1312" s="32"/>
      <c r="D1312" s="33"/>
      <c r="E1312" s="34"/>
      <c r="F1312" s="34"/>
      <c r="G1312" s="35"/>
      <c r="H1312" s="34"/>
      <c r="I1312" s="37"/>
    </row>
    <row r="1313" ht="22.5" customHeight="1">
      <c r="A1313" s="30"/>
      <c r="B1313" s="31"/>
      <c r="C1313" s="32"/>
      <c r="D1313" s="33"/>
      <c r="E1313" s="34"/>
      <c r="F1313" s="34"/>
      <c r="G1313" s="35"/>
      <c r="H1313" s="34"/>
      <c r="I1313" s="37"/>
    </row>
    <row r="1314" ht="22.5" customHeight="1">
      <c r="A1314" s="30"/>
      <c r="B1314" s="31"/>
      <c r="C1314" s="32"/>
      <c r="D1314" s="33"/>
      <c r="E1314" s="34"/>
      <c r="F1314" s="34"/>
      <c r="G1314" s="35"/>
      <c r="H1314" s="34"/>
      <c r="I1314" s="37"/>
    </row>
    <row r="1315" ht="22.5" customHeight="1">
      <c r="A1315" s="30"/>
      <c r="B1315" s="31"/>
      <c r="C1315" s="32"/>
      <c r="D1315" s="33"/>
      <c r="E1315" s="34"/>
      <c r="F1315" s="34"/>
      <c r="G1315" s="35"/>
      <c r="H1315" s="34"/>
      <c r="I1315" s="37"/>
    </row>
    <row r="1316" ht="22.5" customHeight="1">
      <c r="A1316" s="30"/>
      <c r="B1316" s="31"/>
      <c r="C1316" s="32"/>
      <c r="D1316" s="33"/>
      <c r="E1316" s="34"/>
      <c r="F1316" s="34"/>
      <c r="G1316" s="35"/>
      <c r="H1316" s="34"/>
      <c r="I1316" s="37"/>
    </row>
    <row r="1317" ht="22.5" customHeight="1">
      <c r="A1317" s="30"/>
      <c r="B1317" s="31"/>
      <c r="C1317" s="32"/>
      <c r="D1317" s="33"/>
      <c r="E1317" s="34"/>
      <c r="F1317" s="34"/>
      <c r="G1317" s="35"/>
      <c r="H1317" s="34"/>
      <c r="I1317" s="37"/>
    </row>
    <row r="1318" ht="22.5" customHeight="1">
      <c r="A1318" s="30"/>
      <c r="B1318" s="31"/>
      <c r="C1318" s="32"/>
      <c r="D1318" s="33"/>
      <c r="E1318" s="34"/>
      <c r="F1318" s="34"/>
      <c r="G1318" s="35"/>
      <c r="H1318" s="34"/>
      <c r="I1318" s="37"/>
    </row>
    <row r="1319" ht="22.5" customHeight="1">
      <c r="A1319" s="30"/>
      <c r="B1319" s="31"/>
      <c r="C1319" s="32"/>
      <c r="D1319" s="33"/>
      <c r="E1319" s="34"/>
      <c r="F1319" s="34"/>
      <c r="G1319" s="35"/>
      <c r="H1319" s="34"/>
      <c r="I1319" s="37"/>
    </row>
    <row r="1320" ht="22.5" customHeight="1">
      <c r="A1320" s="30"/>
      <c r="B1320" s="31"/>
      <c r="C1320" s="32"/>
      <c r="D1320" s="33"/>
      <c r="E1320" s="34"/>
      <c r="F1320" s="34"/>
      <c r="G1320" s="35"/>
      <c r="H1320" s="34"/>
      <c r="I1320" s="37"/>
    </row>
    <row r="1321" ht="22.5" customHeight="1">
      <c r="A1321" s="30"/>
      <c r="B1321" s="31"/>
      <c r="C1321" s="32"/>
      <c r="D1321" s="33"/>
      <c r="E1321" s="34"/>
      <c r="F1321" s="34"/>
      <c r="G1321" s="35"/>
      <c r="H1321" s="34"/>
      <c r="I1321" s="37"/>
    </row>
    <row r="1322" ht="22.5" customHeight="1">
      <c r="A1322" s="30"/>
      <c r="B1322" s="31"/>
      <c r="C1322" s="32"/>
      <c r="D1322" s="33"/>
      <c r="E1322" s="34"/>
      <c r="F1322" s="34"/>
      <c r="G1322" s="35"/>
      <c r="H1322" s="34"/>
      <c r="I1322" s="37"/>
    </row>
    <row r="1323" ht="22.5" customHeight="1">
      <c r="A1323" s="30"/>
      <c r="B1323" s="31"/>
      <c r="C1323" s="32"/>
      <c r="D1323" s="33"/>
      <c r="E1323" s="34"/>
      <c r="F1323" s="34"/>
      <c r="G1323" s="35"/>
      <c r="H1323" s="34"/>
      <c r="I1323" s="37"/>
    </row>
    <row r="1324" ht="22.5" customHeight="1">
      <c r="A1324" s="30"/>
      <c r="B1324" s="31"/>
      <c r="C1324" s="32"/>
      <c r="D1324" s="33"/>
      <c r="E1324" s="34"/>
      <c r="F1324" s="34"/>
      <c r="G1324" s="35"/>
      <c r="H1324" s="34"/>
      <c r="I1324" s="37"/>
    </row>
    <row r="1325" ht="22.5" customHeight="1">
      <c r="A1325" s="30"/>
      <c r="B1325" s="40"/>
      <c r="C1325" s="32"/>
      <c r="D1325" s="33"/>
      <c r="E1325" s="34"/>
      <c r="F1325" s="34"/>
      <c r="G1325" s="35"/>
      <c r="H1325" s="34"/>
      <c r="I1325" s="37"/>
    </row>
    <row r="1326" ht="22.5" customHeight="1">
      <c r="A1326" s="30"/>
      <c r="B1326" s="31"/>
      <c r="C1326" s="32"/>
      <c r="D1326" s="33"/>
      <c r="E1326" s="34"/>
      <c r="F1326" s="34"/>
      <c r="G1326" s="35"/>
      <c r="H1326" s="34"/>
      <c r="I1326" s="37"/>
    </row>
    <row r="1327" ht="22.5" customHeight="1">
      <c r="A1327" s="30"/>
      <c r="B1327" s="40"/>
      <c r="C1327" s="32"/>
      <c r="D1327" s="33"/>
      <c r="E1327" s="34"/>
      <c r="F1327" s="34"/>
      <c r="G1327" s="35"/>
      <c r="H1327" s="34"/>
      <c r="I1327" s="37"/>
    </row>
    <row r="1328" ht="22.5" customHeight="1">
      <c r="A1328" s="30"/>
      <c r="B1328" s="31"/>
      <c r="C1328" s="32"/>
      <c r="D1328" s="33"/>
      <c r="E1328" s="34"/>
      <c r="F1328" s="34"/>
      <c r="G1328" s="35"/>
      <c r="H1328" s="34"/>
      <c r="I1328" s="37"/>
    </row>
    <row r="1329" ht="22.5" customHeight="1">
      <c r="A1329" s="30"/>
      <c r="B1329" s="31"/>
      <c r="C1329" s="32"/>
      <c r="D1329" s="33"/>
      <c r="E1329" s="34"/>
      <c r="F1329" s="34"/>
      <c r="G1329" s="35"/>
      <c r="H1329" s="34"/>
      <c r="I1329" s="37"/>
    </row>
    <row r="1330" ht="22.5" customHeight="1">
      <c r="A1330" s="30"/>
      <c r="B1330" s="31"/>
      <c r="C1330" s="32"/>
      <c r="D1330" s="33"/>
      <c r="E1330" s="34"/>
      <c r="F1330" s="34"/>
      <c r="G1330" s="35"/>
      <c r="H1330" s="34"/>
      <c r="I1330" s="37"/>
    </row>
    <row r="1331" ht="22.5" customHeight="1">
      <c r="A1331" s="30"/>
      <c r="B1331" s="31"/>
      <c r="C1331" s="32"/>
      <c r="D1331" s="33"/>
      <c r="E1331" s="34"/>
      <c r="F1331" s="34"/>
      <c r="G1331" s="35"/>
      <c r="H1331" s="34"/>
      <c r="I1331" s="37"/>
    </row>
    <row r="1332" ht="22.5" customHeight="1">
      <c r="A1332" s="30"/>
      <c r="B1332" s="40"/>
      <c r="C1332" s="32"/>
      <c r="D1332" s="33"/>
      <c r="E1332" s="34"/>
      <c r="F1332" s="34"/>
      <c r="G1332" s="35"/>
      <c r="H1332" s="34"/>
      <c r="I1332" s="37"/>
    </row>
    <row r="1333" ht="22.5" customHeight="1">
      <c r="A1333" s="30"/>
      <c r="B1333" s="31"/>
      <c r="C1333" s="32"/>
      <c r="D1333" s="33"/>
      <c r="E1333" s="34"/>
      <c r="F1333" s="34"/>
      <c r="G1333" s="35"/>
      <c r="H1333" s="34"/>
      <c r="I1333" s="37"/>
    </row>
    <row r="1334" ht="22.5" customHeight="1">
      <c r="A1334" s="30"/>
      <c r="B1334" s="31"/>
      <c r="C1334" s="32"/>
      <c r="D1334" s="33"/>
      <c r="E1334" s="34"/>
      <c r="F1334" s="34"/>
      <c r="G1334" s="35"/>
      <c r="H1334" s="34"/>
      <c r="I1334" s="37"/>
    </row>
    <row r="1335" ht="22.5" customHeight="1">
      <c r="A1335" s="30"/>
      <c r="B1335" s="31"/>
      <c r="C1335" s="32"/>
      <c r="D1335" s="33"/>
      <c r="E1335" s="34"/>
      <c r="F1335" s="34"/>
      <c r="G1335" s="35"/>
      <c r="H1335" s="34"/>
      <c r="I1335" s="37"/>
    </row>
    <row r="1336" ht="22.5" customHeight="1">
      <c r="A1336" s="30"/>
      <c r="B1336" s="31"/>
      <c r="C1336" s="32"/>
      <c r="D1336" s="33"/>
      <c r="E1336" s="34"/>
      <c r="F1336" s="34"/>
      <c r="G1336" s="35"/>
      <c r="H1336" s="34"/>
      <c r="I1336" s="37"/>
    </row>
    <row r="1337" ht="22.5" customHeight="1">
      <c r="A1337" s="30"/>
      <c r="B1337" s="31"/>
      <c r="C1337" s="32"/>
      <c r="D1337" s="33"/>
      <c r="E1337" s="34"/>
      <c r="F1337" s="34"/>
      <c r="G1337" s="35"/>
      <c r="H1337" s="34"/>
      <c r="I1337" s="37"/>
    </row>
    <row r="1338" ht="22.5" customHeight="1">
      <c r="A1338" s="30"/>
      <c r="B1338" s="31"/>
      <c r="C1338" s="32"/>
      <c r="D1338" s="33"/>
      <c r="E1338" s="34"/>
      <c r="F1338" s="34"/>
      <c r="G1338" s="35"/>
      <c r="H1338" s="34"/>
      <c r="I1338" s="37"/>
    </row>
    <row r="1339" ht="22.5" customHeight="1">
      <c r="A1339" s="30"/>
      <c r="B1339" s="31"/>
      <c r="C1339" s="32"/>
      <c r="D1339" s="33"/>
      <c r="E1339" s="34"/>
      <c r="F1339" s="34"/>
      <c r="G1339" s="35"/>
      <c r="H1339" s="34"/>
      <c r="I1339" s="37"/>
    </row>
    <row r="1340" ht="22.5" customHeight="1">
      <c r="A1340" s="30"/>
      <c r="B1340" s="31"/>
      <c r="C1340" s="32"/>
      <c r="D1340" s="33"/>
      <c r="E1340" s="34"/>
      <c r="F1340" s="34"/>
      <c r="G1340" s="35"/>
      <c r="H1340" s="34"/>
      <c r="I1340" s="37"/>
    </row>
    <row r="1341" ht="22.5" customHeight="1">
      <c r="A1341" s="30"/>
      <c r="B1341" s="31"/>
      <c r="C1341" s="32"/>
      <c r="D1341" s="33"/>
      <c r="E1341" s="34"/>
      <c r="F1341" s="34"/>
      <c r="G1341" s="35"/>
      <c r="H1341" s="34"/>
      <c r="I1341" s="37"/>
    </row>
    <row r="1342" ht="22.5" customHeight="1">
      <c r="A1342" s="30"/>
      <c r="B1342" s="31"/>
      <c r="C1342" s="32"/>
      <c r="D1342" s="33"/>
      <c r="E1342" s="34"/>
      <c r="F1342" s="34"/>
      <c r="G1342" s="35"/>
      <c r="H1342" s="34"/>
      <c r="I1342" s="37"/>
    </row>
    <row r="1343" ht="22.5" customHeight="1">
      <c r="A1343" s="30"/>
      <c r="B1343" s="31"/>
      <c r="C1343" s="32"/>
      <c r="D1343" s="33"/>
      <c r="E1343" s="34"/>
      <c r="F1343" s="34"/>
      <c r="G1343" s="35"/>
      <c r="H1343" s="34"/>
      <c r="I1343" s="37"/>
    </row>
    <row r="1344" ht="22.5" customHeight="1">
      <c r="A1344" s="30"/>
      <c r="B1344" s="31"/>
      <c r="C1344" s="32"/>
      <c r="D1344" s="33"/>
      <c r="E1344" s="34"/>
      <c r="F1344" s="34"/>
      <c r="G1344" s="35"/>
      <c r="H1344" s="34"/>
      <c r="I1344" s="37"/>
    </row>
    <row r="1345" ht="22.5" customHeight="1">
      <c r="A1345" s="30"/>
      <c r="B1345" s="31"/>
      <c r="C1345" s="32"/>
      <c r="D1345" s="33"/>
      <c r="E1345" s="34"/>
      <c r="F1345" s="34"/>
      <c r="G1345" s="35"/>
      <c r="H1345" s="34"/>
      <c r="I1345" s="37"/>
    </row>
    <row r="1346" ht="22.5" customHeight="1">
      <c r="A1346" s="30"/>
      <c r="B1346" s="31"/>
      <c r="C1346" s="32"/>
      <c r="D1346" s="33"/>
      <c r="E1346" s="34"/>
      <c r="F1346" s="34"/>
      <c r="G1346" s="35"/>
      <c r="H1346" s="34"/>
      <c r="I1346" s="37"/>
    </row>
    <row r="1347" ht="22.5" customHeight="1">
      <c r="A1347" s="30"/>
      <c r="B1347" s="31"/>
      <c r="C1347" s="32"/>
      <c r="D1347" s="33"/>
      <c r="E1347" s="34"/>
      <c r="F1347" s="34"/>
      <c r="G1347" s="35"/>
      <c r="H1347" s="34"/>
      <c r="I1347" s="37"/>
    </row>
    <row r="1348" ht="22.5" customHeight="1">
      <c r="A1348" s="30"/>
      <c r="B1348" s="31"/>
      <c r="C1348" s="32"/>
      <c r="D1348" s="33"/>
      <c r="E1348" s="34"/>
      <c r="F1348" s="34"/>
      <c r="G1348" s="35"/>
      <c r="H1348" s="34"/>
      <c r="I1348" s="37"/>
    </row>
    <row r="1349" ht="22.5" customHeight="1">
      <c r="A1349" s="30"/>
      <c r="B1349" s="31"/>
      <c r="C1349" s="32"/>
      <c r="D1349" s="33"/>
      <c r="E1349" s="34"/>
      <c r="F1349" s="34"/>
      <c r="G1349" s="35"/>
      <c r="H1349" s="34"/>
      <c r="I1349" s="37"/>
    </row>
    <row r="1350" ht="22.5" customHeight="1">
      <c r="A1350" s="30"/>
      <c r="B1350" s="31"/>
      <c r="C1350" s="32"/>
      <c r="D1350" s="33"/>
      <c r="E1350" s="34"/>
      <c r="F1350" s="34"/>
      <c r="G1350" s="35"/>
      <c r="H1350" s="34"/>
      <c r="I1350" s="37"/>
    </row>
    <row r="1351" ht="22.5" customHeight="1">
      <c r="A1351" s="30"/>
      <c r="B1351" s="31"/>
      <c r="C1351" s="32"/>
      <c r="D1351" s="33"/>
      <c r="E1351" s="34"/>
      <c r="F1351" s="34"/>
      <c r="G1351" s="35"/>
      <c r="H1351" s="34"/>
      <c r="I1351" s="37"/>
    </row>
    <row r="1352" ht="22.5" customHeight="1">
      <c r="A1352" s="30"/>
      <c r="B1352" s="31"/>
      <c r="C1352" s="32"/>
      <c r="D1352" s="33"/>
      <c r="E1352" s="34"/>
      <c r="F1352" s="34"/>
      <c r="G1352" s="35"/>
      <c r="H1352" s="34"/>
      <c r="I1352" s="37"/>
    </row>
    <row r="1353" ht="22.5" customHeight="1">
      <c r="A1353" s="30"/>
      <c r="B1353" s="31"/>
      <c r="C1353" s="32"/>
      <c r="D1353" s="33"/>
      <c r="E1353" s="34"/>
      <c r="F1353" s="34"/>
      <c r="G1353" s="35"/>
      <c r="H1353" s="34"/>
      <c r="I1353" s="37"/>
    </row>
    <row r="1354" ht="22.5" customHeight="1">
      <c r="A1354" s="30"/>
      <c r="B1354" s="40"/>
      <c r="C1354" s="32"/>
      <c r="D1354" s="33"/>
      <c r="E1354" s="34"/>
      <c r="F1354" s="34"/>
      <c r="G1354" s="35"/>
      <c r="H1354" s="34"/>
      <c r="I1354" s="37"/>
    </row>
    <row r="1355" ht="22.5" customHeight="1">
      <c r="A1355" s="30"/>
      <c r="B1355" s="31"/>
      <c r="C1355" s="32"/>
      <c r="D1355" s="33"/>
      <c r="E1355" s="34"/>
      <c r="F1355" s="34"/>
      <c r="G1355" s="35"/>
      <c r="H1355" s="34"/>
      <c r="I1355" s="37"/>
    </row>
    <row r="1356" ht="22.5" customHeight="1">
      <c r="A1356" s="30"/>
      <c r="B1356" s="31"/>
      <c r="C1356" s="32"/>
      <c r="D1356" s="33"/>
      <c r="E1356" s="34"/>
      <c r="F1356" s="34"/>
      <c r="G1356" s="35"/>
      <c r="H1356" s="34"/>
      <c r="I1356" s="37"/>
    </row>
    <row r="1357" ht="22.5" customHeight="1">
      <c r="A1357" s="30"/>
      <c r="B1357" s="31"/>
      <c r="C1357" s="32"/>
      <c r="D1357" s="33"/>
      <c r="E1357" s="34"/>
      <c r="F1357" s="34"/>
      <c r="G1357" s="35"/>
      <c r="H1357" s="34"/>
      <c r="I1357" s="37"/>
    </row>
    <row r="1358" ht="22.5" customHeight="1">
      <c r="A1358" s="30"/>
      <c r="B1358" s="31"/>
      <c r="C1358" s="32"/>
      <c r="D1358" s="33"/>
      <c r="E1358" s="34"/>
      <c r="F1358" s="34"/>
      <c r="G1358" s="35"/>
      <c r="H1358" s="34"/>
      <c r="I1358" s="38"/>
    </row>
    <row r="1359" ht="22.5" customHeight="1">
      <c r="A1359" s="30"/>
      <c r="B1359" s="39"/>
      <c r="C1359" s="32"/>
      <c r="D1359" s="33"/>
      <c r="E1359" s="34"/>
      <c r="F1359" s="34"/>
      <c r="G1359" s="35"/>
      <c r="H1359" s="34"/>
      <c r="I1359" s="37"/>
    </row>
    <row r="1360" ht="22.5" customHeight="1">
      <c r="A1360" s="30"/>
      <c r="B1360" s="31"/>
      <c r="C1360" s="32"/>
      <c r="D1360" s="33"/>
      <c r="E1360" s="34"/>
      <c r="F1360" s="34"/>
      <c r="G1360" s="35"/>
      <c r="H1360" s="34"/>
      <c r="I1360" s="37"/>
    </row>
    <row r="1361" ht="22.5" customHeight="1">
      <c r="A1361" s="30"/>
      <c r="B1361" s="31"/>
      <c r="C1361" s="32"/>
      <c r="D1361" s="33"/>
      <c r="E1361" s="34"/>
      <c r="F1361" s="34"/>
      <c r="G1361" s="35"/>
      <c r="H1361" s="34"/>
      <c r="I1361" s="37"/>
    </row>
    <row r="1362" ht="22.5" customHeight="1">
      <c r="A1362" s="30"/>
      <c r="B1362" s="31"/>
      <c r="C1362" s="32"/>
      <c r="D1362" s="33"/>
      <c r="E1362" s="34"/>
      <c r="F1362" s="34"/>
      <c r="G1362" s="35"/>
      <c r="H1362" s="34"/>
      <c r="I1362" s="37"/>
    </row>
    <row r="1363" ht="22.5" customHeight="1">
      <c r="A1363" s="30"/>
      <c r="B1363" s="39"/>
      <c r="C1363" s="32"/>
      <c r="D1363" s="33"/>
      <c r="E1363" s="34"/>
      <c r="F1363" s="34"/>
      <c r="G1363" s="35"/>
      <c r="H1363" s="34"/>
      <c r="I1363" s="37"/>
    </row>
    <row r="1364" ht="22.5" customHeight="1">
      <c r="A1364" s="30"/>
      <c r="B1364" s="31"/>
      <c r="C1364" s="32"/>
      <c r="D1364" s="33"/>
      <c r="E1364" s="34"/>
      <c r="F1364" s="34"/>
      <c r="G1364" s="35"/>
      <c r="H1364" s="34"/>
      <c r="I1364" s="37"/>
    </row>
    <row r="1365" ht="22.5" customHeight="1">
      <c r="A1365" s="30"/>
      <c r="B1365" s="39"/>
      <c r="C1365" s="32"/>
      <c r="D1365" s="33"/>
      <c r="E1365" s="34"/>
      <c r="F1365" s="34"/>
      <c r="G1365" s="35"/>
      <c r="H1365" s="34"/>
      <c r="I1365" s="37"/>
    </row>
    <row r="1366" ht="22.5" customHeight="1">
      <c r="A1366" s="30"/>
      <c r="B1366" s="31"/>
      <c r="C1366" s="32"/>
      <c r="D1366" s="33"/>
      <c r="E1366" s="34"/>
      <c r="F1366" s="34"/>
      <c r="G1366" s="35"/>
      <c r="H1366" s="34"/>
      <c r="I1366" s="37"/>
    </row>
    <row r="1367" ht="22.5" customHeight="1">
      <c r="A1367" s="30"/>
      <c r="B1367" s="31"/>
      <c r="C1367" s="32"/>
      <c r="D1367" s="33"/>
      <c r="E1367" s="34"/>
      <c r="F1367" s="34"/>
      <c r="G1367" s="35"/>
      <c r="H1367" s="34"/>
      <c r="I1367" s="37"/>
    </row>
    <row r="1368" ht="22.5" customHeight="1">
      <c r="A1368" s="30"/>
      <c r="B1368" s="31"/>
      <c r="C1368" s="32"/>
      <c r="D1368" s="33"/>
      <c r="E1368" s="34"/>
      <c r="F1368" s="34"/>
      <c r="G1368" s="35"/>
      <c r="H1368" s="34"/>
      <c r="I1368" s="37"/>
    </row>
    <row r="1369" ht="22.5" customHeight="1">
      <c r="A1369" s="30"/>
      <c r="B1369" s="31"/>
      <c r="C1369" s="32"/>
      <c r="D1369" s="33"/>
      <c r="E1369" s="34"/>
      <c r="F1369" s="34"/>
      <c r="G1369" s="35"/>
      <c r="H1369" s="34"/>
      <c r="I1369" s="37"/>
    </row>
    <row r="1370" ht="22.5" customHeight="1">
      <c r="A1370" s="30"/>
      <c r="B1370" s="31"/>
      <c r="C1370" s="32"/>
      <c r="D1370" s="33"/>
      <c r="E1370" s="34"/>
      <c r="F1370" s="34"/>
      <c r="G1370" s="35"/>
      <c r="H1370" s="34"/>
      <c r="I1370" s="37"/>
    </row>
    <row r="1371" ht="22.5" customHeight="1">
      <c r="A1371" s="30"/>
      <c r="B1371" s="31"/>
      <c r="C1371" s="32"/>
      <c r="D1371" s="33"/>
      <c r="E1371" s="34"/>
      <c r="F1371" s="34"/>
      <c r="G1371" s="35"/>
      <c r="H1371" s="34"/>
      <c r="I1371" s="37"/>
    </row>
    <row r="1372" ht="22.5" customHeight="1">
      <c r="A1372" s="30"/>
      <c r="B1372" s="31"/>
      <c r="C1372" s="32"/>
      <c r="D1372" s="33"/>
      <c r="E1372" s="34"/>
      <c r="F1372" s="34"/>
      <c r="G1372" s="35"/>
      <c r="H1372" s="34"/>
      <c r="I1372" s="37"/>
    </row>
    <row r="1373" ht="22.5" customHeight="1">
      <c r="A1373" s="30"/>
      <c r="B1373" s="31"/>
      <c r="C1373" s="32"/>
      <c r="D1373" s="33"/>
      <c r="E1373" s="34"/>
      <c r="F1373" s="34"/>
      <c r="G1373" s="35"/>
      <c r="H1373" s="34"/>
      <c r="I1373" s="37"/>
    </row>
    <row r="1374" ht="22.5" customHeight="1">
      <c r="A1374" s="30"/>
      <c r="B1374" s="31"/>
      <c r="C1374" s="32"/>
      <c r="D1374" s="33"/>
      <c r="E1374" s="34"/>
      <c r="F1374" s="34"/>
      <c r="G1374" s="35"/>
      <c r="H1374" s="34"/>
      <c r="I1374" s="37"/>
    </row>
    <row r="1375" ht="22.5" customHeight="1">
      <c r="A1375" s="30"/>
      <c r="B1375" s="31"/>
      <c r="C1375" s="32"/>
      <c r="D1375" s="33"/>
      <c r="E1375" s="34"/>
      <c r="F1375" s="34"/>
      <c r="G1375" s="35"/>
      <c r="H1375" s="34"/>
      <c r="I1375" s="37"/>
    </row>
    <row r="1376" ht="22.5" customHeight="1">
      <c r="A1376" s="30"/>
      <c r="B1376" s="40"/>
      <c r="C1376" s="32"/>
      <c r="D1376" s="33"/>
      <c r="E1376" s="34"/>
      <c r="F1376" s="34"/>
      <c r="G1376" s="35"/>
      <c r="H1376" s="34"/>
      <c r="I1376" s="37"/>
    </row>
    <row r="1377" ht="22.5" customHeight="1">
      <c r="A1377" s="30"/>
      <c r="B1377" s="31"/>
      <c r="C1377" s="32"/>
      <c r="D1377" s="33"/>
      <c r="E1377" s="34"/>
      <c r="F1377" s="34"/>
      <c r="G1377" s="35"/>
      <c r="H1377" s="34"/>
      <c r="I1377" s="37"/>
    </row>
    <row r="1378" ht="22.5" customHeight="1">
      <c r="A1378" s="30"/>
      <c r="B1378" s="31"/>
      <c r="C1378" s="32"/>
      <c r="D1378" s="33"/>
      <c r="E1378" s="34"/>
      <c r="F1378" s="34"/>
      <c r="G1378" s="35"/>
      <c r="H1378" s="34"/>
      <c r="I1378" s="37"/>
    </row>
    <row r="1379" ht="22.5" customHeight="1">
      <c r="A1379" s="30"/>
      <c r="B1379" s="31"/>
      <c r="C1379" s="32"/>
      <c r="D1379" s="33"/>
      <c r="E1379" s="34"/>
      <c r="F1379" s="34"/>
      <c r="G1379" s="35"/>
      <c r="H1379" s="34"/>
      <c r="I1379" s="37"/>
    </row>
    <row r="1380" ht="22.5" customHeight="1">
      <c r="A1380" s="30"/>
      <c r="B1380" s="31"/>
      <c r="C1380" s="32"/>
      <c r="D1380" s="33"/>
      <c r="E1380" s="34"/>
      <c r="F1380" s="34"/>
      <c r="G1380" s="35"/>
      <c r="H1380" s="34"/>
      <c r="I1380" s="37"/>
    </row>
    <row r="1381" ht="22.5" customHeight="1">
      <c r="A1381" s="30"/>
      <c r="B1381" s="31"/>
      <c r="C1381" s="32"/>
      <c r="D1381" s="33"/>
      <c r="E1381" s="34"/>
      <c r="F1381" s="34"/>
      <c r="G1381" s="35"/>
      <c r="H1381" s="34"/>
      <c r="I1381" s="37"/>
    </row>
    <row r="1382" ht="22.5" customHeight="1">
      <c r="A1382" s="30"/>
      <c r="B1382" s="31"/>
      <c r="C1382" s="32"/>
      <c r="D1382" s="33"/>
      <c r="E1382" s="34"/>
      <c r="F1382" s="34"/>
      <c r="G1382" s="35"/>
      <c r="H1382" s="34"/>
      <c r="I1382" s="37"/>
    </row>
    <row r="1383" ht="22.5" customHeight="1">
      <c r="A1383" s="30"/>
      <c r="B1383" s="39"/>
      <c r="C1383" s="32"/>
      <c r="D1383" s="33"/>
      <c r="E1383" s="34"/>
      <c r="F1383" s="34"/>
      <c r="G1383" s="35"/>
      <c r="H1383" s="34"/>
      <c r="I1383" s="37"/>
    </row>
    <row r="1384" ht="22.5" customHeight="1">
      <c r="A1384" s="30"/>
      <c r="B1384" s="39"/>
      <c r="C1384" s="32"/>
      <c r="D1384" s="33"/>
      <c r="E1384" s="34"/>
      <c r="F1384" s="34"/>
      <c r="G1384" s="35"/>
      <c r="H1384" s="34"/>
      <c r="I1384" s="37"/>
    </row>
    <row r="1385" ht="22.5" customHeight="1">
      <c r="A1385" s="30"/>
      <c r="B1385" s="39"/>
      <c r="C1385" s="32"/>
      <c r="D1385" s="33"/>
      <c r="E1385" s="34"/>
      <c r="F1385" s="34"/>
      <c r="G1385" s="35"/>
      <c r="H1385" s="34"/>
      <c r="I1385" s="37"/>
    </row>
    <row r="1386" ht="22.5" customHeight="1">
      <c r="A1386" s="30"/>
      <c r="B1386" s="40"/>
      <c r="C1386" s="32"/>
      <c r="D1386" s="33"/>
      <c r="E1386" s="34"/>
      <c r="F1386" s="34"/>
      <c r="G1386" s="35"/>
      <c r="H1386" s="34"/>
      <c r="I1386" s="37"/>
    </row>
    <row r="1387" ht="22.5" customHeight="1">
      <c r="A1387" s="30"/>
      <c r="B1387" s="31"/>
      <c r="C1387" s="32"/>
      <c r="D1387" s="33"/>
      <c r="E1387" s="34"/>
      <c r="F1387" s="34"/>
      <c r="G1387" s="35"/>
      <c r="H1387" s="34"/>
      <c r="I1387" s="37"/>
    </row>
    <row r="1388" ht="22.5" customHeight="1">
      <c r="A1388" s="30"/>
      <c r="B1388" s="31"/>
      <c r="C1388" s="32"/>
      <c r="D1388" s="33"/>
      <c r="E1388" s="34"/>
      <c r="F1388" s="34"/>
      <c r="G1388" s="35"/>
      <c r="H1388" s="34"/>
      <c r="I1388" s="37"/>
    </row>
    <row r="1389" ht="22.5" customHeight="1">
      <c r="A1389" s="30"/>
      <c r="B1389" s="31"/>
      <c r="C1389" s="32"/>
      <c r="D1389" s="33"/>
      <c r="E1389" s="34"/>
      <c r="F1389" s="34"/>
      <c r="G1389" s="35"/>
      <c r="H1389" s="34"/>
      <c r="I1389" s="37"/>
    </row>
    <row r="1390" ht="22.5" customHeight="1">
      <c r="A1390" s="30"/>
      <c r="B1390" s="31"/>
      <c r="C1390" s="32"/>
      <c r="D1390" s="33"/>
      <c r="E1390" s="34"/>
      <c r="F1390" s="34"/>
      <c r="G1390" s="35"/>
      <c r="H1390" s="34"/>
      <c r="I1390" s="37"/>
    </row>
    <row r="1391" ht="22.5" customHeight="1">
      <c r="A1391" s="30"/>
      <c r="B1391" s="31"/>
      <c r="C1391" s="32"/>
      <c r="D1391" s="33"/>
      <c r="E1391" s="34"/>
      <c r="F1391" s="34"/>
      <c r="G1391" s="35"/>
      <c r="H1391" s="34"/>
      <c r="I1391" s="37"/>
    </row>
    <row r="1392" ht="22.5" customHeight="1">
      <c r="A1392" s="30"/>
      <c r="B1392" s="31"/>
      <c r="C1392" s="32"/>
      <c r="D1392" s="33"/>
      <c r="E1392" s="34"/>
      <c r="F1392" s="34"/>
      <c r="G1392" s="35"/>
      <c r="H1392" s="34"/>
      <c r="I1392" s="37"/>
    </row>
    <row r="1393" ht="22.5" customHeight="1">
      <c r="A1393" s="30"/>
      <c r="B1393" s="31"/>
      <c r="C1393" s="32"/>
      <c r="D1393" s="33"/>
      <c r="E1393" s="34"/>
      <c r="F1393" s="34"/>
      <c r="G1393" s="35"/>
      <c r="H1393" s="34"/>
      <c r="I1393" s="37"/>
    </row>
    <row r="1394" ht="22.5" customHeight="1">
      <c r="A1394" s="30"/>
      <c r="B1394" s="31"/>
      <c r="C1394" s="32"/>
      <c r="D1394" s="33"/>
      <c r="E1394" s="34"/>
      <c r="F1394" s="34"/>
      <c r="G1394" s="35"/>
      <c r="H1394" s="34"/>
      <c r="I1394" s="37"/>
    </row>
    <row r="1395" ht="22.5" customHeight="1">
      <c r="A1395" s="30"/>
      <c r="B1395" s="31"/>
      <c r="C1395" s="32"/>
      <c r="D1395" s="33"/>
      <c r="E1395" s="34"/>
      <c r="F1395" s="34"/>
      <c r="G1395" s="35"/>
      <c r="H1395" s="34"/>
      <c r="I1395" s="37"/>
    </row>
    <row r="1396" ht="22.5" customHeight="1">
      <c r="A1396" s="30"/>
      <c r="B1396" s="40"/>
      <c r="C1396" s="32"/>
      <c r="D1396" s="33"/>
      <c r="E1396" s="34"/>
      <c r="F1396" s="34"/>
      <c r="G1396" s="35"/>
      <c r="H1396" s="34"/>
      <c r="I1396" s="37"/>
    </row>
    <row r="1397" ht="22.5" customHeight="1">
      <c r="A1397" s="30"/>
      <c r="B1397" s="31"/>
      <c r="C1397" s="32"/>
      <c r="D1397" s="33"/>
      <c r="E1397" s="34"/>
      <c r="F1397" s="34"/>
      <c r="G1397" s="35"/>
      <c r="H1397" s="34"/>
      <c r="I1397" s="37"/>
    </row>
    <row r="1398" ht="22.5" customHeight="1">
      <c r="A1398" s="30"/>
      <c r="B1398" s="31"/>
      <c r="C1398" s="32"/>
      <c r="D1398" s="33"/>
      <c r="E1398" s="34"/>
      <c r="F1398" s="34"/>
      <c r="G1398" s="35"/>
      <c r="H1398" s="34"/>
      <c r="I1398" s="37"/>
    </row>
    <row r="1399" ht="22.5" customHeight="1">
      <c r="A1399" s="30"/>
      <c r="B1399" s="31"/>
      <c r="C1399" s="32"/>
      <c r="D1399" s="33"/>
      <c r="E1399" s="34"/>
      <c r="F1399" s="34"/>
      <c r="G1399" s="35"/>
      <c r="H1399" s="34"/>
      <c r="I1399" s="37"/>
    </row>
    <row r="1400" ht="22.5" customHeight="1">
      <c r="A1400" s="30"/>
      <c r="B1400" s="40"/>
      <c r="C1400" s="32"/>
      <c r="D1400" s="33"/>
      <c r="E1400" s="34"/>
      <c r="F1400" s="34"/>
      <c r="G1400" s="35"/>
      <c r="H1400" s="34"/>
      <c r="I1400" s="37"/>
    </row>
    <row r="1401" ht="22.5" customHeight="1">
      <c r="A1401" s="30"/>
      <c r="B1401" s="31"/>
      <c r="C1401" s="32"/>
      <c r="D1401" s="33"/>
      <c r="E1401" s="34"/>
      <c r="F1401" s="34"/>
      <c r="G1401" s="35"/>
      <c r="H1401" s="34"/>
      <c r="I1401" s="37"/>
    </row>
    <row r="1402" ht="22.5" customHeight="1">
      <c r="A1402" s="30"/>
      <c r="B1402" s="31"/>
      <c r="C1402" s="32"/>
      <c r="D1402" s="33"/>
      <c r="E1402" s="34"/>
      <c r="F1402" s="34"/>
      <c r="G1402" s="35"/>
      <c r="H1402" s="34"/>
      <c r="I1402" s="37"/>
    </row>
    <row r="1403" ht="22.5" customHeight="1">
      <c r="A1403" s="30"/>
      <c r="B1403" s="31"/>
      <c r="C1403" s="32"/>
      <c r="D1403" s="33"/>
      <c r="E1403" s="34"/>
      <c r="F1403" s="34"/>
      <c r="G1403" s="35"/>
      <c r="H1403" s="34"/>
      <c r="I1403" s="37"/>
    </row>
    <row r="1404" ht="22.5" customHeight="1">
      <c r="A1404" s="30"/>
      <c r="B1404" s="31"/>
      <c r="C1404" s="32"/>
      <c r="D1404" s="33"/>
      <c r="E1404" s="34"/>
      <c r="F1404" s="34"/>
      <c r="G1404" s="35"/>
      <c r="H1404" s="34"/>
      <c r="I1404" s="37"/>
    </row>
    <row r="1405" ht="22.5" customHeight="1">
      <c r="A1405" s="30"/>
      <c r="B1405" s="31"/>
      <c r="C1405" s="32"/>
      <c r="D1405" s="33"/>
      <c r="E1405" s="34"/>
      <c r="F1405" s="34"/>
      <c r="G1405" s="35"/>
      <c r="H1405" s="34"/>
      <c r="I1405" s="37"/>
    </row>
    <row r="1406" ht="22.5" customHeight="1">
      <c r="A1406" s="30"/>
      <c r="B1406" s="31"/>
      <c r="C1406" s="32"/>
      <c r="D1406" s="33"/>
      <c r="E1406" s="34"/>
      <c r="F1406" s="34"/>
      <c r="G1406" s="35"/>
      <c r="H1406" s="34"/>
      <c r="I1406" s="37"/>
    </row>
    <row r="1407" ht="22.5" customHeight="1">
      <c r="A1407" s="30"/>
      <c r="B1407" s="31"/>
      <c r="C1407" s="32"/>
      <c r="D1407" s="33"/>
      <c r="E1407" s="34"/>
      <c r="F1407" s="34"/>
      <c r="G1407" s="35"/>
      <c r="H1407" s="34"/>
      <c r="I1407" s="37"/>
    </row>
    <row r="1408" ht="22.5" customHeight="1">
      <c r="A1408" s="30"/>
      <c r="B1408" s="31"/>
      <c r="C1408" s="32"/>
      <c r="D1408" s="33"/>
      <c r="E1408" s="34"/>
      <c r="F1408" s="34"/>
      <c r="G1408" s="35"/>
      <c r="H1408" s="34"/>
      <c r="I1408" s="37"/>
    </row>
    <row r="1409" ht="22.5" customHeight="1">
      <c r="A1409" s="30"/>
      <c r="B1409" s="31"/>
      <c r="C1409" s="32"/>
      <c r="D1409" s="33"/>
      <c r="E1409" s="34"/>
      <c r="F1409" s="34"/>
      <c r="G1409" s="35"/>
      <c r="H1409" s="34"/>
      <c r="I1409" s="37"/>
    </row>
    <row r="1410" ht="22.5" customHeight="1">
      <c r="A1410" s="30"/>
      <c r="B1410" s="31"/>
      <c r="C1410" s="32"/>
      <c r="D1410" s="33"/>
      <c r="E1410" s="34"/>
      <c r="F1410" s="34"/>
      <c r="G1410" s="35"/>
      <c r="H1410" s="34"/>
      <c r="I1410" s="37"/>
    </row>
    <row r="1411" ht="22.5" customHeight="1">
      <c r="A1411" s="30"/>
      <c r="B1411" s="31"/>
      <c r="C1411" s="32"/>
      <c r="D1411" s="33"/>
      <c r="E1411" s="34"/>
      <c r="F1411" s="34"/>
      <c r="G1411" s="35"/>
      <c r="H1411" s="34"/>
      <c r="I1411" s="37"/>
    </row>
    <row r="1412" ht="22.5" customHeight="1">
      <c r="A1412" s="30"/>
      <c r="B1412" s="31"/>
      <c r="C1412" s="32"/>
      <c r="D1412" s="33"/>
      <c r="E1412" s="34"/>
      <c r="F1412" s="34"/>
      <c r="G1412" s="35"/>
      <c r="H1412" s="34"/>
      <c r="I1412" s="37"/>
    </row>
    <row r="1413" ht="22.5" customHeight="1">
      <c r="A1413" s="30"/>
      <c r="B1413" s="31"/>
      <c r="C1413" s="32"/>
      <c r="D1413" s="33"/>
      <c r="E1413" s="34"/>
      <c r="F1413" s="34"/>
      <c r="G1413" s="35"/>
      <c r="H1413" s="34"/>
      <c r="I1413" s="37"/>
    </row>
    <row r="1414" ht="22.5" customHeight="1">
      <c r="A1414" s="30"/>
      <c r="B1414" s="31"/>
      <c r="C1414" s="32"/>
      <c r="D1414" s="33"/>
      <c r="E1414" s="34"/>
      <c r="F1414" s="34"/>
      <c r="G1414" s="35"/>
      <c r="H1414" s="34"/>
      <c r="I1414" s="37"/>
    </row>
    <row r="1415" ht="22.5" customHeight="1">
      <c r="A1415" s="30"/>
      <c r="B1415" s="40"/>
      <c r="C1415" s="32"/>
      <c r="D1415" s="33"/>
      <c r="E1415" s="34"/>
      <c r="F1415" s="34"/>
      <c r="G1415" s="35"/>
      <c r="H1415" s="34"/>
      <c r="I1415" s="37"/>
    </row>
    <row r="1416" ht="22.5" customHeight="1">
      <c r="A1416" s="30"/>
      <c r="B1416" s="31"/>
      <c r="C1416" s="32"/>
      <c r="D1416" s="33"/>
      <c r="E1416" s="34"/>
      <c r="F1416" s="34"/>
      <c r="G1416" s="35"/>
      <c r="H1416" s="34"/>
      <c r="I1416" s="37"/>
    </row>
    <row r="1417" ht="22.5" customHeight="1">
      <c r="A1417" s="30"/>
      <c r="B1417" s="40"/>
      <c r="C1417" s="32"/>
      <c r="D1417" s="33"/>
      <c r="E1417" s="34"/>
      <c r="F1417" s="34"/>
      <c r="G1417" s="35"/>
      <c r="H1417" s="34"/>
      <c r="I1417" s="37"/>
    </row>
    <row r="1418" ht="22.5" customHeight="1">
      <c r="A1418" s="30"/>
      <c r="B1418" s="31"/>
      <c r="C1418" s="32"/>
      <c r="D1418" s="33"/>
      <c r="E1418" s="34"/>
      <c r="F1418" s="34"/>
      <c r="G1418" s="35"/>
      <c r="H1418" s="34"/>
      <c r="I1418" s="37"/>
    </row>
    <row r="1419" ht="22.5" customHeight="1">
      <c r="A1419" s="30"/>
      <c r="B1419" s="31"/>
      <c r="C1419" s="32"/>
      <c r="D1419" s="33"/>
      <c r="E1419" s="34"/>
      <c r="F1419" s="34"/>
      <c r="G1419" s="35"/>
      <c r="H1419" s="34"/>
      <c r="I1419" s="37"/>
    </row>
    <row r="1420" ht="22.5" customHeight="1">
      <c r="A1420" s="30"/>
      <c r="B1420" s="31"/>
      <c r="C1420" s="32"/>
      <c r="D1420" s="33"/>
      <c r="E1420" s="34"/>
      <c r="F1420" s="34"/>
      <c r="G1420" s="35"/>
      <c r="H1420" s="34"/>
      <c r="I1420" s="37"/>
    </row>
    <row r="1421" ht="22.5" customHeight="1">
      <c r="A1421" s="30"/>
      <c r="B1421" s="31"/>
      <c r="C1421" s="32"/>
      <c r="D1421" s="33"/>
      <c r="E1421" s="34"/>
      <c r="F1421" s="34"/>
      <c r="G1421" s="35"/>
      <c r="H1421" s="34"/>
      <c r="I1421" s="37"/>
    </row>
    <row r="1422" ht="22.5" customHeight="1">
      <c r="A1422" s="30"/>
      <c r="B1422" s="40"/>
      <c r="C1422" s="32"/>
      <c r="D1422" s="33"/>
      <c r="E1422" s="34"/>
      <c r="F1422" s="34"/>
      <c r="G1422" s="35"/>
      <c r="H1422" s="34"/>
      <c r="I1422" s="37"/>
    </row>
    <row r="1423" ht="22.5" customHeight="1">
      <c r="A1423" s="30"/>
      <c r="B1423" s="31"/>
      <c r="C1423" s="32"/>
      <c r="D1423" s="33"/>
      <c r="E1423" s="34"/>
      <c r="F1423" s="34"/>
      <c r="G1423" s="35"/>
      <c r="H1423" s="34"/>
      <c r="I1423" s="37"/>
    </row>
    <row r="1424" ht="22.5" customHeight="1">
      <c r="A1424" s="30"/>
      <c r="B1424" s="31"/>
      <c r="C1424" s="32"/>
      <c r="D1424" s="33"/>
      <c r="E1424" s="34"/>
      <c r="F1424" s="34"/>
      <c r="G1424" s="35"/>
      <c r="H1424" s="34"/>
      <c r="I1424" s="37"/>
    </row>
    <row r="1425" ht="22.5" customHeight="1">
      <c r="A1425" s="30"/>
      <c r="B1425" s="31"/>
      <c r="C1425" s="32"/>
      <c r="D1425" s="33"/>
      <c r="E1425" s="34"/>
      <c r="F1425" s="34"/>
      <c r="G1425" s="35"/>
      <c r="H1425" s="34"/>
      <c r="I1425" s="37"/>
    </row>
    <row r="1426" ht="22.5" customHeight="1">
      <c r="A1426" s="30"/>
      <c r="B1426" s="31"/>
      <c r="C1426" s="32"/>
      <c r="D1426" s="33"/>
      <c r="E1426" s="34"/>
      <c r="F1426" s="34"/>
      <c r="G1426" s="35"/>
      <c r="H1426" s="34"/>
      <c r="I1426" s="37"/>
    </row>
    <row r="1427" ht="22.5" customHeight="1">
      <c r="A1427" s="30"/>
      <c r="B1427" s="31"/>
      <c r="C1427" s="32"/>
      <c r="D1427" s="33"/>
      <c r="E1427" s="34"/>
      <c r="F1427" s="34"/>
      <c r="G1427" s="35"/>
      <c r="H1427" s="34"/>
      <c r="I1427" s="37"/>
    </row>
    <row r="1428" ht="22.5" customHeight="1">
      <c r="A1428" s="30"/>
      <c r="B1428" s="31"/>
      <c r="C1428" s="32"/>
      <c r="D1428" s="33"/>
      <c r="E1428" s="34"/>
      <c r="F1428" s="34"/>
      <c r="G1428" s="35"/>
      <c r="H1428" s="34"/>
      <c r="I1428" s="37"/>
    </row>
    <row r="1429" ht="22.5" customHeight="1">
      <c r="A1429" s="30"/>
      <c r="B1429" s="31"/>
      <c r="C1429" s="32"/>
      <c r="D1429" s="33"/>
      <c r="E1429" s="34"/>
      <c r="F1429" s="34"/>
      <c r="G1429" s="35"/>
      <c r="H1429" s="34"/>
      <c r="I1429" s="37"/>
    </row>
    <row r="1430" ht="22.5" customHeight="1">
      <c r="A1430" s="30"/>
      <c r="B1430" s="31"/>
      <c r="C1430" s="32"/>
      <c r="D1430" s="33"/>
      <c r="E1430" s="34"/>
      <c r="F1430" s="34"/>
      <c r="G1430" s="35"/>
      <c r="H1430" s="34"/>
      <c r="I1430" s="37"/>
    </row>
    <row r="1431" ht="22.5" customHeight="1">
      <c r="A1431" s="30"/>
      <c r="B1431" s="31"/>
      <c r="C1431" s="32"/>
      <c r="D1431" s="33"/>
      <c r="E1431" s="34"/>
      <c r="F1431" s="34"/>
      <c r="G1431" s="35"/>
      <c r="H1431" s="34"/>
      <c r="I1431" s="37"/>
    </row>
    <row r="1432" ht="22.5" customHeight="1">
      <c r="A1432" s="30"/>
      <c r="B1432" s="31"/>
      <c r="C1432" s="32"/>
      <c r="D1432" s="33"/>
      <c r="E1432" s="34"/>
      <c r="F1432" s="34"/>
      <c r="G1432" s="35"/>
      <c r="H1432" s="34"/>
      <c r="I1432" s="37"/>
    </row>
    <row r="1433" ht="22.5" customHeight="1">
      <c r="A1433" s="30"/>
      <c r="B1433" s="31"/>
      <c r="C1433" s="32"/>
      <c r="D1433" s="33"/>
      <c r="E1433" s="34"/>
      <c r="F1433" s="34"/>
      <c r="G1433" s="35"/>
      <c r="H1433" s="34"/>
      <c r="I1433" s="37"/>
    </row>
    <row r="1434" ht="22.5" customHeight="1">
      <c r="A1434" s="30"/>
      <c r="B1434" s="31"/>
      <c r="C1434" s="32"/>
      <c r="D1434" s="33"/>
      <c r="E1434" s="34"/>
      <c r="F1434" s="34"/>
      <c r="G1434" s="35"/>
      <c r="H1434" s="34"/>
      <c r="I1434" s="37"/>
    </row>
    <row r="1435" ht="22.5" customHeight="1">
      <c r="A1435" s="30"/>
      <c r="B1435" s="31"/>
      <c r="C1435" s="32"/>
      <c r="D1435" s="33"/>
      <c r="E1435" s="34"/>
      <c r="F1435" s="34"/>
      <c r="G1435" s="35"/>
      <c r="H1435" s="34"/>
      <c r="I1435" s="37"/>
    </row>
    <row r="1436" ht="22.5" customHeight="1">
      <c r="A1436" s="30"/>
      <c r="B1436" s="31"/>
      <c r="C1436" s="32"/>
      <c r="D1436" s="33"/>
      <c r="E1436" s="34"/>
      <c r="F1436" s="34"/>
      <c r="G1436" s="35"/>
      <c r="H1436" s="34"/>
      <c r="I1436" s="37"/>
    </row>
    <row r="1437" ht="22.5" customHeight="1">
      <c r="A1437" s="30"/>
      <c r="B1437" s="31"/>
      <c r="C1437" s="32"/>
      <c r="D1437" s="33"/>
      <c r="E1437" s="34"/>
      <c r="F1437" s="34"/>
      <c r="G1437" s="35"/>
      <c r="H1437" s="34"/>
      <c r="I1437" s="37"/>
    </row>
    <row r="1438" ht="22.5" customHeight="1">
      <c r="A1438" s="30"/>
      <c r="B1438" s="31"/>
      <c r="C1438" s="32"/>
      <c r="D1438" s="33"/>
      <c r="E1438" s="34"/>
      <c r="F1438" s="34"/>
      <c r="G1438" s="35"/>
      <c r="H1438" s="34"/>
      <c r="I1438" s="37"/>
    </row>
    <row r="1439" ht="22.5" customHeight="1">
      <c r="A1439" s="30"/>
      <c r="B1439" s="31"/>
      <c r="C1439" s="32"/>
      <c r="D1439" s="33"/>
      <c r="E1439" s="34"/>
      <c r="F1439" s="34"/>
      <c r="G1439" s="35"/>
      <c r="H1439" s="34"/>
      <c r="I1439" s="37"/>
    </row>
    <row r="1440" ht="22.5" customHeight="1">
      <c r="A1440" s="30"/>
      <c r="B1440" s="31"/>
      <c r="C1440" s="32"/>
      <c r="D1440" s="33"/>
      <c r="E1440" s="34"/>
      <c r="F1440" s="34"/>
      <c r="G1440" s="35"/>
      <c r="H1440" s="34"/>
      <c r="I1440" s="37"/>
    </row>
    <row r="1441" ht="22.5" customHeight="1">
      <c r="A1441" s="30"/>
      <c r="B1441" s="31"/>
      <c r="C1441" s="32"/>
      <c r="D1441" s="33"/>
      <c r="E1441" s="34"/>
      <c r="F1441" s="34"/>
      <c r="G1441" s="35"/>
      <c r="H1441" s="34"/>
      <c r="I1441" s="37"/>
    </row>
    <row r="1442" ht="22.5" customHeight="1">
      <c r="A1442" s="30"/>
      <c r="B1442" s="31"/>
      <c r="C1442" s="32"/>
      <c r="D1442" s="33"/>
      <c r="E1442" s="34"/>
      <c r="F1442" s="34"/>
      <c r="G1442" s="35"/>
      <c r="H1442" s="34"/>
      <c r="I1442" s="37"/>
    </row>
    <row r="1443" ht="22.5" customHeight="1">
      <c r="A1443" s="30"/>
      <c r="B1443" s="31"/>
      <c r="C1443" s="32"/>
      <c r="D1443" s="33"/>
      <c r="E1443" s="34"/>
      <c r="F1443" s="34"/>
      <c r="G1443" s="35"/>
      <c r="H1443" s="34"/>
      <c r="I1443" s="37"/>
    </row>
    <row r="1444" ht="22.5" customHeight="1">
      <c r="A1444" s="30"/>
      <c r="B1444" s="40"/>
      <c r="C1444" s="32"/>
      <c r="D1444" s="33"/>
      <c r="E1444" s="34"/>
      <c r="F1444" s="34"/>
      <c r="G1444" s="35"/>
      <c r="H1444" s="34"/>
      <c r="I1444" s="37"/>
    </row>
    <row r="1445" ht="22.5" customHeight="1">
      <c r="A1445" s="30"/>
      <c r="B1445" s="31"/>
      <c r="C1445" s="32"/>
      <c r="D1445" s="33"/>
      <c r="E1445" s="34"/>
      <c r="F1445" s="34"/>
      <c r="G1445" s="35"/>
      <c r="H1445" s="34"/>
      <c r="I1445" s="37"/>
    </row>
    <row r="1446" ht="22.5" customHeight="1">
      <c r="A1446" s="30"/>
      <c r="B1446" s="31"/>
      <c r="C1446" s="32"/>
      <c r="D1446" s="33"/>
      <c r="E1446" s="34"/>
      <c r="F1446" s="34"/>
      <c r="G1446" s="35"/>
      <c r="H1446" s="34"/>
      <c r="I1446" s="37"/>
    </row>
    <row r="1447" ht="22.5" customHeight="1">
      <c r="A1447" s="30"/>
      <c r="B1447" s="31"/>
      <c r="C1447" s="32"/>
      <c r="D1447" s="33"/>
      <c r="E1447" s="34"/>
      <c r="F1447" s="34"/>
      <c r="G1447" s="35"/>
      <c r="H1447" s="34"/>
      <c r="I1447" s="37"/>
    </row>
    <row r="1448" ht="22.5" customHeight="1">
      <c r="A1448" s="30"/>
      <c r="B1448" s="31"/>
      <c r="C1448" s="32"/>
      <c r="D1448" s="33"/>
      <c r="E1448" s="34"/>
      <c r="F1448" s="34"/>
      <c r="G1448" s="35"/>
      <c r="H1448" s="34"/>
      <c r="I1448" s="38"/>
    </row>
    <row r="1449" ht="22.5" customHeight="1">
      <c r="A1449" s="30"/>
      <c r="B1449" s="39"/>
      <c r="C1449" s="32"/>
      <c r="D1449" s="33"/>
      <c r="E1449" s="34"/>
      <c r="F1449" s="34"/>
      <c r="G1449" s="35"/>
      <c r="H1449" s="34"/>
      <c r="I1449" s="37"/>
    </row>
    <row r="1450" ht="22.5" customHeight="1">
      <c r="A1450" s="30"/>
      <c r="B1450" s="31"/>
      <c r="C1450" s="32"/>
      <c r="D1450" s="33"/>
      <c r="E1450" s="34"/>
      <c r="F1450" s="34"/>
      <c r="G1450" s="35"/>
      <c r="H1450" s="34"/>
      <c r="I1450" s="37"/>
    </row>
    <row r="1451" ht="22.5" customHeight="1">
      <c r="A1451" s="30"/>
      <c r="B1451" s="31"/>
      <c r="C1451" s="32"/>
      <c r="D1451" s="33"/>
      <c r="E1451" s="34"/>
      <c r="F1451" s="34"/>
      <c r="G1451" s="35"/>
      <c r="H1451" s="34"/>
      <c r="I1451" s="37"/>
    </row>
    <row r="1452" ht="22.5" customHeight="1">
      <c r="A1452" s="30"/>
      <c r="B1452" s="31"/>
      <c r="C1452" s="32"/>
      <c r="D1452" s="33"/>
      <c r="E1452" s="34"/>
      <c r="F1452" s="34"/>
      <c r="G1452" s="35"/>
      <c r="H1452" s="34"/>
      <c r="I1452" s="37"/>
    </row>
    <row r="1453" ht="22.5" customHeight="1">
      <c r="A1453" s="30"/>
      <c r="B1453" s="39"/>
      <c r="C1453" s="32"/>
      <c r="D1453" s="33"/>
      <c r="E1453" s="34"/>
      <c r="F1453" s="34"/>
      <c r="G1453" s="35"/>
      <c r="H1453" s="34"/>
      <c r="I1453" s="37"/>
    </row>
    <row r="1454" ht="22.5" customHeight="1">
      <c r="A1454" s="30"/>
      <c r="B1454" s="31"/>
      <c r="C1454" s="32"/>
      <c r="D1454" s="33"/>
      <c r="E1454" s="34"/>
      <c r="F1454" s="34"/>
      <c r="G1454" s="35"/>
      <c r="H1454" s="34"/>
      <c r="I1454" s="37"/>
    </row>
    <row r="1455" ht="22.5" customHeight="1">
      <c r="A1455" s="30"/>
      <c r="B1455" s="39"/>
      <c r="C1455" s="32"/>
      <c r="D1455" s="33"/>
      <c r="E1455" s="34"/>
      <c r="F1455" s="34"/>
      <c r="G1455" s="35"/>
      <c r="H1455" s="34"/>
      <c r="I1455" s="37"/>
    </row>
    <row r="1456" ht="22.5" customHeight="1">
      <c r="A1456" s="30"/>
      <c r="B1456" s="31"/>
      <c r="C1456" s="32"/>
      <c r="D1456" s="33"/>
      <c r="E1456" s="34"/>
      <c r="F1456" s="34"/>
      <c r="G1456" s="35"/>
      <c r="H1456" s="34"/>
      <c r="I1456" s="37"/>
    </row>
    <row r="1457" ht="22.5" customHeight="1">
      <c r="A1457" s="30"/>
      <c r="B1457" s="31"/>
      <c r="C1457" s="32"/>
      <c r="D1457" s="33"/>
      <c r="E1457" s="34"/>
      <c r="F1457" s="34"/>
      <c r="G1457" s="35"/>
      <c r="H1457" s="34"/>
      <c r="I1457" s="37"/>
    </row>
    <row r="1458" ht="22.5" customHeight="1">
      <c r="A1458" s="30"/>
      <c r="B1458" s="31"/>
      <c r="C1458" s="32"/>
      <c r="D1458" s="33"/>
      <c r="E1458" s="34"/>
      <c r="F1458" s="34"/>
      <c r="G1458" s="35"/>
      <c r="H1458" s="34"/>
      <c r="I1458" s="37"/>
    </row>
    <row r="1459" ht="22.5" customHeight="1">
      <c r="A1459" s="30"/>
      <c r="B1459" s="31"/>
      <c r="C1459" s="32"/>
      <c r="D1459" s="33"/>
      <c r="E1459" s="34"/>
      <c r="F1459" s="34"/>
      <c r="G1459" s="35"/>
      <c r="H1459" s="34"/>
      <c r="I1459" s="37"/>
    </row>
    <row r="1460" ht="22.5" customHeight="1">
      <c r="A1460" s="30"/>
      <c r="B1460" s="31"/>
      <c r="C1460" s="32"/>
      <c r="D1460" s="33"/>
      <c r="E1460" s="34"/>
      <c r="F1460" s="34"/>
      <c r="G1460" s="35"/>
      <c r="H1460" s="34"/>
      <c r="I1460" s="37"/>
    </row>
    <row r="1461" ht="22.5" customHeight="1">
      <c r="A1461" s="30"/>
      <c r="B1461" s="31"/>
      <c r="C1461" s="32"/>
      <c r="D1461" s="33"/>
      <c r="E1461" s="34"/>
      <c r="F1461" s="34"/>
      <c r="G1461" s="35"/>
      <c r="H1461" s="34"/>
      <c r="I1461" s="37"/>
    </row>
    <row r="1462" ht="22.5" customHeight="1">
      <c r="A1462" s="30"/>
      <c r="B1462" s="31"/>
      <c r="C1462" s="32"/>
      <c r="D1462" s="33"/>
      <c r="E1462" s="34"/>
      <c r="F1462" s="34"/>
      <c r="G1462" s="35"/>
      <c r="H1462" s="34"/>
      <c r="I1462" s="37"/>
    </row>
    <row r="1463" ht="22.5" customHeight="1">
      <c r="A1463" s="30"/>
      <c r="B1463" s="31"/>
      <c r="C1463" s="32"/>
      <c r="D1463" s="33"/>
      <c r="E1463" s="34"/>
      <c r="F1463" s="34"/>
      <c r="G1463" s="35"/>
      <c r="H1463" s="34"/>
      <c r="I1463" s="37"/>
    </row>
    <row r="1464" ht="22.5" customHeight="1">
      <c r="A1464" s="30"/>
      <c r="B1464" s="31"/>
      <c r="C1464" s="32"/>
      <c r="D1464" s="33"/>
      <c r="E1464" s="34"/>
      <c r="F1464" s="34"/>
      <c r="G1464" s="35"/>
      <c r="H1464" s="34"/>
      <c r="I1464" s="37"/>
    </row>
    <row r="1465" ht="22.5" customHeight="1">
      <c r="A1465" s="30"/>
      <c r="B1465" s="31"/>
      <c r="C1465" s="32"/>
      <c r="D1465" s="33"/>
      <c r="E1465" s="34"/>
      <c r="F1465" s="34"/>
      <c r="G1465" s="35"/>
      <c r="H1465" s="34"/>
      <c r="I1465" s="37"/>
    </row>
    <row r="1466" ht="22.5" customHeight="1">
      <c r="A1466" s="30"/>
      <c r="B1466" s="40"/>
      <c r="C1466" s="32"/>
      <c r="D1466" s="33"/>
      <c r="E1466" s="34"/>
      <c r="F1466" s="34"/>
      <c r="G1466" s="35"/>
      <c r="H1466" s="34"/>
      <c r="I1466" s="37"/>
    </row>
    <row r="1467" ht="22.5" customHeight="1">
      <c r="A1467" s="30"/>
      <c r="B1467" s="31"/>
      <c r="C1467" s="32"/>
      <c r="D1467" s="33"/>
      <c r="E1467" s="34"/>
      <c r="F1467" s="34"/>
      <c r="G1467" s="35"/>
      <c r="H1467" s="34"/>
      <c r="I1467" s="37"/>
    </row>
    <row r="1468" ht="22.5" customHeight="1">
      <c r="A1468" s="30"/>
      <c r="B1468" s="31"/>
      <c r="C1468" s="32"/>
      <c r="D1468" s="33"/>
      <c r="E1468" s="34"/>
      <c r="F1468" s="34"/>
      <c r="G1468" s="35"/>
      <c r="H1468" s="34"/>
      <c r="I1468" s="37"/>
    </row>
    <row r="1469" ht="22.5" customHeight="1">
      <c r="A1469" s="30"/>
      <c r="B1469" s="31"/>
      <c r="C1469" s="32"/>
      <c r="D1469" s="33"/>
      <c r="E1469" s="34"/>
      <c r="F1469" s="34"/>
      <c r="G1469" s="35"/>
      <c r="H1469" s="34"/>
      <c r="I1469" s="37"/>
    </row>
    <row r="1470" ht="22.5" customHeight="1">
      <c r="A1470" s="30"/>
      <c r="B1470" s="31"/>
      <c r="C1470" s="32"/>
      <c r="D1470" s="33"/>
      <c r="E1470" s="34"/>
      <c r="F1470" s="34"/>
      <c r="G1470" s="35"/>
      <c r="H1470" s="34"/>
      <c r="I1470" s="37"/>
    </row>
    <row r="1471" ht="22.5" customHeight="1">
      <c r="A1471" s="30"/>
      <c r="B1471" s="31"/>
      <c r="C1471" s="32"/>
      <c r="D1471" s="33"/>
      <c r="E1471" s="34"/>
      <c r="F1471" s="34"/>
      <c r="G1471" s="35"/>
      <c r="H1471" s="34"/>
      <c r="I1471" s="37"/>
    </row>
    <row r="1472" ht="22.5" customHeight="1">
      <c r="A1472" s="30"/>
      <c r="B1472" s="31"/>
      <c r="C1472" s="32"/>
      <c r="D1472" s="33"/>
      <c r="E1472" s="34"/>
      <c r="F1472" s="34"/>
      <c r="G1472" s="35"/>
      <c r="H1472" s="34"/>
      <c r="I1472" s="37"/>
    </row>
    <row r="1473" ht="22.5" customHeight="1">
      <c r="A1473" s="30"/>
      <c r="B1473" s="39"/>
      <c r="C1473" s="32"/>
      <c r="D1473" s="33"/>
      <c r="E1473" s="34"/>
      <c r="F1473" s="34"/>
      <c r="G1473" s="35"/>
      <c r="H1473" s="34"/>
      <c r="I1473" s="37"/>
    </row>
    <row r="1474" ht="22.5" customHeight="1">
      <c r="A1474" s="30"/>
      <c r="B1474" s="39"/>
      <c r="C1474" s="32"/>
      <c r="D1474" s="33"/>
      <c r="E1474" s="34"/>
      <c r="F1474" s="34"/>
      <c r="G1474" s="35"/>
      <c r="H1474" s="34"/>
      <c r="I1474" s="37"/>
    </row>
    <row r="1475" ht="22.5" customHeight="1">
      <c r="A1475" s="30"/>
      <c r="B1475" s="39"/>
      <c r="C1475" s="32"/>
      <c r="D1475" s="33"/>
      <c r="E1475" s="34"/>
      <c r="F1475" s="34"/>
      <c r="G1475" s="35"/>
      <c r="H1475" s="34"/>
      <c r="I1475" s="37"/>
    </row>
    <row r="1476" ht="22.5" customHeight="1">
      <c r="A1476" s="30"/>
      <c r="B1476" s="40"/>
      <c r="C1476" s="32"/>
      <c r="D1476" s="33"/>
      <c r="E1476" s="34"/>
      <c r="F1476" s="34"/>
      <c r="G1476" s="35"/>
      <c r="H1476" s="34"/>
      <c r="I1476" s="37"/>
    </row>
    <row r="1477" ht="22.5" customHeight="1">
      <c r="A1477" s="30"/>
      <c r="B1477" s="31"/>
      <c r="C1477" s="32"/>
      <c r="D1477" s="33"/>
      <c r="E1477" s="34"/>
      <c r="F1477" s="34"/>
      <c r="G1477" s="35"/>
      <c r="H1477" s="34"/>
      <c r="I1477" s="37"/>
    </row>
    <row r="1478" ht="22.5" customHeight="1">
      <c r="A1478" s="30"/>
      <c r="B1478" s="31"/>
      <c r="C1478" s="32"/>
      <c r="D1478" s="33"/>
      <c r="E1478" s="34"/>
      <c r="F1478" s="34"/>
      <c r="G1478" s="35"/>
      <c r="H1478" s="34"/>
      <c r="I1478" s="37"/>
    </row>
    <row r="1479" ht="22.5" customHeight="1">
      <c r="A1479" s="30"/>
      <c r="B1479" s="31"/>
      <c r="C1479" s="32"/>
      <c r="D1479" s="33"/>
      <c r="E1479" s="34"/>
      <c r="F1479" s="34"/>
      <c r="G1479" s="35"/>
      <c r="H1479" s="34"/>
      <c r="I1479" s="37"/>
    </row>
    <row r="1480" ht="22.5" customHeight="1">
      <c r="A1480" s="30"/>
      <c r="B1480" s="31"/>
      <c r="C1480" s="32"/>
      <c r="D1480" s="33"/>
      <c r="E1480" s="34"/>
      <c r="F1480" s="34"/>
      <c r="G1480" s="35"/>
      <c r="H1480" s="34"/>
      <c r="I1480" s="37"/>
    </row>
    <row r="1481" ht="22.5" customHeight="1">
      <c r="A1481" s="30"/>
      <c r="B1481" s="31"/>
      <c r="C1481" s="32"/>
      <c r="D1481" s="33"/>
      <c r="E1481" s="34"/>
      <c r="F1481" s="34"/>
      <c r="G1481" s="35"/>
      <c r="H1481" s="34"/>
      <c r="I1481" s="37"/>
    </row>
    <row r="1482" ht="22.5" customHeight="1">
      <c r="A1482" s="30"/>
      <c r="B1482" s="31"/>
      <c r="C1482" s="32"/>
      <c r="D1482" s="33"/>
      <c r="E1482" s="34"/>
      <c r="F1482" s="34"/>
      <c r="G1482" s="35"/>
      <c r="H1482" s="34"/>
      <c r="I1482" s="37"/>
    </row>
    <row r="1483" ht="22.5" customHeight="1">
      <c r="A1483" s="30"/>
      <c r="B1483" s="31"/>
      <c r="C1483" s="32"/>
      <c r="D1483" s="33"/>
      <c r="E1483" s="34"/>
      <c r="F1483" s="34"/>
      <c r="G1483" s="35"/>
      <c r="H1483" s="34"/>
      <c r="I1483" s="37"/>
    </row>
    <row r="1484" ht="22.5" customHeight="1">
      <c r="A1484" s="30"/>
      <c r="B1484" s="31"/>
      <c r="C1484" s="32"/>
      <c r="D1484" s="33"/>
      <c r="E1484" s="34"/>
      <c r="F1484" s="34"/>
      <c r="G1484" s="35"/>
      <c r="H1484" s="34"/>
      <c r="I1484" s="37"/>
    </row>
    <row r="1485" ht="22.5" customHeight="1">
      <c r="A1485" s="30"/>
      <c r="B1485" s="31"/>
      <c r="C1485" s="32"/>
      <c r="D1485" s="33"/>
      <c r="E1485" s="34"/>
      <c r="F1485" s="34"/>
      <c r="G1485" s="35"/>
      <c r="H1485" s="34"/>
      <c r="I1485" s="37"/>
    </row>
    <row r="1486" ht="22.5" customHeight="1">
      <c r="A1486" s="30"/>
      <c r="B1486" s="40"/>
      <c r="C1486" s="32"/>
      <c r="D1486" s="33"/>
      <c r="E1486" s="34"/>
      <c r="F1486" s="34"/>
      <c r="G1486" s="35"/>
      <c r="H1486" s="34"/>
      <c r="I1486" s="37"/>
    </row>
    <row r="1487" ht="22.5" customHeight="1">
      <c r="A1487" s="30"/>
      <c r="B1487" s="31"/>
      <c r="C1487" s="32"/>
      <c r="D1487" s="33"/>
      <c r="E1487" s="34"/>
      <c r="F1487" s="34"/>
      <c r="G1487" s="35"/>
      <c r="H1487" s="34"/>
      <c r="I1487" s="37"/>
    </row>
    <row r="1488" ht="22.5" customHeight="1">
      <c r="A1488" s="30"/>
      <c r="B1488" s="31"/>
      <c r="C1488" s="32"/>
      <c r="D1488" s="33"/>
      <c r="E1488" s="34"/>
      <c r="F1488" s="34"/>
      <c r="G1488" s="35"/>
      <c r="H1488" s="34"/>
      <c r="I1488" s="37"/>
    </row>
    <row r="1489" ht="22.5" customHeight="1">
      <c r="A1489" s="30"/>
      <c r="B1489" s="31"/>
      <c r="C1489" s="32"/>
      <c r="D1489" s="33"/>
      <c r="E1489" s="34"/>
      <c r="F1489" s="34"/>
      <c r="G1489" s="35"/>
      <c r="H1489" s="34"/>
      <c r="I1489" s="37"/>
    </row>
    <row r="1490" ht="22.5" customHeight="1">
      <c r="A1490" s="30"/>
      <c r="B1490" s="40"/>
      <c r="C1490" s="32"/>
      <c r="D1490" s="33"/>
      <c r="E1490" s="34"/>
      <c r="F1490" s="34"/>
      <c r="G1490" s="35"/>
      <c r="H1490" s="34"/>
      <c r="I1490" s="37"/>
    </row>
    <row r="1491" ht="22.5" customHeight="1">
      <c r="A1491" s="30"/>
      <c r="B1491" s="31"/>
      <c r="C1491" s="32"/>
      <c r="D1491" s="33"/>
      <c r="E1491" s="34"/>
      <c r="F1491" s="34"/>
      <c r="G1491" s="35"/>
      <c r="H1491" s="34"/>
      <c r="I1491" s="37"/>
    </row>
    <row r="1492" ht="22.5" customHeight="1">
      <c r="A1492" s="30"/>
      <c r="B1492" s="31"/>
      <c r="C1492" s="32"/>
      <c r="D1492" s="33"/>
      <c r="E1492" s="34"/>
      <c r="F1492" s="34"/>
      <c r="G1492" s="35"/>
      <c r="H1492" s="34"/>
      <c r="I1492" s="37"/>
    </row>
    <row r="1493" ht="22.5" customHeight="1">
      <c r="A1493" s="30"/>
      <c r="B1493" s="31"/>
      <c r="C1493" s="32"/>
      <c r="D1493" s="33"/>
      <c r="E1493" s="34"/>
      <c r="F1493" s="34"/>
      <c r="G1493" s="35"/>
      <c r="H1493" s="34"/>
      <c r="I1493" s="37"/>
    </row>
    <row r="1494" ht="22.5" customHeight="1">
      <c r="A1494" s="30"/>
      <c r="B1494" s="31"/>
      <c r="C1494" s="32"/>
      <c r="D1494" s="33"/>
      <c r="E1494" s="34"/>
      <c r="F1494" s="34"/>
      <c r="G1494" s="35"/>
      <c r="H1494" s="34"/>
      <c r="I1494" s="37"/>
    </row>
    <row r="1495" ht="22.5" customHeight="1">
      <c r="A1495" s="30"/>
      <c r="B1495" s="31"/>
      <c r="C1495" s="32"/>
      <c r="D1495" s="33"/>
      <c r="E1495" s="34"/>
      <c r="F1495" s="34"/>
      <c r="G1495" s="35"/>
      <c r="H1495" s="34"/>
      <c r="I1495" s="37"/>
    </row>
    <row r="1496" ht="22.5" customHeight="1">
      <c r="A1496" s="30"/>
      <c r="B1496" s="31"/>
      <c r="C1496" s="32"/>
      <c r="D1496" s="33"/>
      <c r="E1496" s="34"/>
      <c r="F1496" s="34"/>
      <c r="G1496" s="35"/>
      <c r="H1496" s="34"/>
      <c r="I1496" s="37"/>
    </row>
    <row r="1497" ht="22.5" customHeight="1">
      <c r="A1497" s="30"/>
      <c r="B1497" s="31"/>
      <c r="C1497" s="32"/>
      <c r="D1497" s="33"/>
      <c r="E1497" s="34"/>
      <c r="F1497" s="34"/>
      <c r="G1497" s="35"/>
      <c r="H1497" s="34"/>
      <c r="I1497" s="37"/>
    </row>
    <row r="1498" ht="22.5" customHeight="1">
      <c r="A1498" s="30"/>
      <c r="B1498" s="31"/>
      <c r="C1498" s="32"/>
      <c r="D1498" s="33"/>
      <c r="E1498" s="34"/>
      <c r="F1498" s="34"/>
      <c r="G1498" s="35"/>
      <c r="H1498" s="34"/>
      <c r="I1498" s="37"/>
    </row>
    <row r="1499" ht="22.5" customHeight="1">
      <c r="A1499" s="30"/>
      <c r="B1499" s="31"/>
      <c r="C1499" s="32"/>
      <c r="D1499" s="33"/>
      <c r="E1499" s="34"/>
      <c r="F1499" s="34"/>
      <c r="G1499" s="35"/>
      <c r="H1499" s="34"/>
      <c r="I1499" s="37"/>
    </row>
    <row r="1500" ht="22.5" customHeight="1">
      <c r="A1500" s="30"/>
      <c r="B1500" s="31"/>
      <c r="C1500" s="32"/>
      <c r="D1500" s="33"/>
      <c r="E1500" s="34"/>
      <c r="F1500" s="34"/>
      <c r="G1500" s="35"/>
      <c r="H1500" s="34"/>
      <c r="I1500" s="37"/>
    </row>
    <row r="1501" ht="22.5" customHeight="1">
      <c r="A1501" s="30"/>
      <c r="B1501" s="31"/>
      <c r="C1501" s="32"/>
      <c r="D1501" s="33"/>
      <c r="E1501" s="34"/>
      <c r="F1501" s="34"/>
      <c r="G1501" s="35"/>
      <c r="H1501" s="34"/>
      <c r="I1501" s="37"/>
    </row>
    <row r="1502" ht="22.5" customHeight="1">
      <c r="A1502" s="30"/>
      <c r="B1502" s="31"/>
      <c r="C1502" s="32"/>
      <c r="D1502" s="33"/>
      <c r="E1502" s="34"/>
      <c r="F1502" s="34"/>
      <c r="G1502" s="35"/>
      <c r="H1502" s="34"/>
      <c r="I1502" s="37"/>
    </row>
    <row r="1503" ht="22.5" customHeight="1">
      <c r="A1503" s="30"/>
      <c r="B1503" s="31"/>
      <c r="C1503" s="32"/>
      <c r="D1503" s="33"/>
      <c r="E1503" s="34"/>
      <c r="F1503" s="34"/>
      <c r="G1503" s="35"/>
      <c r="H1503" s="34"/>
      <c r="I1503" s="37"/>
    </row>
    <row r="1504" ht="22.5" customHeight="1">
      <c r="A1504" s="30"/>
      <c r="B1504" s="31"/>
      <c r="C1504" s="32"/>
      <c r="D1504" s="33"/>
      <c r="E1504" s="34"/>
      <c r="F1504" s="34"/>
      <c r="G1504" s="35"/>
      <c r="H1504" s="34"/>
      <c r="I1504" s="37"/>
    </row>
    <row r="1505" ht="22.5" customHeight="1">
      <c r="A1505" s="30"/>
      <c r="B1505" s="40"/>
      <c r="C1505" s="32"/>
      <c r="D1505" s="33"/>
      <c r="E1505" s="34"/>
      <c r="F1505" s="34"/>
      <c r="G1505" s="35"/>
      <c r="H1505" s="34"/>
      <c r="I1505" s="37"/>
    </row>
    <row r="1506" ht="22.5" customHeight="1">
      <c r="A1506" s="30"/>
      <c r="B1506" s="31"/>
      <c r="C1506" s="32"/>
      <c r="D1506" s="33"/>
      <c r="E1506" s="34"/>
      <c r="F1506" s="34"/>
      <c r="G1506" s="35"/>
      <c r="H1506" s="34"/>
      <c r="I1506" s="37"/>
    </row>
    <row r="1507" ht="22.5" customHeight="1">
      <c r="A1507" s="30"/>
      <c r="B1507" s="40"/>
      <c r="C1507" s="32"/>
      <c r="D1507" s="33"/>
      <c r="E1507" s="34"/>
      <c r="F1507" s="34"/>
      <c r="G1507" s="35"/>
      <c r="H1507" s="34"/>
      <c r="I1507" s="37"/>
    </row>
    <row r="1508" ht="22.5" customHeight="1">
      <c r="A1508" s="30"/>
      <c r="B1508" s="31"/>
      <c r="C1508" s="32"/>
      <c r="D1508" s="33"/>
      <c r="E1508" s="34"/>
      <c r="F1508" s="34"/>
      <c r="G1508" s="35"/>
      <c r="H1508" s="34"/>
      <c r="I1508" s="37"/>
    </row>
    <row r="1509" ht="22.5" customHeight="1">
      <c r="A1509" s="30"/>
      <c r="B1509" s="31"/>
      <c r="C1509" s="32"/>
      <c r="D1509" s="33"/>
      <c r="E1509" s="34"/>
      <c r="F1509" s="34"/>
      <c r="G1509" s="35"/>
      <c r="H1509" s="34"/>
      <c r="I1509" s="37"/>
    </row>
    <row r="1510" ht="22.5" customHeight="1">
      <c r="A1510" s="30"/>
      <c r="B1510" s="31"/>
      <c r="C1510" s="32"/>
      <c r="D1510" s="33"/>
      <c r="E1510" s="34"/>
      <c r="F1510" s="34"/>
      <c r="G1510" s="35"/>
      <c r="H1510" s="34"/>
      <c r="I1510" s="37"/>
    </row>
    <row r="1511" ht="22.5" customHeight="1">
      <c r="A1511" s="30"/>
      <c r="B1511" s="31"/>
      <c r="C1511" s="32"/>
      <c r="D1511" s="33"/>
      <c r="E1511" s="34"/>
      <c r="F1511" s="34"/>
      <c r="G1511" s="35"/>
      <c r="H1511" s="34"/>
      <c r="I1511" s="37"/>
    </row>
    <row r="1512" ht="22.5" customHeight="1">
      <c r="A1512" s="30"/>
      <c r="B1512" s="40"/>
      <c r="C1512" s="32"/>
      <c r="D1512" s="33"/>
      <c r="E1512" s="34"/>
      <c r="F1512" s="34"/>
      <c r="G1512" s="35"/>
      <c r="H1512" s="34"/>
      <c r="I1512" s="37"/>
    </row>
    <row r="1513" ht="22.5" customHeight="1">
      <c r="A1513" s="30"/>
      <c r="B1513" s="31"/>
      <c r="C1513" s="32"/>
      <c r="D1513" s="33"/>
      <c r="E1513" s="34"/>
      <c r="F1513" s="34"/>
      <c r="G1513" s="35"/>
      <c r="H1513" s="34"/>
      <c r="I1513" s="37"/>
    </row>
    <row r="1514" ht="22.5" customHeight="1">
      <c r="A1514" s="30"/>
      <c r="B1514" s="31"/>
      <c r="C1514" s="32"/>
      <c r="D1514" s="33"/>
      <c r="E1514" s="34"/>
      <c r="F1514" s="34"/>
      <c r="G1514" s="35"/>
      <c r="H1514" s="34"/>
      <c r="I1514" s="37"/>
    </row>
    <row r="1515" ht="22.5" customHeight="1">
      <c r="A1515" s="30"/>
      <c r="B1515" s="31"/>
      <c r="C1515" s="32"/>
      <c r="D1515" s="33"/>
      <c r="E1515" s="34"/>
      <c r="F1515" s="34"/>
      <c r="G1515" s="35"/>
      <c r="H1515" s="34"/>
      <c r="I1515" s="37"/>
    </row>
    <row r="1516" ht="22.5" customHeight="1">
      <c r="A1516" s="30"/>
      <c r="B1516" s="31"/>
      <c r="C1516" s="32"/>
      <c r="D1516" s="33"/>
      <c r="E1516" s="34"/>
      <c r="F1516" s="34"/>
      <c r="G1516" s="35"/>
      <c r="H1516" s="34"/>
      <c r="I1516" s="37"/>
    </row>
    <row r="1517" ht="22.5" customHeight="1">
      <c r="A1517" s="30"/>
      <c r="B1517" s="31"/>
      <c r="C1517" s="32"/>
      <c r="D1517" s="33"/>
      <c r="E1517" s="34"/>
      <c r="F1517" s="34"/>
      <c r="G1517" s="35"/>
      <c r="H1517" s="34"/>
      <c r="I1517" s="37"/>
    </row>
    <row r="1518" ht="22.5" customHeight="1">
      <c r="A1518" s="30"/>
      <c r="B1518" s="31"/>
      <c r="C1518" s="32"/>
      <c r="D1518" s="33"/>
      <c r="E1518" s="34"/>
      <c r="F1518" s="34"/>
      <c r="G1518" s="35"/>
      <c r="H1518" s="34"/>
      <c r="I1518" s="37"/>
    </row>
    <row r="1519" ht="22.5" customHeight="1">
      <c r="A1519" s="30"/>
      <c r="B1519" s="31"/>
      <c r="C1519" s="32"/>
      <c r="D1519" s="33"/>
      <c r="E1519" s="34"/>
      <c r="F1519" s="34"/>
      <c r="G1519" s="35"/>
      <c r="H1519" s="34"/>
      <c r="I1519" s="37"/>
    </row>
    <row r="1520" ht="22.5" customHeight="1">
      <c r="A1520" s="30"/>
      <c r="B1520" s="31"/>
      <c r="C1520" s="32"/>
      <c r="D1520" s="33"/>
      <c r="E1520" s="34"/>
      <c r="F1520" s="34"/>
      <c r="G1520" s="35"/>
      <c r="H1520" s="34"/>
      <c r="I1520" s="37"/>
    </row>
    <row r="1521" ht="22.5" customHeight="1">
      <c r="A1521" s="30"/>
      <c r="B1521" s="31"/>
      <c r="C1521" s="32"/>
      <c r="D1521" s="33"/>
      <c r="E1521" s="34"/>
      <c r="F1521" s="34"/>
      <c r="G1521" s="35"/>
      <c r="H1521" s="34"/>
      <c r="I1521" s="37"/>
    </row>
    <row r="1522" ht="22.5" customHeight="1">
      <c r="A1522" s="30"/>
      <c r="B1522" s="31"/>
      <c r="C1522" s="32"/>
      <c r="D1522" s="33"/>
      <c r="E1522" s="34"/>
      <c r="F1522" s="34"/>
      <c r="G1522" s="35"/>
      <c r="H1522" s="34"/>
      <c r="I1522" s="37"/>
    </row>
    <row r="1523" ht="22.5" customHeight="1">
      <c r="A1523" s="30"/>
      <c r="B1523" s="31"/>
      <c r="C1523" s="32"/>
      <c r="D1523" s="33"/>
      <c r="E1523" s="34"/>
      <c r="F1523" s="34"/>
      <c r="G1523" s="35"/>
      <c r="H1523" s="34"/>
      <c r="I1523" s="37"/>
    </row>
    <row r="1524" ht="22.5" customHeight="1">
      <c r="A1524" s="30"/>
      <c r="B1524" s="31"/>
      <c r="C1524" s="32"/>
      <c r="D1524" s="33"/>
      <c r="E1524" s="34"/>
      <c r="F1524" s="34"/>
      <c r="G1524" s="35"/>
      <c r="H1524" s="34"/>
      <c r="I1524" s="37"/>
    </row>
    <row r="1525" ht="22.5" customHeight="1">
      <c r="A1525" s="30"/>
      <c r="B1525" s="31"/>
      <c r="C1525" s="32"/>
      <c r="D1525" s="33"/>
      <c r="E1525" s="34"/>
      <c r="F1525" s="34"/>
      <c r="G1525" s="35"/>
      <c r="H1525" s="34"/>
      <c r="I1525" s="37"/>
    </row>
    <row r="1526" ht="22.5" customHeight="1">
      <c r="A1526" s="30"/>
      <c r="B1526" s="31"/>
      <c r="C1526" s="32"/>
      <c r="D1526" s="33"/>
      <c r="E1526" s="34"/>
      <c r="F1526" s="34"/>
      <c r="G1526" s="35"/>
      <c r="H1526" s="34"/>
      <c r="I1526" s="37"/>
    </row>
    <row r="1527" ht="22.5" customHeight="1">
      <c r="A1527" s="30"/>
      <c r="B1527" s="31"/>
      <c r="C1527" s="32"/>
      <c r="D1527" s="33"/>
      <c r="E1527" s="34"/>
      <c r="F1527" s="34"/>
      <c r="G1527" s="35"/>
      <c r="H1527" s="34"/>
      <c r="I1527" s="37"/>
    </row>
    <row r="1528" ht="22.5" customHeight="1">
      <c r="A1528" s="30"/>
      <c r="B1528" s="31"/>
      <c r="C1528" s="32"/>
      <c r="D1528" s="33"/>
      <c r="E1528" s="34"/>
      <c r="F1528" s="34"/>
      <c r="G1528" s="35"/>
      <c r="H1528" s="34"/>
      <c r="I1528" s="37"/>
    </row>
    <row r="1529" ht="22.5" customHeight="1">
      <c r="A1529" s="30"/>
      <c r="B1529" s="31"/>
      <c r="C1529" s="32"/>
      <c r="D1529" s="33"/>
      <c r="E1529" s="34"/>
      <c r="F1529" s="34"/>
      <c r="G1529" s="35"/>
      <c r="H1529" s="34"/>
      <c r="I1529" s="37"/>
    </row>
    <row r="1530" ht="22.5" customHeight="1">
      <c r="A1530" s="30"/>
      <c r="B1530" s="31"/>
      <c r="C1530" s="32"/>
      <c r="D1530" s="33"/>
      <c r="E1530" s="34"/>
      <c r="F1530" s="34"/>
      <c r="G1530" s="35"/>
      <c r="H1530" s="34"/>
      <c r="I1530" s="37"/>
    </row>
    <row r="1531" ht="22.5" customHeight="1">
      <c r="A1531" s="30"/>
      <c r="B1531" s="31"/>
      <c r="C1531" s="32"/>
      <c r="D1531" s="33"/>
      <c r="E1531" s="34"/>
      <c r="F1531" s="34"/>
      <c r="G1531" s="35"/>
      <c r="H1531" s="34"/>
      <c r="I1531" s="37"/>
    </row>
    <row r="1532" ht="22.5" customHeight="1">
      <c r="A1532" s="30"/>
      <c r="B1532" s="31"/>
      <c r="C1532" s="32"/>
      <c r="D1532" s="33"/>
      <c r="E1532" s="34"/>
      <c r="F1532" s="34"/>
      <c r="G1532" s="35"/>
      <c r="H1532" s="34"/>
      <c r="I1532" s="37"/>
    </row>
    <row r="1533" ht="22.5" customHeight="1">
      <c r="A1533" s="30"/>
      <c r="B1533" s="31"/>
      <c r="C1533" s="32"/>
      <c r="D1533" s="33"/>
      <c r="E1533" s="34"/>
      <c r="F1533" s="34"/>
      <c r="G1533" s="35"/>
      <c r="H1533" s="34"/>
      <c r="I1533" s="37"/>
    </row>
    <row r="1534" ht="22.5" customHeight="1">
      <c r="A1534" s="30"/>
      <c r="B1534" s="40"/>
      <c r="C1534" s="32"/>
      <c r="D1534" s="33"/>
      <c r="E1534" s="34"/>
      <c r="F1534" s="34"/>
      <c r="G1534" s="35"/>
      <c r="H1534" s="34"/>
      <c r="I1534" s="37"/>
    </row>
    <row r="1535" ht="22.5" customHeight="1">
      <c r="A1535" s="30"/>
      <c r="B1535" s="31"/>
      <c r="C1535" s="32"/>
      <c r="D1535" s="33"/>
      <c r="E1535" s="34"/>
      <c r="F1535" s="34"/>
      <c r="G1535" s="35"/>
      <c r="H1535" s="34"/>
      <c r="I1535" s="37"/>
    </row>
    <row r="1536" ht="22.5" customHeight="1">
      <c r="A1536" s="30"/>
      <c r="B1536" s="31"/>
      <c r="C1536" s="32"/>
      <c r="D1536" s="33"/>
      <c r="E1536" s="34"/>
      <c r="F1536" s="34"/>
      <c r="G1536" s="35"/>
      <c r="H1536" s="34"/>
      <c r="I1536" s="37"/>
    </row>
    <row r="1537" ht="22.5" customHeight="1">
      <c r="A1537" s="30"/>
      <c r="B1537" s="31"/>
      <c r="C1537" s="32"/>
      <c r="D1537" s="33"/>
      <c r="E1537" s="34"/>
      <c r="F1537" s="34"/>
      <c r="G1537" s="35"/>
      <c r="H1537" s="34"/>
      <c r="I1537" s="37"/>
    </row>
    <row r="1538" ht="22.5" customHeight="1">
      <c r="A1538" s="30"/>
      <c r="B1538" s="31"/>
      <c r="C1538" s="32"/>
      <c r="D1538" s="33"/>
      <c r="E1538" s="34"/>
      <c r="F1538" s="34"/>
      <c r="G1538" s="35"/>
      <c r="H1538" s="34"/>
      <c r="I1538" s="38"/>
    </row>
    <row r="1539" ht="22.5" customHeight="1">
      <c r="A1539" s="30"/>
      <c r="B1539" s="39"/>
      <c r="C1539" s="32"/>
      <c r="D1539" s="33"/>
      <c r="E1539" s="34"/>
      <c r="F1539" s="34"/>
      <c r="G1539" s="35"/>
      <c r="H1539" s="34"/>
      <c r="I1539" s="37"/>
    </row>
    <row r="1540" ht="22.5" customHeight="1">
      <c r="A1540" s="30"/>
      <c r="B1540" s="31"/>
      <c r="C1540" s="32"/>
      <c r="D1540" s="33"/>
      <c r="E1540" s="34"/>
      <c r="F1540" s="34"/>
      <c r="G1540" s="35"/>
      <c r="H1540" s="34"/>
      <c r="I1540" s="37"/>
    </row>
    <row r="1541" ht="22.5" customHeight="1">
      <c r="A1541" s="30"/>
      <c r="B1541" s="31"/>
      <c r="C1541" s="32"/>
      <c r="D1541" s="33"/>
      <c r="E1541" s="34"/>
      <c r="F1541" s="34"/>
      <c r="G1541" s="35"/>
      <c r="H1541" s="34"/>
      <c r="I1541" s="37"/>
    </row>
    <row r="1542" ht="22.5" customHeight="1">
      <c r="A1542" s="30"/>
      <c r="B1542" s="31"/>
      <c r="C1542" s="32"/>
      <c r="D1542" s="33"/>
      <c r="E1542" s="34"/>
      <c r="F1542" s="34"/>
      <c r="G1542" s="35"/>
      <c r="H1542" s="34"/>
      <c r="I1542" s="37"/>
    </row>
    <row r="1543" ht="22.5" customHeight="1">
      <c r="A1543" s="30"/>
      <c r="B1543" s="39"/>
      <c r="C1543" s="32"/>
      <c r="D1543" s="33"/>
      <c r="E1543" s="34"/>
      <c r="F1543" s="34"/>
      <c r="G1543" s="35"/>
      <c r="H1543" s="34"/>
      <c r="I1543" s="37"/>
    </row>
    <row r="1544" ht="22.5" customHeight="1">
      <c r="A1544" s="30"/>
      <c r="B1544" s="31"/>
      <c r="C1544" s="32"/>
      <c r="D1544" s="33"/>
      <c r="E1544" s="34"/>
      <c r="F1544" s="34"/>
      <c r="G1544" s="35"/>
      <c r="H1544" s="34"/>
      <c r="I1544" s="37"/>
    </row>
    <row r="1545" ht="22.5" customHeight="1">
      <c r="A1545" s="30"/>
      <c r="B1545" s="39"/>
      <c r="C1545" s="32"/>
      <c r="D1545" s="33"/>
      <c r="E1545" s="34"/>
      <c r="F1545" s="34"/>
      <c r="G1545" s="35"/>
      <c r="H1545" s="34"/>
      <c r="I1545" s="37"/>
    </row>
    <row r="1546" ht="22.5" customHeight="1">
      <c r="A1546" s="30"/>
      <c r="B1546" s="31"/>
      <c r="C1546" s="32"/>
      <c r="D1546" s="33"/>
      <c r="E1546" s="34"/>
      <c r="F1546" s="34"/>
      <c r="G1546" s="35"/>
      <c r="H1546" s="34"/>
      <c r="I1546" s="37"/>
    </row>
    <row r="1547" ht="22.5" customHeight="1">
      <c r="A1547" s="30"/>
      <c r="B1547" s="31"/>
      <c r="C1547" s="32"/>
      <c r="D1547" s="33"/>
      <c r="E1547" s="34"/>
      <c r="F1547" s="34"/>
      <c r="G1547" s="35"/>
      <c r="H1547" s="34"/>
      <c r="I1547" s="37"/>
    </row>
    <row r="1548" ht="22.5" customHeight="1">
      <c r="A1548" s="30"/>
      <c r="B1548" s="31"/>
      <c r="C1548" s="32"/>
      <c r="D1548" s="33"/>
      <c r="E1548" s="34"/>
      <c r="F1548" s="34"/>
      <c r="G1548" s="35"/>
      <c r="H1548" s="34"/>
      <c r="I1548" s="37"/>
    </row>
    <row r="1549" ht="22.5" customHeight="1">
      <c r="A1549" s="30"/>
      <c r="B1549" s="31"/>
      <c r="C1549" s="32"/>
      <c r="D1549" s="33"/>
      <c r="E1549" s="34"/>
      <c r="F1549" s="34"/>
      <c r="G1549" s="35"/>
      <c r="H1549" s="34"/>
      <c r="I1549" s="37"/>
    </row>
    <row r="1550" ht="22.5" customHeight="1">
      <c r="A1550" s="30"/>
      <c r="B1550" s="31"/>
      <c r="C1550" s="32"/>
      <c r="D1550" s="33"/>
      <c r="E1550" s="34"/>
      <c r="F1550" s="34"/>
      <c r="G1550" s="35"/>
      <c r="H1550" s="34"/>
      <c r="I1550" s="37"/>
    </row>
    <row r="1551" ht="22.5" customHeight="1">
      <c r="A1551" s="30"/>
      <c r="B1551" s="31"/>
      <c r="C1551" s="32"/>
      <c r="D1551" s="33"/>
      <c r="E1551" s="34"/>
      <c r="F1551" s="34"/>
      <c r="G1551" s="35"/>
      <c r="H1551" s="34"/>
      <c r="I1551" s="37"/>
    </row>
    <row r="1552" ht="22.5" customHeight="1">
      <c r="A1552" s="30"/>
      <c r="B1552" s="31"/>
      <c r="C1552" s="32"/>
      <c r="D1552" s="33"/>
      <c r="E1552" s="34"/>
      <c r="F1552" s="34"/>
      <c r="G1552" s="35"/>
      <c r="H1552" s="34"/>
      <c r="I1552" s="37"/>
    </row>
    <row r="1553" ht="22.5" customHeight="1">
      <c r="A1553" s="30"/>
      <c r="B1553" s="31"/>
      <c r="C1553" s="32"/>
      <c r="D1553" s="33"/>
      <c r="E1553" s="34"/>
      <c r="F1553" s="34"/>
      <c r="G1553" s="35"/>
      <c r="H1553" s="34"/>
      <c r="I1553" s="37"/>
    </row>
    <row r="1554" ht="22.5" customHeight="1">
      <c r="A1554" s="30"/>
      <c r="B1554" s="31"/>
      <c r="C1554" s="32"/>
      <c r="D1554" s="33"/>
      <c r="E1554" s="34"/>
      <c r="F1554" s="34"/>
      <c r="G1554" s="35"/>
      <c r="H1554" s="34"/>
      <c r="I1554" s="37"/>
    </row>
    <row r="1555" ht="22.5" customHeight="1">
      <c r="A1555" s="30"/>
      <c r="B1555" s="31"/>
      <c r="C1555" s="32"/>
      <c r="D1555" s="33"/>
      <c r="E1555" s="34"/>
      <c r="F1555" s="34"/>
      <c r="G1555" s="35"/>
      <c r="H1555" s="34"/>
      <c r="I1555" s="37"/>
    </row>
    <row r="1556" ht="22.5" customHeight="1">
      <c r="A1556" s="30"/>
      <c r="B1556" s="40"/>
      <c r="C1556" s="32"/>
      <c r="D1556" s="33"/>
      <c r="E1556" s="34"/>
      <c r="F1556" s="34"/>
      <c r="G1556" s="35"/>
      <c r="H1556" s="34"/>
      <c r="I1556" s="37"/>
    </row>
    <row r="1557" ht="22.5" customHeight="1">
      <c r="A1557" s="30"/>
      <c r="B1557" s="31"/>
      <c r="C1557" s="32"/>
      <c r="D1557" s="33"/>
      <c r="E1557" s="34"/>
      <c r="F1557" s="34"/>
      <c r="G1557" s="35"/>
      <c r="H1557" s="34"/>
      <c r="I1557" s="37"/>
    </row>
    <row r="1558" ht="22.5" customHeight="1">
      <c r="A1558" s="30"/>
      <c r="B1558" s="31"/>
      <c r="C1558" s="32"/>
      <c r="D1558" s="33"/>
      <c r="E1558" s="34"/>
      <c r="F1558" s="34"/>
      <c r="G1558" s="35"/>
      <c r="H1558" s="34"/>
      <c r="I1558" s="37"/>
    </row>
    <row r="1559" ht="22.5" customHeight="1">
      <c r="A1559" s="30"/>
      <c r="B1559" s="31"/>
      <c r="C1559" s="32"/>
      <c r="D1559" s="33"/>
      <c r="E1559" s="34"/>
      <c r="F1559" s="34"/>
      <c r="G1559" s="35"/>
      <c r="H1559" s="34"/>
      <c r="I1559" s="37"/>
    </row>
    <row r="1560" ht="22.5" customHeight="1">
      <c r="A1560" s="30"/>
      <c r="B1560" s="31"/>
      <c r="C1560" s="32"/>
      <c r="D1560" s="33"/>
      <c r="E1560" s="34"/>
      <c r="F1560" s="34"/>
      <c r="G1560" s="35"/>
      <c r="H1560" s="34"/>
      <c r="I1560" s="37"/>
    </row>
    <row r="1561" ht="22.5" customHeight="1">
      <c r="A1561" s="30"/>
      <c r="B1561" s="31"/>
      <c r="C1561" s="32"/>
      <c r="D1561" s="33"/>
      <c r="E1561" s="34"/>
      <c r="F1561" s="34"/>
      <c r="G1561" s="35"/>
      <c r="H1561" s="34"/>
      <c r="I1561" s="37"/>
    </row>
    <row r="1562" ht="22.5" customHeight="1">
      <c r="A1562" s="30"/>
      <c r="B1562" s="31"/>
      <c r="C1562" s="32"/>
      <c r="D1562" s="33"/>
      <c r="E1562" s="34"/>
      <c r="F1562" s="34"/>
      <c r="G1562" s="35"/>
      <c r="H1562" s="34"/>
      <c r="I1562" s="37"/>
    </row>
    <row r="1563" ht="22.5" customHeight="1">
      <c r="A1563" s="30"/>
      <c r="B1563" s="39"/>
      <c r="C1563" s="32"/>
      <c r="D1563" s="33"/>
      <c r="E1563" s="34"/>
      <c r="F1563" s="34"/>
      <c r="G1563" s="35"/>
      <c r="H1563" s="34"/>
      <c r="I1563" s="37"/>
    </row>
    <row r="1564" ht="22.5" customHeight="1">
      <c r="A1564" s="30"/>
      <c r="B1564" s="39"/>
      <c r="C1564" s="32"/>
      <c r="D1564" s="33"/>
      <c r="E1564" s="34"/>
      <c r="F1564" s="34"/>
      <c r="G1564" s="35"/>
      <c r="H1564" s="34"/>
      <c r="I1564" s="37"/>
    </row>
    <row r="1565" ht="22.5" customHeight="1">
      <c r="A1565" s="30"/>
      <c r="B1565" s="39"/>
      <c r="C1565" s="32"/>
      <c r="D1565" s="33"/>
      <c r="E1565" s="34"/>
      <c r="F1565" s="34"/>
      <c r="G1565" s="35"/>
      <c r="H1565" s="34"/>
      <c r="I1565" s="37"/>
    </row>
    <row r="1566" ht="22.5" customHeight="1">
      <c r="A1566" s="30"/>
      <c r="B1566" s="40"/>
      <c r="C1566" s="32"/>
      <c r="D1566" s="33"/>
      <c r="E1566" s="34"/>
      <c r="F1566" s="34"/>
      <c r="G1566" s="35"/>
      <c r="H1566" s="34"/>
      <c r="I1566" s="37"/>
    </row>
    <row r="1567" ht="22.5" customHeight="1">
      <c r="A1567" s="30"/>
      <c r="B1567" s="31"/>
      <c r="C1567" s="32"/>
      <c r="D1567" s="33"/>
      <c r="E1567" s="34"/>
      <c r="F1567" s="34"/>
      <c r="G1567" s="35"/>
      <c r="H1567" s="34"/>
      <c r="I1567" s="37"/>
    </row>
    <row r="1568" ht="22.5" customHeight="1">
      <c r="A1568" s="30"/>
      <c r="B1568" s="31"/>
      <c r="C1568" s="32"/>
      <c r="D1568" s="33"/>
      <c r="E1568" s="34"/>
      <c r="F1568" s="34"/>
      <c r="G1568" s="35"/>
      <c r="H1568" s="34"/>
      <c r="I1568" s="37"/>
    </row>
    <row r="1569" ht="22.5" customHeight="1">
      <c r="A1569" s="30"/>
      <c r="B1569" s="31"/>
      <c r="C1569" s="32"/>
      <c r="D1569" s="33"/>
      <c r="E1569" s="34"/>
      <c r="F1569" s="34"/>
      <c r="G1569" s="35"/>
      <c r="H1569" s="34"/>
      <c r="I1569" s="37"/>
    </row>
    <row r="1570" ht="22.5" customHeight="1">
      <c r="A1570" s="30"/>
      <c r="B1570" s="31"/>
      <c r="C1570" s="32"/>
      <c r="D1570" s="33"/>
      <c r="E1570" s="34"/>
      <c r="F1570" s="34"/>
      <c r="G1570" s="35"/>
      <c r="H1570" s="34"/>
      <c r="I1570" s="37"/>
    </row>
    <row r="1571" ht="22.5" customHeight="1">
      <c r="A1571" s="30"/>
      <c r="B1571" s="31"/>
      <c r="C1571" s="32"/>
      <c r="D1571" s="33"/>
      <c r="E1571" s="34"/>
      <c r="F1571" s="34"/>
      <c r="G1571" s="35"/>
      <c r="H1571" s="34"/>
      <c r="I1571" s="37"/>
    </row>
    <row r="1572" ht="22.5" customHeight="1">
      <c r="A1572" s="30"/>
      <c r="B1572" s="31"/>
      <c r="C1572" s="32"/>
      <c r="D1572" s="33"/>
      <c r="E1572" s="34"/>
      <c r="F1572" s="34"/>
      <c r="G1572" s="35"/>
      <c r="H1572" s="34"/>
      <c r="I1572" s="37"/>
    </row>
    <row r="1573" ht="22.5" customHeight="1">
      <c r="A1573" s="30"/>
      <c r="B1573" s="31"/>
      <c r="C1573" s="32"/>
      <c r="D1573" s="33"/>
      <c r="E1573" s="34"/>
      <c r="F1573" s="34"/>
      <c r="G1573" s="35"/>
      <c r="H1573" s="34"/>
      <c r="I1573" s="37"/>
    </row>
    <row r="1574" ht="22.5" customHeight="1">
      <c r="A1574" s="30"/>
      <c r="B1574" s="31"/>
      <c r="C1574" s="32"/>
      <c r="D1574" s="33"/>
      <c r="E1574" s="34"/>
      <c r="F1574" s="34"/>
      <c r="G1574" s="35"/>
      <c r="H1574" s="34"/>
      <c r="I1574" s="37"/>
    </row>
    <row r="1575" ht="22.5" customHeight="1">
      <c r="A1575" s="30"/>
      <c r="B1575" s="31"/>
      <c r="C1575" s="32"/>
      <c r="D1575" s="33"/>
      <c r="E1575" s="34"/>
      <c r="F1575" s="34"/>
      <c r="G1575" s="35"/>
      <c r="H1575" s="34"/>
      <c r="I1575" s="37"/>
    </row>
    <row r="1576" ht="22.5" customHeight="1">
      <c r="A1576" s="30"/>
      <c r="B1576" s="40"/>
      <c r="C1576" s="32"/>
      <c r="D1576" s="33"/>
      <c r="E1576" s="34"/>
      <c r="F1576" s="34"/>
      <c r="G1576" s="35"/>
      <c r="H1576" s="34"/>
      <c r="I1576" s="37"/>
    </row>
    <row r="1577" ht="22.5" customHeight="1">
      <c r="A1577" s="30"/>
      <c r="B1577" s="31"/>
      <c r="C1577" s="32"/>
      <c r="D1577" s="33"/>
      <c r="E1577" s="34"/>
      <c r="F1577" s="34"/>
      <c r="G1577" s="35"/>
      <c r="H1577" s="34"/>
      <c r="I1577" s="37"/>
    </row>
    <row r="1578" ht="22.5" customHeight="1">
      <c r="A1578" s="30"/>
      <c r="B1578" s="31"/>
      <c r="C1578" s="32"/>
      <c r="D1578" s="33"/>
      <c r="E1578" s="34"/>
      <c r="F1578" s="34"/>
      <c r="G1578" s="35"/>
      <c r="H1578" s="34"/>
      <c r="I1578" s="37"/>
    </row>
    <row r="1579" ht="22.5" customHeight="1">
      <c r="A1579" s="30"/>
      <c r="B1579" s="31"/>
      <c r="C1579" s="32"/>
      <c r="D1579" s="33"/>
      <c r="E1579" s="34"/>
      <c r="F1579" s="34"/>
      <c r="G1579" s="35"/>
      <c r="H1579" s="34"/>
      <c r="I1579" s="37"/>
    </row>
    <row r="1580" ht="22.5" customHeight="1">
      <c r="A1580" s="30"/>
      <c r="B1580" s="40"/>
      <c r="C1580" s="32"/>
      <c r="D1580" s="33"/>
      <c r="E1580" s="34"/>
      <c r="F1580" s="34"/>
      <c r="G1580" s="35"/>
      <c r="H1580" s="34"/>
      <c r="I1580" s="37"/>
    </row>
    <row r="1581" ht="22.5" customHeight="1">
      <c r="A1581" s="30"/>
      <c r="B1581" s="31"/>
      <c r="C1581" s="32"/>
      <c r="D1581" s="33"/>
      <c r="E1581" s="34"/>
      <c r="F1581" s="34"/>
      <c r="G1581" s="35"/>
      <c r="H1581" s="34"/>
      <c r="I1581" s="37"/>
    </row>
    <row r="1582" ht="22.5" customHeight="1">
      <c r="A1582" s="30"/>
      <c r="B1582" s="31"/>
      <c r="C1582" s="32"/>
      <c r="D1582" s="33"/>
      <c r="E1582" s="34"/>
      <c r="F1582" s="34"/>
      <c r="G1582" s="35"/>
      <c r="H1582" s="34"/>
      <c r="I1582" s="37"/>
    </row>
    <row r="1583" ht="22.5" customHeight="1">
      <c r="A1583" s="30"/>
      <c r="B1583" s="31"/>
      <c r="C1583" s="32"/>
      <c r="D1583" s="33"/>
      <c r="E1583" s="34"/>
      <c r="F1583" s="34"/>
      <c r="G1583" s="35"/>
      <c r="H1583" s="34"/>
      <c r="I1583" s="37"/>
    </row>
    <row r="1584" ht="22.5" customHeight="1">
      <c r="A1584" s="30"/>
      <c r="B1584" s="31"/>
      <c r="C1584" s="32"/>
      <c r="D1584" s="33"/>
      <c r="E1584" s="34"/>
      <c r="F1584" s="34"/>
      <c r="G1584" s="35"/>
      <c r="H1584" s="34"/>
      <c r="I1584" s="37"/>
    </row>
    <row r="1585" ht="22.5" customHeight="1">
      <c r="A1585" s="30"/>
      <c r="B1585" s="31"/>
      <c r="C1585" s="32"/>
      <c r="D1585" s="33"/>
      <c r="E1585" s="34"/>
      <c r="F1585" s="34"/>
      <c r="G1585" s="35"/>
      <c r="H1585" s="34"/>
      <c r="I1585" s="37"/>
    </row>
    <row r="1586" ht="22.5" customHeight="1">
      <c r="A1586" s="30"/>
      <c r="B1586" s="31"/>
      <c r="C1586" s="32"/>
      <c r="D1586" s="33"/>
      <c r="E1586" s="34"/>
      <c r="F1586" s="34"/>
      <c r="G1586" s="35"/>
      <c r="H1586" s="34"/>
      <c r="I1586" s="37"/>
    </row>
    <row r="1587" ht="22.5" customHeight="1">
      <c r="A1587" s="30"/>
      <c r="B1587" s="31"/>
      <c r="C1587" s="32"/>
      <c r="D1587" s="33"/>
      <c r="E1587" s="34"/>
      <c r="F1587" s="34"/>
      <c r="G1587" s="35"/>
      <c r="H1587" s="34"/>
      <c r="I1587" s="37"/>
    </row>
    <row r="1588" ht="22.5" customHeight="1">
      <c r="A1588" s="30"/>
      <c r="B1588" s="31"/>
      <c r="C1588" s="32"/>
      <c r="D1588" s="33"/>
      <c r="E1588" s="34"/>
      <c r="F1588" s="34"/>
      <c r="G1588" s="35"/>
      <c r="H1588" s="34"/>
      <c r="I1588" s="37"/>
    </row>
    <row r="1589" ht="22.5" customHeight="1">
      <c r="A1589" s="30"/>
      <c r="B1589" s="31"/>
      <c r="C1589" s="32"/>
      <c r="D1589" s="33"/>
      <c r="E1589" s="34"/>
      <c r="F1589" s="34"/>
      <c r="G1589" s="35"/>
      <c r="H1589" s="34"/>
      <c r="I1589" s="37"/>
    </row>
    <row r="1590" ht="22.5" customHeight="1">
      <c r="A1590" s="30"/>
      <c r="B1590" s="31"/>
      <c r="C1590" s="32"/>
      <c r="D1590" s="33"/>
      <c r="E1590" s="34"/>
      <c r="F1590" s="34"/>
      <c r="G1590" s="35"/>
      <c r="H1590" s="34"/>
      <c r="I1590" s="37"/>
    </row>
    <row r="1591" ht="22.5" customHeight="1">
      <c r="A1591" s="30"/>
      <c r="B1591" s="31"/>
      <c r="C1591" s="32"/>
      <c r="D1591" s="33"/>
      <c r="E1591" s="34"/>
      <c r="F1591" s="34"/>
      <c r="G1591" s="35"/>
      <c r="H1591" s="34"/>
      <c r="I1591" s="37"/>
    </row>
    <row r="1592" ht="22.5" customHeight="1">
      <c r="A1592" s="30"/>
      <c r="B1592" s="31"/>
      <c r="C1592" s="32"/>
      <c r="D1592" s="33"/>
      <c r="E1592" s="34"/>
      <c r="F1592" s="34"/>
      <c r="G1592" s="35"/>
      <c r="H1592" s="34"/>
      <c r="I1592" s="37"/>
    </row>
    <row r="1593" ht="22.5" customHeight="1">
      <c r="A1593" s="30"/>
      <c r="B1593" s="31"/>
      <c r="C1593" s="32"/>
      <c r="D1593" s="33"/>
      <c r="E1593" s="34"/>
      <c r="F1593" s="34"/>
      <c r="G1593" s="35"/>
      <c r="H1593" s="34"/>
      <c r="I1593" s="37"/>
    </row>
    <row r="1594" ht="22.5" customHeight="1">
      <c r="A1594" s="30"/>
      <c r="B1594" s="31"/>
      <c r="C1594" s="32"/>
      <c r="D1594" s="33"/>
      <c r="E1594" s="34"/>
      <c r="F1594" s="34"/>
      <c r="G1594" s="35"/>
      <c r="H1594" s="34"/>
      <c r="I1594" s="37"/>
    </row>
    <row r="1595" ht="22.5" customHeight="1">
      <c r="A1595" s="30"/>
      <c r="B1595" s="40"/>
      <c r="C1595" s="32"/>
      <c r="D1595" s="33"/>
      <c r="E1595" s="34"/>
      <c r="F1595" s="34"/>
      <c r="G1595" s="35"/>
      <c r="H1595" s="34"/>
      <c r="I1595" s="37"/>
    </row>
    <row r="1596" ht="22.5" customHeight="1">
      <c r="A1596" s="30"/>
      <c r="B1596" s="31"/>
      <c r="C1596" s="32"/>
      <c r="D1596" s="33"/>
      <c r="E1596" s="34"/>
      <c r="F1596" s="34"/>
      <c r="G1596" s="35"/>
      <c r="H1596" s="34"/>
      <c r="I1596" s="37"/>
    </row>
    <row r="1597" ht="22.5" customHeight="1">
      <c r="A1597" s="30"/>
      <c r="B1597" s="40"/>
      <c r="C1597" s="32"/>
      <c r="D1597" s="33"/>
      <c r="E1597" s="34"/>
      <c r="F1597" s="34"/>
      <c r="G1597" s="35"/>
      <c r="H1597" s="34"/>
      <c r="I1597" s="37"/>
    </row>
    <row r="1598" ht="22.5" customHeight="1">
      <c r="A1598" s="30"/>
      <c r="B1598" s="31"/>
      <c r="C1598" s="32"/>
      <c r="D1598" s="33"/>
      <c r="E1598" s="34"/>
      <c r="F1598" s="34"/>
      <c r="G1598" s="35"/>
      <c r="H1598" s="34"/>
      <c r="I1598" s="37"/>
    </row>
    <row r="1599" ht="22.5" customHeight="1">
      <c r="A1599" s="30"/>
      <c r="B1599" s="31"/>
      <c r="C1599" s="32"/>
      <c r="D1599" s="33"/>
      <c r="E1599" s="34"/>
      <c r="F1599" s="34"/>
      <c r="G1599" s="35"/>
      <c r="H1599" s="34"/>
      <c r="I1599" s="37"/>
    </row>
    <row r="1600" ht="22.5" customHeight="1">
      <c r="A1600" s="30"/>
      <c r="B1600" s="31"/>
      <c r="C1600" s="32"/>
      <c r="D1600" s="33"/>
      <c r="E1600" s="34"/>
      <c r="F1600" s="34"/>
      <c r="G1600" s="35"/>
      <c r="H1600" s="34"/>
      <c r="I1600" s="37"/>
    </row>
    <row r="1601" ht="22.5" customHeight="1">
      <c r="A1601" s="30"/>
      <c r="B1601" s="31"/>
      <c r="C1601" s="32"/>
      <c r="D1601" s="33"/>
      <c r="E1601" s="34"/>
      <c r="F1601" s="34"/>
      <c r="G1601" s="35"/>
      <c r="H1601" s="34"/>
      <c r="I1601" s="37"/>
    </row>
    <row r="1602" ht="22.5" customHeight="1">
      <c r="A1602" s="30"/>
      <c r="B1602" s="40"/>
      <c r="C1602" s="32"/>
      <c r="D1602" s="33"/>
      <c r="E1602" s="34"/>
      <c r="F1602" s="34"/>
      <c r="G1602" s="35"/>
      <c r="H1602" s="34"/>
      <c r="I1602" s="37"/>
    </row>
    <row r="1603" ht="22.5" customHeight="1">
      <c r="A1603" s="30"/>
      <c r="B1603" s="31"/>
      <c r="C1603" s="32"/>
      <c r="D1603" s="33"/>
      <c r="E1603" s="34"/>
      <c r="F1603" s="34"/>
      <c r="G1603" s="35"/>
      <c r="H1603" s="34"/>
      <c r="I1603" s="37"/>
    </row>
    <row r="1604" ht="22.5" customHeight="1">
      <c r="A1604" s="30"/>
      <c r="B1604" s="31"/>
      <c r="C1604" s="32"/>
      <c r="D1604" s="33"/>
      <c r="E1604" s="34"/>
      <c r="F1604" s="34"/>
      <c r="G1604" s="35"/>
      <c r="H1604" s="34"/>
      <c r="I1604" s="37"/>
    </row>
    <row r="1605" ht="22.5" customHeight="1">
      <c r="A1605" s="30"/>
      <c r="B1605" s="31"/>
      <c r="C1605" s="32"/>
      <c r="D1605" s="33"/>
      <c r="E1605" s="34"/>
      <c r="F1605" s="34"/>
      <c r="G1605" s="35"/>
      <c r="H1605" s="34"/>
      <c r="I1605" s="37"/>
    </row>
    <row r="1606" ht="22.5" customHeight="1">
      <c r="A1606" s="30"/>
      <c r="B1606" s="31"/>
      <c r="C1606" s="32"/>
      <c r="D1606" s="33"/>
      <c r="E1606" s="34"/>
      <c r="F1606" s="34"/>
      <c r="G1606" s="35"/>
      <c r="H1606" s="34"/>
      <c r="I1606" s="37"/>
    </row>
    <row r="1607" ht="22.5" customHeight="1">
      <c r="A1607" s="30"/>
      <c r="B1607" s="31"/>
      <c r="C1607" s="32"/>
      <c r="D1607" s="33"/>
      <c r="E1607" s="34"/>
      <c r="F1607" s="34"/>
      <c r="G1607" s="35"/>
      <c r="H1607" s="34"/>
      <c r="I1607" s="37"/>
    </row>
    <row r="1608" ht="22.5" customHeight="1">
      <c r="A1608" s="30"/>
      <c r="B1608" s="31"/>
      <c r="C1608" s="32"/>
      <c r="D1608" s="33"/>
      <c r="E1608" s="34"/>
      <c r="F1608" s="34"/>
      <c r="G1608" s="35"/>
      <c r="H1608" s="34"/>
      <c r="I1608" s="37"/>
    </row>
    <row r="1609" ht="22.5" customHeight="1">
      <c r="A1609" s="30"/>
      <c r="B1609" s="31"/>
      <c r="C1609" s="32"/>
      <c r="D1609" s="33"/>
      <c r="E1609" s="34"/>
      <c r="F1609" s="34"/>
      <c r="G1609" s="35"/>
      <c r="H1609" s="34"/>
      <c r="I1609" s="37"/>
    </row>
    <row r="1610" ht="22.5" customHeight="1">
      <c r="A1610" s="30"/>
      <c r="B1610" s="31"/>
      <c r="C1610" s="32"/>
      <c r="D1610" s="33"/>
      <c r="E1610" s="34"/>
      <c r="F1610" s="34"/>
      <c r="G1610" s="35"/>
      <c r="H1610" s="34"/>
      <c r="I1610" s="37"/>
    </row>
    <row r="1611" ht="22.5" customHeight="1">
      <c r="A1611" s="30"/>
      <c r="B1611" s="31"/>
      <c r="C1611" s="32"/>
      <c r="D1611" s="33"/>
      <c r="E1611" s="34"/>
      <c r="F1611" s="34"/>
      <c r="G1611" s="35"/>
      <c r="H1611" s="34"/>
      <c r="I1611" s="37"/>
    </row>
    <row r="1612" ht="22.5" customHeight="1">
      <c r="A1612" s="30"/>
      <c r="B1612" s="31"/>
      <c r="C1612" s="32"/>
      <c r="D1612" s="33"/>
      <c r="E1612" s="34"/>
      <c r="F1612" s="34"/>
      <c r="G1612" s="35"/>
      <c r="H1612" s="34"/>
      <c r="I1612" s="37"/>
    </row>
    <row r="1613" ht="22.5" customHeight="1">
      <c r="A1613" s="30"/>
      <c r="B1613" s="31"/>
      <c r="C1613" s="32"/>
      <c r="D1613" s="33"/>
      <c r="E1613" s="34"/>
      <c r="F1613" s="34"/>
      <c r="G1613" s="35"/>
      <c r="H1613" s="34"/>
      <c r="I1613" s="37"/>
    </row>
    <row r="1614" ht="22.5" customHeight="1">
      <c r="A1614" s="30"/>
      <c r="B1614" s="31"/>
      <c r="C1614" s="32"/>
      <c r="D1614" s="33"/>
      <c r="E1614" s="34"/>
      <c r="F1614" s="34"/>
      <c r="G1614" s="35"/>
      <c r="H1614" s="34"/>
      <c r="I1614" s="37"/>
    </row>
    <row r="1615" ht="22.5" customHeight="1">
      <c r="A1615" s="30"/>
      <c r="B1615" s="31"/>
      <c r="C1615" s="32"/>
      <c r="D1615" s="33"/>
      <c r="E1615" s="34"/>
      <c r="F1615" s="34"/>
      <c r="G1615" s="35"/>
      <c r="H1615" s="34"/>
      <c r="I1615" s="37"/>
    </row>
    <row r="1616" ht="22.5" customHeight="1">
      <c r="A1616" s="30"/>
      <c r="B1616" s="31"/>
      <c r="C1616" s="32"/>
      <c r="D1616" s="33"/>
      <c r="E1616" s="34"/>
      <c r="F1616" s="34"/>
      <c r="G1616" s="35"/>
      <c r="H1616" s="34"/>
      <c r="I1616" s="37"/>
    </row>
    <row r="1617" ht="22.5" customHeight="1">
      <c r="A1617" s="30"/>
      <c r="B1617" s="31"/>
      <c r="C1617" s="32"/>
      <c r="D1617" s="33"/>
      <c r="E1617" s="34"/>
      <c r="F1617" s="34"/>
      <c r="G1617" s="35"/>
      <c r="H1617" s="34"/>
      <c r="I1617" s="37"/>
    </row>
    <row r="1618" ht="22.5" customHeight="1">
      <c r="A1618" s="30"/>
      <c r="B1618" s="31"/>
      <c r="C1618" s="32"/>
      <c r="D1618" s="33"/>
      <c r="E1618" s="34"/>
      <c r="F1618" s="34"/>
      <c r="G1618" s="35"/>
      <c r="H1618" s="34"/>
      <c r="I1618" s="37"/>
    </row>
    <row r="1619" ht="22.5" customHeight="1">
      <c r="A1619" s="30"/>
      <c r="B1619" s="31"/>
      <c r="C1619" s="32"/>
      <c r="D1619" s="33"/>
      <c r="E1619" s="34"/>
      <c r="F1619" s="34"/>
      <c r="G1619" s="35"/>
      <c r="H1619" s="34"/>
      <c r="I1619" s="37"/>
    </row>
    <row r="1620" ht="22.5" customHeight="1">
      <c r="A1620" s="30"/>
      <c r="B1620" s="31"/>
      <c r="C1620" s="32"/>
      <c r="D1620" s="33"/>
      <c r="E1620" s="34"/>
      <c r="F1620" s="34"/>
      <c r="G1620" s="35"/>
      <c r="H1620" s="34"/>
      <c r="I1620" s="37"/>
    </row>
    <row r="1621" ht="22.5" customHeight="1">
      <c r="A1621" s="30"/>
      <c r="B1621" s="31"/>
      <c r="C1621" s="32"/>
      <c r="D1621" s="33"/>
      <c r="E1621" s="34"/>
      <c r="F1621" s="34"/>
      <c r="G1621" s="35"/>
      <c r="H1621" s="34"/>
      <c r="I1621" s="37"/>
    </row>
    <row r="1622" ht="22.5" customHeight="1">
      <c r="A1622" s="30"/>
      <c r="B1622" s="31"/>
      <c r="C1622" s="32"/>
      <c r="D1622" s="33"/>
      <c r="E1622" s="34"/>
      <c r="F1622" s="34"/>
      <c r="G1622" s="35"/>
      <c r="H1622" s="34"/>
      <c r="I1622" s="37"/>
    </row>
    <row r="1623" ht="22.5" customHeight="1">
      <c r="A1623" s="30"/>
      <c r="B1623" s="31"/>
      <c r="C1623" s="32"/>
      <c r="D1623" s="33"/>
      <c r="E1623" s="34"/>
      <c r="F1623" s="34"/>
      <c r="G1623" s="35"/>
      <c r="H1623" s="34"/>
      <c r="I1623" s="37"/>
    </row>
    <row r="1624" ht="22.5" customHeight="1">
      <c r="A1624" s="30"/>
      <c r="B1624" s="31"/>
      <c r="C1624" s="30"/>
      <c r="D1624" s="33"/>
      <c r="E1624" s="34"/>
      <c r="F1624" s="34"/>
      <c r="G1624" s="36"/>
      <c r="H1624" s="34"/>
      <c r="I1624" s="37"/>
    </row>
    <row r="1625" ht="22.5" customHeight="1">
      <c r="A1625" s="30"/>
      <c r="B1625" s="31"/>
      <c r="C1625" s="30"/>
      <c r="D1625" s="33"/>
      <c r="E1625" s="34"/>
      <c r="F1625" s="34"/>
      <c r="G1625" s="36"/>
      <c r="H1625" s="34"/>
      <c r="I1625" s="37"/>
    </row>
    <row r="1626" ht="22.5" customHeight="1">
      <c r="A1626" s="30"/>
      <c r="B1626" s="31"/>
      <c r="C1626" s="30"/>
      <c r="D1626" s="33"/>
      <c r="E1626" s="34"/>
      <c r="F1626" s="34"/>
      <c r="G1626" s="36"/>
      <c r="H1626" s="34"/>
      <c r="I1626" s="37"/>
    </row>
    <row r="1627" ht="22.5" customHeight="1">
      <c r="A1627" s="30"/>
      <c r="B1627" s="31"/>
      <c r="C1627" s="30"/>
      <c r="D1627" s="33"/>
      <c r="E1627" s="34"/>
      <c r="F1627" s="34"/>
      <c r="G1627" s="36"/>
      <c r="H1627" s="34"/>
      <c r="I1627" s="37"/>
    </row>
    <row r="1628" ht="22.5" customHeight="1">
      <c r="A1628" s="30"/>
      <c r="B1628" s="31"/>
      <c r="C1628" s="30"/>
      <c r="D1628" s="33"/>
      <c r="E1628" s="34"/>
      <c r="F1628" s="34"/>
      <c r="G1628" s="36"/>
      <c r="H1628" s="34"/>
      <c r="I1628" s="37"/>
    </row>
    <row r="1629" ht="22.5" customHeight="1">
      <c r="A1629" s="30"/>
      <c r="B1629" s="31"/>
      <c r="C1629" s="30"/>
      <c r="D1629" s="33"/>
      <c r="E1629" s="34"/>
      <c r="F1629" s="34"/>
      <c r="G1629" s="36"/>
      <c r="H1629" s="34"/>
      <c r="I1629" s="37"/>
    </row>
    <row r="1630" ht="22.5" customHeight="1">
      <c r="A1630" s="30"/>
      <c r="B1630" s="31"/>
      <c r="C1630" s="30"/>
      <c r="D1630" s="33"/>
      <c r="E1630" s="34"/>
      <c r="F1630" s="34"/>
      <c r="G1630" s="36"/>
      <c r="H1630" s="34"/>
      <c r="I1630" s="37"/>
    </row>
    <row r="1631" ht="22.5" customHeight="1">
      <c r="A1631" s="30"/>
      <c r="B1631" s="31"/>
      <c r="C1631" s="30"/>
      <c r="D1631" s="33"/>
      <c r="E1631" s="34"/>
      <c r="F1631" s="34"/>
      <c r="G1631" s="36"/>
      <c r="H1631" s="34"/>
      <c r="I1631" s="37"/>
    </row>
    <row r="1632" ht="22.5" customHeight="1">
      <c r="A1632" s="30"/>
      <c r="B1632" s="31"/>
      <c r="C1632" s="30"/>
      <c r="D1632" s="33"/>
      <c r="E1632" s="34"/>
      <c r="F1632" s="34"/>
      <c r="G1632" s="36"/>
      <c r="H1632" s="34"/>
      <c r="I1632" s="37"/>
    </row>
    <row r="1633" ht="22.5" customHeight="1">
      <c r="A1633" s="30"/>
      <c r="B1633" s="31"/>
      <c r="C1633" s="30"/>
      <c r="D1633" s="33"/>
      <c r="E1633" s="34"/>
      <c r="F1633" s="34"/>
      <c r="G1633" s="36"/>
      <c r="H1633" s="34"/>
      <c r="I1633" s="37"/>
    </row>
    <row r="1634" ht="22.5" customHeight="1">
      <c r="A1634" s="30"/>
      <c r="B1634" s="31"/>
      <c r="C1634" s="30"/>
      <c r="D1634" s="33"/>
      <c r="E1634" s="34"/>
      <c r="F1634" s="34"/>
      <c r="G1634" s="36"/>
      <c r="H1634" s="34"/>
      <c r="I1634" s="37"/>
    </row>
    <row r="1635" ht="22.5" customHeight="1">
      <c r="A1635" s="30"/>
      <c r="B1635" s="31"/>
      <c r="C1635" s="30"/>
      <c r="D1635" s="33"/>
      <c r="E1635" s="34"/>
      <c r="F1635" s="34"/>
      <c r="G1635" s="36"/>
      <c r="H1635" s="34"/>
      <c r="I1635" s="37"/>
    </row>
    <row r="1636" ht="22.5" customHeight="1">
      <c r="A1636" s="30"/>
      <c r="B1636" s="31"/>
      <c r="C1636" s="30"/>
      <c r="D1636" s="33"/>
      <c r="E1636" s="34"/>
      <c r="F1636" s="34"/>
      <c r="G1636" s="36"/>
      <c r="H1636" s="34"/>
      <c r="I1636" s="37"/>
    </row>
    <row r="1637" ht="22.5" customHeight="1">
      <c r="A1637" s="30"/>
      <c r="B1637" s="31"/>
      <c r="C1637" s="30"/>
      <c r="D1637" s="33"/>
      <c r="E1637" s="34"/>
      <c r="F1637" s="34"/>
      <c r="G1637" s="36"/>
      <c r="H1637" s="34"/>
      <c r="I1637" s="37"/>
    </row>
    <row r="1638" ht="22.5" customHeight="1">
      <c r="A1638" s="30"/>
      <c r="B1638" s="31"/>
      <c r="C1638" s="30"/>
      <c r="D1638" s="33"/>
      <c r="E1638" s="34"/>
      <c r="F1638" s="34"/>
      <c r="G1638" s="36"/>
      <c r="H1638" s="34"/>
      <c r="I1638" s="37"/>
    </row>
    <row r="1639" ht="22.5" customHeight="1">
      <c r="A1639" s="30"/>
      <c r="B1639" s="31"/>
      <c r="C1639" s="30"/>
      <c r="D1639" s="33"/>
      <c r="E1639" s="34"/>
      <c r="F1639" s="34"/>
      <c r="G1639" s="36"/>
      <c r="H1639" s="34"/>
      <c r="I1639" s="37"/>
    </row>
    <row r="1640" ht="22.5" customHeight="1">
      <c r="A1640" s="30"/>
      <c r="B1640" s="31"/>
      <c r="C1640" s="30"/>
      <c r="D1640" s="33"/>
      <c r="E1640" s="34"/>
      <c r="F1640" s="34"/>
      <c r="G1640" s="36"/>
      <c r="H1640" s="34"/>
      <c r="I1640" s="37"/>
    </row>
    <row r="1641" ht="22.5" customHeight="1">
      <c r="A1641" s="30"/>
      <c r="B1641" s="31"/>
      <c r="C1641" s="30"/>
      <c r="D1641" s="33"/>
      <c r="E1641" s="34"/>
      <c r="F1641" s="34"/>
      <c r="G1641" s="36"/>
      <c r="H1641" s="34"/>
      <c r="I1641" s="37"/>
    </row>
    <row r="1642" ht="22.5" customHeight="1">
      <c r="A1642" s="30"/>
      <c r="B1642" s="31"/>
      <c r="C1642" s="30"/>
      <c r="D1642" s="33"/>
      <c r="E1642" s="34"/>
      <c r="F1642" s="34"/>
      <c r="G1642" s="36"/>
      <c r="H1642" s="34"/>
      <c r="I1642" s="37"/>
    </row>
    <row r="1643" ht="22.5" customHeight="1">
      <c r="A1643" s="30"/>
      <c r="B1643" s="31"/>
      <c r="C1643" s="30"/>
      <c r="D1643" s="33"/>
      <c r="E1643" s="34"/>
      <c r="F1643" s="34"/>
      <c r="G1643" s="36"/>
      <c r="H1643" s="34"/>
      <c r="I1643" s="37"/>
    </row>
    <row r="1644" ht="22.5" customHeight="1">
      <c r="A1644" s="30"/>
      <c r="B1644" s="31"/>
      <c r="C1644" s="30"/>
      <c r="D1644" s="33"/>
      <c r="E1644" s="34"/>
      <c r="F1644" s="34"/>
      <c r="G1644" s="36"/>
      <c r="H1644" s="34"/>
      <c r="I1644" s="37"/>
    </row>
    <row r="1645" ht="22.5" customHeight="1">
      <c r="A1645" s="30"/>
      <c r="B1645" s="31"/>
      <c r="C1645" s="30"/>
      <c r="D1645" s="33"/>
      <c r="E1645" s="34"/>
      <c r="F1645" s="34"/>
      <c r="G1645" s="36"/>
      <c r="H1645" s="34"/>
      <c r="I1645" s="37"/>
    </row>
    <row r="1646" ht="22.5" customHeight="1">
      <c r="A1646" s="30"/>
      <c r="B1646" s="31"/>
      <c r="C1646" s="30"/>
      <c r="D1646" s="33"/>
      <c r="E1646" s="34"/>
      <c r="F1646" s="34"/>
      <c r="G1646" s="36"/>
      <c r="H1646" s="34"/>
      <c r="I1646" s="37"/>
    </row>
    <row r="1647" ht="22.5" customHeight="1">
      <c r="A1647" s="30"/>
      <c r="B1647" s="31"/>
      <c r="C1647" s="30"/>
      <c r="D1647" s="33"/>
      <c r="E1647" s="34"/>
      <c r="F1647" s="34"/>
      <c r="G1647" s="36"/>
      <c r="H1647" s="34"/>
      <c r="I1647" s="37"/>
    </row>
    <row r="1648" ht="22.5" customHeight="1">
      <c r="A1648" s="30"/>
      <c r="B1648" s="31"/>
      <c r="C1648" s="30"/>
      <c r="D1648" s="33"/>
      <c r="E1648" s="34"/>
      <c r="F1648" s="34"/>
      <c r="G1648" s="36"/>
      <c r="H1648" s="34"/>
      <c r="I1648" s="37"/>
    </row>
    <row r="1649" ht="22.5" customHeight="1">
      <c r="A1649" s="30"/>
      <c r="B1649" s="31"/>
      <c r="C1649" s="30"/>
      <c r="D1649" s="33"/>
      <c r="E1649" s="34"/>
      <c r="F1649" s="34"/>
      <c r="G1649" s="36"/>
      <c r="H1649" s="34"/>
      <c r="I1649" s="37"/>
    </row>
    <row r="1650" ht="22.5" customHeight="1">
      <c r="A1650" s="30"/>
      <c r="B1650" s="31"/>
      <c r="C1650" s="30"/>
      <c r="D1650" s="33"/>
      <c r="E1650" s="34"/>
      <c r="F1650" s="34"/>
      <c r="G1650" s="36"/>
      <c r="H1650" s="34"/>
      <c r="I1650" s="37"/>
    </row>
    <row r="1651" ht="22.5" customHeight="1">
      <c r="A1651" s="30"/>
      <c r="B1651" s="31"/>
      <c r="C1651" s="30"/>
      <c r="D1651" s="33"/>
      <c r="E1651" s="34"/>
      <c r="F1651" s="34"/>
      <c r="G1651" s="36"/>
      <c r="H1651" s="34"/>
      <c r="I1651" s="37"/>
    </row>
    <row r="1652" ht="22.5" customHeight="1">
      <c r="A1652" s="30"/>
      <c r="B1652" s="31"/>
      <c r="C1652" s="30"/>
      <c r="D1652" s="33"/>
      <c r="E1652" s="34"/>
      <c r="F1652" s="34"/>
      <c r="G1652" s="36"/>
      <c r="H1652" s="34"/>
      <c r="I1652" s="37"/>
    </row>
    <row r="1653" ht="22.5" customHeight="1">
      <c r="A1653" s="30"/>
      <c r="B1653" s="31"/>
      <c r="C1653" s="30"/>
      <c r="D1653" s="33"/>
      <c r="E1653" s="34"/>
      <c r="F1653" s="34"/>
      <c r="G1653" s="36"/>
      <c r="H1653" s="34"/>
      <c r="I1653" s="37"/>
    </row>
    <row r="1654" ht="22.5" customHeight="1">
      <c r="A1654" s="30"/>
      <c r="B1654" s="31"/>
      <c r="C1654" s="30"/>
      <c r="D1654" s="33"/>
      <c r="E1654" s="34"/>
      <c r="F1654" s="34"/>
      <c r="G1654" s="36"/>
      <c r="H1654" s="34"/>
      <c r="I1654" s="37"/>
    </row>
    <row r="1655" ht="22.5" customHeight="1">
      <c r="A1655" s="30"/>
      <c r="B1655" s="31"/>
      <c r="C1655" s="30"/>
      <c r="D1655" s="33"/>
      <c r="E1655" s="34"/>
      <c r="F1655" s="34"/>
      <c r="G1655" s="36"/>
      <c r="H1655" s="34"/>
      <c r="I1655" s="37"/>
    </row>
    <row r="1656" ht="22.5" customHeight="1">
      <c r="A1656" s="30"/>
      <c r="B1656" s="31"/>
      <c r="C1656" s="30"/>
      <c r="D1656" s="33"/>
      <c r="E1656" s="34"/>
      <c r="F1656" s="34"/>
      <c r="G1656" s="36"/>
      <c r="H1656" s="34"/>
      <c r="I1656" s="37"/>
    </row>
    <row r="1657" ht="22.5" customHeight="1">
      <c r="A1657" s="30"/>
      <c r="B1657" s="31"/>
      <c r="C1657" s="30"/>
      <c r="D1657" s="33"/>
      <c r="E1657" s="34"/>
      <c r="F1657" s="34"/>
      <c r="G1657" s="36"/>
      <c r="H1657" s="34"/>
      <c r="I1657" s="37"/>
    </row>
    <row r="1658" ht="22.5" customHeight="1">
      <c r="A1658" s="30"/>
      <c r="B1658" s="31"/>
      <c r="C1658" s="30"/>
      <c r="D1658" s="33"/>
      <c r="E1658" s="34"/>
      <c r="F1658" s="34"/>
      <c r="G1658" s="36"/>
      <c r="H1658" s="34"/>
      <c r="I1658" s="37"/>
    </row>
    <row r="1659" ht="22.5" customHeight="1">
      <c r="A1659" s="30"/>
      <c r="B1659" s="31"/>
      <c r="C1659" s="30"/>
      <c r="D1659" s="33"/>
      <c r="E1659" s="34"/>
      <c r="F1659" s="34"/>
      <c r="G1659" s="36"/>
      <c r="H1659" s="34"/>
      <c r="I1659" s="37"/>
    </row>
    <row r="1660" ht="22.5" customHeight="1">
      <c r="A1660" s="30"/>
      <c r="B1660" s="31"/>
      <c r="C1660" s="30"/>
      <c r="D1660" s="33"/>
      <c r="E1660" s="34"/>
      <c r="F1660" s="34"/>
      <c r="G1660" s="36"/>
      <c r="H1660" s="34"/>
      <c r="I1660" s="37"/>
    </row>
    <row r="1661" ht="22.5" customHeight="1">
      <c r="A1661" s="30"/>
      <c r="B1661" s="31"/>
      <c r="C1661" s="30"/>
      <c r="D1661" s="33"/>
      <c r="E1661" s="34"/>
      <c r="F1661" s="34"/>
      <c r="G1661" s="36"/>
      <c r="H1661" s="34"/>
      <c r="I1661" s="37"/>
    </row>
    <row r="1662" ht="22.5" customHeight="1">
      <c r="A1662" s="30"/>
      <c r="B1662" s="31"/>
      <c r="C1662" s="30"/>
      <c r="D1662" s="33"/>
      <c r="E1662" s="34"/>
      <c r="F1662" s="34"/>
      <c r="G1662" s="36"/>
      <c r="H1662" s="34"/>
      <c r="I1662" s="37"/>
    </row>
    <row r="1663" ht="22.5" customHeight="1">
      <c r="A1663" s="30"/>
      <c r="B1663" s="31"/>
      <c r="C1663" s="30"/>
      <c r="D1663" s="33"/>
      <c r="E1663" s="34"/>
      <c r="F1663" s="34"/>
      <c r="G1663" s="36"/>
      <c r="H1663" s="34"/>
      <c r="I1663" s="37"/>
    </row>
    <row r="1664" ht="22.5" customHeight="1">
      <c r="A1664" s="30"/>
      <c r="B1664" s="31"/>
      <c r="C1664" s="30"/>
      <c r="D1664" s="33"/>
      <c r="E1664" s="34"/>
      <c r="F1664" s="34"/>
      <c r="G1664" s="36"/>
      <c r="H1664" s="34"/>
      <c r="I1664" s="37"/>
    </row>
    <row r="1665" ht="22.5" customHeight="1">
      <c r="A1665" s="30"/>
      <c r="B1665" s="31"/>
      <c r="C1665" s="30"/>
      <c r="D1665" s="33"/>
      <c r="E1665" s="34"/>
      <c r="F1665" s="34"/>
      <c r="G1665" s="36"/>
      <c r="H1665" s="34"/>
      <c r="I1665" s="37"/>
    </row>
    <row r="1666" ht="22.5" customHeight="1">
      <c r="A1666" s="30"/>
      <c r="B1666" s="31"/>
      <c r="C1666" s="30"/>
      <c r="D1666" s="33"/>
      <c r="E1666" s="34"/>
      <c r="F1666" s="34"/>
      <c r="G1666" s="36"/>
      <c r="H1666" s="34"/>
      <c r="I1666" s="37"/>
    </row>
    <row r="1667" ht="22.5" customHeight="1">
      <c r="A1667" s="30"/>
      <c r="B1667" s="31"/>
      <c r="C1667" s="30"/>
      <c r="D1667" s="33"/>
      <c r="E1667" s="34"/>
      <c r="F1667" s="34"/>
      <c r="G1667" s="36"/>
      <c r="H1667" s="34"/>
      <c r="I1667" s="37"/>
    </row>
    <row r="1668" ht="22.5" customHeight="1">
      <c r="A1668" s="30"/>
      <c r="B1668" s="31"/>
      <c r="C1668" s="30"/>
      <c r="D1668" s="33"/>
      <c r="E1668" s="34"/>
      <c r="F1668" s="34"/>
      <c r="G1668" s="36"/>
      <c r="H1668" s="34"/>
      <c r="I1668" s="37"/>
    </row>
    <row r="1669" ht="22.5" customHeight="1">
      <c r="A1669" s="30"/>
      <c r="B1669" s="31"/>
      <c r="C1669" s="30"/>
      <c r="D1669" s="33"/>
      <c r="E1669" s="34"/>
      <c r="F1669" s="34"/>
      <c r="G1669" s="36"/>
      <c r="H1669" s="34"/>
      <c r="I1669" s="37"/>
    </row>
    <row r="1670" ht="22.5" customHeight="1">
      <c r="A1670" s="30"/>
      <c r="B1670" s="31"/>
      <c r="C1670" s="30"/>
      <c r="D1670" s="33"/>
      <c r="E1670" s="34"/>
      <c r="F1670" s="34"/>
      <c r="G1670" s="36"/>
      <c r="H1670" s="34"/>
      <c r="I1670" s="37"/>
    </row>
    <row r="1671" ht="22.5" customHeight="1">
      <c r="A1671" s="30"/>
      <c r="B1671" s="31"/>
      <c r="C1671" s="30"/>
      <c r="D1671" s="33"/>
      <c r="E1671" s="34"/>
      <c r="F1671" s="34"/>
      <c r="G1671" s="36"/>
      <c r="H1671" s="34"/>
      <c r="I1671" s="37"/>
    </row>
    <row r="1672" ht="22.5" customHeight="1">
      <c r="A1672" s="30"/>
      <c r="B1672" s="31"/>
      <c r="C1672" s="30"/>
      <c r="D1672" s="33"/>
      <c r="E1672" s="34"/>
      <c r="F1672" s="34"/>
      <c r="G1672" s="36"/>
      <c r="H1672" s="34"/>
      <c r="I1672" s="37"/>
    </row>
    <row r="1673" ht="22.5" customHeight="1">
      <c r="A1673" s="30"/>
      <c r="B1673" s="31"/>
      <c r="C1673" s="30"/>
      <c r="D1673" s="33"/>
      <c r="E1673" s="34"/>
      <c r="F1673" s="34"/>
      <c r="G1673" s="36"/>
      <c r="H1673" s="34"/>
      <c r="I1673" s="37"/>
    </row>
    <row r="1674" ht="22.5" customHeight="1">
      <c r="A1674" s="30"/>
      <c r="B1674" s="31"/>
      <c r="C1674" s="30"/>
      <c r="D1674" s="33"/>
      <c r="E1674" s="34"/>
      <c r="F1674" s="34"/>
      <c r="G1674" s="36"/>
      <c r="H1674" s="34"/>
      <c r="I1674" s="37"/>
    </row>
    <row r="1675" ht="22.5" customHeight="1">
      <c r="A1675" s="30"/>
      <c r="B1675" s="31"/>
      <c r="C1675" s="30"/>
      <c r="D1675" s="33"/>
      <c r="E1675" s="34"/>
      <c r="F1675" s="34"/>
      <c r="G1675" s="36"/>
      <c r="H1675" s="34"/>
      <c r="I1675" s="37"/>
    </row>
    <row r="1676" ht="22.5" customHeight="1">
      <c r="A1676" s="30"/>
      <c r="B1676" s="31"/>
      <c r="C1676" s="30"/>
      <c r="D1676" s="33"/>
      <c r="E1676" s="34"/>
      <c r="F1676" s="34"/>
      <c r="G1676" s="36"/>
      <c r="H1676" s="34"/>
      <c r="I1676" s="37"/>
    </row>
    <row r="1677" ht="22.5" customHeight="1">
      <c r="A1677" s="30"/>
      <c r="B1677" s="31"/>
      <c r="C1677" s="30"/>
      <c r="D1677" s="33"/>
      <c r="E1677" s="34"/>
      <c r="F1677" s="34"/>
      <c r="G1677" s="36"/>
      <c r="H1677" s="34"/>
      <c r="I1677" s="37"/>
    </row>
    <row r="1678" ht="22.5" customHeight="1">
      <c r="A1678" s="30"/>
      <c r="B1678" s="31"/>
      <c r="C1678" s="30"/>
      <c r="D1678" s="33"/>
      <c r="E1678" s="34"/>
      <c r="F1678" s="34"/>
      <c r="G1678" s="36"/>
      <c r="H1678" s="34"/>
      <c r="I1678" s="37"/>
    </row>
    <row r="1679" ht="22.5" customHeight="1">
      <c r="A1679" s="30"/>
      <c r="B1679" s="31"/>
      <c r="C1679" s="30"/>
      <c r="D1679" s="33"/>
      <c r="E1679" s="34"/>
      <c r="F1679" s="34"/>
      <c r="G1679" s="36"/>
      <c r="H1679" s="34"/>
      <c r="I1679" s="37"/>
    </row>
    <row r="1680" ht="22.5" customHeight="1">
      <c r="A1680" s="30"/>
      <c r="B1680" s="31"/>
      <c r="C1680" s="30"/>
      <c r="D1680" s="33"/>
      <c r="E1680" s="34"/>
      <c r="F1680" s="34"/>
      <c r="G1680" s="36"/>
      <c r="H1680" s="34"/>
      <c r="I1680" s="37"/>
    </row>
    <row r="1681" ht="22.5" customHeight="1">
      <c r="A1681" s="30"/>
      <c r="B1681" s="31"/>
      <c r="C1681" s="30"/>
      <c r="D1681" s="33"/>
      <c r="E1681" s="34"/>
      <c r="F1681" s="34"/>
      <c r="G1681" s="36"/>
      <c r="H1681" s="34"/>
      <c r="I1681" s="37"/>
    </row>
    <row r="1682" ht="22.5" customHeight="1">
      <c r="A1682" s="30"/>
      <c r="B1682" s="31"/>
      <c r="C1682" s="30"/>
      <c r="D1682" s="33"/>
      <c r="E1682" s="34"/>
      <c r="F1682" s="34"/>
      <c r="G1682" s="36"/>
      <c r="H1682" s="34"/>
      <c r="I1682" s="37"/>
    </row>
    <row r="1683" ht="22.5" customHeight="1">
      <c r="A1683" s="30"/>
      <c r="B1683" s="31"/>
      <c r="C1683" s="30"/>
      <c r="D1683" s="33"/>
      <c r="E1683" s="34"/>
      <c r="F1683" s="34"/>
      <c r="G1683" s="36"/>
      <c r="H1683" s="34"/>
      <c r="I1683" s="37"/>
    </row>
    <row r="1684" ht="22.5" customHeight="1">
      <c r="A1684" s="30"/>
      <c r="B1684" s="31"/>
      <c r="C1684" s="30"/>
      <c r="D1684" s="33"/>
      <c r="E1684" s="34"/>
      <c r="F1684" s="34"/>
      <c r="G1684" s="36"/>
      <c r="H1684" s="34"/>
      <c r="I1684" s="37"/>
    </row>
    <row r="1685" ht="22.5" customHeight="1">
      <c r="A1685" s="30"/>
      <c r="B1685" s="31"/>
      <c r="C1685" s="30"/>
      <c r="D1685" s="33"/>
      <c r="E1685" s="34"/>
      <c r="F1685" s="34"/>
      <c r="G1685" s="36"/>
      <c r="H1685" s="34"/>
      <c r="I1685" s="37"/>
    </row>
    <row r="1686" ht="22.5" customHeight="1">
      <c r="A1686" s="30"/>
      <c r="B1686" s="31"/>
      <c r="C1686" s="30"/>
      <c r="D1686" s="33"/>
      <c r="E1686" s="34"/>
      <c r="F1686" s="34"/>
      <c r="G1686" s="36"/>
      <c r="H1686" s="34"/>
      <c r="I1686" s="37"/>
    </row>
    <row r="1687" ht="22.5" customHeight="1">
      <c r="A1687" s="30"/>
      <c r="B1687" s="31"/>
      <c r="C1687" s="30"/>
      <c r="D1687" s="33"/>
      <c r="E1687" s="34"/>
      <c r="F1687" s="34"/>
      <c r="G1687" s="36"/>
      <c r="H1687" s="34"/>
      <c r="I1687" s="37"/>
    </row>
    <row r="1688" ht="22.5" customHeight="1">
      <c r="A1688" s="30"/>
      <c r="B1688" s="31"/>
      <c r="C1688" s="30"/>
      <c r="D1688" s="33"/>
      <c r="E1688" s="34"/>
      <c r="F1688" s="34"/>
      <c r="G1688" s="36"/>
      <c r="H1688" s="34"/>
      <c r="I1688" s="37"/>
    </row>
    <row r="1689" ht="22.5" customHeight="1">
      <c r="A1689" s="30"/>
      <c r="B1689" s="31"/>
      <c r="C1689" s="30"/>
      <c r="D1689" s="33"/>
      <c r="E1689" s="34"/>
      <c r="F1689" s="34"/>
      <c r="G1689" s="36"/>
      <c r="H1689" s="34"/>
      <c r="I1689" s="37"/>
    </row>
    <row r="1690" ht="22.5" customHeight="1">
      <c r="A1690" s="30"/>
      <c r="B1690" s="31"/>
      <c r="C1690" s="30"/>
      <c r="D1690" s="33"/>
      <c r="E1690" s="34"/>
      <c r="F1690" s="34"/>
      <c r="G1690" s="36"/>
      <c r="H1690" s="34"/>
      <c r="I1690" s="37"/>
    </row>
    <row r="1691" ht="22.5" customHeight="1">
      <c r="A1691" s="30"/>
      <c r="B1691" s="31"/>
      <c r="C1691" s="30"/>
      <c r="D1691" s="33"/>
      <c r="E1691" s="34"/>
      <c r="F1691" s="34"/>
      <c r="G1691" s="36"/>
      <c r="H1691" s="34"/>
      <c r="I1691" s="37"/>
    </row>
    <row r="1692" ht="22.5" customHeight="1">
      <c r="A1692" s="30"/>
      <c r="B1692" s="31"/>
      <c r="C1692" s="30"/>
      <c r="D1692" s="33"/>
      <c r="E1692" s="34"/>
      <c r="F1692" s="34"/>
      <c r="G1692" s="36"/>
      <c r="H1692" s="34"/>
      <c r="I1692" s="37"/>
    </row>
    <row r="1693" ht="22.5" customHeight="1">
      <c r="A1693" s="30"/>
      <c r="B1693" s="31"/>
      <c r="C1693" s="30"/>
      <c r="D1693" s="33"/>
      <c r="E1693" s="34"/>
      <c r="F1693" s="34"/>
      <c r="G1693" s="36"/>
      <c r="H1693" s="34"/>
      <c r="I1693" s="37"/>
    </row>
    <row r="1694" ht="22.5" customHeight="1">
      <c r="A1694" s="30"/>
      <c r="B1694" s="31"/>
      <c r="C1694" s="30"/>
      <c r="D1694" s="33"/>
      <c r="E1694" s="34"/>
      <c r="F1694" s="34"/>
      <c r="G1694" s="36"/>
      <c r="H1694" s="34"/>
      <c r="I1694" s="37"/>
    </row>
    <row r="1695" ht="22.5" customHeight="1">
      <c r="A1695" s="30"/>
      <c r="B1695" s="31"/>
      <c r="C1695" s="30"/>
      <c r="D1695" s="33"/>
      <c r="E1695" s="34"/>
      <c r="F1695" s="34"/>
      <c r="G1695" s="36"/>
      <c r="H1695" s="34"/>
      <c r="I1695" s="37"/>
    </row>
    <row r="1696" ht="22.5" customHeight="1">
      <c r="A1696" s="30"/>
      <c r="B1696" s="31"/>
      <c r="C1696" s="30"/>
      <c r="D1696" s="33"/>
      <c r="E1696" s="34"/>
      <c r="F1696" s="34"/>
      <c r="G1696" s="36"/>
      <c r="H1696" s="34"/>
      <c r="I1696" s="37"/>
    </row>
    <row r="1697" ht="22.5" customHeight="1">
      <c r="A1697" s="30"/>
      <c r="B1697" s="31"/>
      <c r="C1697" s="30"/>
      <c r="D1697" s="33"/>
      <c r="E1697" s="34"/>
      <c r="F1697" s="34"/>
      <c r="G1697" s="36"/>
      <c r="H1697" s="34"/>
      <c r="I1697" s="37"/>
    </row>
    <row r="1698" ht="22.5" customHeight="1">
      <c r="A1698" s="30"/>
      <c r="B1698" s="31"/>
      <c r="C1698" s="30"/>
      <c r="D1698" s="33"/>
      <c r="E1698" s="34"/>
      <c r="F1698" s="34"/>
      <c r="G1698" s="36"/>
      <c r="H1698" s="34"/>
      <c r="I1698" s="37"/>
    </row>
    <row r="1699" ht="22.5" customHeight="1">
      <c r="A1699" s="30"/>
      <c r="B1699" s="31"/>
      <c r="C1699" s="30"/>
      <c r="D1699" s="33"/>
      <c r="E1699" s="34"/>
      <c r="F1699" s="34"/>
      <c r="G1699" s="36"/>
      <c r="H1699" s="34"/>
      <c r="I1699" s="37"/>
    </row>
    <row r="1700" ht="22.5" customHeight="1">
      <c r="A1700" s="30"/>
      <c r="B1700" s="31"/>
      <c r="C1700" s="30"/>
      <c r="D1700" s="33"/>
      <c r="E1700" s="34"/>
      <c r="F1700" s="34"/>
      <c r="G1700" s="36"/>
      <c r="H1700" s="34"/>
      <c r="I1700" s="37"/>
    </row>
    <row r="1701" ht="22.5" customHeight="1">
      <c r="A1701" s="30"/>
      <c r="B1701" s="31"/>
      <c r="C1701" s="30"/>
      <c r="D1701" s="33"/>
      <c r="E1701" s="34"/>
      <c r="F1701" s="34"/>
      <c r="G1701" s="36"/>
      <c r="H1701" s="34"/>
      <c r="I1701" s="37"/>
    </row>
    <row r="1702" ht="22.5" customHeight="1">
      <c r="A1702" s="41"/>
      <c r="B1702" s="42"/>
      <c r="C1702" s="41"/>
      <c r="D1702" s="43"/>
      <c r="E1702" s="44"/>
      <c r="F1702" s="44"/>
      <c r="G1702" s="45"/>
      <c r="H1702" s="44"/>
      <c r="I1702" s="46"/>
    </row>
    <row r="1703" ht="22.5" customHeight="1">
      <c r="A1703" s="71"/>
      <c r="B1703" s="72"/>
      <c r="C1703" s="71"/>
      <c r="D1703" s="73"/>
      <c r="E1703" s="74"/>
      <c r="F1703" s="74"/>
      <c r="G1703" s="75"/>
      <c r="H1703" s="74"/>
      <c r="I1703" s="76"/>
    </row>
  </sheetData>
  <conditionalFormatting sqref="A5:I1702">
    <cfRule type="expression" dxfId="23" priority="1">
      <formula>$F5="BOLSA DE OXIGÊNIO"</formula>
    </cfRule>
  </conditionalFormatting>
  <conditionalFormatting sqref="A5:I1702">
    <cfRule type="expression" dxfId="17" priority="2">
      <formula>$F5="BOLSA DE SALV. ALTURA"</formula>
    </cfRule>
  </conditionalFormatting>
  <conditionalFormatting sqref="A5:I1702">
    <cfRule type="expression" dxfId="18" priority="3">
      <formula>$F5="BOLSA DE SALV ALTURA VERMELHA LACRADA"</formula>
    </cfRule>
  </conditionalFormatting>
  <conditionalFormatting sqref="A5:I1702">
    <cfRule type="expression" dxfId="19" priority="4">
      <formula>$F5="BOLSA DE SALV ALTURA CINZA LACRADA"</formula>
    </cfRule>
  </conditionalFormatting>
  <conditionalFormatting sqref="A5:I1702">
    <cfRule type="expression" dxfId="20" priority="5">
      <formula>$F5="BOX 06"</formula>
    </cfRule>
  </conditionalFormatting>
  <conditionalFormatting sqref="A5:I1702">
    <cfRule type="expression" dxfId="21" priority="6">
      <formula>$F5="BOX 07"</formula>
    </cfRule>
  </conditionalFormatting>
  <conditionalFormatting sqref="A5:I1702">
    <cfRule type="expression" dxfId="22" priority="7">
      <formula>$F5="BOX 08"</formula>
    </cfRule>
  </conditionalFormatting>
  <conditionalFormatting sqref="A6:I77">
    <cfRule type="expression" dxfId="24" priority="8">
      <formula>$F6="BOX TRASEIRO"</formula>
    </cfRule>
  </conditionalFormatting>
  <conditionalFormatting sqref="A6:I77">
    <cfRule type="expression" dxfId="25" priority="9">
      <formula>$F6="BOLSA DE RESGATE"</formula>
    </cfRule>
  </conditionalFormatting>
  <conditionalFormatting sqref="A5:I1702">
    <cfRule type="expression" dxfId="6" priority="10">
      <formula>$F5="BOLSA SALV. ALTURA (MERET)"</formula>
    </cfRule>
  </conditionalFormatting>
  <conditionalFormatting sqref="A5:I1702">
    <cfRule type="expression" dxfId="7" priority="11">
      <formula>$F5="BOX 01"</formula>
    </cfRule>
  </conditionalFormatting>
  <conditionalFormatting sqref="A5:I1702">
    <cfRule type="expression" dxfId="8" priority="12">
      <formula>$F5="BOX 02"</formula>
    </cfRule>
  </conditionalFormatting>
  <conditionalFormatting sqref="A5:I1702">
    <cfRule type="expression" dxfId="9" priority="13">
      <formula>$F5="BOX 03"</formula>
    </cfRule>
  </conditionalFormatting>
  <conditionalFormatting sqref="A5:I1702">
    <cfRule type="expression" dxfId="10" priority="14">
      <formula>$F5="BOX 04"</formula>
    </cfRule>
  </conditionalFormatting>
  <conditionalFormatting sqref="A5:I1702">
    <cfRule type="expression" dxfId="11" priority="15">
      <formula>$F5="BOX 05"</formula>
    </cfRule>
  </conditionalFormatting>
  <conditionalFormatting sqref="A5:I1702">
    <cfRule type="expression" dxfId="12" priority="16">
      <formula>$F5="BOX CENTRAL"</formula>
    </cfRule>
  </conditionalFormatting>
  <conditionalFormatting sqref="A5:I1702">
    <cfRule type="expression" dxfId="13" priority="17">
      <formula>$F5="BOX SUPERIOR 01"</formula>
    </cfRule>
  </conditionalFormatting>
  <conditionalFormatting sqref="A5:I1702">
    <cfRule type="expression" dxfId="14" priority="18">
      <formula>$F5="CABINE"</formula>
    </cfRule>
  </conditionalFormatting>
  <conditionalFormatting sqref="A5:I1702">
    <cfRule type="expression" dxfId="15" priority="19">
      <formula>$F5="CARROCERIA"</formula>
    </cfRule>
  </conditionalFormatting>
  <conditionalFormatting sqref="A5:I1702">
    <cfRule type="expression" dxfId="16" priority="20">
      <formula>$F5="CAIXA DE FERRAMENTA"</formula>
    </cfRule>
  </conditionalFormatting>
  <dataValidations>
    <dataValidation type="list" allowBlank="1" sqref="B2">
      <formula1>'Cadastro Automático VTRSEÇÃOMIL'!$C$1:$C1703</formula1>
    </dataValidation>
    <dataValidation allowBlank="1" showDropDown="1" sqref="B5:B1703"/>
    <dataValidation type="list" allowBlank="1" sqref="B1">
      <formula1>'Cadastro Automático VTRSEÇÃOMIL'!$B$1:$B1703</formula1>
    </dataValidation>
  </dataValidations>
  <printOptions gridLines="1" horizontalCentered="1"/>
  <pageMargins bottom="0.75" footer="0.0" header="0.0" left="0.25" right="0.25" top="0.75"/>
  <pageSetup fitToHeight="0" paperSize="9" cellComments="atEnd" orientation="portrait" pageOrder="overThenDown"/>
  <drawing r:id="rId1"/>
  <tableParts count="2">
    <tablePart r:id="rId4"/>
    <tablePart r:id="rId5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41B47"/>
    <outlinePr summaryBelow="0" summaryRight="0"/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20.38"/>
    <col customWidth="1" min="2" max="2" width="50.13"/>
    <col customWidth="1" min="3" max="3" width="9.5"/>
    <col customWidth="1" min="4" max="4" width="14.0"/>
    <col customWidth="1" min="5" max="5" width="17.75"/>
    <col customWidth="1" min="6" max="6" width="30.5"/>
    <col customWidth="1" min="7" max="7" width="14.25"/>
    <col customWidth="1" min="8" max="8" width="31.25"/>
    <col customWidth="1" min="9" max="9" width="81.38"/>
  </cols>
  <sheetData>
    <row r="1" ht="21.0" customHeight="1">
      <c r="A1" s="1" t="s">
        <v>0</v>
      </c>
      <c r="B1" s="2" t="s">
        <v>21</v>
      </c>
      <c r="C1" s="3"/>
      <c r="D1" s="3"/>
      <c r="E1" s="3"/>
      <c r="F1" s="3"/>
      <c r="G1" s="4"/>
      <c r="H1" s="49"/>
      <c r="I1" s="5"/>
    </row>
    <row r="2" ht="17.25" customHeight="1">
      <c r="A2" s="1" t="s">
        <v>2</v>
      </c>
      <c r="B2" s="2"/>
      <c r="C2" s="3"/>
      <c r="D2" s="3"/>
      <c r="E2" s="3"/>
      <c r="F2" s="3"/>
      <c r="G2" s="4"/>
      <c r="H2" s="49"/>
      <c r="I2" s="5"/>
    </row>
    <row r="3" ht="30.0" customHeight="1">
      <c r="A3" s="3"/>
      <c r="B3" s="3"/>
      <c r="C3" s="3"/>
      <c r="D3" s="3"/>
      <c r="E3" s="3"/>
      <c r="F3" s="3"/>
      <c r="G3" s="4"/>
      <c r="H3" s="49"/>
      <c r="I3" s="8"/>
    </row>
    <row r="4" ht="37.5" customHeight="1">
      <c r="A4" s="9" t="s">
        <v>14</v>
      </c>
      <c r="B4" s="10" t="s">
        <v>4</v>
      </c>
      <c r="C4" s="11" t="s">
        <v>5</v>
      </c>
      <c r="D4" s="12" t="s">
        <v>6</v>
      </c>
      <c r="E4" s="12" t="s">
        <v>0</v>
      </c>
      <c r="F4" s="12" t="s">
        <v>7</v>
      </c>
      <c r="G4" s="11" t="s">
        <v>8</v>
      </c>
      <c r="H4" s="50" t="s">
        <v>9</v>
      </c>
      <c r="I4" s="13" t="s">
        <v>10</v>
      </c>
    </row>
    <row r="5" ht="22.5" customHeight="1">
      <c r="A5" s="22"/>
      <c r="B5" s="23"/>
      <c r="C5" s="24"/>
      <c r="D5" s="25"/>
      <c r="E5" s="26"/>
      <c r="F5" s="26"/>
      <c r="G5" s="27"/>
      <c r="H5" s="26"/>
      <c r="I5" s="29"/>
    </row>
    <row r="6" ht="25.5" customHeight="1">
      <c r="A6" s="30">
        <f>IFERROR(__xludf.DUMMYFUNCTION("IF(B2&lt;&gt;"""",FILTER('Planilhas compilada ordem alfab'!A2:I1703,'Planilhas compilada ordem alfab'!E2:E1703=B1,'Planilhas compilada ordem alfab'!F2:F1703=B2),FILTER('Planilhas compilada ordem alfab'!A2:I1703,'Planilhas compilada ordem alfab'!E2:E1703=B1))"),331.0)</f>
        <v>331</v>
      </c>
      <c r="B6" s="31" t="str">
        <f>IFERROR(__xludf.DUMMYFUNCTION("""COMPUTED_VALUE"""),"ANEL DE FITA 120 CM")</f>
        <v>ANEL DE FITA 120 CM</v>
      </c>
      <c r="C6" s="32">
        <f>IFERROR(__xludf.DUMMYFUNCTION("""COMPUTED_VALUE"""),1.0)</f>
        <v>1</v>
      </c>
      <c r="D6" s="33" t="str">
        <f>IFERROR(__xludf.DUMMYFUNCTION("""COMPUTED_VALUE"""),"VIATURA")</f>
        <v>VIATURA</v>
      </c>
      <c r="E6" s="34" t="str">
        <f>IFERROR(__xludf.DUMMYFUNCTION("""COMPUTED_VALUE"""),"1 - ATB0722")</f>
        <v>1 - ATB0722</v>
      </c>
      <c r="F6" s="34" t="str">
        <f>IFERROR(__xludf.DUMMYFUNCTION("""COMPUTED_VALUE"""),"BOX 01")</f>
        <v>BOX 01</v>
      </c>
      <c r="G6" s="35">
        <f>IFERROR(__xludf.DUMMYFUNCTION("""COMPUTED_VALUE"""),45580.0)</f>
        <v>45580</v>
      </c>
      <c r="H6" s="34"/>
      <c r="I6" s="37"/>
    </row>
    <row r="7" ht="22.5" customHeight="1">
      <c r="A7" s="30">
        <f>IFERROR(__xludf.DUMMYFUNCTION("""COMPUTED_VALUE"""),325.0)</f>
        <v>325</v>
      </c>
      <c r="B7" s="31" t="str">
        <f>IFERROR(__xludf.DUMMYFUNCTION("""COMPUTED_VALUE"""),"CABO SOLTEIRO")</f>
        <v>CABO SOLTEIRO</v>
      </c>
      <c r="C7" s="32">
        <f>IFERROR(__xludf.DUMMYFUNCTION("""COMPUTED_VALUE"""),1.0)</f>
        <v>1</v>
      </c>
      <c r="D7" s="33" t="str">
        <f>IFERROR(__xludf.DUMMYFUNCTION("""COMPUTED_VALUE"""),"VIATURA")</f>
        <v>VIATURA</v>
      </c>
      <c r="E7" s="34" t="str">
        <f>IFERROR(__xludf.DUMMYFUNCTION("""COMPUTED_VALUE"""),"1 - ATB0722")</f>
        <v>1 - ATB0722</v>
      </c>
      <c r="F7" s="34" t="str">
        <f>IFERROR(__xludf.DUMMYFUNCTION("""COMPUTED_VALUE"""),"BOX 01")</f>
        <v>BOX 01</v>
      </c>
      <c r="G7" s="35">
        <f>IFERROR(__xludf.DUMMYFUNCTION("""COMPUTED_VALUE"""),45580.0)</f>
        <v>45580</v>
      </c>
      <c r="H7" s="34"/>
      <c r="I7" s="37"/>
    </row>
    <row r="8" ht="22.5" customHeight="1">
      <c r="A8" s="30">
        <f>IFERROR(__xludf.DUMMYFUNCTION("""COMPUTED_VALUE"""),327.0)</f>
        <v>327</v>
      </c>
      <c r="B8" s="31" t="str">
        <f>IFERROR(__xludf.DUMMYFUNCTION("""COMPUTED_VALUE"""),"CADEIRINHA BAUDRIER RAPEL - NÍVEL II")</f>
        <v>CADEIRINHA BAUDRIER RAPEL - NÍVEL II</v>
      </c>
      <c r="C8" s="32">
        <f>IFERROR(__xludf.DUMMYFUNCTION("""COMPUTED_VALUE"""),1.0)</f>
        <v>1</v>
      </c>
      <c r="D8" s="33" t="str">
        <f>IFERROR(__xludf.DUMMYFUNCTION("""COMPUTED_VALUE"""),"VIATURA")</f>
        <v>VIATURA</v>
      </c>
      <c r="E8" s="34" t="str">
        <f>IFERROR(__xludf.DUMMYFUNCTION("""COMPUTED_VALUE"""),"1 - ATB0722")</f>
        <v>1 - ATB0722</v>
      </c>
      <c r="F8" s="34" t="str">
        <f>IFERROR(__xludf.DUMMYFUNCTION("""COMPUTED_VALUE"""),"BOX 01")</f>
        <v>BOX 01</v>
      </c>
      <c r="G8" s="35">
        <f>IFERROR(__xludf.DUMMYFUNCTION("""COMPUTED_VALUE"""),45580.0)</f>
        <v>45580</v>
      </c>
      <c r="H8" s="34"/>
      <c r="I8" s="38"/>
    </row>
    <row r="9" ht="22.5" customHeight="1">
      <c r="A9" s="30">
        <f>IFERROR(__xludf.DUMMYFUNCTION("""COMPUTED_VALUE"""),326.0)</f>
        <v>326</v>
      </c>
      <c r="B9" s="39" t="str">
        <f>IFERROR(__xludf.DUMMYFUNCTION("""COMPUTED_VALUE"""),"CORDA -")</f>
        <v>CORDA -</v>
      </c>
      <c r="C9" s="32">
        <f>IFERROR(__xludf.DUMMYFUNCTION("""COMPUTED_VALUE"""),1.0)</f>
        <v>1</v>
      </c>
      <c r="D9" s="33" t="str">
        <f>IFERROR(__xludf.DUMMYFUNCTION("""COMPUTED_VALUE"""),"VIATURA")</f>
        <v>VIATURA</v>
      </c>
      <c r="E9" s="34" t="str">
        <f>IFERROR(__xludf.DUMMYFUNCTION("""COMPUTED_VALUE"""),"1 - ATB0722")</f>
        <v>1 - ATB0722</v>
      </c>
      <c r="F9" s="34" t="str">
        <f>IFERROR(__xludf.DUMMYFUNCTION("""COMPUTED_VALUE"""),"BOX 01")</f>
        <v>BOX 01</v>
      </c>
      <c r="G9" s="35">
        <f>IFERROR(__xludf.DUMMYFUNCTION("""COMPUTED_VALUE"""),45580.0)</f>
        <v>45580</v>
      </c>
      <c r="H9" s="34"/>
      <c r="I9" s="37" t="str">
        <f>IFERROR(__xludf.DUMMYFUNCTION("""COMPUTED_VALUE"""),"30 METROS")</f>
        <v>30 METROS</v>
      </c>
    </row>
    <row r="10" ht="22.5" customHeight="1">
      <c r="A10" s="30">
        <f>IFERROR(__xludf.DUMMYFUNCTION("""COMPUTED_VALUE"""),332.0)</f>
        <v>332</v>
      </c>
      <c r="B10" s="31" t="str">
        <f>IFERROR(__xludf.DUMMYFUNCTION("""COMPUTED_VALUE"""),"CORDELETE")</f>
        <v>CORDELETE</v>
      </c>
      <c r="C10" s="32">
        <f>IFERROR(__xludf.DUMMYFUNCTION("""COMPUTED_VALUE"""),2.0)</f>
        <v>2</v>
      </c>
      <c r="D10" s="33" t="str">
        <f>IFERROR(__xludf.DUMMYFUNCTION("""COMPUTED_VALUE"""),"VIATURA")</f>
        <v>VIATURA</v>
      </c>
      <c r="E10" s="34" t="str">
        <f>IFERROR(__xludf.DUMMYFUNCTION("""COMPUTED_VALUE"""),"1 - ATB0722")</f>
        <v>1 - ATB0722</v>
      </c>
      <c r="F10" s="34" t="str">
        <f>IFERROR(__xludf.DUMMYFUNCTION("""COMPUTED_VALUE"""),"BOX 01")</f>
        <v>BOX 01</v>
      </c>
      <c r="G10" s="35">
        <f>IFERROR(__xludf.DUMMYFUNCTION("""COMPUTED_VALUE"""),45580.0)</f>
        <v>45580</v>
      </c>
      <c r="H10" s="34"/>
      <c r="I10" s="37"/>
    </row>
    <row r="11" ht="22.5" customHeight="1">
      <c r="A11" s="30">
        <f>IFERROR(__xludf.DUMMYFUNCTION("""COMPUTED_VALUE"""),329.0)</f>
        <v>329</v>
      </c>
      <c r="B11" s="31" t="str">
        <f>IFERROR(__xludf.DUMMYFUNCTION("""COMPUTED_VALUE"""),"FREIO OITO -")</f>
        <v>FREIO OITO -</v>
      </c>
      <c r="C11" s="32">
        <f>IFERROR(__xludf.DUMMYFUNCTION("""COMPUTED_VALUE"""),1.0)</f>
        <v>1</v>
      </c>
      <c r="D11" s="33" t="str">
        <f>IFERROR(__xludf.DUMMYFUNCTION("""COMPUTED_VALUE"""),"VIATURA")</f>
        <v>VIATURA</v>
      </c>
      <c r="E11" s="34" t="str">
        <f>IFERROR(__xludf.DUMMYFUNCTION("""COMPUTED_VALUE"""),"1 - ATB0722")</f>
        <v>1 - ATB0722</v>
      </c>
      <c r="F11" s="34" t="str">
        <f>IFERROR(__xludf.DUMMYFUNCTION("""COMPUTED_VALUE"""),"BOX 01")</f>
        <v>BOX 01</v>
      </c>
      <c r="G11" s="35">
        <f>IFERROR(__xludf.DUMMYFUNCTION("""COMPUTED_VALUE"""),45580.0)</f>
        <v>45580</v>
      </c>
      <c r="H11" s="34"/>
      <c r="I11" s="37"/>
    </row>
    <row r="12" ht="22.5" customHeight="1">
      <c r="A12" s="30">
        <f>IFERROR(__xludf.DUMMYFUNCTION("""COMPUTED_VALUE"""),328.0)</f>
        <v>328</v>
      </c>
      <c r="B12" s="31" t="str">
        <f>IFERROR(__xludf.DUMMYFUNCTION("""COMPUTED_VALUE"""),"LUVA DE VAQUETA")</f>
        <v>LUVA DE VAQUETA</v>
      </c>
      <c r="C12" s="32">
        <f>IFERROR(__xludf.DUMMYFUNCTION("""COMPUTED_VALUE"""),1.0)</f>
        <v>1</v>
      </c>
      <c r="D12" s="33" t="str">
        <f>IFERROR(__xludf.DUMMYFUNCTION("""COMPUTED_VALUE"""),"VIATURA")</f>
        <v>VIATURA</v>
      </c>
      <c r="E12" s="34" t="str">
        <f>IFERROR(__xludf.DUMMYFUNCTION("""COMPUTED_VALUE"""),"1 - ATB0722")</f>
        <v>1 - ATB0722</v>
      </c>
      <c r="F12" s="34" t="str">
        <f>IFERROR(__xludf.DUMMYFUNCTION("""COMPUTED_VALUE"""),"BOX 01")</f>
        <v>BOX 01</v>
      </c>
      <c r="G12" s="35">
        <f>IFERROR(__xludf.DUMMYFUNCTION("""COMPUTED_VALUE"""),45580.0)</f>
        <v>45580</v>
      </c>
      <c r="H12" s="34"/>
      <c r="I12" s="37"/>
    </row>
    <row r="13" ht="22.5" customHeight="1">
      <c r="A13" s="30">
        <f>IFERROR(__xludf.DUMMYFUNCTION("""COMPUTED_VALUE"""),330.0)</f>
        <v>330</v>
      </c>
      <c r="B13" s="39" t="str">
        <f>IFERROR(__xludf.DUMMYFUNCTION("""COMPUTED_VALUE"""),"MOSQUETÃO DE ALUMÍNIO")</f>
        <v>MOSQUETÃO DE ALUMÍNIO</v>
      </c>
      <c r="C13" s="32">
        <f>IFERROR(__xludf.DUMMYFUNCTION("""COMPUTED_VALUE"""),1.0)</f>
        <v>1</v>
      </c>
      <c r="D13" s="33" t="str">
        <f>IFERROR(__xludf.DUMMYFUNCTION("""COMPUTED_VALUE"""),"VIATURA")</f>
        <v>VIATURA</v>
      </c>
      <c r="E13" s="34" t="str">
        <f>IFERROR(__xludf.DUMMYFUNCTION("""COMPUTED_VALUE"""),"1 - ATB0722")</f>
        <v>1 - ATB0722</v>
      </c>
      <c r="F13" s="34" t="str">
        <f>IFERROR(__xludf.DUMMYFUNCTION("""COMPUTED_VALUE"""),"BOX 01")</f>
        <v>BOX 01</v>
      </c>
      <c r="G13" s="35">
        <f>IFERROR(__xludf.DUMMYFUNCTION("""COMPUTED_VALUE"""),45580.0)</f>
        <v>45580</v>
      </c>
      <c r="H13" s="34"/>
      <c r="I13" s="37"/>
    </row>
    <row r="14" ht="22.5" customHeight="1">
      <c r="A14" s="30">
        <f>IFERROR(__xludf.DUMMYFUNCTION("""COMPUTED_VALUE"""),338.0)</f>
        <v>338</v>
      </c>
      <c r="B14" s="31" t="str">
        <f>IFERROR(__xludf.DUMMYFUNCTION("""COMPUTED_VALUE"""),"MANGUEIRA DE 1 ¹/²")</f>
        <v>MANGUEIRA DE 1 ¹/²</v>
      </c>
      <c r="C14" s="32">
        <f>IFERROR(__xludf.DUMMYFUNCTION("""COMPUTED_VALUE"""),4.0)</f>
        <v>4</v>
      </c>
      <c r="D14" s="33" t="str">
        <f>IFERROR(__xludf.DUMMYFUNCTION("""COMPUTED_VALUE"""),"VIATURA")</f>
        <v>VIATURA</v>
      </c>
      <c r="E14" s="34" t="str">
        <f>IFERROR(__xludf.DUMMYFUNCTION("""COMPUTED_VALUE"""),"1 - ATB0722")</f>
        <v>1 - ATB0722</v>
      </c>
      <c r="F14" s="34" t="str">
        <f>IFERROR(__xludf.DUMMYFUNCTION("""COMPUTED_VALUE"""),"BOX 02")</f>
        <v>BOX 02</v>
      </c>
      <c r="G14" s="35">
        <f>IFERROR(__xludf.DUMMYFUNCTION("""COMPUTED_VALUE"""),45580.0)</f>
        <v>45580</v>
      </c>
      <c r="H14" s="34"/>
      <c r="I14" s="37"/>
    </row>
    <row r="15" ht="22.5" customHeight="1">
      <c r="A15" s="30">
        <f>IFERROR(__xludf.DUMMYFUNCTION("""COMPUTED_VALUE"""),339.0)</f>
        <v>339</v>
      </c>
      <c r="B15" s="39" t="str">
        <f>IFERROR(__xludf.DUMMYFUNCTION("""COMPUTED_VALUE"""),"MANGUEIRA DE 2 ¹/²")</f>
        <v>MANGUEIRA DE 2 ¹/²</v>
      </c>
      <c r="C15" s="32">
        <f>IFERROR(__xludf.DUMMYFUNCTION("""COMPUTED_VALUE"""),3.0)</f>
        <v>3</v>
      </c>
      <c r="D15" s="33" t="str">
        <f>IFERROR(__xludf.DUMMYFUNCTION("""COMPUTED_VALUE"""),"VIATURA")</f>
        <v>VIATURA</v>
      </c>
      <c r="E15" s="34" t="str">
        <f>IFERROR(__xludf.DUMMYFUNCTION("""COMPUTED_VALUE"""),"1 - ATB0722")</f>
        <v>1 - ATB0722</v>
      </c>
      <c r="F15" s="34" t="str">
        <f>IFERROR(__xludf.DUMMYFUNCTION("""COMPUTED_VALUE"""),"BOX 02")</f>
        <v>BOX 02</v>
      </c>
      <c r="G15" s="35">
        <f>IFERROR(__xludf.DUMMYFUNCTION("""COMPUTED_VALUE"""),45580.0)</f>
        <v>45580</v>
      </c>
      <c r="H15" s="34"/>
      <c r="I15" s="37"/>
    </row>
    <row r="16" ht="22.5" customHeight="1">
      <c r="A16" s="30">
        <f>IFERROR(__xludf.DUMMYFUNCTION("""COMPUTED_VALUE"""),340.0)</f>
        <v>340</v>
      </c>
      <c r="B16" s="31" t="str">
        <f>IFERROR(__xludf.DUMMYFUNCTION("""COMPUTED_VALUE"""),"ADAPTADOR STORZ 2 ¹/²"" PARA ROSCA 3 FIOS")</f>
        <v>ADAPTADOR STORZ 2 ¹/²" PARA ROSCA 3 FIOS</v>
      </c>
      <c r="C16" s="32">
        <f>IFERROR(__xludf.DUMMYFUNCTION("""COMPUTED_VALUE"""),1.0)</f>
        <v>1</v>
      </c>
      <c r="D16" s="33" t="str">
        <f>IFERROR(__xludf.DUMMYFUNCTION("""COMPUTED_VALUE"""),"VIATURA")</f>
        <v>VIATURA</v>
      </c>
      <c r="E16" s="34" t="str">
        <f>IFERROR(__xludf.DUMMYFUNCTION("""COMPUTED_VALUE"""),"1 - ATB0722")</f>
        <v>1 - ATB0722</v>
      </c>
      <c r="F16" s="34" t="str">
        <f>IFERROR(__xludf.DUMMYFUNCTION("""COMPUTED_VALUE"""),"BOX 03")</f>
        <v>BOX 03</v>
      </c>
      <c r="G16" s="35">
        <f>IFERROR(__xludf.DUMMYFUNCTION("""COMPUTED_VALUE"""),45580.0)</f>
        <v>45580</v>
      </c>
      <c r="H16" s="34"/>
      <c r="I16" s="37"/>
    </row>
    <row r="17" ht="22.5" customHeight="1">
      <c r="A17" s="30">
        <f>IFERROR(__xludf.DUMMYFUNCTION("""COMPUTED_VALUE"""),347.0)</f>
        <v>347</v>
      </c>
      <c r="B17" s="31" t="str">
        <f>IFERROR(__xludf.DUMMYFUNCTION("""COMPUTED_VALUE"""),"CHAVE DE MANGOTE")</f>
        <v>CHAVE DE MANGOTE</v>
      </c>
      <c r="C17" s="32">
        <f>IFERROR(__xludf.DUMMYFUNCTION("""COMPUTED_VALUE"""),1.0)</f>
        <v>1</v>
      </c>
      <c r="D17" s="33" t="str">
        <f>IFERROR(__xludf.DUMMYFUNCTION("""COMPUTED_VALUE"""),"VIATURA")</f>
        <v>VIATURA</v>
      </c>
      <c r="E17" s="34" t="str">
        <f>IFERROR(__xludf.DUMMYFUNCTION("""COMPUTED_VALUE"""),"1 - ATB0722")</f>
        <v>1 - ATB0722</v>
      </c>
      <c r="F17" s="34" t="str">
        <f>IFERROR(__xludf.DUMMYFUNCTION("""COMPUTED_VALUE"""),"BOX 03")</f>
        <v>BOX 03</v>
      </c>
      <c r="G17" s="35">
        <f>IFERROR(__xludf.DUMMYFUNCTION("""COMPUTED_VALUE"""),45580.0)</f>
        <v>45580</v>
      </c>
      <c r="H17" s="34"/>
      <c r="I17" s="37"/>
    </row>
    <row r="18" ht="22.5" customHeight="1">
      <c r="A18" s="30">
        <f>IFERROR(__xludf.DUMMYFUNCTION("""COMPUTED_VALUE"""),349.0)</f>
        <v>349</v>
      </c>
      <c r="B18" s="31" t="str">
        <f>IFERROR(__xludf.DUMMYFUNCTION("""COMPUTED_VALUE"""),"CHAVE DE MANGUEIRA")</f>
        <v>CHAVE DE MANGUEIRA</v>
      </c>
      <c r="C18" s="32">
        <f>IFERROR(__xludf.DUMMYFUNCTION("""COMPUTED_VALUE"""),3.0)</f>
        <v>3</v>
      </c>
      <c r="D18" s="33" t="str">
        <f>IFERROR(__xludf.DUMMYFUNCTION("""COMPUTED_VALUE"""),"VIATURA")</f>
        <v>VIATURA</v>
      </c>
      <c r="E18" s="34" t="str">
        <f>IFERROR(__xludf.DUMMYFUNCTION("""COMPUTED_VALUE"""),"1 - ATB0722")</f>
        <v>1 - ATB0722</v>
      </c>
      <c r="F18" s="34" t="str">
        <f>IFERROR(__xludf.DUMMYFUNCTION("""COMPUTED_VALUE"""),"BOX 03")</f>
        <v>BOX 03</v>
      </c>
      <c r="G18" s="35">
        <f>IFERROR(__xludf.DUMMYFUNCTION("""COMPUTED_VALUE"""),45580.0)</f>
        <v>45580</v>
      </c>
      <c r="H18" s="34"/>
      <c r="I18" s="37"/>
    </row>
    <row r="19" ht="22.5" customHeight="1">
      <c r="A19" s="30">
        <f>IFERROR(__xludf.DUMMYFUNCTION("""COMPUTED_VALUE"""),345.0)</f>
        <v>345</v>
      </c>
      <c r="B19" s="31" t="str">
        <f>IFERROR(__xludf.DUMMYFUNCTION("""COMPUTED_VALUE"""),"CHAVE DE TAMPÃO DE HIRANTE")</f>
        <v>CHAVE DE TAMPÃO DE HIRANTE</v>
      </c>
      <c r="C19" s="32">
        <f>IFERROR(__xludf.DUMMYFUNCTION("""COMPUTED_VALUE"""),1.0)</f>
        <v>1</v>
      </c>
      <c r="D19" s="33" t="str">
        <f>IFERROR(__xludf.DUMMYFUNCTION("""COMPUTED_VALUE"""),"VIATURA")</f>
        <v>VIATURA</v>
      </c>
      <c r="E19" s="34" t="str">
        <f>IFERROR(__xludf.DUMMYFUNCTION("""COMPUTED_VALUE"""),"1 - ATB0722")</f>
        <v>1 - ATB0722</v>
      </c>
      <c r="F19" s="34" t="str">
        <f>IFERROR(__xludf.DUMMYFUNCTION("""COMPUTED_VALUE"""),"BOX 03")</f>
        <v>BOX 03</v>
      </c>
      <c r="G19" s="35">
        <f>IFERROR(__xludf.DUMMYFUNCTION("""COMPUTED_VALUE"""),45580.0)</f>
        <v>45580</v>
      </c>
      <c r="H19" s="34"/>
      <c r="I19" s="37"/>
    </row>
    <row r="20" ht="22.5" customHeight="1">
      <c r="A20" s="30">
        <f>IFERROR(__xludf.DUMMYFUNCTION("""COMPUTED_VALUE"""),346.0)</f>
        <v>346</v>
      </c>
      <c r="B20" s="31" t="str">
        <f>IFERROR(__xludf.DUMMYFUNCTION("""COMPUTED_VALUE"""),"DIVISOR 3 BOCAS")</f>
        <v>DIVISOR 3 BOCAS</v>
      </c>
      <c r="C20" s="32">
        <f>IFERROR(__xludf.DUMMYFUNCTION("""COMPUTED_VALUE"""),1.0)</f>
        <v>1</v>
      </c>
      <c r="D20" s="33" t="str">
        <f>IFERROR(__xludf.DUMMYFUNCTION("""COMPUTED_VALUE"""),"VIATURA")</f>
        <v>VIATURA</v>
      </c>
      <c r="E20" s="34" t="str">
        <f>IFERROR(__xludf.DUMMYFUNCTION("""COMPUTED_VALUE"""),"1 - ATB0722")</f>
        <v>1 - ATB0722</v>
      </c>
      <c r="F20" s="34" t="str">
        <f>IFERROR(__xludf.DUMMYFUNCTION("""COMPUTED_VALUE"""),"BOX 03")</f>
        <v>BOX 03</v>
      </c>
      <c r="G20" s="35">
        <f>IFERROR(__xludf.DUMMYFUNCTION("""COMPUTED_VALUE"""),45580.0)</f>
        <v>45580</v>
      </c>
      <c r="H20" s="34"/>
      <c r="I20" s="37"/>
    </row>
    <row r="21" ht="22.5" customHeight="1">
      <c r="A21" s="30">
        <f>IFERROR(__xludf.DUMMYFUNCTION("""COMPUTED_VALUE"""),342.0)</f>
        <v>342</v>
      </c>
      <c r="B21" s="31" t="str">
        <f>IFERROR(__xludf.DUMMYFUNCTION("""COMPUTED_VALUE"""),"ESGUICHO DE 1¹/² ")</f>
        <v>ESGUICHO DE 1¹/² </v>
      </c>
      <c r="C21" s="32">
        <f>IFERROR(__xludf.DUMMYFUNCTION("""COMPUTED_VALUE"""),1.0)</f>
        <v>1</v>
      </c>
      <c r="D21" s="33" t="str">
        <f>IFERROR(__xludf.DUMMYFUNCTION("""COMPUTED_VALUE"""),"VIATURA")</f>
        <v>VIATURA</v>
      </c>
      <c r="E21" s="34" t="str">
        <f>IFERROR(__xludf.DUMMYFUNCTION("""COMPUTED_VALUE"""),"1 - ATB0722")</f>
        <v>1 - ATB0722</v>
      </c>
      <c r="F21" s="34" t="str">
        <f>IFERROR(__xludf.DUMMYFUNCTION("""COMPUTED_VALUE"""),"BOX 03")</f>
        <v>BOX 03</v>
      </c>
      <c r="G21" s="35">
        <f>IFERROR(__xludf.DUMMYFUNCTION("""COMPUTED_VALUE"""),45580.0)</f>
        <v>45580</v>
      </c>
      <c r="H21" s="34"/>
      <c r="I21" s="37"/>
    </row>
    <row r="22" ht="22.5" customHeight="1">
      <c r="A22" s="30">
        <f>IFERROR(__xludf.DUMMYFUNCTION("""COMPUTED_VALUE"""),343.0)</f>
        <v>343</v>
      </c>
      <c r="B22" s="31" t="str">
        <f>IFERROR(__xludf.DUMMYFUNCTION("""COMPUTED_VALUE"""),"ESGUICHO DE 2¹/² ")</f>
        <v>ESGUICHO DE 2¹/² </v>
      </c>
      <c r="C22" s="32">
        <f>IFERROR(__xludf.DUMMYFUNCTION("""COMPUTED_VALUE"""),1.0)</f>
        <v>1</v>
      </c>
      <c r="D22" s="33" t="str">
        <f>IFERROR(__xludf.DUMMYFUNCTION("""COMPUTED_VALUE"""),"VIATURA")</f>
        <v>VIATURA</v>
      </c>
      <c r="E22" s="34" t="str">
        <f>IFERROR(__xludf.DUMMYFUNCTION("""COMPUTED_VALUE"""),"1 - ATB0722")</f>
        <v>1 - ATB0722</v>
      </c>
      <c r="F22" s="34" t="str">
        <f>IFERROR(__xludf.DUMMYFUNCTION("""COMPUTED_VALUE"""),"BOX 03")</f>
        <v>BOX 03</v>
      </c>
      <c r="G22" s="35">
        <f>IFERROR(__xludf.DUMMYFUNCTION("""COMPUTED_VALUE"""),45580.0)</f>
        <v>45580</v>
      </c>
      <c r="H22" s="34"/>
      <c r="I22" s="37"/>
    </row>
    <row r="23" ht="22.5" customHeight="1">
      <c r="A23" s="30">
        <f>IFERROR(__xludf.DUMMYFUNCTION("""COMPUTED_VALUE"""),344.0)</f>
        <v>344</v>
      </c>
      <c r="B23" s="31" t="str">
        <f>IFERROR(__xludf.DUMMYFUNCTION("""COMPUTED_VALUE"""),"NIPS")</f>
        <v>NIPS</v>
      </c>
      <c r="C23" s="32">
        <f>IFERROR(__xludf.DUMMYFUNCTION("""COMPUTED_VALUE"""),2.0)</f>
        <v>2</v>
      </c>
      <c r="D23" s="33" t="str">
        <f>IFERROR(__xludf.DUMMYFUNCTION("""COMPUTED_VALUE"""),"VIATURA")</f>
        <v>VIATURA</v>
      </c>
      <c r="E23" s="34" t="str">
        <f>IFERROR(__xludf.DUMMYFUNCTION("""COMPUTED_VALUE"""),"1 - ATB0722")</f>
        <v>1 - ATB0722</v>
      </c>
      <c r="F23" s="34" t="str">
        <f>IFERROR(__xludf.DUMMYFUNCTION("""COMPUTED_VALUE"""),"BOX 03")</f>
        <v>BOX 03</v>
      </c>
      <c r="G23" s="35">
        <f>IFERROR(__xludf.DUMMYFUNCTION("""COMPUTED_VALUE"""),45580.0)</f>
        <v>45580</v>
      </c>
      <c r="H23" s="34"/>
      <c r="I23" s="37"/>
    </row>
    <row r="24" ht="22.5" customHeight="1">
      <c r="A24" s="30">
        <f>IFERROR(__xludf.DUMMYFUNCTION("""COMPUTED_VALUE"""),348.0)</f>
        <v>348</v>
      </c>
      <c r="B24" s="31" t="str">
        <f>IFERROR(__xludf.DUMMYFUNCTION("""COMPUTED_VALUE"""),"RALO DE 1 ¹/²""")</f>
        <v>RALO DE 1 ¹/²"</v>
      </c>
      <c r="C24" s="32">
        <f>IFERROR(__xludf.DUMMYFUNCTION("""COMPUTED_VALUE"""),1.0)</f>
        <v>1</v>
      </c>
      <c r="D24" s="33" t="str">
        <f>IFERROR(__xludf.DUMMYFUNCTION("""COMPUTED_VALUE"""),"VIATURA")</f>
        <v>VIATURA</v>
      </c>
      <c r="E24" s="34" t="str">
        <f>IFERROR(__xludf.DUMMYFUNCTION("""COMPUTED_VALUE"""),"1 - ATB0722")</f>
        <v>1 - ATB0722</v>
      </c>
      <c r="F24" s="34" t="str">
        <f>IFERROR(__xludf.DUMMYFUNCTION("""COMPUTED_VALUE"""),"BOX 03")</f>
        <v>BOX 03</v>
      </c>
      <c r="G24" s="35">
        <f>IFERROR(__xludf.DUMMYFUNCTION("""COMPUTED_VALUE"""),45580.0)</f>
        <v>45580</v>
      </c>
      <c r="H24" s="34"/>
      <c r="I24" s="37"/>
    </row>
    <row r="25" ht="22.5" customHeight="1">
      <c r="A25" s="30">
        <f>IFERROR(__xludf.DUMMYFUNCTION("""COMPUTED_VALUE"""),341.0)</f>
        <v>341</v>
      </c>
      <c r="B25" s="31" t="str">
        <f>IFERROR(__xludf.DUMMYFUNCTION("""COMPUTED_VALUE"""),"REDUÇÃO 2 ¹/² P/ 1¹/² ")</f>
        <v>REDUÇÃO 2 ¹/² P/ 1¹/² </v>
      </c>
      <c r="C25" s="32">
        <f>IFERROR(__xludf.DUMMYFUNCTION("""COMPUTED_VALUE"""),2.0)</f>
        <v>2</v>
      </c>
      <c r="D25" s="33" t="str">
        <f>IFERROR(__xludf.DUMMYFUNCTION("""COMPUTED_VALUE"""),"VIATURA")</f>
        <v>VIATURA</v>
      </c>
      <c r="E25" s="34" t="str">
        <f>IFERROR(__xludf.DUMMYFUNCTION("""COMPUTED_VALUE"""),"1 - ATB0722")</f>
        <v>1 - ATB0722</v>
      </c>
      <c r="F25" s="34" t="str">
        <f>IFERROR(__xludf.DUMMYFUNCTION("""COMPUTED_VALUE"""),"BOX 03")</f>
        <v>BOX 03</v>
      </c>
      <c r="G25" s="35">
        <f>IFERROR(__xludf.DUMMYFUNCTION("""COMPUTED_VALUE"""),45580.0)</f>
        <v>45580</v>
      </c>
      <c r="H25" s="34"/>
      <c r="I25" s="37"/>
    </row>
    <row r="26" ht="22.5" customHeight="1">
      <c r="A26" s="30">
        <f>IFERROR(__xludf.DUMMYFUNCTION("""COMPUTED_VALUE"""),353.0)</f>
        <v>353</v>
      </c>
      <c r="B26" s="40" t="str">
        <f>IFERROR(__xludf.DUMMYFUNCTION("""COMPUTED_VALUE"""),"ALAVANCA CORTE E PONTEIRA")</f>
        <v>ALAVANCA CORTE E PONTEIRA</v>
      </c>
      <c r="C26" s="32">
        <f>IFERROR(__xludf.DUMMYFUNCTION("""COMPUTED_VALUE"""),1.0)</f>
        <v>1</v>
      </c>
      <c r="D26" s="33" t="str">
        <f>IFERROR(__xludf.DUMMYFUNCTION("""COMPUTED_VALUE"""),"VIATURA")</f>
        <v>VIATURA</v>
      </c>
      <c r="E26" s="34" t="str">
        <f>IFERROR(__xludf.DUMMYFUNCTION("""COMPUTED_VALUE"""),"1 - ATB0722")</f>
        <v>1 - ATB0722</v>
      </c>
      <c r="F26" s="34" t="str">
        <f>IFERROR(__xludf.DUMMYFUNCTION("""COMPUTED_VALUE"""),"BOX SUPERIOR 01")</f>
        <v>BOX SUPERIOR 01</v>
      </c>
      <c r="G26" s="35">
        <f>IFERROR(__xludf.DUMMYFUNCTION("""COMPUTED_VALUE"""),45580.0)</f>
        <v>45580</v>
      </c>
      <c r="H26" s="34"/>
      <c r="I26" s="37"/>
    </row>
    <row r="27" ht="22.5" customHeight="1">
      <c r="A27" s="30">
        <f>IFERROR(__xludf.DUMMYFUNCTION("""COMPUTED_VALUE"""),355.0)</f>
        <v>355</v>
      </c>
      <c r="B27" s="31" t="str">
        <f>IFERROR(__xludf.DUMMYFUNCTION("""COMPUTED_VALUE"""),"ALAVANCA PÉ DE CABRA")</f>
        <v>ALAVANCA PÉ DE CABRA</v>
      </c>
      <c r="C27" s="32">
        <f>IFERROR(__xludf.DUMMYFUNCTION("""COMPUTED_VALUE"""),1.0)</f>
        <v>1</v>
      </c>
      <c r="D27" s="33" t="str">
        <f>IFERROR(__xludf.DUMMYFUNCTION("""COMPUTED_VALUE"""),"VIATURA")</f>
        <v>VIATURA</v>
      </c>
      <c r="E27" s="34" t="str">
        <f>IFERROR(__xludf.DUMMYFUNCTION("""COMPUTED_VALUE"""),"1 - ATB0722")</f>
        <v>1 - ATB0722</v>
      </c>
      <c r="F27" s="34" t="str">
        <f>IFERROR(__xludf.DUMMYFUNCTION("""COMPUTED_VALUE"""),"BOX SUPERIOR 01")</f>
        <v>BOX SUPERIOR 01</v>
      </c>
      <c r="G27" s="35">
        <f>IFERROR(__xludf.DUMMYFUNCTION("""COMPUTED_VALUE"""),45580.0)</f>
        <v>45580</v>
      </c>
      <c r="H27" s="34"/>
      <c r="I27" s="37"/>
    </row>
    <row r="28" ht="22.5" customHeight="1">
      <c r="A28" s="30">
        <f>IFERROR(__xludf.DUMMYFUNCTION("""COMPUTED_VALUE"""),359.0)</f>
        <v>359</v>
      </c>
      <c r="B28" s="31" t="str">
        <f>IFERROR(__xludf.DUMMYFUNCTION("""COMPUTED_VALUE"""),"CHAVE DE REGISTRO DE HIDRANTE TIPO “T”")</f>
        <v>CHAVE DE REGISTRO DE HIDRANTE TIPO “T”</v>
      </c>
      <c r="C28" s="32">
        <f>IFERROR(__xludf.DUMMYFUNCTION("""COMPUTED_VALUE"""),1.0)</f>
        <v>1</v>
      </c>
      <c r="D28" s="33" t="str">
        <f>IFERROR(__xludf.DUMMYFUNCTION("""COMPUTED_VALUE"""),"VIATURA")</f>
        <v>VIATURA</v>
      </c>
      <c r="E28" s="34" t="str">
        <f>IFERROR(__xludf.DUMMYFUNCTION("""COMPUTED_VALUE"""),"1 - ATB0722")</f>
        <v>1 - ATB0722</v>
      </c>
      <c r="F28" s="34" t="str">
        <f>IFERROR(__xludf.DUMMYFUNCTION("""COMPUTED_VALUE"""),"BOX SUPERIOR 01")</f>
        <v>BOX SUPERIOR 01</v>
      </c>
      <c r="G28" s="35">
        <f>IFERROR(__xludf.DUMMYFUNCTION("""COMPUTED_VALUE"""),45580.0)</f>
        <v>45580</v>
      </c>
      <c r="H28" s="34"/>
      <c r="I28" s="37"/>
    </row>
    <row r="29" ht="22.5" customHeight="1">
      <c r="A29" s="30">
        <f>IFERROR(__xludf.DUMMYFUNCTION("""COMPUTED_VALUE"""),354.0)</f>
        <v>354</v>
      </c>
      <c r="B29" s="31" t="str">
        <f>IFERROR(__xludf.DUMMYFUNCTION("""COMPUTED_VALUE"""),"CORTA FRIO 24''")</f>
        <v>CORTA FRIO 24''</v>
      </c>
      <c r="C29" s="32">
        <f>IFERROR(__xludf.DUMMYFUNCTION("""COMPUTED_VALUE"""),1.0)</f>
        <v>1</v>
      </c>
      <c r="D29" s="33" t="str">
        <f>IFERROR(__xludf.DUMMYFUNCTION("""COMPUTED_VALUE"""),"VIATURA")</f>
        <v>VIATURA</v>
      </c>
      <c r="E29" s="34" t="str">
        <f>IFERROR(__xludf.DUMMYFUNCTION("""COMPUTED_VALUE"""),"1 - ATB0722")</f>
        <v>1 - ATB0722</v>
      </c>
      <c r="F29" s="34" t="str">
        <f>IFERROR(__xludf.DUMMYFUNCTION("""COMPUTED_VALUE"""),"BOX SUPERIOR 01")</f>
        <v>BOX SUPERIOR 01</v>
      </c>
      <c r="G29" s="35">
        <f>IFERROR(__xludf.DUMMYFUNCTION("""COMPUTED_VALUE"""),45580.0)</f>
        <v>45580</v>
      </c>
      <c r="H29" s="34"/>
      <c r="I29" s="37"/>
    </row>
    <row r="30" ht="22.5" customHeight="1">
      <c r="A30" s="30">
        <f>IFERROR(__xludf.DUMMYFUNCTION("""COMPUTED_VALUE"""),350.0)</f>
        <v>350</v>
      </c>
      <c r="B30" s="31" t="str">
        <f>IFERROR(__xludf.DUMMYFUNCTION("""COMPUTED_VALUE"""),"ENXADA")</f>
        <v>ENXADA</v>
      </c>
      <c r="C30" s="32">
        <f>IFERROR(__xludf.DUMMYFUNCTION("""COMPUTED_VALUE"""),2.0)</f>
        <v>2</v>
      </c>
      <c r="D30" s="33" t="str">
        <f>IFERROR(__xludf.DUMMYFUNCTION("""COMPUTED_VALUE"""),"VIATURA")</f>
        <v>VIATURA</v>
      </c>
      <c r="E30" s="34" t="str">
        <f>IFERROR(__xludf.DUMMYFUNCTION("""COMPUTED_VALUE"""),"1 - ATB0722")</f>
        <v>1 - ATB0722</v>
      </c>
      <c r="F30" s="34" t="str">
        <f>IFERROR(__xludf.DUMMYFUNCTION("""COMPUTED_VALUE"""),"BOX SUPERIOR 01")</f>
        <v>BOX SUPERIOR 01</v>
      </c>
      <c r="G30" s="35">
        <f>IFERROR(__xludf.DUMMYFUNCTION("""COMPUTED_VALUE"""),45580.0)</f>
        <v>45580</v>
      </c>
      <c r="H30" s="34"/>
      <c r="I30" s="37"/>
    </row>
    <row r="31" ht="22.5" customHeight="1">
      <c r="A31" s="30">
        <f>IFERROR(__xludf.DUMMYFUNCTION("""COMPUTED_VALUE"""),362.0)</f>
        <v>362</v>
      </c>
      <c r="B31" s="31" t="str">
        <f>IFERROR(__xludf.DUMMYFUNCTION("""COMPUTED_VALUE"""),"ESCADA DE DOIS GANCHOS - ALUMÍNIO")</f>
        <v>ESCADA DE DOIS GANCHOS - ALUMÍNIO</v>
      </c>
      <c r="C31" s="32">
        <f>IFERROR(__xludf.DUMMYFUNCTION("""COMPUTED_VALUE"""),1.0)</f>
        <v>1</v>
      </c>
      <c r="D31" s="33" t="str">
        <f>IFERROR(__xludf.DUMMYFUNCTION("""COMPUTED_VALUE"""),"VIATURA")</f>
        <v>VIATURA</v>
      </c>
      <c r="E31" s="34" t="str">
        <f>IFERROR(__xludf.DUMMYFUNCTION("""COMPUTED_VALUE"""),"1 - ATB0722")</f>
        <v>1 - ATB0722</v>
      </c>
      <c r="F31" s="34" t="str">
        <f>IFERROR(__xludf.DUMMYFUNCTION("""COMPUTED_VALUE"""),"BOX SUPERIOR 01")</f>
        <v>BOX SUPERIOR 01</v>
      </c>
      <c r="G31" s="35">
        <f>IFERROR(__xludf.DUMMYFUNCTION("""COMPUTED_VALUE"""),45580.0)</f>
        <v>45580</v>
      </c>
      <c r="H31" s="34"/>
      <c r="I31" s="37"/>
    </row>
    <row r="32" ht="22.5" customHeight="1">
      <c r="A32" s="30">
        <f>IFERROR(__xludf.DUMMYFUNCTION("""COMPUTED_VALUE"""),361.0)</f>
        <v>361</v>
      </c>
      <c r="B32" s="31" t="str">
        <f>IFERROR(__xludf.DUMMYFUNCTION("""COMPUTED_VALUE"""),"FACÕES")</f>
        <v>FACÕES</v>
      </c>
      <c r="C32" s="32">
        <f>IFERROR(__xludf.DUMMYFUNCTION("""COMPUTED_VALUE"""),2.0)</f>
        <v>2</v>
      </c>
      <c r="D32" s="33" t="str">
        <f>IFERROR(__xludf.DUMMYFUNCTION("""COMPUTED_VALUE"""),"VIATURA")</f>
        <v>VIATURA</v>
      </c>
      <c r="E32" s="34" t="str">
        <f>IFERROR(__xludf.DUMMYFUNCTION("""COMPUTED_VALUE"""),"1 - ATB0722")</f>
        <v>1 - ATB0722</v>
      </c>
      <c r="F32" s="34" t="str">
        <f>IFERROR(__xludf.DUMMYFUNCTION("""COMPUTED_VALUE"""),"BOX SUPERIOR 01")</f>
        <v>BOX SUPERIOR 01</v>
      </c>
      <c r="G32" s="35">
        <f>IFERROR(__xludf.DUMMYFUNCTION("""COMPUTED_VALUE"""),45580.0)</f>
        <v>45580</v>
      </c>
      <c r="H32" s="34"/>
      <c r="I32" s="37"/>
    </row>
    <row r="33" ht="22.5" customHeight="1">
      <c r="A33" s="30">
        <f>IFERROR(__xludf.DUMMYFUNCTION("""COMPUTED_VALUE"""),360.0)</f>
        <v>360</v>
      </c>
      <c r="B33" s="39" t="str">
        <f>IFERROR(__xludf.DUMMYFUNCTION("""COMPUTED_VALUE"""),"FOICE")</f>
        <v>FOICE</v>
      </c>
      <c r="C33" s="32">
        <f>IFERROR(__xludf.DUMMYFUNCTION("""COMPUTED_VALUE"""),1.0)</f>
        <v>1</v>
      </c>
      <c r="D33" s="33" t="str">
        <f>IFERROR(__xludf.DUMMYFUNCTION("""COMPUTED_VALUE"""),"VIATURA")</f>
        <v>VIATURA</v>
      </c>
      <c r="E33" s="34" t="str">
        <f>IFERROR(__xludf.DUMMYFUNCTION("""COMPUTED_VALUE"""),"1 - ATB0722")</f>
        <v>1 - ATB0722</v>
      </c>
      <c r="F33" s="34" t="str">
        <f>IFERROR(__xludf.DUMMYFUNCTION("""COMPUTED_VALUE"""),"BOX SUPERIOR 01")</f>
        <v>BOX SUPERIOR 01</v>
      </c>
      <c r="G33" s="35">
        <f>IFERROR(__xludf.DUMMYFUNCTION("""COMPUTED_VALUE"""),45580.0)</f>
        <v>45580</v>
      </c>
      <c r="H33" s="34"/>
      <c r="I33" s="37"/>
    </row>
    <row r="34" ht="22.5" customHeight="1">
      <c r="A34" s="30">
        <f>IFERROR(__xludf.DUMMYFUNCTION("""COMPUTED_VALUE"""),351.0)</f>
        <v>351</v>
      </c>
      <c r="B34" s="39" t="str">
        <f>IFERROR(__xludf.DUMMYFUNCTION("""COMPUTED_VALUE"""),"GADANHO")</f>
        <v>GADANHO</v>
      </c>
      <c r="C34" s="32">
        <f>IFERROR(__xludf.DUMMYFUNCTION("""COMPUTED_VALUE"""),2.0)</f>
        <v>2</v>
      </c>
      <c r="D34" s="33" t="str">
        <f>IFERROR(__xludf.DUMMYFUNCTION("""COMPUTED_VALUE"""),"VIATURA")</f>
        <v>VIATURA</v>
      </c>
      <c r="E34" s="34" t="str">
        <f>IFERROR(__xludf.DUMMYFUNCTION("""COMPUTED_VALUE"""),"1 - ATB0722")</f>
        <v>1 - ATB0722</v>
      </c>
      <c r="F34" s="34" t="str">
        <f>IFERROR(__xludf.DUMMYFUNCTION("""COMPUTED_VALUE"""),"BOX SUPERIOR 01")</f>
        <v>BOX SUPERIOR 01</v>
      </c>
      <c r="G34" s="35">
        <f>IFERROR(__xludf.DUMMYFUNCTION("""COMPUTED_VALUE"""),45580.0)</f>
        <v>45580</v>
      </c>
      <c r="H34" s="34"/>
      <c r="I34" s="37"/>
    </row>
    <row r="35" ht="22.5" customHeight="1">
      <c r="A35" s="30">
        <f>IFERROR(__xludf.DUMMYFUNCTION("""COMPUTED_VALUE"""),352.0)</f>
        <v>352</v>
      </c>
      <c r="B35" s="39" t="str">
        <f>IFERROR(__xludf.DUMMYFUNCTION("""COMPUTED_VALUE"""),"GARFO COM 10 DENTES")</f>
        <v>GARFO COM 10 DENTES</v>
      </c>
      <c r="C35" s="32">
        <f>IFERROR(__xludf.DUMMYFUNCTION("""COMPUTED_VALUE"""),1.0)</f>
        <v>1</v>
      </c>
      <c r="D35" s="33" t="str">
        <f>IFERROR(__xludf.DUMMYFUNCTION("""COMPUTED_VALUE"""),"VIATURA")</f>
        <v>VIATURA</v>
      </c>
      <c r="E35" s="34" t="str">
        <f>IFERROR(__xludf.DUMMYFUNCTION("""COMPUTED_VALUE"""),"1 - ATB0722")</f>
        <v>1 - ATB0722</v>
      </c>
      <c r="F35" s="34" t="str">
        <f>IFERROR(__xludf.DUMMYFUNCTION("""COMPUTED_VALUE"""),"BOX SUPERIOR 01")</f>
        <v>BOX SUPERIOR 01</v>
      </c>
      <c r="G35" s="35">
        <f>IFERROR(__xludf.DUMMYFUNCTION("""COMPUTED_VALUE"""),45580.0)</f>
        <v>45580</v>
      </c>
      <c r="H35" s="34"/>
      <c r="I35" s="37"/>
    </row>
    <row r="36" ht="22.5" customHeight="1">
      <c r="A36" s="30">
        <f>IFERROR(__xludf.DUMMYFUNCTION("""COMPUTED_VALUE"""),357.0)</f>
        <v>357</v>
      </c>
      <c r="B36" s="40" t="str">
        <f>IFERROR(__xludf.DUMMYFUNCTION("""COMPUTED_VALUE"""),"MACHADO CABO COMPRIDO")</f>
        <v>MACHADO CABO COMPRIDO</v>
      </c>
      <c r="C36" s="32">
        <f>IFERROR(__xludf.DUMMYFUNCTION("""COMPUTED_VALUE"""),1.0)</f>
        <v>1</v>
      </c>
      <c r="D36" s="33" t="str">
        <f>IFERROR(__xludf.DUMMYFUNCTION("""COMPUTED_VALUE"""),"VIATURA")</f>
        <v>VIATURA</v>
      </c>
      <c r="E36" s="34" t="str">
        <f>IFERROR(__xludf.DUMMYFUNCTION("""COMPUTED_VALUE"""),"1 - ATB0722")</f>
        <v>1 - ATB0722</v>
      </c>
      <c r="F36" s="34" t="str">
        <f>IFERROR(__xludf.DUMMYFUNCTION("""COMPUTED_VALUE"""),"BOX SUPERIOR 01")</f>
        <v>BOX SUPERIOR 01</v>
      </c>
      <c r="G36" s="35">
        <f>IFERROR(__xludf.DUMMYFUNCTION("""COMPUTED_VALUE"""),45580.0)</f>
        <v>45580</v>
      </c>
      <c r="H36" s="34"/>
      <c r="I36" s="37"/>
    </row>
    <row r="37" ht="22.5" customHeight="1">
      <c r="A37" s="30">
        <f>IFERROR(__xludf.DUMMYFUNCTION("""COMPUTED_VALUE"""),358.0)</f>
        <v>358</v>
      </c>
      <c r="B37" s="31" t="str">
        <f>IFERROR(__xludf.DUMMYFUNCTION("""COMPUTED_VALUE"""),"MACHADO CABO CURTO")</f>
        <v>MACHADO CABO CURTO</v>
      </c>
      <c r="C37" s="32">
        <f>IFERROR(__xludf.DUMMYFUNCTION("""COMPUTED_VALUE"""),1.0)</f>
        <v>1</v>
      </c>
      <c r="D37" s="33" t="str">
        <f>IFERROR(__xludf.DUMMYFUNCTION("""COMPUTED_VALUE"""),"VIATURA")</f>
        <v>VIATURA</v>
      </c>
      <c r="E37" s="34" t="str">
        <f>IFERROR(__xludf.DUMMYFUNCTION("""COMPUTED_VALUE"""),"1 - ATB0722")</f>
        <v>1 - ATB0722</v>
      </c>
      <c r="F37" s="34" t="str">
        <f>IFERROR(__xludf.DUMMYFUNCTION("""COMPUTED_VALUE"""),"BOX SUPERIOR 01")</f>
        <v>BOX SUPERIOR 01</v>
      </c>
      <c r="G37" s="35">
        <f>IFERROR(__xludf.DUMMYFUNCTION("""COMPUTED_VALUE"""),45580.0)</f>
        <v>45580</v>
      </c>
      <c r="H37" s="34"/>
      <c r="I37" s="37"/>
    </row>
    <row r="38" ht="22.5" customHeight="1">
      <c r="A38" s="30">
        <f>IFERROR(__xludf.DUMMYFUNCTION("""COMPUTED_VALUE"""),356.0)</f>
        <v>356</v>
      </c>
      <c r="B38" s="31" t="str">
        <f>IFERROR(__xludf.DUMMYFUNCTION("""COMPUTED_VALUE"""),"PÁ DE BICO")</f>
        <v>PÁ DE BICO</v>
      </c>
      <c r="C38" s="32">
        <f>IFERROR(__xludf.DUMMYFUNCTION("""COMPUTED_VALUE"""),2.0)</f>
        <v>2</v>
      </c>
      <c r="D38" s="33" t="str">
        <f>IFERROR(__xludf.DUMMYFUNCTION("""COMPUTED_VALUE"""),"VIATURA")</f>
        <v>VIATURA</v>
      </c>
      <c r="E38" s="34" t="str">
        <f>IFERROR(__xludf.DUMMYFUNCTION("""COMPUTED_VALUE"""),"1 - ATB0722")</f>
        <v>1 - ATB0722</v>
      </c>
      <c r="F38" s="34" t="str">
        <f>IFERROR(__xludf.DUMMYFUNCTION("""COMPUTED_VALUE"""),"BOX SUPERIOR 01")</f>
        <v>BOX SUPERIOR 01</v>
      </c>
      <c r="G38" s="35">
        <f>IFERROR(__xludf.DUMMYFUNCTION("""COMPUTED_VALUE"""),45580.0)</f>
        <v>45580</v>
      </c>
      <c r="H38" s="34"/>
      <c r="I38" s="37"/>
    </row>
    <row r="39" ht="22.5" customHeight="1">
      <c r="A39" s="30">
        <f>IFERROR(__xludf.DUMMYFUNCTION("""COMPUTED_VALUE"""),333.0)</f>
        <v>333</v>
      </c>
      <c r="B39" s="31" t="str">
        <f>IFERROR(__xludf.DUMMYFUNCTION("""COMPUTED_VALUE"""),"BOTA DE BORRACHA 7 LÉGUAS")</f>
        <v>BOTA DE BORRACHA 7 LÉGUAS</v>
      </c>
      <c r="C39" s="32">
        <f>IFERROR(__xludf.DUMMYFUNCTION("""COMPUTED_VALUE"""),2.0)</f>
        <v>2</v>
      </c>
      <c r="D39" s="33" t="str">
        <f>IFERROR(__xludf.DUMMYFUNCTION("""COMPUTED_VALUE"""),"VIATURA")</f>
        <v>VIATURA</v>
      </c>
      <c r="E39" s="34" t="str">
        <f>IFERROR(__xludf.DUMMYFUNCTION("""COMPUTED_VALUE"""),"1 - ATB0722")</f>
        <v>1 - ATB0722</v>
      </c>
      <c r="F39" s="34" t="str">
        <f>IFERROR(__xludf.DUMMYFUNCTION("""COMPUTED_VALUE"""),"BOX TRASEIRO")</f>
        <v>BOX TRASEIRO</v>
      </c>
      <c r="G39" s="35">
        <f>IFERROR(__xludf.DUMMYFUNCTION("""COMPUTED_VALUE"""),45580.0)</f>
        <v>45580</v>
      </c>
      <c r="H39" s="34"/>
      <c r="I39" s="37"/>
    </row>
    <row r="40" ht="22.5" customHeight="1">
      <c r="A40" s="30">
        <f>IFERROR(__xludf.DUMMYFUNCTION("""COMPUTED_VALUE"""),336.0)</f>
        <v>336</v>
      </c>
      <c r="B40" s="31" t="str">
        <f>IFERROR(__xludf.DUMMYFUNCTION("""COMPUTED_VALUE"""),"CONE SINALEIRO")</f>
        <v>CONE SINALEIRO</v>
      </c>
      <c r="C40" s="32">
        <f>IFERROR(__xludf.DUMMYFUNCTION("""COMPUTED_VALUE"""),6.0)</f>
        <v>6</v>
      </c>
      <c r="D40" s="33" t="str">
        <f>IFERROR(__xludf.DUMMYFUNCTION("""COMPUTED_VALUE"""),"VIATURA")</f>
        <v>VIATURA</v>
      </c>
      <c r="E40" s="34" t="str">
        <f>IFERROR(__xludf.DUMMYFUNCTION("""COMPUTED_VALUE"""),"1 - ATB0722")</f>
        <v>1 - ATB0722</v>
      </c>
      <c r="F40" s="34" t="str">
        <f>IFERROR(__xludf.DUMMYFUNCTION("""COMPUTED_VALUE"""),"BOX TRASEIRO")</f>
        <v>BOX TRASEIRO</v>
      </c>
      <c r="G40" s="35">
        <f>IFERROR(__xludf.DUMMYFUNCTION("""COMPUTED_VALUE"""),45580.0)</f>
        <v>45580</v>
      </c>
      <c r="H40" s="34"/>
      <c r="I40" s="37"/>
    </row>
    <row r="41" ht="22.5" customHeight="1">
      <c r="A41" s="30">
        <f>IFERROR(__xludf.DUMMYFUNCTION("""COMPUTED_VALUE"""),335.0)</f>
        <v>335</v>
      </c>
      <c r="B41" s="31" t="str">
        <f>IFERROR(__xludf.DUMMYFUNCTION("""COMPUTED_VALUE"""),"LUVA DE AMIANTO")</f>
        <v>LUVA DE AMIANTO</v>
      </c>
      <c r="C41" s="32">
        <f>IFERROR(__xludf.DUMMYFUNCTION("""COMPUTED_VALUE"""),1.0)</f>
        <v>1</v>
      </c>
      <c r="D41" s="33" t="str">
        <f>IFERROR(__xludf.DUMMYFUNCTION("""COMPUTED_VALUE"""),"VIATURA")</f>
        <v>VIATURA</v>
      </c>
      <c r="E41" s="34" t="str">
        <f>IFERROR(__xludf.DUMMYFUNCTION("""COMPUTED_VALUE"""),"1 - ATB0722")</f>
        <v>1 - ATB0722</v>
      </c>
      <c r="F41" s="34" t="str">
        <f>IFERROR(__xludf.DUMMYFUNCTION("""COMPUTED_VALUE"""),"BOX TRASEIRO")</f>
        <v>BOX TRASEIRO</v>
      </c>
      <c r="G41" s="35">
        <f>IFERROR(__xludf.DUMMYFUNCTION("""COMPUTED_VALUE"""),45580.0)</f>
        <v>45580</v>
      </c>
      <c r="H41" s="34"/>
      <c r="I41" s="37"/>
    </row>
    <row r="42" ht="22.5" customHeight="1">
      <c r="A42" s="30">
        <f>IFERROR(__xludf.DUMMYFUNCTION("""COMPUTED_VALUE"""),334.0)</f>
        <v>334</v>
      </c>
      <c r="B42" s="31" t="str">
        <f>IFERROR(__xludf.DUMMYFUNCTION("""COMPUTED_VALUE"""),"LUVA DE RASPA")</f>
        <v>LUVA DE RASPA</v>
      </c>
      <c r="C42" s="32">
        <f>IFERROR(__xludf.DUMMYFUNCTION("""COMPUTED_VALUE"""),2.0)</f>
        <v>2</v>
      </c>
      <c r="D42" s="33" t="str">
        <f>IFERROR(__xludf.DUMMYFUNCTION("""COMPUTED_VALUE"""),"VIATURA")</f>
        <v>VIATURA</v>
      </c>
      <c r="E42" s="34" t="str">
        <f>IFERROR(__xludf.DUMMYFUNCTION("""COMPUTED_VALUE"""),"1 - ATB0722")</f>
        <v>1 - ATB0722</v>
      </c>
      <c r="F42" s="34" t="str">
        <f>IFERROR(__xludf.DUMMYFUNCTION("""COMPUTED_VALUE"""),"BOX TRASEIRO")</f>
        <v>BOX TRASEIRO</v>
      </c>
      <c r="G42" s="35">
        <f>IFERROR(__xludf.DUMMYFUNCTION("""COMPUTED_VALUE"""),45580.0)</f>
        <v>45580</v>
      </c>
      <c r="H42" s="34"/>
      <c r="I42" s="37"/>
    </row>
    <row r="43" ht="22.5" customHeight="1">
      <c r="A43" s="30">
        <f>IFERROR(__xludf.DUMMYFUNCTION("""COMPUTED_VALUE"""),324.0)</f>
        <v>324</v>
      </c>
      <c r="B43" s="31" t="str">
        <f>IFERROR(__xludf.DUMMYFUNCTION("""COMPUTED_VALUE"""),"CARTÃO DE ABASTECIMENTO")</f>
        <v>CARTÃO DE ABASTECIMENTO</v>
      </c>
      <c r="C43" s="32">
        <f>IFERROR(__xludf.DUMMYFUNCTION("""COMPUTED_VALUE"""),1.0)</f>
        <v>1</v>
      </c>
      <c r="D43" s="33" t="str">
        <f>IFERROR(__xludf.DUMMYFUNCTION("""COMPUTED_VALUE"""),"VIATURA")</f>
        <v>VIATURA</v>
      </c>
      <c r="E43" s="34" t="str">
        <f>IFERROR(__xludf.DUMMYFUNCTION("""COMPUTED_VALUE"""),"1 - ATB0722")</f>
        <v>1 - ATB0722</v>
      </c>
      <c r="F43" s="34" t="str">
        <f>IFERROR(__xludf.DUMMYFUNCTION("""COMPUTED_VALUE"""),"CABINE")</f>
        <v>CABINE</v>
      </c>
      <c r="G43" s="35">
        <f>IFERROR(__xludf.DUMMYFUNCTION("""COMPUTED_VALUE"""),45580.0)</f>
        <v>45580</v>
      </c>
      <c r="H43" s="34"/>
      <c r="I43" s="37"/>
    </row>
    <row r="44" ht="22.5" customHeight="1">
      <c r="A44" s="30">
        <f>IFERROR(__xludf.DUMMYFUNCTION("""COMPUTED_VALUE"""),320.0)</f>
        <v>320</v>
      </c>
      <c r="B44" s="31" t="str">
        <f>IFERROR(__xludf.DUMMYFUNCTION("""COMPUTED_VALUE"""),"EXTINTOR DE INCÊNDIO 2A 20BC")</f>
        <v>EXTINTOR DE INCÊNDIO 2A 20BC</v>
      </c>
      <c r="C44" s="32">
        <f>IFERROR(__xludf.DUMMYFUNCTION("""COMPUTED_VALUE"""),1.0)</f>
        <v>1</v>
      </c>
      <c r="D44" s="33" t="str">
        <f>IFERROR(__xludf.DUMMYFUNCTION("""COMPUTED_VALUE"""),"VIATURA")</f>
        <v>VIATURA</v>
      </c>
      <c r="E44" s="34" t="str">
        <f>IFERROR(__xludf.DUMMYFUNCTION("""COMPUTED_VALUE"""),"1 - ATB0722")</f>
        <v>1 - ATB0722</v>
      </c>
      <c r="F44" s="34" t="str">
        <f>IFERROR(__xludf.DUMMYFUNCTION("""COMPUTED_VALUE"""),"CABINE")</f>
        <v>CABINE</v>
      </c>
      <c r="G44" s="35"/>
      <c r="H44" s="34"/>
      <c r="I44" s="37"/>
    </row>
    <row r="45" ht="22.5" customHeight="1">
      <c r="A45" s="30">
        <f>IFERROR(__xludf.DUMMYFUNCTION("""COMPUTED_VALUE"""),322.0)</f>
        <v>322</v>
      </c>
      <c r="B45" s="31" t="str">
        <f>IFERROR(__xludf.DUMMYFUNCTION("""COMPUTED_VALUE"""),"FICHA DE ACIDENTE DE TRÂNSITO ")</f>
        <v>FICHA DE ACIDENTE DE TRÂNSITO </v>
      </c>
      <c r="C45" s="32">
        <f>IFERROR(__xludf.DUMMYFUNCTION("""COMPUTED_VALUE"""),1.0)</f>
        <v>1</v>
      </c>
      <c r="D45" s="33" t="str">
        <f>IFERROR(__xludf.DUMMYFUNCTION("""COMPUTED_VALUE"""),"VIATURA")</f>
        <v>VIATURA</v>
      </c>
      <c r="E45" s="78" t="str">
        <f>IFERROR(__xludf.DUMMYFUNCTION("""COMPUTED_VALUE"""),"1 - ATB0722")</f>
        <v>1 - ATB0722</v>
      </c>
      <c r="F45" s="34" t="str">
        <f>IFERROR(__xludf.DUMMYFUNCTION("""COMPUTED_VALUE"""),"CABINE")</f>
        <v>CABINE</v>
      </c>
      <c r="G45" s="35"/>
      <c r="H45" s="34"/>
      <c r="I45" s="37"/>
    </row>
    <row r="46" ht="22.5" customHeight="1">
      <c r="A46" s="30">
        <f>IFERROR(__xludf.DUMMYFUNCTION("""COMPUTED_VALUE"""),321.0)</f>
        <v>321</v>
      </c>
      <c r="B46" s="40" t="str">
        <f>IFERROR(__xludf.DUMMYFUNCTION("""COMPUTED_VALUE"""),"PASTA DE MOVIMENTAÇÃO DA VTR")</f>
        <v>PASTA DE MOVIMENTAÇÃO DA VTR</v>
      </c>
      <c r="C46" s="32">
        <f>IFERROR(__xludf.DUMMYFUNCTION("""COMPUTED_VALUE"""),1.0)</f>
        <v>1</v>
      </c>
      <c r="D46" s="33" t="str">
        <f>IFERROR(__xludf.DUMMYFUNCTION("""COMPUTED_VALUE"""),"VIATURA")</f>
        <v>VIATURA</v>
      </c>
      <c r="E46" s="34" t="str">
        <f>IFERROR(__xludf.DUMMYFUNCTION("""COMPUTED_VALUE"""),"1 - ATB0722")</f>
        <v>1 - ATB0722</v>
      </c>
      <c r="F46" s="34" t="str">
        <f>IFERROR(__xludf.DUMMYFUNCTION("""COMPUTED_VALUE"""),"CABINE")</f>
        <v>CABINE</v>
      </c>
      <c r="G46" s="35"/>
      <c r="H46" s="34"/>
      <c r="I46" s="37"/>
    </row>
    <row r="47" ht="22.5" customHeight="1">
      <c r="A47" s="30">
        <f>IFERROR(__xludf.DUMMYFUNCTION("""COMPUTED_VALUE"""),323.0)</f>
        <v>323</v>
      </c>
      <c r="B47" s="31" t="str">
        <f>IFERROR(__xludf.DUMMYFUNCTION("""COMPUTED_VALUE"""),"RÁDIO MOTOROLA")</f>
        <v>RÁDIO MOTOROLA</v>
      </c>
      <c r="C47" s="32">
        <f>IFERROR(__xludf.DUMMYFUNCTION("""COMPUTED_VALUE"""),1.0)</f>
        <v>1</v>
      </c>
      <c r="D47" s="33" t="str">
        <f>IFERROR(__xludf.DUMMYFUNCTION("""COMPUTED_VALUE"""),"VIATURA")</f>
        <v>VIATURA</v>
      </c>
      <c r="E47" s="34" t="str">
        <f>IFERROR(__xludf.DUMMYFUNCTION("""COMPUTED_VALUE"""),"1 - ATB0722")</f>
        <v>1 - ATB0722</v>
      </c>
      <c r="F47" s="34" t="str">
        <f>IFERROR(__xludf.DUMMYFUNCTION("""COMPUTED_VALUE"""),"CABINE")</f>
        <v>CABINE</v>
      </c>
      <c r="G47" s="35"/>
      <c r="H47" s="34"/>
      <c r="I47" s="37"/>
    </row>
    <row r="48" ht="22.5" customHeight="1">
      <c r="A48" s="30">
        <f>IFERROR(__xludf.DUMMYFUNCTION("""COMPUTED_VALUE"""),319.0)</f>
        <v>319</v>
      </c>
      <c r="B48" s="31" t="str">
        <f>IFERROR(__xludf.DUMMYFUNCTION("""COMPUTED_VALUE"""),"TRIÂNGULO DE SINALIZAÇÃO")</f>
        <v>TRIÂNGULO DE SINALIZAÇÃO</v>
      </c>
      <c r="C48" s="32">
        <f>IFERROR(__xludf.DUMMYFUNCTION("""COMPUTED_VALUE"""),1.0)</f>
        <v>1</v>
      </c>
      <c r="D48" s="33" t="str">
        <f>IFERROR(__xludf.DUMMYFUNCTION("""COMPUTED_VALUE"""),"VIATURA")</f>
        <v>VIATURA</v>
      </c>
      <c r="E48" s="34" t="str">
        <f>IFERROR(__xludf.DUMMYFUNCTION("""COMPUTED_VALUE"""),"1 - ATB0722")</f>
        <v>1 - ATB0722</v>
      </c>
      <c r="F48" s="34" t="str">
        <f>IFERROR(__xludf.DUMMYFUNCTION("""COMPUTED_VALUE"""),"CABINE")</f>
        <v>CABINE</v>
      </c>
      <c r="G48" s="35"/>
      <c r="H48" s="34"/>
      <c r="I48" s="37"/>
    </row>
    <row r="49" ht="22.5" customHeight="1">
      <c r="A49" s="30">
        <f>IFERROR(__xludf.DUMMYFUNCTION("""COMPUTED_VALUE"""),759.0)</f>
        <v>759</v>
      </c>
      <c r="B49" s="31" t="str">
        <f>IFERROR(__xludf.DUMMYFUNCTION("""COMPUTED_VALUE"""),"CALÇO PARA VIATURA (FERRO)")</f>
        <v>CALÇO PARA VIATURA (FERRO)</v>
      </c>
      <c r="C49" s="32">
        <f>IFERROR(__xludf.DUMMYFUNCTION("""COMPUTED_VALUE"""),1.0)</f>
        <v>1</v>
      </c>
      <c r="D49" s="33" t="str">
        <f>IFERROR(__xludf.DUMMYFUNCTION("""COMPUTED_VALUE"""),"VIATURA")</f>
        <v>VIATURA</v>
      </c>
      <c r="E49" s="34" t="str">
        <f>IFERROR(__xludf.DUMMYFUNCTION("""COMPUTED_VALUE"""),"1 - ATB0722")</f>
        <v>1 - ATB0722</v>
      </c>
      <c r="F49" s="34"/>
      <c r="G49" s="35"/>
      <c r="H49" s="34"/>
      <c r="I49" s="37"/>
    </row>
    <row r="50" ht="22.5" customHeight="1">
      <c r="A50" s="30">
        <f>IFERROR(__xludf.DUMMYFUNCTION("""COMPUTED_VALUE"""),1210.0)</f>
        <v>1210</v>
      </c>
      <c r="B50" s="40" t="str">
        <f>IFERROR(__xludf.DUMMYFUNCTION("""COMPUTED_VALUE"""),"TANQUE PARA CAMINHAO -")</f>
        <v>TANQUE PARA CAMINHAO -</v>
      </c>
      <c r="C50" s="32">
        <f>IFERROR(__xludf.DUMMYFUNCTION("""COMPUTED_VALUE"""),1.0)</f>
        <v>1</v>
      </c>
      <c r="D50" s="33" t="str">
        <f>IFERROR(__xludf.DUMMYFUNCTION("""COMPUTED_VALUE"""),"VIATURA")</f>
        <v>VIATURA</v>
      </c>
      <c r="E50" s="34" t="str">
        <f>IFERROR(__xludf.DUMMYFUNCTION("""COMPUTED_VALUE"""),"1 - ATB0722")</f>
        <v>1 - ATB0722</v>
      </c>
      <c r="F50" s="34"/>
      <c r="G50" s="35">
        <f>IFERROR(__xludf.DUMMYFUNCTION("""COMPUTED_VALUE"""),1.3989626E7)</f>
        <v>13989626</v>
      </c>
      <c r="H50" s="34"/>
      <c r="I50" s="37" t="str">
        <f>IFERROR(__xludf.DUMMYFUNCTION("""COMPUTED_VALUE"""),"IMPLEMENTO.")</f>
        <v>IMPLEMENTO.</v>
      </c>
    </row>
    <row r="51" ht="22.5" customHeight="1">
      <c r="A51" s="30"/>
      <c r="B51" s="31"/>
      <c r="C51" s="32"/>
      <c r="D51" s="33"/>
      <c r="E51" s="34"/>
      <c r="F51" s="34"/>
      <c r="G51" s="35"/>
      <c r="H51" s="34"/>
      <c r="I51" s="37"/>
    </row>
    <row r="52" ht="22.5" customHeight="1">
      <c r="A52" s="30"/>
      <c r="B52" s="31"/>
      <c r="C52" s="32"/>
      <c r="D52" s="33"/>
      <c r="E52" s="34"/>
      <c r="F52" s="34"/>
      <c r="G52" s="35"/>
      <c r="H52" s="34"/>
      <c r="I52" s="37"/>
    </row>
    <row r="53" ht="22.5" customHeight="1">
      <c r="A53" s="30"/>
      <c r="B53" s="31"/>
      <c r="C53" s="32"/>
      <c r="D53" s="33"/>
      <c r="E53" s="34"/>
      <c r="F53" s="34"/>
      <c r="G53" s="35"/>
      <c r="H53" s="34"/>
      <c r="I53" s="37"/>
    </row>
    <row r="54" ht="22.5" customHeight="1">
      <c r="A54" s="30"/>
      <c r="B54" s="31"/>
      <c r="C54" s="32"/>
      <c r="D54" s="33"/>
      <c r="E54" s="34"/>
      <c r="F54" s="34"/>
      <c r="G54" s="35"/>
      <c r="H54" s="34"/>
      <c r="I54" s="37"/>
    </row>
    <row r="55" ht="22.5" customHeight="1">
      <c r="A55" s="30"/>
      <c r="B55" s="31"/>
      <c r="C55" s="32"/>
      <c r="D55" s="33"/>
      <c r="E55" s="34"/>
      <c r="F55" s="34"/>
      <c r="G55" s="35"/>
      <c r="H55" s="34"/>
      <c r="I55" s="37"/>
    </row>
    <row r="56" ht="22.5" customHeight="1">
      <c r="A56" s="30"/>
      <c r="B56" s="31"/>
      <c r="C56" s="32"/>
      <c r="D56" s="33"/>
      <c r="E56" s="34"/>
      <c r="F56" s="34"/>
      <c r="G56" s="35"/>
      <c r="H56" s="34"/>
      <c r="I56" s="37"/>
    </row>
    <row r="57" ht="22.5" customHeight="1">
      <c r="A57" s="30"/>
      <c r="B57" s="31"/>
      <c r="C57" s="32"/>
      <c r="D57" s="33"/>
      <c r="E57" s="34"/>
      <c r="F57" s="34"/>
      <c r="G57" s="35"/>
      <c r="H57" s="34"/>
      <c r="I57" s="37"/>
    </row>
    <row r="58" ht="22.5" customHeight="1">
      <c r="A58" s="30"/>
      <c r="B58" s="31"/>
      <c r="C58" s="32"/>
      <c r="D58" s="33"/>
      <c r="E58" s="34"/>
      <c r="F58" s="34"/>
      <c r="G58" s="35"/>
      <c r="H58" s="34"/>
      <c r="I58" s="37"/>
    </row>
    <row r="59" ht="22.5" customHeight="1">
      <c r="A59" s="30"/>
      <c r="B59" s="31"/>
      <c r="C59" s="32"/>
      <c r="D59" s="33"/>
      <c r="E59" s="34"/>
      <c r="F59" s="34"/>
      <c r="G59" s="35"/>
      <c r="H59" s="34"/>
      <c r="I59" s="37"/>
    </row>
    <row r="60" ht="22.5" customHeight="1">
      <c r="A60" s="30"/>
      <c r="B60" s="31"/>
      <c r="C60" s="32"/>
      <c r="D60" s="33"/>
      <c r="E60" s="34"/>
      <c r="F60" s="34"/>
      <c r="G60" s="35"/>
      <c r="H60" s="34"/>
      <c r="I60" s="37"/>
    </row>
    <row r="61" ht="22.5" customHeight="1">
      <c r="A61" s="30"/>
      <c r="B61" s="31"/>
      <c r="C61" s="32"/>
      <c r="D61" s="33"/>
      <c r="E61" s="34"/>
      <c r="F61" s="34"/>
      <c r="G61" s="35"/>
      <c r="H61" s="34"/>
      <c r="I61" s="37"/>
    </row>
    <row r="62" ht="22.5" customHeight="1">
      <c r="A62" s="30"/>
      <c r="B62" s="31"/>
      <c r="C62" s="32"/>
      <c r="D62" s="33"/>
      <c r="E62" s="34"/>
      <c r="F62" s="34"/>
      <c r="G62" s="35"/>
      <c r="H62" s="34"/>
      <c r="I62" s="37"/>
    </row>
    <row r="63" ht="22.5" customHeight="1">
      <c r="A63" s="30"/>
      <c r="B63" s="31"/>
      <c r="C63" s="32"/>
      <c r="D63" s="33"/>
      <c r="E63" s="34"/>
      <c r="F63" s="34"/>
      <c r="G63" s="35"/>
      <c r="H63" s="34"/>
      <c r="I63" s="37"/>
    </row>
    <row r="64" ht="22.5" customHeight="1">
      <c r="A64" s="30"/>
      <c r="B64" s="31"/>
      <c r="C64" s="32"/>
      <c r="D64" s="33"/>
      <c r="E64" s="34"/>
      <c r="F64" s="34"/>
      <c r="G64" s="35"/>
      <c r="H64" s="34"/>
      <c r="I64" s="37"/>
    </row>
    <row r="65" ht="22.5" customHeight="1">
      <c r="A65" s="30"/>
      <c r="B65" s="40"/>
      <c r="C65" s="32"/>
      <c r="D65" s="33"/>
      <c r="E65" s="34"/>
      <c r="F65" s="34"/>
      <c r="G65" s="35"/>
      <c r="H65" s="34"/>
      <c r="I65" s="37"/>
    </row>
    <row r="66" ht="22.5" customHeight="1">
      <c r="A66" s="30"/>
      <c r="B66" s="31"/>
      <c r="C66" s="32"/>
      <c r="D66" s="33"/>
      <c r="E66" s="34"/>
      <c r="F66" s="34"/>
      <c r="G66" s="35"/>
      <c r="H66" s="34"/>
      <c r="I66" s="37"/>
    </row>
    <row r="67" ht="22.5" customHeight="1">
      <c r="A67" s="30"/>
      <c r="B67" s="40"/>
      <c r="C67" s="32"/>
      <c r="D67" s="33"/>
      <c r="E67" s="34"/>
      <c r="F67" s="34"/>
      <c r="G67" s="35"/>
      <c r="H67" s="34"/>
      <c r="I67" s="37"/>
    </row>
    <row r="68" ht="22.5" customHeight="1">
      <c r="A68" s="30"/>
      <c r="B68" s="31"/>
      <c r="C68" s="32"/>
      <c r="D68" s="33"/>
      <c r="E68" s="34"/>
      <c r="F68" s="34"/>
      <c r="G68" s="35"/>
      <c r="H68" s="34"/>
      <c r="I68" s="37"/>
    </row>
    <row r="69" ht="22.5" customHeight="1">
      <c r="A69" s="30"/>
      <c r="B69" s="31"/>
      <c r="C69" s="32"/>
      <c r="D69" s="33"/>
      <c r="E69" s="34"/>
      <c r="F69" s="34"/>
      <c r="G69" s="35"/>
      <c r="H69" s="34"/>
      <c r="I69" s="37"/>
    </row>
    <row r="70" ht="22.5" customHeight="1">
      <c r="A70" s="30"/>
      <c r="B70" s="31"/>
      <c r="C70" s="32"/>
      <c r="D70" s="33"/>
      <c r="E70" s="34"/>
      <c r="F70" s="34"/>
      <c r="G70" s="35"/>
      <c r="H70" s="34"/>
      <c r="I70" s="37"/>
    </row>
    <row r="71" ht="22.5" customHeight="1">
      <c r="A71" s="30"/>
      <c r="B71" s="31"/>
      <c r="C71" s="32"/>
      <c r="D71" s="33"/>
      <c r="E71" s="34"/>
      <c r="F71" s="34"/>
      <c r="G71" s="35"/>
      <c r="H71" s="34"/>
      <c r="I71" s="37"/>
    </row>
    <row r="72" ht="22.5" customHeight="1">
      <c r="A72" s="30"/>
      <c r="B72" s="40"/>
      <c r="C72" s="32"/>
      <c r="D72" s="33"/>
      <c r="E72" s="34"/>
      <c r="F72" s="34"/>
      <c r="G72" s="35"/>
      <c r="H72" s="34"/>
      <c r="I72" s="37"/>
    </row>
    <row r="73" ht="22.5" customHeight="1">
      <c r="A73" s="30"/>
      <c r="B73" s="31"/>
      <c r="C73" s="32"/>
      <c r="D73" s="33"/>
      <c r="E73" s="34"/>
      <c r="F73" s="34"/>
      <c r="G73" s="35"/>
      <c r="H73" s="34"/>
      <c r="I73" s="37"/>
    </row>
    <row r="74" ht="22.5" customHeight="1">
      <c r="A74" s="30"/>
      <c r="B74" s="31"/>
      <c r="C74" s="32"/>
      <c r="D74" s="33"/>
      <c r="E74" s="34"/>
      <c r="F74" s="34"/>
      <c r="G74" s="35"/>
      <c r="H74" s="34"/>
      <c r="I74" s="37"/>
    </row>
    <row r="75" ht="22.5" customHeight="1">
      <c r="A75" s="30"/>
      <c r="B75" s="31"/>
      <c r="C75" s="32"/>
      <c r="D75" s="33"/>
      <c r="E75" s="34"/>
      <c r="F75" s="34"/>
      <c r="G75" s="35"/>
      <c r="H75" s="34"/>
      <c r="I75" s="37"/>
    </row>
    <row r="76" ht="22.5" customHeight="1">
      <c r="A76" s="30"/>
      <c r="B76" s="31"/>
      <c r="C76" s="32"/>
      <c r="D76" s="33"/>
      <c r="E76" s="34"/>
      <c r="F76" s="34"/>
      <c r="G76" s="35"/>
      <c r="H76" s="34"/>
      <c r="I76" s="37"/>
    </row>
    <row r="77" ht="22.5" customHeight="1">
      <c r="A77" s="30"/>
      <c r="B77" s="31"/>
      <c r="C77" s="32"/>
      <c r="D77" s="33"/>
      <c r="E77" s="34"/>
      <c r="F77" s="34"/>
      <c r="G77" s="35"/>
      <c r="H77" s="34"/>
      <c r="I77" s="37"/>
    </row>
    <row r="78" ht="22.5" customHeight="1">
      <c r="A78" s="30"/>
      <c r="B78" s="31"/>
      <c r="C78" s="32"/>
      <c r="D78" s="33"/>
      <c r="E78" s="34"/>
      <c r="F78" s="34"/>
      <c r="G78" s="35"/>
      <c r="H78" s="34"/>
      <c r="I78" s="37"/>
    </row>
    <row r="79" ht="22.5" customHeight="1">
      <c r="A79" s="30"/>
      <c r="B79" s="31"/>
      <c r="C79" s="32"/>
      <c r="D79" s="33"/>
      <c r="E79" s="34"/>
      <c r="F79" s="34"/>
      <c r="G79" s="35"/>
      <c r="H79" s="34"/>
      <c r="I79" s="37"/>
    </row>
    <row r="80" ht="22.5" customHeight="1">
      <c r="A80" s="30"/>
      <c r="B80" s="31"/>
      <c r="C80" s="32"/>
      <c r="D80" s="33"/>
      <c r="E80" s="34"/>
      <c r="F80" s="34"/>
      <c r="G80" s="35"/>
      <c r="H80" s="34"/>
      <c r="I80" s="37"/>
    </row>
    <row r="81" ht="22.5" customHeight="1">
      <c r="A81" s="30"/>
      <c r="B81" s="31"/>
      <c r="C81" s="32"/>
      <c r="D81" s="33"/>
      <c r="E81" s="34"/>
      <c r="F81" s="34"/>
      <c r="G81" s="35"/>
      <c r="H81" s="34"/>
      <c r="I81" s="37"/>
    </row>
    <row r="82" ht="22.5" customHeight="1">
      <c r="A82" s="30"/>
      <c r="B82" s="31"/>
      <c r="C82" s="32"/>
      <c r="D82" s="33"/>
      <c r="E82" s="34"/>
      <c r="F82" s="34"/>
      <c r="G82" s="35"/>
      <c r="H82" s="34"/>
      <c r="I82" s="37"/>
    </row>
    <row r="83" ht="22.5" customHeight="1">
      <c r="A83" s="30"/>
      <c r="B83" s="31"/>
      <c r="C83" s="32"/>
      <c r="D83" s="33"/>
      <c r="E83" s="34"/>
      <c r="F83" s="34"/>
      <c r="G83" s="35"/>
      <c r="H83" s="34"/>
      <c r="I83" s="37"/>
    </row>
    <row r="84" ht="22.5" customHeight="1">
      <c r="A84" s="30"/>
      <c r="B84" s="31"/>
      <c r="C84" s="32"/>
      <c r="D84" s="33"/>
      <c r="E84" s="34"/>
      <c r="F84" s="34"/>
      <c r="G84" s="35"/>
      <c r="H84" s="34"/>
      <c r="I84" s="37"/>
    </row>
    <row r="85" ht="22.5" customHeight="1">
      <c r="A85" s="30"/>
      <c r="B85" s="31"/>
      <c r="C85" s="32"/>
      <c r="D85" s="33"/>
      <c r="E85" s="34"/>
      <c r="F85" s="34"/>
      <c r="G85" s="35"/>
      <c r="H85" s="34"/>
      <c r="I85" s="37"/>
    </row>
    <row r="86" ht="22.5" customHeight="1">
      <c r="A86" s="30"/>
      <c r="B86" s="31"/>
      <c r="C86" s="32"/>
      <c r="D86" s="33"/>
      <c r="E86" s="34"/>
      <c r="F86" s="34"/>
      <c r="G86" s="35"/>
      <c r="H86" s="34"/>
      <c r="I86" s="37"/>
    </row>
    <row r="87" ht="22.5" customHeight="1">
      <c r="A87" s="30"/>
      <c r="B87" s="31"/>
      <c r="C87" s="32"/>
      <c r="D87" s="33"/>
      <c r="E87" s="34"/>
      <c r="F87" s="34"/>
      <c r="G87" s="35"/>
      <c r="H87" s="34"/>
      <c r="I87" s="37"/>
    </row>
    <row r="88" ht="22.5" customHeight="1">
      <c r="A88" s="30"/>
      <c r="B88" s="31"/>
      <c r="C88" s="32"/>
      <c r="D88" s="33"/>
      <c r="E88" s="34"/>
      <c r="F88" s="34"/>
      <c r="G88" s="35"/>
      <c r="H88" s="34"/>
      <c r="I88" s="37"/>
    </row>
    <row r="89" ht="22.5" customHeight="1">
      <c r="A89" s="30"/>
      <c r="B89" s="31"/>
      <c r="C89" s="32"/>
      <c r="D89" s="33"/>
      <c r="E89" s="34"/>
      <c r="F89" s="34"/>
      <c r="G89" s="35"/>
      <c r="H89" s="34"/>
      <c r="I89" s="37"/>
    </row>
    <row r="90" ht="22.5" customHeight="1">
      <c r="A90" s="30"/>
      <c r="B90" s="31"/>
      <c r="C90" s="32"/>
      <c r="D90" s="33"/>
      <c r="E90" s="34"/>
      <c r="F90" s="34"/>
      <c r="G90" s="35"/>
      <c r="H90" s="34"/>
      <c r="I90" s="37"/>
    </row>
    <row r="91" ht="22.5" customHeight="1">
      <c r="A91" s="30"/>
      <c r="B91" s="31"/>
      <c r="C91" s="32"/>
      <c r="D91" s="33"/>
      <c r="E91" s="34"/>
      <c r="F91" s="34"/>
      <c r="G91" s="35"/>
      <c r="H91" s="34"/>
      <c r="I91" s="37"/>
    </row>
    <row r="92" ht="22.5" customHeight="1">
      <c r="A92" s="30"/>
      <c r="B92" s="31"/>
      <c r="C92" s="32"/>
      <c r="D92" s="33"/>
      <c r="E92" s="34"/>
      <c r="F92" s="34"/>
      <c r="G92" s="35"/>
      <c r="H92" s="34"/>
      <c r="I92" s="37"/>
    </row>
    <row r="93" ht="22.5" customHeight="1">
      <c r="A93" s="30"/>
      <c r="B93" s="31"/>
      <c r="C93" s="32"/>
      <c r="D93" s="33"/>
      <c r="E93" s="34"/>
      <c r="F93" s="34"/>
      <c r="G93" s="35"/>
      <c r="H93" s="34"/>
      <c r="I93" s="37"/>
    </row>
    <row r="94" ht="22.5" customHeight="1">
      <c r="A94" s="30"/>
      <c r="B94" s="40"/>
      <c r="C94" s="32"/>
      <c r="D94" s="33"/>
      <c r="E94" s="34"/>
      <c r="F94" s="34"/>
      <c r="G94" s="35"/>
      <c r="H94" s="34"/>
      <c r="I94" s="37"/>
    </row>
    <row r="95" ht="22.5" customHeight="1">
      <c r="A95" s="30"/>
      <c r="B95" s="31"/>
      <c r="C95" s="32"/>
      <c r="D95" s="33"/>
      <c r="E95" s="34"/>
      <c r="F95" s="34"/>
      <c r="G95" s="35"/>
      <c r="H95" s="34"/>
      <c r="I95" s="37"/>
    </row>
    <row r="96" ht="22.5" customHeight="1">
      <c r="A96" s="30"/>
      <c r="B96" s="31"/>
      <c r="C96" s="32"/>
      <c r="D96" s="33"/>
      <c r="E96" s="34"/>
      <c r="F96" s="34"/>
      <c r="G96" s="35"/>
      <c r="H96" s="34"/>
      <c r="I96" s="37"/>
    </row>
    <row r="97" ht="22.5" customHeight="1">
      <c r="A97" s="30"/>
      <c r="B97" s="31"/>
      <c r="C97" s="32"/>
      <c r="D97" s="33"/>
      <c r="E97" s="34"/>
      <c r="F97" s="34"/>
      <c r="G97" s="35"/>
      <c r="H97" s="34"/>
      <c r="I97" s="37"/>
    </row>
    <row r="98" ht="22.5" customHeight="1">
      <c r="A98" s="30"/>
      <c r="B98" s="31"/>
      <c r="C98" s="32"/>
      <c r="D98" s="33"/>
      <c r="E98" s="34"/>
      <c r="F98" s="34"/>
      <c r="G98" s="35"/>
      <c r="H98" s="34"/>
      <c r="I98" s="38"/>
    </row>
    <row r="99" ht="22.5" customHeight="1">
      <c r="A99" s="30"/>
      <c r="B99" s="39"/>
      <c r="C99" s="32"/>
      <c r="D99" s="33"/>
      <c r="E99" s="34"/>
      <c r="F99" s="34"/>
      <c r="G99" s="35"/>
      <c r="H99" s="34"/>
      <c r="I99" s="37"/>
    </row>
    <row r="100" ht="22.5" customHeight="1">
      <c r="A100" s="30"/>
      <c r="B100" s="31"/>
      <c r="C100" s="32"/>
      <c r="D100" s="33"/>
      <c r="E100" s="34"/>
      <c r="F100" s="34"/>
      <c r="G100" s="35"/>
      <c r="H100" s="34"/>
      <c r="I100" s="37"/>
    </row>
    <row r="101" ht="22.5" customHeight="1">
      <c r="A101" s="30"/>
      <c r="B101" s="31"/>
      <c r="C101" s="32"/>
      <c r="D101" s="33"/>
      <c r="E101" s="34"/>
      <c r="F101" s="34"/>
      <c r="G101" s="35"/>
      <c r="H101" s="34"/>
      <c r="I101" s="37"/>
    </row>
    <row r="102" ht="22.5" customHeight="1">
      <c r="A102" s="30"/>
      <c r="B102" s="31"/>
      <c r="C102" s="32"/>
      <c r="D102" s="33"/>
      <c r="E102" s="34"/>
      <c r="F102" s="34"/>
      <c r="G102" s="35"/>
      <c r="H102" s="34"/>
      <c r="I102" s="37"/>
    </row>
    <row r="103" ht="22.5" customHeight="1">
      <c r="A103" s="30"/>
      <c r="B103" s="39"/>
      <c r="C103" s="32"/>
      <c r="D103" s="33"/>
      <c r="E103" s="34"/>
      <c r="F103" s="34"/>
      <c r="G103" s="35"/>
      <c r="H103" s="34"/>
      <c r="I103" s="37"/>
    </row>
    <row r="104" ht="22.5" customHeight="1">
      <c r="A104" s="30"/>
      <c r="B104" s="31"/>
      <c r="C104" s="32"/>
      <c r="D104" s="33"/>
      <c r="E104" s="34"/>
      <c r="F104" s="34"/>
      <c r="G104" s="35"/>
      <c r="H104" s="34"/>
      <c r="I104" s="37"/>
    </row>
    <row r="105" ht="22.5" customHeight="1">
      <c r="A105" s="30"/>
      <c r="B105" s="39"/>
      <c r="C105" s="32"/>
      <c r="D105" s="33"/>
      <c r="E105" s="34"/>
      <c r="F105" s="34"/>
      <c r="G105" s="35"/>
      <c r="H105" s="34"/>
      <c r="I105" s="37"/>
    </row>
    <row r="106" ht="22.5" customHeight="1">
      <c r="A106" s="30"/>
      <c r="B106" s="31"/>
      <c r="C106" s="32"/>
      <c r="D106" s="33"/>
      <c r="E106" s="34"/>
      <c r="F106" s="34"/>
      <c r="G106" s="35"/>
      <c r="H106" s="34"/>
      <c r="I106" s="37"/>
    </row>
    <row r="107" ht="22.5" customHeight="1">
      <c r="A107" s="30"/>
      <c r="B107" s="31"/>
      <c r="C107" s="32"/>
      <c r="D107" s="33"/>
      <c r="E107" s="34"/>
      <c r="F107" s="34"/>
      <c r="G107" s="35"/>
      <c r="H107" s="34"/>
      <c r="I107" s="37"/>
    </row>
    <row r="108" ht="22.5" customHeight="1">
      <c r="A108" s="30"/>
      <c r="B108" s="31"/>
      <c r="C108" s="32"/>
      <c r="D108" s="33"/>
      <c r="E108" s="34"/>
      <c r="F108" s="34"/>
      <c r="G108" s="35"/>
      <c r="H108" s="34"/>
      <c r="I108" s="37"/>
    </row>
    <row r="109" ht="22.5" customHeight="1">
      <c r="A109" s="30"/>
      <c r="B109" s="31"/>
      <c r="C109" s="32"/>
      <c r="D109" s="33"/>
      <c r="E109" s="34"/>
      <c r="F109" s="34"/>
      <c r="G109" s="35"/>
      <c r="H109" s="34"/>
      <c r="I109" s="37"/>
    </row>
    <row r="110" ht="22.5" customHeight="1">
      <c r="A110" s="30"/>
      <c r="B110" s="31"/>
      <c r="C110" s="32"/>
      <c r="D110" s="33"/>
      <c r="E110" s="34"/>
      <c r="F110" s="34"/>
      <c r="G110" s="35"/>
      <c r="H110" s="34"/>
      <c r="I110" s="37"/>
    </row>
    <row r="111" ht="22.5" customHeight="1">
      <c r="A111" s="30"/>
      <c r="B111" s="31"/>
      <c r="C111" s="32"/>
      <c r="D111" s="33"/>
      <c r="E111" s="34"/>
      <c r="F111" s="34"/>
      <c r="G111" s="35"/>
      <c r="H111" s="34"/>
      <c r="I111" s="37"/>
    </row>
    <row r="112" ht="22.5" customHeight="1">
      <c r="A112" s="30"/>
      <c r="B112" s="31"/>
      <c r="C112" s="32"/>
      <c r="D112" s="33"/>
      <c r="E112" s="34"/>
      <c r="F112" s="34"/>
      <c r="G112" s="35"/>
      <c r="H112" s="34"/>
      <c r="I112" s="37"/>
    </row>
    <row r="113" ht="22.5" customHeight="1">
      <c r="A113" s="30"/>
      <c r="B113" s="31"/>
      <c r="C113" s="32"/>
      <c r="D113" s="33"/>
      <c r="E113" s="34"/>
      <c r="F113" s="34"/>
      <c r="G113" s="35"/>
      <c r="H113" s="34"/>
      <c r="I113" s="37"/>
    </row>
    <row r="114" ht="22.5" customHeight="1">
      <c r="A114" s="30"/>
      <c r="B114" s="31"/>
      <c r="C114" s="32"/>
      <c r="D114" s="33"/>
      <c r="E114" s="34"/>
      <c r="F114" s="34"/>
      <c r="G114" s="35"/>
      <c r="H114" s="34"/>
      <c r="I114" s="37"/>
    </row>
    <row r="115" ht="22.5" customHeight="1">
      <c r="A115" s="30"/>
      <c r="B115" s="31"/>
      <c r="C115" s="32"/>
      <c r="D115" s="33"/>
      <c r="E115" s="34"/>
      <c r="F115" s="34"/>
      <c r="G115" s="35"/>
      <c r="H115" s="34"/>
      <c r="I115" s="37"/>
    </row>
    <row r="116" ht="22.5" customHeight="1">
      <c r="A116" s="30"/>
      <c r="B116" s="40"/>
      <c r="C116" s="32"/>
      <c r="D116" s="33"/>
      <c r="E116" s="34"/>
      <c r="F116" s="34"/>
      <c r="G116" s="35"/>
      <c r="H116" s="34"/>
      <c r="I116" s="37"/>
    </row>
    <row r="117" ht="22.5" customHeight="1">
      <c r="A117" s="30"/>
      <c r="B117" s="31"/>
      <c r="C117" s="32"/>
      <c r="D117" s="33"/>
      <c r="E117" s="34"/>
      <c r="F117" s="34"/>
      <c r="G117" s="35"/>
      <c r="H117" s="34"/>
      <c r="I117" s="37"/>
    </row>
    <row r="118" ht="22.5" customHeight="1">
      <c r="A118" s="30"/>
      <c r="B118" s="31"/>
      <c r="C118" s="32"/>
      <c r="D118" s="33"/>
      <c r="E118" s="34"/>
      <c r="F118" s="34"/>
      <c r="G118" s="35"/>
      <c r="H118" s="34"/>
      <c r="I118" s="37"/>
    </row>
    <row r="119" ht="22.5" customHeight="1">
      <c r="A119" s="30"/>
      <c r="B119" s="31"/>
      <c r="C119" s="32"/>
      <c r="D119" s="33"/>
      <c r="E119" s="34"/>
      <c r="F119" s="34"/>
      <c r="G119" s="35"/>
      <c r="H119" s="34"/>
      <c r="I119" s="37"/>
    </row>
    <row r="120" ht="22.5" customHeight="1">
      <c r="A120" s="30"/>
      <c r="B120" s="31"/>
      <c r="C120" s="32"/>
      <c r="D120" s="33"/>
      <c r="E120" s="34"/>
      <c r="F120" s="34"/>
      <c r="G120" s="35"/>
      <c r="H120" s="34"/>
      <c r="I120" s="37"/>
    </row>
    <row r="121" ht="22.5" customHeight="1">
      <c r="A121" s="30"/>
      <c r="B121" s="31"/>
      <c r="C121" s="32"/>
      <c r="D121" s="33"/>
      <c r="E121" s="34"/>
      <c r="F121" s="34"/>
      <c r="G121" s="35"/>
      <c r="H121" s="34"/>
      <c r="I121" s="37"/>
    </row>
    <row r="122" ht="22.5" customHeight="1">
      <c r="A122" s="30"/>
      <c r="B122" s="31"/>
      <c r="C122" s="32"/>
      <c r="D122" s="33"/>
      <c r="E122" s="34"/>
      <c r="F122" s="34"/>
      <c r="G122" s="35"/>
      <c r="H122" s="34"/>
      <c r="I122" s="37"/>
    </row>
    <row r="123" ht="22.5" customHeight="1">
      <c r="A123" s="30"/>
      <c r="B123" s="39"/>
      <c r="C123" s="32"/>
      <c r="D123" s="33"/>
      <c r="E123" s="34"/>
      <c r="F123" s="34"/>
      <c r="G123" s="35"/>
      <c r="H123" s="34"/>
      <c r="I123" s="37"/>
    </row>
    <row r="124" ht="22.5" customHeight="1">
      <c r="A124" s="30"/>
      <c r="B124" s="39"/>
      <c r="C124" s="32"/>
      <c r="D124" s="33"/>
      <c r="E124" s="34"/>
      <c r="F124" s="34"/>
      <c r="G124" s="35"/>
      <c r="H124" s="34"/>
      <c r="I124" s="37"/>
    </row>
    <row r="125" ht="22.5" customHeight="1">
      <c r="A125" s="30"/>
      <c r="B125" s="39"/>
      <c r="C125" s="32"/>
      <c r="D125" s="33"/>
      <c r="E125" s="34"/>
      <c r="F125" s="34"/>
      <c r="G125" s="35"/>
      <c r="H125" s="34"/>
      <c r="I125" s="37"/>
    </row>
    <row r="126" ht="22.5" customHeight="1">
      <c r="A126" s="30"/>
      <c r="B126" s="40"/>
      <c r="C126" s="32"/>
      <c r="D126" s="33"/>
      <c r="E126" s="34"/>
      <c r="F126" s="34"/>
      <c r="G126" s="35"/>
      <c r="H126" s="34"/>
      <c r="I126" s="37"/>
    </row>
    <row r="127" ht="22.5" customHeight="1">
      <c r="A127" s="30"/>
      <c r="B127" s="31"/>
      <c r="C127" s="32"/>
      <c r="D127" s="33"/>
      <c r="E127" s="34"/>
      <c r="F127" s="34"/>
      <c r="G127" s="35"/>
      <c r="H127" s="34"/>
      <c r="I127" s="37"/>
    </row>
    <row r="128" ht="22.5" customHeight="1">
      <c r="A128" s="30"/>
      <c r="B128" s="31"/>
      <c r="C128" s="32"/>
      <c r="D128" s="33"/>
      <c r="E128" s="34"/>
      <c r="F128" s="34"/>
      <c r="G128" s="35"/>
      <c r="H128" s="34"/>
      <c r="I128" s="37"/>
    </row>
    <row r="129" ht="22.5" customHeight="1">
      <c r="A129" s="30"/>
      <c r="B129" s="31"/>
      <c r="C129" s="32"/>
      <c r="D129" s="33"/>
      <c r="E129" s="34"/>
      <c r="F129" s="34"/>
      <c r="G129" s="35"/>
      <c r="H129" s="34"/>
      <c r="I129" s="37"/>
    </row>
    <row r="130" ht="22.5" customHeight="1">
      <c r="A130" s="30"/>
      <c r="B130" s="31"/>
      <c r="C130" s="32"/>
      <c r="D130" s="33"/>
      <c r="E130" s="34"/>
      <c r="F130" s="34"/>
      <c r="G130" s="35"/>
      <c r="H130" s="34"/>
      <c r="I130" s="37"/>
    </row>
    <row r="131" ht="22.5" customHeight="1">
      <c r="A131" s="30"/>
      <c r="B131" s="31"/>
      <c r="C131" s="32"/>
      <c r="D131" s="33"/>
      <c r="E131" s="34"/>
      <c r="F131" s="34"/>
      <c r="G131" s="35"/>
      <c r="H131" s="34"/>
      <c r="I131" s="37"/>
    </row>
    <row r="132" ht="22.5" customHeight="1">
      <c r="A132" s="30"/>
      <c r="B132" s="31"/>
      <c r="C132" s="32"/>
      <c r="D132" s="33"/>
      <c r="E132" s="34"/>
      <c r="F132" s="34"/>
      <c r="G132" s="35"/>
      <c r="H132" s="34"/>
      <c r="I132" s="37"/>
    </row>
    <row r="133" ht="22.5" customHeight="1">
      <c r="A133" s="30"/>
      <c r="B133" s="31"/>
      <c r="C133" s="32"/>
      <c r="D133" s="33"/>
      <c r="E133" s="34"/>
      <c r="F133" s="34"/>
      <c r="G133" s="35"/>
      <c r="H133" s="34"/>
      <c r="I133" s="37"/>
    </row>
    <row r="134" ht="22.5" customHeight="1">
      <c r="A134" s="30"/>
      <c r="B134" s="31"/>
      <c r="C134" s="32"/>
      <c r="D134" s="33"/>
      <c r="E134" s="34"/>
      <c r="F134" s="34"/>
      <c r="G134" s="35"/>
      <c r="H134" s="34"/>
      <c r="I134" s="37"/>
    </row>
    <row r="135" ht="22.5" customHeight="1">
      <c r="A135" s="30"/>
      <c r="B135" s="31"/>
      <c r="C135" s="32"/>
      <c r="D135" s="33"/>
      <c r="E135" s="34"/>
      <c r="F135" s="34"/>
      <c r="G135" s="35"/>
      <c r="H135" s="34"/>
      <c r="I135" s="37"/>
    </row>
    <row r="136" ht="22.5" customHeight="1">
      <c r="A136" s="30"/>
      <c r="B136" s="40"/>
      <c r="C136" s="32"/>
      <c r="D136" s="33"/>
      <c r="E136" s="34"/>
      <c r="F136" s="34"/>
      <c r="G136" s="35"/>
      <c r="H136" s="34"/>
      <c r="I136" s="37"/>
    </row>
    <row r="137" ht="22.5" customHeight="1">
      <c r="A137" s="30"/>
      <c r="B137" s="31"/>
      <c r="C137" s="32"/>
      <c r="D137" s="33"/>
      <c r="E137" s="34"/>
      <c r="F137" s="34"/>
      <c r="G137" s="35"/>
      <c r="H137" s="34"/>
      <c r="I137" s="37"/>
    </row>
    <row r="138" ht="22.5" customHeight="1">
      <c r="A138" s="30"/>
      <c r="B138" s="31"/>
      <c r="C138" s="32"/>
      <c r="D138" s="33"/>
      <c r="E138" s="34"/>
      <c r="F138" s="34"/>
      <c r="G138" s="35"/>
      <c r="H138" s="34"/>
      <c r="I138" s="37"/>
    </row>
    <row r="139" ht="22.5" customHeight="1">
      <c r="A139" s="30"/>
      <c r="B139" s="31"/>
      <c r="C139" s="32"/>
      <c r="D139" s="33"/>
      <c r="E139" s="34"/>
      <c r="F139" s="34"/>
      <c r="G139" s="35"/>
      <c r="H139" s="34"/>
      <c r="I139" s="37"/>
    </row>
    <row r="140" ht="22.5" customHeight="1">
      <c r="A140" s="30"/>
      <c r="B140" s="40"/>
      <c r="C140" s="32"/>
      <c r="D140" s="33"/>
      <c r="E140" s="34"/>
      <c r="F140" s="34"/>
      <c r="G140" s="35"/>
      <c r="H140" s="34"/>
      <c r="I140" s="37"/>
    </row>
    <row r="141" ht="22.5" customHeight="1">
      <c r="A141" s="30"/>
      <c r="B141" s="31"/>
      <c r="C141" s="32"/>
      <c r="D141" s="33"/>
      <c r="E141" s="34"/>
      <c r="F141" s="34"/>
      <c r="G141" s="35"/>
      <c r="H141" s="34"/>
      <c r="I141" s="37"/>
    </row>
    <row r="142" ht="22.5" customHeight="1">
      <c r="A142" s="30"/>
      <c r="B142" s="31"/>
      <c r="C142" s="32"/>
      <c r="D142" s="33"/>
      <c r="E142" s="34"/>
      <c r="F142" s="34"/>
      <c r="G142" s="35"/>
      <c r="H142" s="34"/>
      <c r="I142" s="37"/>
    </row>
    <row r="143" ht="22.5" customHeight="1">
      <c r="A143" s="30"/>
      <c r="B143" s="31"/>
      <c r="C143" s="32"/>
      <c r="D143" s="33"/>
      <c r="E143" s="34"/>
      <c r="F143" s="34"/>
      <c r="G143" s="35"/>
      <c r="H143" s="34"/>
      <c r="I143" s="37"/>
    </row>
    <row r="144" ht="22.5" customHeight="1">
      <c r="A144" s="30"/>
      <c r="B144" s="31"/>
      <c r="C144" s="32"/>
      <c r="D144" s="33"/>
      <c r="E144" s="34"/>
      <c r="F144" s="34"/>
      <c r="G144" s="35"/>
      <c r="H144" s="34"/>
      <c r="I144" s="37"/>
    </row>
    <row r="145" ht="22.5" customHeight="1">
      <c r="A145" s="30"/>
      <c r="B145" s="31"/>
      <c r="C145" s="32"/>
      <c r="D145" s="33"/>
      <c r="E145" s="34"/>
      <c r="F145" s="34"/>
      <c r="G145" s="35"/>
      <c r="H145" s="34"/>
      <c r="I145" s="37"/>
    </row>
    <row r="146" ht="22.5" customHeight="1">
      <c r="A146" s="30"/>
      <c r="B146" s="31"/>
      <c r="C146" s="32"/>
      <c r="D146" s="33"/>
      <c r="E146" s="34"/>
      <c r="F146" s="34"/>
      <c r="G146" s="35"/>
      <c r="H146" s="34"/>
      <c r="I146" s="37"/>
    </row>
    <row r="147" ht="22.5" customHeight="1">
      <c r="A147" s="30"/>
      <c r="B147" s="31"/>
      <c r="C147" s="32"/>
      <c r="D147" s="33"/>
      <c r="E147" s="34"/>
      <c r="F147" s="34"/>
      <c r="G147" s="35"/>
      <c r="H147" s="34"/>
      <c r="I147" s="37"/>
    </row>
    <row r="148" ht="22.5" customHeight="1">
      <c r="A148" s="30"/>
      <c r="B148" s="31"/>
      <c r="C148" s="32"/>
      <c r="D148" s="33"/>
      <c r="E148" s="34"/>
      <c r="F148" s="34"/>
      <c r="G148" s="35"/>
      <c r="H148" s="34"/>
      <c r="I148" s="37"/>
    </row>
    <row r="149" ht="22.5" customHeight="1">
      <c r="A149" s="30"/>
      <c r="B149" s="31"/>
      <c r="C149" s="32"/>
      <c r="D149" s="33"/>
      <c r="E149" s="34"/>
      <c r="F149" s="34"/>
      <c r="G149" s="35"/>
      <c r="H149" s="34"/>
      <c r="I149" s="37"/>
    </row>
    <row r="150" ht="22.5" customHeight="1">
      <c r="A150" s="30"/>
      <c r="B150" s="31"/>
      <c r="C150" s="32"/>
      <c r="D150" s="33"/>
      <c r="E150" s="34"/>
      <c r="F150" s="34"/>
      <c r="G150" s="35"/>
      <c r="H150" s="34"/>
      <c r="I150" s="37"/>
    </row>
    <row r="151" ht="22.5" customHeight="1">
      <c r="A151" s="30"/>
      <c r="B151" s="31"/>
      <c r="C151" s="32"/>
      <c r="D151" s="33"/>
      <c r="E151" s="34"/>
      <c r="F151" s="34"/>
      <c r="G151" s="35"/>
      <c r="H151" s="34"/>
      <c r="I151" s="37"/>
    </row>
    <row r="152" ht="22.5" customHeight="1">
      <c r="A152" s="30"/>
      <c r="B152" s="31"/>
      <c r="C152" s="32"/>
      <c r="D152" s="33"/>
      <c r="E152" s="34"/>
      <c r="F152" s="34"/>
      <c r="G152" s="35"/>
      <c r="H152" s="34"/>
      <c r="I152" s="37"/>
    </row>
    <row r="153" ht="22.5" customHeight="1">
      <c r="A153" s="30"/>
      <c r="B153" s="31"/>
      <c r="C153" s="32"/>
      <c r="D153" s="33"/>
      <c r="E153" s="34"/>
      <c r="F153" s="34"/>
      <c r="G153" s="35"/>
      <c r="H153" s="34"/>
      <c r="I153" s="37"/>
    </row>
    <row r="154" ht="22.5" customHeight="1">
      <c r="A154" s="30"/>
      <c r="B154" s="31"/>
      <c r="C154" s="32"/>
      <c r="D154" s="33"/>
      <c r="E154" s="34"/>
      <c r="F154" s="34"/>
      <c r="G154" s="35"/>
      <c r="H154" s="34"/>
      <c r="I154" s="37"/>
    </row>
    <row r="155" ht="22.5" customHeight="1">
      <c r="A155" s="30"/>
      <c r="B155" s="40"/>
      <c r="C155" s="32"/>
      <c r="D155" s="33"/>
      <c r="E155" s="34"/>
      <c r="F155" s="34"/>
      <c r="G155" s="35"/>
      <c r="H155" s="34"/>
      <c r="I155" s="37"/>
    </row>
    <row r="156" ht="22.5" customHeight="1">
      <c r="A156" s="30"/>
      <c r="B156" s="31"/>
      <c r="C156" s="32"/>
      <c r="D156" s="33"/>
      <c r="E156" s="34"/>
      <c r="F156" s="34"/>
      <c r="G156" s="35"/>
      <c r="H156" s="34"/>
      <c r="I156" s="37"/>
    </row>
    <row r="157" ht="22.5" customHeight="1">
      <c r="A157" s="30"/>
      <c r="B157" s="40"/>
      <c r="C157" s="32"/>
      <c r="D157" s="33"/>
      <c r="E157" s="34"/>
      <c r="F157" s="34"/>
      <c r="G157" s="35"/>
      <c r="H157" s="34"/>
      <c r="I157" s="37"/>
    </row>
    <row r="158" ht="22.5" customHeight="1">
      <c r="A158" s="30"/>
      <c r="B158" s="31"/>
      <c r="C158" s="32"/>
      <c r="D158" s="33"/>
      <c r="E158" s="34"/>
      <c r="F158" s="34"/>
      <c r="G158" s="35"/>
      <c r="H158" s="34"/>
      <c r="I158" s="37"/>
    </row>
    <row r="159" ht="22.5" customHeight="1">
      <c r="A159" s="30"/>
      <c r="B159" s="31"/>
      <c r="C159" s="32"/>
      <c r="D159" s="33"/>
      <c r="E159" s="34"/>
      <c r="F159" s="34"/>
      <c r="G159" s="35"/>
      <c r="H159" s="34"/>
      <c r="I159" s="37"/>
    </row>
    <row r="160" ht="22.5" customHeight="1">
      <c r="A160" s="30"/>
      <c r="B160" s="31"/>
      <c r="C160" s="32"/>
      <c r="D160" s="33"/>
      <c r="E160" s="34"/>
      <c r="F160" s="34"/>
      <c r="G160" s="35"/>
      <c r="H160" s="34"/>
      <c r="I160" s="37"/>
    </row>
    <row r="161" ht="22.5" customHeight="1">
      <c r="A161" s="30"/>
      <c r="B161" s="31"/>
      <c r="C161" s="32"/>
      <c r="D161" s="33"/>
      <c r="E161" s="34"/>
      <c r="F161" s="34"/>
      <c r="G161" s="35"/>
      <c r="H161" s="34"/>
      <c r="I161" s="37"/>
    </row>
    <row r="162" ht="22.5" customHeight="1">
      <c r="A162" s="30"/>
      <c r="B162" s="40"/>
      <c r="C162" s="32"/>
      <c r="D162" s="33"/>
      <c r="E162" s="34"/>
      <c r="F162" s="34"/>
      <c r="G162" s="35"/>
      <c r="H162" s="34"/>
      <c r="I162" s="37"/>
    </row>
    <row r="163" ht="22.5" customHeight="1">
      <c r="A163" s="30"/>
      <c r="B163" s="31"/>
      <c r="C163" s="32"/>
      <c r="D163" s="33"/>
      <c r="E163" s="34"/>
      <c r="F163" s="34"/>
      <c r="G163" s="35"/>
      <c r="H163" s="34"/>
      <c r="I163" s="37"/>
    </row>
    <row r="164" ht="22.5" customHeight="1">
      <c r="A164" s="30"/>
      <c r="B164" s="31"/>
      <c r="C164" s="32"/>
      <c r="D164" s="33"/>
      <c r="E164" s="34"/>
      <c r="F164" s="34"/>
      <c r="G164" s="35"/>
      <c r="H164" s="34"/>
      <c r="I164" s="37"/>
    </row>
    <row r="165" ht="22.5" customHeight="1">
      <c r="A165" s="30"/>
      <c r="B165" s="31"/>
      <c r="C165" s="32"/>
      <c r="D165" s="33"/>
      <c r="E165" s="34"/>
      <c r="F165" s="34"/>
      <c r="G165" s="35"/>
      <c r="H165" s="34"/>
      <c r="I165" s="37"/>
    </row>
    <row r="166" ht="22.5" customHeight="1">
      <c r="A166" s="30"/>
      <c r="B166" s="31"/>
      <c r="C166" s="32"/>
      <c r="D166" s="33"/>
      <c r="E166" s="34"/>
      <c r="F166" s="34"/>
      <c r="G166" s="35"/>
      <c r="H166" s="34"/>
      <c r="I166" s="37"/>
    </row>
    <row r="167" ht="22.5" customHeight="1">
      <c r="A167" s="30"/>
      <c r="B167" s="31"/>
      <c r="C167" s="32"/>
      <c r="D167" s="33"/>
      <c r="E167" s="34"/>
      <c r="F167" s="34"/>
      <c r="G167" s="35"/>
      <c r="H167" s="34"/>
      <c r="I167" s="37"/>
    </row>
    <row r="168" ht="22.5" customHeight="1">
      <c r="A168" s="30"/>
      <c r="B168" s="31"/>
      <c r="C168" s="32"/>
      <c r="D168" s="33"/>
      <c r="E168" s="34"/>
      <c r="F168" s="34"/>
      <c r="G168" s="35"/>
      <c r="H168" s="34"/>
      <c r="I168" s="37"/>
    </row>
    <row r="169" ht="22.5" customHeight="1">
      <c r="A169" s="30"/>
      <c r="B169" s="31"/>
      <c r="C169" s="32"/>
      <c r="D169" s="33"/>
      <c r="E169" s="34"/>
      <c r="F169" s="34"/>
      <c r="G169" s="35"/>
      <c r="H169" s="34"/>
      <c r="I169" s="37"/>
    </row>
    <row r="170" ht="22.5" customHeight="1">
      <c r="A170" s="30"/>
      <c r="B170" s="31"/>
      <c r="C170" s="32"/>
      <c r="D170" s="33"/>
      <c r="E170" s="34"/>
      <c r="F170" s="34"/>
      <c r="G170" s="35"/>
      <c r="H170" s="34"/>
      <c r="I170" s="37"/>
    </row>
    <row r="171" ht="22.5" customHeight="1">
      <c r="A171" s="30"/>
      <c r="B171" s="31"/>
      <c r="C171" s="32"/>
      <c r="D171" s="33"/>
      <c r="E171" s="34"/>
      <c r="F171" s="34"/>
      <c r="G171" s="35"/>
      <c r="H171" s="34"/>
      <c r="I171" s="37"/>
    </row>
    <row r="172" ht="22.5" customHeight="1">
      <c r="A172" s="30"/>
      <c r="B172" s="31"/>
      <c r="C172" s="32"/>
      <c r="D172" s="33"/>
      <c r="E172" s="34"/>
      <c r="F172" s="34"/>
      <c r="G172" s="35"/>
      <c r="H172" s="34"/>
      <c r="I172" s="37"/>
    </row>
    <row r="173" ht="22.5" customHeight="1">
      <c r="A173" s="30"/>
      <c r="B173" s="31"/>
      <c r="C173" s="32"/>
      <c r="D173" s="33"/>
      <c r="E173" s="34"/>
      <c r="F173" s="34"/>
      <c r="G173" s="35"/>
      <c r="H173" s="34"/>
      <c r="I173" s="37"/>
    </row>
    <row r="174" ht="22.5" customHeight="1">
      <c r="A174" s="30"/>
      <c r="B174" s="31"/>
      <c r="C174" s="32"/>
      <c r="D174" s="33"/>
      <c r="E174" s="34"/>
      <c r="F174" s="34"/>
      <c r="G174" s="35"/>
      <c r="H174" s="34"/>
      <c r="I174" s="37"/>
    </row>
    <row r="175" ht="22.5" customHeight="1">
      <c r="A175" s="30"/>
      <c r="B175" s="31"/>
      <c r="C175" s="32"/>
      <c r="D175" s="33"/>
      <c r="E175" s="34"/>
      <c r="F175" s="34"/>
      <c r="G175" s="35"/>
      <c r="H175" s="34"/>
      <c r="I175" s="37"/>
    </row>
    <row r="176" ht="22.5" customHeight="1">
      <c r="A176" s="30"/>
      <c r="B176" s="31"/>
      <c r="C176" s="32"/>
      <c r="D176" s="33"/>
      <c r="E176" s="34"/>
      <c r="F176" s="34"/>
      <c r="G176" s="35"/>
      <c r="H176" s="34"/>
      <c r="I176" s="37"/>
    </row>
    <row r="177" ht="22.5" customHeight="1">
      <c r="A177" s="30"/>
      <c r="B177" s="31"/>
      <c r="C177" s="32"/>
      <c r="D177" s="33"/>
      <c r="E177" s="34"/>
      <c r="F177" s="34"/>
      <c r="G177" s="35"/>
      <c r="H177" s="34"/>
      <c r="I177" s="37"/>
    </row>
    <row r="178" ht="22.5" customHeight="1">
      <c r="A178" s="30"/>
      <c r="B178" s="31"/>
      <c r="C178" s="32"/>
      <c r="D178" s="33"/>
      <c r="E178" s="34"/>
      <c r="F178" s="34"/>
      <c r="G178" s="35"/>
      <c r="H178" s="34"/>
      <c r="I178" s="37"/>
    </row>
    <row r="179" ht="22.5" customHeight="1">
      <c r="A179" s="30"/>
      <c r="B179" s="31"/>
      <c r="C179" s="32"/>
      <c r="D179" s="33"/>
      <c r="E179" s="34"/>
      <c r="F179" s="34"/>
      <c r="G179" s="35"/>
      <c r="H179" s="34"/>
      <c r="I179" s="37"/>
    </row>
    <row r="180" ht="22.5" customHeight="1">
      <c r="A180" s="30"/>
      <c r="B180" s="31"/>
      <c r="C180" s="32"/>
      <c r="D180" s="33"/>
      <c r="E180" s="34"/>
      <c r="F180" s="34"/>
      <c r="G180" s="35"/>
      <c r="H180" s="34"/>
      <c r="I180" s="37"/>
    </row>
    <row r="181" ht="22.5" customHeight="1">
      <c r="A181" s="30"/>
      <c r="B181" s="31"/>
      <c r="C181" s="32"/>
      <c r="D181" s="33"/>
      <c r="E181" s="34"/>
      <c r="F181" s="34"/>
      <c r="G181" s="35"/>
      <c r="H181" s="34"/>
      <c r="I181" s="37"/>
    </row>
    <row r="182" ht="22.5" customHeight="1">
      <c r="A182" s="30"/>
      <c r="B182" s="31"/>
      <c r="C182" s="32"/>
      <c r="D182" s="33"/>
      <c r="E182" s="34"/>
      <c r="F182" s="34"/>
      <c r="G182" s="35"/>
      <c r="H182" s="34"/>
      <c r="I182" s="37"/>
    </row>
    <row r="183" ht="22.5" customHeight="1">
      <c r="A183" s="30"/>
      <c r="B183" s="31"/>
      <c r="C183" s="32"/>
      <c r="D183" s="33"/>
      <c r="E183" s="34"/>
      <c r="F183" s="34"/>
      <c r="G183" s="35"/>
      <c r="H183" s="34"/>
      <c r="I183" s="37"/>
    </row>
    <row r="184" ht="22.5" customHeight="1">
      <c r="A184" s="30"/>
      <c r="B184" s="40"/>
      <c r="C184" s="32"/>
      <c r="D184" s="33"/>
      <c r="E184" s="34"/>
      <c r="F184" s="34"/>
      <c r="G184" s="35"/>
      <c r="H184" s="34"/>
      <c r="I184" s="37"/>
    </row>
    <row r="185" ht="22.5" customHeight="1">
      <c r="A185" s="30"/>
      <c r="B185" s="31"/>
      <c r="C185" s="32"/>
      <c r="D185" s="33"/>
      <c r="E185" s="34"/>
      <c r="F185" s="34"/>
      <c r="G185" s="35"/>
      <c r="H185" s="34"/>
      <c r="I185" s="37"/>
    </row>
    <row r="186" ht="22.5" customHeight="1">
      <c r="A186" s="30"/>
      <c r="B186" s="31"/>
      <c r="C186" s="32"/>
      <c r="D186" s="33"/>
      <c r="E186" s="34"/>
      <c r="F186" s="34"/>
      <c r="G186" s="35"/>
      <c r="H186" s="34"/>
      <c r="I186" s="37"/>
    </row>
    <row r="187" ht="22.5" customHeight="1">
      <c r="A187" s="30"/>
      <c r="B187" s="31"/>
      <c r="C187" s="32"/>
      <c r="D187" s="33"/>
      <c r="E187" s="34"/>
      <c r="F187" s="34"/>
      <c r="G187" s="35"/>
      <c r="H187" s="34"/>
      <c r="I187" s="37"/>
    </row>
    <row r="188" ht="22.5" customHeight="1">
      <c r="A188" s="30"/>
      <c r="B188" s="31"/>
      <c r="C188" s="32"/>
      <c r="D188" s="33"/>
      <c r="E188" s="34"/>
      <c r="F188" s="34"/>
      <c r="G188" s="35"/>
      <c r="H188" s="34"/>
      <c r="I188" s="38"/>
    </row>
    <row r="189" ht="22.5" customHeight="1">
      <c r="A189" s="30"/>
      <c r="B189" s="39"/>
      <c r="C189" s="32"/>
      <c r="D189" s="33"/>
      <c r="E189" s="34"/>
      <c r="F189" s="34"/>
      <c r="G189" s="35"/>
      <c r="H189" s="34"/>
      <c r="I189" s="37"/>
    </row>
    <row r="190" ht="22.5" customHeight="1">
      <c r="A190" s="30"/>
      <c r="B190" s="31"/>
      <c r="C190" s="32"/>
      <c r="D190" s="33"/>
      <c r="E190" s="34"/>
      <c r="F190" s="34"/>
      <c r="G190" s="35"/>
      <c r="H190" s="34"/>
      <c r="I190" s="37"/>
    </row>
    <row r="191" ht="22.5" customHeight="1">
      <c r="A191" s="30"/>
      <c r="B191" s="31"/>
      <c r="C191" s="32"/>
      <c r="D191" s="33"/>
      <c r="E191" s="34"/>
      <c r="F191" s="34"/>
      <c r="G191" s="35"/>
      <c r="H191" s="34"/>
      <c r="I191" s="37"/>
    </row>
    <row r="192" ht="22.5" customHeight="1">
      <c r="A192" s="30"/>
      <c r="B192" s="31"/>
      <c r="C192" s="32"/>
      <c r="D192" s="33"/>
      <c r="E192" s="34"/>
      <c r="F192" s="34"/>
      <c r="G192" s="35"/>
      <c r="H192" s="34"/>
      <c r="I192" s="37"/>
    </row>
    <row r="193" ht="22.5" customHeight="1">
      <c r="A193" s="30"/>
      <c r="B193" s="39"/>
      <c r="C193" s="32"/>
      <c r="D193" s="33"/>
      <c r="E193" s="34"/>
      <c r="F193" s="34"/>
      <c r="G193" s="35"/>
      <c r="H193" s="34"/>
      <c r="I193" s="37"/>
    </row>
    <row r="194" ht="22.5" customHeight="1">
      <c r="A194" s="30"/>
      <c r="B194" s="31"/>
      <c r="C194" s="32"/>
      <c r="D194" s="33"/>
      <c r="E194" s="34"/>
      <c r="F194" s="34"/>
      <c r="G194" s="35"/>
      <c r="H194" s="34"/>
      <c r="I194" s="37"/>
    </row>
    <row r="195" ht="22.5" customHeight="1">
      <c r="A195" s="30"/>
      <c r="B195" s="39"/>
      <c r="C195" s="32"/>
      <c r="D195" s="33"/>
      <c r="E195" s="34"/>
      <c r="F195" s="34"/>
      <c r="G195" s="35"/>
      <c r="H195" s="34"/>
      <c r="I195" s="37"/>
    </row>
    <row r="196" ht="22.5" customHeight="1">
      <c r="A196" s="30"/>
      <c r="B196" s="31"/>
      <c r="C196" s="32"/>
      <c r="D196" s="33"/>
      <c r="E196" s="34"/>
      <c r="F196" s="34"/>
      <c r="G196" s="35"/>
      <c r="H196" s="34"/>
      <c r="I196" s="37"/>
    </row>
    <row r="197" ht="22.5" customHeight="1">
      <c r="A197" s="30"/>
      <c r="B197" s="31"/>
      <c r="C197" s="32"/>
      <c r="D197" s="33"/>
      <c r="E197" s="34"/>
      <c r="F197" s="34"/>
      <c r="G197" s="35"/>
      <c r="H197" s="34"/>
      <c r="I197" s="37"/>
    </row>
    <row r="198" ht="22.5" customHeight="1">
      <c r="A198" s="30"/>
      <c r="B198" s="31"/>
      <c r="C198" s="32"/>
      <c r="D198" s="33"/>
      <c r="E198" s="34"/>
      <c r="F198" s="34"/>
      <c r="G198" s="35"/>
      <c r="H198" s="34"/>
      <c r="I198" s="37"/>
    </row>
    <row r="199" ht="22.5" customHeight="1">
      <c r="A199" s="30"/>
      <c r="B199" s="31"/>
      <c r="C199" s="32"/>
      <c r="D199" s="33"/>
      <c r="E199" s="34"/>
      <c r="F199" s="34"/>
      <c r="G199" s="35"/>
      <c r="H199" s="34"/>
      <c r="I199" s="37"/>
    </row>
    <row r="200" ht="22.5" customHeight="1">
      <c r="A200" s="30"/>
      <c r="B200" s="31"/>
      <c r="C200" s="32"/>
      <c r="D200" s="33"/>
      <c r="E200" s="34"/>
      <c r="F200" s="34"/>
      <c r="G200" s="35"/>
      <c r="H200" s="34"/>
      <c r="I200" s="37"/>
    </row>
    <row r="201" ht="22.5" customHeight="1">
      <c r="A201" s="30"/>
      <c r="B201" s="31"/>
      <c r="C201" s="32"/>
      <c r="D201" s="33"/>
      <c r="E201" s="34"/>
      <c r="F201" s="34"/>
      <c r="G201" s="35"/>
      <c r="H201" s="34"/>
      <c r="I201" s="37"/>
    </row>
    <row r="202" ht="22.5" customHeight="1">
      <c r="A202" s="30"/>
      <c r="B202" s="31"/>
      <c r="C202" s="32"/>
      <c r="D202" s="33"/>
      <c r="E202" s="34"/>
      <c r="F202" s="34"/>
      <c r="G202" s="35"/>
      <c r="H202" s="34"/>
      <c r="I202" s="37"/>
    </row>
    <row r="203" ht="22.5" customHeight="1">
      <c r="A203" s="30"/>
      <c r="B203" s="31"/>
      <c r="C203" s="32"/>
      <c r="D203" s="33"/>
      <c r="E203" s="34"/>
      <c r="F203" s="34"/>
      <c r="G203" s="35"/>
      <c r="H203" s="34"/>
      <c r="I203" s="37"/>
    </row>
    <row r="204" ht="22.5" customHeight="1">
      <c r="A204" s="30"/>
      <c r="B204" s="31"/>
      <c r="C204" s="32"/>
      <c r="D204" s="33"/>
      <c r="E204" s="34"/>
      <c r="F204" s="34"/>
      <c r="G204" s="35"/>
      <c r="H204" s="34"/>
      <c r="I204" s="37"/>
    </row>
    <row r="205" ht="22.5" customHeight="1">
      <c r="A205" s="30"/>
      <c r="B205" s="31"/>
      <c r="C205" s="32"/>
      <c r="D205" s="33"/>
      <c r="E205" s="34"/>
      <c r="F205" s="34"/>
      <c r="G205" s="35"/>
      <c r="H205" s="34"/>
      <c r="I205" s="37"/>
    </row>
    <row r="206" ht="22.5" customHeight="1">
      <c r="A206" s="30"/>
      <c r="B206" s="40"/>
      <c r="C206" s="32"/>
      <c r="D206" s="33"/>
      <c r="E206" s="34"/>
      <c r="F206" s="34"/>
      <c r="G206" s="35"/>
      <c r="H206" s="34"/>
      <c r="I206" s="37"/>
    </row>
    <row r="207" ht="22.5" customHeight="1">
      <c r="A207" s="30"/>
      <c r="B207" s="31"/>
      <c r="C207" s="32"/>
      <c r="D207" s="33"/>
      <c r="E207" s="34"/>
      <c r="F207" s="34"/>
      <c r="G207" s="35"/>
      <c r="H207" s="34"/>
      <c r="I207" s="37"/>
    </row>
    <row r="208" ht="22.5" customHeight="1">
      <c r="A208" s="30"/>
      <c r="B208" s="31"/>
      <c r="C208" s="32"/>
      <c r="D208" s="33"/>
      <c r="E208" s="34"/>
      <c r="F208" s="34"/>
      <c r="G208" s="35"/>
      <c r="H208" s="34"/>
      <c r="I208" s="37"/>
    </row>
    <row r="209" ht="22.5" customHeight="1">
      <c r="A209" s="30"/>
      <c r="B209" s="31"/>
      <c r="C209" s="32"/>
      <c r="D209" s="33"/>
      <c r="E209" s="34"/>
      <c r="F209" s="34"/>
      <c r="G209" s="35"/>
      <c r="H209" s="34"/>
      <c r="I209" s="37"/>
    </row>
    <row r="210" ht="22.5" customHeight="1">
      <c r="A210" s="30"/>
      <c r="B210" s="31"/>
      <c r="C210" s="32"/>
      <c r="D210" s="33"/>
      <c r="E210" s="34"/>
      <c r="F210" s="34"/>
      <c r="G210" s="35"/>
      <c r="H210" s="34"/>
      <c r="I210" s="37"/>
    </row>
    <row r="211" ht="22.5" customHeight="1">
      <c r="A211" s="30"/>
      <c r="B211" s="31"/>
      <c r="C211" s="32"/>
      <c r="D211" s="33"/>
      <c r="E211" s="34"/>
      <c r="F211" s="34"/>
      <c r="G211" s="35"/>
      <c r="H211" s="34"/>
      <c r="I211" s="37"/>
    </row>
    <row r="212" ht="22.5" customHeight="1">
      <c r="A212" s="30"/>
      <c r="B212" s="31"/>
      <c r="C212" s="32"/>
      <c r="D212" s="33"/>
      <c r="E212" s="34"/>
      <c r="F212" s="34"/>
      <c r="G212" s="35"/>
      <c r="H212" s="34"/>
      <c r="I212" s="37"/>
    </row>
    <row r="213" ht="22.5" customHeight="1">
      <c r="A213" s="30"/>
      <c r="B213" s="39"/>
      <c r="C213" s="32"/>
      <c r="D213" s="33"/>
      <c r="E213" s="34"/>
      <c r="F213" s="34"/>
      <c r="G213" s="35"/>
      <c r="H213" s="34"/>
      <c r="I213" s="37"/>
    </row>
    <row r="214" ht="22.5" customHeight="1">
      <c r="A214" s="30"/>
      <c r="B214" s="39"/>
      <c r="C214" s="32"/>
      <c r="D214" s="33"/>
      <c r="E214" s="34"/>
      <c r="F214" s="34"/>
      <c r="G214" s="35"/>
      <c r="H214" s="34"/>
      <c r="I214" s="37"/>
    </row>
    <row r="215" ht="22.5" customHeight="1">
      <c r="A215" s="30"/>
      <c r="B215" s="39"/>
      <c r="C215" s="32"/>
      <c r="D215" s="33"/>
      <c r="E215" s="34"/>
      <c r="F215" s="34"/>
      <c r="G215" s="35"/>
      <c r="H215" s="34"/>
      <c r="I215" s="37"/>
    </row>
    <row r="216" ht="22.5" customHeight="1">
      <c r="A216" s="30"/>
      <c r="B216" s="40"/>
      <c r="C216" s="32"/>
      <c r="D216" s="33"/>
      <c r="E216" s="34"/>
      <c r="F216" s="34"/>
      <c r="G216" s="35"/>
      <c r="H216" s="34"/>
      <c r="I216" s="37"/>
    </row>
    <row r="217" ht="22.5" customHeight="1">
      <c r="A217" s="30"/>
      <c r="B217" s="31"/>
      <c r="C217" s="32"/>
      <c r="D217" s="33"/>
      <c r="E217" s="34"/>
      <c r="F217" s="34"/>
      <c r="G217" s="35"/>
      <c r="H217" s="34"/>
      <c r="I217" s="37"/>
    </row>
    <row r="218" ht="22.5" customHeight="1">
      <c r="A218" s="30"/>
      <c r="B218" s="31"/>
      <c r="C218" s="32"/>
      <c r="D218" s="33"/>
      <c r="E218" s="34"/>
      <c r="F218" s="34"/>
      <c r="G218" s="35"/>
      <c r="H218" s="34"/>
      <c r="I218" s="37"/>
    </row>
    <row r="219" ht="22.5" customHeight="1">
      <c r="A219" s="30"/>
      <c r="B219" s="31"/>
      <c r="C219" s="32"/>
      <c r="D219" s="33"/>
      <c r="E219" s="34"/>
      <c r="F219" s="34"/>
      <c r="G219" s="35"/>
      <c r="H219" s="34"/>
      <c r="I219" s="37"/>
    </row>
    <row r="220" ht="22.5" customHeight="1">
      <c r="A220" s="30"/>
      <c r="B220" s="31"/>
      <c r="C220" s="32"/>
      <c r="D220" s="33"/>
      <c r="E220" s="34"/>
      <c r="F220" s="34"/>
      <c r="G220" s="35"/>
      <c r="H220" s="34"/>
      <c r="I220" s="37"/>
    </row>
    <row r="221" ht="22.5" customHeight="1">
      <c r="A221" s="30"/>
      <c r="B221" s="31"/>
      <c r="C221" s="32"/>
      <c r="D221" s="33"/>
      <c r="E221" s="34"/>
      <c r="F221" s="34"/>
      <c r="G221" s="35"/>
      <c r="H221" s="34"/>
      <c r="I221" s="37"/>
    </row>
    <row r="222" ht="22.5" customHeight="1">
      <c r="A222" s="30"/>
      <c r="B222" s="31"/>
      <c r="C222" s="32"/>
      <c r="D222" s="33"/>
      <c r="E222" s="34"/>
      <c r="F222" s="34"/>
      <c r="G222" s="35"/>
      <c r="H222" s="34"/>
      <c r="I222" s="37"/>
    </row>
    <row r="223" ht="22.5" customHeight="1">
      <c r="A223" s="30"/>
      <c r="B223" s="31"/>
      <c r="C223" s="32"/>
      <c r="D223" s="33"/>
      <c r="E223" s="34"/>
      <c r="F223" s="34"/>
      <c r="G223" s="35"/>
      <c r="H223" s="34"/>
      <c r="I223" s="37"/>
    </row>
    <row r="224" ht="22.5" customHeight="1">
      <c r="A224" s="30"/>
      <c r="B224" s="31"/>
      <c r="C224" s="32"/>
      <c r="D224" s="33"/>
      <c r="E224" s="34"/>
      <c r="F224" s="34"/>
      <c r="G224" s="35"/>
      <c r="H224" s="34"/>
      <c r="I224" s="37"/>
    </row>
    <row r="225" ht="22.5" customHeight="1">
      <c r="A225" s="30"/>
      <c r="B225" s="31"/>
      <c r="C225" s="32"/>
      <c r="D225" s="33"/>
      <c r="E225" s="34"/>
      <c r="F225" s="34"/>
      <c r="G225" s="35"/>
      <c r="H225" s="34"/>
      <c r="I225" s="37"/>
    </row>
    <row r="226" ht="22.5" customHeight="1">
      <c r="A226" s="30"/>
      <c r="B226" s="40"/>
      <c r="C226" s="32"/>
      <c r="D226" s="33"/>
      <c r="E226" s="34"/>
      <c r="F226" s="34"/>
      <c r="G226" s="35"/>
      <c r="H226" s="34"/>
      <c r="I226" s="37"/>
    </row>
    <row r="227" ht="22.5" customHeight="1">
      <c r="A227" s="30"/>
      <c r="B227" s="31"/>
      <c r="C227" s="32"/>
      <c r="D227" s="33"/>
      <c r="E227" s="34"/>
      <c r="F227" s="34"/>
      <c r="G227" s="35"/>
      <c r="H227" s="34"/>
      <c r="I227" s="37"/>
    </row>
    <row r="228" ht="22.5" customHeight="1">
      <c r="A228" s="30"/>
      <c r="B228" s="31"/>
      <c r="C228" s="32"/>
      <c r="D228" s="33"/>
      <c r="E228" s="34"/>
      <c r="F228" s="34"/>
      <c r="G228" s="35"/>
      <c r="H228" s="34"/>
      <c r="I228" s="37"/>
    </row>
    <row r="229" ht="22.5" customHeight="1">
      <c r="A229" s="30"/>
      <c r="B229" s="31"/>
      <c r="C229" s="32"/>
      <c r="D229" s="33"/>
      <c r="E229" s="34"/>
      <c r="F229" s="34"/>
      <c r="G229" s="35"/>
      <c r="H229" s="34"/>
      <c r="I229" s="37"/>
    </row>
    <row r="230" ht="22.5" customHeight="1">
      <c r="A230" s="30"/>
      <c r="B230" s="40"/>
      <c r="C230" s="32"/>
      <c r="D230" s="33"/>
      <c r="E230" s="34"/>
      <c r="F230" s="34"/>
      <c r="G230" s="35"/>
      <c r="H230" s="34"/>
      <c r="I230" s="37"/>
    </row>
    <row r="231" ht="22.5" customHeight="1">
      <c r="A231" s="30"/>
      <c r="B231" s="31"/>
      <c r="C231" s="32"/>
      <c r="D231" s="33"/>
      <c r="E231" s="34"/>
      <c r="F231" s="34"/>
      <c r="G231" s="35"/>
      <c r="H231" s="34"/>
      <c r="I231" s="37"/>
    </row>
    <row r="232" ht="22.5" customHeight="1">
      <c r="A232" s="30"/>
      <c r="B232" s="31"/>
      <c r="C232" s="32"/>
      <c r="D232" s="33"/>
      <c r="E232" s="34"/>
      <c r="F232" s="34"/>
      <c r="G232" s="35"/>
      <c r="H232" s="34"/>
      <c r="I232" s="37"/>
    </row>
    <row r="233" ht="22.5" customHeight="1">
      <c r="A233" s="30"/>
      <c r="B233" s="31"/>
      <c r="C233" s="32"/>
      <c r="D233" s="33"/>
      <c r="E233" s="34"/>
      <c r="F233" s="34"/>
      <c r="G233" s="35"/>
      <c r="H233" s="34"/>
      <c r="I233" s="37"/>
    </row>
    <row r="234" ht="22.5" customHeight="1">
      <c r="A234" s="30"/>
      <c r="B234" s="31"/>
      <c r="C234" s="32"/>
      <c r="D234" s="33"/>
      <c r="E234" s="34"/>
      <c r="F234" s="34"/>
      <c r="G234" s="35"/>
      <c r="H234" s="34"/>
      <c r="I234" s="37"/>
    </row>
    <row r="235" ht="22.5" customHeight="1">
      <c r="A235" s="30"/>
      <c r="B235" s="31"/>
      <c r="C235" s="32"/>
      <c r="D235" s="33"/>
      <c r="E235" s="34"/>
      <c r="F235" s="34"/>
      <c r="G235" s="35"/>
      <c r="H235" s="34"/>
      <c r="I235" s="37"/>
    </row>
    <row r="236" ht="22.5" customHeight="1">
      <c r="A236" s="30"/>
      <c r="B236" s="31"/>
      <c r="C236" s="32"/>
      <c r="D236" s="33"/>
      <c r="E236" s="34"/>
      <c r="F236" s="34"/>
      <c r="G236" s="35"/>
      <c r="H236" s="34"/>
      <c r="I236" s="37"/>
    </row>
    <row r="237" ht="22.5" customHeight="1">
      <c r="A237" s="30"/>
      <c r="B237" s="31"/>
      <c r="C237" s="32"/>
      <c r="D237" s="33"/>
      <c r="E237" s="34"/>
      <c r="F237" s="34"/>
      <c r="G237" s="35"/>
      <c r="H237" s="34"/>
      <c r="I237" s="37"/>
    </row>
    <row r="238" ht="22.5" customHeight="1">
      <c r="A238" s="30"/>
      <c r="B238" s="31"/>
      <c r="C238" s="32"/>
      <c r="D238" s="33"/>
      <c r="E238" s="34"/>
      <c r="F238" s="34"/>
      <c r="G238" s="35"/>
      <c r="H238" s="34"/>
      <c r="I238" s="37"/>
    </row>
    <row r="239" ht="22.5" customHeight="1">
      <c r="A239" s="30"/>
      <c r="B239" s="31"/>
      <c r="C239" s="32"/>
      <c r="D239" s="33"/>
      <c r="E239" s="34"/>
      <c r="F239" s="34"/>
      <c r="G239" s="35"/>
      <c r="H239" s="34"/>
      <c r="I239" s="37"/>
    </row>
    <row r="240" ht="22.5" customHeight="1">
      <c r="A240" s="30"/>
      <c r="B240" s="31"/>
      <c r="C240" s="32"/>
      <c r="D240" s="33"/>
      <c r="E240" s="34"/>
      <c r="F240" s="34"/>
      <c r="G240" s="35"/>
      <c r="H240" s="34"/>
      <c r="I240" s="37"/>
    </row>
    <row r="241" ht="22.5" customHeight="1">
      <c r="A241" s="30"/>
      <c r="B241" s="31"/>
      <c r="C241" s="32"/>
      <c r="D241" s="33"/>
      <c r="E241" s="34"/>
      <c r="F241" s="34"/>
      <c r="G241" s="35"/>
      <c r="H241" s="34"/>
      <c r="I241" s="37"/>
    </row>
    <row r="242" ht="22.5" customHeight="1">
      <c r="A242" s="30"/>
      <c r="B242" s="31"/>
      <c r="C242" s="32"/>
      <c r="D242" s="33"/>
      <c r="E242" s="34"/>
      <c r="F242" s="34"/>
      <c r="G242" s="35"/>
      <c r="H242" s="34"/>
      <c r="I242" s="37"/>
    </row>
    <row r="243" ht="22.5" customHeight="1">
      <c r="A243" s="30"/>
      <c r="B243" s="31"/>
      <c r="C243" s="32"/>
      <c r="D243" s="33"/>
      <c r="E243" s="34"/>
      <c r="F243" s="34"/>
      <c r="G243" s="35"/>
      <c r="H243" s="34"/>
      <c r="I243" s="37"/>
    </row>
    <row r="244" ht="22.5" customHeight="1">
      <c r="A244" s="30"/>
      <c r="B244" s="31"/>
      <c r="C244" s="32"/>
      <c r="D244" s="33"/>
      <c r="E244" s="34"/>
      <c r="F244" s="34"/>
      <c r="G244" s="35"/>
      <c r="H244" s="34"/>
      <c r="I244" s="37"/>
    </row>
    <row r="245" ht="22.5" customHeight="1">
      <c r="A245" s="30"/>
      <c r="B245" s="40"/>
      <c r="C245" s="32"/>
      <c r="D245" s="33"/>
      <c r="E245" s="34"/>
      <c r="F245" s="34"/>
      <c r="G245" s="35"/>
      <c r="H245" s="34"/>
      <c r="I245" s="37"/>
    </row>
    <row r="246" ht="22.5" customHeight="1">
      <c r="A246" s="30"/>
      <c r="B246" s="31"/>
      <c r="C246" s="32"/>
      <c r="D246" s="33"/>
      <c r="E246" s="34"/>
      <c r="F246" s="34"/>
      <c r="G246" s="35"/>
      <c r="H246" s="34"/>
      <c r="I246" s="37"/>
    </row>
    <row r="247" ht="22.5" customHeight="1">
      <c r="A247" s="30"/>
      <c r="B247" s="40"/>
      <c r="C247" s="32"/>
      <c r="D247" s="33"/>
      <c r="E247" s="34"/>
      <c r="F247" s="34"/>
      <c r="G247" s="35"/>
      <c r="H247" s="34"/>
      <c r="I247" s="37"/>
    </row>
    <row r="248" ht="22.5" customHeight="1">
      <c r="A248" s="30"/>
      <c r="B248" s="31"/>
      <c r="C248" s="32"/>
      <c r="D248" s="33"/>
      <c r="E248" s="34"/>
      <c r="F248" s="34"/>
      <c r="G248" s="35"/>
      <c r="H248" s="34"/>
      <c r="I248" s="37"/>
    </row>
    <row r="249" ht="22.5" customHeight="1">
      <c r="A249" s="30"/>
      <c r="B249" s="31"/>
      <c r="C249" s="32"/>
      <c r="D249" s="33"/>
      <c r="E249" s="34"/>
      <c r="F249" s="34"/>
      <c r="G249" s="35"/>
      <c r="H249" s="34"/>
      <c r="I249" s="37"/>
    </row>
    <row r="250" ht="22.5" customHeight="1">
      <c r="A250" s="30"/>
      <c r="B250" s="31"/>
      <c r="C250" s="32"/>
      <c r="D250" s="33"/>
      <c r="E250" s="34"/>
      <c r="F250" s="34"/>
      <c r="G250" s="35"/>
      <c r="H250" s="34"/>
      <c r="I250" s="37"/>
    </row>
    <row r="251" ht="22.5" customHeight="1">
      <c r="A251" s="30"/>
      <c r="B251" s="31"/>
      <c r="C251" s="32"/>
      <c r="D251" s="33"/>
      <c r="E251" s="34"/>
      <c r="F251" s="34"/>
      <c r="G251" s="35"/>
      <c r="H251" s="34"/>
      <c r="I251" s="37"/>
    </row>
    <row r="252" ht="22.5" customHeight="1">
      <c r="A252" s="30"/>
      <c r="B252" s="40"/>
      <c r="C252" s="32"/>
      <c r="D252" s="33"/>
      <c r="E252" s="34"/>
      <c r="F252" s="34"/>
      <c r="G252" s="35"/>
      <c r="H252" s="34"/>
      <c r="I252" s="37"/>
    </row>
    <row r="253" ht="22.5" customHeight="1">
      <c r="A253" s="30"/>
      <c r="B253" s="31"/>
      <c r="C253" s="32"/>
      <c r="D253" s="33"/>
      <c r="E253" s="34"/>
      <c r="F253" s="34"/>
      <c r="G253" s="35"/>
      <c r="H253" s="34"/>
      <c r="I253" s="37"/>
    </row>
    <row r="254" ht="22.5" customHeight="1">
      <c r="A254" s="30"/>
      <c r="B254" s="31"/>
      <c r="C254" s="32"/>
      <c r="D254" s="33"/>
      <c r="E254" s="34"/>
      <c r="F254" s="34"/>
      <c r="G254" s="35"/>
      <c r="H254" s="34"/>
      <c r="I254" s="37"/>
    </row>
    <row r="255" ht="22.5" customHeight="1">
      <c r="A255" s="30"/>
      <c r="B255" s="31"/>
      <c r="C255" s="32"/>
      <c r="D255" s="33"/>
      <c r="E255" s="34"/>
      <c r="F255" s="34"/>
      <c r="G255" s="35"/>
      <c r="H255" s="34"/>
      <c r="I255" s="37"/>
    </row>
    <row r="256" ht="22.5" customHeight="1">
      <c r="A256" s="30"/>
      <c r="B256" s="31"/>
      <c r="C256" s="32"/>
      <c r="D256" s="33"/>
      <c r="E256" s="34"/>
      <c r="F256" s="34"/>
      <c r="G256" s="35"/>
      <c r="H256" s="34"/>
      <c r="I256" s="37"/>
    </row>
    <row r="257" ht="22.5" customHeight="1">
      <c r="A257" s="30"/>
      <c r="B257" s="31"/>
      <c r="C257" s="32"/>
      <c r="D257" s="33"/>
      <c r="E257" s="34"/>
      <c r="F257" s="34"/>
      <c r="G257" s="35"/>
      <c r="H257" s="34"/>
      <c r="I257" s="37"/>
    </row>
    <row r="258" ht="22.5" customHeight="1">
      <c r="A258" s="30"/>
      <c r="B258" s="31"/>
      <c r="C258" s="32"/>
      <c r="D258" s="33"/>
      <c r="E258" s="34"/>
      <c r="F258" s="34"/>
      <c r="G258" s="35"/>
      <c r="H258" s="34"/>
      <c r="I258" s="37"/>
    </row>
    <row r="259" ht="22.5" customHeight="1">
      <c r="A259" s="30"/>
      <c r="B259" s="31"/>
      <c r="C259" s="32"/>
      <c r="D259" s="33"/>
      <c r="E259" s="34"/>
      <c r="F259" s="34"/>
      <c r="G259" s="35"/>
      <c r="H259" s="34"/>
      <c r="I259" s="37"/>
    </row>
    <row r="260" ht="22.5" customHeight="1">
      <c r="A260" s="30"/>
      <c r="B260" s="31"/>
      <c r="C260" s="32"/>
      <c r="D260" s="33"/>
      <c r="E260" s="34"/>
      <c r="F260" s="34"/>
      <c r="G260" s="35"/>
      <c r="H260" s="34"/>
      <c r="I260" s="37"/>
    </row>
    <row r="261" ht="22.5" customHeight="1">
      <c r="A261" s="30"/>
      <c r="B261" s="31"/>
      <c r="C261" s="32"/>
      <c r="D261" s="33"/>
      <c r="E261" s="34"/>
      <c r="F261" s="34"/>
      <c r="G261" s="35"/>
      <c r="H261" s="34"/>
      <c r="I261" s="37"/>
    </row>
    <row r="262" ht="22.5" customHeight="1">
      <c r="A262" s="30"/>
      <c r="B262" s="31"/>
      <c r="C262" s="32"/>
      <c r="D262" s="33"/>
      <c r="E262" s="34"/>
      <c r="F262" s="34"/>
      <c r="G262" s="35"/>
      <c r="H262" s="34"/>
      <c r="I262" s="37"/>
    </row>
    <row r="263" ht="22.5" customHeight="1">
      <c r="A263" s="30"/>
      <c r="B263" s="31"/>
      <c r="C263" s="32"/>
      <c r="D263" s="33"/>
      <c r="E263" s="34"/>
      <c r="F263" s="34"/>
      <c r="G263" s="35"/>
      <c r="H263" s="34"/>
      <c r="I263" s="37"/>
    </row>
    <row r="264" ht="22.5" customHeight="1">
      <c r="A264" s="30"/>
      <c r="B264" s="31"/>
      <c r="C264" s="32"/>
      <c r="D264" s="33"/>
      <c r="E264" s="34"/>
      <c r="F264" s="34"/>
      <c r="G264" s="35"/>
      <c r="H264" s="34"/>
      <c r="I264" s="37"/>
    </row>
    <row r="265" ht="22.5" customHeight="1">
      <c r="A265" s="30"/>
      <c r="B265" s="31"/>
      <c r="C265" s="32"/>
      <c r="D265" s="33"/>
      <c r="E265" s="34"/>
      <c r="F265" s="34"/>
      <c r="G265" s="35"/>
      <c r="H265" s="34"/>
      <c r="I265" s="37"/>
    </row>
    <row r="266" ht="22.5" customHeight="1">
      <c r="A266" s="30"/>
      <c r="B266" s="31"/>
      <c r="C266" s="32"/>
      <c r="D266" s="33"/>
      <c r="E266" s="34"/>
      <c r="F266" s="34"/>
      <c r="G266" s="35"/>
      <c r="H266" s="34"/>
      <c r="I266" s="37"/>
    </row>
    <row r="267" ht="22.5" customHeight="1">
      <c r="A267" s="30"/>
      <c r="B267" s="31"/>
      <c r="C267" s="32"/>
      <c r="D267" s="33"/>
      <c r="E267" s="34"/>
      <c r="F267" s="34"/>
      <c r="G267" s="35"/>
      <c r="H267" s="34"/>
      <c r="I267" s="37"/>
    </row>
    <row r="268" ht="22.5" customHeight="1">
      <c r="A268" s="30"/>
      <c r="B268" s="31"/>
      <c r="C268" s="32"/>
      <c r="D268" s="33"/>
      <c r="E268" s="34"/>
      <c r="F268" s="34"/>
      <c r="G268" s="35"/>
      <c r="H268" s="34"/>
      <c r="I268" s="37"/>
    </row>
    <row r="269" ht="22.5" customHeight="1">
      <c r="A269" s="30"/>
      <c r="B269" s="31"/>
      <c r="C269" s="32"/>
      <c r="D269" s="33"/>
      <c r="E269" s="34"/>
      <c r="F269" s="34"/>
      <c r="G269" s="35"/>
      <c r="H269" s="34"/>
      <c r="I269" s="37"/>
    </row>
    <row r="270" ht="22.5" customHeight="1">
      <c r="A270" s="30"/>
      <c r="B270" s="31"/>
      <c r="C270" s="32"/>
      <c r="D270" s="33"/>
      <c r="E270" s="34"/>
      <c r="F270" s="34"/>
      <c r="G270" s="35"/>
      <c r="H270" s="34"/>
      <c r="I270" s="37"/>
    </row>
    <row r="271" ht="22.5" customHeight="1">
      <c r="A271" s="30"/>
      <c r="B271" s="31"/>
      <c r="C271" s="32"/>
      <c r="D271" s="33"/>
      <c r="E271" s="34"/>
      <c r="F271" s="34"/>
      <c r="G271" s="35"/>
      <c r="H271" s="34"/>
      <c r="I271" s="37"/>
    </row>
    <row r="272" ht="22.5" customHeight="1">
      <c r="A272" s="30"/>
      <c r="B272" s="31"/>
      <c r="C272" s="32"/>
      <c r="D272" s="33"/>
      <c r="E272" s="34"/>
      <c r="F272" s="34"/>
      <c r="G272" s="35"/>
      <c r="H272" s="34"/>
      <c r="I272" s="37"/>
    </row>
    <row r="273" ht="22.5" customHeight="1">
      <c r="A273" s="30"/>
      <c r="B273" s="31"/>
      <c r="C273" s="32"/>
      <c r="D273" s="33"/>
      <c r="E273" s="34"/>
      <c r="F273" s="34"/>
      <c r="G273" s="35"/>
      <c r="H273" s="34"/>
      <c r="I273" s="37"/>
    </row>
    <row r="274" ht="22.5" customHeight="1">
      <c r="A274" s="30"/>
      <c r="B274" s="40"/>
      <c r="C274" s="32"/>
      <c r="D274" s="33"/>
      <c r="E274" s="34"/>
      <c r="F274" s="34"/>
      <c r="G274" s="35"/>
      <c r="H274" s="34"/>
      <c r="I274" s="37"/>
    </row>
    <row r="275" ht="22.5" customHeight="1">
      <c r="A275" s="30"/>
      <c r="B275" s="31"/>
      <c r="C275" s="32"/>
      <c r="D275" s="33"/>
      <c r="E275" s="34"/>
      <c r="F275" s="34"/>
      <c r="G275" s="35"/>
      <c r="H275" s="34"/>
      <c r="I275" s="37"/>
    </row>
    <row r="276" ht="22.5" customHeight="1">
      <c r="A276" s="30"/>
      <c r="B276" s="31"/>
      <c r="C276" s="32"/>
      <c r="D276" s="33"/>
      <c r="E276" s="34"/>
      <c r="F276" s="34"/>
      <c r="G276" s="35"/>
      <c r="H276" s="34"/>
      <c r="I276" s="37"/>
    </row>
    <row r="277" ht="22.5" customHeight="1">
      <c r="A277" s="30"/>
      <c r="B277" s="31"/>
      <c r="C277" s="32"/>
      <c r="D277" s="33"/>
      <c r="E277" s="34"/>
      <c r="F277" s="34"/>
      <c r="G277" s="35"/>
      <c r="H277" s="34"/>
      <c r="I277" s="37"/>
    </row>
    <row r="278" ht="22.5" customHeight="1">
      <c r="A278" s="30"/>
      <c r="B278" s="31"/>
      <c r="C278" s="32"/>
      <c r="D278" s="33"/>
      <c r="E278" s="34"/>
      <c r="F278" s="34"/>
      <c r="G278" s="35"/>
      <c r="H278" s="34"/>
      <c r="I278" s="38"/>
    </row>
    <row r="279" ht="22.5" customHeight="1">
      <c r="A279" s="30"/>
      <c r="B279" s="39"/>
      <c r="C279" s="32"/>
      <c r="D279" s="33"/>
      <c r="E279" s="34"/>
      <c r="F279" s="34"/>
      <c r="G279" s="35"/>
      <c r="H279" s="34"/>
      <c r="I279" s="37"/>
    </row>
    <row r="280" ht="22.5" customHeight="1">
      <c r="A280" s="30"/>
      <c r="B280" s="31"/>
      <c r="C280" s="32"/>
      <c r="D280" s="33"/>
      <c r="E280" s="34"/>
      <c r="F280" s="34"/>
      <c r="G280" s="35"/>
      <c r="H280" s="34"/>
      <c r="I280" s="37"/>
    </row>
    <row r="281" ht="22.5" customHeight="1">
      <c r="A281" s="30"/>
      <c r="B281" s="31"/>
      <c r="C281" s="32"/>
      <c r="D281" s="33"/>
      <c r="E281" s="34"/>
      <c r="F281" s="34"/>
      <c r="G281" s="35"/>
      <c r="H281" s="34"/>
      <c r="I281" s="37"/>
    </row>
    <row r="282" ht="22.5" customHeight="1">
      <c r="A282" s="30"/>
      <c r="B282" s="31"/>
      <c r="C282" s="32"/>
      <c r="D282" s="33"/>
      <c r="E282" s="34"/>
      <c r="F282" s="34"/>
      <c r="G282" s="35"/>
      <c r="H282" s="34"/>
      <c r="I282" s="37"/>
    </row>
    <row r="283" ht="22.5" customHeight="1">
      <c r="A283" s="30"/>
      <c r="B283" s="39"/>
      <c r="C283" s="32"/>
      <c r="D283" s="33"/>
      <c r="E283" s="34"/>
      <c r="F283" s="34"/>
      <c r="G283" s="35"/>
      <c r="H283" s="34"/>
      <c r="I283" s="37"/>
    </row>
    <row r="284" ht="22.5" customHeight="1">
      <c r="A284" s="30"/>
      <c r="B284" s="31"/>
      <c r="C284" s="32"/>
      <c r="D284" s="33"/>
      <c r="E284" s="34"/>
      <c r="F284" s="34"/>
      <c r="G284" s="35"/>
      <c r="H284" s="34"/>
      <c r="I284" s="37"/>
    </row>
    <row r="285" ht="22.5" customHeight="1">
      <c r="A285" s="30"/>
      <c r="B285" s="39"/>
      <c r="C285" s="32"/>
      <c r="D285" s="33"/>
      <c r="E285" s="34"/>
      <c r="F285" s="34"/>
      <c r="G285" s="35"/>
      <c r="H285" s="34"/>
      <c r="I285" s="37"/>
    </row>
    <row r="286" ht="22.5" customHeight="1">
      <c r="A286" s="30"/>
      <c r="B286" s="31"/>
      <c r="C286" s="32"/>
      <c r="D286" s="33"/>
      <c r="E286" s="34"/>
      <c r="F286" s="34"/>
      <c r="G286" s="35"/>
      <c r="H286" s="34"/>
      <c r="I286" s="37"/>
    </row>
    <row r="287" ht="22.5" customHeight="1">
      <c r="A287" s="30"/>
      <c r="B287" s="31"/>
      <c r="C287" s="32"/>
      <c r="D287" s="33"/>
      <c r="E287" s="34"/>
      <c r="F287" s="34"/>
      <c r="G287" s="35"/>
      <c r="H287" s="34"/>
      <c r="I287" s="37"/>
    </row>
    <row r="288" ht="22.5" customHeight="1">
      <c r="A288" s="30"/>
      <c r="B288" s="31"/>
      <c r="C288" s="32"/>
      <c r="D288" s="33"/>
      <c r="E288" s="34"/>
      <c r="F288" s="34"/>
      <c r="G288" s="35"/>
      <c r="H288" s="34"/>
      <c r="I288" s="37"/>
    </row>
    <row r="289" ht="22.5" customHeight="1">
      <c r="A289" s="30"/>
      <c r="B289" s="31"/>
      <c r="C289" s="32"/>
      <c r="D289" s="33"/>
      <c r="E289" s="34"/>
      <c r="F289" s="34"/>
      <c r="G289" s="35"/>
      <c r="H289" s="34"/>
      <c r="I289" s="37"/>
    </row>
    <row r="290" ht="22.5" customHeight="1">
      <c r="A290" s="30"/>
      <c r="B290" s="31"/>
      <c r="C290" s="32"/>
      <c r="D290" s="33"/>
      <c r="E290" s="34"/>
      <c r="F290" s="34"/>
      <c r="G290" s="35"/>
      <c r="H290" s="34"/>
      <c r="I290" s="37"/>
    </row>
    <row r="291" ht="22.5" customHeight="1">
      <c r="A291" s="30"/>
      <c r="B291" s="31"/>
      <c r="C291" s="32"/>
      <c r="D291" s="33"/>
      <c r="E291" s="34"/>
      <c r="F291" s="34"/>
      <c r="G291" s="35"/>
      <c r="H291" s="34"/>
      <c r="I291" s="37"/>
    </row>
    <row r="292" ht="22.5" customHeight="1">
      <c r="A292" s="30"/>
      <c r="B292" s="31"/>
      <c r="C292" s="32"/>
      <c r="D292" s="33"/>
      <c r="E292" s="34"/>
      <c r="F292" s="34"/>
      <c r="G292" s="35"/>
      <c r="H292" s="34"/>
      <c r="I292" s="37"/>
    </row>
    <row r="293" ht="22.5" customHeight="1">
      <c r="A293" s="30"/>
      <c r="B293" s="31"/>
      <c r="C293" s="32"/>
      <c r="D293" s="33"/>
      <c r="E293" s="34"/>
      <c r="F293" s="34"/>
      <c r="G293" s="35"/>
      <c r="H293" s="34"/>
      <c r="I293" s="37"/>
    </row>
    <row r="294" ht="22.5" customHeight="1">
      <c r="A294" s="30"/>
      <c r="B294" s="31"/>
      <c r="C294" s="32"/>
      <c r="D294" s="33"/>
      <c r="E294" s="34"/>
      <c r="F294" s="34"/>
      <c r="G294" s="35"/>
      <c r="H294" s="34"/>
      <c r="I294" s="37"/>
    </row>
    <row r="295" ht="22.5" customHeight="1">
      <c r="A295" s="30"/>
      <c r="B295" s="31"/>
      <c r="C295" s="32"/>
      <c r="D295" s="33"/>
      <c r="E295" s="34"/>
      <c r="F295" s="34"/>
      <c r="G295" s="35"/>
      <c r="H295" s="34"/>
      <c r="I295" s="37"/>
    </row>
    <row r="296" ht="22.5" customHeight="1">
      <c r="A296" s="30"/>
      <c r="B296" s="40"/>
      <c r="C296" s="32"/>
      <c r="D296" s="33"/>
      <c r="E296" s="34"/>
      <c r="F296" s="34"/>
      <c r="G296" s="35"/>
      <c r="H296" s="34"/>
      <c r="I296" s="37"/>
    </row>
    <row r="297" ht="22.5" customHeight="1">
      <c r="A297" s="30"/>
      <c r="B297" s="31"/>
      <c r="C297" s="32"/>
      <c r="D297" s="33"/>
      <c r="E297" s="34"/>
      <c r="F297" s="34"/>
      <c r="G297" s="35"/>
      <c r="H297" s="34"/>
      <c r="I297" s="37"/>
    </row>
    <row r="298" ht="22.5" customHeight="1">
      <c r="A298" s="30"/>
      <c r="B298" s="31"/>
      <c r="C298" s="32"/>
      <c r="D298" s="33"/>
      <c r="E298" s="34"/>
      <c r="F298" s="34"/>
      <c r="G298" s="35"/>
      <c r="H298" s="34"/>
      <c r="I298" s="37"/>
    </row>
    <row r="299" ht="22.5" customHeight="1">
      <c r="A299" s="30"/>
      <c r="B299" s="31"/>
      <c r="C299" s="32"/>
      <c r="D299" s="33"/>
      <c r="E299" s="34"/>
      <c r="F299" s="34"/>
      <c r="G299" s="35"/>
      <c r="H299" s="34"/>
      <c r="I299" s="37"/>
    </row>
    <row r="300" ht="22.5" customHeight="1">
      <c r="A300" s="30"/>
      <c r="B300" s="31"/>
      <c r="C300" s="32"/>
      <c r="D300" s="33"/>
      <c r="E300" s="34"/>
      <c r="F300" s="34"/>
      <c r="G300" s="35"/>
      <c r="H300" s="34"/>
      <c r="I300" s="37"/>
    </row>
    <row r="301" ht="22.5" customHeight="1">
      <c r="A301" s="30"/>
      <c r="B301" s="31"/>
      <c r="C301" s="32"/>
      <c r="D301" s="33"/>
      <c r="E301" s="34"/>
      <c r="F301" s="34"/>
      <c r="G301" s="35"/>
      <c r="H301" s="34"/>
      <c r="I301" s="37"/>
    </row>
    <row r="302" ht="22.5" customHeight="1">
      <c r="A302" s="30"/>
      <c r="B302" s="31"/>
      <c r="C302" s="32"/>
      <c r="D302" s="33"/>
      <c r="E302" s="34"/>
      <c r="F302" s="34"/>
      <c r="G302" s="35"/>
      <c r="H302" s="34"/>
      <c r="I302" s="37"/>
    </row>
    <row r="303" ht="22.5" customHeight="1">
      <c r="A303" s="30"/>
      <c r="B303" s="39"/>
      <c r="C303" s="32"/>
      <c r="D303" s="33"/>
      <c r="E303" s="34"/>
      <c r="F303" s="34"/>
      <c r="G303" s="35"/>
      <c r="H303" s="34"/>
      <c r="I303" s="37"/>
    </row>
    <row r="304" ht="22.5" customHeight="1">
      <c r="A304" s="30"/>
      <c r="B304" s="39"/>
      <c r="C304" s="32"/>
      <c r="D304" s="33"/>
      <c r="E304" s="34"/>
      <c r="F304" s="34"/>
      <c r="G304" s="35"/>
      <c r="H304" s="34"/>
      <c r="I304" s="37"/>
    </row>
    <row r="305" ht="22.5" customHeight="1">
      <c r="A305" s="30"/>
      <c r="B305" s="39"/>
      <c r="C305" s="32"/>
      <c r="D305" s="33"/>
      <c r="E305" s="34"/>
      <c r="F305" s="34"/>
      <c r="G305" s="35"/>
      <c r="H305" s="34"/>
      <c r="I305" s="37"/>
    </row>
    <row r="306" ht="22.5" customHeight="1">
      <c r="A306" s="30"/>
      <c r="B306" s="40"/>
      <c r="C306" s="32"/>
      <c r="D306" s="33"/>
      <c r="E306" s="34"/>
      <c r="F306" s="34"/>
      <c r="G306" s="35"/>
      <c r="H306" s="34"/>
      <c r="I306" s="37"/>
    </row>
    <row r="307" ht="22.5" customHeight="1">
      <c r="A307" s="30"/>
      <c r="B307" s="31"/>
      <c r="C307" s="32"/>
      <c r="D307" s="33"/>
      <c r="E307" s="34"/>
      <c r="F307" s="34"/>
      <c r="G307" s="35"/>
      <c r="H307" s="34"/>
      <c r="I307" s="37"/>
    </row>
    <row r="308" ht="22.5" customHeight="1">
      <c r="A308" s="30"/>
      <c r="B308" s="31"/>
      <c r="C308" s="32"/>
      <c r="D308" s="33"/>
      <c r="E308" s="34"/>
      <c r="F308" s="34"/>
      <c r="G308" s="35"/>
      <c r="H308" s="34"/>
      <c r="I308" s="37"/>
    </row>
    <row r="309" ht="22.5" customHeight="1">
      <c r="A309" s="30"/>
      <c r="B309" s="31"/>
      <c r="C309" s="32"/>
      <c r="D309" s="33"/>
      <c r="E309" s="34"/>
      <c r="F309" s="34"/>
      <c r="G309" s="35"/>
      <c r="H309" s="34"/>
      <c r="I309" s="37"/>
    </row>
    <row r="310" ht="22.5" customHeight="1">
      <c r="A310" s="30"/>
      <c r="B310" s="31"/>
      <c r="C310" s="32"/>
      <c r="D310" s="33"/>
      <c r="E310" s="34"/>
      <c r="F310" s="34"/>
      <c r="G310" s="35"/>
      <c r="H310" s="34"/>
      <c r="I310" s="37"/>
    </row>
    <row r="311" ht="22.5" customHeight="1">
      <c r="A311" s="30"/>
      <c r="B311" s="31"/>
      <c r="C311" s="32"/>
      <c r="D311" s="33"/>
      <c r="E311" s="34"/>
      <c r="F311" s="34"/>
      <c r="G311" s="35"/>
      <c r="H311" s="34"/>
      <c r="I311" s="37"/>
    </row>
    <row r="312" ht="22.5" customHeight="1">
      <c r="A312" s="30"/>
      <c r="B312" s="31"/>
      <c r="C312" s="32"/>
      <c r="D312" s="33"/>
      <c r="E312" s="34"/>
      <c r="F312" s="34"/>
      <c r="G312" s="35"/>
      <c r="H312" s="34"/>
      <c r="I312" s="37"/>
    </row>
    <row r="313" ht="22.5" customHeight="1">
      <c r="A313" s="30"/>
      <c r="B313" s="31"/>
      <c r="C313" s="32"/>
      <c r="D313" s="33"/>
      <c r="E313" s="34"/>
      <c r="F313" s="34"/>
      <c r="G313" s="35"/>
      <c r="H313" s="34"/>
      <c r="I313" s="37"/>
    </row>
    <row r="314" ht="22.5" customHeight="1">
      <c r="A314" s="30"/>
      <c r="B314" s="31"/>
      <c r="C314" s="32"/>
      <c r="D314" s="33"/>
      <c r="E314" s="34"/>
      <c r="F314" s="34"/>
      <c r="G314" s="35"/>
      <c r="H314" s="34"/>
      <c r="I314" s="37"/>
    </row>
    <row r="315" ht="22.5" customHeight="1">
      <c r="A315" s="30"/>
      <c r="B315" s="31"/>
      <c r="C315" s="32"/>
      <c r="D315" s="33"/>
      <c r="E315" s="34"/>
      <c r="F315" s="34"/>
      <c r="G315" s="35"/>
      <c r="H315" s="34"/>
      <c r="I315" s="37"/>
    </row>
    <row r="316" ht="22.5" customHeight="1">
      <c r="A316" s="30"/>
      <c r="B316" s="40"/>
      <c r="C316" s="32"/>
      <c r="D316" s="33"/>
      <c r="E316" s="34"/>
      <c r="F316" s="34"/>
      <c r="G316" s="35"/>
      <c r="H316" s="34"/>
      <c r="I316" s="37"/>
    </row>
    <row r="317" ht="22.5" customHeight="1">
      <c r="A317" s="30"/>
      <c r="B317" s="31"/>
      <c r="C317" s="32"/>
      <c r="D317" s="33"/>
      <c r="E317" s="34"/>
      <c r="F317" s="34"/>
      <c r="G317" s="35"/>
      <c r="H317" s="34"/>
      <c r="I317" s="37"/>
    </row>
    <row r="318" ht="22.5" customHeight="1">
      <c r="A318" s="30"/>
      <c r="B318" s="31"/>
      <c r="C318" s="32"/>
      <c r="D318" s="33"/>
      <c r="E318" s="34"/>
      <c r="F318" s="34"/>
      <c r="G318" s="35"/>
      <c r="H318" s="34"/>
      <c r="I318" s="37"/>
    </row>
    <row r="319" ht="22.5" customHeight="1">
      <c r="A319" s="30"/>
      <c r="B319" s="31"/>
      <c r="C319" s="32"/>
      <c r="D319" s="33"/>
      <c r="E319" s="34"/>
      <c r="F319" s="34"/>
      <c r="G319" s="35"/>
      <c r="H319" s="34"/>
      <c r="I319" s="37"/>
    </row>
    <row r="320" ht="22.5" customHeight="1">
      <c r="A320" s="30"/>
      <c r="B320" s="40"/>
      <c r="C320" s="32"/>
      <c r="D320" s="33"/>
      <c r="E320" s="34"/>
      <c r="F320" s="34"/>
      <c r="G320" s="35"/>
      <c r="H320" s="34"/>
      <c r="I320" s="37"/>
    </row>
    <row r="321" ht="22.5" customHeight="1">
      <c r="A321" s="30"/>
      <c r="B321" s="31"/>
      <c r="C321" s="32"/>
      <c r="D321" s="33"/>
      <c r="E321" s="34"/>
      <c r="F321" s="34"/>
      <c r="G321" s="35"/>
      <c r="H321" s="34"/>
      <c r="I321" s="37"/>
    </row>
    <row r="322" ht="22.5" customHeight="1">
      <c r="A322" s="30"/>
      <c r="B322" s="31"/>
      <c r="C322" s="32"/>
      <c r="D322" s="33"/>
      <c r="E322" s="34"/>
      <c r="F322" s="34"/>
      <c r="G322" s="35"/>
      <c r="H322" s="34"/>
      <c r="I322" s="37"/>
    </row>
    <row r="323" ht="22.5" customHeight="1">
      <c r="A323" s="30"/>
      <c r="B323" s="31"/>
      <c r="C323" s="32"/>
      <c r="D323" s="33"/>
      <c r="E323" s="34"/>
      <c r="F323" s="34"/>
      <c r="G323" s="35"/>
      <c r="H323" s="34"/>
      <c r="I323" s="37"/>
    </row>
    <row r="324" ht="22.5" customHeight="1">
      <c r="A324" s="30"/>
      <c r="B324" s="31"/>
      <c r="C324" s="32"/>
      <c r="D324" s="33"/>
      <c r="E324" s="34"/>
      <c r="F324" s="34"/>
      <c r="G324" s="35"/>
      <c r="H324" s="34"/>
      <c r="I324" s="37"/>
    </row>
    <row r="325" ht="22.5" customHeight="1">
      <c r="A325" s="30"/>
      <c r="B325" s="31"/>
      <c r="C325" s="32"/>
      <c r="D325" s="33"/>
      <c r="E325" s="34"/>
      <c r="F325" s="34"/>
      <c r="G325" s="35"/>
      <c r="H325" s="34"/>
      <c r="I325" s="37"/>
    </row>
    <row r="326" ht="22.5" customHeight="1">
      <c r="A326" s="30"/>
      <c r="B326" s="31"/>
      <c r="C326" s="32"/>
      <c r="D326" s="33"/>
      <c r="E326" s="34"/>
      <c r="F326" s="34"/>
      <c r="G326" s="35"/>
      <c r="H326" s="34"/>
      <c r="I326" s="37"/>
    </row>
    <row r="327" ht="22.5" customHeight="1">
      <c r="A327" s="30"/>
      <c r="B327" s="31"/>
      <c r="C327" s="32"/>
      <c r="D327" s="33"/>
      <c r="E327" s="34"/>
      <c r="F327" s="34"/>
      <c r="G327" s="35"/>
      <c r="H327" s="34"/>
      <c r="I327" s="37"/>
    </row>
    <row r="328" ht="22.5" customHeight="1">
      <c r="A328" s="30"/>
      <c r="B328" s="31"/>
      <c r="C328" s="32"/>
      <c r="D328" s="33"/>
      <c r="E328" s="34"/>
      <c r="F328" s="34"/>
      <c r="G328" s="35"/>
      <c r="H328" s="34"/>
      <c r="I328" s="37"/>
    </row>
    <row r="329" ht="22.5" customHeight="1">
      <c r="A329" s="30"/>
      <c r="B329" s="31"/>
      <c r="C329" s="32"/>
      <c r="D329" s="33"/>
      <c r="E329" s="34"/>
      <c r="F329" s="34"/>
      <c r="G329" s="35"/>
      <c r="H329" s="34"/>
      <c r="I329" s="37"/>
    </row>
    <row r="330" ht="22.5" customHeight="1">
      <c r="A330" s="30"/>
      <c r="B330" s="31"/>
      <c r="C330" s="32"/>
      <c r="D330" s="33"/>
      <c r="E330" s="34"/>
      <c r="F330" s="34"/>
      <c r="G330" s="35"/>
      <c r="H330" s="34"/>
      <c r="I330" s="37"/>
    </row>
    <row r="331" ht="22.5" customHeight="1">
      <c r="A331" s="30"/>
      <c r="B331" s="31"/>
      <c r="C331" s="32"/>
      <c r="D331" s="33"/>
      <c r="E331" s="34"/>
      <c r="F331" s="34"/>
      <c r="G331" s="35"/>
      <c r="H331" s="34"/>
      <c r="I331" s="37"/>
    </row>
    <row r="332" ht="22.5" customHeight="1">
      <c r="A332" s="30"/>
      <c r="B332" s="31"/>
      <c r="C332" s="32"/>
      <c r="D332" s="33"/>
      <c r="E332" s="34"/>
      <c r="F332" s="34"/>
      <c r="G332" s="35"/>
      <c r="H332" s="34"/>
      <c r="I332" s="37"/>
    </row>
    <row r="333" ht="22.5" customHeight="1">
      <c r="A333" s="30"/>
      <c r="B333" s="31"/>
      <c r="C333" s="32"/>
      <c r="D333" s="33"/>
      <c r="E333" s="34"/>
      <c r="F333" s="34"/>
      <c r="G333" s="35"/>
      <c r="H333" s="34"/>
      <c r="I333" s="37"/>
    </row>
    <row r="334" ht="22.5" customHeight="1">
      <c r="A334" s="30"/>
      <c r="B334" s="31"/>
      <c r="C334" s="32"/>
      <c r="D334" s="33"/>
      <c r="E334" s="34"/>
      <c r="F334" s="34"/>
      <c r="G334" s="35"/>
      <c r="H334" s="34"/>
      <c r="I334" s="37"/>
    </row>
    <row r="335" ht="22.5" customHeight="1">
      <c r="A335" s="30"/>
      <c r="B335" s="40"/>
      <c r="C335" s="32"/>
      <c r="D335" s="33"/>
      <c r="E335" s="34"/>
      <c r="F335" s="34"/>
      <c r="G335" s="35"/>
      <c r="H335" s="34"/>
      <c r="I335" s="37"/>
    </row>
    <row r="336" ht="22.5" customHeight="1">
      <c r="A336" s="30"/>
      <c r="B336" s="31"/>
      <c r="C336" s="32"/>
      <c r="D336" s="33"/>
      <c r="E336" s="34"/>
      <c r="F336" s="34"/>
      <c r="G336" s="35"/>
      <c r="H336" s="34"/>
      <c r="I336" s="37"/>
    </row>
    <row r="337" ht="22.5" customHeight="1">
      <c r="A337" s="30"/>
      <c r="B337" s="40"/>
      <c r="C337" s="32"/>
      <c r="D337" s="33"/>
      <c r="E337" s="34"/>
      <c r="F337" s="34"/>
      <c r="G337" s="35"/>
      <c r="H337" s="34"/>
      <c r="I337" s="37"/>
    </row>
    <row r="338" ht="22.5" customHeight="1">
      <c r="A338" s="30"/>
      <c r="B338" s="31"/>
      <c r="C338" s="32"/>
      <c r="D338" s="33"/>
      <c r="E338" s="34"/>
      <c r="F338" s="34"/>
      <c r="G338" s="35"/>
      <c r="H338" s="34"/>
      <c r="I338" s="37"/>
    </row>
    <row r="339" ht="22.5" customHeight="1">
      <c r="A339" s="30"/>
      <c r="B339" s="31"/>
      <c r="C339" s="32"/>
      <c r="D339" s="33"/>
      <c r="E339" s="34"/>
      <c r="F339" s="34"/>
      <c r="G339" s="35"/>
      <c r="H339" s="34"/>
      <c r="I339" s="37"/>
    </row>
    <row r="340" ht="22.5" customHeight="1">
      <c r="A340" s="30"/>
      <c r="B340" s="31"/>
      <c r="C340" s="32"/>
      <c r="D340" s="33"/>
      <c r="E340" s="34"/>
      <c r="F340" s="34"/>
      <c r="G340" s="35"/>
      <c r="H340" s="34"/>
      <c r="I340" s="37"/>
    </row>
    <row r="341" ht="22.5" customHeight="1">
      <c r="A341" s="30"/>
      <c r="B341" s="31"/>
      <c r="C341" s="32"/>
      <c r="D341" s="33"/>
      <c r="E341" s="34"/>
      <c r="F341" s="34"/>
      <c r="G341" s="35"/>
      <c r="H341" s="34"/>
      <c r="I341" s="37"/>
    </row>
    <row r="342" ht="22.5" customHeight="1">
      <c r="A342" s="30"/>
      <c r="B342" s="40"/>
      <c r="C342" s="32"/>
      <c r="D342" s="33"/>
      <c r="E342" s="34"/>
      <c r="F342" s="34"/>
      <c r="G342" s="35"/>
      <c r="H342" s="34"/>
      <c r="I342" s="37"/>
    </row>
    <row r="343" ht="22.5" customHeight="1">
      <c r="A343" s="30"/>
      <c r="B343" s="31"/>
      <c r="C343" s="32"/>
      <c r="D343" s="33"/>
      <c r="E343" s="34"/>
      <c r="F343" s="34"/>
      <c r="G343" s="35"/>
      <c r="H343" s="34"/>
      <c r="I343" s="37"/>
    </row>
    <row r="344" ht="22.5" customHeight="1">
      <c r="A344" s="30"/>
      <c r="B344" s="31"/>
      <c r="C344" s="32"/>
      <c r="D344" s="33"/>
      <c r="E344" s="34"/>
      <c r="F344" s="34"/>
      <c r="G344" s="35"/>
      <c r="H344" s="34"/>
      <c r="I344" s="37"/>
    </row>
    <row r="345" ht="22.5" customHeight="1">
      <c r="A345" s="30"/>
      <c r="B345" s="31"/>
      <c r="C345" s="32"/>
      <c r="D345" s="33"/>
      <c r="E345" s="34"/>
      <c r="F345" s="34"/>
      <c r="G345" s="35"/>
      <c r="H345" s="34"/>
      <c r="I345" s="37"/>
    </row>
    <row r="346" ht="22.5" customHeight="1">
      <c r="A346" s="30"/>
      <c r="B346" s="31"/>
      <c r="C346" s="32"/>
      <c r="D346" s="33"/>
      <c r="E346" s="34"/>
      <c r="F346" s="34"/>
      <c r="G346" s="35"/>
      <c r="H346" s="34"/>
      <c r="I346" s="37"/>
    </row>
    <row r="347" ht="22.5" customHeight="1">
      <c r="A347" s="30"/>
      <c r="B347" s="31"/>
      <c r="C347" s="32"/>
      <c r="D347" s="33"/>
      <c r="E347" s="34"/>
      <c r="F347" s="34"/>
      <c r="G347" s="35"/>
      <c r="H347" s="34"/>
      <c r="I347" s="37"/>
    </row>
    <row r="348" ht="22.5" customHeight="1">
      <c r="A348" s="30"/>
      <c r="B348" s="31"/>
      <c r="C348" s="32"/>
      <c r="D348" s="33"/>
      <c r="E348" s="34"/>
      <c r="F348" s="34"/>
      <c r="G348" s="35"/>
      <c r="H348" s="34"/>
      <c r="I348" s="37"/>
    </row>
    <row r="349" ht="22.5" customHeight="1">
      <c r="A349" s="30"/>
      <c r="B349" s="31"/>
      <c r="C349" s="32"/>
      <c r="D349" s="33"/>
      <c r="E349" s="34"/>
      <c r="F349" s="34"/>
      <c r="G349" s="35"/>
      <c r="H349" s="34"/>
      <c r="I349" s="37"/>
    </row>
    <row r="350" ht="22.5" customHeight="1">
      <c r="A350" s="30"/>
      <c r="B350" s="31"/>
      <c r="C350" s="32"/>
      <c r="D350" s="33"/>
      <c r="E350" s="34"/>
      <c r="F350" s="34"/>
      <c r="G350" s="35"/>
      <c r="H350" s="34"/>
      <c r="I350" s="37"/>
    </row>
    <row r="351" ht="22.5" customHeight="1">
      <c r="A351" s="30"/>
      <c r="B351" s="31"/>
      <c r="C351" s="32"/>
      <c r="D351" s="33"/>
      <c r="E351" s="34"/>
      <c r="F351" s="34"/>
      <c r="G351" s="35"/>
      <c r="H351" s="34"/>
      <c r="I351" s="37"/>
    </row>
    <row r="352" ht="22.5" customHeight="1">
      <c r="A352" s="30"/>
      <c r="B352" s="31"/>
      <c r="C352" s="32"/>
      <c r="D352" s="33"/>
      <c r="E352" s="34"/>
      <c r="F352" s="34"/>
      <c r="G352" s="35"/>
      <c r="H352" s="34"/>
      <c r="I352" s="37"/>
    </row>
    <row r="353" ht="22.5" customHeight="1">
      <c r="A353" s="30"/>
      <c r="B353" s="31"/>
      <c r="C353" s="32"/>
      <c r="D353" s="33"/>
      <c r="E353" s="34"/>
      <c r="F353" s="34"/>
      <c r="G353" s="35"/>
      <c r="H353" s="34"/>
      <c r="I353" s="37"/>
    </row>
    <row r="354" ht="22.5" customHeight="1">
      <c r="A354" s="30"/>
      <c r="B354" s="31"/>
      <c r="C354" s="32"/>
      <c r="D354" s="33"/>
      <c r="E354" s="34"/>
      <c r="F354" s="34"/>
      <c r="G354" s="35"/>
      <c r="H354" s="34"/>
      <c r="I354" s="37"/>
    </row>
    <row r="355" ht="22.5" customHeight="1">
      <c r="A355" s="30"/>
      <c r="B355" s="31"/>
      <c r="C355" s="32"/>
      <c r="D355" s="33"/>
      <c r="E355" s="34"/>
      <c r="F355" s="34"/>
      <c r="G355" s="35"/>
      <c r="H355" s="34"/>
      <c r="I355" s="37"/>
    </row>
    <row r="356" ht="22.5" customHeight="1">
      <c r="A356" s="30"/>
      <c r="B356" s="31"/>
      <c r="C356" s="32"/>
      <c r="D356" s="33"/>
      <c r="E356" s="34"/>
      <c r="F356" s="34"/>
      <c r="G356" s="35"/>
      <c r="H356" s="34"/>
      <c r="I356" s="37"/>
    </row>
    <row r="357" ht="22.5" customHeight="1">
      <c r="A357" s="30"/>
      <c r="B357" s="31"/>
      <c r="C357" s="32"/>
      <c r="D357" s="33"/>
      <c r="E357" s="34"/>
      <c r="F357" s="34"/>
      <c r="G357" s="35"/>
      <c r="H357" s="34"/>
      <c r="I357" s="37"/>
    </row>
    <row r="358" ht="22.5" customHeight="1">
      <c r="A358" s="30"/>
      <c r="B358" s="31"/>
      <c r="C358" s="32"/>
      <c r="D358" s="33"/>
      <c r="E358" s="34"/>
      <c r="F358" s="34"/>
      <c r="G358" s="35"/>
      <c r="H358" s="34"/>
      <c r="I358" s="37"/>
    </row>
    <row r="359" ht="22.5" customHeight="1">
      <c r="A359" s="30"/>
      <c r="B359" s="31"/>
      <c r="C359" s="32"/>
      <c r="D359" s="33"/>
      <c r="E359" s="34"/>
      <c r="F359" s="34"/>
      <c r="G359" s="35"/>
      <c r="H359" s="34"/>
      <c r="I359" s="37"/>
    </row>
    <row r="360" ht="22.5" customHeight="1">
      <c r="A360" s="30"/>
      <c r="B360" s="31"/>
      <c r="C360" s="32"/>
      <c r="D360" s="33"/>
      <c r="E360" s="34"/>
      <c r="F360" s="34"/>
      <c r="G360" s="35"/>
      <c r="H360" s="34"/>
      <c r="I360" s="37"/>
    </row>
    <row r="361" ht="22.5" customHeight="1">
      <c r="A361" s="30"/>
      <c r="B361" s="31"/>
      <c r="C361" s="32"/>
      <c r="D361" s="33"/>
      <c r="E361" s="34"/>
      <c r="F361" s="34"/>
      <c r="G361" s="35"/>
      <c r="H361" s="34"/>
      <c r="I361" s="37"/>
    </row>
    <row r="362" ht="22.5" customHeight="1">
      <c r="A362" s="30"/>
      <c r="B362" s="31"/>
      <c r="C362" s="32"/>
      <c r="D362" s="33"/>
      <c r="E362" s="34"/>
      <c r="F362" s="34"/>
      <c r="G362" s="35"/>
      <c r="H362" s="34"/>
      <c r="I362" s="37"/>
    </row>
    <row r="363" ht="22.5" customHeight="1">
      <c r="A363" s="30"/>
      <c r="B363" s="31"/>
      <c r="C363" s="32"/>
      <c r="D363" s="33"/>
      <c r="E363" s="34"/>
      <c r="F363" s="34"/>
      <c r="G363" s="35"/>
      <c r="H363" s="34"/>
      <c r="I363" s="37"/>
    </row>
    <row r="364" ht="22.5" customHeight="1">
      <c r="A364" s="30"/>
      <c r="B364" s="40"/>
      <c r="C364" s="32"/>
      <c r="D364" s="33"/>
      <c r="E364" s="34"/>
      <c r="F364" s="34"/>
      <c r="G364" s="35"/>
      <c r="H364" s="34"/>
      <c r="I364" s="37"/>
    </row>
    <row r="365" ht="22.5" customHeight="1">
      <c r="A365" s="30"/>
      <c r="B365" s="31"/>
      <c r="C365" s="32"/>
      <c r="D365" s="33"/>
      <c r="E365" s="34"/>
      <c r="F365" s="34"/>
      <c r="G365" s="35"/>
      <c r="H365" s="34"/>
      <c r="I365" s="37"/>
    </row>
    <row r="366" ht="22.5" customHeight="1">
      <c r="A366" s="30"/>
      <c r="B366" s="31"/>
      <c r="C366" s="32"/>
      <c r="D366" s="33"/>
      <c r="E366" s="34"/>
      <c r="F366" s="34"/>
      <c r="G366" s="35"/>
      <c r="H366" s="34"/>
      <c r="I366" s="37"/>
    </row>
    <row r="367" ht="22.5" customHeight="1">
      <c r="A367" s="30"/>
      <c r="B367" s="31"/>
      <c r="C367" s="32"/>
      <c r="D367" s="33"/>
      <c r="E367" s="34"/>
      <c r="F367" s="34"/>
      <c r="G367" s="35"/>
      <c r="H367" s="34"/>
      <c r="I367" s="37"/>
    </row>
    <row r="368" ht="22.5" customHeight="1">
      <c r="A368" s="30"/>
      <c r="B368" s="31"/>
      <c r="C368" s="32"/>
      <c r="D368" s="33"/>
      <c r="E368" s="34"/>
      <c r="F368" s="34"/>
      <c r="G368" s="35"/>
      <c r="H368" s="34"/>
      <c r="I368" s="38"/>
    </row>
    <row r="369" ht="22.5" customHeight="1">
      <c r="A369" s="30"/>
      <c r="B369" s="39"/>
      <c r="C369" s="32"/>
      <c r="D369" s="33"/>
      <c r="E369" s="34"/>
      <c r="F369" s="34"/>
      <c r="G369" s="35"/>
      <c r="H369" s="34"/>
      <c r="I369" s="37"/>
    </row>
    <row r="370" ht="22.5" customHeight="1">
      <c r="A370" s="30"/>
      <c r="B370" s="31"/>
      <c r="C370" s="32"/>
      <c r="D370" s="33"/>
      <c r="E370" s="34"/>
      <c r="F370" s="34"/>
      <c r="G370" s="35"/>
      <c r="H370" s="34"/>
      <c r="I370" s="37"/>
    </row>
    <row r="371" ht="22.5" customHeight="1">
      <c r="A371" s="30"/>
      <c r="B371" s="31"/>
      <c r="C371" s="32"/>
      <c r="D371" s="33"/>
      <c r="E371" s="34"/>
      <c r="F371" s="34"/>
      <c r="G371" s="35"/>
      <c r="H371" s="34"/>
      <c r="I371" s="37"/>
    </row>
    <row r="372" ht="22.5" customHeight="1">
      <c r="A372" s="30"/>
      <c r="B372" s="31"/>
      <c r="C372" s="32"/>
      <c r="D372" s="33"/>
      <c r="E372" s="34"/>
      <c r="F372" s="34"/>
      <c r="G372" s="35"/>
      <c r="H372" s="34"/>
      <c r="I372" s="37"/>
    </row>
    <row r="373" ht="22.5" customHeight="1">
      <c r="A373" s="30"/>
      <c r="B373" s="39"/>
      <c r="C373" s="32"/>
      <c r="D373" s="33"/>
      <c r="E373" s="34"/>
      <c r="F373" s="34"/>
      <c r="G373" s="35"/>
      <c r="H373" s="34"/>
      <c r="I373" s="37"/>
    </row>
    <row r="374" ht="22.5" customHeight="1">
      <c r="A374" s="30"/>
      <c r="B374" s="31"/>
      <c r="C374" s="32"/>
      <c r="D374" s="33"/>
      <c r="E374" s="34"/>
      <c r="F374" s="34"/>
      <c r="G374" s="35"/>
      <c r="H374" s="34"/>
      <c r="I374" s="37"/>
    </row>
    <row r="375" ht="22.5" customHeight="1">
      <c r="A375" s="30"/>
      <c r="B375" s="39"/>
      <c r="C375" s="32"/>
      <c r="D375" s="33"/>
      <c r="E375" s="34"/>
      <c r="F375" s="34"/>
      <c r="G375" s="35"/>
      <c r="H375" s="34"/>
      <c r="I375" s="37"/>
    </row>
    <row r="376" ht="22.5" customHeight="1">
      <c r="A376" s="30"/>
      <c r="B376" s="31"/>
      <c r="C376" s="32"/>
      <c r="D376" s="33"/>
      <c r="E376" s="34"/>
      <c r="F376" s="34"/>
      <c r="G376" s="35"/>
      <c r="H376" s="34"/>
      <c r="I376" s="37"/>
    </row>
    <row r="377" ht="22.5" customHeight="1">
      <c r="A377" s="30"/>
      <c r="B377" s="31"/>
      <c r="C377" s="32"/>
      <c r="D377" s="33"/>
      <c r="E377" s="34"/>
      <c r="F377" s="34"/>
      <c r="G377" s="35"/>
      <c r="H377" s="34"/>
      <c r="I377" s="37"/>
    </row>
    <row r="378" ht="22.5" customHeight="1">
      <c r="A378" s="30"/>
      <c r="B378" s="31"/>
      <c r="C378" s="32"/>
      <c r="D378" s="33"/>
      <c r="E378" s="34"/>
      <c r="F378" s="34"/>
      <c r="G378" s="35"/>
      <c r="H378" s="34"/>
      <c r="I378" s="37"/>
    </row>
    <row r="379" ht="22.5" customHeight="1">
      <c r="A379" s="30"/>
      <c r="B379" s="31"/>
      <c r="C379" s="32"/>
      <c r="D379" s="33"/>
      <c r="E379" s="34"/>
      <c r="F379" s="34"/>
      <c r="G379" s="35"/>
      <c r="H379" s="34"/>
      <c r="I379" s="37"/>
    </row>
    <row r="380" ht="22.5" customHeight="1">
      <c r="A380" s="30"/>
      <c r="B380" s="31"/>
      <c r="C380" s="32"/>
      <c r="D380" s="33"/>
      <c r="E380" s="34"/>
      <c r="F380" s="34"/>
      <c r="G380" s="35"/>
      <c r="H380" s="34"/>
      <c r="I380" s="37"/>
    </row>
    <row r="381" ht="22.5" customHeight="1">
      <c r="A381" s="30"/>
      <c r="B381" s="31"/>
      <c r="C381" s="32"/>
      <c r="D381" s="33"/>
      <c r="E381" s="34"/>
      <c r="F381" s="34"/>
      <c r="G381" s="35"/>
      <c r="H381" s="34"/>
      <c r="I381" s="37"/>
    </row>
    <row r="382" ht="22.5" customHeight="1">
      <c r="A382" s="30"/>
      <c r="B382" s="31"/>
      <c r="C382" s="32"/>
      <c r="D382" s="33"/>
      <c r="E382" s="34"/>
      <c r="F382" s="34"/>
      <c r="G382" s="35"/>
      <c r="H382" s="34"/>
      <c r="I382" s="37"/>
    </row>
    <row r="383" ht="22.5" customHeight="1">
      <c r="A383" s="30"/>
      <c r="B383" s="31"/>
      <c r="C383" s="32"/>
      <c r="D383" s="33"/>
      <c r="E383" s="34"/>
      <c r="F383" s="34"/>
      <c r="G383" s="35"/>
      <c r="H383" s="34"/>
      <c r="I383" s="37"/>
    </row>
    <row r="384" ht="22.5" customHeight="1">
      <c r="A384" s="30"/>
      <c r="B384" s="31"/>
      <c r="C384" s="32"/>
      <c r="D384" s="33"/>
      <c r="E384" s="34"/>
      <c r="F384" s="34"/>
      <c r="G384" s="35"/>
      <c r="H384" s="34"/>
      <c r="I384" s="37"/>
    </row>
    <row r="385" ht="22.5" customHeight="1">
      <c r="A385" s="30"/>
      <c r="B385" s="31"/>
      <c r="C385" s="32"/>
      <c r="D385" s="33"/>
      <c r="E385" s="34"/>
      <c r="F385" s="34"/>
      <c r="G385" s="35"/>
      <c r="H385" s="34"/>
      <c r="I385" s="37"/>
    </row>
    <row r="386" ht="22.5" customHeight="1">
      <c r="A386" s="30"/>
      <c r="B386" s="40"/>
      <c r="C386" s="32"/>
      <c r="D386" s="33"/>
      <c r="E386" s="34"/>
      <c r="F386" s="34"/>
      <c r="G386" s="35"/>
      <c r="H386" s="34"/>
      <c r="I386" s="37"/>
    </row>
    <row r="387" ht="22.5" customHeight="1">
      <c r="A387" s="30"/>
      <c r="B387" s="31"/>
      <c r="C387" s="32"/>
      <c r="D387" s="33"/>
      <c r="E387" s="34"/>
      <c r="F387" s="34"/>
      <c r="G387" s="35"/>
      <c r="H387" s="34"/>
      <c r="I387" s="37"/>
    </row>
    <row r="388" ht="22.5" customHeight="1">
      <c r="A388" s="30"/>
      <c r="B388" s="31"/>
      <c r="C388" s="32"/>
      <c r="D388" s="33"/>
      <c r="E388" s="34"/>
      <c r="F388" s="34"/>
      <c r="G388" s="35"/>
      <c r="H388" s="34"/>
      <c r="I388" s="37"/>
    </row>
    <row r="389" ht="22.5" customHeight="1">
      <c r="A389" s="30"/>
      <c r="B389" s="31"/>
      <c r="C389" s="32"/>
      <c r="D389" s="33"/>
      <c r="E389" s="34"/>
      <c r="F389" s="34"/>
      <c r="G389" s="35"/>
      <c r="H389" s="34"/>
      <c r="I389" s="37"/>
    </row>
    <row r="390" ht="22.5" customHeight="1">
      <c r="A390" s="30"/>
      <c r="B390" s="31"/>
      <c r="C390" s="32"/>
      <c r="D390" s="33"/>
      <c r="E390" s="34"/>
      <c r="F390" s="34"/>
      <c r="G390" s="35"/>
      <c r="H390" s="34"/>
      <c r="I390" s="37"/>
    </row>
    <row r="391" ht="22.5" customHeight="1">
      <c r="A391" s="30"/>
      <c r="B391" s="31"/>
      <c r="C391" s="32"/>
      <c r="D391" s="33"/>
      <c r="E391" s="34"/>
      <c r="F391" s="34"/>
      <c r="G391" s="35"/>
      <c r="H391" s="34"/>
      <c r="I391" s="37"/>
    </row>
    <row r="392" ht="22.5" customHeight="1">
      <c r="A392" s="30"/>
      <c r="B392" s="31"/>
      <c r="C392" s="32"/>
      <c r="D392" s="33"/>
      <c r="E392" s="34"/>
      <c r="F392" s="34"/>
      <c r="G392" s="35"/>
      <c r="H392" s="34"/>
      <c r="I392" s="37"/>
    </row>
    <row r="393" ht="22.5" customHeight="1">
      <c r="A393" s="30"/>
      <c r="B393" s="39"/>
      <c r="C393" s="32"/>
      <c r="D393" s="33"/>
      <c r="E393" s="34"/>
      <c r="F393" s="34"/>
      <c r="G393" s="35"/>
      <c r="H393" s="34"/>
      <c r="I393" s="37"/>
    </row>
    <row r="394" ht="22.5" customHeight="1">
      <c r="A394" s="30"/>
      <c r="B394" s="39"/>
      <c r="C394" s="32"/>
      <c r="D394" s="33"/>
      <c r="E394" s="34"/>
      <c r="F394" s="34"/>
      <c r="G394" s="35"/>
      <c r="H394" s="34"/>
      <c r="I394" s="37"/>
    </row>
    <row r="395" ht="22.5" customHeight="1">
      <c r="A395" s="30"/>
      <c r="B395" s="39"/>
      <c r="C395" s="32"/>
      <c r="D395" s="33"/>
      <c r="E395" s="34"/>
      <c r="F395" s="34"/>
      <c r="G395" s="35"/>
      <c r="H395" s="34"/>
      <c r="I395" s="37"/>
    </row>
    <row r="396" ht="22.5" customHeight="1">
      <c r="A396" s="30"/>
      <c r="B396" s="40"/>
      <c r="C396" s="32"/>
      <c r="D396" s="33"/>
      <c r="E396" s="34"/>
      <c r="F396" s="34"/>
      <c r="G396" s="35"/>
      <c r="H396" s="34"/>
      <c r="I396" s="37"/>
    </row>
    <row r="397" ht="22.5" customHeight="1">
      <c r="A397" s="30"/>
      <c r="B397" s="31"/>
      <c r="C397" s="32"/>
      <c r="D397" s="33"/>
      <c r="E397" s="34"/>
      <c r="F397" s="34"/>
      <c r="G397" s="35"/>
      <c r="H397" s="34"/>
      <c r="I397" s="37"/>
    </row>
    <row r="398" ht="22.5" customHeight="1">
      <c r="A398" s="30"/>
      <c r="B398" s="31"/>
      <c r="C398" s="32"/>
      <c r="D398" s="33"/>
      <c r="E398" s="34"/>
      <c r="F398" s="34"/>
      <c r="G398" s="35"/>
      <c r="H398" s="34"/>
      <c r="I398" s="37"/>
    </row>
    <row r="399" ht="22.5" customHeight="1">
      <c r="A399" s="30"/>
      <c r="B399" s="31"/>
      <c r="C399" s="32"/>
      <c r="D399" s="33"/>
      <c r="E399" s="34"/>
      <c r="F399" s="34"/>
      <c r="G399" s="35"/>
      <c r="H399" s="34"/>
      <c r="I399" s="37"/>
    </row>
    <row r="400" ht="22.5" customHeight="1">
      <c r="A400" s="30"/>
      <c r="B400" s="31"/>
      <c r="C400" s="32"/>
      <c r="D400" s="33"/>
      <c r="E400" s="34"/>
      <c r="F400" s="34"/>
      <c r="G400" s="35"/>
      <c r="H400" s="34"/>
      <c r="I400" s="37"/>
    </row>
    <row r="401" ht="22.5" customHeight="1">
      <c r="A401" s="30"/>
      <c r="B401" s="31"/>
      <c r="C401" s="32"/>
      <c r="D401" s="33"/>
      <c r="E401" s="34"/>
      <c r="F401" s="34"/>
      <c r="G401" s="35"/>
      <c r="H401" s="34"/>
      <c r="I401" s="37"/>
    </row>
    <row r="402" ht="22.5" customHeight="1">
      <c r="A402" s="30"/>
      <c r="B402" s="31"/>
      <c r="C402" s="32"/>
      <c r="D402" s="33"/>
      <c r="E402" s="34"/>
      <c r="F402" s="34"/>
      <c r="G402" s="35"/>
      <c r="H402" s="34"/>
      <c r="I402" s="37"/>
    </row>
    <row r="403" ht="22.5" customHeight="1">
      <c r="A403" s="30"/>
      <c r="B403" s="31"/>
      <c r="C403" s="32"/>
      <c r="D403" s="33"/>
      <c r="E403" s="34"/>
      <c r="F403" s="34"/>
      <c r="G403" s="35"/>
      <c r="H403" s="34"/>
      <c r="I403" s="37"/>
    </row>
    <row r="404" ht="22.5" customHeight="1">
      <c r="A404" s="30"/>
      <c r="B404" s="31"/>
      <c r="C404" s="32"/>
      <c r="D404" s="33"/>
      <c r="E404" s="34"/>
      <c r="F404" s="34"/>
      <c r="G404" s="35"/>
      <c r="H404" s="34"/>
      <c r="I404" s="37"/>
    </row>
    <row r="405" ht="22.5" customHeight="1">
      <c r="A405" s="30"/>
      <c r="B405" s="31"/>
      <c r="C405" s="32"/>
      <c r="D405" s="33"/>
      <c r="E405" s="34"/>
      <c r="F405" s="34"/>
      <c r="G405" s="35"/>
      <c r="H405" s="34"/>
      <c r="I405" s="37"/>
    </row>
    <row r="406" ht="22.5" customHeight="1">
      <c r="A406" s="30"/>
      <c r="B406" s="40"/>
      <c r="C406" s="32"/>
      <c r="D406" s="33"/>
      <c r="E406" s="34"/>
      <c r="F406" s="34"/>
      <c r="G406" s="35"/>
      <c r="H406" s="34"/>
      <c r="I406" s="37"/>
    </row>
    <row r="407" ht="22.5" customHeight="1">
      <c r="A407" s="30"/>
      <c r="B407" s="31"/>
      <c r="C407" s="32"/>
      <c r="D407" s="33"/>
      <c r="E407" s="34"/>
      <c r="F407" s="34"/>
      <c r="G407" s="35"/>
      <c r="H407" s="34"/>
      <c r="I407" s="37"/>
    </row>
    <row r="408" ht="22.5" customHeight="1">
      <c r="A408" s="30"/>
      <c r="B408" s="31"/>
      <c r="C408" s="32"/>
      <c r="D408" s="33"/>
      <c r="E408" s="34"/>
      <c r="F408" s="34"/>
      <c r="G408" s="35"/>
      <c r="H408" s="34"/>
      <c r="I408" s="37"/>
    </row>
    <row r="409" ht="22.5" customHeight="1">
      <c r="A409" s="30"/>
      <c r="B409" s="31"/>
      <c r="C409" s="32"/>
      <c r="D409" s="33"/>
      <c r="E409" s="34"/>
      <c r="F409" s="34"/>
      <c r="G409" s="35"/>
      <c r="H409" s="34"/>
      <c r="I409" s="37"/>
    </row>
    <row r="410" ht="22.5" customHeight="1">
      <c r="A410" s="30"/>
      <c r="B410" s="40"/>
      <c r="C410" s="32"/>
      <c r="D410" s="33"/>
      <c r="E410" s="34"/>
      <c r="F410" s="34"/>
      <c r="G410" s="35"/>
      <c r="H410" s="34"/>
      <c r="I410" s="37"/>
    </row>
    <row r="411" ht="22.5" customHeight="1">
      <c r="A411" s="30"/>
      <c r="B411" s="31"/>
      <c r="C411" s="32"/>
      <c r="D411" s="33"/>
      <c r="E411" s="34"/>
      <c r="F411" s="34"/>
      <c r="G411" s="35"/>
      <c r="H411" s="34"/>
      <c r="I411" s="37"/>
    </row>
    <row r="412" ht="22.5" customHeight="1">
      <c r="A412" s="30"/>
      <c r="B412" s="31"/>
      <c r="C412" s="32"/>
      <c r="D412" s="33"/>
      <c r="E412" s="34"/>
      <c r="F412" s="34"/>
      <c r="G412" s="35"/>
      <c r="H412" s="34"/>
      <c r="I412" s="37"/>
    </row>
    <row r="413" ht="22.5" customHeight="1">
      <c r="A413" s="30"/>
      <c r="B413" s="31"/>
      <c r="C413" s="32"/>
      <c r="D413" s="33"/>
      <c r="E413" s="34"/>
      <c r="F413" s="34"/>
      <c r="G413" s="35"/>
      <c r="H413" s="34"/>
      <c r="I413" s="37"/>
    </row>
    <row r="414" ht="22.5" customHeight="1">
      <c r="A414" s="30"/>
      <c r="B414" s="31"/>
      <c r="C414" s="32"/>
      <c r="D414" s="33"/>
      <c r="E414" s="34"/>
      <c r="F414" s="34"/>
      <c r="G414" s="35"/>
      <c r="H414" s="34"/>
      <c r="I414" s="37"/>
    </row>
    <row r="415" ht="22.5" customHeight="1">
      <c r="A415" s="30"/>
      <c r="B415" s="31"/>
      <c r="C415" s="32"/>
      <c r="D415" s="33"/>
      <c r="E415" s="34"/>
      <c r="F415" s="34"/>
      <c r="G415" s="35"/>
      <c r="H415" s="34"/>
      <c r="I415" s="37"/>
    </row>
    <row r="416" ht="22.5" customHeight="1">
      <c r="A416" s="30"/>
      <c r="B416" s="31"/>
      <c r="C416" s="32"/>
      <c r="D416" s="33"/>
      <c r="E416" s="34"/>
      <c r="F416" s="34"/>
      <c r="G416" s="35"/>
      <c r="H416" s="34"/>
      <c r="I416" s="37"/>
    </row>
    <row r="417" ht="22.5" customHeight="1">
      <c r="A417" s="30"/>
      <c r="B417" s="31"/>
      <c r="C417" s="32"/>
      <c r="D417" s="33"/>
      <c r="E417" s="34"/>
      <c r="F417" s="34"/>
      <c r="G417" s="35"/>
      <c r="H417" s="34"/>
      <c r="I417" s="37"/>
    </row>
    <row r="418" ht="22.5" customHeight="1">
      <c r="A418" s="30"/>
      <c r="B418" s="31"/>
      <c r="C418" s="32"/>
      <c r="D418" s="33"/>
      <c r="E418" s="34"/>
      <c r="F418" s="34"/>
      <c r="G418" s="35"/>
      <c r="H418" s="34"/>
      <c r="I418" s="37"/>
    </row>
    <row r="419" ht="22.5" customHeight="1">
      <c r="A419" s="30"/>
      <c r="B419" s="31"/>
      <c r="C419" s="32"/>
      <c r="D419" s="33"/>
      <c r="E419" s="34"/>
      <c r="F419" s="34"/>
      <c r="G419" s="35"/>
      <c r="H419" s="34"/>
      <c r="I419" s="37"/>
    </row>
    <row r="420" ht="22.5" customHeight="1">
      <c r="A420" s="30"/>
      <c r="B420" s="31"/>
      <c r="C420" s="32"/>
      <c r="D420" s="33"/>
      <c r="E420" s="34"/>
      <c r="F420" s="34"/>
      <c r="G420" s="35"/>
      <c r="H420" s="34"/>
      <c r="I420" s="37"/>
    </row>
    <row r="421" ht="22.5" customHeight="1">
      <c r="A421" s="30"/>
      <c r="B421" s="31"/>
      <c r="C421" s="32"/>
      <c r="D421" s="33"/>
      <c r="E421" s="34"/>
      <c r="F421" s="34"/>
      <c r="G421" s="35"/>
      <c r="H421" s="34"/>
      <c r="I421" s="37"/>
    </row>
    <row r="422" ht="22.5" customHeight="1">
      <c r="A422" s="30"/>
      <c r="B422" s="31"/>
      <c r="C422" s="32"/>
      <c r="D422" s="33"/>
      <c r="E422" s="34"/>
      <c r="F422" s="34"/>
      <c r="G422" s="35"/>
      <c r="H422" s="34"/>
      <c r="I422" s="37"/>
    </row>
    <row r="423" ht="22.5" customHeight="1">
      <c r="A423" s="30"/>
      <c r="B423" s="31"/>
      <c r="C423" s="32"/>
      <c r="D423" s="33"/>
      <c r="E423" s="34"/>
      <c r="F423" s="34"/>
      <c r="G423" s="35"/>
      <c r="H423" s="34"/>
      <c r="I423" s="37"/>
    </row>
    <row r="424" ht="22.5" customHeight="1">
      <c r="A424" s="30"/>
      <c r="B424" s="31"/>
      <c r="C424" s="32"/>
      <c r="D424" s="33"/>
      <c r="E424" s="34"/>
      <c r="F424" s="34"/>
      <c r="G424" s="35"/>
      <c r="H424" s="34"/>
      <c r="I424" s="37"/>
    </row>
    <row r="425" ht="22.5" customHeight="1">
      <c r="A425" s="30"/>
      <c r="B425" s="40"/>
      <c r="C425" s="32"/>
      <c r="D425" s="33"/>
      <c r="E425" s="34"/>
      <c r="F425" s="34"/>
      <c r="G425" s="35"/>
      <c r="H425" s="34"/>
      <c r="I425" s="37"/>
    </row>
    <row r="426" ht="22.5" customHeight="1">
      <c r="A426" s="30"/>
      <c r="B426" s="31"/>
      <c r="C426" s="32"/>
      <c r="D426" s="33"/>
      <c r="E426" s="34"/>
      <c r="F426" s="34"/>
      <c r="G426" s="35"/>
      <c r="H426" s="34"/>
      <c r="I426" s="37"/>
    </row>
    <row r="427" ht="22.5" customHeight="1">
      <c r="A427" s="30"/>
      <c r="B427" s="40"/>
      <c r="C427" s="32"/>
      <c r="D427" s="33"/>
      <c r="E427" s="34"/>
      <c r="F427" s="34"/>
      <c r="G427" s="35"/>
      <c r="H427" s="34"/>
      <c r="I427" s="37"/>
    </row>
    <row r="428" ht="22.5" customHeight="1">
      <c r="A428" s="30"/>
      <c r="B428" s="31"/>
      <c r="C428" s="32"/>
      <c r="D428" s="33"/>
      <c r="E428" s="34"/>
      <c r="F428" s="34"/>
      <c r="G428" s="35"/>
      <c r="H428" s="34"/>
      <c r="I428" s="37"/>
    </row>
    <row r="429" ht="22.5" customHeight="1">
      <c r="A429" s="30"/>
      <c r="B429" s="31"/>
      <c r="C429" s="32"/>
      <c r="D429" s="33"/>
      <c r="E429" s="34"/>
      <c r="F429" s="34"/>
      <c r="G429" s="35"/>
      <c r="H429" s="34"/>
      <c r="I429" s="37"/>
    </row>
    <row r="430" ht="22.5" customHeight="1">
      <c r="A430" s="30"/>
      <c r="B430" s="31"/>
      <c r="C430" s="32"/>
      <c r="D430" s="33"/>
      <c r="E430" s="34"/>
      <c r="F430" s="34"/>
      <c r="G430" s="35"/>
      <c r="H430" s="34"/>
      <c r="I430" s="37"/>
    </row>
    <row r="431" ht="22.5" customHeight="1">
      <c r="A431" s="30"/>
      <c r="B431" s="31"/>
      <c r="C431" s="32"/>
      <c r="D431" s="33"/>
      <c r="E431" s="34"/>
      <c r="F431" s="34"/>
      <c r="G431" s="35"/>
      <c r="H431" s="34"/>
      <c r="I431" s="37"/>
    </row>
    <row r="432" ht="22.5" customHeight="1">
      <c r="A432" s="30"/>
      <c r="B432" s="40"/>
      <c r="C432" s="32"/>
      <c r="D432" s="33"/>
      <c r="E432" s="34"/>
      <c r="F432" s="34"/>
      <c r="G432" s="35"/>
      <c r="H432" s="34"/>
      <c r="I432" s="37"/>
    </row>
    <row r="433" ht="22.5" customHeight="1">
      <c r="A433" s="30"/>
      <c r="B433" s="31"/>
      <c r="C433" s="32"/>
      <c r="D433" s="33"/>
      <c r="E433" s="34"/>
      <c r="F433" s="34"/>
      <c r="G433" s="35"/>
      <c r="H433" s="34"/>
      <c r="I433" s="37"/>
    </row>
    <row r="434" ht="22.5" customHeight="1">
      <c r="A434" s="30"/>
      <c r="B434" s="31"/>
      <c r="C434" s="32"/>
      <c r="D434" s="33"/>
      <c r="E434" s="34"/>
      <c r="F434" s="34"/>
      <c r="G434" s="35"/>
      <c r="H434" s="34"/>
      <c r="I434" s="37"/>
    </row>
    <row r="435" ht="22.5" customHeight="1">
      <c r="A435" s="30"/>
      <c r="B435" s="31"/>
      <c r="C435" s="32"/>
      <c r="D435" s="33"/>
      <c r="E435" s="34"/>
      <c r="F435" s="34"/>
      <c r="G435" s="35"/>
      <c r="H435" s="34"/>
      <c r="I435" s="37"/>
    </row>
    <row r="436" ht="22.5" customHeight="1">
      <c r="A436" s="30"/>
      <c r="B436" s="31"/>
      <c r="C436" s="32"/>
      <c r="D436" s="33"/>
      <c r="E436" s="34"/>
      <c r="F436" s="34"/>
      <c r="G436" s="35"/>
      <c r="H436" s="34"/>
      <c r="I436" s="37"/>
    </row>
    <row r="437" ht="22.5" customHeight="1">
      <c r="A437" s="30"/>
      <c r="B437" s="31"/>
      <c r="C437" s="32"/>
      <c r="D437" s="33"/>
      <c r="E437" s="34"/>
      <c r="F437" s="34"/>
      <c r="G437" s="35"/>
      <c r="H437" s="34"/>
      <c r="I437" s="37"/>
    </row>
    <row r="438" ht="22.5" customHeight="1">
      <c r="A438" s="30"/>
      <c r="B438" s="31"/>
      <c r="C438" s="32"/>
      <c r="D438" s="33"/>
      <c r="E438" s="34"/>
      <c r="F438" s="34"/>
      <c r="G438" s="35"/>
      <c r="H438" s="34"/>
      <c r="I438" s="37"/>
    </row>
    <row r="439" ht="22.5" customHeight="1">
      <c r="A439" s="30"/>
      <c r="B439" s="31"/>
      <c r="C439" s="32"/>
      <c r="D439" s="33"/>
      <c r="E439" s="34"/>
      <c r="F439" s="34"/>
      <c r="G439" s="35"/>
      <c r="H439" s="34"/>
      <c r="I439" s="37"/>
    </row>
    <row r="440" ht="22.5" customHeight="1">
      <c r="A440" s="30"/>
      <c r="B440" s="31"/>
      <c r="C440" s="32"/>
      <c r="D440" s="33"/>
      <c r="E440" s="34"/>
      <c r="F440" s="34"/>
      <c r="G440" s="35"/>
      <c r="H440" s="34"/>
      <c r="I440" s="37"/>
    </row>
    <row r="441" ht="22.5" customHeight="1">
      <c r="A441" s="30"/>
      <c r="B441" s="31"/>
      <c r="C441" s="32"/>
      <c r="D441" s="33"/>
      <c r="E441" s="34"/>
      <c r="F441" s="34"/>
      <c r="G441" s="35"/>
      <c r="H441" s="34"/>
      <c r="I441" s="37"/>
    </row>
    <row r="442" ht="22.5" customHeight="1">
      <c r="A442" s="30"/>
      <c r="B442" s="31"/>
      <c r="C442" s="32"/>
      <c r="D442" s="33"/>
      <c r="E442" s="34"/>
      <c r="F442" s="34"/>
      <c r="G442" s="35"/>
      <c r="H442" s="34"/>
      <c r="I442" s="37"/>
    </row>
    <row r="443" ht="22.5" customHeight="1">
      <c r="A443" s="30"/>
      <c r="B443" s="31"/>
      <c r="C443" s="32"/>
      <c r="D443" s="33"/>
      <c r="E443" s="34"/>
      <c r="F443" s="34"/>
      <c r="G443" s="35"/>
      <c r="H443" s="34"/>
      <c r="I443" s="37"/>
    </row>
    <row r="444" ht="22.5" customHeight="1">
      <c r="A444" s="30"/>
      <c r="B444" s="31"/>
      <c r="C444" s="32"/>
      <c r="D444" s="33"/>
      <c r="E444" s="34"/>
      <c r="F444" s="34"/>
      <c r="G444" s="35"/>
      <c r="H444" s="34"/>
      <c r="I444" s="37"/>
    </row>
    <row r="445" ht="22.5" customHeight="1">
      <c r="A445" s="30"/>
      <c r="B445" s="31"/>
      <c r="C445" s="32"/>
      <c r="D445" s="33"/>
      <c r="E445" s="34"/>
      <c r="F445" s="34"/>
      <c r="G445" s="35"/>
      <c r="H445" s="34"/>
      <c r="I445" s="37"/>
    </row>
    <row r="446" ht="22.5" customHeight="1">
      <c r="A446" s="30"/>
      <c r="B446" s="31"/>
      <c r="C446" s="32"/>
      <c r="D446" s="33"/>
      <c r="E446" s="34"/>
      <c r="F446" s="34"/>
      <c r="G446" s="35"/>
      <c r="H446" s="34"/>
      <c r="I446" s="37"/>
    </row>
    <row r="447" ht="22.5" customHeight="1">
      <c r="A447" s="30"/>
      <c r="B447" s="31"/>
      <c r="C447" s="32"/>
      <c r="D447" s="33"/>
      <c r="E447" s="34"/>
      <c r="F447" s="34"/>
      <c r="G447" s="35"/>
      <c r="H447" s="34"/>
      <c r="I447" s="37"/>
    </row>
    <row r="448" ht="22.5" customHeight="1">
      <c r="A448" s="30"/>
      <c r="B448" s="31"/>
      <c r="C448" s="32"/>
      <c r="D448" s="33"/>
      <c r="E448" s="34"/>
      <c r="F448" s="34"/>
      <c r="G448" s="35"/>
      <c r="H448" s="34"/>
      <c r="I448" s="37"/>
    </row>
    <row r="449" ht="22.5" customHeight="1">
      <c r="A449" s="30"/>
      <c r="B449" s="31"/>
      <c r="C449" s="32"/>
      <c r="D449" s="33"/>
      <c r="E449" s="34"/>
      <c r="F449" s="34"/>
      <c r="G449" s="35"/>
      <c r="H449" s="34"/>
      <c r="I449" s="37"/>
    </row>
    <row r="450" ht="22.5" customHeight="1">
      <c r="A450" s="30"/>
      <c r="B450" s="31"/>
      <c r="C450" s="32"/>
      <c r="D450" s="33"/>
      <c r="E450" s="34"/>
      <c r="F450" s="34"/>
      <c r="G450" s="35"/>
      <c r="H450" s="34"/>
      <c r="I450" s="37"/>
    </row>
    <row r="451" ht="22.5" customHeight="1">
      <c r="A451" s="30"/>
      <c r="B451" s="31"/>
      <c r="C451" s="32"/>
      <c r="D451" s="33"/>
      <c r="E451" s="34"/>
      <c r="F451" s="34"/>
      <c r="G451" s="35"/>
      <c r="H451" s="34"/>
      <c r="I451" s="37"/>
    </row>
    <row r="452" ht="22.5" customHeight="1">
      <c r="A452" s="30"/>
      <c r="B452" s="31"/>
      <c r="C452" s="32"/>
      <c r="D452" s="33"/>
      <c r="E452" s="34"/>
      <c r="F452" s="34"/>
      <c r="G452" s="35"/>
      <c r="H452" s="34"/>
      <c r="I452" s="37"/>
    </row>
    <row r="453" ht="22.5" customHeight="1">
      <c r="A453" s="30"/>
      <c r="B453" s="31"/>
      <c r="C453" s="32"/>
      <c r="D453" s="33"/>
      <c r="E453" s="34"/>
      <c r="F453" s="34"/>
      <c r="G453" s="35"/>
      <c r="H453" s="34"/>
      <c r="I453" s="37"/>
    </row>
    <row r="454" ht="22.5" customHeight="1">
      <c r="A454" s="30"/>
      <c r="B454" s="40"/>
      <c r="C454" s="32"/>
      <c r="D454" s="33"/>
      <c r="E454" s="34"/>
      <c r="F454" s="34"/>
      <c r="G454" s="35"/>
      <c r="H454" s="34"/>
      <c r="I454" s="37"/>
    </row>
    <row r="455" ht="22.5" customHeight="1">
      <c r="A455" s="30"/>
      <c r="B455" s="31"/>
      <c r="C455" s="32"/>
      <c r="D455" s="33"/>
      <c r="E455" s="34"/>
      <c r="F455" s="34"/>
      <c r="G455" s="35"/>
      <c r="H455" s="34"/>
      <c r="I455" s="37"/>
    </row>
    <row r="456" ht="22.5" customHeight="1">
      <c r="A456" s="30"/>
      <c r="B456" s="31"/>
      <c r="C456" s="32"/>
      <c r="D456" s="33"/>
      <c r="E456" s="34"/>
      <c r="F456" s="34"/>
      <c r="G456" s="35"/>
      <c r="H456" s="34"/>
      <c r="I456" s="37"/>
    </row>
    <row r="457" ht="22.5" customHeight="1">
      <c r="A457" s="30"/>
      <c r="B457" s="31"/>
      <c r="C457" s="32"/>
      <c r="D457" s="33"/>
      <c r="E457" s="34"/>
      <c r="F457" s="34"/>
      <c r="G457" s="35"/>
      <c r="H457" s="34"/>
      <c r="I457" s="37"/>
    </row>
    <row r="458" ht="22.5" customHeight="1">
      <c r="A458" s="30"/>
      <c r="B458" s="31"/>
      <c r="C458" s="32"/>
      <c r="D458" s="33"/>
      <c r="E458" s="34"/>
      <c r="F458" s="34"/>
      <c r="G458" s="35"/>
      <c r="H458" s="34"/>
      <c r="I458" s="38"/>
    </row>
    <row r="459" ht="22.5" customHeight="1">
      <c r="A459" s="30"/>
      <c r="B459" s="39"/>
      <c r="C459" s="32"/>
      <c r="D459" s="33"/>
      <c r="E459" s="34"/>
      <c r="F459" s="34"/>
      <c r="G459" s="35"/>
      <c r="H459" s="34"/>
      <c r="I459" s="37"/>
    </row>
    <row r="460" ht="22.5" customHeight="1">
      <c r="A460" s="30"/>
      <c r="B460" s="31"/>
      <c r="C460" s="32"/>
      <c r="D460" s="33"/>
      <c r="E460" s="34"/>
      <c r="F460" s="34"/>
      <c r="G460" s="35"/>
      <c r="H460" s="34"/>
      <c r="I460" s="37"/>
    </row>
    <row r="461" ht="22.5" customHeight="1">
      <c r="A461" s="30"/>
      <c r="B461" s="31"/>
      <c r="C461" s="32"/>
      <c r="D461" s="33"/>
      <c r="E461" s="34"/>
      <c r="F461" s="34"/>
      <c r="G461" s="35"/>
      <c r="H461" s="34"/>
      <c r="I461" s="37"/>
    </row>
    <row r="462" ht="22.5" customHeight="1">
      <c r="A462" s="30"/>
      <c r="B462" s="31"/>
      <c r="C462" s="32"/>
      <c r="D462" s="33"/>
      <c r="E462" s="34"/>
      <c r="F462" s="34"/>
      <c r="G462" s="35"/>
      <c r="H462" s="34"/>
      <c r="I462" s="37"/>
    </row>
    <row r="463" ht="22.5" customHeight="1">
      <c r="A463" s="30"/>
      <c r="B463" s="39"/>
      <c r="C463" s="32"/>
      <c r="D463" s="33"/>
      <c r="E463" s="34"/>
      <c r="F463" s="34"/>
      <c r="G463" s="35"/>
      <c r="H463" s="34"/>
      <c r="I463" s="37"/>
    </row>
    <row r="464" ht="22.5" customHeight="1">
      <c r="A464" s="30"/>
      <c r="B464" s="31"/>
      <c r="C464" s="32"/>
      <c r="D464" s="33"/>
      <c r="E464" s="34"/>
      <c r="F464" s="34"/>
      <c r="G464" s="35"/>
      <c r="H464" s="34"/>
      <c r="I464" s="37"/>
    </row>
    <row r="465" ht="22.5" customHeight="1">
      <c r="A465" s="30"/>
      <c r="B465" s="39"/>
      <c r="C465" s="32"/>
      <c r="D465" s="33"/>
      <c r="E465" s="34"/>
      <c r="F465" s="34"/>
      <c r="G465" s="35"/>
      <c r="H465" s="34"/>
      <c r="I465" s="37"/>
    </row>
    <row r="466" ht="22.5" customHeight="1">
      <c r="A466" s="30"/>
      <c r="B466" s="31"/>
      <c r="C466" s="32"/>
      <c r="D466" s="33"/>
      <c r="E466" s="34"/>
      <c r="F466" s="34"/>
      <c r="G466" s="35"/>
      <c r="H466" s="34"/>
      <c r="I466" s="37"/>
    </row>
    <row r="467" ht="22.5" customHeight="1">
      <c r="A467" s="30"/>
      <c r="B467" s="31"/>
      <c r="C467" s="32"/>
      <c r="D467" s="33"/>
      <c r="E467" s="34"/>
      <c r="F467" s="34"/>
      <c r="G467" s="35"/>
      <c r="H467" s="34"/>
      <c r="I467" s="37"/>
    </row>
    <row r="468" ht="22.5" customHeight="1">
      <c r="A468" s="30"/>
      <c r="B468" s="31"/>
      <c r="C468" s="32"/>
      <c r="D468" s="33"/>
      <c r="E468" s="34"/>
      <c r="F468" s="34"/>
      <c r="G468" s="35"/>
      <c r="H468" s="34"/>
      <c r="I468" s="37"/>
    </row>
    <row r="469" ht="22.5" customHeight="1">
      <c r="A469" s="30"/>
      <c r="B469" s="31"/>
      <c r="C469" s="32"/>
      <c r="D469" s="33"/>
      <c r="E469" s="34"/>
      <c r="F469" s="34"/>
      <c r="G469" s="35"/>
      <c r="H469" s="34"/>
      <c r="I469" s="37"/>
    </row>
    <row r="470" ht="22.5" customHeight="1">
      <c r="A470" s="30"/>
      <c r="B470" s="31"/>
      <c r="C470" s="32"/>
      <c r="D470" s="33"/>
      <c r="E470" s="34"/>
      <c r="F470" s="34"/>
      <c r="G470" s="35"/>
      <c r="H470" s="34"/>
      <c r="I470" s="37"/>
    </row>
    <row r="471" ht="22.5" customHeight="1">
      <c r="A471" s="30"/>
      <c r="B471" s="31"/>
      <c r="C471" s="32"/>
      <c r="D471" s="33"/>
      <c r="E471" s="34"/>
      <c r="F471" s="34"/>
      <c r="G471" s="35"/>
      <c r="H471" s="34"/>
      <c r="I471" s="37"/>
    </row>
    <row r="472" ht="22.5" customHeight="1">
      <c r="A472" s="30"/>
      <c r="B472" s="31"/>
      <c r="C472" s="32"/>
      <c r="D472" s="33"/>
      <c r="E472" s="34"/>
      <c r="F472" s="34"/>
      <c r="G472" s="35"/>
      <c r="H472" s="34"/>
      <c r="I472" s="37"/>
    </row>
    <row r="473" ht="22.5" customHeight="1">
      <c r="A473" s="30"/>
      <c r="B473" s="31"/>
      <c r="C473" s="32"/>
      <c r="D473" s="33"/>
      <c r="E473" s="34"/>
      <c r="F473" s="34"/>
      <c r="G473" s="35"/>
      <c r="H473" s="34"/>
      <c r="I473" s="37"/>
    </row>
    <row r="474" ht="22.5" customHeight="1">
      <c r="A474" s="30"/>
      <c r="B474" s="31"/>
      <c r="C474" s="32"/>
      <c r="D474" s="33"/>
      <c r="E474" s="34"/>
      <c r="F474" s="34"/>
      <c r="G474" s="35"/>
      <c r="H474" s="34"/>
      <c r="I474" s="37"/>
    </row>
    <row r="475" ht="22.5" customHeight="1">
      <c r="A475" s="30"/>
      <c r="B475" s="31"/>
      <c r="C475" s="32"/>
      <c r="D475" s="33"/>
      <c r="E475" s="34"/>
      <c r="F475" s="34"/>
      <c r="G475" s="35"/>
      <c r="H475" s="34"/>
      <c r="I475" s="37"/>
    </row>
    <row r="476" ht="22.5" customHeight="1">
      <c r="A476" s="30"/>
      <c r="B476" s="40"/>
      <c r="C476" s="32"/>
      <c r="D476" s="33"/>
      <c r="E476" s="34"/>
      <c r="F476" s="34"/>
      <c r="G476" s="35"/>
      <c r="H476" s="34"/>
      <c r="I476" s="37"/>
    </row>
    <row r="477" ht="22.5" customHeight="1">
      <c r="A477" s="30"/>
      <c r="B477" s="31"/>
      <c r="C477" s="32"/>
      <c r="D477" s="33"/>
      <c r="E477" s="34"/>
      <c r="F477" s="34"/>
      <c r="G477" s="35"/>
      <c r="H477" s="34"/>
      <c r="I477" s="37"/>
    </row>
    <row r="478" ht="22.5" customHeight="1">
      <c r="A478" s="30"/>
      <c r="B478" s="31"/>
      <c r="C478" s="32"/>
      <c r="D478" s="33"/>
      <c r="E478" s="34"/>
      <c r="F478" s="34"/>
      <c r="G478" s="35"/>
      <c r="H478" s="34"/>
      <c r="I478" s="37"/>
    </row>
    <row r="479" ht="22.5" customHeight="1">
      <c r="A479" s="30"/>
      <c r="B479" s="31"/>
      <c r="C479" s="32"/>
      <c r="D479" s="33"/>
      <c r="E479" s="34"/>
      <c r="F479" s="34"/>
      <c r="G479" s="35"/>
      <c r="H479" s="34"/>
      <c r="I479" s="37"/>
    </row>
    <row r="480" ht="22.5" customHeight="1">
      <c r="A480" s="30"/>
      <c r="B480" s="31"/>
      <c r="C480" s="32"/>
      <c r="D480" s="33"/>
      <c r="E480" s="34"/>
      <c r="F480" s="34"/>
      <c r="G480" s="35"/>
      <c r="H480" s="34"/>
      <c r="I480" s="37"/>
    </row>
    <row r="481" ht="22.5" customHeight="1">
      <c r="A481" s="30"/>
      <c r="B481" s="31"/>
      <c r="C481" s="32"/>
      <c r="D481" s="33"/>
      <c r="E481" s="34"/>
      <c r="F481" s="34"/>
      <c r="G481" s="35"/>
      <c r="H481" s="34"/>
      <c r="I481" s="37"/>
    </row>
    <row r="482" ht="22.5" customHeight="1">
      <c r="A482" s="30"/>
      <c r="B482" s="31"/>
      <c r="C482" s="32"/>
      <c r="D482" s="33"/>
      <c r="E482" s="34"/>
      <c r="F482" s="34"/>
      <c r="G482" s="35"/>
      <c r="H482" s="34"/>
      <c r="I482" s="37"/>
    </row>
    <row r="483" ht="22.5" customHeight="1">
      <c r="A483" s="30"/>
      <c r="B483" s="39"/>
      <c r="C483" s="32"/>
      <c r="D483" s="33"/>
      <c r="E483" s="34"/>
      <c r="F483" s="34"/>
      <c r="G483" s="35"/>
      <c r="H483" s="34"/>
      <c r="I483" s="37"/>
    </row>
    <row r="484" ht="22.5" customHeight="1">
      <c r="A484" s="30"/>
      <c r="B484" s="39"/>
      <c r="C484" s="32"/>
      <c r="D484" s="33"/>
      <c r="E484" s="34"/>
      <c r="F484" s="34"/>
      <c r="G484" s="35"/>
      <c r="H484" s="34"/>
      <c r="I484" s="37"/>
    </row>
    <row r="485" ht="22.5" customHeight="1">
      <c r="A485" s="30"/>
      <c r="B485" s="39"/>
      <c r="C485" s="32"/>
      <c r="D485" s="33"/>
      <c r="E485" s="34"/>
      <c r="F485" s="34"/>
      <c r="G485" s="35"/>
      <c r="H485" s="34"/>
      <c r="I485" s="37"/>
    </row>
    <row r="486" ht="22.5" customHeight="1">
      <c r="A486" s="30"/>
      <c r="B486" s="40"/>
      <c r="C486" s="32"/>
      <c r="D486" s="33"/>
      <c r="E486" s="34"/>
      <c r="F486" s="34"/>
      <c r="G486" s="35"/>
      <c r="H486" s="34"/>
      <c r="I486" s="37"/>
    </row>
    <row r="487" ht="22.5" customHeight="1">
      <c r="A487" s="30"/>
      <c r="B487" s="31"/>
      <c r="C487" s="32"/>
      <c r="D487" s="33"/>
      <c r="E487" s="34"/>
      <c r="F487" s="34"/>
      <c r="G487" s="35"/>
      <c r="H487" s="34"/>
      <c r="I487" s="37"/>
    </row>
    <row r="488" ht="22.5" customHeight="1">
      <c r="A488" s="30"/>
      <c r="B488" s="31"/>
      <c r="C488" s="32"/>
      <c r="D488" s="33"/>
      <c r="E488" s="34"/>
      <c r="F488" s="34"/>
      <c r="G488" s="35"/>
      <c r="H488" s="34"/>
      <c r="I488" s="37"/>
    </row>
    <row r="489" ht="22.5" customHeight="1">
      <c r="A489" s="30"/>
      <c r="B489" s="31"/>
      <c r="C489" s="32"/>
      <c r="D489" s="33"/>
      <c r="E489" s="34"/>
      <c r="F489" s="34"/>
      <c r="G489" s="35"/>
      <c r="H489" s="34"/>
      <c r="I489" s="37"/>
    </row>
    <row r="490" ht="22.5" customHeight="1">
      <c r="A490" s="30"/>
      <c r="B490" s="31"/>
      <c r="C490" s="32"/>
      <c r="D490" s="33"/>
      <c r="E490" s="34"/>
      <c r="F490" s="34"/>
      <c r="G490" s="35"/>
      <c r="H490" s="34"/>
      <c r="I490" s="37"/>
    </row>
    <row r="491" ht="22.5" customHeight="1">
      <c r="A491" s="30"/>
      <c r="B491" s="31"/>
      <c r="C491" s="32"/>
      <c r="D491" s="33"/>
      <c r="E491" s="34"/>
      <c r="F491" s="34"/>
      <c r="G491" s="35"/>
      <c r="H491" s="34"/>
      <c r="I491" s="37"/>
    </row>
    <row r="492" ht="22.5" customHeight="1">
      <c r="A492" s="30"/>
      <c r="B492" s="31"/>
      <c r="C492" s="32"/>
      <c r="D492" s="33"/>
      <c r="E492" s="34"/>
      <c r="F492" s="34"/>
      <c r="G492" s="35"/>
      <c r="H492" s="34"/>
      <c r="I492" s="37"/>
    </row>
    <row r="493" ht="22.5" customHeight="1">
      <c r="A493" s="30"/>
      <c r="B493" s="31"/>
      <c r="C493" s="32"/>
      <c r="D493" s="33"/>
      <c r="E493" s="34"/>
      <c r="F493" s="34"/>
      <c r="G493" s="35"/>
      <c r="H493" s="34"/>
      <c r="I493" s="37"/>
    </row>
    <row r="494" ht="22.5" customHeight="1">
      <c r="A494" s="30"/>
      <c r="B494" s="31"/>
      <c r="C494" s="32"/>
      <c r="D494" s="33"/>
      <c r="E494" s="34"/>
      <c r="F494" s="34"/>
      <c r="G494" s="35"/>
      <c r="H494" s="34"/>
      <c r="I494" s="37"/>
    </row>
    <row r="495" ht="22.5" customHeight="1">
      <c r="A495" s="30"/>
      <c r="B495" s="31"/>
      <c r="C495" s="32"/>
      <c r="D495" s="33"/>
      <c r="E495" s="34"/>
      <c r="F495" s="34"/>
      <c r="G495" s="35"/>
      <c r="H495" s="34"/>
      <c r="I495" s="37"/>
    </row>
    <row r="496" ht="22.5" customHeight="1">
      <c r="A496" s="30"/>
      <c r="B496" s="40"/>
      <c r="C496" s="32"/>
      <c r="D496" s="33"/>
      <c r="E496" s="34"/>
      <c r="F496" s="34"/>
      <c r="G496" s="35"/>
      <c r="H496" s="34"/>
      <c r="I496" s="37"/>
    </row>
    <row r="497" ht="22.5" customHeight="1">
      <c r="A497" s="30"/>
      <c r="B497" s="31"/>
      <c r="C497" s="32"/>
      <c r="D497" s="33"/>
      <c r="E497" s="34"/>
      <c r="F497" s="34"/>
      <c r="G497" s="35"/>
      <c r="H497" s="34"/>
      <c r="I497" s="37"/>
    </row>
    <row r="498" ht="22.5" customHeight="1">
      <c r="A498" s="30"/>
      <c r="B498" s="31"/>
      <c r="C498" s="32"/>
      <c r="D498" s="33"/>
      <c r="E498" s="34"/>
      <c r="F498" s="34"/>
      <c r="G498" s="35"/>
      <c r="H498" s="34"/>
      <c r="I498" s="37"/>
    </row>
    <row r="499" ht="22.5" customHeight="1">
      <c r="A499" s="30"/>
      <c r="B499" s="31"/>
      <c r="C499" s="32"/>
      <c r="D499" s="33"/>
      <c r="E499" s="34"/>
      <c r="F499" s="34"/>
      <c r="G499" s="35"/>
      <c r="H499" s="34"/>
      <c r="I499" s="37"/>
    </row>
    <row r="500" ht="22.5" customHeight="1">
      <c r="A500" s="30"/>
      <c r="B500" s="40"/>
      <c r="C500" s="32"/>
      <c r="D500" s="33"/>
      <c r="E500" s="34"/>
      <c r="F500" s="34"/>
      <c r="G500" s="35"/>
      <c r="H500" s="34"/>
      <c r="I500" s="37"/>
    </row>
    <row r="501" ht="22.5" customHeight="1">
      <c r="A501" s="30"/>
      <c r="B501" s="31"/>
      <c r="C501" s="32"/>
      <c r="D501" s="33"/>
      <c r="E501" s="34"/>
      <c r="F501" s="34"/>
      <c r="G501" s="35"/>
      <c r="H501" s="34"/>
      <c r="I501" s="37"/>
    </row>
    <row r="502" ht="22.5" customHeight="1">
      <c r="A502" s="30"/>
      <c r="B502" s="31"/>
      <c r="C502" s="32"/>
      <c r="D502" s="33"/>
      <c r="E502" s="34"/>
      <c r="F502" s="34"/>
      <c r="G502" s="35"/>
      <c r="H502" s="34"/>
      <c r="I502" s="37"/>
    </row>
    <row r="503" ht="22.5" customHeight="1">
      <c r="A503" s="30"/>
      <c r="B503" s="31"/>
      <c r="C503" s="32"/>
      <c r="D503" s="33"/>
      <c r="E503" s="34"/>
      <c r="F503" s="34"/>
      <c r="G503" s="35"/>
      <c r="H503" s="34"/>
      <c r="I503" s="37"/>
    </row>
    <row r="504" ht="22.5" customHeight="1">
      <c r="A504" s="30"/>
      <c r="B504" s="31"/>
      <c r="C504" s="32"/>
      <c r="D504" s="33"/>
      <c r="E504" s="34"/>
      <c r="F504" s="34"/>
      <c r="G504" s="35"/>
      <c r="H504" s="34"/>
      <c r="I504" s="37"/>
    </row>
    <row r="505" ht="22.5" customHeight="1">
      <c r="A505" s="30"/>
      <c r="B505" s="31"/>
      <c r="C505" s="32"/>
      <c r="D505" s="33"/>
      <c r="E505" s="34"/>
      <c r="F505" s="34"/>
      <c r="G505" s="35"/>
      <c r="H505" s="34"/>
      <c r="I505" s="37"/>
    </row>
    <row r="506" ht="22.5" customHeight="1">
      <c r="A506" s="30"/>
      <c r="B506" s="31"/>
      <c r="C506" s="32"/>
      <c r="D506" s="33"/>
      <c r="E506" s="34"/>
      <c r="F506" s="34"/>
      <c r="G506" s="35"/>
      <c r="H506" s="34"/>
      <c r="I506" s="37"/>
    </row>
    <row r="507" ht="22.5" customHeight="1">
      <c r="A507" s="30"/>
      <c r="B507" s="31"/>
      <c r="C507" s="32"/>
      <c r="D507" s="33"/>
      <c r="E507" s="34"/>
      <c r="F507" s="34"/>
      <c r="G507" s="35"/>
      <c r="H507" s="34"/>
      <c r="I507" s="37"/>
    </row>
    <row r="508" ht="22.5" customHeight="1">
      <c r="A508" s="30"/>
      <c r="B508" s="31"/>
      <c r="C508" s="32"/>
      <c r="D508" s="33"/>
      <c r="E508" s="34"/>
      <c r="F508" s="34"/>
      <c r="G508" s="35"/>
      <c r="H508" s="34"/>
      <c r="I508" s="37"/>
    </row>
    <row r="509" ht="22.5" customHeight="1">
      <c r="A509" s="30"/>
      <c r="B509" s="31"/>
      <c r="C509" s="32"/>
      <c r="D509" s="33"/>
      <c r="E509" s="34"/>
      <c r="F509" s="34"/>
      <c r="G509" s="35"/>
      <c r="H509" s="34"/>
      <c r="I509" s="37"/>
    </row>
    <row r="510" ht="22.5" customHeight="1">
      <c r="A510" s="30"/>
      <c r="B510" s="31"/>
      <c r="C510" s="32"/>
      <c r="D510" s="33"/>
      <c r="E510" s="34"/>
      <c r="F510" s="34"/>
      <c r="G510" s="35"/>
      <c r="H510" s="34"/>
      <c r="I510" s="37"/>
    </row>
    <row r="511" ht="22.5" customHeight="1">
      <c r="A511" s="30"/>
      <c r="B511" s="31"/>
      <c r="C511" s="32"/>
      <c r="D511" s="33"/>
      <c r="E511" s="34"/>
      <c r="F511" s="34"/>
      <c r="G511" s="35"/>
      <c r="H511" s="34"/>
      <c r="I511" s="37"/>
    </row>
    <row r="512" ht="22.5" customHeight="1">
      <c r="A512" s="30"/>
      <c r="B512" s="31"/>
      <c r="C512" s="32"/>
      <c r="D512" s="33"/>
      <c r="E512" s="34"/>
      <c r="F512" s="34"/>
      <c r="G512" s="35"/>
      <c r="H512" s="34"/>
      <c r="I512" s="37"/>
    </row>
    <row r="513" ht="22.5" customHeight="1">
      <c r="A513" s="30"/>
      <c r="B513" s="31"/>
      <c r="C513" s="32"/>
      <c r="D513" s="33"/>
      <c r="E513" s="34"/>
      <c r="F513" s="34"/>
      <c r="G513" s="35"/>
      <c r="H513" s="34"/>
      <c r="I513" s="37"/>
    </row>
    <row r="514" ht="22.5" customHeight="1">
      <c r="A514" s="30"/>
      <c r="B514" s="31"/>
      <c r="C514" s="32"/>
      <c r="D514" s="33"/>
      <c r="E514" s="34"/>
      <c r="F514" s="34"/>
      <c r="G514" s="35"/>
      <c r="H514" s="34"/>
      <c r="I514" s="37"/>
    </row>
    <row r="515" ht="22.5" customHeight="1">
      <c r="A515" s="30"/>
      <c r="B515" s="40"/>
      <c r="C515" s="32"/>
      <c r="D515" s="33"/>
      <c r="E515" s="34"/>
      <c r="F515" s="34"/>
      <c r="G515" s="35"/>
      <c r="H515" s="34"/>
      <c r="I515" s="37"/>
    </row>
    <row r="516" ht="22.5" customHeight="1">
      <c r="A516" s="30"/>
      <c r="B516" s="31"/>
      <c r="C516" s="32"/>
      <c r="D516" s="33"/>
      <c r="E516" s="34"/>
      <c r="F516" s="34"/>
      <c r="G516" s="35"/>
      <c r="H516" s="34"/>
      <c r="I516" s="37"/>
    </row>
    <row r="517" ht="22.5" customHeight="1">
      <c r="A517" s="30"/>
      <c r="B517" s="40"/>
      <c r="C517" s="32"/>
      <c r="D517" s="33"/>
      <c r="E517" s="34"/>
      <c r="F517" s="34"/>
      <c r="G517" s="35"/>
      <c r="H517" s="34"/>
      <c r="I517" s="37"/>
    </row>
    <row r="518" ht="22.5" customHeight="1">
      <c r="A518" s="30"/>
      <c r="B518" s="31"/>
      <c r="C518" s="32"/>
      <c r="D518" s="33"/>
      <c r="E518" s="34"/>
      <c r="F518" s="34"/>
      <c r="G518" s="35"/>
      <c r="H518" s="34"/>
      <c r="I518" s="37"/>
    </row>
    <row r="519" ht="22.5" customHeight="1">
      <c r="A519" s="30"/>
      <c r="B519" s="31"/>
      <c r="C519" s="32"/>
      <c r="D519" s="33"/>
      <c r="E519" s="34"/>
      <c r="F519" s="34"/>
      <c r="G519" s="35"/>
      <c r="H519" s="34"/>
      <c r="I519" s="37"/>
    </row>
    <row r="520" ht="22.5" customHeight="1">
      <c r="A520" s="30"/>
      <c r="B520" s="31"/>
      <c r="C520" s="32"/>
      <c r="D520" s="33"/>
      <c r="E520" s="34"/>
      <c r="F520" s="34"/>
      <c r="G520" s="35"/>
      <c r="H520" s="34"/>
      <c r="I520" s="37"/>
    </row>
    <row r="521" ht="22.5" customHeight="1">
      <c r="A521" s="30"/>
      <c r="B521" s="31"/>
      <c r="C521" s="32"/>
      <c r="D521" s="33"/>
      <c r="E521" s="34"/>
      <c r="F521" s="34"/>
      <c r="G521" s="35"/>
      <c r="H521" s="34"/>
      <c r="I521" s="37"/>
    </row>
    <row r="522" ht="22.5" customHeight="1">
      <c r="A522" s="30"/>
      <c r="B522" s="40"/>
      <c r="C522" s="32"/>
      <c r="D522" s="33"/>
      <c r="E522" s="34"/>
      <c r="F522" s="34"/>
      <c r="G522" s="35"/>
      <c r="H522" s="34"/>
      <c r="I522" s="37"/>
    </row>
    <row r="523" ht="22.5" customHeight="1">
      <c r="A523" s="30"/>
      <c r="B523" s="31"/>
      <c r="C523" s="32"/>
      <c r="D523" s="33"/>
      <c r="E523" s="34"/>
      <c r="F523" s="34"/>
      <c r="G523" s="35"/>
      <c r="H523" s="34"/>
      <c r="I523" s="37"/>
    </row>
    <row r="524" ht="22.5" customHeight="1">
      <c r="A524" s="30"/>
      <c r="B524" s="31"/>
      <c r="C524" s="32"/>
      <c r="D524" s="33"/>
      <c r="E524" s="34"/>
      <c r="F524" s="34"/>
      <c r="G524" s="35"/>
      <c r="H524" s="34"/>
      <c r="I524" s="37"/>
    </row>
    <row r="525" ht="22.5" customHeight="1">
      <c r="A525" s="30"/>
      <c r="B525" s="31"/>
      <c r="C525" s="32"/>
      <c r="D525" s="33"/>
      <c r="E525" s="34"/>
      <c r="F525" s="34"/>
      <c r="G525" s="35"/>
      <c r="H525" s="34"/>
      <c r="I525" s="37"/>
    </row>
    <row r="526" ht="22.5" customHeight="1">
      <c r="A526" s="30"/>
      <c r="B526" s="31"/>
      <c r="C526" s="32"/>
      <c r="D526" s="33"/>
      <c r="E526" s="34"/>
      <c r="F526" s="34"/>
      <c r="G526" s="35"/>
      <c r="H526" s="34"/>
      <c r="I526" s="37"/>
    </row>
    <row r="527" ht="22.5" customHeight="1">
      <c r="A527" s="30"/>
      <c r="B527" s="31"/>
      <c r="C527" s="32"/>
      <c r="D527" s="33"/>
      <c r="E527" s="34"/>
      <c r="F527" s="34"/>
      <c r="G527" s="35"/>
      <c r="H527" s="34"/>
      <c r="I527" s="37"/>
    </row>
    <row r="528" ht="22.5" customHeight="1">
      <c r="A528" s="30"/>
      <c r="B528" s="31"/>
      <c r="C528" s="32"/>
      <c r="D528" s="33"/>
      <c r="E528" s="34"/>
      <c r="F528" s="34"/>
      <c r="G528" s="35"/>
      <c r="H528" s="34"/>
      <c r="I528" s="37"/>
    </row>
    <row r="529" ht="22.5" customHeight="1">
      <c r="A529" s="30"/>
      <c r="B529" s="31"/>
      <c r="C529" s="32"/>
      <c r="D529" s="33"/>
      <c r="E529" s="34"/>
      <c r="F529" s="34"/>
      <c r="G529" s="35"/>
      <c r="H529" s="34"/>
      <c r="I529" s="37"/>
    </row>
    <row r="530" ht="22.5" customHeight="1">
      <c r="A530" s="30"/>
      <c r="B530" s="31"/>
      <c r="C530" s="32"/>
      <c r="D530" s="33"/>
      <c r="E530" s="34"/>
      <c r="F530" s="34"/>
      <c r="G530" s="35"/>
      <c r="H530" s="34"/>
      <c r="I530" s="37"/>
    </row>
    <row r="531" ht="22.5" customHeight="1">
      <c r="A531" s="30"/>
      <c r="B531" s="31"/>
      <c r="C531" s="32"/>
      <c r="D531" s="33"/>
      <c r="E531" s="34"/>
      <c r="F531" s="34"/>
      <c r="G531" s="35"/>
      <c r="H531" s="34"/>
      <c r="I531" s="37"/>
    </row>
    <row r="532" ht="22.5" customHeight="1">
      <c r="A532" s="30"/>
      <c r="B532" s="31"/>
      <c r="C532" s="32"/>
      <c r="D532" s="33"/>
      <c r="E532" s="34"/>
      <c r="F532" s="34"/>
      <c r="G532" s="35"/>
      <c r="H532" s="34"/>
      <c r="I532" s="37"/>
    </row>
    <row r="533" ht="22.5" customHeight="1">
      <c r="A533" s="30"/>
      <c r="B533" s="31"/>
      <c r="C533" s="32"/>
      <c r="D533" s="33"/>
      <c r="E533" s="34"/>
      <c r="F533" s="34"/>
      <c r="G533" s="35"/>
      <c r="H533" s="34"/>
      <c r="I533" s="37"/>
    </row>
    <row r="534" ht="22.5" customHeight="1">
      <c r="A534" s="30"/>
      <c r="B534" s="31"/>
      <c r="C534" s="32"/>
      <c r="D534" s="33"/>
      <c r="E534" s="34"/>
      <c r="F534" s="34"/>
      <c r="G534" s="35"/>
      <c r="H534" s="34"/>
      <c r="I534" s="37"/>
    </row>
    <row r="535" ht="22.5" customHeight="1">
      <c r="A535" s="30"/>
      <c r="B535" s="31"/>
      <c r="C535" s="32"/>
      <c r="D535" s="33"/>
      <c r="E535" s="34"/>
      <c r="F535" s="34"/>
      <c r="G535" s="35"/>
      <c r="H535" s="34"/>
      <c r="I535" s="37"/>
    </row>
    <row r="536" ht="22.5" customHeight="1">
      <c r="A536" s="30"/>
      <c r="B536" s="31"/>
      <c r="C536" s="32"/>
      <c r="D536" s="33"/>
      <c r="E536" s="34"/>
      <c r="F536" s="34"/>
      <c r="G536" s="35"/>
      <c r="H536" s="34"/>
      <c r="I536" s="37"/>
    </row>
    <row r="537" ht="22.5" customHeight="1">
      <c r="A537" s="30"/>
      <c r="B537" s="31"/>
      <c r="C537" s="32"/>
      <c r="D537" s="33"/>
      <c r="E537" s="34"/>
      <c r="F537" s="34"/>
      <c r="G537" s="35"/>
      <c r="H537" s="34"/>
      <c r="I537" s="37"/>
    </row>
    <row r="538" ht="22.5" customHeight="1">
      <c r="A538" s="30"/>
      <c r="B538" s="31"/>
      <c r="C538" s="32"/>
      <c r="D538" s="33"/>
      <c r="E538" s="34"/>
      <c r="F538" s="34"/>
      <c r="G538" s="35"/>
      <c r="H538" s="34"/>
      <c r="I538" s="37"/>
    </row>
    <row r="539" ht="22.5" customHeight="1">
      <c r="A539" s="30"/>
      <c r="B539" s="31"/>
      <c r="C539" s="32"/>
      <c r="D539" s="33"/>
      <c r="E539" s="34"/>
      <c r="F539" s="34"/>
      <c r="G539" s="35"/>
      <c r="H539" s="34"/>
      <c r="I539" s="37"/>
    </row>
    <row r="540" ht="22.5" customHeight="1">
      <c r="A540" s="30"/>
      <c r="B540" s="31"/>
      <c r="C540" s="32"/>
      <c r="D540" s="33"/>
      <c r="E540" s="34"/>
      <c r="F540" s="34"/>
      <c r="G540" s="35"/>
      <c r="H540" s="34"/>
      <c r="I540" s="37"/>
    </row>
    <row r="541" ht="22.5" customHeight="1">
      <c r="A541" s="30"/>
      <c r="B541" s="31"/>
      <c r="C541" s="32"/>
      <c r="D541" s="33"/>
      <c r="E541" s="34"/>
      <c r="F541" s="34"/>
      <c r="G541" s="35"/>
      <c r="H541" s="34"/>
      <c r="I541" s="37"/>
    </row>
    <row r="542" ht="22.5" customHeight="1">
      <c r="A542" s="30"/>
      <c r="B542" s="31"/>
      <c r="C542" s="32"/>
      <c r="D542" s="33"/>
      <c r="E542" s="34"/>
      <c r="F542" s="34"/>
      <c r="G542" s="35"/>
      <c r="H542" s="34"/>
      <c r="I542" s="37"/>
    </row>
    <row r="543" ht="22.5" customHeight="1">
      <c r="A543" s="30"/>
      <c r="B543" s="31"/>
      <c r="C543" s="32"/>
      <c r="D543" s="33"/>
      <c r="E543" s="34"/>
      <c r="F543" s="34"/>
      <c r="G543" s="35"/>
      <c r="H543" s="34"/>
      <c r="I543" s="37"/>
    </row>
    <row r="544" ht="22.5" customHeight="1">
      <c r="A544" s="30"/>
      <c r="B544" s="40"/>
      <c r="C544" s="32"/>
      <c r="D544" s="33"/>
      <c r="E544" s="34"/>
      <c r="F544" s="34"/>
      <c r="G544" s="35"/>
      <c r="H544" s="34"/>
      <c r="I544" s="37"/>
    </row>
    <row r="545" ht="22.5" customHeight="1">
      <c r="A545" s="30"/>
      <c r="B545" s="31"/>
      <c r="C545" s="32"/>
      <c r="D545" s="33"/>
      <c r="E545" s="34"/>
      <c r="F545" s="34"/>
      <c r="G545" s="35"/>
      <c r="H545" s="34"/>
      <c r="I545" s="37"/>
    </row>
    <row r="546" ht="22.5" customHeight="1">
      <c r="A546" s="30"/>
      <c r="B546" s="31"/>
      <c r="C546" s="32"/>
      <c r="D546" s="33"/>
      <c r="E546" s="34"/>
      <c r="F546" s="34"/>
      <c r="G546" s="35"/>
      <c r="H546" s="34"/>
      <c r="I546" s="37"/>
    </row>
    <row r="547" ht="22.5" customHeight="1">
      <c r="A547" s="30"/>
      <c r="B547" s="31"/>
      <c r="C547" s="32"/>
      <c r="D547" s="33"/>
      <c r="E547" s="34"/>
      <c r="F547" s="34"/>
      <c r="G547" s="35"/>
      <c r="H547" s="34"/>
      <c r="I547" s="37"/>
    </row>
    <row r="548" ht="22.5" customHeight="1">
      <c r="A548" s="30"/>
      <c r="B548" s="31"/>
      <c r="C548" s="32"/>
      <c r="D548" s="33"/>
      <c r="E548" s="34"/>
      <c r="F548" s="34"/>
      <c r="G548" s="35"/>
      <c r="H548" s="34"/>
      <c r="I548" s="38"/>
    </row>
    <row r="549" ht="22.5" customHeight="1">
      <c r="A549" s="30"/>
      <c r="B549" s="39"/>
      <c r="C549" s="32"/>
      <c r="D549" s="33"/>
      <c r="E549" s="34"/>
      <c r="F549" s="34"/>
      <c r="G549" s="35"/>
      <c r="H549" s="34"/>
      <c r="I549" s="37"/>
    </row>
    <row r="550" ht="22.5" customHeight="1">
      <c r="A550" s="30"/>
      <c r="B550" s="31"/>
      <c r="C550" s="32"/>
      <c r="D550" s="33"/>
      <c r="E550" s="34"/>
      <c r="F550" s="34"/>
      <c r="G550" s="35"/>
      <c r="H550" s="34"/>
      <c r="I550" s="37"/>
    </row>
    <row r="551" ht="22.5" customHeight="1">
      <c r="A551" s="30"/>
      <c r="B551" s="31"/>
      <c r="C551" s="32"/>
      <c r="D551" s="33"/>
      <c r="E551" s="34"/>
      <c r="F551" s="34"/>
      <c r="G551" s="35"/>
      <c r="H551" s="34"/>
      <c r="I551" s="37"/>
    </row>
    <row r="552" ht="22.5" customHeight="1">
      <c r="A552" s="30"/>
      <c r="B552" s="31"/>
      <c r="C552" s="32"/>
      <c r="D552" s="33"/>
      <c r="E552" s="34"/>
      <c r="F552" s="34"/>
      <c r="G552" s="35"/>
      <c r="H552" s="34"/>
      <c r="I552" s="37"/>
    </row>
    <row r="553" ht="22.5" customHeight="1">
      <c r="A553" s="30"/>
      <c r="B553" s="39"/>
      <c r="C553" s="32"/>
      <c r="D553" s="33"/>
      <c r="E553" s="34"/>
      <c r="F553" s="34"/>
      <c r="G553" s="35"/>
      <c r="H553" s="34"/>
      <c r="I553" s="37"/>
    </row>
    <row r="554" ht="22.5" customHeight="1">
      <c r="A554" s="30"/>
      <c r="B554" s="31"/>
      <c r="C554" s="32"/>
      <c r="D554" s="33"/>
      <c r="E554" s="34"/>
      <c r="F554" s="34"/>
      <c r="G554" s="35"/>
      <c r="H554" s="34"/>
      <c r="I554" s="37"/>
    </row>
    <row r="555" ht="22.5" customHeight="1">
      <c r="A555" s="30"/>
      <c r="B555" s="39"/>
      <c r="C555" s="32"/>
      <c r="D555" s="33"/>
      <c r="E555" s="34"/>
      <c r="F555" s="34"/>
      <c r="G555" s="35"/>
      <c r="H555" s="34"/>
      <c r="I555" s="37"/>
    </row>
    <row r="556" ht="22.5" customHeight="1">
      <c r="A556" s="30"/>
      <c r="B556" s="31"/>
      <c r="C556" s="32"/>
      <c r="D556" s="33"/>
      <c r="E556" s="34"/>
      <c r="F556" s="34"/>
      <c r="G556" s="35"/>
      <c r="H556" s="34"/>
      <c r="I556" s="37"/>
    </row>
    <row r="557" ht="22.5" customHeight="1">
      <c r="A557" s="30"/>
      <c r="B557" s="31"/>
      <c r="C557" s="32"/>
      <c r="D557" s="33"/>
      <c r="E557" s="34"/>
      <c r="F557" s="34"/>
      <c r="G557" s="35"/>
      <c r="H557" s="34"/>
      <c r="I557" s="37"/>
    </row>
    <row r="558" ht="22.5" customHeight="1">
      <c r="A558" s="30"/>
      <c r="B558" s="31"/>
      <c r="C558" s="32"/>
      <c r="D558" s="33"/>
      <c r="E558" s="34"/>
      <c r="F558" s="34"/>
      <c r="G558" s="35"/>
      <c r="H558" s="34"/>
      <c r="I558" s="37"/>
    </row>
    <row r="559" ht="22.5" customHeight="1">
      <c r="A559" s="30"/>
      <c r="B559" s="31"/>
      <c r="C559" s="32"/>
      <c r="D559" s="33"/>
      <c r="E559" s="34"/>
      <c r="F559" s="34"/>
      <c r="G559" s="35"/>
      <c r="H559" s="34"/>
      <c r="I559" s="37"/>
    </row>
    <row r="560" ht="22.5" customHeight="1">
      <c r="A560" s="30"/>
      <c r="B560" s="31"/>
      <c r="C560" s="32"/>
      <c r="D560" s="33"/>
      <c r="E560" s="34"/>
      <c r="F560" s="34"/>
      <c r="G560" s="35"/>
      <c r="H560" s="34"/>
      <c r="I560" s="37"/>
    </row>
    <row r="561" ht="22.5" customHeight="1">
      <c r="A561" s="30"/>
      <c r="B561" s="31"/>
      <c r="C561" s="32"/>
      <c r="D561" s="33"/>
      <c r="E561" s="34"/>
      <c r="F561" s="34"/>
      <c r="G561" s="35"/>
      <c r="H561" s="34"/>
      <c r="I561" s="37"/>
    </row>
    <row r="562" ht="22.5" customHeight="1">
      <c r="A562" s="30"/>
      <c r="B562" s="31"/>
      <c r="C562" s="32"/>
      <c r="D562" s="33"/>
      <c r="E562" s="34"/>
      <c r="F562" s="34"/>
      <c r="G562" s="35"/>
      <c r="H562" s="34"/>
      <c r="I562" s="37"/>
    </row>
    <row r="563" ht="22.5" customHeight="1">
      <c r="A563" s="30"/>
      <c r="B563" s="31"/>
      <c r="C563" s="32"/>
      <c r="D563" s="33"/>
      <c r="E563" s="34"/>
      <c r="F563" s="34"/>
      <c r="G563" s="35"/>
      <c r="H563" s="34"/>
      <c r="I563" s="37"/>
    </row>
    <row r="564" ht="22.5" customHeight="1">
      <c r="A564" s="30"/>
      <c r="B564" s="31"/>
      <c r="C564" s="32"/>
      <c r="D564" s="33"/>
      <c r="E564" s="34"/>
      <c r="F564" s="34"/>
      <c r="G564" s="35"/>
      <c r="H564" s="34"/>
      <c r="I564" s="37"/>
    </row>
    <row r="565" ht="22.5" customHeight="1">
      <c r="A565" s="30"/>
      <c r="B565" s="31"/>
      <c r="C565" s="32"/>
      <c r="D565" s="33"/>
      <c r="E565" s="34"/>
      <c r="F565" s="34"/>
      <c r="G565" s="35"/>
      <c r="H565" s="34"/>
      <c r="I565" s="37"/>
    </row>
    <row r="566" ht="22.5" customHeight="1">
      <c r="A566" s="30"/>
      <c r="B566" s="40"/>
      <c r="C566" s="32"/>
      <c r="D566" s="33"/>
      <c r="E566" s="34"/>
      <c r="F566" s="34"/>
      <c r="G566" s="35"/>
      <c r="H566" s="34"/>
      <c r="I566" s="37"/>
    </row>
    <row r="567" ht="22.5" customHeight="1">
      <c r="A567" s="30"/>
      <c r="B567" s="31"/>
      <c r="C567" s="32"/>
      <c r="D567" s="33"/>
      <c r="E567" s="34"/>
      <c r="F567" s="34"/>
      <c r="G567" s="35"/>
      <c r="H567" s="34"/>
      <c r="I567" s="37"/>
    </row>
    <row r="568" ht="22.5" customHeight="1">
      <c r="A568" s="30"/>
      <c r="B568" s="31"/>
      <c r="C568" s="32"/>
      <c r="D568" s="33"/>
      <c r="E568" s="34"/>
      <c r="F568" s="34"/>
      <c r="G568" s="35"/>
      <c r="H568" s="34"/>
      <c r="I568" s="37"/>
    </row>
    <row r="569" ht="22.5" customHeight="1">
      <c r="A569" s="30"/>
      <c r="B569" s="31"/>
      <c r="C569" s="32"/>
      <c r="D569" s="33"/>
      <c r="E569" s="34"/>
      <c r="F569" s="34"/>
      <c r="G569" s="35"/>
      <c r="H569" s="34"/>
      <c r="I569" s="37"/>
    </row>
    <row r="570" ht="22.5" customHeight="1">
      <c r="A570" s="30"/>
      <c r="B570" s="31"/>
      <c r="C570" s="32"/>
      <c r="D570" s="33"/>
      <c r="E570" s="34"/>
      <c r="F570" s="34"/>
      <c r="G570" s="35"/>
      <c r="H570" s="34"/>
      <c r="I570" s="37"/>
    </row>
    <row r="571" ht="22.5" customHeight="1">
      <c r="A571" s="30"/>
      <c r="B571" s="31"/>
      <c r="C571" s="32"/>
      <c r="D571" s="33"/>
      <c r="E571" s="34"/>
      <c r="F571" s="34"/>
      <c r="G571" s="35"/>
      <c r="H571" s="34"/>
      <c r="I571" s="37"/>
    </row>
    <row r="572" ht="22.5" customHeight="1">
      <c r="A572" s="30"/>
      <c r="B572" s="31"/>
      <c r="C572" s="32"/>
      <c r="D572" s="33"/>
      <c r="E572" s="34"/>
      <c r="F572" s="34"/>
      <c r="G572" s="35"/>
      <c r="H572" s="34"/>
      <c r="I572" s="37"/>
    </row>
    <row r="573" ht="22.5" customHeight="1">
      <c r="A573" s="30"/>
      <c r="B573" s="39"/>
      <c r="C573" s="32"/>
      <c r="D573" s="33"/>
      <c r="E573" s="34"/>
      <c r="F573" s="34"/>
      <c r="G573" s="35"/>
      <c r="H573" s="34"/>
      <c r="I573" s="37"/>
    </row>
    <row r="574" ht="22.5" customHeight="1">
      <c r="A574" s="30"/>
      <c r="B574" s="39"/>
      <c r="C574" s="32"/>
      <c r="D574" s="33"/>
      <c r="E574" s="34"/>
      <c r="F574" s="34"/>
      <c r="G574" s="35"/>
      <c r="H574" s="34"/>
      <c r="I574" s="37"/>
    </row>
    <row r="575" ht="22.5" customHeight="1">
      <c r="A575" s="30"/>
      <c r="B575" s="39"/>
      <c r="C575" s="32"/>
      <c r="D575" s="33"/>
      <c r="E575" s="34"/>
      <c r="F575" s="34"/>
      <c r="G575" s="35"/>
      <c r="H575" s="34"/>
      <c r="I575" s="37"/>
    </row>
    <row r="576" ht="22.5" customHeight="1">
      <c r="A576" s="30"/>
      <c r="B576" s="40"/>
      <c r="C576" s="32"/>
      <c r="D576" s="33"/>
      <c r="E576" s="34"/>
      <c r="F576" s="34"/>
      <c r="G576" s="35"/>
      <c r="H576" s="34"/>
      <c r="I576" s="37"/>
    </row>
    <row r="577" ht="22.5" customHeight="1">
      <c r="A577" s="30"/>
      <c r="B577" s="31"/>
      <c r="C577" s="32"/>
      <c r="D577" s="33"/>
      <c r="E577" s="34"/>
      <c r="F577" s="34"/>
      <c r="G577" s="35"/>
      <c r="H577" s="34"/>
      <c r="I577" s="37"/>
    </row>
    <row r="578" ht="22.5" customHeight="1">
      <c r="A578" s="30"/>
      <c r="B578" s="31"/>
      <c r="C578" s="32"/>
      <c r="D578" s="33"/>
      <c r="E578" s="34"/>
      <c r="F578" s="34"/>
      <c r="G578" s="35"/>
      <c r="H578" s="34"/>
      <c r="I578" s="37"/>
    </row>
    <row r="579" ht="22.5" customHeight="1">
      <c r="A579" s="30"/>
      <c r="B579" s="31"/>
      <c r="C579" s="32"/>
      <c r="D579" s="33"/>
      <c r="E579" s="34"/>
      <c r="F579" s="34"/>
      <c r="G579" s="35"/>
      <c r="H579" s="34"/>
      <c r="I579" s="37"/>
    </row>
    <row r="580" ht="22.5" customHeight="1">
      <c r="A580" s="30"/>
      <c r="B580" s="31"/>
      <c r="C580" s="32"/>
      <c r="D580" s="33"/>
      <c r="E580" s="34"/>
      <c r="F580" s="34"/>
      <c r="G580" s="35"/>
      <c r="H580" s="34"/>
      <c r="I580" s="37"/>
    </row>
    <row r="581" ht="22.5" customHeight="1">
      <c r="A581" s="30"/>
      <c r="B581" s="31"/>
      <c r="C581" s="32"/>
      <c r="D581" s="33"/>
      <c r="E581" s="34"/>
      <c r="F581" s="34"/>
      <c r="G581" s="35"/>
      <c r="H581" s="34"/>
      <c r="I581" s="37"/>
    </row>
    <row r="582" ht="22.5" customHeight="1">
      <c r="A582" s="30"/>
      <c r="B582" s="31"/>
      <c r="C582" s="32"/>
      <c r="D582" s="33"/>
      <c r="E582" s="34"/>
      <c r="F582" s="34"/>
      <c r="G582" s="35"/>
      <c r="H582" s="34"/>
      <c r="I582" s="37"/>
    </row>
    <row r="583" ht="22.5" customHeight="1">
      <c r="A583" s="30"/>
      <c r="B583" s="31"/>
      <c r="C583" s="32"/>
      <c r="D583" s="33"/>
      <c r="E583" s="34"/>
      <c r="F583" s="34"/>
      <c r="G583" s="35"/>
      <c r="H583" s="34"/>
      <c r="I583" s="37"/>
    </row>
    <row r="584" ht="22.5" customHeight="1">
      <c r="A584" s="30"/>
      <c r="B584" s="31"/>
      <c r="C584" s="32"/>
      <c r="D584" s="33"/>
      <c r="E584" s="34"/>
      <c r="F584" s="34"/>
      <c r="G584" s="35"/>
      <c r="H584" s="34"/>
      <c r="I584" s="37"/>
    </row>
    <row r="585" ht="22.5" customHeight="1">
      <c r="A585" s="30"/>
      <c r="B585" s="31"/>
      <c r="C585" s="32"/>
      <c r="D585" s="33"/>
      <c r="E585" s="34"/>
      <c r="F585" s="34"/>
      <c r="G585" s="35"/>
      <c r="H585" s="34"/>
      <c r="I585" s="37"/>
    </row>
    <row r="586" ht="22.5" customHeight="1">
      <c r="A586" s="30"/>
      <c r="B586" s="40"/>
      <c r="C586" s="32"/>
      <c r="D586" s="33"/>
      <c r="E586" s="34"/>
      <c r="F586" s="34"/>
      <c r="G586" s="35"/>
      <c r="H586" s="34"/>
      <c r="I586" s="37"/>
    </row>
    <row r="587" ht="22.5" customHeight="1">
      <c r="A587" s="30"/>
      <c r="B587" s="31"/>
      <c r="C587" s="32"/>
      <c r="D587" s="33"/>
      <c r="E587" s="34"/>
      <c r="F587" s="34"/>
      <c r="G587" s="35"/>
      <c r="H587" s="34"/>
      <c r="I587" s="37"/>
    </row>
    <row r="588" ht="22.5" customHeight="1">
      <c r="A588" s="30"/>
      <c r="B588" s="31"/>
      <c r="C588" s="32"/>
      <c r="D588" s="33"/>
      <c r="E588" s="34"/>
      <c r="F588" s="34"/>
      <c r="G588" s="35"/>
      <c r="H588" s="34"/>
      <c r="I588" s="37"/>
    </row>
    <row r="589" ht="22.5" customHeight="1">
      <c r="A589" s="30"/>
      <c r="B589" s="31"/>
      <c r="C589" s="32"/>
      <c r="D589" s="33"/>
      <c r="E589" s="34"/>
      <c r="F589" s="34"/>
      <c r="G589" s="35"/>
      <c r="H589" s="34"/>
      <c r="I589" s="37"/>
    </row>
    <row r="590" ht="22.5" customHeight="1">
      <c r="A590" s="30"/>
      <c r="B590" s="40"/>
      <c r="C590" s="32"/>
      <c r="D590" s="33"/>
      <c r="E590" s="34"/>
      <c r="F590" s="34"/>
      <c r="G590" s="35"/>
      <c r="H590" s="34"/>
      <c r="I590" s="37"/>
    </row>
    <row r="591" ht="22.5" customHeight="1">
      <c r="A591" s="30"/>
      <c r="B591" s="31"/>
      <c r="C591" s="32"/>
      <c r="D591" s="33"/>
      <c r="E591" s="34"/>
      <c r="F591" s="34"/>
      <c r="G591" s="35"/>
      <c r="H591" s="34"/>
      <c r="I591" s="37"/>
    </row>
    <row r="592" ht="22.5" customHeight="1">
      <c r="A592" s="30"/>
      <c r="B592" s="31"/>
      <c r="C592" s="32"/>
      <c r="D592" s="33"/>
      <c r="E592" s="34"/>
      <c r="F592" s="34"/>
      <c r="G592" s="35"/>
      <c r="H592" s="34"/>
      <c r="I592" s="37"/>
    </row>
    <row r="593" ht="22.5" customHeight="1">
      <c r="A593" s="30"/>
      <c r="B593" s="31"/>
      <c r="C593" s="32"/>
      <c r="D593" s="33"/>
      <c r="E593" s="34"/>
      <c r="F593" s="34"/>
      <c r="G593" s="35"/>
      <c r="H593" s="34"/>
      <c r="I593" s="37"/>
    </row>
    <row r="594" ht="22.5" customHeight="1">
      <c r="A594" s="30"/>
      <c r="B594" s="31"/>
      <c r="C594" s="32"/>
      <c r="D594" s="33"/>
      <c r="E594" s="34"/>
      <c r="F594" s="34"/>
      <c r="G594" s="35"/>
      <c r="H594" s="34"/>
      <c r="I594" s="37"/>
    </row>
    <row r="595" ht="22.5" customHeight="1">
      <c r="A595" s="30"/>
      <c r="B595" s="31"/>
      <c r="C595" s="32"/>
      <c r="D595" s="33"/>
      <c r="E595" s="34"/>
      <c r="F595" s="34"/>
      <c r="G595" s="35"/>
      <c r="H595" s="34"/>
      <c r="I595" s="37"/>
    </row>
    <row r="596" ht="22.5" customHeight="1">
      <c r="A596" s="30"/>
      <c r="B596" s="31"/>
      <c r="C596" s="32"/>
      <c r="D596" s="33"/>
      <c r="E596" s="34"/>
      <c r="F596" s="34"/>
      <c r="G596" s="35"/>
      <c r="H596" s="34"/>
      <c r="I596" s="37"/>
    </row>
    <row r="597" ht="22.5" customHeight="1">
      <c r="A597" s="30"/>
      <c r="B597" s="31"/>
      <c r="C597" s="32"/>
      <c r="D597" s="33"/>
      <c r="E597" s="34"/>
      <c r="F597" s="34"/>
      <c r="G597" s="35"/>
      <c r="H597" s="34"/>
      <c r="I597" s="37"/>
    </row>
    <row r="598" ht="22.5" customHeight="1">
      <c r="A598" s="30"/>
      <c r="B598" s="31"/>
      <c r="C598" s="32"/>
      <c r="D598" s="33"/>
      <c r="E598" s="34"/>
      <c r="F598" s="34"/>
      <c r="G598" s="35"/>
      <c r="H598" s="34"/>
      <c r="I598" s="37"/>
    </row>
    <row r="599" ht="22.5" customHeight="1">
      <c r="A599" s="30"/>
      <c r="B599" s="31"/>
      <c r="C599" s="32"/>
      <c r="D599" s="33"/>
      <c r="E599" s="34"/>
      <c r="F599" s="34"/>
      <c r="G599" s="35"/>
      <c r="H599" s="34"/>
      <c r="I599" s="37"/>
    </row>
    <row r="600" ht="22.5" customHeight="1">
      <c r="A600" s="30"/>
      <c r="B600" s="31"/>
      <c r="C600" s="32"/>
      <c r="D600" s="33"/>
      <c r="E600" s="34"/>
      <c r="F600" s="34"/>
      <c r="G600" s="35"/>
      <c r="H600" s="34"/>
      <c r="I600" s="37"/>
    </row>
    <row r="601" ht="22.5" customHeight="1">
      <c r="A601" s="30"/>
      <c r="B601" s="31"/>
      <c r="C601" s="32"/>
      <c r="D601" s="33"/>
      <c r="E601" s="34"/>
      <c r="F601" s="34"/>
      <c r="G601" s="35"/>
      <c r="H601" s="34"/>
      <c r="I601" s="37"/>
    </row>
    <row r="602" ht="22.5" customHeight="1">
      <c r="A602" s="30"/>
      <c r="B602" s="31"/>
      <c r="C602" s="32"/>
      <c r="D602" s="33"/>
      <c r="E602" s="34"/>
      <c r="F602" s="34"/>
      <c r="G602" s="35"/>
      <c r="H602" s="34"/>
      <c r="I602" s="37"/>
    </row>
    <row r="603" ht="22.5" customHeight="1">
      <c r="A603" s="30"/>
      <c r="B603" s="31"/>
      <c r="C603" s="32"/>
      <c r="D603" s="33"/>
      <c r="E603" s="34"/>
      <c r="F603" s="34"/>
      <c r="G603" s="35"/>
      <c r="H603" s="34"/>
      <c r="I603" s="37"/>
    </row>
    <row r="604" ht="22.5" customHeight="1">
      <c r="A604" s="30"/>
      <c r="B604" s="31"/>
      <c r="C604" s="32"/>
      <c r="D604" s="33"/>
      <c r="E604" s="34"/>
      <c r="F604" s="34"/>
      <c r="G604" s="35"/>
      <c r="H604" s="34"/>
      <c r="I604" s="37"/>
    </row>
    <row r="605" ht="22.5" customHeight="1">
      <c r="A605" s="30"/>
      <c r="B605" s="40"/>
      <c r="C605" s="32"/>
      <c r="D605" s="33"/>
      <c r="E605" s="34"/>
      <c r="F605" s="34"/>
      <c r="G605" s="35"/>
      <c r="H605" s="34"/>
      <c r="I605" s="37"/>
    </row>
    <row r="606" ht="22.5" customHeight="1">
      <c r="A606" s="30"/>
      <c r="B606" s="31"/>
      <c r="C606" s="32"/>
      <c r="D606" s="33"/>
      <c r="E606" s="34"/>
      <c r="F606" s="34"/>
      <c r="G606" s="35"/>
      <c r="H606" s="34"/>
      <c r="I606" s="37"/>
    </row>
    <row r="607" ht="22.5" customHeight="1">
      <c r="A607" s="30"/>
      <c r="B607" s="40"/>
      <c r="C607" s="32"/>
      <c r="D607" s="33"/>
      <c r="E607" s="34"/>
      <c r="F607" s="34"/>
      <c r="G607" s="35"/>
      <c r="H607" s="34"/>
      <c r="I607" s="37"/>
    </row>
    <row r="608" ht="22.5" customHeight="1">
      <c r="A608" s="30"/>
      <c r="B608" s="31"/>
      <c r="C608" s="32"/>
      <c r="D608" s="33"/>
      <c r="E608" s="34"/>
      <c r="F608" s="34"/>
      <c r="G608" s="35"/>
      <c r="H608" s="34"/>
      <c r="I608" s="37"/>
    </row>
    <row r="609" ht="22.5" customHeight="1">
      <c r="A609" s="30"/>
      <c r="B609" s="31"/>
      <c r="C609" s="32"/>
      <c r="D609" s="33"/>
      <c r="E609" s="34"/>
      <c r="F609" s="34"/>
      <c r="G609" s="35"/>
      <c r="H609" s="34"/>
      <c r="I609" s="37"/>
    </row>
    <row r="610" ht="22.5" customHeight="1">
      <c r="A610" s="30"/>
      <c r="B610" s="31"/>
      <c r="C610" s="32"/>
      <c r="D610" s="33"/>
      <c r="E610" s="34"/>
      <c r="F610" s="34"/>
      <c r="G610" s="35"/>
      <c r="H610" s="34"/>
      <c r="I610" s="37"/>
    </row>
    <row r="611" ht="22.5" customHeight="1">
      <c r="A611" s="30"/>
      <c r="B611" s="31"/>
      <c r="C611" s="32"/>
      <c r="D611" s="33"/>
      <c r="E611" s="34"/>
      <c r="F611" s="34"/>
      <c r="G611" s="35"/>
      <c r="H611" s="34"/>
      <c r="I611" s="37"/>
    </row>
    <row r="612" ht="22.5" customHeight="1">
      <c r="A612" s="30"/>
      <c r="B612" s="40"/>
      <c r="C612" s="32"/>
      <c r="D612" s="33"/>
      <c r="E612" s="34"/>
      <c r="F612" s="34"/>
      <c r="G612" s="35"/>
      <c r="H612" s="34"/>
      <c r="I612" s="37"/>
    </row>
    <row r="613" ht="22.5" customHeight="1">
      <c r="A613" s="30"/>
      <c r="B613" s="31"/>
      <c r="C613" s="32"/>
      <c r="D613" s="33"/>
      <c r="E613" s="34"/>
      <c r="F613" s="34"/>
      <c r="G613" s="35"/>
      <c r="H613" s="34"/>
      <c r="I613" s="37"/>
    </row>
    <row r="614" ht="22.5" customHeight="1">
      <c r="A614" s="30"/>
      <c r="B614" s="31"/>
      <c r="C614" s="32"/>
      <c r="D614" s="33"/>
      <c r="E614" s="34"/>
      <c r="F614" s="34"/>
      <c r="G614" s="35"/>
      <c r="H614" s="34"/>
      <c r="I614" s="37"/>
    </row>
    <row r="615" ht="22.5" customHeight="1">
      <c r="A615" s="30"/>
      <c r="B615" s="31"/>
      <c r="C615" s="32"/>
      <c r="D615" s="33"/>
      <c r="E615" s="34"/>
      <c r="F615" s="34"/>
      <c r="G615" s="35"/>
      <c r="H615" s="34"/>
      <c r="I615" s="37"/>
    </row>
    <row r="616" ht="22.5" customHeight="1">
      <c r="A616" s="30"/>
      <c r="B616" s="31"/>
      <c r="C616" s="32"/>
      <c r="D616" s="33"/>
      <c r="E616" s="34"/>
      <c r="F616" s="34"/>
      <c r="G616" s="35"/>
      <c r="H616" s="34"/>
      <c r="I616" s="37"/>
    </row>
    <row r="617" ht="22.5" customHeight="1">
      <c r="A617" s="30"/>
      <c r="B617" s="31"/>
      <c r="C617" s="32"/>
      <c r="D617" s="33"/>
      <c r="E617" s="34"/>
      <c r="F617" s="34"/>
      <c r="G617" s="35"/>
      <c r="H617" s="34"/>
      <c r="I617" s="37"/>
    </row>
    <row r="618" ht="22.5" customHeight="1">
      <c r="A618" s="30"/>
      <c r="B618" s="31"/>
      <c r="C618" s="32"/>
      <c r="D618" s="33"/>
      <c r="E618" s="34"/>
      <c r="F618" s="34"/>
      <c r="G618" s="35"/>
      <c r="H618" s="34"/>
      <c r="I618" s="37"/>
    </row>
    <row r="619" ht="22.5" customHeight="1">
      <c r="A619" s="30"/>
      <c r="B619" s="31"/>
      <c r="C619" s="32"/>
      <c r="D619" s="33"/>
      <c r="E619" s="34"/>
      <c r="F619" s="34"/>
      <c r="G619" s="35"/>
      <c r="H619" s="34"/>
      <c r="I619" s="37"/>
    </row>
    <row r="620" ht="22.5" customHeight="1">
      <c r="A620" s="30"/>
      <c r="B620" s="31"/>
      <c r="C620" s="32"/>
      <c r="D620" s="33"/>
      <c r="E620" s="34"/>
      <c r="F620" s="34"/>
      <c r="G620" s="35"/>
      <c r="H620" s="34"/>
      <c r="I620" s="37"/>
    </row>
    <row r="621" ht="22.5" customHeight="1">
      <c r="A621" s="30"/>
      <c r="B621" s="31"/>
      <c r="C621" s="32"/>
      <c r="D621" s="33"/>
      <c r="E621" s="34"/>
      <c r="F621" s="34"/>
      <c r="G621" s="35"/>
      <c r="H621" s="34"/>
      <c r="I621" s="37"/>
    </row>
    <row r="622" ht="22.5" customHeight="1">
      <c r="A622" s="30"/>
      <c r="B622" s="31"/>
      <c r="C622" s="32"/>
      <c r="D622" s="33"/>
      <c r="E622" s="34"/>
      <c r="F622" s="34"/>
      <c r="G622" s="35"/>
      <c r="H622" s="34"/>
      <c r="I622" s="37"/>
    </row>
    <row r="623" ht="22.5" customHeight="1">
      <c r="A623" s="30"/>
      <c r="B623" s="31"/>
      <c r="C623" s="32"/>
      <c r="D623" s="33"/>
      <c r="E623" s="34"/>
      <c r="F623" s="34"/>
      <c r="G623" s="35"/>
      <c r="H623" s="34"/>
      <c r="I623" s="37"/>
    </row>
    <row r="624" ht="22.5" customHeight="1">
      <c r="A624" s="30"/>
      <c r="B624" s="31"/>
      <c r="C624" s="32"/>
      <c r="D624" s="33"/>
      <c r="E624" s="34"/>
      <c r="F624" s="34"/>
      <c r="G624" s="35"/>
      <c r="H624" s="34"/>
      <c r="I624" s="37"/>
    </row>
    <row r="625" ht="22.5" customHeight="1">
      <c r="A625" s="30"/>
      <c r="B625" s="31"/>
      <c r="C625" s="32"/>
      <c r="D625" s="33"/>
      <c r="E625" s="34"/>
      <c r="F625" s="34"/>
      <c r="G625" s="35"/>
      <c r="H625" s="34"/>
      <c r="I625" s="37"/>
    </row>
    <row r="626" ht="22.5" customHeight="1">
      <c r="A626" s="30"/>
      <c r="B626" s="31"/>
      <c r="C626" s="32"/>
      <c r="D626" s="33"/>
      <c r="E626" s="34"/>
      <c r="F626" s="34"/>
      <c r="G626" s="35"/>
      <c r="H626" s="34"/>
      <c r="I626" s="37"/>
    </row>
    <row r="627" ht="22.5" customHeight="1">
      <c r="A627" s="30"/>
      <c r="B627" s="31"/>
      <c r="C627" s="32"/>
      <c r="D627" s="33"/>
      <c r="E627" s="34"/>
      <c r="F627" s="34"/>
      <c r="G627" s="35"/>
      <c r="H627" s="34"/>
      <c r="I627" s="37"/>
    </row>
    <row r="628" ht="22.5" customHeight="1">
      <c r="A628" s="30"/>
      <c r="B628" s="31"/>
      <c r="C628" s="32"/>
      <c r="D628" s="33"/>
      <c r="E628" s="34"/>
      <c r="F628" s="34"/>
      <c r="G628" s="35"/>
      <c r="H628" s="34"/>
      <c r="I628" s="37"/>
    </row>
    <row r="629" ht="22.5" customHeight="1">
      <c r="A629" s="30"/>
      <c r="B629" s="31"/>
      <c r="C629" s="32"/>
      <c r="D629" s="33"/>
      <c r="E629" s="34"/>
      <c r="F629" s="34"/>
      <c r="G629" s="35"/>
      <c r="H629" s="34"/>
      <c r="I629" s="37"/>
    </row>
    <row r="630" ht="22.5" customHeight="1">
      <c r="A630" s="30"/>
      <c r="B630" s="31"/>
      <c r="C630" s="32"/>
      <c r="D630" s="33"/>
      <c r="E630" s="34"/>
      <c r="F630" s="34"/>
      <c r="G630" s="35"/>
      <c r="H630" s="34"/>
      <c r="I630" s="37"/>
    </row>
    <row r="631" ht="22.5" customHeight="1">
      <c r="A631" s="30"/>
      <c r="B631" s="31"/>
      <c r="C631" s="32"/>
      <c r="D631" s="33"/>
      <c r="E631" s="34"/>
      <c r="F631" s="34"/>
      <c r="G631" s="35"/>
      <c r="H631" s="34"/>
      <c r="I631" s="37"/>
    </row>
    <row r="632" ht="22.5" customHeight="1">
      <c r="A632" s="30"/>
      <c r="B632" s="31"/>
      <c r="C632" s="32"/>
      <c r="D632" s="33"/>
      <c r="E632" s="34"/>
      <c r="F632" s="34"/>
      <c r="G632" s="35"/>
      <c r="H632" s="34"/>
      <c r="I632" s="37"/>
    </row>
    <row r="633" ht="22.5" customHeight="1">
      <c r="A633" s="30"/>
      <c r="B633" s="31"/>
      <c r="C633" s="32"/>
      <c r="D633" s="33"/>
      <c r="E633" s="34"/>
      <c r="F633" s="34"/>
      <c r="G633" s="35"/>
      <c r="H633" s="34"/>
      <c r="I633" s="37"/>
    </row>
    <row r="634" ht="22.5" customHeight="1">
      <c r="A634" s="30"/>
      <c r="B634" s="40"/>
      <c r="C634" s="32"/>
      <c r="D634" s="33"/>
      <c r="E634" s="34"/>
      <c r="F634" s="34"/>
      <c r="G634" s="35"/>
      <c r="H634" s="34"/>
      <c r="I634" s="37"/>
    </row>
    <row r="635" ht="22.5" customHeight="1">
      <c r="A635" s="30"/>
      <c r="B635" s="31"/>
      <c r="C635" s="32"/>
      <c r="D635" s="33"/>
      <c r="E635" s="34"/>
      <c r="F635" s="34"/>
      <c r="G635" s="35"/>
      <c r="H635" s="34"/>
      <c r="I635" s="37"/>
    </row>
    <row r="636" ht="22.5" customHeight="1">
      <c r="A636" s="30"/>
      <c r="B636" s="31"/>
      <c r="C636" s="32"/>
      <c r="D636" s="33"/>
      <c r="E636" s="34"/>
      <c r="F636" s="34"/>
      <c r="G636" s="35"/>
      <c r="H636" s="34"/>
      <c r="I636" s="37"/>
    </row>
    <row r="637" ht="22.5" customHeight="1">
      <c r="A637" s="30"/>
      <c r="B637" s="31"/>
      <c r="C637" s="32"/>
      <c r="D637" s="33"/>
      <c r="E637" s="34"/>
      <c r="F637" s="34"/>
      <c r="G637" s="35"/>
      <c r="H637" s="34"/>
      <c r="I637" s="37"/>
    </row>
    <row r="638" ht="22.5" customHeight="1">
      <c r="A638" s="30"/>
      <c r="B638" s="31"/>
      <c r="C638" s="32"/>
      <c r="D638" s="33"/>
      <c r="E638" s="34"/>
      <c r="F638" s="34"/>
      <c r="G638" s="35"/>
      <c r="H638" s="34"/>
      <c r="I638" s="38"/>
    </row>
    <row r="639" ht="22.5" customHeight="1">
      <c r="A639" s="30"/>
      <c r="B639" s="39"/>
      <c r="C639" s="32"/>
      <c r="D639" s="33"/>
      <c r="E639" s="34"/>
      <c r="F639" s="34"/>
      <c r="G639" s="35"/>
      <c r="H639" s="34"/>
      <c r="I639" s="37"/>
    </row>
    <row r="640" ht="22.5" customHeight="1">
      <c r="A640" s="30"/>
      <c r="B640" s="31"/>
      <c r="C640" s="32"/>
      <c r="D640" s="33"/>
      <c r="E640" s="34"/>
      <c r="F640" s="34"/>
      <c r="G640" s="35"/>
      <c r="H640" s="34"/>
      <c r="I640" s="37"/>
    </row>
    <row r="641" ht="22.5" customHeight="1">
      <c r="A641" s="30"/>
      <c r="B641" s="31"/>
      <c r="C641" s="32"/>
      <c r="D641" s="33"/>
      <c r="E641" s="34"/>
      <c r="F641" s="34"/>
      <c r="G641" s="35"/>
      <c r="H641" s="34"/>
      <c r="I641" s="37"/>
    </row>
    <row r="642" ht="22.5" customHeight="1">
      <c r="A642" s="30"/>
      <c r="B642" s="31"/>
      <c r="C642" s="32"/>
      <c r="D642" s="33"/>
      <c r="E642" s="34"/>
      <c r="F642" s="34"/>
      <c r="G642" s="35"/>
      <c r="H642" s="34"/>
      <c r="I642" s="37"/>
    </row>
    <row r="643" ht="22.5" customHeight="1">
      <c r="A643" s="30"/>
      <c r="B643" s="39"/>
      <c r="C643" s="32"/>
      <c r="D643" s="33"/>
      <c r="E643" s="34"/>
      <c r="F643" s="34"/>
      <c r="G643" s="35"/>
      <c r="H643" s="34"/>
      <c r="I643" s="37"/>
    </row>
    <row r="644" ht="22.5" customHeight="1">
      <c r="A644" s="30"/>
      <c r="B644" s="31"/>
      <c r="C644" s="32"/>
      <c r="D644" s="33"/>
      <c r="E644" s="34"/>
      <c r="F644" s="34"/>
      <c r="G644" s="35"/>
      <c r="H644" s="34"/>
      <c r="I644" s="37"/>
    </row>
    <row r="645" ht="22.5" customHeight="1">
      <c r="A645" s="30"/>
      <c r="B645" s="39"/>
      <c r="C645" s="32"/>
      <c r="D645" s="33"/>
      <c r="E645" s="34"/>
      <c r="F645" s="34"/>
      <c r="G645" s="35"/>
      <c r="H645" s="34"/>
      <c r="I645" s="37"/>
    </row>
    <row r="646" ht="22.5" customHeight="1">
      <c r="A646" s="30"/>
      <c r="B646" s="31"/>
      <c r="C646" s="32"/>
      <c r="D646" s="33"/>
      <c r="E646" s="34"/>
      <c r="F646" s="34"/>
      <c r="G646" s="35"/>
      <c r="H646" s="34"/>
      <c r="I646" s="37"/>
    </row>
    <row r="647" ht="22.5" customHeight="1">
      <c r="A647" s="30"/>
      <c r="B647" s="31"/>
      <c r="C647" s="32"/>
      <c r="D647" s="33"/>
      <c r="E647" s="34"/>
      <c r="F647" s="34"/>
      <c r="G647" s="35"/>
      <c r="H647" s="34"/>
      <c r="I647" s="37"/>
    </row>
    <row r="648" ht="22.5" customHeight="1">
      <c r="A648" s="30"/>
      <c r="B648" s="31"/>
      <c r="C648" s="32"/>
      <c r="D648" s="33"/>
      <c r="E648" s="34"/>
      <c r="F648" s="34"/>
      <c r="G648" s="35"/>
      <c r="H648" s="34"/>
      <c r="I648" s="37"/>
    </row>
    <row r="649" ht="22.5" customHeight="1">
      <c r="A649" s="30"/>
      <c r="B649" s="31"/>
      <c r="C649" s="32"/>
      <c r="D649" s="33"/>
      <c r="E649" s="34"/>
      <c r="F649" s="34"/>
      <c r="G649" s="35"/>
      <c r="H649" s="34"/>
      <c r="I649" s="37"/>
    </row>
    <row r="650" ht="22.5" customHeight="1">
      <c r="A650" s="30"/>
      <c r="B650" s="31"/>
      <c r="C650" s="32"/>
      <c r="D650" s="33"/>
      <c r="E650" s="34"/>
      <c r="F650" s="34"/>
      <c r="G650" s="35"/>
      <c r="H650" s="34"/>
      <c r="I650" s="37"/>
    </row>
    <row r="651" ht="22.5" customHeight="1">
      <c r="A651" s="30"/>
      <c r="B651" s="31"/>
      <c r="C651" s="32"/>
      <c r="D651" s="33"/>
      <c r="E651" s="34"/>
      <c r="F651" s="34"/>
      <c r="G651" s="35"/>
      <c r="H651" s="34"/>
      <c r="I651" s="37"/>
    </row>
    <row r="652" ht="22.5" customHeight="1">
      <c r="A652" s="30"/>
      <c r="B652" s="31"/>
      <c r="C652" s="32"/>
      <c r="D652" s="33"/>
      <c r="E652" s="34"/>
      <c r="F652" s="34"/>
      <c r="G652" s="35"/>
      <c r="H652" s="34"/>
      <c r="I652" s="37"/>
    </row>
    <row r="653" ht="22.5" customHeight="1">
      <c r="A653" s="30"/>
      <c r="B653" s="31"/>
      <c r="C653" s="32"/>
      <c r="D653" s="33"/>
      <c r="E653" s="34"/>
      <c r="F653" s="34"/>
      <c r="G653" s="35"/>
      <c r="H653" s="34"/>
      <c r="I653" s="37"/>
    </row>
    <row r="654" ht="22.5" customHeight="1">
      <c r="A654" s="30"/>
      <c r="B654" s="31"/>
      <c r="C654" s="32"/>
      <c r="D654" s="33"/>
      <c r="E654" s="34"/>
      <c r="F654" s="34"/>
      <c r="G654" s="35"/>
      <c r="H654" s="34"/>
      <c r="I654" s="37"/>
    </row>
    <row r="655" ht="22.5" customHeight="1">
      <c r="A655" s="30"/>
      <c r="B655" s="31"/>
      <c r="C655" s="32"/>
      <c r="D655" s="33"/>
      <c r="E655" s="34"/>
      <c r="F655" s="34"/>
      <c r="G655" s="35"/>
      <c r="H655" s="34"/>
      <c r="I655" s="37"/>
    </row>
    <row r="656" ht="22.5" customHeight="1">
      <c r="A656" s="30"/>
      <c r="B656" s="40"/>
      <c r="C656" s="32"/>
      <c r="D656" s="33"/>
      <c r="E656" s="34"/>
      <c r="F656" s="34"/>
      <c r="G656" s="35"/>
      <c r="H656" s="34"/>
      <c r="I656" s="37"/>
    </row>
    <row r="657" ht="22.5" customHeight="1">
      <c r="A657" s="30"/>
      <c r="B657" s="31"/>
      <c r="C657" s="32"/>
      <c r="D657" s="33"/>
      <c r="E657" s="34"/>
      <c r="F657" s="34"/>
      <c r="G657" s="35"/>
      <c r="H657" s="34"/>
      <c r="I657" s="37"/>
    </row>
    <row r="658" ht="22.5" customHeight="1">
      <c r="A658" s="30"/>
      <c r="B658" s="31"/>
      <c r="C658" s="32"/>
      <c r="D658" s="33"/>
      <c r="E658" s="34"/>
      <c r="F658" s="34"/>
      <c r="G658" s="35"/>
      <c r="H658" s="34"/>
      <c r="I658" s="37"/>
    </row>
    <row r="659" ht="22.5" customHeight="1">
      <c r="A659" s="30"/>
      <c r="B659" s="31"/>
      <c r="C659" s="32"/>
      <c r="D659" s="33"/>
      <c r="E659" s="34"/>
      <c r="F659" s="34"/>
      <c r="G659" s="35"/>
      <c r="H659" s="34"/>
      <c r="I659" s="37"/>
    </row>
    <row r="660" ht="22.5" customHeight="1">
      <c r="A660" s="30"/>
      <c r="B660" s="31"/>
      <c r="C660" s="32"/>
      <c r="D660" s="33"/>
      <c r="E660" s="34"/>
      <c r="F660" s="34"/>
      <c r="G660" s="35"/>
      <c r="H660" s="34"/>
      <c r="I660" s="37"/>
    </row>
    <row r="661" ht="22.5" customHeight="1">
      <c r="A661" s="30"/>
      <c r="B661" s="31"/>
      <c r="C661" s="32"/>
      <c r="D661" s="33"/>
      <c r="E661" s="34"/>
      <c r="F661" s="34"/>
      <c r="G661" s="35"/>
      <c r="H661" s="34"/>
      <c r="I661" s="37"/>
    </row>
    <row r="662" ht="22.5" customHeight="1">
      <c r="A662" s="30"/>
      <c r="B662" s="31"/>
      <c r="C662" s="32"/>
      <c r="D662" s="33"/>
      <c r="E662" s="34"/>
      <c r="F662" s="34"/>
      <c r="G662" s="35"/>
      <c r="H662" s="34"/>
      <c r="I662" s="37"/>
    </row>
    <row r="663" ht="22.5" customHeight="1">
      <c r="A663" s="30"/>
      <c r="B663" s="39"/>
      <c r="C663" s="32"/>
      <c r="D663" s="33"/>
      <c r="E663" s="34"/>
      <c r="F663" s="34"/>
      <c r="G663" s="35"/>
      <c r="H663" s="34"/>
      <c r="I663" s="37"/>
    </row>
    <row r="664" ht="22.5" customHeight="1">
      <c r="A664" s="30"/>
      <c r="B664" s="39"/>
      <c r="C664" s="32"/>
      <c r="D664" s="33"/>
      <c r="E664" s="34"/>
      <c r="F664" s="34"/>
      <c r="G664" s="35"/>
      <c r="H664" s="34"/>
      <c r="I664" s="37"/>
    </row>
    <row r="665" ht="22.5" customHeight="1">
      <c r="A665" s="30"/>
      <c r="B665" s="39"/>
      <c r="C665" s="32"/>
      <c r="D665" s="33"/>
      <c r="E665" s="34"/>
      <c r="F665" s="34"/>
      <c r="G665" s="35"/>
      <c r="H665" s="34"/>
      <c r="I665" s="37"/>
    </row>
    <row r="666" ht="22.5" customHeight="1">
      <c r="A666" s="30"/>
      <c r="B666" s="40"/>
      <c r="C666" s="32"/>
      <c r="D666" s="33"/>
      <c r="E666" s="34"/>
      <c r="F666" s="34"/>
      <c r="G666" s="35"/>
      <c r="H666" s="34"/>
      <c r="I666" s="37"/>
    </row>
    <row r="667" ht="22.5" customHeight="1">
      <c r="A667" s="30"/>
      <c r="B667" s="31"/>
      <c r="C667" s="32"/>
      <c r="D667" s="33"/>
      <c r="E667" s="34"/>
      <c r="F667" s="34"/>
      <c r="G667" s="35"/>
      <c r="H667" s="34"/>
      <c r="I667" s="37"/>
    </row>
    <row r="668" ht="22.5" customHeight="1">
      <c r="A668" s="30"/>
      <c r="B668" s="31"/>
      <c r="C668" s="32"/>
      <c r="D668" s="33"/>
      <c r="E668" s="34"/>
      <c r="F668" s="34"/>
      <c r="G668" s="35"/>
      <c r="H668" s="34"/>
      <c r="I668" s="37"/>
    </row>
    <row r="669" ht="22.5" customHeight="1">
      <c r="A669" s="30"/>
      <c r="B669" s="31"/>
      <c r="C669" s="32"/>
      <c r="D669" s="33"/>
      <c r="E669" s="34"/>
      <c r="F669" s="34"/>
      <c r="G669" s="35"/>
      <c r="H669" s="34"/>
      <c r="I669" s="37"/>
    </row>
    <row r="670" ht="22.5" customHeight="1">
      <c r="A670" s="30"/>
      <c r="B670" s="31"/>
      <c r="C670" s="32"/>
      <c r="D670" s="33"/>
      <c r="E670" s="34"/>
      <c r="F670" s="34"/>
      <c r="G670" s="35"/>
      <c r="H670" s="34"/>
      <c r="I670" s="37"/>
    </row>
    <row r="671" ht="22.5" customHeight="1">
      <c r="A671" s="30"/>
      <c r="B671" s="31"/>
      <c r="C671" s="32"/>
      <c r="D671" s="33"/>
      <c r="E671" s="34"/>
      <c r="F671" s="34"/>
      <c r="G671" s="35"/>
      <c r="H671" s="34"/>
      <c r="I671" s="37"/>
    </row>
    <row r="672" ht="22.5" customHeight="1">
      <c r="A672" s="30"/>
      <c r="B672" s="31"/>
      <c r="C672" s="32"/>
      <c r="D672" s="33"/>
      <c r="E672" s="34"/>
      <c r="F672" s="34"/>
      <c r="G672" s="35"/>
      <c r="H672" s="34"/>
      <c r="I672" s="37"/>
    </row>
    <row r="673" ht="22.5" customHeight="1">
      <c r="A673" s="30"/>
      <c r="B673" s="31"/>
      <c r="C673" s="32"/>
      <c r="D673" s="33"/>
      <c r="E673" s="34"/>
      <c r="F673" s="34"/>
      <c r="G673" s="35"/>
      <c r="H673" s="34"/>
      <c r="I673" s="37"/>
    </row>
    <row r="674" ht="22.5" customHeight="1">
      <c r="A674" s="30"/>
      <c r="B674" s="31"/>
      <c r="C674" s="32"/>
      <c r="D674" s="33"/>
      <c r="E674" s="34"/>
      <c r="F674" s="34"/>
      <c r="G674" s="35"/>
      <c r="H674" s="34"/>
      <c r="I674" s="37"/>
    </row>
    <row r="675" ht="22.5" customHeight="1">
      <c r="A675" s="30"/>
      <c r="B675" s="31"/>
      <c r="C675" s="32"/>
      <c r="D675" s="33"/>
      <c r="E675" s="34"/>
      <c r="F675" s="34"/>
      <c r="G675" s="35"/>
      <c r="H675" s="34"/>
      <c r="I675" s="37"/>
    </row>
    <row r="676" ht="22.5" customHeight="1">
      <c r="A676" s="30"/>
      <c r="B676" s="40"/>
      <c r="C676" s="32"/>
      <c r="D676" s="33"/>
      <c r="E676" s="34"/>
      <c r="F676" s="34"/>
      <c r="G676" s="35"/>
      <c r="H676" s="34"/>
      <c r="I676" s="37"/>
    </row>
    <row r="677" ht="22.5" customHeight="1">
      <c r="A677" s="30"/>
      <c r="B677" s="31"/>
      <c r="C677" s="32"/>
      <c r="D677" s="33"/>
      <c r="E677" s="34"/>
      <c r="F677" s="34"/>
      <c r="G677" s="35"/>
      <c r="H677" s="34"/>
      <c r="I677" s="37"/>
    </row>
    <row r="678" ht="22.5" customHeight="1">
      <c r="A678" s="30"/>
      <c r="B678" s="31"/>
      <c r="C678" s="32"/>
      <c r="D678" s="33"/>
      <c r="E678" s="34"/>
      <c r="F678" s="34"/>
      <c r="G678" s="35"/>
      <c r="H678" s="34"/>
      <c r="I678" s="37"/>
    </row>
    <row r="679" ht="22.5" customHeight="1">
      <c r="A679" s="30"/>
      <c r="B679" s="31"/>
      <c r="C679" s="32"/>
      <c r="D679" s="33"/>
      <c r="E679" s="34"/>
      <c r="F679" s="34"/>
      <c r="G679" s="35"/>
      <c r="H679" s="34"/>
      <c r="I679" s="37"/>
    </row>
    <row r="680" ht="22.5" customHeight="1">
      <c r="A680" s="30"/>
      <c r="B680" s="40"/>
      <c r="C680" s="32"/>
      <c r="D680" s="33"/>
      <c r="E680" s="34"/>
      <c r="F680" s="34"/>
      <c r="G680" s="35"/>
      <c r="H680" s="34"/>
      <c r="I680" s="37"/>
    </row>
    <row r="681" ht="22.5" customHeight="1">
      <c r="A681" s="30"/>
      <c r="B681" s="31"/>
      <c r="C681" s="32"/>
      <c r="D681" s="33"/>
      <c r="E681" s="34"/>
      <c r="F681" s="34"/>
      <c r="G681" s="35"/>
      <c r="H681" s="34"/>
      <c r="I681" s="37"/>
    </row>
    <row r="682" ht="22.5" customHeight="1">
      <c r="A682" s="30"/>
      <c r="B682" s="31"/>
      <c r="C682" s="32"/>
      <c r="D682" s="33"/>
      <c r="E682" s="34"/>
      <c r="F682" s="34"/>
      <c r="G682" s="35"/>
      <c r="H682" s="34"/>
      <c r="I682" s="37"/>
    </row>
    <row r="683" ht="22.5" customHeight="1">
      <c r="A683" s="30"/>
      <c r="B683" s="31"/>
      <c r="C683" s="32"/>
      <c r="D683" s="33"/>
      <c r="E683" s="34"/>
      <c r="F683" s="34"/>
      <c r="G683" s="35"/>
      <c r="H683" s="34"/>
      <c r="I683" s="37"/>
    </row>
    <row r="684" ht="22.5" customHeight="1">
      <c r="A684" s="30"/>
      <c r="B684" s="31"/>
      <c r="C684" s="32"/>
      <c r="D684" s="33"/>
      <c r="E684" s="34"/>
      <c r="F684" s="34"/>
      <c r="G684" s="35"/>
      <c r="H684" s="34"/>
      <c r="I684" s="37"/>
    </row>
    <row r="685" ht="22.5" customHeight="1">
      <c r="A685" s="30"/>
      <c r="B685" s="31"/>
      <c r="C685" s="32"/>
      <c r="D685" s="33"/>
      <c r="E685" s="34"/>
      <c r="F685" s="34"/>
      <c r="G685" s="35"/>
      <c r="H685" s="34"/>
      <c r="I685" s="37"/>
    </row>
    <row r="686" ht="22.5" customHeight="1">
      <c r="A686" s="30"/>
      <c r="B686" s="31"/>
      <c r="C686" s="32"/>
      <c r="D686" s="33"/>
      <c r="E686" s="34"/>
      <c r="F686" s="34"/>
      <c r="G686" s="35"/>
      <c r="H686" s="34"/>
      <c r="I686" s="37"/>
    </row>
    <row r="687" ht="22.5" customHeight="1">
      <c r="A687" s="30"/>
      <c r="B687" s="31"/>
      <c r="C687" s="32"/>
      <c r="D687" s="33"/>
      <c r="E687" s="34"/>
      <c r="F687" s="34"/>
      <c r="G687" s="35"/>
      <c r="H687" s="34"/>
      <c r="I687" s="37"/>
    </row>
    <row r="688" ht="22.5" customHeight="1">
      <c r="A688" s="30"/>
      <c r="B688" s="31"/>
      <c r="C688" s="32"/>
      <c r="D688" s="33"/>
      <c r="E688" s="34"/>
      <c r="F688" s="34"/>
      <c r="G688" s="35"/>
      <c r="H688" s="34"/>
      <c r="I688" s="37"/>
    </row>
    <row r="689" ht="22.5" customHeight="1">
      <c r="A689" s="30"/>
      <c r="B689" s="31"/>
      <c r="C689" s="32"/>
      <c r="D689" s="33"/>
      <c r="E689" s="34"/>
      <c r="F689" s="34"/>
      <c r="G689" s="35"/>
      <c r="H689" s="34"/>
      <c r="I689" s="37"/>
    </row>
    <row r="690" ht="22.5" customHeight="1">
      <c r="A690" s="30"/>
      <c r="B690" s="31"/>
      <c r="C690" s="32"/>
      <c r="D690" s="33"/>
      <c r="E690" s="34"/>
      <c r="F690" s="34"/>
      <c r="G690" s="35"/>
      <c r="H690" s="34"/>
      <c r="I690" s="37"/>
    </row>
    <row r="691" ht="22.5" customHeight="1">
      <c r="A691" s="30"/>
      <c r="B691" s="31"/>
      <c r="C691" s="32"/>
      <c r="D691" s="33"/>
      <c r="E691" s="34"/>
      <c r="F691" s="34"/>
      <c r="G691" s="35"/>
      <c r="H691" s="34"/>
      <c r="I691" s="37"/>
    </row>
    <row r="692" ht="22.5" customHeight="1">
      <c r="A692" s="30"/>
      <c r="B692" s="31"/>
      <c r="C692" s="32"/>
      <c r="D692" s="33"/>
      <c r="E692" s="34"/>
      <c r="F692" s="34"/>
      <c r="G692" s="35"/>
      <c r="H692" s="34"/>
      <c r="I692" s="37"/>
    </row>
    <row r="693" ht="22.5" customHeight="1">
      <c r="A693" s="30"/>
      <c r="B693" s="31"/>
      <c r="C693" s="32"/>
      <c r="D693" s="33"/>
      <c r="E693" s="34"/>
      <c r="F693" s="34"/>
      <c r="G693" s="35"/>
      <c r="H693" s="34"/>
      <c r="I693" s="37"/>
    </row>
    <row r="694" ht="22.5" customHeight="1">
      <c r="A694" s="30"/>
      <c r="B694" s="31"/>
      <c r="C694" s="32"/>
      <c r="D694" s="33"/>
      <c r="E694" s="34"/>
      <c r="F694" s="34"/>
      <c r="G694" s="35"/>
      <c r="H694" s="34"/>
      <c r="I694" s="37"/>
    </row>
    <row r="695" ht="22.5" customHeight="1">
      <c r="A695" s="30"/>
      <c r="B695" s="40"/>
      <c r="C695" s="32"/>
      <c r="D695" s="33"/>
      <c r="E695" s="34"/>
      <c r="F695" s="34"/>
      <c r="G695" s="35"/>
      <c r="H695" s="34"/>
      <c r="I695" s="37"/>
    </row>
    <row r="696" ht="22.5" customHeight="1">
      <c r="A696" s="30"/>
      <c r="B696" s="31"/>
      <c r="C696" s="32"/>
      <c r="D696" s="33"/>
      <c r="E696" s="34"/>
      <c r="F696" s="34"/>
      <c r="G696" s="35"/>
      <c r="H696" s="34"/>
      <c r="I696" s="37"/>
    </row>
    <row r="697" ht="22.5" customHeight="1">
      <c r="A697" s="30"/>
      <c r="B697" s="40"/>
      <c r="C697" s="32"/>
      <c r="D697" s="33"/>
      <c r="E697" s="34"/>
      <c r="F697" s="34"/>
      <c r="G697" s="35"/>
      <c r="H697" s="34"/>
      <c r="I697" s="37"/>
    </row>
    <row r="698" ht="22.5" customHeight="1">
      <c r="A698" s="30"/>
      <c r="B698" s="31"/>
      <c r="C698" s="32"/>
      <c r="D698" s="33"/>
      <c r="E698" s="34"/>
      <c r="F698" s="34"/>
      <c r="G698" s="35"/>
      <c r="H698" s="34"/>
      <c r="I698" s="37"/>
    </row>
    <row r="699" ht="22.5" customHeight="1">
      <c r="A699" s="30"/>
      <c r="B699" s="31"/>
      <c r="C699" s="32"/>
      <c r="D699" s="33"/>
      <c r="E699" s="34"/>
      <c r="F699" s="34"/>
      <c r="G699" s="35"/>
      <c r="H699" s="34"/>
      <c r="I699" s="37"/>
    </row>
    <row r="700" ht="22.5" customHeight="1">
      <c r="A700" s="30"/>
      <c r="B700" s="31"/>
      <c r="C700" s="32"/>
      <c r="D700" s="33"/>
      <c r="E700" s="34"/>
      <c r="F700" s="34"/>
      <c r="G700" s="35"/>
      <c r="H700" s="34"/>
      <c r="I700" s="37"/>
    </row>
    <row r="701" ht="22.5" customHeight="1">
      <c r="A701" s="30"/>
      <c r="B701" s="31"/>
      <c r="C701" s="32"/>
      <c r="D701" s="33"/>
      <c r="E701" s="34"/>
      <c r="F701" s="34"/>
      <c r="G701" s="35"/>
      <c r="H701" s="34"/>
      <c r="I701" s="37"/>
    </row>
    <row r="702" ht="22.5" customHeight="1">
      <c r="A702" s="30"/>
      <c r="B702" s="40"/>
      <c r="C702" s="32"/>
      <c r="D702" s="33"/>
      <c r="E702" s="34"/>
      <c r="F702" s="34"/>
      <c r="G702" s="35"/>
      <c r="H702" s="34"/>
      <c r="I702" s="37"/>
    </row>
    <row r="703" ht="22.5" customHeight="1">
      <c r="A703" s="30"/>
      <c r="B703" s="31"/>
      <c r="C703" s="32"/>
      <c r="D703" s="33"/>
      <c r="E703" s="34"/>
      <c r="F703" s="34"/>
      <c r="G703" s="35"/>
      <c r="H703" s="34"/>
      <c r="I703" s="37"/>
    </row>
    <row r="704" ht="22.5" customHeight="1">
      <c r="A704" s="30"/>
      <c r="B704" s="31"/>
      <c r="C704" s="32"/>
      <c r="D704" s="33"/>
      <c r="E704" s="34"/>
      <c r="F704" s="34"/>
      <c r="G704" s="35"/>
      <c r="H704" s="34"/>
      <c r="I704" s="37"/>
    </row>
    <row r="705" ht="22.5" customHeight="1">
      <c r="A705" s="30"/>
      <c r="B705" s="31"/>
      <c r="C705" s="32"/>
      <c r="D705" s="33"/>
      <c r="E705" s="34"/>
      <c r="F705" s="34"/>
      <c r="G705" s="35"/>
      <c r="H705" s="34"/>
      <c r="I705" s="37"/>
    </row>
    <row r="706" ht="22.5" customHeight="1">
      <c r="A706" s="30"/>
      <c r="B706" s="31"/>
      <c r="C706" s="32"/>
      <c r="D706" s="33"/>
      <c r="E706" s="34"/>
      <c r="F706" s="34"/>
      <c r="G706" s="35"/>
      <c r="H706" s="34"/>
      <c r="I706" s="37"/>
    </row>
    <row r="707" ht="22.5" customHeight="1">
      <c r="A707" s="30"/>
      <c r="B707" s="31"/>
      <c r="C707" s="32"/>
      <c r="D707" s="33"/>
      <c r="E707" s="34"/>
      <c r="F707" s="34"/>
      <c r="G707" s="35"/>
      <c r="H707" s="34"/>
      <c r="I707" s="37"/>
    </row>
    <row r="708" ht="22.5" customHeight="1">
      <c r="A708" s="30"/>
      <c r="B708" s="31"/>
      <c r="C708" s="32"/>
      <c r="D708" s="33"/>
      <c r="E708" s="34"/>
      <c r="F708" s="34"/>
      <c r="G708" s="35"/>
      <c r="H708" s="34"/>
      <c r="I708" s="37"/>
    </row>
    <row r="709" ht="22.5" customHeight="1">
      <c r="A709" s="30"/>
      <c r="B709" s="31"/>
      <c r="C709" s="32"/>
      <c r="D709" s="33"/>
      <c r="E709" s="34"/>
      <c r="F709" s="34"/>
      <c r="G709" s="35"/>
      <c r="H709" s="34"/>
      <c r="I709" s="37"/>
    </row>
    <row r="710" ht="22.5" customHeight="1">
      <c r="A710" s="30"/>
      <c r="B710" s="31"/>
      <c r="C710" s="32"/>
      <c r="D710" s="33"/>
      <c r="E710" s="34"/>
      <c r="F710" s="34"/>
      <c r="G710" s="35"/>
      <c r="H710" s="34"/>
      <c r="I710" s="37"/>
    </row>
    <row r="711" ht="22.5" customHeight="1">
      <c r="A711" s="30"/>
      <c r="B711" s="31"/>
      <c r="C711" s="32"/>
      <c r="D711" s="33"/>
      <c r="E711" s="34"/>
      <c r="F711" s="34"/>
      <c r="G711" s="35"/>
      <c r="H711" s="34"/>
      <c r="I711" s="37"/>
    </row>
    <row r="712" ht="22.5" customHeight="1">
      <c r="A712" s="30"/>
      <c r="B712" s="31"/>
      <c r="C712" s="32"/>
      <c r="D712" s="33"/>
      <c r="E712" s="34"/>
      <c r="F712" s="34"/>
      <c r="G712" s="35"/>
      <c r="H712" s="34"/>
      <c r="I712" s="37"/>
    </row>
    <row r="713" ht="22.5" customHeight="1">
      <c r="A713" s="30"/>
      <c r="B713" s="31"/>
      <c r="C713" s="32"/>
      <c r="D713" s="33"/>
      <c r="E713" s="34"/>
      <c r="F713" s="34"/>
      <c r="G713" s="35"/>
      <c r="H713" s="34"/>
      <c r="I713" s="37"/>
    </row>
    <row r="714" ht="22.5" customHeight="1">
      <c r="A714" s="30"/>
      <c r="B714" s="31"/>
      <c r="C714" s="32"/>
      <c r="D714" s="33"/>
      <c r="E714" s="34"/>
      <c r="F714" s="34"/>
      <c r="G714" s="35"/>
      <c r="H714" s="34"/>
      <c r="I714" s="37"/>
    </row>
    <row r="715" ht="22.5" customHeight="1">
      <c r="A715" s="30"/>
      <c r="B715" s="31"/>
      <c r="C715" s="32"/>
      <c r="D715" s="33"/>
      <c r="E715" s="34"/>
      <c r="F715" s="34"/>
      <c r="G715" s="35"/>
      <c r="H715" s="34"/>
      <c r="I715" s="37"/>
    </row>
    <row r="716" ht="22.5" customHeight="1">
      <c r="A716" s="30"/>
      <c r="B716" s="31"/>
      <c r="C716" s="32"/>
      <c r="D716" s="33"/>
      <c r="E716" s="34"/>
      <c r="F716" s="34"/>
      <c r="G716" s="35"/>
      <c r="H716" s="34"/>
      <c r="I716" s="37"/>
    </row>
    <row r="717" ht="22.5" customHeight="1">
      <c r="A717" s="30"/>
      <c r="B717" s="31"/>
      <c r="C717" s="32"/>
      <c r="D717" s="33"/>
      <c r="E717" s="34"/>
      <c r="F717" s="34"/>
      <c r="G717" s="35"/>
      <c r="H717" s="34"/>
      <c r="I717" s="37"/>
    </row>
    <row r="718" ht="22.5" customHeight="1">
      <c r="A718" s="30"/>
      <c r="B718" s="31"/>
      <c r="C718" s="32"/>
      <c r="D718" s="33"/>
      <c r="E718" s="34"/>
      <c r="F718" s="34"/>
      <c r="G718" s="35"/>
      <c r="H718" s="34"/>
      <c r="I718" s="37"/>
    </row>
    <row r="719" ht="22.5" customHeight="1">
      <c r="A719" s="30"/>
      <c r="B719" s="31"/>
      <c r="C719" s="32"/>
      <c r="D719" s="33"/>
      <c r="E719" s="34"/>
      <c r="F719" s="34"/>
      <c r="G719" s="35"/>
      <c r="H719" s="34"/>
      <c r="I719" s="37"/>
    </row>
    <row r="720" ht="22.5" customHeight="1">
      <c r="A720" s="30"/>
      <c r="B720" s="31"/>
      <c r="C720" s="32"/>
      <c r="D720" s="33"/>
      <c r="E720" s="34"/>
      <c r="F720" s="34"/>
      <c r="G720" s="35"/>
      <c r="H720" s="34"/>
      <c r="I720" s="37"/>
    </row>
    <row r="721" ht="22.5" customHeight="1">
      <c r="A721" s="30"/>
      <c r="B721" s="31"/>
      <c r="C721" s="32"/>
      <c r="D721" s="33"/>
      <c r="E721" s="34"/>
      <c r="F721" s="34"/>
      <c r="G721" s="35"/>
      <c r="H721" s="34"/>
      <c r="I721" s="37"/>
    </row>
    <row r="722" ht="22.5" customHeight="1">
      <c r="A722" s="30"/>
      <c r="B722" s="31"/>
      <c r="C722" s="32"/>
      <c r="D722" s="33"/>
      <c r="E722" s="34"/>
      <c r="F722" s="34"/>
      <c r="G722" s="35"/>
      <c r="H722" s="34"/>
      <c r="I722" s="37"/>
    </row>
    <row r="723" ht="22.5" customHeight="1">
      <c r="A723" s="30"/>
      <c r="B723" s="31"/>
      <c r="C723" s="32"/>
      <c r="D723" s="33"/>
      <c r="E723" s="34"/>
      <c r="F723" s="34"/>
      <c r="G723" s="35"/>
      <c r="H723" s="34"/>
      <c r="I723" s="37"/>
    </row>
    <row r="724" ht="22.5" customHeight="1">
      <c r="A724" s="30"/>
      <c r="B724" s="40"/>
      <c r="C724" s="32"/>
      <c r="D724" s="33"/>
      <c r="E724" s="34"/>
      <c r="F724" s="34"/>
      <c r="G724" s="35"/>
      <c r="H724" s="34"/>
      <c r="I724" s="37"/>
    </row>
    <row r="725" ht="22.5" customHeight="1">
      <c r="A725" s="30"/>
      <c r="B725" s="31"/>
      <c r="C725" s="32"/>
      <c r="D725" s="33"/>
      <c r="E725" s="34"/>
      <c r="F725" s="34"/>
      <c r="G725" s="35"/>
      <c r="H725" s="34"/>
      <c r="I725" s="37"/>
    </row>
    <row r="726" ht="22.5" customHeight="1">
      <c r="A726" s="30"/>
      <c r="B726" s="31"/>
      <c r="C726" s="32"/>
      <c r="D726" s="33"/>
      <c r="E726" s="34"/>
      <c r="F726" s="34"/>
      <c r="G726" s="35"/>
      <c r="H726" s="34"/>
      <c r="I726" s="37"/>
    </row>
    <row r="727" ht="22.5" customHeight="1">
      <c r="A727" s="30"/>
      <c r="B727" s="31"/>
      <c r="C727" s="32"/>
      <c r="D727" s="33"/>
      <c r="E727" s="34"/>
      <c r="F727" s="34"/>
      <c r="G727" s="35"/>
      <c r="H727" s="34"/>
      <c r="I727" s="37"/>
    </row>
    <row r="728" ht="22.5" customHeight="1">
      <c r="A728" s="30"/>
      <c r="B728" s="31"/>
      <c r="C728" s="32"/>
      <c r="D728" s="33"/>
      <c r="E728" s="34"/>
      <c r="F728" s="34"/>
      <c r="G728" s="35"/>
      <c r="H728" s="34"/>
      <c r="I728" s="38"/>
    </row>
    <row r="729" ht="22.5" customHeight="1">
      <c r="A729" s="30"/>
      <c r="B729" s="39"/>
      <c r="C729" s="32"/>
      <c r="D729" s="33"/>
      <c r="E729" s="34"/>
      <c r="F729" s="34"/>
      <c r="G729" s="35"/>
      <c r="H729" s="34"/>
      <c r="I729" s="37"/>
    </row>
    <row r="730" ht="22.5" customHeight="1">
      <c r="A730" s="30"/>
      <c r="B730" s="31"/>
      <c r="C730" s="32"/>
      <c r="D730" s="33"/>
      <c r="E730" s="34"/>
      <c r="F730" s="34"/>
      <c r="G730" s="35"/>
      <c r="H730" s="34"/>
      <c r="I730" s="37"/>
    </row>
    <row r="731" ht="22.5" customHeight="1">
      <c r="A731" s="30"/>
      <c r="B731" s="31"/>
      <c r="C731" s="32"/>
      <c r="D731" s="33"/>
      <c r="E731" s="34"/>
      <c r="F731" s="34"/>
      <c r="G731" s="35"/>
      <c r="H731" s="34"/>
      <c r="I731" s="37"/>
    </row>
    <row r="732" ht="22.5" customHeight="1">
      <c r="A732" s="30"/>
      <c r="B732" s="31"/>
      <c r="C732" s="32"/>
      <c r="D732" s="33"/>
      <c r="E732" s="34"/>
      <c r="F732" s="34"/>
      <c r="G732" s="35"/>
      <c r="H732" s="34"/>
      <c r="I732" s="37"/>
    </row>
    <row r="733" ht="22.5" customHeight="1">
      <c r="A733" s="30"/>
      <c r="B733" s="39"/>
      <c r="C733" s="32"/>
      <c r="D733" s="33"/>
      <c r="E733" s="34"/>
      <c r="F733" s="34"/>
      <c r="G733" s="35"/>
      <c r="H733" s="34"/>
      <c r="I733" s="37"/>
    </row>
    <row r="734" ht="22.5" customHeight="1">
      <c r="A734" s="30"/>
      <c r="B734" s="31"/>
      <c r="C734" s="32"/>
      <c r="D734" s="33"/>
      <c r="E734" s="34"/>
      <c r="F734" s="34"/>
      <c r="G734" s="35"/>
      <c r="H734" s="34"/>
      <c r="I734" s="37"/>
    </row>
    <row r="735" ht="22.5" customHeight="1">
      <c r="A735" s="30"/>
      <c r="B735" s="39"/>
      <c r="C735" s="32"/>
      <c r="D735" s="33"/>
      <c r="E735" s="34"/>
      <c r="F735" s="34"/>
      <c r="G735" s="35"/>
      <c r="H735" s="34"/>
      <c r="I735" s="37"/>
    </row>
    <row r="736" ht="22.5" customHeight="1">
      <c r="A736" s="30"/>
      <c r="B736" s="31"/>
      <c r="C736" s="32"/>
      <c r="D736" s="33"/>
      <c r="E736" s="34"/>
      <c r="F736" s="34"/>
      <c r="G736" s="35"/>
      <c r="H736" s="34"/>
      <c r="I736" s="37"/>
    </row>
    <row r="737" ht="22.5" customHeight="1">
      <c r="A737" s="30"/>
      <c r="B737" s="31"/>
      <c r="C737" s="32"/>
      <c r="D737" s="33"/>
      <c r="E737" s="34"/>
      <c r="F737" s="34"/>
      <c r="G737" s="35"/>
      <c r="H737" s="34"/>
      <c r="I737" s="37"/>
    </row>
    <row r="738" ht="22.5" customHeight="1">
      <c r="A738" s="30"/>
      <c r="B738" s="31"/>
      <c r="C738" s="32"/>
      <c r="D738" s="33"/>
      <c r="E738" s="34"/>
      <c r="F738" s="34"/>
      <c r="G738" s="35"/>
      <c r="H738" s="34"/>
      <c r="I738" s="37"/>
    </row>
    <row r="739" ht="22.5" customHeight="1">
      <c r="A739" s="30"/>
      <c r="B739" s="31"/>
      <c r="C739" s="32"/>
      <c r="D739" s="33"/>
      <c r="E739" s="34"/>
      <c r="F739" s="34"/>
      <c r="G739" s="35"/>
      <c r="H739" s="34"/>
      <c r="I739" s="37"/>
    </row>
    <row r="740" ht="22.5" customHeight="1">
      <c r="A740" s="30"/>
      <c r="B740" s="31"/>
      <c r="C740" s="32"/>
      <c r="D740" s="33"/>
      <c r="E740" s="34"/>
      <c r="F740" s="34"/>
      <c r="G740" s="35"/>
      <c r="H740" s="34"/>
      <c r="I740" s="37"/>
    </row>
    <row r="741" ht="22.5" customHeight="1">
      <c r="A741" s="30"/>
      <c r="B741" s="31"/>
      <c r="C741" s="32"/>
      <c r="D741" s="33"/>
      <c r="E741" s="34"/>
      <c r="F741" s="34"/>
      <c r="G741" s="35"/>
      <c r="H741" s="34"/>
      <c r="I741" s="37"/>
    </row>
    <row r="742" ht="22.5" customHeight="1">
      <c r="A742" s="30"/>
      <c r="B742" s="31"/>
      <c r="C742" s="32"/>
      <c r="D742" s="33"/>
      <c r="E742" s="34"/>
      <c r="F742" s="34"/>
      <c r="G742" s="35"/>
      <c r="H742" s="34"/>
      <c r="I742" s="37"/>
    </row>
    <row r="743" ht="22.5" customHeight="1">
      <c r="A743" s="30"/>
      <c r="B743" s="31"/>
      <c r="C743" s="32"/>
      <c r="D743" s="33"/>
      <c r="E743" s="34"/>
      <c r="F743" s="34"/>
      <c r="G743" s="35"/>
      <c r="H743" s="34"/>
      <c r="I743" s="37"/>
    </row>
    <row r="744" ht="22.5" customHeight="1">
      <c r="A744" s="30"/>
      <c r="B744" s="31"/>
      <c r="C744" s="32"/>
      <c r="D744" s="33"/>
      <c r="E744" s="34"/>
      <c r="F744" s="34"/>
      <c r="G744" s="35"/>
      <c r="H744" s="34"/>
      <c r="I744" s="37"/>
    </row>
    <row r="745" ht="22.5" customHeight="1">
      <c r="A745" s="30"/>
      <c r="B745" s="31"/>
      <c r="C745" s="32"/>
      <c r="D745" s="33"/>
      <c r="E745" s="34"/>
      <c r="F745" s="34"/>
      <c r="G745" s="35"/>
      <c r="H745" s="34"/>
      <c r="I745" s="37"/>
    </row>
    <row r="746" ht="22.5" customHeight="1">
      <c r="A746" s="30"/>
      <c r="B746" s="40"/>
      <c r="C746" s="32"/>
      <c r="D746" s="33"/>
      <c r="E746" s="34"/>
      <c r="F746" s="34"/>
      <c r="G746" s="35"/>
      <c r="H746" s="34"/>
      <c r="I746" s="37"/>
    </row>
    <row r="747" ht="22.5" customHeight="1">
      <c r="A747" s="30"/>
      <c r="B747" s="31"/>
      <c r="C747" s="32"/>
      <c r="D747" s="33"/>
      <c r="E747" s="34"/>
      <c r="F747" s="34"/>
      <c r="G747" s="35"/>
      <c r="H747" s="34"/>
      <c r="I747" s="37"/>
    </row>
    <row r="748" ht="22.5" customHeight="1">
      <c r="A748" s="30"/>
      <c r="B748" s="31"/>
      <c r="C748" s="32"/>
      <c r="D748" s="33"/>
      <c r="E748" s="34"/>
      <c r="F748" s="34"/>
      <c r="G748" s="35"/>
      <c r="H748" s="34"/>
      <c r="I748" s="37"/>
    </row>
    <row r="749" ht="22.5" customHeight="1">
      <c r="A749" s="30"/>
      <c r="B749" s="31"/>
      <c r="C749" s="32"/>
      <c r="D749" s="33"/>
      <c r="E749" s="34"/>
      <c r="F749" s="34"/>
      <c r="G749" s="35"/>
      <c r="H749" s="34"/>
      <c r="I749" s="37"/>
    </row>
    <row r="750" ht="22.5" customHeight="1">
      <c r="A750" s="30"/>
      <c r="B750" s="31"/>
      <c r="C750" s="32"/>
      <c r="D750" s="33"/>
      <c r="E750" s="34"/>
      <c r="F750" s="34"/>
      <c r="G750" s="35"/>
      <c r="H750" s="34"/>
      <c r="I750" s="37"/>
    </row>
    <row r="751" ht="22.5" customHeight="1">
      <c r="A751" s="30"/>
      <c r="B751" s="31"/>
      <c r="C751" s="32"/>
      <c r="D751" s="33"/>
      <c r="E751" s="34"/>
      <c r="F751" s="34"/>
      <c r="G751" s="35"/>
      <c r="H751" s="34"/>
      <c r="I751" s="37"/>
    </row>
    <row r="752" ht="22.5" customHeight="1">
      <c r="A752" s="30"/>
      <c r="B752" s="31"/>
      <c r="C752" s="32"/>
      <c r="D752" s="33"/>
      <c r="E752" s="34"/>
      <c r="F752" s="34"/>
      <c r="G752" s="35"/>
      <c r="H752" s="34"/>
      <c r="I752" s="37"/>
    </row>
    <row r="753" ht="22.5" customHeight="1">
      <c r="A753" s="30"/>
      <c r="B753" s="39"/>
      <c r="C753" s="32"/>
      <c r="D753" s="33"/>
      <c r="E753" s="34"/>
      <c r="F753" s="34"/>
      <c r="G753" s="35"/>
      <c r="H753" s="34"/>
      <c r="I753" s="37"/>
    </row>
    <row r="754" ht="22.5" customHeight="1">
      <c r="A754" s="30"/>
      <c r="B754" s="39"/>
      <c r="C754" s="32"/>
      <c r="D754" s="33"/>
      <c r="E754" s="34"/>
      <c r="F754" s="34"/>
      <c r="G754" s="35"/>
      <c r="H754" s="34"/>
      <c r="I754" s="37"/>
    </row>
    <row r="755" ht="22.5" customHeight="1">
      <c r="A755" s="30"/>
      <c r="B755" s="39"/>
      <c r="C755" s="32"/>
      <c r="D755" s="33"/>
      <c r="E755" s="34"/>
      <c r="F755" s="34"/>
      <c r="G755" s="35"/>
      <c r="H755" s="34"/>
      <c r="I755" s="37"/>
    </row>
    <row r="756" ht="22.5" customHeight="1">
      <c r="A756" s="30"/>
      <c r="B756" s="40"/>
      <c r="C756" s="32"/>
      <c r="D756" s="33"/>
      <c r="E756" s="34"/>
      <c r="F756" s="34"/>
      <c r="G756" s="35"/>
      <c r="H756" s="34"/>
      <c r="I756" s="37"/>
    </row>
    <row r="757" ht="22.5" customHeight="1">
      <c r="A757" s="30"/>
      <c r="B757" s="31"/>
      <c r="C757" s="32"/>
      <c r="D757" s="33"/>
      <c r="E757" s="34"/>
      <c r="F757" s="34"/>
      <c r="G757" s="35"/>
      <c r="H757" s="34"/>
      <c r="I757" s="37"/>
    </row>
    <row r="758" ht="22.5" customHeight="1">
      <c r="A758" s="30"/>
      <c r="B758" s="31"/>
      <c r="C758" s="32"/>
      <c r="D758" s="33"/>
      <c r="E758" s="34"/>
      <c r="F758" s="34"/>
      <c r="G758" s="35"/>
      <c r="H758" s="34"/>
      <c r="I758" s="37"/>
    </row>
    <row r="759" ht="22.5" customHeight="1">
      <c r="A759" s="30"/>
      <c r="B759" s="31"/>
      <c r="C759" s="32"/>
      <c r="D759" s="33"/>
      <c r="E759" s="34"/>
      <c r="F759" s="34"/>
      <c r="G759" s="35"/>
      <c r="H759" s="34"/>
      <c r="I759" s="37"/>
    </row>
    <row r="760" ht="22.5" customHeight="1">
      <c r="A760" s="30"/>
      <c r="B760" s="31"/>
      <c r="C760" s="32"/>
      <c r="D760" s="33"/>
      <c r="E760" s="34"/>
      <c r="F760" s="34"/>
      <c r="G760" s="35"/>
      <c r="H760" s="34"/>
      <c r="I760" s="37"/>
    </row>
    <row r="761" ht="22.5" customHeight="1">
      <c r="A761" s="30"/>
      <c r="B761" s="31"/>
      <c r="C761" s="32"/>
      <c r="D761" s="33"/>
      <c r="E761" s="34"/>
      <c r="F761" s="34"/>
      <c r="G761" s="35"/>
      <c r="H761" s="34"/>
      <c r="I761" s="37"/>
    </row>
    <row r="762" ht="22.5" customHeight="1">
      <c r="A762" s="30"/>
      <c r="B762" s="31"/>
      <c r="C762" s="32"/>
      <c r="D762" s="33"/>
      <c r="E762" s="34"/>
      <c r="F762" s="34"/>
      <c r="G762" s="35"/>
      <c r="H762" s="34"/>
      <c r="I762" s="37"/>
    </row>
    <row r="763" ht="22.5" customHeight="1">
      <c r="A763" s="30"/>
      <c r="B763" s="31"/>
      <c r="C763" s="32"/>
      <c r="D763" s="33"/>
      <c r="E763" s="34"/>
      <c r="F763" s="34"/>
      <c r="G763" s="35"/>
      <c r="H763" s="34"/>
      <c r="I763" s="37"/>
    </row>
    <row r="764" ht="22.5" customHeight="1">
      <c r="A764" s="30"/>
      <c r="B764" s="31"/>
      <c r="C764" s="32"/>
      <c r="D764" s="33"/>
      <c r="E764" s="34"/>
      <c r="F764" s="34"/>
      <c r="G764" s="35"/>
      <c r="H764" s="34"/>
      <c r="I764" s="37"/>
    </row>
    <row r="765" ht="22.5" customHeight="1">
      <c r="A765" s="30"/>
      <c r="B765" s="31"/>
      <c r="C765" s="32"/>
      <c r="D765" s="33"/>
      <c r="E765" s="34"/>
      <c r="F765" s="34"/>
      <c r="G765" s="35"/>
      <c r="H765" s="34"/>
      <c r="I765" s="37"/>
    </row>
    <row r="766" ht="22.5" customHeight="1">
      <c r="A766" s="30"/>
      <c r="B766" s="40"/>
      <c r="C766" s="32"/>
      <c r="D766" s="33"/>
      <c r="E766" s="34"/>
      <c r="F766" s="34"/>
      <c r="G766" s="35"/>
      <c r="H766" s="34"/>
      <c r="I766" s="37"/>
    </row>
    <row r="767" ht="22.5" customHeight="1">
      <c r="A767" s="30"/>
      <c r="B767" s="31"/>
      <c r="C767" s="32"/>
      <c r="D767" s="33"/>
      <c r="E767" s="34"/>
      <c r="F767" s="34"/>
      <c r="G767" s="35"/>
      <c r="H767" s="34"/>
      <c r="I767" s="37"/>
    </row>
    <row r="768" ht="22.5" customHeight="1">
      <c r="A768" s="30"/>
      <c r="B768" s="31"/>
      <c r="C768" s="32"/>
      <c r="D768" s="33"/>
      <c r="E768" s="34"/>
      <c r="F768" s="34"/>
      <c r="G768" s="35"/>
      <c r="H768" s="34"/>
      <c r="I768" s="37"/>
    </row>
    <row r="769" ht="22.5" customHeight="1">
      <c r="A769" s="30"/>
      <c r="B769" s="31"/>
      <c r="C769" s="32"/>
      <c r="D769" s="33"/>
      <c r="E769" s="34"/>
      <c r="F769" s="34"/>
      <c r="G769" s="35"/>
      <c r="H769" s="34"/>
      <c r="I769" s="37"/>
    </row>
    <row r="770" ht="22.5" customHeight="1">
      <c r="A770" s="30"/>
      <c r="B770" s="40"/>
      <c r="C770" s="32"/>
      <c r="D770" s="33"/>
      <c r="E770" s="34"/>
      <c r="F770" s="34"/>
      <c r="G770" s="35"/>
      <c r="H770" s="34"/>
      <c r="I770" s="37"/>
    </row>
    <row r="771" ht="22.5" customHeight="1">
      <c r="A771" s="30"/>
      <c r="B771" s="31"/>
      <c r="C771" s="32"/>
      <c r="D771" s="33"/>
      <c r="E771" s="34"/>
      <c r="F771" s="34"/>
      <c r="G771" s="35"/>
      <c r="H771" s="34"/>
      <c r="I771" s="37"/>
    </row>
    <row r="772" ht="22.5" customHeight="1">
      <c r="A772" s="30"/>
      <c r="B772" s="31"/>
      <c r="C772" s="32"/>
      <c r="D772" s="33"/>
      <c r="E772" s="34"/>
      <c r="F772" s="34"/>
      <c r="G772" s="35"/>
      <c r="H772" s="34"/>
      <c r="I772" s="37"/>
    </row>
    <row r="773" ht="22.5" customHeight="1">
      <c r="A773" s="30"/>
      <c r="B773" s="31"/>
      <c r="C773" s="32"/>
      <c r="D773" s="33"/>
      <c r="E773" s="34"/>
      <c r="F773" s="34"/>
      <c r="G773" s="35"/>
      <c r="H773" s="34"/>
      <c r="I773" s="37"/>
    </row>
    <row r="774" ht="22.5" customHeight="1">
      <c r="A774" s="30"/>
      <c r="B774" s="31"/>
      <c r="C774" s="32"/>
      <c r="D774" s="33"/>
      <c r="E774" s="34"/>
      <c r="F774" s="34"/>
      <c r="G774" s="35"/>
      <c r="H774" s="34"/>
      <c r="I774" s="37"/>
    </row>
    <row r="775" ht="22.5" customHeight="1">
      <c r="A775" s="30"/>
      <c r="B775" s="31"/>
      <c r="C775" s="32"/>
      <c r="D775" s="33"/>
      <c r="E775" s="34"/>
      <c r="F775" s="34"/>
      <c r="G775" s="35"/>
      <c r="H775" s="34"/>
      <c r="I775" s="37"/>
    </row>
    <row r="776" ht="22.5" customHeight="1">
      <c r="A776" s="30"/>
      <c r="B776" s="31"/>
      <c r="C776" s="32"/>
      <c r="D776" s="33"/>
      <c r="E776" s="34"/>
      <c r="F776" s="34"/>
      <c r="G776" s="35"/>
      <c r="H776" s="34"/>
      <c r="I776" s="37"/>
    </row>
    <row r="777" ht="22.5" customHeight="1">
      <c r="A777" s="30"/>
      <c r="B777" s="31"/>
      <c r="C777" s="32"/>
      <c r="D777" s="33"/>
      <c r="E777" s="34"/>
      <c r="F777" s="34"/>
      <c r="G777" s="35"/>
      <c r="H777" s="34"/>
      <c r="I777" s="37"/>
    </row>
    <row r="778" ht="22.5" customHeight="1">
      <c r="A778" s="30"/>
      <c r="B778" s="31"/>
      <c r="C778" s="32"/>
      <c r="D778" s="33"/>
      <c r="E778" s="34"/>
      <c r="F778" s="34"/>
      <c r="G778" s="35"/>
      <c r="H778" s="34"/>
      <c r="I778" s="37"/>
    </row>
    <row r="779" ht="22.5" customHeight="1">
      <c r="A779" s="30"/>
      <c r="B779" s="31"/>
      <c r="C779" s="32"/>
      <c r="D779" s="33"/>
      <c r="E779" s="34"/>
      <c r="F779" s="34"/>
      <c r="G779" s="35"/>
      <c r="H779" s="34"/>
      <c r="I779" s="37"/>
    </row>
    <row r="780" ht="22.5" customHeight="1">
      <c r="A780" s="30"/>
      <c r="B780" s="31"/>
      <c r="C780" s="32"/>
      <c r="D780" s="33"/>
      <c r="E780" s="34"/>
      <c r="F780" s="34"/>
      <c r="G780" s="35"/>
      <c r="H780" s="34"/>
      <c r="I780" s="37"/>
    </row>
    <row r="781" ht="22.5" customHeight="1">
      <c r="A781" s="30"/>
      <c r="B781" s="31"/>
      <c r="C781" s="32"/>
      <c r="D781" s="33"/>
      <c r="E781" s="34"/>
      <c r="F781" s="34"/>
      <c r="G781" s="35"/>
      <c r="H781" s="34"/>
      <c r="I781" s="37"/>
    </row>
    <row r="782" ht="22.5" customHeight="1">
      <c r="A782" s="30"/>
      <c r="B782" s="31"/>
      <c r="C782" s="32"/>
      <c r="D782" s="33"/>
      <c r="E782" s="34"/>
      <c r="F782" s="34"/>
      <c r="G782" s="35"/>
      <c r="H782" s="34"/>
      <c r="I782" s="37"/>
    </row>
    <row r="783" ht="22.5" customHeight="1">
      <c r="A783" s="30"/>
      <c r="B783" s="31"/>
      <c r="C783" s="32"/>
      <c r="D783" s="33"/>
      <c r="E783" s="34"/>
      <c r="F783" s="34"/>
      <c r="G783" s="35"/>
      <c r="H783" s="34"/>
      <c r="I783" s="37"/>
    </row>
    <row r="784" ht="22.5" customHeight="1">
      <c r="A784" s="30"/>
      <c r="B784" s="31"/>
      <c r="C784" s="32"/>
      <c r="D784" s="33"/>
      <c r="E784" s="34"/>
      <c r="F784" s="34"/>
      <c r="G784" s="35"/>
      <c r="H784" s="34"/>
      <c r="I784" s="37"/>
    </row>
    <row r="785" ht="22.5" customHeight="1">
      <c r="A785" s="30"/>
      <c r="B785" s="40"/>
      <c r="C785" s="32"/>
      <c r="D785" s="33"/>
      <c r="E785" s="34"/>
      <c r="F785" s="34"/>
      <c r="G785" s="35"/>
      <c r="H785" s="34"/>
      <c r="I785" s="37"/>
    </row>
    <row r="786" ht="22.5" customHeight="1">
      <c r="A786" s="30"/>
      <c r="B786" s="31"/>
      <c r="C786" s="32"/>
      <c r="D786" s="33"/>
      <c r="E786" s="34"/>
      <c r="F786" s="34"/>
      <c r="G786" s="35"/>
      <c r="H786" s="34"/>
      <c r="I786" s="37"/>
    </row>
    <row r="787" ht="22.5" customHeight="1">
      <c r="A787" s="30"/>
      <c r="B787" s="40"/>
      <c r="C787" s="32"/>
      <c r="D787" s="33"/>
      <c r="E787" s="34"/>
      <c r="F787" s="34"/>
      <c r="G787" s="35"/>
      <c r="H787" s="34"/>
      <c r="I787" s="37"/>
    </row>
    <row r="788" ht="22.5" customHeight="1">
      <c r="A788" s="30"/>
      <c r="B788" s="31"/>
      <c r="C788" s="32"/>
      <c r="D788" s="33"/>
      <c r="E788" s="34"/>
      <c r="F788" s="34"/>
      <c r="G788" s="35"/>
      <c r="H788" s="34"/>
      <c r="I788" s="37"/>
    </row>
    <row r="789" ht="22.5" customHeight="1">
      <c r="A789" s="30"/>
      <c r="B789" s="31"/>
      <c r="C789" s="32"/>
      <c r="D789" s="33"/>
      <c r="E789" s="34"/>
      <c r="F789" s="34"/>
      <c r="G789" s="35"/>
      <c r="H789" s="34"/>
      <c r="I789" s="37"/>
    </row>
    <row r="790" ht="22.5" customHeight="1">
      <c r="A790" s="30"/>
      <c r="B790" s="31"/>
      <c r="C790" s="32"/>
      <c r="D790" s="33"/>
      <c r="E790" s="34"/>
      <c r="F790" s="34"/>
      <c r="G790" s="35"/>
      <c r="H790" s="34"/>
      <c r="I790" s="37"/>
    </row>
    <row r="791" ht="22.5" customHeight="1">
      <c r="A791" s="30"/>
      <c r="B791" s="31"/>
      <c r="C791" s="32"/>
      <c r="D791" s="33"/>
      <c r="E791" s="34"/>
      <c r="F791" s="34"/>
      <c r="G791" s="35"/>
      <c r="H791" s="34"/>
      <c r="I791" s="37"/>
    </row>
    <row r="792" ht="22.5" customHeight="1">
      <c r="A792" s="30"/>
      <c r="B792" s="40"/>
      <c r="C792" s="32"/>
      <c r="D792" s="33"/>
      <c r="E792" s="34"/>
      <c r="F792" s="34"/>
      <c r="G792" s="35"/>
      <c r="H792" s="34"/>
      <c r="I792" s="37"/>
    </row>
    <row r="793" ht="22.5" customHeight="1">
      <c r="A793" s="30"/>
      <c r="B793" s="31"/>
      <c r="C793" s="32"/>
      <c r="D793" s="33"/>
      <c r="E793" s="34"/>
      <c r="F793" s="34"/>
      <c r="G793" s="35"/>
      <c r="H793" s="34"/>
      <c r="I793" s="37"/>
    </row>
    <row r="794" ht="22.5" customHeight="1">
      <c r="A794" s="30"/>
      <c r="B794" s="31"/>
      <c r="C794" s="32"/>
      <c r="D794" s="33"/>
      <c r="E794" s="34"/>
      <c r="F794" s="34"/>
      <c r="G794" s="35"/>
      <c r="H794" s="34"/>
      <c r="I794" s="37"/>
    </row>
    <row r="795" ht="22.5" customHeight="1">
      <c r="A795" s="30"/>
      <c r="B795" s="31"/>
      <c r="C795" s="32"/>
      <c r="D795" s="33"/>
      <c r="E795" s="34"/>
      <c r="F795" s="34"/>
      <c r="G795" s="35"/>
      <c r="H795" s="34"/>
      <c r="I795" s="37"/>
    </row>
    <row r="796" ht="22.5" customHeight="1">
      <c r="A796" s="30"/>
      <c r="B796" s="31"/>
      <c r="C796" s="32"/>
      <c r="D796" s="33"/>
      <c r="E796" s="34"/>
      <c r="F796" s="34"/>
      <c r="G796" s="35"/>
      <c r="H796" s="34"/>
      <c r="I796" s="37"/>
    </row>
    <row r="797" ht="22.5" customHeight="1">
      <c r="A797" s="30"/>
      <c r="B797" s="31"/>
      <c r="C797" s="32"/>
      <c r="D797" s="33"/>
      <c r="E797" s="34"/>
      <c r="F797" s="34"/>
      <c r="G797" s="35"/>
      <c r="H797" s="34"/>
      <c r="I797" s="37"/>
    </row>
    <row r="798" ht="22.5" customHeight="1">
      <c r="A798" s="30"/>
      <c r="B798" s="31"/>
      <c r="C798" s="32"/>
      <c r="D798" s="33"/>
      <c r="E798" s="34"/>
      <c r="F798" s="34"/>
      <c r="G798" s="35"/>
      <c r="H798" s="34"/>
      <c r="I798" s="37"/>
    </row>
    <row r="799" ht="22.5" customHeight="1">
      <c r="A799" s="30"/>
      <c r="B799" s="31"/>
      <c r="C799" s="32"/>
      <c r="D799" s="33"/>
      <c r="E799" s="34"/>
      <c r="F799" s="34"/>
      <c r="G799" s="35"/>
      <c r="H799" s="34"/>
      <c r="I799" s="37"/>
    </row>
    <row r="800" ht="22.5" customHeight="1">
      <c r="A800" s="30"/>
      <c r="B800" s="31"/>
      <c r="C800" s="32"/>
      <c r="D800" s="33"/>
      <c r="E800" s="34"/>
      <c r="F800" s="34"/>
      <c r="G800" s="35"/>
      <c r="H800" s="34"/>
      <c r="I800" s="37"/>
    </row>
    <row r="801" ht="22.5" customHeight="1">
      <c r="A801" s="30"/>
      <c r="B801" s="31"/>
      <c r="C801" s="32"/>
      <c r="D801" s="33"/>
      <c r="E801" s="34"/>
      <c r="F801" s="34"/>
      <c r="G801" s="35"/>
      <c r="H801" s="34"/>
      <c r="I801" s="37"/>
    </row>
    <row r="802" ht="22.5" customHeight="1">
      <c r="A802" s="30"/>
      <c r="B802" s="31"/>
      <c r="C802" s="32"/>
      <c r="D802" s="33"/>
      <c r="E802" s="34"/>
      <c r="F802" s="34"/>
      <c r="G802" s="35"/>
      <c r="H802" s="34"/>
      <c r="I802" s="37"/>
    </row>
    <row r="803" ht="22.5" customHeight="1">
      <c r="A803" s="30"/>
      <c r="B803" s="31"/>
      <c r="C803" s="32"/>
      <c r="D803" s="33"/>
      <c r="E803" s="34"/>
      <c r="F803" s="34"/>
      <c r="G803" s="35"/>
      <c r="H803" s="34"/>
      <c r="I803" s="37"/>
    </row>
    <row r="804" ht="22.5" customHeight="1">
      <c r="A804" s="30"/>
      <c r="B804" s="31"/>
      <c r="C804" s="32"/>
      <c r="D804" s="33"/>
      <c r="E804" s="34"/>
      <c r="F804" s="34"/>
      <c r="G804" s="35"/>
      <c r="H804" s="34"/>
      <c r="I804" s="37"/>
    </row>
    <row r="805" ht="22.5" customHeight="1">
      <c r="A805" s="30"/>
      <c r="B805" s="31"/>
      <c r="C805" s="32"/>
      <c r="D805" s="33"/>
      <c r="E805" s="34"/>
      <c r="F805" s="34"/>
      <c r="G805" s="35"/>
      <c r="H805" s="34"/>
      <c r="I805" s="37"/>
    </row>
    <row r="806" ht="22.5" customHeight="1">
      <c r="A806" s="30"/>
      <c r="B806" s="31"/>
      <c r="C806" s="32"/>
      <c r="D806" s="33"/>
      <c r="E806" s="34"/>
      <c r="F806" s="34"/>
      <c r="G806" s="35"/>
      <c r="H806" s="34"/>
      <c r="I806" s="37"/>
    </row>
    <row r="807" ht="22.5" customHeight="1">
      <c r="A807" s="30"/>
      <c r="B807" s="31"/>
      <c r="C807" s="32"/>
      <c r="D807" s="33"/>
      <c r="E807" s="34"/>
      <c r="F807" s="34"/>
      <c r="G807" s="35"/>
      <c r="H807" s="34"/>
      <c r="I807" s="37"/>
    </row>
    <row r="808" ht="22.5" customHeight="1">
      <c r="A808" s="30"/>
      <c r="B808" s="31"/>
      <c r="C808" s="32"/>
      <c r="D808" s="33"/>
      <c r="E808" s="34"/>
      <c r="F808" s="34"/>
      <c r="G808" s="35"/>
      <c r="H808" s="34"/>
      <c r="I808" s="37"/>
    </row>
    <row r="809" ht="22.5" customHeight="1">
      <c r="A809" s="30"/>
      <c r="B809" s="31"/>
      <c r="C809" s="32"/>
      <c r="D809" s="33"/>
      <c r="E809" s="34"/>
      <c r="F809" s="34"/>
      <c r="G809" s="35"/>
      <c r="H809" s="34"/>
      <c r="I809" s="37"/>
    </row>
    <row r="810" ht="22.5" customHeight="1">
      <c r="A810" s="30"/>
      <c r="B810" s="31"/>
      <c r="C810" s="32"/>
      <c r="D810" s="33"/>
      <c r="E810" s="34"/>
      <c r="F810" s="34"/>
      <c r="G810" s="35"/>
      <c r="H810" s="34"/>
      <c r="I810" s="37"/>
    </row>
    <row r="811" ht="22.5" customHeight="1">
      <c r="A811" s="30"/>
      <c r="B811" s="31"/>
      <c r="C811" s="32"/>
      <c r="D811" s="33"/>
      <c r="E811" s="34"/>
      <c r="F811" s="34"/>
      <c r="G811" s="35"/>
      <c r="H811" s="34"/>
      <c r="I811" s="37"/>
    </row>
    <row r="812" ht="22.5" customHeight="1">
      <c r="A812" s="30"/>
      <c r="B812" s="31"/>
      <c r="C812" s="32"/>
      <c r="D812" s="33"/>
      <c r="E812" s="34"/>
      <c r="F812" s="34"/>
      <c r="G812" s="35"/>
      <c r="H812" s="34"/>
      <c r="I812" s="37"/>
    </row>
    <row r="813" ht="22.5" customHeight="1">
      <c r="A813" s="30"/>
      <c r="B813" s="31"/>
      <c r="C813" s="32"/>
      <c r="D813" s="33"/>
      <c r="E813" s="34"/>
      <c r="F813" s="34"/>
      <c r="G813" s="35"/>
      <c r="H813" s="34"/>
      <c r="I813" s="37"/>
    </row>
    <row r="814" ht="22.5" customHeight="1">
      <c r="A814" s="30"/>
      <c r="B814" s="40"/>
      <c r="C814" s="32"/>
      <c r="D814" s="33"/>
      <c r="E814" s="34"/>
      <c r="F814" s="34"/>
      <c r="G814" s="35"/>
      <c r="H814" s="34"/>
      <c r="I814" s="37"/>
    </row>
    <row r="815" ht="22.5" customHeight="1">
      <c r="A815" s="30"/>
      <c r="B815" s="31"/>
      <c r="C815" s="32"/>
      <c r="D815" s="33"/>
      <c r="E815" s="34"/>
      <c r="F815" s="34"/>
      <c r="G815" s="35"/>
      <c r="H815" s="34"/>
      <c r="I815" s="37"/>
    </row>
    <row r="816" ht="22.5" customHeight="1">
      <c r="A816" s="30"/>
      <c r="B816" s="31"/>
      <c r="C816" s="32"/>
      <c r="D816" s="33"/>
      <c r="E816" s="34"/>
      <c r="F816" s="34"/>
      <c r="G816" s="35"/>
      <c r="H816" s="34"/>
      <c r="I816" s="37"/>
    </row>
    <row r="817" ht="22.5" customHeight="1">
      <c r="A817" s="30"/>
      <c r="B817" s="31"/>
      <c r="C817" s="32"/>
      <c r="D817" s="33"/>
      <c r="E817" s="34"/>
      <c r="F817" s="34"/>
      <c r="G817" s="35"/>
      <c r="H817" s="34"/>
      <c r="I817" s="37"/>
    </row>
    <row r="818" ht="22.5" customHeight="1">
      <c r="A818" s="30"/>
      <c r="B818" s="31"/>
      <c r="C818" s="32"/>
      <c r="D818" s="33"/>
      <c r="E818" s="34"/>
      <c r="F818" s="34"/>
      <c r="G818" s="35"/>
      <c r="H818" s="34"/>
      <c r="I818" s="38"/>
    </row>
    <row r="819" ht="22.5" customHeight="1">
      <c r="A819" s="30"/>
      <c r="B819" s="39"/>
      <c r="C819" s="32"/>
      <c r="D819" s="33"/>
      <c r="E819" s="34"/>
      <c r="F819" s="34"/>
      <c r="G819" s="35"/>
      <c r="H819" s="34"/>
      <c r="I819" s="37"/>
    </row>
    <row r="820" ht="22.5" customHeight="1">
      <c r="A820" s="30"/>
      <c r="B820" s="31"/>
      <c r="C820" s="32"/>
      <c r="D820" s="33"/>
      <c r="E820" s="34"/>
      <c r="F820" s="34"/>
      <c r="G820" s="35"/>
      <c r="H820" s="34"/>
      <c r="I820" s="37"/>
    </row>
    <row r="821" ht="22.5" customHeight="1">
      <c r="A821" s="30"/>
      <c r="B821" s="31"/>
      <c r="C821" s="32"/>
      <c r="D821" s="33"/>
      <c r="E821" s="34"/>
      <c r="F821" s="34"/>
      <c r="G821" s="35"/>
      <c r="H821" s="34"/>
      <c r="I821" s="37"/>
    </row>
    <row r="822" ht="22.5" customHeight="1">
      <c r="A822" s="30"/>
      <c r="B822" s="31"/>
      <c r="C822" s="32"/>
      <c r="D822" s="33"/>
      <c r="E822" s="34"/>
      <c r="F822" s="34"/>
      <c r="G822" s="35"/>
      <c r="H822" s="34"/>
      <c r="I822" s="37"/>
    </row>
    <row r="823" ht="22.5" customHeight="1">
      <c r="A823" s="30"/>
      <c r="B823" s="39"/>
      <c r="C823" s="32"/>
      <c r="D823" s="33"/>
      <c r="E823" s="34"/>
      <c r="F823" s="34"/>
      <c r="G823" s="35"/>
      <c r="H823" s="34"/>
      <c r="I823" s="37"/>
    </row>
    <row r="824" ht="22.5" customHeight="1">
      <c r="A824" s="30"/>
      <c r="B824" s="31"/>
      <c r="C824" s="32"/>
      <c r="D824" s="33"/>
      <c r="E824" s="34"/>
      <c r="F824" s="34"/>
      <c r="G824" s="35"/>
      <c r="H824" s="34"/>
      <c r="I824" s="37"/>
    </row>
    <row r="825" ht="22.5" customHeight="1">
      <c r="A825" s="30"/>
      <c r="B825" s="39"/>
      <c r="C825" s="32"/>
      <c r="D825" s="33"/>
      <c r="E825" s="34"/>
      <c r="F825" s="34"/>
      <c r="G825" s="35"/>
      <c r="H825" s="34"/>
      <c r="I825" s="37"/>
    </row>
    <row r="826" ht="22.5" customHeight="1">
      <c r="A826" s="30"/>
      <c r="B826" s="31"/>
      <c r="C826" s="32"/>
      <c r="D826" s="33"/>
      <c r="E826" s="34"/>
      <c r="F826" s="34"/>
      <c r="G826" s="35"/>
      <c r="H826" s="34"/>
      <c r="I826" s="37"/>
    </row>
    <row r="827" ht="22.5" customHeight="1">
      <c r="A827" s="30"/>
      <c r="B827" s="31"/>
      <c r="C827" s="32"/>
      <c r="D827" s="33"/>
      <c r="E827" s="34"/>
      <c r="F827" s="34"/>
      <c r="G827" s="35"/>
      <c r="H827" s="34"/>
      <c r="I827" s="37"/>
    </row>
    <row r="828" ht="22.5" customHeight="1">
      <c r="A828" s="30"/>
      <c r="B828" s="31"/>
      <c r="C828" s="32"/>
      <c r="D828" s="33"/>
      <c r="E828" s="34"/>
      <c r="F828" s="34"/>
      <c r="G828" s="35"/>
      <c r="H828" s="34"/>
      <c r="I828" s="37"/>
    </row>
    <row r="829" ht="22.5" customHeight="1">
      <c r="A829" s="30"/>
      <c r="B829" s="31"/>
      <c r="C829" s="32"/>
      <c r="D829" s="33"/>
      <c r="E829" s="34"/>
      <c r="F829" s="34"/>
      <c r="G829" s="35"/>
      <c r="H829" s="34"/>
      <c r="I829" s="37"/>
    </row>
    <row r="830" ht="22.5" customHeight="1">
      <c r="A830" s="30"/>
      <c r="B830" s="31"/>
      <c r="C830" s="32"/>
      <c r="D830" s="33"/>
      <c r="E830" s="34"/>
      <c r="F830" s="34"/>
      <c r="G830" s="35"/>
      <c r="H830" s="34"/>
      <c r="I830" s="37"/>
    </row>
    <row r="831" ht="22.5" customHeight="1">
      <c r="A831" s="30"/>
      <c r="B831" s="31"/>
      <c r="C831" s="32"/>
      <c r="D831" s="33"/>
      <c r="E831" s="34"/>
      <c r="F831" s="34"/>
      <c r="G831" s="35"/>
      <c r="H831" s="34"/>
      <c r="I831" s="37"/>
    </row>
    <row r="832" ht="22.5" customHeight="1">
      <c r="A832" s="30"/>
      <c r="B832" s="31"/>
      <c r="C832" s="32"/>
      <c r="D832" s="33"/>
      <c r="E832" s="34"/>
      <c r="F832" s="34"/>
      <c r="G832" s="35"/>
      <c r="H832" s="34"/>
      <c r="I832" s="37"/>
    </row>
    <row r="833" ht="22.5" customHeight="1">
      <c r="A833" s="30"/>
      <c r="B833" s="31"/>
      <c r="C833" s="32"/>
      <c r="D833" s="33"/>
      <c r="E833" s="34"/>
      <c r="F833" s="34"/>
      <c r="G833" s="35"/>
      <c r="H833" s="34"/>
      <c r="I833" s="37"/>
    </row>
    <row r="834" ht="22.5" customHeight="1">
      <c r="A834" s="30"/>
      <c r="B834" s="31"/>
      <c r="C834" s="32"/>
      <c r="D834" s="33"/>
      <c r="E834" s="34"/>
      <c r="F834" s="34"/>
      <c r="G834" s="35"/>
      <c r="H834" s="34"/>
      <c r="I834" s="37"/>
    </row>
    <row r="835" ht="22.5" customHeight="1">
      <c r="A835" s="30"/>
      <c r="B835" s="31"/>
      <c r="C835" s="32"/>
      <c r="D835" s="33"/>
      <c r="E835" s="34"/>
      <c r="F835" s="34"/>
      <c r="G835" s="35"/>
      <c r="H835" s="34"/>
      <c r="I835" s="37"/>
    </row>
    <row r="836" ht="22.5" customHeight="1">
      <c r="A836" s="30"/>
      <c r="B836" s="40"/>
      <c r="C836" s="32"/>
      <c r="D836" s="33"/>
      <c r="E836" s="34"/>
      <c r="F836" s="34"/>
      <c r="G836" s="35"/>
      <c r="H836" s="34"/>
      <c r="I836" s="37"/>
    </row>
    <row r="837" ht="22.5" customHeight="1">
      <c r="A837" s="30"/>
      <c r="B837" s="31"/>
      <c r="C837" s="32"/>
      <c r="D837" s="33"/>
      <c r="E837" s="34"/>
      <c r="F837" s="34"/>
      <c r="G837" s="35"/>
      <c r="H837" s="34"/>
      <c r="I837" s="37"/>
    </row>
    <row r="838" ht="22.5" customHeight="1">
      <c r="A838" s="30"/>
      <c r="B838" s="31"/>
      <c r="C838" s="32"/>
      <c r="D838" s="33"/>
      <c r="E838" s="34"/>
      <c r="F838" s="34"/>
      <c r="G838" s="35"/>
      <c r="H838" s="34"/>
      <c r="I838" s="37"/>
    </row>
    <row r="839" ht="22.5" customHeight="1">
      <c r="A839" s="30"/>
      <c r="B839" s="31"/>
      <c r="C839" s="32"/>
      <c r="D839" s="33"/>
      <c r="E839" s="34"/>
      <c r="F839" s="34"/>
      <c r="G839" s="35"/>
      <c r="H839" s="34"/>
      <c r="I839" s="37"/>
    </row>
    <row r="840" ht="22.5" customHeight="1">
      <c r="A840" s="30"/>
      <c r="B840" s="31"/>
      <c r="C840" s="32"/>
      <c r="D840" s="33"/>
      <c r="E840" s="34"/>
      <c r="F840" s="34"/>
      <c r="G840" s="35"/>
      <c r="H840" s="34"/>
      <c r="I840" s="37"/>
    </row>
    <row r="841" ht="22.5" customHeight="1">
      <c r="A841" s="30"/>
      <c r="B841" s="31"/>
      <c r="C841" s="32"/>
      <c r="D841" s="33"/>
      <c r="E841" s="34"/>
      <c r="F841" s="34"/>
      <c r="G841" s="35"/>
      <c r="H841" s="34"/>
      <c r="I841" s="37"/>
    </row>
    <row r="842" ht="22.5" customHeight="1">
      <c r="A842" s="30"/>
      <c r="B842" s="31"/>
      <c r="C842" s="32"/>
      <c r="D842" s="33"/>
      <c r="E842" s="34"/>
      <c r="F842" s="34"/>
      <c r="G842" s="35"/>
      <c r="H842" s="34"/>
      <c r="I842" s="37"/>
    </row>
    <row r="843" ht="22.5" customHeight="1">
      <c r="A843" s="30"/>
      <c r="B843" s="39"/>
      <c r="C843" s="32"/>
      <c r="D843" s="33"/>
      <c r="E843" s="34"/>
      <c r="F843" s="34"/>
      <c r="G843" s="35"/>
      <c r="H843" s="34"/>
      <c r="I843" s="37"/>
    </row>
    <row r="844" ht="22.5" customHeight="1">
      <c r="A844" s="30"/>
      <c r="B844" s="39"/>
      <c r="C844" s="32"/>
      <c r="D844" s="33"/>
      <c r="E844" s="34"/>
      <c r="F844" s="34"/>
      <c r="G844" s="35"/>
      <c r="H844" s="34"/>
      <c r="I844" s="37"/>
    </row>
    <row r="845" ht="22.5" customHeight="1">
      <c r="A845" s="30"/>
      <c r="B845" s="39"/>
      <c r="C845" s="32"/>
      <c r="D845" s="33"/>
      <c r="E845" s="34"/>
      <c r="F845" s="34"/>
      <c r="G845" s="35"/>
      <c r="H845" s="34"/>
      <c r="I845" s="37"/>
    </row>
    <row r="846" ht="22.5" customHeight="1">
      <c r="A846" s="30"/>
      <c r="B846" s="40"/>
      <c r="C846" s="32"/>
      <c r="D846" s="33"/>
      <c r="E846" s="34"/>
      <c r="F846" s="34"/>
      <c r="G846" s="35"/>
      <c r="H846" s="34"/>
      <c r="I846" s="37"/>
    </row>
    <row r="847" ht="22.5" customHeight="1">
      <c r="A847" s="30"/>
      <c r="B847" s="31"/>
      <c r="C847" s="32"/>
      <c r="D847" s="33"/>
      <c r="E847" s="34"/>
      <c r="F847" s="34"/>
      <c r="G847" s="35"/>
      <c r="H847" s="34"/>
      <c r="I847" s="37"/>
    </row>
    <row r="848" ht="22.5" customHeight="1">
      <c r="A848" s="30"/>
      <c r="B848" s="31"/>
      <c r="C848" s="32"/>
      <c r="D848" s="33"/>
      <c r="E848" s="34"/>
      <c r="F848" s="34"/>
      <c r="G848" s="35"/>
      <c r="H848" s="34"/>
      <c r="I848" s="37"/>
    </row>
    <row r="849" ht="22.5" customHeight="1">
      <c r="A849" s="30"/>
      <c r="B849" s="31"/>
      <c r="C849" s="32"/>
      <c r="D849" s="33"/>
      <c r="E849" s="34"/>
      <c r="F849" s="34"/>
      <c r="G849" s="35"/>
      <c r="H849" s="34"/>
      <c r="I849" s="37"/>
    </row>
    <row r="850" ht="22.5" customHeight="1">
      <c r="A850" s="30"/>
      <c r="B850" s="31"/>
      <c r="C850" s="32"/>
      <c r="D850" s="33"/>
      <c r="E850" s="34"/>
      <c r="F850" s="34"/>
      <c r="G850" s="35"/>
      <c r="H850" s="34"/>
      <c r="I850" s="37"/>
    </row>
    <row r="851" ht="22.5" customHeight="1">
      <c r="A851" s="30"/>
      <c r="B851" s="31"/>
      <c r="C851" s="32"/>
      <c r="D851" s="33"/>
      <c r="E851" s="34"/>
      <c r="F851" s="34"/>
      <c r="G851" s="35"/>
      <c r="H851" s="34"/>
      <c r="I851" s="37"/>
    </row>
    <row r="852" ht="22.5" customHeight="1">
      <c r="A852" s="30"/>
      <c r="B852" s="31"/>
      <c r="C852" s="32"/>
      <c r="D852" s="33"/>
      <c r="E852" s="34"/>
      <c r="F852" s="34"/>
      <c r="G852" s="35"/>
      <c r="H852" s="34"/>
      <c r="I852" s="37"/>
    </row>
    <row r="853" ht="22.5" customHeight="1">
      <c r="A853" s="30"/>
      <c r="B853" s="31"/>
      <c r="C853" s="32"/>
      <c r="D853" s="33"/>
      <c r="E853" s="34"/>
      <c r="F853" s="34"/>
      <c r="G853" s="35"/>
      <c r="H853" s="34"/>
      <c r="I853" s="37"/>
    </row>
    <row r="854" ht="22.5" customHeight="1">
      <c r="A854" s="30"/>
      <c r="B854" s="31"/>
      <c r="C854" s="32"/>
      <c r="D854" s="33"/>
      <c r="E854" s="34"/>
      <c r="F854" s="34"/>
      <c r="G854" s="35"/>
      <c r="H854" s="34"/>
      <c r="I854" s="37"/>
    </row>
    <row r="855" ht="22.5" customHeight="1">
      <c r="A855" s="30"/>
      <c r="B855" s="31"/>
      <c r="C855" s="32"/>
      <c r="D855" s="33"/>
      <c r="E855" s="34"/>
      <c r="F855" s="34"/>
      <c r="G855" s="35"/>
      <c r="H855" s="34"/>
      <c r="I855" s="37"/>
    </row>
    <row r="856" ht="22.5" customHeight="1">
      <c r="A856" s="30"/>
      <c r="B856" s="40"/>
      <c r="C856" s="32"/>
      <c r="D856" s="33"/>
      <c r="E856" s="34"/>
      <c r="F856" s="34"/>
      <c r="G856" s="35"/>
      <c r="H856" s="34"/>
      <c r="I856" s="37"/>
    </row>
    <row r="857" ht="22.5" customHeight="1">
      <c r="A857" s="30"/>
      <c r="B857" s="31"/>
      <c r="C857" s="32"/>
      <c r="D857" s="33"/>
      <c r="E857" s="34"/>
      <c r="F857" s="34"/>
      <c r="G857" s="35"/>
      <c r="H857" s="34"/>
      <c r="I857" s="37"/>
    </row>
    <row r="858" ht="22.5" customHeight="1">
      <c r="A858" s="30"/>
      <c r="B858" s="31"/>
      <c r="C858" s="32"/>
      <c r="D858" s="33"/>
      <c r="E858" s="34"/>
      <c r="F858" s="34"/>
      <c r="G858" s="35"/>
      <c r="H858" s="34"/>
      <c r="I858" s="37"/>
    </row>
    <row r="859" ht="22.5" customHeight="1">
      <c r="A859" s="30"/>
      <c r="B859" s="31"/>
      <c r="C859" s="32"/>
      <c r="D859" s="33"/>
      <c r="E859" s="34"/>
      <c r="F859" s="34"/>
      <c r="G859" s="35"/>
      <c r="H859" s="34"/>
      <c r="I859" s="37"/>
    </row>
    <row r="860" ht="22.5" customHeight="1">
      <c r="A860" s="30"/>
      <c r="B860" s="40"/>
      <c r="C860" s="32"/>
      <c r="D860" s="33"/>
      <c r="E860" s="34"/>
      <c r="F860" s="34"/>
      <c r="G860" s="35"/>
      <c r="H860" s="34"/>
      <c r="I860" s="37"/>
    </row>
    <row r="861" ht="22.5" customHeight="1">
      <c r="A861" s="30"/>
      <c r="B861" s="31"/>
      <c r="C861" s="32"/>
      <c r="D861" s="33"/>
      <c r="E861" s="34"/>
      <c r="F861" s="34"/>
      <c r="G861" s="35"/>
      <c r="H861" s="34"/>
      <c r="I861" s="37"/>
    </row>
    <row r="862" ht="22.5" customHeight="1">
      <c r="A862" s="30"/>
      <c r="B862" s="31"/>
      <c r="C862" s="32"/>
      <c r="D862" s="33"/>
      <c r="E862" s="34"/>
      <c r="F862" s="34"/>
      <c r="G862" s="35"/>
      <c r="H862" s="34"/>
      <c r="I862" s="37"/>
    </row>
    <row r="863" ht="22.5" customHeight="1">
      <c r="A863" s="30"/>
      <c r="B863" s="31"/>
      <c r="C863" s="32"/>
      <c r="D863" s="33"/>
      <c r="E863" s="34"/>
      <c r="F863" s="34"/>
      <c r="G863" s="35"/>
      <c r="H863" s="34"/>
      <c r="I863" s="37"/>
    </row>
    <row r="864" ht="22.5" customHeight="1">
      <c r="A864" s="30"/>
      <c r="B864" s="31"/>
      <c r="C864" s="32"/>
      <c r="D864" s="33"/>
      <c r="E864" s="34"/>
      <c r="F864" s="34"/>
      <c r="G864" s="35"/>
      <c r="H864" s="34"/>
      <c r="I864" s="37"/>
    </row>
    <row r="865" ht="22.5" customHeight="1">
      <c r="A865" s="30"/>
      <c r="B865" s="31"/>
      <c r="C865" s="32"/>
      <c r="D865" s="33"/>
      <c r="E865" s="34"/>
      <c r="F865" s="34"/>
      <c r="G865" s="35"/>
      <c r="H865" s="34"/>
      <c r="I865" s="37"/>
    </row>
    <row r="866" ht="22.5" customHeight="1">
      <c r="A866" s="30"/>
      <c r="B866" s="31"/>
      <c r="C866" s="32"/>
      <c r="D866" s="33"/>
      <c r="E866" s="34"/>
      <c r="F866" s="34"/>
      <c r="G866" s="35"/>
      <c r="H866" s="34"/>
      <c r="I866" s="37"/>
    </row>
    <row r="867" ht="22.5" customHeight="1">
      <c r="A867" s="30"/>
      <c r="B867" s="31"/>
      <c r="C867" s="32"/>
      <c r="D867" s="33"/>
      <c r="E867" s="34"/>
      <c r="F867" s="34"/>
      <c r="G867" s="35"/>
      <c r="H867" s="34"/>
      <c r="I867" s="37"/>
    </row>
    <row r="868" ht="22.5" customHeight="1">
      <c r="A868" s="30"/>
      <c r="B868" s="31"/>
      <c r="C868" s="32"/>
      <c r="D868" s="33"/>
      <c r="E868" s="34"/>
      <c r="F868" s="34"/>
      <c r="G868" s="35"/>
      <c r="H868" s="34"/>
      <c r="I868" s="37"/>
    </row>
    <row r="869" ht="22.5" customHeight="1">
      <c r="A869" s="30"/>
      <c r="B869" s="31"/>
      <c r="C869" s="32"/>
      <c r="D869" s="33"/>
      <c r="E869" s="34"/>
      <c r="F869" s="34"/>
      <c r="G869" s="35"/>
      <c r="H869" s="34"/>
      <c r="I869" s="37"/>
    </row>
    <row r="870" ht="22.5" customHeight="1">
      <c r="A870" s="30"/>
      <c r="B870" s="31"/>
      <c r="C870" s="32"/>
      <c r="D870" s="33"/>
      <c r="E870" s="34"/>
      <c r="F870" s="34"/>
      <c r="G870" s="35"/>
      <c r="H870" s="34"/>
      <c r="I870" s="37"/>
    </row>
    <row r="871" ht="22.5" customHeight="1">
      <c r="A871" s="30"/>
      <c r="B871" s="31"/>
      <c r="C871" s="32"/>
      <c r="D871" s="33"/>
      <c r="E871" s="34"/>
      <c r="F871" s="34"/>
      <c r="G871" s="35"/>
      <c r="H871" s="34"/>
      <c r="I871" s="37"/>
    </row>
    <row r="872" ht="22.5" customHeight="1">
      <c r="A872" s="30"/>
      <c r="B872" s="31"/>
      <c r="C872" s="32"/>
      <c r="D872" s="33"/>
      <c r="E872" s="34"/>
      <c r="F872" s="34"/>
      <c r="G872" s="35"/>
      <c r="H872" s="34"/>
      <c r="I872" s="37"/>
    </row>
    <row r="873" ht="22.5" customHeight="1">
      <c r="A873" s="30"/>
      <c r="B873" s="31"/>
      <c r="C873" s="32"/>
      <c r="D873" s="33"/>
      <c r="E873" s="34"/>
      <c r="F873" s="34"/>
      <c r="G873" s="35"/>
      <c r="H873" s="34"/>
      <c r="I873" s="37"/>
    </row>
    <row r="874" ht="22.5" customHeight="1">
      <c r="A874" s="30"/>
      <c r="B874" s="31"/>
      <c r="C874" s="32"/>
      <c r="D874" s="33"/>
      <c r="E874" s="34"/>
      <c r="F874" s="34"/>
      <c r="G874" s="35"/>
      <c r="H874" s="34"/>
      <c r="I874" s="37"/>
    </row>
    <row r="875" ht="22.5" customHeight="1">
      <c r="A875" s="30"/>
      <c r="B875" s="40"/>
      <c r="C875" s="32"/>
      <c r="D875" s="33"/>
      <c r="E875" s="34"/>
      <c r="F875" s="34"/>
      <c r="G875" s="35"/>
      <c r="H875" s="34"/>
      <c r="I875" s="37"/>
    </row>
    <row r="876" ht="22.5" customHeight="1">
      <c r="A876" s="30"/>
      <c r="B876" s="31"/>
      <c r="C876" s="32"/>
      <c r="D876" s="33"/>
      <c r="E876" s="34"/>
      <c r="F876" s="34"/>
      <c r="G876" s="35"/>
      <c r="H876" s="34"/>
      <c r="I876" s="37"/>
    </row>
    <row r="877" ht="22.5" customHeight="1">
      <c r="A877" s="30"/>
      <c r="B877" s="40"/>
      <c r="C877" s="32"/>
      <c r="D877" s="33"/>
      <c r="E877" s="34"/>
      <c r="F877" s="34"/>
      <c r="G877" s="35"/>
      <c r="H877" s="34"/>
      <c r="I877" s="37"/>
    </row>
    <row r="878" ht="22.5" customHeight="1">
      <c r="A878" s="30"/>
      <c r="B878" s="31"/>
      <c r="C878" s="32"/>
      <c r="D878" s="33"/>
      <c r="E878" s="34"/>
      <c r="F878" s="34"/>
      <c r="G878" s="35"/>
      <c r="H878" s="34"/>
      <c r="I878" s="37"/>
    </row>
    <row r="879" ht="22.5" customHeight="1">
      <c r="A879" s="30"/>
      <c r="B879" s="31"/>
      <c r="C879" s="32"/>
      <c r="D879" s="33"/>
      <c r="E879" s="34"/>
      <c r="F879" s="34"/>
      <c r="G879" s="35"/>
      <c r="H879" s="34"/>
      <c r="I879" s="37"/>
    </row>
    <row r="880" ht="22.5" customHeight="1">
      <c r="A880" s="30"/>
      <c r="B880" s="31"/>
      <c r="C880" s="32"/>
      <c r="D880" s="33"/>
      <c r="E880" s="34"/>
      <c r="F880" s="34"/>
      <c r="G880" s="35"/>
      <c r="H880" s="34"/>
      <c r="I880" s="37"/>
    </row>
    <row r="881" ht="22.5" customHeight="1">
      <c r="A881" s="30"/>
      <c r="B881" s="31"/>
      <c r="C881" s="32"/>
      <c r="D881" s="33"/>
      <c r="E881" s="34"/>
      <c r="F881" s="34"/>
      <c r="G881" s="35"/>
      <c r="H881" s="34"/>
      <c r="I881" s="37"/>
    </row>
    <row r="882" ht="22.5" customHeight="1">
      <c r="A882" s="30"/>
      <c r="B882" s="40"/>
      <c r="C882" s="32"/>
      <c r="D882" s="33"/>
      <c r="E882" s="34"/>
      <c r="F882" s="34"/>
      <c r="G882" s="35"/>
      <c r="H882" s="34"/>
      <c r="I882" s="37"/>
    </row>
    <row r="883" ht="22.5" customHeight="1">
      <c r="A883" s="30"/>
      <c r="B883" s="31"/>
      <c r="C883" s="32"/>
      <c r="D883" s="33"/>
      <c r="E883" s="34"/>
      <c r="F883" s="34"/>
      <c r="G883" s="35"/>
      <c r="H883" s="34"/>
      <c r="I883" s="37"/>
    </row>
    <row r="884" ht="22.5" customHeight="1">
      <c r="A884" s="30"/>
      <c r="B884" s="31"/>
      <c r="C884" s="32"/>
      <c r="D884" s="33"/>
      <c r="E884" s="34"/>
      <c r="F884" s="34"/>
      <c r="G884" s="35"/>
      <c r="H884" s="34"/>
      <c r="I884" s="37"/>
    </row>
    <row r="885" ht="22.5" customHeight="1">
      <c r="A885" s="30"/>
      <c r="B885" s="31"/>
      <c r="C885" s="32"/>
      <c r="D885" s="33"/>
      <c r="E885" s="34"/>
      <c r="F885" s="34"/>
      <c r="G885" s="35"/>
      <c r="H885" s="34"/>
      <c r="I885" s="37"/>
    </row>
    <row r="886" ht="22.5" customHeight="1">
      <c r="A886" s="30"/>
      <c r="B886" s="31"/>
      <c r="C886" s="32"/>
      <c r="D886" s="33"/>
      <c r="E886" s="34"/>
      <c r="F886" s="34"/>
      <c r="G886" s="35"/>
      <c r="H886" s="34"/>
      <c r="I886" s="37"/>
    </row>
    <row r="887" ht="22.5" customHeight="1">
      <c r="A887" s="30"/>
      <c r="B887" s="31"/>
      <c r="C887" s="32"/>
      <c r="D887" s="33"/>
      <c r="E887" s="34"/>
      <c r="F887" s="34"/>
      <c r="G887" s="35"/>
      <c r="H887" s="34"/>
      <c r="I887" s="37"/>
    </row>
    <row r="888" ht="22.5" customHeight="1">
      <c r="A888" s="30"/>
      <c r="B888" s="31"/>
      <c r="C888" s="32"/>
      <c r="D888" s="33"/>
      <c r="E888" s="34"/>
      <c r="F888" s="34"/>
      <c r="G888" s="35"/>
      <c r="H888" s="34"/>
      <c r="I888" s="37"/>
    </row>
    <row r="889" ht="22.5" customHeight="1">
      <c r="A889" s="30"/>
      <c r="B889" s="31"/>
      <c r="C889" s="32"/>
      <c r="D889" s="33"/>
      <c r="E889" s="34"/>
      <c r="F889" s="34"/>
      <c r="G889" s="35"/>
      <c r="H889" s="34"/>
      <c r="I889" s="37"/>
    </row>
    <row r="890" ht="22.5" customHeight="1">
      <c r="A890" s="30"/>
      <c r="B890" s="31"/>
      <c r="C890" s="32"/>
      <c r="D890" s="33"/>
      <c r="E890" s="34"/>
      <c r="F890" s="34"/>
      <c r="G890" s="35"/>
      <c r="H890" s="34"/>
      <c r="I890" s="37"/>
    </row>
    <row r="891" ht="22.5" customHeight="1">
      <c r="A891" s="30"/>
      <c r="B891" s="31"/>
      <c r="C891" s="32"/>
      <c r="D891" s="33"/>
      <c r="E891" s="34"/>
      <c r="F891" s="34"/>
      <c r="G891" s="35"/>
      <c r="H891" s="34"/>
      <c r="I891" s="37"/>
    </row>
    <row r="892" ht="22.5" customHeight="1">
      <c r="A892" s="30"/>
      <c r="B892" s="31"/>
      <c r="C892" s="32"/>
      <c r="D892" s="33"/>
      <c r="E892" s="34"/>
      <c r="F892" s="34"/>
      <c r="G892" s="35"/>
      <c r="H892" s="34"/>
      <c r="I892" s="37"/>
    </row>
    <row r="893" ht="22.5" customHeight="1">
      <c r="A893" s="30"/>
      <c r="B893" s="31"/>
      <c r="C893" s="32"/>
      <c r="D893" s="33"/>
      <c r="E893" s="34"/>
      <c r="F893" s="34"/>
      <c r="G893" s="35"/>
      <c r="H893" s="34"/>
      <c r="I893" s="37"/>
    </row>
    <row r="894" ht="22.5" customHeight="1">
      <c r="A894" s="30"/>
      <c r="B894" s="31"/>
      <c r="C894" s="32"/>
      <c r="D894" s="33"/>
      <c r="E894" s="34"/>
      <c r="F894" s="34"/>
      <c r="G894" s="35"/>
      <c r="H894" s="34"/>
      <c r="I894" s="37"/>
    </row>
    <row r="895" ht="22.5" customHeight="1">
      <c r="A895" s="30"/>
      <c r="B895" s="31"/>
      <c r="C895" s="32"/>
      <c r="D895" s="33"/>
      <c r="E895" s="34"/>
      <c r="F895" s="34"/>
      <c r="G895" s="35"/>
      <c r="H895" s="34"/>
      <c r="I895" s="37"/>
    </row>
    <row r="896" ht="22.5" customHeight="1">
      <c r="A896" s="30"/>
      <c r="B896" s="31"/>
      <c r="C896" s="32"/>
      <c r="D896" s="33"/>
      <c r="E896" s="34"/>
      <c r="F896" s="34"/>
      <c r="G896" s="35"/>
      <c r="H896" s="34"/>
      <c r="I896" s="37"/>
    </row>
    <row r="897" ht="22.5" customHeight="1">
      <c r="A897" s="30"/>
      <c r="B897" s="31"/>
      <c r="C897" s="32"/>
      <c r="D897" s="33"/>
      <c r="E897" s="34"/>
      <c r="F897" s="34"/>
      <c r="G897" s="35"/>
      <c r="H897" s="34"/>
      <c r="I897" s="37"/>
    </row>
    <row r="898" ht="22.5" customHeight="1">
      <c r="A898" s="30"/>
      <c r="B898" s="31"/>
      <c r="C898" s="32"/>
      <c r="D898" s="33"/>
      <c r="E898" s="34"/>
      <c r="F898" s="34"/>
      <c r="G898" s="35"/>
      <c r="H898" s="34"/>
      <c r="I898" s="37"/>
    </row>
    <row r="899" ht="22.5" customHeight="1">
      <c r="A899" s="30"/>
      <c r="B899" s="31"/>
      <c r="C899" s="32"/>
      <c r="D899" s="33"/>
      <c r="E899" s="34"/>
      <c r="F899" s="34"/>
      <c r="G899" s="35"/>
      <c r="H899" s="34"/>
      <c r="I899" s="37"/>
    </row>
    <row r="900" ht="22.5" customHeight="1">
      <c r="A900" s="30"/>
      <c r="B900" s="31"/>
      <c r="C900" s="32"/>
      <c r="D900" s="33"/>
      <c r="E900" s="34"/>
      <c r="F900" s="34"/>
      <c r="G900" s="35"/>
      <c r="H900" s="34"/>
      <c r="I900" s="37"/>
    </row>
    <row r="901" ht="22.5" customHeight="1">
      <c r="A901" s="30"/>
      <c r="B901" s="31"/>
      <c r="C901" s="32"/>
      <c r="D901" s="33"/>
      <c r="E901" s="34"/>
      <c r="F901" s="34"/>
      <c r="G901" s="35"/>
      <c r="H901" s="34"/>
      <c r="I901" s="37"/>
    </row>
    <row r="902" ht="22.5" customHeight="1">
      <c r="A902" s="30"/>
      <c r="B902" s="31"/>
      <c r="C902" s="32"/>
      <c r="D902" s="33"/>
      <c r="E902" s="34"/>
      <c r="F902" s="34"/>
      <c r="G902" s="35"/>
      <c r="H902" s="34"/>
      <c r="I902" s="37"/>
    </row>
    <row r="903" ht="22.5" customHeight="1">
      <c r="A903" s="30"/>
      <c r="B903" s="31"/>
      <c r="C903" s="32"/>
      <c r="D903" s="33"/>
      <c r="E903" s="34"/>
      <c r="F903" s="34"/>
      <c r="G903" s="35"/>
      <c r="H903" s="34"/>
      <c r="I903" s="37"/>
    </row>
    <row r="904" ht="22.5" customHeight="1">
      <c r="A904" s="30"/>
      <c r="B904" s="40"/>
      <c r="C904" s="32"/>
      <c r="D904" s="33"/>
      <c r="E904" s="34"/>
      <c r="F904" s="34"/>
      <c r="G904" s="35"/>
      <c r="H904" s="34"/>
      <c r="I904" s="37"/>
    </row>
    <row r="905" ht="22.5" customHeight="1">
      <c r="A905" s="30"/>
      <c r="B905" s="31"/>
      <c r="C905" s="32"/>
      <c r="D905" s="33"/>
      <c r="E905" s="34"/>
      <c r="F905" s="34"/>
      <c r="G905" s="35"/>
      <c r="H905" s="34"/>
      <c r="I905" s="37"/>
    </row>
    <row r="906" ht="22.5" customHeight="1">
      <c r="A906" s="30"/>
      <c r="B906" s="31"/>
      <c r="C906" s="32"/>
      <c r="D906" s="33"/>
      <c r="E906" s="34"/>
      <c r="F906" s="34"/>
      <c r="G906" s="35"/>
      <c r="H906" s="34"/>
      <c r="I906" s="37"/>
    </row>
    <row r="907" ht="22.5" customHeight="1">
      <c r="A907" s="30"/>
      <c r="B907" s="31"/>
      <c r="C907" s="32"/>
      <c r="D907" s="33"/>
      <c r="E907" s="34"/>
      <c r="F907" s="34"/>
      <c r="G907" s="35"/>
      <c r="H907" s="34"/>
      <c r="I907" s="37"/>
    </row>
    <row r="908" ht="22.5" customHeight="1">
      <c r="A908" s="30"/>
      <c r="B908" s="31"/>
      <c r="C908" s="32"/>
      <c r="D908" s="33"/>
      <c r="E908" s="34"/>
      <c r="F908" s="34"/>
      <c r="G908" s="35"/>
      <c r="H908" s="34"/>
      <c r="I908" s="38"/>
    </row>
    <row r="909" ht="22.5" customHeight="1">
      <c r="A909" s="30"/>
      <c r="B909" s="39"/>
      <c r="C909" s="32"/>
      <c r="D909" s="33"/>
      <c r="E909" s="34"/>
      <c r="F909" s="34"/>
      <c r="G909" s="35"/>
      <c r="H909" s="34"/>
      <c r="I909" s="37"/>
    </row>
    <row r="910" ht="22.5" customHeight="1">
      <c r="A910" s="30"/>
      <c r="B910" s="31"/>
      <c r="C910" s="32"/>
      <c r="D910" s="33"/>
      <c r="E910" s="34"/>
      <c r="F910" s="34"/>
      <c r="G910" s="35"/>
      <c r="H910" s="34"/>
      <c r="I910" s="37"/>
    </row>
    <row r="911" ht="22.5" customHeight="1">
      <c r="A911" s="30"/>
      <c r="B911" s="31"/>
      <c r="C911" s="32"/>
      <c r="D911" s="33"/>
      <c r="E911" s="34"/>
      <c r="F911" s="34"/>
      <c r="G911" s="35"/>
      <c r="H911" s="34"/>
      <c r="I911" s="37"/>
    </row>
    <row r="912" ht="22.5" customHeight="1">
      <c r="A912" s="30"/>
      <c r="B912" s="31"/>
      <c r="C912" s="32"/>
      <c r="D912" s="33"/>
      <c r="E912" s="34"/>
      <c r="F912" s="34"/>
      <c r="G912" s="35"/>
      <c r="H912" s="34"/>
      <c r="I912" s="37"/>
    </row>
    <row r="913" ht="22.5" customHeight="1">
      <c r="A913" s="30"/>
      <c r="B913" s="39"/>
      <c r="C913" s="32"/>
      <c r="D913" s="33"/>
      <c r="E913" s="34"/>
      <c r="F913" s="34"/>
      <c r="G913" s="35"/>
      <c r="H913" s="34"/>
      <c r="I913" s="37"/>
    </row>
    <row r="914" ht="22.5" customHeight="1">
      <c r="A914" s="30"/>
      <c r="B914" s="31"/>
      <c r="C914" s="32"/>
      <c r="D914" s="33"/>
      <c r="E914" s="34"/>
      <c r="F914" s="34"/>
      <c r="G914" s="35"/>
      <c r="H914" s="34"/>
      <c r="I914" s="37"/>
    </row>
    <row r="915" ht="22.5" customHeight="1">
      <c r="A915" s="30"/>
      <c r="B915" s="39"/>
      <c r="C915" s="32"/>
      <c r="D915" s="33"/>
      <c r="E915" s="34"/>
      <c r="F915" s="34"/>
      <c r="G915" s="35"/>
      <c r="H915" s="34"/>
      <c r="I915" s="37"/>
    </row>
    <row r="916" ht="22.5" customHeight="1">
      <c r="A916" s="30"/>
      <c r="B916" s="31"/>
      <c r="C916" s="32"/>
      <c r="D916" s="33"/>
      <c r="E916" s="34"/>
      <c r="F916" s="34"/>
      <c r="G916" s="35"/>
      <c r="H916" s="34"/>
      <c r="I916" s="37"/>
    </row>
    <row r="917" ht="22.5" customHeight="1">
      <c r="A917" s="30"/>
      <c r="B917" s="31"/>
      <c r="C917" s="32"/>
      <c r="D917" s="33"/>
      <c r="E917" s="34"/>
      <c r="F917" s="34"/>
      <c r="G917" s="35"/>
      <c r="H917" s="34"/>
      <c r="I917" s="37"/>
    </row>
    <row r="918" ht="22.5" customHeight="1">
      <c r="A918" s="30"/>
      <c r="B918" s="31"/>
      <c r="C918" s="32"/>
      <c r="D918" s="33"/>
      <c r="E918" s="34"/>
      <c r="F918" s="34"/>
      <c r="G918" s="35"/>
      <c r="H918" s="34"/>
      <c r="I918" s="37"/>
    </row>
    <row r="919" ht="22.5" customHeight="1">
      <c r="A919" s="30"/>
      <c r="B919" s="31"/>
      <c r="C919" s="32"/>
      <c r="D919" s="33"/>
      <c r="E919" s="34"/>
      <c r="F919" s="34"/>
      <c r="G919" s="35"/>
      <c r="H919" s="34"/>
      <c r="I919" s="37"/>
    </row>
    <row r="920" ht="22.5" customHeight="1">
      <c r="A920" s="30"/>
      <c r="B920" s="31"/>
      <c r="C920" s="32"/>
      <c r="D920" s="33"/>
      <c r="E920" s="34"/>
      <c r="F920" s="34"/>
      <c r="G920" s="35"/>
      <c r="H920" s="34"/>
      <c r="I920" s="37"/>
    </row>
    <row r="921" ht="22.5" customHeight="1">
      <c r="A921" s="30"/>
      <c r="B921" s="31"/>
      <c r="C921" s="32"/>
      <c r="D921" s="33"/>
      <c r="E921" s="34"/>
      <c r="F921" s="34"/>
      <c r="G921" s="35"/>
      <c r="H921" s="34"/>
      <c r="I921" s="37"/>
    </row>
    <row r="922" ht="22.5" customHeight="1">
      <c r="A922" s="30"/>
      <c r="B922" s="31"/>
      <c r="C922" s="32"/>
      <c r="D922" s="33"/>
      <c r="E922" s="34"/>
      <c r="F922" s="34"/>
      <c r="G922" s="35"/>
      <c r="H922" s="34"/>
      <c r="I922" s="37"/>
    </row>
    <row r="923" ht="22.5" customHeight="1">
      <c r="A923" s="30"/>
      <c r="B923" s="31"/>
      <c r="C923" s="32"/>
      <c r="D923" s="33"/>
      <c r="E923" s="34"/>
      <c r="F923" s="34"/>
      <c r="G923" s="35"/>
      <c r="H923" s="34"/>
      <c r="I923" s="37"/>
    </row>
    <row r="924" ht="22.5" customHeight="1">
      <c r="A924" s="30"/>
      <c r="B924" s="31"/>
      <c r="C924" s="32"/>
      <c r="D924" s="33"/>
      <c r="E924" s="34"/>
      <c r="F924" s="34"/>
      <c r="G924" s="35"/>
      <c r="H924" s="34"/>
      <c r="I924" s="37"/>
    </row>
    <row r="925" ht="22.5" customHeight="1">
      <c r="A925" s="30"/>
      <c r="B925" s="31"/>
      <c r="C925" s="32"/>
      <c r="D925" s="33"/>
      <c r="E925" s="34"/>
      <c r="F925" s="34"/>
      <c r="G925" s="35"/>
      <c r="H925" s="34"/>
      <c r="I925" s="37"/>
    </row>
    <row r="926" ht="22.5" customHeight="1">
      <c r="A926" s="30"/>
      <c r="B926" s="40"/>
      <c r="C926" s="32"/>
      <c r="D926" s="33"/>
      <c r="E926" s="34"/>
      <c r="F926" s="34"/>
      <c r="G926" s="35"/>
      <c r="H926" s="34"/>
      <c r="I926" s="37"/>
    </row>
    <row r="927" ht="22.5" customHeight="1">
      <c r="A927" s="30"/>
      <c r="B927" s="31"/>
      <c r="C927" s="32"/>
      <c r="D927" s="33"/>
      <c r="E927" s="34"/>
      <c r="F927" s="34"/>
      <c r="G927" s="35"/>
      <c r="H927" s="34"/>
      <c r="I927" s="37"/>
    </row>
    <row r="928" ht="22.5" customHeight="1">
      <c r="A928" s="30"/>
      <c r="B928" s="31"/>
      <c r="C928" s="32"/>
      <c r="D928" s="33"/>
      <c r="E928" s="34"/>
      <c r="F928" s="34"/>
      <c r="G928" s="35"/>
      <c r="H928" s="34"/>
      <c r="I928" s="37"/>
    </row>
    <row r="929" ht="22.5" customHeight="1">
      <c r="A929" s="30"/>
      <c r="B929" s="31"/>
      <c r="C929" s="32"/>
      <c r="D929" s="33"/>
      <c r="E929" s="34"/>
      <c r="F929" s="34"/>
      <c r="G929" s="35"/>
      <c r="H929" s="34"/>
      <c r="I929" s="37"/>
    </row>
    <row r="930" ht="22.5" customHeight="1">
      <c r="A930" s="30"/>
      <c r="B930" s="31"/>
      <c r="C930" s="32"/>
      <c r="D930" s="33"/>
      <c r="E930" s="34"/>
      <c r="F930" s="34"/>
      <c r="G930" s="35"/>
      <c r="H930" s="34"/>
      <c r="I930" s="37"/>
    </row>
    <row r="931" ht="22.5" customHeight="1">
      <c r="A931" s="30"/>
      <c r="B931" s="31"/>
      <c r="C931" s="32"/>
      <c r="D931" s="33"/>
      <c r="E931" s="34"/>
      <c r="F931" s="34"/>
      <c r="G931" s="35"/>
      <c r="H931" s="34"/>
      <c r="I931" s="37"/>
    </row>
    <row r="932" ht="22.5" customHeight="1">
      <c r="A932" s="30"/>
      <c r="B932" s="31"/>
      <c r="C932" s="32"/>
      <c r="D932" s="33"/>
      <c r="E932" s="34"/>
      <c r="F932" s="34"/>
      <c r="G932" s="35"/>
      <c r="H932" s="34"/>
      <c r="I932" s="37"/>
    </row>
    <row r="933" ht="22.5" customHeight="1">
      <c r="A933" s="30"/>
      <c r="B933" s="39"/>
      <c r="C933" s="32"/>
      <c r="D933" s="33"/>
      <c r="E933" s="34"/>
      <c r="F933" s="34"/>
      <c r="G933" s="35"/>
      <c r="H933" s="34"/>
      <c r="I933" s="37"/>
    </row>
    <row r="934" ht="22.5" customHeight="1">
      <c r="A934" s="30"/>
      <c r="B934" s="39"/>
      <c r="C934" s="32"/>
      <c r="D934" s="33"/>
      <c r="E934" s="34"/>
      <c r="F934" s="34"/>
      <c r="G934" s="35"/>
      <c r="H934" s="34"/>
      <c r="I934" s="37"/>
    </row>
    <row r="935" ht="22.5" customHeight="1">
      <c r="A935" s="30"/>
      <c r="B935" s="39"/>
      <c r="C935" s="32"/>
      <c r="D935" s="33"/>
      <c r="E935" s="34"/>
      <c r="F935" s="34"/>
      <c r="G935" s="35"/>
      <c r="H935" s="34"/>
      <c r="I935" s="37"/>
    </row>
    <row r="936" ht="22.5" customHeight="1">
      <c r="A936" s="30"/>
      <c r="B936" s="40"/>
      <c r="C936" s="32"/>
      <c r="D936" s="33"/>
      <c r="E936" s="34"/>
      <c r="F936" s="34"/>
      <c r="G936" s="35"/>
      <c r="H936" s="34"/>
      <c r="I936" s="37"/>
    </row>
    <row r="937" ht="22.5" customHeight="1">
      <c r="A937" s="30"/>
      <c r="B937" s="31"/>
      <c r="C937" s="32"/>
      <c r="D937" s="33"/>
      <c r="E937" s="34"/>
      <c r="F937" s="34"/>
      <c r="G937" s="35"/>
      <c r="H937" s="34"/>
      <c r="I937" s="37"/>
    </row>
    <row r="938" ht="22.5" customHeight="1">
      <c r="A938" s="30"/>
      <c r="B938" s="31"/>
      <c r="C938" s="32"/>
      <c r="D938" s="33"/>
      <c r="E938" s="34"/>
      <c r="F938" s="34"/>
      <c r="G938" s="35"/>
      <c r="H938" s="34"/>
      <c r="I938" s="37"/>
    </row>
    <row r="939" ht="22.5" customHeight="1">
      <c r="A939" s="30"/>
      <c r="B939" s="31"/>
      <c r="C939" s="32"/>
      <c r="D939" s="33"/>
      <c r="E939" s="34"/>
      <c r="F939" s="34"/>
      <c r="G939" s="35"/>
      <c r="H939" s="34"/>
      <c r="I939" s="37"/>
    </row>
    <row r="940" ht="22.5" customHeight="1">
      <c r="A940" s="30"/>
      <c r="B940" s="31"/>
      <c r="C940" s="32"/>
      <c r="D940" s="33"/>
      <c r="E940" s="34"/>
      <c r="F940" s="34"/>
      <c r="G940" s="35"/>
      <c r="H940" s="34"/>
      <c r="I940" s="37"/>
    </row>
    <row r="941" ht="22.5" customHeight="1">
      <c r="A941" s="30"/>
      <c r="B941" s="31"/>
      <c r="C941" s="32"/>
      <c r="D941" s="33"/>
      <c r="E941" s="34"/>
      <c r="F941" s="34"/>
      <c r="G941" s="35"/>
      <c r="H941" s="34"/>
      <c r="I941" s="37"/>
    </row>
    <row r="942" ht="22.5" customHeight="1">
      <c r="A942" s="30"/>
      <c r="B942" s="31"/>
      <c r="C942" s="32"/>
      <c r="D942" s="33"/>
      <c r="E942" s="34"/>
      <c r="F942" s="34"/>
      <c r="G942" s="35"/>
      <c r="H942" s="34"/>
      <c r="I942" s="37"/>
    </row>
    <row r="943" ht="22.5" customHeight="1">
      <c r="A943" s="30"/>
      <c r="B943" s="31"/>
      <c r="C943" s="32"/>
      <c r="D943" s="33"/>
      <c r="E943" s="34"/>
      <c r="F943" s="34"/>
      <c r="G943" s="35"/>
      <c r="H943" s="34"/>
      <c r="I943" s="37"/>
    </row>
    <row r="944" ht="22.5" customHeight="1">
      <c r="A944" s="30"/>
      <c r="B944" s="31"/>
      <c r="C944" s="32"/>
      <c r="D944" s="33"/>
      <c r="E944" s="34"/>
      <c r="F944" s="34"/>
      <c r="G944" s="35"/>
      <c r="H944" s="34"/>
      <c r="I944" s="37"/>
    </row>
    <row r="945" ht="22.5" customHeight="1">
      <c r="A945" s="30"/>
      <c r="B945" s="31"/>
      <c r="C945" s="32"/>
      <c r="D945" s="33"/>
      <c r="E945" s="34"/>
      <c r="F945" s="34"/>
      <c r="G945" s="35"/>
      <c r="H945" s="34"/>
      <c r="I945" s="37"/>
    </row>
    <row r="946" ht="22.5" customHeight="1">
      <c r="A946" s="30"/>
      <c r="B946" s="40"/>
      <c r="C946" s="32"/>
      <c r="D946" s="33"/>
      <c r="E946" s="34"/>
      <c r="F946" s="34"/>
      <c r="G946" s="35"/>
      <c r="H946" s="34"/>
      <c r="I946" s="37"/>
    </row>
    <row r="947" ht="22.5" customHeight="1">
      <c r="A947" s="30"/>
      <c r="B947" s="31"/>
      <c r="C947" s="32"/>
      <c r="D947" s="33"/>
      <c r="E947" s="34"/>
      <c r="F947" s="34"/>
      <c r="G947" s="35"/>
      <c r="H947" s="34"/>
      <c r="I947" s="37"/>
    </row>
    <row r="948" ht="22.5" customHeight="1">
      <c r="A948" s="30"/>
      <c r="B948" s="31"/>
      <c r="C948" s="32"/>
      <c r="D948" s="33"/>
      <c r="E948" s="34"/>
      <c r="F948" s="34"/>
      <c r="G948" s="35"/>
      <c r="H948" s="34"/>
      <c r="I948" s="37"/>
    </row>
    <row r="949" ht="22.5" customHeight="1">
      <c r="A949" s="30"/>
      <c r="B949" s="31"/>
      <c r="C949" s="32"/>
      <c r="D949" s="33"/>
      <c r="E949" s="34"/>
      <c r="F949" s="34"/>
      <c r="G949" s="35"/>
      <c r="H949" s="34"/>
      <c r="I949" s="37"/>
    </row>
    <row r="950" ht="22.5" customHeight="1">
      <c r="A950" s="30"/>
      <c r="B950" s="40"/>
      <c r="C950" s="32"/>
      <c r="D950" s="33"/>
      <c r="E950" s="34"/>
      <c r="F950" s="34"/>
      <c r="G950" s="35"/>
      <c r="H950" s="34"/>
      <c r="I950" s="37"/>
    </row>
    <row r="951" ht="22.5" customHeight="1">
      <c r="A951" s="30"/>
      <c r="B951" s="31"/>
      <c r="C951" s="32"/>
      <c r="D951" s="33"/>
      <c r="E951" s="34"/>
      <c r="F951" s="34"/>
      <c r="G951" s="35"/>
      <c r="H951" s="34"/>
      <c r="I951" s="37"/>
    </row>
    <row r="952" ht="22.5" customHeight="1">
      <c r="A952" s="30"/>
      <c r="B952" s="31"/>
      <c r="C952" s="32"/>
      <c r="D952" s="33"/>
      <c r="E952" s="34"/>
      <c r="F952" s="34"/>
      <c r="G952" s="35"/>
      <c r="H952" s="34"/>
      <c r="I952" s="37"/>
    </row>
    <row r="953" ht="22.5" customHeight="1">
      <c r="A953" s="30"/>
      <c r="B953" s="31"/>
      <c r="C953" s="32"/>
      <c r="D953" s="33"/>
      <c r="E953" s="34"/>
      <c r="F953" s="34"/>
      <c r="G953" s="35"/>
      <c r="H953" s="34"/>
      <c r="I953" s="37"/>
    </row>
    <row r="954" ht="22.5" customHeight="1">
      <c r="A954" s="30"/>
      <c r="B954" s="31"/>
      <c r="C954" s="32"/>
      <c r="D954" s="33"/>
      <c r="E954" s="34"/>
      <c r="F954" s="34"/>
      <c r="G954" s="35"/>
      <c r="H954" s="34"/>
      <c r="I954" s="37"/>
    </row>
    <row r="955" ht="22.5" customHeight="1">
      <c r="A955" s="30"/>
      <c r="B955" s="31"/>
      <c r="C955" s="32"/>
      <c r="D955" s="33"/>
      <c r="E955" s="34"/>
      <c r="F955" s="34"/>
      <c r="G955" s="35"/>
      <c r="H955" s="34"/>
      <c r="I955" s="37"/>
    </row>
    <row r="956" ht="22.5" customHeight="1">
      <c r="A956" s="30"/>
      <c r="B956" s="31"/>
      <c r="C956" s="32"/>
      <c r="D956" s="33"/>
      <c r="E956" s="34"/>
      <c r="F956" s="34"/>
      <c r="G956" s="35"/>
      <c r="H956" s="34"/>
      <c r="I956" s="37"/>
    </row>
    <row r="957" ht="22.5" customHeight="1">
      <c r="A957" s="30"/>
      <c r="B957" s="31"/>
      <c r="C957" s="32"/>
      <c r="D957" s="33"/>
      <c r="E957" s="34"/>
      <c r="F957" s="34"/>
      <c r="G957" s="35"/>
      <c r="H957" s="34"/>
      <c r="I957" s="37"/>
    </row>
    <row r="958" ht="22.5" customHeight="1">
      <c r="A958" s="30"/>
      <c r="B958" s="31"/>
      <c r="C958" s="32"/>
      <c r="D958" s="33"/>
      <c r="E958" s="34"/>
      <c r="F958" s="34"/>
      <c r="G958" s="35"/>
      <c r="H958" s="34"/>
      <c r="I958" s="37"/>
    </row>
    <row r="959" ht="22.5" customHeight="1">
      <c r="A959" s="30"/>
      <c r="B959" s="31"/>
      <c r="C959" s="32"/>
      <c r="D959" s="33"/>
      <c r="E959" s="34"/>
      <c r="F959" s="34"/>
      <c r="G959" s="35"/>
      <c r="H959" s="34"/>
      <c r="I959" s="37"/>
    </row>
    <row r="960" ht="22.5" customHeight="1">
      <c r="A960" s="30"/>
      <c r="B960" s="31"/>
      <c r="C960" s="32"/>
      <c r="D960" s="33"/>
      <c r="E960" s="34"/>
      <c r="F960" s="34"/>
      <c r="G960" s="35"/>
      <c r="H960" s="34"/>
      <c r="I960" s="37"/>
    </row>
    <row r="961" ht="22.5" customHeight="1">
      <c r="A961" s="30"/>
      <c r="B961" s="31"/>
      <c r="C961" s="32"/>
      <c r="D961" s="33"/>
      <c r="E961" s="34"/>
      <c r="F961" s="34"/>
      <c r="G961" s="35"/>
      <c r="H961" s="34"/>
      <c r="I961" s="37"/>
    </row>
    <row r="962" ht="22.5" customHeight="1">
      <c r="A962" s="30"/>
      <c r="B962" s="31"/>
      <c r="C962" s="32"/>
      <c r="D962" s="33"/>
      <c r="E962" s="34"/>
      <c r="F962" s="34"/>
      <c r="G962" s="35"/>
      <c r="H962" s="34"/>
      <c r="I962" s="37"/>
    </row>
    <row r="963" ht="22.5" customHeight="1">
      <c r="A963" s="30"/>
      <c r="B963" s="31"/>
      <c r="C963" s="32"/>
      <c r="D963" s="33"/>
      <c r="E963" s="34"/>
      <c r="F963" s="34"/>
      <c r="G963" s="35"/>
      <c r="H963" s="34"/>
      <c r="I963" s="37"/>
    </row>
    <row r="964" ht="22.5" customHeight="1">
      <c r="A964" s="30"/>
      <c r="B964" s="31"/>
      <c r="C964" s="32"/>
      <c r="D964" s="33"/>
      <c r="E964" s="34"/>
      <c r="F964" s="34"/>
      <c r="G964" s="35"/>
      <c r="H964" s="34"/>
      <c r="I964" s="37"/>
    </row>
    <row r="965" ht="22.5" customHeight="1">
      <c r="A965" s="30"/>
      <c r="B965" s="40"/>
      <c r="C965" s="32"/>
      <c r="D965" s="33"/>
      <c r="E965" s="34"/>
      <c r="F965" s="34"/>
      <c r="G965" s="35"/>
      <c r="H965" s="34"/>
      <c r="I965" s="37"/>
    </row>
    <row r="966" ht="22.5" customHeight="1">
      <c r="A966" s="30"/>
      <c r="B966" s="31"/>
      <c r="C966" s="32"/>
      <c r="D966" s="33"/>
      <c r="E966" s="34"/>
      <c r="F966" s="34"/>
      <c r="G966" s="35"/>
      <c r="H966" s="34"/>
      <c r="I966" s="37"/>
    </row>
    <row r="967" ht="22.5" customHeight="1">
      <c r="A967" s="30"/>
      <c r="B967" s="40"/>
      <c r="C967" s="32"/>
      <c r="D967" s="33"/>
      <c r="E967" s="34"/>
      <c r="F967" s="34"/>
      <c r="G967" s="35"/>
      <c r="H967" s="34"/>
      <c r="I967" s="37"/>
    </row>
    <row r="968" ht="22.5" customHeight="1">
      <c r="A968" s="30"/>
      <c r="B968" s="31"/>
      <c r="C968" s="32"/>
      <c r="D968" s="33"/>
      <c r="E968" s="34"/>
      <c r="F968" s="34"/>
      <c r="G968" s="35"/>
      <c r="H968" s="34"/>
      <c r="I968" s="37"/>
    </row>
    <row r="969" ht="22.5" customHeight="1">
      <c r="A969" s="30"/>
      <c r="B969" s="31"/>
      <c r="C969" s="32"/>
      <c r="D969" s="33"/>
      <c r="E969" s="34"/>
      <c r="F969" s="34"/>
      <c r="G969" s="35"/>
      <c r="H969" s="34"/>
      <c r="I969" s="37"/>
    </row>
    <row r="970" ht="22.5" customHeight="1">
      <c r="A970" s="30"/>
      <c r="B970" s="31"/>
      <c r="C970" s="32"/>
      <c r="D970" s="33"/>
      <c r="E970" s="34"/>
      <c r="F970" s="34"/>
      <c r="G970" s="35"/>
      <c r="H970" s="34"/>
      <c r="I970" s="37"/>
    </row>
    <row r="971" ht="22.5" customHeight="1">
      <c r="A971" s="30"/>
      <c r="B971" s="31"/>
      <c r="C971" s="32"/>
      <c r="D971" s="33"/>
      <c r="E971" s="34"/>
      <c r="F971" s="34"/>
      <c r="G971" s="35"/>
      <c r="H971" s="34"/>
      <c r="I971" s="37"/>
    </row>
    <row r="972" ht="22.5" customHeight="1">
      <c r="A972" s="30"/>
      <c r="B972" s="40"/>
      <c r="C972" s="32"/>
      <c r="D972" s="33"/>
      <c r="E972" s="34"/>
      <c r="F972" s="34"/>
      <c r="G972" s="35"/>
      <c r="H972" s="34"/>
      <c r="I972" s="37"/>
    </row>
    <row r="973" ht="22.5" customHeight="1">
      <c r="A973" s="30"/>
      <c r="B973" s="31"/>
      <c r="C973" s="32"/>
      <c r="D973" s="33"/>
      <c r="E973" s="34"/>
      <c r="F973" s="34"/>
      <c r="G973" s="35"/>
      <c r="H973" s="34"/>
      <c r="I973" s="37"/>
    </row>
    <row r="974" ht="22.5" customHeight="1">
      <c r="A974" s="30"/>
      <c r="B974" s="31"/>
      <c r="C974" s="32"/>
      <c r="D974" s="33"/>
      <c r="E974" s="34"/>
      <c r="F974" s="34"/>
      <c r="G974" s="35"/>
      <c r="H974" s="34"/>
      <c r="I974" s="37"/>
    </row>
    <row r="975" ht="22.5" customHeight="1">
      <c r="A975" s="30"/>
      <c r="B975" s="31"/>
      <c r="C975" s="32"/>
      <c r="D975" s="33"/>
      <c r="E975" s="34"/>
      <c r="F975" s="34"/>
      <c r="G975" s="35"/>
      <c r="H975" s="34"/>
      <c r="I975" s="37"/>
    </row>
    <row r="976" ht="22.5" customHeight="1">
      <c r="A976" s="30"/>
      <c r="B976" s="31"/>
      <c r="C976" s="32"/>
      <c r="D976" s="33"/>
      <c r="E976" s="34"/>
      <c r="F976" s="34"/>
      <c r="G976" s="35"/>
      <c r="H976" s="34"/>
      <c r="I976" s="37"/>
    </row>
    <row r="977" ht="22.5" customHeight="1">
      <c r="A977" s="30"/>
      <c r="B977" s="31"/>
      <c r="C977" s="32"/>
      <c r="D977" s="33"/>
      <c r="E977" s="34"/>
      <c r="F977" s="34"/>
      <c r="G977" s="35"/>
      <c r="H977" s="34"/>
      <c r="I977" s="37"/>
    </row>
    <row r="978" ht="22.5" customHeight="1">
      <c r="A978" s="30"/>
      <c r="B978" s="31"/>
      <c r="C978" s="32"/>
      <c r="D978" s="33"/>
      <c r="E978" s="34"/>
      <c r="F978" s="34"/>
      <c r="G978" s="35"/>
      <c r="H978" s="34"/>
      <c r="I978" s="37"/>
    </row>
    <row r="979" ht="22.5" customHeight="1">
      <c r="A979" s="30"/>
      <c r="B979" s="31"/>
      <c r="C979" s="32"/>
      <c r="D979" s="33"/>
      <c r="E979" s="34"/>
      <c r="F979" s="34"/>
      <c r="G979" s="35"/>
      <c r="H979" s="34"/>
      <c r="I979" s="37"/>
    </row>
    <row r="980" ht="22.5" customHeight="1">
      <c r="A980" s="30"/>
      <c r="B980" s="31"/>
      <c r="C980" s="32"/>
      <c r="D980" s="33"/>
      <c r="E980" s="34"/>
      <c r="F980" s="34"/>
      <c r="G980" s="35"/>
      <c r="H980" s="34"/>
      <c r="I980" s="37"/>
    </row>
    <row r="981" ht="22.5" customHeight="1">
      <c r="A981" s="30"/>
      <c r="B981" s="31"/>
      <c r="C981" s="32"/>
      <c r="D981" s="33"/>
      <c r="E981" s="34"/>
      <c r="F981" s="34"/>
      <c r="G981" s="35"/>
      <c r="H981" s="34"/>
      <c r="I981" s="37"/>
    </row>
    <row r="982" ht="22.5" customHeight="1">
      <c r="A982" s="30"/>
      <c r="B982" s="31"/>
      <c r="C982" s="32"/>
      <c r="D982" s="33"/>
      <c r="E982" s="34"/>
      <c r="F982" s="34"/>
      <c r="G982" s="35"/>
      <c r="H982" s="34"/>
      <c r="I982" s="37"/>
    </row>
    <row r="983" ht="22.5" customHeight="1">
      <c r="A983" s="30"/>
      <c r="B983" s="31"/>
      <c r="C983" s="32"/>
      <c r="D983" s="33"/>
      <c r="E983" s="34"/>
      <c r="F983" s="34"/>
      <c r="G983" s="35"/>
      <c r="H983" s="34"/>
      <c r="I983" s="37"/>
    </row>
    <row r="984" ht="22.5" customHeight="1">
      <c r="A984" s="30"/>
      <c r="B984" s="31"/>
      <c r="C984" s="32"/>
      <c r="D984" s="33"/>
      <c r="E984" s="34"/>
      <c r="F984" s="34"/>
      <c r="G984" s="35"/>
      <c r="H984" s="34"/>
      <c r="I984" s="37"/>
    </row>
    <row r="985" ht="22.5" customHeight="1">
      <c r="A985" s="30"/>
      <c r="B985" s="31"/>
      <c r="C985" s="32"/>
      <c r="D985" s="33"/>
      <c r="E985" s="34"/>
      <c r="F985" s="34"/>
      <c r="G985" s="35"/>
      <c r="H985" s="34"/>
      <c r="I985" s="37"/>
    </row>
    <row r="986" ht="22.5" customHeight="1">
      <c r="A986" s="30"/>
      <c r="B986" s="31"/>
      <c r="C986" s="32"/>
      <c r="D986" s="33"/>
      <c r="E986" s="34"/>
      <c r="F986" s="34"/>
      <c r="G986" s="35"/>
      <c r="H986" s="34"/>
      <c r="I986" s="37"/>
    </row>
    <row r="987" ht="22.5" customHeight="1">
      <c r="A987" s="30"/>
      <c r="B987" s="31"/>
      <c r="C987" s="32"/>
      <c r="D987" s="33"/>
      <c r="E987" s="34"/>
      <c r="F987" s="34"/>
      <c r="G987" s="35"/>
      <c r="H987" s="34"/>
      <c r="I987" s="37"/>
    </row>
    <row r="988" ht="22.5" customHeight="1">
      <c r="A988" s="30"/>
      <c r="B988" s="31"/>
      <c r="C988" s="32"/>
      <c r="D988" s="33"/>
      <c r="E988" s="34"/>
      <c r="F988" s="34"/>
      <c r="G988" s="35"/>
      <c r="H988" s="34"/>
      <c r="I988" s="37"/>
    </row>
    <row r="989" ht="22.5" customHeight="1">
      <c r="A989" s="30"/>
      <c r="B989" s="31"/>
      <c r="C989" s="32"/>
      <c r="D989" s="33"/>
      <c r="E989" s="34"/>
      <c r="F989" s="34"/>
      <c r="G989" s="35"/>
      <c r="H989" s="34"/>
      <c r="I989" s="37"/>
    </row>
    <row r="990" ht="22.5" customHeight="1">
      <c r="A990" s="30"/>
      <c r="B990" s="31"/>
      <c r="C990" s="32"/>
      <c r="D990" s="33"/>
      <c r="E990" s="34"/>
      <c r="F990" s="34"/>
      <c r="G990" s="35"/>
      <c r="H990" s="34"/>
      <c r="I990" s="37"/>
    </row>
    <row r="991" ht="22.5" customHeight="1">
      <c r="A991" s="30"/>
      <c r="B991" s="31"/>
      <c r="C991" s="32"/>
      <c r="D991" s="33"/>
      <c r="E991" s="34"/>
      <c r="F991" s="34"/>
      <c r="G991" s="35"/>
      <c r="H991" s="34"/>
      <c r="I991" s="37"/>
    </row>
    <row r="992" ht="22.5" customHeight="1">
      <c r="A992" s="30"/>
      <c r="B992" s="31"/>
      <c r="C992" s="32"/>
      <c r="D992" s="33"/>
      <c r="E992" s="34"/>
      <c r="F992" s="34"/>
      <c r="G992" s="35"/>
      <c r="H992" s="34"/>
      <c r="I992" s="37"/>
    </row>
    <row r="993" ht="22.5" customHeight="1">
      <c r="A993" s="30"/>
      <c r="B993" s="31"/>
      <c r="C993" s="32"/>
      <c r="D993" s="33"/>
      <c r="E993" s="34"/>
      <c r="F993" s="34"/>
      <c r="G993" s="35"/>
      <c r="H993" s="34"/>
      <c r="I993" s="37"/>
    </row>
    <row r="994" ht="22.5" customHeight="1">
      <c r="A994" s="30"/>
      <c r="B994" s="40"/>
      <c r="C994" s="32"/>
      <c r="D994" s="33"/>
      <c r="E994" s="34"/>
      <c r="F994" s="34"/>
      <c r="G994" s="35"/>
      <c r="H994" s="34"/>
      <c r="I994" s="37"/>
    </row>
    <row r="995" ht="22.5" customHeight="1">
      <c r="A995" s="30"/>
      <c r="B995" s="31"/>
      <c r="C995" s="32"/>
      <c r="D995" s="33"/>
      <c r="E995" s="34"/>
      <c r="F995" s="34"/>
      <c r="G995" s="35"/>
      <c r="H995" s="34"/>
      <c r="I995" s="37"/>
    </row>
    <row r="996" ht="22.5" customHeight="1">
      <c r="A996" s="30"/>
      <c r="B996" s="31"/>
      <c r="C996" s="32"/>
      <c r="D996" s="33"/>
      <c r="E996" s="34"/>
      <c r="F996" s="34"/>
      <c r="G996" s="35"/>
      <c r="H996" s="34"/>
      <c r="I996" s="37"/>
    </row>
    <row r="997" ht="22.5" customHeight="1">
      <c r="A997" s="30"/>
      <c r="B997" s="31"/>
      <c r="C997" s="32"/>
      <c r="D997" s="33"/>
      <c r="E997" s="34"/>
      <c r="F997" s="34"/>
      <c r="G997" s="35"/>
      <c r="H997" s="34"/>
      <c r="I997" s="37"/>
    </row>
    <row r="998" ht="22.5" customHeight="1">
      <c r="A998" s="30"/>
      <c r="B998" s="31"/>
      <c r="C998" s="32"/>
      <c r="D998" s="33"/>
      <c r="E998" s="34"/>
      <c r="F998" s="34"/>
      <c r="G998" s="35"/>
      <c r="H998" s="34"/>
      <c r="I998" s="38"/>
    </row>
    <row r="999" ht="22.5" customHeight="1">
      <c r="A999" s="30"/>
      <c r="B999" s="39"/>
      <c r="C999" s="32"/>
      <c r="D999" s="33"/>
      <c r="E999" s="34"/>
      <c r="F999" s="34"/>
      <c r="G999" s="35"/>
      <c r="H999" s="34"/>
      <c r="I999" s="37"/>
    </row>
    <row r="1000" ht="22.5" customHeight="1">
      <c r="A1000" s="30"/>
      <c r="B1000" s="31"/>
      <c r="C1000" s="32"/>
      <c r="D1000" s="33"/>
      <c r="E1000" s="34"/>
      <c r="F1000" s="34"/>
      <c r="G1000" s="35"/>
      <c r="H1000" s="34"/>
      <c r="I1000" s="37"/>
    </row>
    <row r="1001" ht="22.5" customHeight="1">
      <c r="A1001" s="30"/>
      <c r="B1001" s="31"/>
      <c r="C1001" s="32"/>
      <c r="D1001" s="33"/>
      <c r="E1001" s="34"/>
      <c r="F1001" s="34"/>
      <c r="G1001" s="35"/>
      <c r="H1001" s="34"/>
      <c r="I1001" s="37"/>
    </row>
    <row r="1002" ht="22.5" customHeight="1">
      <c r="A1002" s="30"/>
      <c r="B1002" s="31"/>
      <c r="C1002" s="32"/>
      <c r="D1002" s="33"/>
      <c r="E1002" s="34"/>
      <c r="F1002" s="34"/>
      <c r="G1002" s="35"/>
      <c r="H1002" s="34"/>
      <c r="I1002" s="37"/>
    </row>
    <row r="1003" ht="22.5" customHeight="1">
      <c r="A1003" s="30"/>
      <c r="B1003" s="39"/>
      <c r="C1003" s="32"/>
      <c r="D1003" s="33"/>
      <c r="E1003" s="34"/>
      <c r="F1003" s="34"/>
      <c r="G1003" s="35"/>
      <c r="H1003" s="34"/>
      <c r="I1003" s="37"/>
    </row>
    <row r="1004" ht="22.5" customHeight="1">
      <c r="A1004" s="30"/>
      <c r="B1004" s="31"/>
      <c r="C1004" s="32"/>
      <c r="D1004" s="33"/>
      <c r="E1004" s="34"/>
      <c r="F1004" s="34"/>
      <c r="G1004" s="35"/>
      <c r="H1004" s="34"/>
      <c r="I1004" s="37"/>
    </row>
    <row r="1005" ht="22.5" customHeight="1">
      <c r="A1005" s="30"/>
      <c r="B1005" s="39"/>
      <c r="C1005" s="32"/>
      <c r="D1005" s="33"/>
      <c r="E1005" s="34"/>
      <c r="F1005" s="34"/>
      <c r="G1005" s="35"/>
      <c r="H1005" s="34"/>
      <c r="I1005" s="37"/>
    </row>
    <row r="1006" ht="22.5" customHeight="1">
      <c r="A1006" s="30"/>
      <c r="B1006" s="31"/>
      <c r="C1006" s="32"/>
      <c r="D1006" s="33"/>
      <c r="E1006" s="34"/>
      <c r="F1006" s="34"/>
      <c r="G1006" s="35"/>
      <c r="H1006" s="34"/>
      <c r="I1006" s="37"/>
    </row>
    <row r="1007" ht="22.5" customHeight="1">
      <c r="A1007" s="30"/>
      <c r="B1007" s="31"/>
      <c r="C1007" s="32"/>
      <c r="D1007" s="33"/>
      <c r="E1007" s="34"/>
      <c r="F1007" s="34"/>
      <c r="G1007" s="35"/>
      <c r="H1007" s="34"/>
      <c r="I1007" s="37"/>
    </row>
    <row r="1008" ht="22.5" customHeight="1">
      <c r="A1008" s="30"/>
      <c r="B1008" s="31"/>
      <c r="C1008" s="32"/>
      <c r="D1008" s="33"/>
      <c r="E1008" s="34"/>
      <c r="F1008" s="34"/>
      <c r="G1008" s="35"/>
      <c r="H1008" s="34"/>
      <c r="I1008" s="37"/>
    </row>
    <row r="1009" ht="22.5" customHeight="1">
      <c r="A1009" s="30"/>
      <c r="B1009" s="31"/>
      <c r="C1009" s="32"/>
      <c r="D1009" s="33"/>
      <c r="E1009" s="34"/>
      <c r="F1009" s="34"/>
      <c r="G1009" s="35"/>
      <c r="H1009" s="34"/>
      <c r="I1009" s="37"/>
    </row>
    <row r="1010" ht="22.5" customHeight="1">
      <c r="A1010" s="30"/>
      <c r="B1010" s="31"/>
      <c r="C1010" s="32"/>
      <c r="D1010" s="33"/>
      <c r="E1010" s="34"/>
      <c r="F1010" s="34"/>
      <c r="G1010" s="35"/>
      <c r="H1010" s="34"/>
      <c r="I1010" s="37"/>
    </row>
    <row r="1011" ht="22.5" customHeight="1">
      <c r="A1011" s="30"/>
      <c r="B1011" s="31"/>
      <c r="C1011" s="32"/>
      <c r="D1011" s="33"/>
      <c r="E1011" s="34"/>
      <c r="F1011" s="34"/>
      <c r="G1011" s="35"/>
      <c r="H1011" s="34"/>
      <c r="I1011" s="37"/>
    </row>
    <row r="1012" ht="22.5" customHeight="1">
      <c r="A1012" s="30"/>
      <c r="B1012" s="31"/>
      <c r="C1012" s="32"/>
      <c r="D1012" s="33"/>
      <c r="E1012" s="34"/>
      <c r="F1012" s="34"/>
      <c r="G1012" s="35"/>
      <c r="H1012" s="34"/>
      <c r="I1012" s="37"/>
    </row>
    <row r="1013" ht="22.5" customHeight="1">
      <c r="A1013" s="30"/>
      <c r="B1013" s="31"/>
      <c r="C1013" s="32"/>
      <c r="D1013" s="33"/>
      <c r="E1013" s="34"/>
      <c r="F1013" s="34"/>
      <c r="G1013" s="35"/>
      <c r="H1013" s="34"/>
      <c r="I1013" s="37"/>
    </row>
    <row r="1014" ht="22.5" customHeight="1">
      <c r="A1014" s="30"/>
      <c r="B1014" s="31"/>
      <c r="C1014" s="32"/>
      <c r="D1014" s="33"/>
      <c r="E1014" s="34"/>
      <c r="F1014" s="34"/>
      <c r="G1014" s="35"/>
      <c r="H1014" s="34"/>
      <c r="I1014" s="37"/>
    </row>
    <row r="1015" ht="22.5" customHeight="1">
      <c r="A1015" s="30"/>
      <c r="B1015" s="31"/>
      <c r="C1015" s="32"/>
      <c r="D1015" s="33"/>
      <c r="E1015" s="34"/>
      <c r="F1015" s="34"/>
      <c r="G1015" s="35"/>
      <c r="H1015" s="34"/>
      <c r="I1015" s="37"/>
    </row>
    <row r="1016" ht="22.5" customHeight="1">
      <c r="A1016" s="30"/>
      <c r="B1016" s="40"/>
      <c r="C1016" s="32"/>
      <c r="D1016" s="33"/>
      <c r="E1016" s="34"/>
      <c r="F1016" s="34"/>
      <c r="G1016" s="35"/>
      <c r="H1016" s="34"/>
      <c r="I1016" s="37"/>
    </row>
    <row r="1017" ht="22.5" customHeight="1">
      <c r="A1017" s="30"/>
      <c r="B1017" s="31"/>
      <c r="C1017" s="32"/>
      <c r="D1017" s="33"/>
      <c r="E1017" s="34"/>
      <c r="F1017" s="34"/>
      <c r="G1017" s="35"/>
      <c r="H1017" s="34"/>
      <c r="I1017" s="37"/>
    </row>
    <row r="1018" ht="22.5" customHeight="1">
      <c r="A1018" s="30"/>
      <c r="B1018" s="31"/>
      <c r="C1018" s="32"/>
      <c r="D1018" s="33"/>
      <c r="E1018" s="34"/>
      <c r="F1018" s="34"/>
      <c r="G1018" s="35"/>
      <c r="H1018" s="34"/>
      <c r="I1018" s="37"/>
    </row>
    <row r="1019" ht="22.5" customHeight="1">
      <c r="A1019" s="30"/>
      <c r="B1019" s="31"/>
      <c r="C1019" s="32"/>
      <c r="D1019" s="33"/>
      <c r="E1019" s="34"/>
      <c r="F1019" s="34"/>
      <c r="G1019" s="35"/>
      <c r="H1019" s="34"/>
      <c r="I1019" s="37"/>
    </row>
    <row r="1020" ht="22.5" customHeight="1">
      <c r="A1020" s="30"/>
      <c r="B1020" s="31"/>
      <c r="C1020" s="32"/>
      <c r="D1020" s="33"/>
      <c r="E1020" s="34"/>
      <c r="F1020" s="34"/>
      <c r="G1020" s="35"/>
      <c r="H1020" s="34"/>
      <c r="I1020" s="37"/>
    </row>
    <row r="1021" ht="22.5" customHeight="1">
      <c r="A1021" s="30"/>
      <c r="B1021" s="31"/>
      <c r="C1021" s="32"/>
      <c r="D1021" s="33"/>
      <c r="E1021" s="34"/>
      <c r="F1021" s="34"/>
      <c r="G1021" s="35"/>
      <c r="H1021" s="34"/>
      <c r="I1021" s="37"/>
    </row>
    <row r="1022" ht="22.5" customHeight="1">
      <c r="A1022" s="30"/>
      <c r="B1022" s="31"/>
      <c r="C1022" s="32"/>
      <c r="D1022" s="33"/>
      <c r="E1022" s="34"/>
      <c r="F1022" s="34"/>
      <c r="G1022" s="35"/>
      <c r="H1022" s="34"/>
      <c r="I1022" s="37"/>
    </row>
    <row r="1023" ht="22.5" customHeight="1">
      <c r="A1023" s="30"/>
      <c r="B1023" s="39"/>
      <c r="C1023" s="32"/>
      <c r="D1023" s="33"/>
      <c r="E1023" s="34"/>
      <c r="F1023" s="34"/>
      <c r="G1023" s="35"/>
      <c r="H1023" s="34"/>
      <c r="I1023" s="37"/>
    </row>
    <row r="1024" ht="22.5" customHeight="1">
      <c r="A1024" s="30"/>
      <c r="B1024" s="39"/>
      <c r="C1024" s="32"/>
      <c r="D1024" s="33"/>
      <c r="E1024" s="34"/>
      <c r="F1024" s="34"/>
      <c r="G1024" s="35"/>
      <c r="H1024" s="34"/>
      <c r="I1024" s="37"/>
    </row>
    <row r="1025" ht="22.5" customHeight="1">
      <c r="A1025" s="30"/>
      <c r="B1025" s="39"/>
      <c r="C1025" s="32"/>
      <c r="D1025" s="33"/>
      <c r="E1025" s="34"/>
      <c r="F1025" s="34"/>
      <c r="G1025" s="35"/>
      <c r="H1025" s="34"/>
      <c r="I1025" s="37"/>
    </row>
    <row r="1026" ht="22.5" customHeight="1">
      <c r="A1026" s="30"/>
      <c r="B1026" s="40"/>
      <c r="C1026" s="32"/>
      <c r="D1026" s="33"/>
      <c r="E1026" s="34"/>
      <c r="F1026" s="34"/>
      <c r="G1026" s="35"/>
      <c r="H1026" s="34"/>
      <c r="I1026" s="37"/>
    </row>
    <row r="1027" ht="22.5" customHeight="1">
      <c r="A1027" s="30"/>
      <c r="B1027" s="31"/>
      <c r="C1027" s="32"/>
      <c r="D1027" s="33"/>
      <c r="E1027" s="34"/>
      <c r="F1027" s="34"/>
      <c r="G1027" s="35"/>
      <c r="H1027" s="34"/>
      <c r="I1027" s="37"/>
    </row>
    <row r="1028" ht="22.5" customHeight="1">
      <c r="A1028" s="30"/>
      <c r="B1028" s="31"/>
      <c r="C1028" s="32"/>
      <c r="D1028" s="33"/>
      <c r="E1028" s="34"/>
      <c r="F1028" s="34"/>
      <c r="G1028" s="35"/>
      <c r="H1028" s="34"/>
      <c r="I1028" s="37"/>
    </row>
    <row r="1029" ht="22.5" customHeight="1">
      <c r="A1029" s="30"/>
      <c r="B1029" s="31"/>
      <c r="C1029" s="32"/>
      <c r="D1029" s="33"/>
      <c r="E1029" s="34"/>
      <c r="F1029" s="34"/>
      <c r="G1029" s="35"/>
      <c r="H1029" s="34"/>
      <c r="I1029" s="37"/>
    </row>
    <row r="1030" ht="22.5" customHeight="1">
      <c r="A1030" s="30"/>
      <c r="B1030" s="31"/>
      <c r="C1030" s="32"/>
      <c r="D1030" s="33"/>
      <c r="E1030" s="34"/>
      <c r="F1030" s="34"/>
      <c r="G1030" s="35"/>
      <c r="H1030" s="34"/>
      <c r="I1030" s="37"/>
    </row>
    <row r="1031" ht="22.5" customHeight="1">
      <c r="A1031" s="30"/>
      <c r="B1031" s="31"/>
      <c r="C1031" s="32"/>
      <c r="D1031" s="33"/>
      <c r="E1031" s="34"/>
      <c r="F1031" s="34"/>
      <c r="G1031" s="35"/>
      <c r="H1031" s="34"/>
      <c r="I1031" s="37"/>
    </row>
    <row r="1032" ht="22.5" customHeight="1">
      <c r="A1032" s="30"/>
      <c r="B1032" s="31"/>
      <c r="C1032" s="32"/>
      <c r="D1032" s="33"/>
      <c r="E1032" s="34"/>
      <c r="F1032" s="34"/>
      <c r="G1032" s="35"/>
      <c r="H1032" s="34"/>
      <c r="I1032" s="37"/>
    </row>
    <row r="1033" ht="22.5" customHeight="1">
      <c r="A1033" s="30"/>
      <c r="B1033" s="31"/>
      <c r="C1033" s="32"/>
      <c r="D1033" s="33"/>
      <c r="E1033" s="34"/>
      <c r="F1033" s="34"/>
      <c r="G1033" s="35"/>
      <c r="H1033" s="34"/>
      <c r="I1033" s="37"/>
    </row>
    <row r="1034" ht="22.5" customHeight="1">
      <c r="A1034" s="30"/>
      <c r="B1034" s="31"/>
      <c r="C1034" s="32"/>
      <c r="D1034" s="33"/>
      <c r="E1034" s="34"/>
      <c r="F1034" s="34"/>
      <c r="G1034" s="35"/>
      <c r="H1034" s="34"/>
      <c r="I1034" s="37"/>
    </row>
    <row r="1035" ht="22.5" customHeight="1">
      <c r="A1035" s="30"/>
      <c r="B1035" s="31"/>
      <c r="C1035" s="32"/>
      <c r="D1035" s="33"/>
      <c r="E1035" s="34"/>
      <c r="F1035" s="34"/>
      <c r="G1035" s="35"/>
      <c r="H1035" s="34"/>
      <c r="I1035" s="37"/>
    </row>
    <row r="1036" ht="22.5" customHeight="1">
      <c r="A1036" s="30"/>
      <c r="B1036" s="40"/>
      <c r="C1036" s="32"/>
      <c r="D1036" s="33"/>
      <c r="E1036" s="34"/>
      <c r="F1036" s="34"/>
      <c r="G1036" s="35"/>
      <c r="H1036" s="34"/>
      <c r="I1036" s="37"/>
    </row>
    <row r="1037" ht="22.5" customHeight="1">
      <c r="A1037" s="30"/>
      <c r="B1037" s="31"/>
      <c r="C1037" s="32"/>
      <c r="D1037" s="33"/>
      <c r="E1037" s="34"/>
      <c r="F1037" s="34"/>
      <c r="G1037" s="35"/>
      <c r="H1037" s="34"/>
      <c r="I1037" s="37"/>
    </row>
    <row r="1038" ht="22.5" customHeight="1">
      <c r="A1038" s="30"/>
      <c r="B1038" s="31"/>
      <c r="C1038" s="32"/>
      <c r="D1038" s="33"/>
      <c r="E1038" s="34"/>
      <c r="F1038" s="34"/>
      <c r="G1038" s="35"/>
      <c r="H1038" s="34"/>
      <c r="I1038" s="37"/>
    </row>
    <row r="1039" ht="22.5" customHeight="1">
      <c r="A1039" s="30"/>
      <c r="B1039" s="31"/>
      <c r="C1039" s="32"/>
      <c r="D1039" s="33"/>
      <c r="E1039" s="34"/>
      <c r="F1039" s="34"/>
      <c r="G1039" s="35"/>
      <c r="H1039" s="34"/>
      <c r="I1039" s="37"/>
    </row>
    <row r="1040" ht="22.5" customHeight="1">
      <c r="A1040" s="30"/>
      <c r="B1040" s="40"/>
      <c r="C1040" s="32"/>
      <c r="D1040" s="33"/>
      <c r="E1040" s="34"/>
      <c r="F1040" s="34"/>
      <c r="G1040" s="35"/>
      <c r="H1040" s="34"/>
      <c r="I1040" s="37"/>
    </row>
    <row r="1041" ht="22.5" customHeight="1">
      <c r="A1041" s="30"/>
      <c r="B1041" s="31"/>
      <c r="C1041" s="32"/>
      <c r="D1041" s="33"/>
      <c r="E1041" s="34"/>
      <c r="F1041" s="34"/>
      <c r="G1041" s="35"/>
      <c r="H1041" s="34"/>
      <c r="I1041" s="37"/>
    </row>
    <row r="1042" ht="22.5" customHeight="1">
      <c r="A1042" s="30"/>
      <c r="B1042" s="31"/>
      <c r="C1042" s="32"/>
      <c r="D1042" s="33"/>
      <c r="E1042" s="34"/>
      <c r="F1042" s="34"/>
      <c r="G1042" s="35"/>
      <c r="H1042" s="34"/>
      <c r="I1042" s="37"/>
    </row>
    <row r="1043" ht="22.5" customHeight="1">
      <c r="A1043" s="30"/>
      <c r="B1043" s="31"/>
      <c r="C1043" s="32"/>
      <c r="D1043" s="33"/>
      <c r="E1043" s="34"/>
      <c r="F1043" s="34"/>
      <c r="G1043" s="35"/>
      <c r="H1043" s="34"/>
      <c r="I1043" s="37"/>
    </row>
    <row r="1044" ht="22.5" customHeight="1">
      <c r="A1044" s="30"/>
      <c r="B1044" s="31"/>
      <c r="C1044" s="32"/>
      <c r="D1044" s="33"/>
      <c r="E1044" s="34"/>
      <c r="F1044" s="34"/>
      <c r="G1044" s="35"/>
      <c r="H1044" s="34"/>
      <c r="I1044" s="37"/>
    </row>
    <row r="1045" ht="22.5" customHeight="1">
      <c r="A1045" s="30"/>
      <c r="B1045" s="31"/>
      <c r="C1045" s="32"/>
      <c r="D1045" s="33"/>
      <c r="E1045" s="34"/>
      <c r="F1045" s="34"/>
      <c r="G1045" s="35"/>
      <c r="H1045" s="34"/>
      <c r="I1045" s="37"/>
    </row>
    <row r="1046" ht="22.5" customHeight="1">
      <c r="A1046" s="30"/>
      <c r="B1046" s="31"/>
      <c r="C1046" s="32"/>
      <c r="D1046" s="33"/>
      <c r="E1046" s="34"/>
      <c r="F1046" s="34"/>
      <c r="G1046" s="35"/>
      <c r="H1046" s="34"/>
      <c r="I1046" s="37"/>
    </row>
    <row r="1047" ht="22.5" customHeight="1">
      <c r="A1047" s="30"/>
      <c r="B1047" s="31"/>
      <c r="C1047" s="32"/>
      <c r="D1047" s="33"/>
      <c r="E1047" s="34"/>
      <c r="F1047" s="34"/>
      <c r="G1047" s="35"/>
      <c r="H1047" s="34"/>
      <c r="I1047" s="37"/>
    </row>
    <row r="1048" ht="22.5" customHeight="1">
      <c r="A1048" s="30"/>
      <c r="B1048" s="31"/>
      <c r="C1048" s="32"/>
      <c r="D1048" s="33"/>
      <c r="E1048" s="34"/>
      <c r="F1048" s="34"/>
      <c r="G1048" s="35"/>
      <c r="H1048" s="34"/>
      <c r="I1048" s="37"/>
    </row>
    <row r="1049" ht="22.5" customHeight="1">
      <c r="A1049" s="30"/>
      <c r="B1049" s="31"/>
      <c r="C1049" s="32"/>
      <c r="D1049" s="33"/>
      <c r="E1049" s="34"/>
      <c r="F1049" s="34"/>
      <c r="G1049" s="35"/>
      <c r="H1049" s="34"/>
      <c r="I1049" s="37"/>
    </row>
    <row r="1050" ht="22.5" customHeight="1">
      <c r="A1050" s="30"/>
      <c r="B1050" s="31"/>
      <c r="C1050" s="32"/>
      <c r="D1050" s="33"/>
      <c r="E1050" s="34"/>
      <c r="F1050" s="34"/>
      <c r="G1050" s="35"/>
      <c r="H1050" s="34"/>
      <c r="I1050" s="37"/>
    </row>
    <row r="1051" ht="22.5" customHeight="1">
      <c r="A1051" s="30"/>
      <c r="B1051" s="31"/>
      <c r="C1051" s="32"/>
      <c r="D1051" s="33"/>
      <c r="E1051" s="34"/>
      <c r="F1051" s="34"/>
      <c r="G1051" s="35"/>
      <c r="H1051" s="34"/>
      <c r="I1051" s="37"/>
    </row>
    <row r="1052" ht="22.5" customHeight="1">
      <c r="A1052" s="30"/>
      <c r="B1052" s="31"/>
      <c r="C1052" s="32"/>
      <c r="D1052" s="33"/>
      <c r="E1052" s="34"/>
      <c r="F1052" s="34"/>
      <c r="G1052" s="35"/>
      <c r="H1052" s="34"/>
      <c r="I1052" s="37"/>
    </row>
    <row r="1053" ht="22.5" customHeight="1">
      <c r="A1053" s="30"/>
      <c r="B1053" s="31"/>
      <c r="C1053" s="32"/>
      <c r="D1053" s="33"/>
      <c r="E1053" s="34"/>
      <c r="F1053" s="34"/>
      <c r="G1053" s="35"/>
      <c r="H1053" s="34"/>
      <c r="I1053" s="37"/>
    </row>
    <row r="1054" ht="22.5" customHeight="1">
      <c r="A1054" s="30"/>
      <c r="B1054" s="31"/>
      <c r="C1054" s="32"/>
      <c r="D1054" s="33"/>
      <c r="E1054" s="34"/>
      <c r="F1054" s="34"/>
      <c r="G1054" s="35"/>
      <c r="H1054" s="34"/>
      <c r="I1054" s="37"/>
    </row>
    <row r="1055" ht="22.5" customHeight="1">
      <c r="A1055" s="30"/>
      <c r="B1055" s="40"/>
      <c r="C1055" s="32"/>
      <c r="D1055" s="33"/>
      <c r="E1055" s="34"/>
      <c r="F1055" s="34"/>
      <c r="G1055" s="35"/>
      <c r="H1055" s="34"/>
      <c r="I1055" s="37"/>
    </row>
    <row r="1056" ht="22.5" customHeight="1">
      <c r="A1056" s="30"/>
      <c r="B1056" s="31"/>
      <c r="C1056" s="32"/>
      <c r="D1056" s="33"/>
      <c r="E1056" s="34"/>
      <c r="F1056" s="34"/>
      <c r="G1056" s="35"/>
      <c r="H1056" s="34"/>
      <c r="I1056" s="37"/>
    </row>
    <row r="1057" ht="22.5" customHeight="1">
      <c r="A1057" s="30"/>
      <c r="B1057" s="40"/>
      <c r="C1057" s="32"/>
      <c r="D1057" s="33"/>
      <c r="E1057" s="34"/>
      <c r="F1057" s="34"/>
      <c r="G1057" s="35"/>
      <c r="H1057" s="34"/>
      <c r="I1057" s="37"/>
    </row>
    <row r="1058" ht="22.5" customHeight="1">
      <c r="A1058" s="30"/>
      <c r="B1058" s="31"/>
      <c r="C1058" s="32"/>
      <c r="D1058" s="33"/>
      <c r="E1058" s="34"/>
      <c r="F1058" s="34"/>
      <c r="G1058" s="35"/>
      <c r="H1058" s="34"/>
      <c r="I1058" s="37"/>
    </row>
    <row r="1059" ht="22.5" customHeight="1">
      <c r="A1059" s="30"/>
      <c r="B1059" s="31"/>
      <c r="C1059" s="32"/>
      <c r="D1059" s="33"/>
      <c r="E1059" s="34"/>
      <c r="F1059" s="34"/>
      <c r="G1059" s="35"/>
      <c r="H1059" s="34"/>
      <c r="I1059" s="37"/>
    </row>
    <row r="1060" ht="22.5" customHeight="1">
      <c r="A1060" s="30"/>
      <c r="B1060" s="31"/>
      <c r="C1060" s="32"/>
      <c r="D1060" s="33"/>
      <c r="E1060" s="34"/>
      <c r="F1060" s="34"/>
      <c r="G1060" s="35"/>
      <c r="H1060" s="34"/>
      <c r="I1060" s="37"/>
    </row>
    <row r="1061" ht="22.5" customHeight="1">
      <c r="A1061" s="30"/>
      <c r="B1061" s="31"/>
      <c r="C1061" s="32"/>
      <c r="D1061" s="33"/>
      <c r="E1061" s="34"/>
      <c r="F1061" s="34"/>
      <c r="G1061" s="35"/>
      <c r="H1061" s="34"/>
      <c r="I1061" s="37"/>
    </row>
    <row r="1062" ht="22.5" customHeight="1">
      <c r="A1062" s="30"/>
      <c r="B1062" s="40"/>
      <c r="C1062" s="32"/>
      <c r="D1062" s="33"/>
      <c r="E1062" s="34"/>
      <c r="F1062" s="34"/>
      <c r="G1062" s="35"/>
      <c r="H1062" s="34"/>
      <c r="I1062" s="37"/>
    </row>
    <row r="1063" ht="22.5" customHeight="1">
      <c r="A1063" s="30"/>
      <c r="B1063" s="31"/>
      <c r="C1063" s="32"/>
      <c r="D1063" s="33"/>
      <c r="E1063" s="34"/>
      <c r="F1063" s="34"/>
      <c r="G1063" s="35"/>
      <c r="H1063" s="34"/>
      <c r="I1063" s="37"/>
    </row>
    <row r="1064" ht="22.5" customHeight="1">
      <c r="A1064" s="30"/>
      <c r="B1064" s="31"/>
      <c r="C1064" s="32"/>
      <c r="D1064" s="33"/>
      <c r="E1064" s="34"/>
      <c r="F1064" s="34"/>
      <c r="G1064" s="35"/>
      <c r="H1064" s="34"/>
      <c r="I1064" s="37"/>
    </row>
    <row r="1065" ht="22.5" customHeight="1">
      <c r="A1065" s="30"/>
      <c r="B1065" s="31"/>
      <c r="C1065" s="32"/>
      <c r="D1065" s="33"/>
      <c r="E1065" s="34"/>
      <c r="F1065" s="34"/>
      <c r="G1065" s="35"/>
      <c r="H1065" s="34"/>
      <c r="I1065" s="37"/>
    </row>
    <row r="1066" ht="22.5" customHeight="1">
      <c r="A1066" s="30"/>
      <c r="B1066" s="31"/>
      <c r="C1066" s="32"/>
      <c r="D1066" s="33"/>
      <c r="E1066" s="34"/>
      <c r="F1066" s="34"/>
      <c r="G1066" s="35"/>
      <c r="H1066" s="34"/>
      <c r="I1066" s="37"/>
    </row>
    <row r="1067" ht="22.5" customHeight="1">
      <c r="A1067" s="30"/>
      <c r="B1067" s="31"/>
      <c r="C1067" s="32"/>
      <c r="D1067" s="33"/>
      <c r="E1067" s="34"/>
      <c r="F1067" s="34"/>
      <c r="G1067" s="35"/>
      <c r="H1067" s="34"/>
      <c r="I1067" s="37"/>
    </row>
    <row r="1068" ht="22.5" customHeight="1">
      <c r="A1068" s="30"/>
      <c r="B1068" s="31"/>
      <c r="C1068" s="32"/>
      <c r="D1068" s="33"/>
      <c r="E1068" s="34"/>
      <c r="F1068" s="34"/>
      <c r="G1068" s="35"/>
      <c r="H1068" s="34"/>
      <c r="I1068" s="37"/>
    </row>
    <row r="1069" ht="22.5" customHeight="1">
      <c r="A1069" s="30"/>
      <c r="B1069" s="31"/>
      <c r="C1069" s="32"/>
      <c r="D1069" s="33"/>
      <c r="E1069" s="34"/>
      <c r="F1069" s="34"/>
      <c r="G1069" s="35"/>
      <c r="H1069" s="34"/>
      <c r="I1069" s="37"/>
    </row>
    <row r="1070" ht="22.5" customHeight="1">
      <c r="A1070" s="30"/>
      <c r="B1070" s="31"/>
      <c r="C1070" s="32"/>
      <c r="D1070" s="33"/>
      <c r="E1070" s="34"/>
      <c r="F1070" s="34"/>
      <c r="G1070" s="35"/>
      <c r="H1070" s="34"/>
      <c r="I1070" s="37"/>
    </row>
    <row r="1071" ht="22.5" customHeight="1">
      <c r="A1071" s="30"/>
      <c r="B1071" s="31"/>
      <c r="C1071" s="32"/>
      <c r="D1071" s="33"/>
      <c r="E1071" s="34"/>
      <c r="F1071" s="34"/>
      <c r="G1071" s="35"/>
      <c r="H1071" s="34"/>
      <c r="I1071" s="37"/>
    </row>
    <row r="1072" ht="22.5" customHeight="1">
      <c r="A1072" s="30"/>
      <c r="B1072" s="31"/>
      <c r="C1072" s="32"/>
      <c r="D1072" s="33"/>
      <c r="E1072" s="34"/>
      <c r="F1072" s="34"/>
      <c r="G1072" s="35"/>
      <c r="H1072" s="34"/>
      <c r="I1072" s="37"/>
    </row>
    <row r="1073" ht="22.5" customHeight="1">
      <c r="A1073" s="30"/>
      <c r="B1073" s="31"/>
      <c r="C1073" s="32"/>
      <c r="D1073" s="33"/>
      <c r="E1073" s="34"/>
      <c r="F1073" s="34"/>
      <c r="G1073" s="35"/>
      <c r="H1073" s="34"/>
      <c r="I1073" s="37"/>
    </row>
    <row r="1074" ht="22.5" customHeight="1">
      <c r="A1074" s="30"/>
      <c r="B1074" s="31"/>
      <c r="C1074" s="32"/>
      <c r="D1074" s="33"/>
      <c r="E1074" s="34"/>
      <c r="F1074" s="34"/>
      <c r="G1074" s="35"/>
      <c r="H1074" s="34"/>
      <c r="I1074" s="37"/>
    </row>
    <row r="1075" ht="22.5" customHeight="1">
      <c r="A1075" s="30"/>
      <c r="B1075" s="31"/>
      <c r="C1075" s="32"/>
      <c r="D1075" s="33"/>
      <c r="E1075" s="34"/>
      <c r="F1075" s="34"/>
      <c r="G1075" s="35"/>
      <c r="H1075" s="34"/>
      <c r="I1075" s="37"/>
    </row>
    <row r="1076" ht="22.5" customHeight="1">
      <c r="A1076" s="30"/>
      <c r="B1076" s="31"/>
      <c r="C1076" s="32"/>
      <c r="D1076" s="33"/>
      <c r="E1076" s="34"/>
      <c r="F1076" s="34"/>
      <c r="G1076" s="35"/>
      <c r="H1076" s="34"/>
      <c r="I1076" s="37"/>
    </row>
    <row r="1077" ht="22.5" customHeight="1">
      <c r="A1077" s="30"/>
      <c r="B1077" s="31"/>
      <c r="C1077" s="32"/>
      <c r="D1077" s="33"/>
      <c r="E1077" s="34"/>
      <c r="F1077" s="34"/>
      <c r="G1077" s="35"/>
      <c r="H1077" s="34"/>
      <c r="I1077" s="37"/>
    </row>
    <row r="1078" ht="22.5" customHeight="1">
      <c r="A1078" s="30"/>
      <c r="B1078" s="31"/>
      <c r="C1078" s="32"/>
      <c r="D1078" s="33"/>
      <c r="E1078" s="34"/>
      <c r="F1078" s="34"/>
      <c r="G1078" s="35"/>
      <c r="H1078" s="34"/>
      <c r="I1078" s="37"/>
    </row>
    <row r="1079" ht="22.5" customHeight="1">
      <c r="A1079" s="30"/>
      <c r="B1079" s="31"/>
      <c r="C1079" s="32"/>
      <c r="D1079" s="33"/>
      <c r="E1079" s="34"/>
      <c r="F1079" s="34"/>
      <c r="G1079" s="35"/>
      <c r="H1079" s="34"/>
      <c r="I1079" s="37"/>
    </row>
    <row r="1080" ht="22.5" customHeight="1">
      <c r="A1080" s="30"/>
      <c r="B1080" s="31"/>
      <c r="C1080" s="32"/>
      <c r="D1080" s="33"/>
      <c r="E1080" s="34"/>
      <c r="F1080" s="34"/>
      <c r="G1080" s="35"/>
      <c r="H1080" s="34"/>
      <c r="I1080" s="37"/>
    </row>
    <row r="1081" ht="22.5" customHeight="1">
      <c r="A1081" s="30"/>
      <c r="B1081" s="31"/>
      <c r="C1081" s="32"/>
      <c r="D1081" s="33"/>
      <c r="E1081" s="34"/>
      <c r="F1081" s="34"/>
      <c r="G1081" s="35"/>
      <c r="H1081" s="34"/>
      <c r="I1081" s="37"/>
    </row>
    <row r="1082" ht="22.5" customHeight="1">
      <c r="A1082" s="30"/>
      <c r="B1082" s="31"/>
      <c r="C1082" s="32"/>
      <c r="D1082" s="33"/>
      <c r="E1082" s="34"/>
      <c r="F1082" s="34"/>
      <c r="G1082" s="35"/>
      <c r="H1082" s="34"/>
      <c r="I1082" s="37"/>
    </row>
    <row r="1083" ht="22.5" customHeight="1">
      <c r="A1083" s="30"/>
      <c r="B1083" s="31"/>
      <c r="C1083" s="32"/>
      <c r="D1083" s="33"/>
      <c r="E1083" s="34"/>
      <c r="F1083" s="34"/>
      <c r="G1083" s="35"/>
      <c r="H1083" s="34"/>
      <c r="I1083" s="37"/>
    </row>
    <row r="1084" ht="22.5" customHeight="1">
      <c r="A1084" s="30"/>
      <c r="B1084" s="40"/>
      <c r="C1084" s="32"/>
      <c r="D1084" s="33"/>
      <c r="E1084" s="34"/>
      <c r="F1084" s="34"/>
      <c r="G1084" s="35"/>
      <c r="H1084" s="34"/>
      <c r="I1084" s="37"/>
    </row>
    <row r="1085" ht="22.5" customHeight="1">
      <c r="A1085" s="30"/>
      <c r="B1085" s="31"/>
      <c r="C1085" s="32"/>
      <c r="D1085" s="33"/>
      <c r="E1085" s="34"/>
      <c r="F1085" s="34"/>
      <c r="G1085" s="35"/>
      <c r="H1085" s="34"/>
      <c r="I1085" s="37"/>
    </row>
    <row r="1086" ht="22.5" customHeight="1">
      <c r="A1086" s="30"/>
      <c r="B1086" s="31"/>
      <c r="C1086" s="32"/>
      <c r="D1086" s="33"/>
      <c r="E1086" s="34"/>
      <c r="F1086" s="34"/>
      <c r="G1086" s="35"/>
      <c r="H1086" s="34"/>
      <c r="I1086" s="37"/>
    </row>
    <row r="1087" ht="22.5" customHeight="1">
      <c r="A1087" s="30"/>
      <c r="B1087" s="31"/>
      <c r="C1087" s="32"/>
      <c r="D1087" s="33"/>
      <c r="E1087" s="34"/>
      <c r="F1087" s="34"/>
      <c r="G1087" s="35"/>
      <c r="H1087" s="34"/>
      <c r="I1087" s="37"/>
    </row>
    <row r="1088" ht="22.5" customHeight="1">
      <c r="A1088" s="30"/>
      <c r="B1088" s="31"/>
      <c r="C1088" s="32"/>
      <c r="D1088" s="33"/>
      <c r="E1088" s="34"/>
      <c r="F1088" s="34"/>
      <c r="G1088" s="35"/>
      <c r="H1088" s="34"/>
      <c r="I1088" s="38"/>
    </row>
    <row r="1089" ht="22.5" customHeight="1">
      <c r="A1089" s="30"/>
      <c r="B1089" s="39"/>
      <c r="C1089" s="32"/>
      <c r="D1089" s="33"/>
      <c r="E1089" s="34"/>
      <c r="F1089" s="34"/>
      <c r="G1089" s="35"/>
      <c r="H1089" s="34"/>
      <c r="I1089" s="37"/>
    </row>
    <row r="1090" ht="22.5" customHeight="1">
      <c r="A1090" s="30"/>
      <c r="B1090" s="31"/>
      <c r="C1090" s="32"/>
      <c r="D1090" s="33"/>
      <c r="E1090" s="34"/>
      <c r="F1090" s="34"/>
      <c r="G1090" s="35"/>
      <c r="H1090" s="34"/>
      <c r="I1090" s="37"/>
    </row>
    <row r="1091" ht="22.5" customHeight="1">
      <c r="A1091" s="30"/>
      <c r="B1091" s="31"/>
      <c r="C1091" s="32"/>
      <c r="D1091" s="33"/>
      <c r="E1091" s="34"/>
      <c r="F1091" s="34"/>
      <c r="G1091" s="35"/>
      <c r="H1091" s="34"/>
      <c r="I1091" s="37"/>
    </row>
    <row r="1092" ht="22.5" customHeight="1">
      <c r="A1092" s="30"/>
      <c r="B1092" s="31"/>
      <c r="C1092" s="32"/>
      <c r="D1092" s="33"/>
      <c r="E1092" s="34"/>
      <c r="F1092" s="34"/>
      <c r="G1092" s="35"/>
      <c r="H1092" s="34"/>
      <c r="I1092" s="37"/>
    </row>
    <row r="1093" ht="22.5" customHeight="1">
      <c r="A1093" s="30"/>
      <c r="B1093" s="39"/>
      <c r="C1093" s="32"/>
      <c r="D1093" s="33"/>
      <c r="E1093" s="34"/>
      <c r="F1093" s="34"/>
      <c r="G1093" s="35"/>
      <c r="H1093" s="34"/>
      <c r="I1093" s="37"/>
    </row>
    <row r="1094" ht="22.5" customHeight="1">
      <c r="A1094" s="30"/>
      <c r="B1094" s="31"/>
      <c r="C1094" s="32"/>
      <c r="D1094" s="33"/>
      <c r="E1094" s="34"/>
      <c r="F1094" s="34"/>
      <c r="G1094" s="35"/>
      <c r="H1094" s="34"/>
      <c r="I1094" s="37"/>
    </row>
    <row r="1095" ht="22.5" customHeight="1">
      <c r="A1095" s="30"/>
      <c r="B1095" s="39"/>
      <c r="C1095" s="32"/>
      <c r="D1095" s="33"/>
      <c r="E1095" s="34"/>
      <c r="F1095" s="34"/>
      <c r="G1095" s="35"/>
      <c r="H1095" s="34"/>
      <c r="I1095" s="37"/>
    </row>
    <row r="1096" ht="22.5" customHeight="1">
      <c r="A1096" s="30"/>
      <c r="B1096" s="31"/>
      <c r="C1096" s="32"/>
      <c r="D1096" s="33"/>
      <c r="E1096" s="34"/>
      <c r="F1096" s="34"/>
      <c r="G1096" s="35"/>
      <c r="H1096" s="34"/>
      <c r="I1096" s="37"/>
    </row>
    <row r="1097" ht="22.5" customHeight="1">
      <c r="A1097" s="30"/>
      <c r="B1097" s="31"/>
      <c r="C1097" s="32"/>
      <c r="D1097" s="33"/>
      <c r="E1097" s="34"/>
      <c r="F1097" s="34"/>
      <c r="G1097" s="35"/>
      <c r="H1097" s="34"/>
      <c r="I1097" s="37"/>
    </row>
    <row r="1098" ht="22.5" customHeight="1">
      <c r="A1098" s="30"/>
      <c r="B1098" s="31"/>
      <c r="C1098" s="32"/>
      <c r="D1098" s="33"/>
      <c r="E1098" s="34"/>
      <c r="F1098" s="34"/>
      <c r="G1098" s="35"/>
      <c r="H1098" s="34"/>
      <c r="I1098" s="37"/>
    </row>
    <row r="1099" ht="22.5" customHeight="1">
      <c r="A1099" s="30"/>
      <c r="B1099" s="31"/>
      <c r="C1099" s="32"/>
      <c r="D1099" s="33"/>
      <c r="E1099" s="34"/>
      <c r="F1099" s="34"/>
      <c r="G1099" s="35"/>
      <c r="H1099" s="34"/>
      <c r="I1099" s="37"/>
    </row>
    <row r="1100" ht="22.5" customHeight="1">
      <c r="A1100" s="30"/>
      <c r="B1100" s="31"/>
      <c r="C1100" s="32"/>
      <c r="D1100" s="33"/>
      <c r="E1100" s="34"/>
      <c r="F1100" s="34"/>
      <c r="G1100" s="35"/>
      <c r="H1100" s="34"/>
      <c r="I1100" s="37"/>
    </row>
    <row r="1101" ht="22.5" customHeight="1">
      <c r="A1101" s="30"/>
      <c r="B1101" s="31"/>
      <c r="C1101" s="32"/>
      <c r="D1101" s="33"/>
      <c r="E1101" s="34"/>
      <c r="F1101" s="34"/>
      <c r="G1101" s="35"/>
      <c r="H1101" s="34"/>
      <c r="I1101" s="37"/>
    </row>
    <row r="1102" ht="22.5" customHeight="1">
      <c r="A1102" s="30"/>
      <c r="B1102" s="31"/>
      <c r="C1102" s="32"/>
      <c r="D1102" s="33"/>
      <c r="E1102" s="34"/>
      <c r="F1102" s="34"/>
      <c r="G1102" s="35"/>
      <c r="H1102" s="34"/>
      <c r="I1102" s="37"/>
    </row>
    <row r="1103" ht="22.5" customHeight="1">
      <c r="A1103" s="30"/>
      <c r="B1103" s="31"/>
      <c r="C1103" s="32"/>
      <c r="D1103" s="33"/>
      <c r="E1103" s="34"/>
      <c r="F1103" s="34"/>
      <c r="G1103" s="35"/>
      <c r="H1103" s="34"/>
      <c r="I1103" s="37"/>
    </row>
    <row r="1104" ht="22.5" customHeight="1">
      <c r="A1104" s="30"/>
      <c r="B1104" s="31"/>
      <c r="C1104" s="32"/>
      <c r="D1104" s="33"/>
      <c r="E1104" s="34"/>
      <c r="F1104" s="34"/>
      <c r="G1104" s="35"/>
      <c r="H1104" s="34"/>
      <c r="I1104" s="37"/>
    </row>
    <row r="1105" ht="22.5" customHeight="1">
      <c r="A1105" s="30"/>
      <c r="B1105" s="31"/>
      <c r="C1105" s="32"/>
      <c r="D1105" s="33"/>
      <c r="E1105" s="34"/>
      <c r="F1105" s="34"/>
      <c r="G1105" s="35"/>
      <c r="H1105" s="34"/>
      <c r="I1105" s="37"/>
    </row>
    <row r="1106" ht="22.5" customHeight="1">
      <c r="A1106" s="30"/>
      <c r="B1106" s="40"/>
      <c r="C1106" s="32"/>
      <c r="D1106" s="33"/>
      <c r="E1106" s="34"/>
      <c r="F1106" s="34"/>
      <c r="G1106" s="35"/>
      <c r="H1106" s="34"/>
      <c r="I1106" s="37"/>
    </row>
    <row r="1107" ht="22.5" customHeight="1">
      <c r="A1107" s="30"/>
      <c r="B1107" s="31"/>
      <c r="C1107" s="32"/>
      <c r="D1107" s="33"/>
      <c r="E1107" s="34"/>
      <c r="F1107" s="34"/>
      <c r="G1107" s="35"/>
      <c r="H1107" s="34"/>
      <c r="I1107" s="37"/>
    </row>
    <row r="1108" ht="22.5" customHeight="1">
      <c r="A1108" s="30"/>
      <c r="B1108" s="31"/>
      <c r="C1108" s="32"/>
      <c r="D1108" s="33"/>
      <c r="E1108" s="34"/>
      <c r="F1108" s="34"/>
      <c r="G1108" s="35"/>
      <c r="H1108" s="34"/>
      <c r="I1108" s="37"/>
    </row>
    <row r="1109" ht="22.5" customHeight="1">
      <c r="A1109" s="30"/>
      <c r="B1109" s="31"/>
      <c r="C1109" s="32"/>
      <c r="D1109" s="33"/>
      <c r="E1109" s="34"/>
      <c r="F1109" s="34"/>
      <c r="G1109" s="35"/>
      <c r="H1109" s="34"/>
      <c r="I1109" s="37"/>
    </row>
    <row r="1110" ht="22.5" customHeight="1">
      <c r="A1110" s="30"/>
      <c r="B1110" s="31"/>
      <c r="C1110" s="32"/>
      <c r="D1110" s="33"/>
      <c r="E1110" s="34"/>
      <c r="F1110" s="34"/>
      <c r="G1110" s="35"/>
      <c r="H1110" s="34"/>
      <c r="I1110" s="37"/>
    </row>
    <row r="1111" ht="22.5" customHeight="1">
      <c r="A1111" s="30"/>
      <c r="B1111" s="31"/>
      <c r="C1111" s="32"/>
      <c r="D1111" s="33"/>
      <c r="E1111" s="34"/>
      <c r="F1111" s="34"/>
      <c r="G1111" s="35"/>
      <c r="H1111" s="34"/>
      <c r="I1111" s="37"/>
    </row>
    <row r="1112" ht="22.5" customHeight="1">
      <c r="A1112" s="30"/>
      <c r="B1112" s="31"/>
      <c r="C1112" s="32"/>
      <c r="D1112" s="33"/>
      <c r="E1112" s="34"/>
      <c r="F1112" s="34"/>
      <c r="G1112" s="35"/>
      <c r="H1112" s="34"/>
      <c r="I1112" s="37"/>
    </row>
    <row r="1113" ht="22.5" customHeight="1">
      <c r="A1113" s="30"/>
      <c r="B1113" s="39"/>
      <c r="C1113" s="32"/>
      <c r="D1113" s="33"/>
      <c r="E1113" s="34"/>
      <c r="F1113" s="34"/>
      <c r="G1113" s="35"/>
      <c r="H1113" s="34"/>
      <c r="I1113" s="37"/>
    </row>
    <row r="1114" ht="22.5" customHeight="1">
      <c r="A1114" s="30"/>
      <c r="B1114" s="39"/>
      <c r="C1114" s="32"/>
      <c r="D1114" s="33"/>
      <c r="E1114" s="34"/>
      <c r="F1114" s="34"/>
      <c r="G1114" s="35"/>
      <c r="H1114" s="34"/>
      <c r="I1114" s="37"/>
    </row>
    <row r="1115" ht="22.5" customHeight="1">
      <c r="A1115" s="30"/>
      <c r="B1115" s="39"/>
      <c r="C1115" s="32"/>
      <c r="D1115" s="33"/>
      <c r="E1115" s="34"/>
      <c r="F1115" s="34"/>
      <c r="G1115" s="35"/>
      <c r="H1115" s="34"/>
      <c r="I1115" s="37"/>
    </row>
    <row r="1116" ht="22.5" customHeight="1">
      <c r="A1116" s="30"/>
      <c r="B1116" s="40"/>
      <c r="C1116" s="32"/>
      <c r="D1116" s="33"/>
      <c r="E1116" s="34"/>
      <c r="F1116" s="34"/>
      <c r="G1116" s="35"/>
      <c r="H1116" s="34"/>
      <c r="I1116" s="37"/>
    </row>
    <row r="1117" ht="22.5" customHeight="1">
      <c r="A1117" s="30"/>
      <c r="B1117" s="31"/>
      <c r="C1117" s="32"/>
      <c r="D1117" s="33"/>
      <c r="E1117" s="34"/>
      <c r="F1117" s="34"/>
      <c r="G1117" s="35"/>
      <c r="H1117" s="34"/>
      <c r="I1117" s="37"/>
    </row>
    <row r="1118" ht="22.5" customHeight="1">
      <c r="A1118" s="30"/>
      <c r="B1118" s="31"/>
      <c r="C1118" s="32"/>
      <c r="D1118" s="33"/>
      <c r="E1118" s="34"/>
      <c r="F1118" s="34"/>
      <c r="G1118" s="35"/>
      <c r="H1118" s="34"/>
      <c r="I1118" s="37"/>
    </row>
    <row r="1119" ht="22.5" customHeight="1">
      <c r="A1119" s="30"/>
      <c r="B1119" s="31"/>
      <c r="C1119" s="32"/>
      <c r="D1119" s="33"/>
      <c r="E1119" s="34"/>
      <c r="F1119" s="34"/>
      <c r="G1119" s="35"/>
      <c r="H1119" s="34"/>
      <c r="I1119" s="37"/>
    </row>
    <row r="1120" ht="22.5" customHeight="1">
      <c r="A1120" s="30"/>
      <c r="B1120" s="31"/>
      <c r="C1120" s="32"/>
      <c r="D1120" s="33"/>
      <c r="E1120" s="34"/>
      <c r="F1120" s="34"/>
      <c r="G1120" s="35"/>
      <c r="H1120" s="34"/>
      <c r="I1120" s="37"/>
    </row>
    <row r="1121" ht="22.5" customHeight="1">
      <c r="A1121" s="30"/>
      <c r="B1121" s="31"/>
      <c r="C1121" s="32"/>
      <c r="D1121" s="33"/>
      <c r="E1121" s="34"/>
      <c r="F1121" s="34"/>
      <c r="G1121" s="35"/>
      <c r="H1121" s="34"/>
      <c r="I1121" s="37"/>
    </row>
    <row r="1122" ht="22.5" customHeight="1">
      <c r="A1122" s="30"/>
      <c r="B1122" s="31"/>
      <c r="C1122" s="32"/>
      <c r="D1122" s="33"/>
      <c r="E1122" s="34"/>
      <c r="F1122" s="34"/>
      <c r="G1122" s="35"/>
      <c r="H1122" s="34"/>
      <c r="I1122" s="37"/>
    </row>
    <row r="1123" ht="22.5" customHeight="1">
      <c r="A1123" s="30"/>
      <c r="B1123" s="31"/>
      <c r="C1123" s="32"/>
      <c r="D1123" s="33"/>
      <c r="E1123" s="34"/>
      <c r="F1123" s="34"/>
      <c r="G1123" s="35"/>
      <c r="H1123" s="34"/>
      <c r="I1123" s="37"/>
    </row>
    <row r="1124" ht="22.5" customHeight="1">
      <c r="A1124" s="30"/>
      <c r="B1124" s="31"/>
      <c r="C1124" s="32"/>
      <c r="D1124" s="33"/>
      <c r="E1124" s="34"/>
      <c r="F1124" s="34"/>
      <c r="G1124" s="35"/>
      <c r="H1124" s="34"/>
      <c r="I1124" s="37"/>
    </row>
    <row r="1125" ht="22.5" customHeight="1">
      <c r="A1125" s="30"/>
      <c r="B1125" s="31"/>
      <c r="C1125" s="32"/>
      <c r="D1125" s="33"/>
      <c r="E1125" s="34"/>
      <c r="F1125" s="34"/>
      <c r="G1125" s="35"/>
      <c r="H1125" s="34"/>
      <c r="I1125" s="37"/>
    </row>
    <row r="1126" ht="22.5" customHeight="1">
      <c r="A1126" s="30"/>
      <c r="B1126" s="40"/>
      <c r="C1126" s="32"/>
      <c r="D1126" s="33"/>
      <c r="E1126" s="34"/>
      <c r="F1126" s="34"/>
      <c r="G1126" s="35"/>
      <c r="H1126" s="34"/>
      <c r="I1126" s="37"/>
    </row>
    <row r="1127" ht="22.5" customHeight="1">
      <c r="A1127" s="30"/>
      <c r="B1127" s="31"/>
      <c r="C1127" s="32"/>
      <c r="D1127" s="33"/>
      <c r="E1127" s="34"/>
      <c r="F1127" s="34"/>
      <c r="G1127" s="35"/>
      <c r="H1127" s="34"/>
      <c r="I1127" s="37"/>
    </row>
    <row r="1128" ht="22.5" customHeight="1">
      <c r="A1128" s="30"/>
      <c r="B1128" s="31"/>
      <c r="C1128" s="32"/>
      <c r="D1128" s="33"/>
      <c r="E1128" s="34"/>
      <c r="F1128" s="34"/>
      <c r="G1128" s="35"/>
      <c r="H1128" s="34"/>
      <c r="I1128" s="37"/>
    </row>
    <row r="1129" ht="22.5" customHeight="1">
      <c r="A1129" s="30"/>
      <c r="B1129" s="31"/>
      <c r="C1129" s="32"/>
      <c r="D1129" s="33"/>
      <c r="E1129" s="34"/>
      <c r="F1129" s="34"/>
      <c r="G1129" s="35"/>
      <c r="H1129" s="34"/>
      <c r="I1129" s="37"/>
    </row>
    <row r="1130" ht="22.5" customHeight="1">
      <c r="A1130" s="30"/>
      <c r="B1130" s="40"/>
      <c r="C1130" s="32"/>
      <c r="D1130" s="33"/>
      <c r="E1130" s="34"/>
      <c r="F1130" s="34"/>
      <c r="G1130" s="35"/>
      <c r="H1130" s="34"/>
      <c r="I1130" s="37"/>
    </row>
    <row r="1131" ht="22.5" customHeight="1">
      <c r="A1131" s="30"/>
      <c r="B1131" s="31"/>
      <c r="C1131" s="32"/>
      <c r="D1131" s="33"/>
      <c r="E1131" s="34"/>
      <c r="F1131" s="34"/>
      <c r="G1131" s="35"/>
      <c r="H1131" s="34"/>
      <c r="I1131" s="37"/>
    </row>
    <row r="1132" ht="22.5" customHeight="1">
      <c r="A1132" s="30"/>
      <c r="B1132" s="31"/>
      <c r="C1132" s="32"/>
      <c r="D1132" s="33"/>
      <c r="E1132" s="34"/>
      <c r="F1132" s="34"/>
      <c r="G1132" s="35"/>
      <c r="H1132" s="34"/>
      <c r="I1132" s="37"/>
    </row>
    <row r="1133" ht="22.5" customHeight="1">
      <c r="A1133" s="30"/>
      <c r="B1133" s="31"/>
      <c r="C1133" s="32"/>
      <c r="D1133" s="33"/>
      <c r="E1133" s="34"/>
      <c r="F1133" s="34"/>
      <c r="G1133" s="35"/>
      <c r="H1133" s="34"/>
      <c r="I1133" s="37"/>
    </row>
    <row r="1134" ht="22.5" customHeight="1">
      <c r="A1134" s="30"/>
      <c r="B1134" s="31"/>
      <c r="C1134" s="32"/>
      <c r="D1134" s="33"/>
      <c r="E1134" s="34"/>
      <c r="F1134" s="34"/>
      <c r="G1134" s="35"/>
      <c r="H1134" s="34"/>
      <c r="I1134" s="37"/>
    </row>
    <row r="1135" ht="22.5" customHeight="1">
      <c r="A1135" s="30"/>
      <c r="B1135" s="31"/>
      <c r="C1135" s="32"/>
      <c r="D1135" s="33"/>
      <c r="E1135" s="34"/>
      <c r="F1135" s="34"/>
      <c r="G1135" s="35"/>
      <c r="H1135" s="34"/>
      <c r="I1135" s="37"/>
    </row>
    <row r="1136" ht="22.5" customHeight="1">
      <c r="A1136" s="30"/>
      <c r="B1136" s="31"/>
      <c r="C1136" s="32"/>
      <c r="D1136" s="33"/>
      <c r="E1136" s="34"/>
      <c r="F1136" s="34"/>
      <c r="G1136" s="35"/>
      <c r="H1136" s="34"/>
      <c r="I1136" s="37"/>
    </row>
    <row r="1137" ht="22.5" customHeight="1">
      <c r="A1137" s="30"/>
      <c r="B1137" s="31"/>
      <c r="C1137" s="32"/>
      <c r="D1137" s="33"/>
      <c r="E1137" s="34"/>
      <c r="F1137" s="34"/>
      <c r="G1137" s="35"/>
      <c r="H1137" s="34"/>
      <c r="I1137" s="37"/>
    </row>
    <row r="1138" ht="22.5" customHeight="1">
      <c r="A1138" s="30"/>
      <c r="B1138" s="31"/>
      <c r="C1138" s="32"/>
      <c r="D1138" s="33"/>
      <c r="E1138" s="34"/>
      <c r="F1138" s="34"/>
      <c r="G1138" s="35"/>
      <c r="H1138" s="34"/>
      <c r="I1138" s="37"/>
    </row>
    <row r="1139" ht="22.5" customHeight="1">
      <c r="A1139" s="30"/>
      <c r="B1139" s="31"/>
      <c r="C1139" s="32"/>
      <c r="D1139" s="33"/>
      <c r="E1139" s="34"/>
      <c r="F1139" s="34"/>
      <c r="G1139" s="35"/>
      <c r="H1139" s="34"/>
      <c r="I1139" s="37"/>
    </row>
    <row r="1140" ht="22.5" customHeight="1">
      <c r="A1140" s="30"/>
      <c r="B1140" s="31"/>
      <c r="C1140" s="32"/>
      <c r="D1140" s="33"/>
      <c r="E1140" s="34"/>
      <c r="F1140" s="34"/>
      <c r="G1140" s="35"/>
      <c r="H1140" s="34"/>
      <c r="I1140" s="37"/>
    </row>
    <row r="1141" ht="22.5" customHeight="1">
      <c r="A1141" s="30"/>
      <c r="B1141" s="31"/>
      <c r="C1141" s="32"/>
      <c r="D1141" s="33"/>
      <c r="E1141" s="34"/>
      <c r="F1141" s="34"/>
      <c r="G1141" s="35"/>
      <c r="H1141" s="34"/>
      <c r="I1141" s="37"/>
    </row>
    <row r="1142" ht="22.5" customHeight="1">
      <c r="A1142" s="30"/>
      <c r="B1142" s="31"/>
      <c r="C1142" s="32"/>
      <c r="D1142" s="33"/>
      <c r="E1142" s="34"/>
      <c r="F1142" s="34"/>
      <c r="G1142" s="35"/>
      <c r="H1142" s="34"/>
      <c r="I1142" s="37"/>
    </row>
    <row r="1143" ht="22.5" customHeight="1">
      <c r="A1143" s="30"/>
      <c r="B1143" s="31"/>
      <c r="C1143" s="32"/>
      <c r="D1143" s="33"/>
      <c r="E1143" s="34"/>
      <c r="F1143" s="34"/>
      <c r="G1143" s="35"/>
      <c r="H1143" s="34"/>
      <c r="I1143" s="37"/>
    </row>
    <row r="1144" ht="22.5" customHeight="1">
      <c r="A1144" s="30"/>
      <c r="B1144" s="31"/>
      <c r="C1144" s="32"/>
      <c r="D1144" s="33"/>
      <c r="E1144" s="34"/>
      <c r="F1144" s="34"/>
      <c r="G1144" s="35"/>
      <c r="H1144" s="34"/>
      <c r="I1144" s="37"/>
    </row>
    <row r="1145" ht="22.5" customHeight="1">
      <c r="A1145" s="30"/>
      <c r="B1145" s="40"/>
      <c r="C1145" s="32"/>
      <c r="D1145" s="33"/>
      <c r="E1145" s="34"/>
      <c r="F1145" s="34"/>
      <c r="G1145" s="35"/>
      <c r="H1145" s="34"/>
      <c r="I1145" s="37"/>
    </row>
    <row r="1146" ht="22.5" customHeight="1">
      <c r="A1146" s="30"/>
      <c r="B1146" s="31"/>
      <c r="C1146" s="32"/>
      <c r="D1146" s="33"/>
      <c r="E1146" s="34"/>
      <c r="F1146" s="34"/>
      <c r="G1146" s="35"/>
      <c r="H1146" s="34"/>
      <c r="I1146" s="37"/>
    </row>
    <row r="1147" ht="22.5" customHeight="1">
      <c r="A1147" s="30"/>
      <c r="B1147" s="40"/>
      <c r="C1147" s="32"/>
      <c r="D1147" s="33"/>
      <c r="E1147" s="34"/>
      <c r="F1147" s="34"/>
      <c r="G1147" s="35"/>
      <c r="H1147" s="34"/>
      <c r="I1147" s="37"/>
    </row>
    <row r="1148" ht="22.5" customHeight="1">
      <c r="A1148" s="30"/>
      <c r="B1148" s="31"/>
      <c r="C1148" s="32"/>
      <c r="D1148" s="33"/>
      <c r="E1148" s="34"/>
      <c r="F1148" s="34"/>
      <c r="G1148" s="35"/>
      <c r="H1148" s="34"/>
      <c r="I1148" s="37"/>
    </row>
    <row r="1149" ht="22.5" customHeight="1">
      <c r="A1149" s="30"/>
      <c r="B1149" s="31"/>
      <c r="C1149" s="32"/>
      <c r="D1149" s="33"/>
      <c r="E1149" s="34"/>
      <c r="F1149" s="34"/>
      <c r="G1149" s="35"/>
      <c r="H1149" s="34"/>
      <c r="I1149" s="37"/>
    </row>
    <row r="1150" ht="22.5" customHeight="1">
      <c r="A1150" s="30"/>
      <c r="B1150" s="31"/>
      <c r="C1150" s="32"/>
      <c r="D1150" s="33"/>
      <c r="E1150" s="34"/>
      <c r="F1150" s="34"/>
      <c r="G1150" s="35"/>
      <c r="H1150" s="34"/>
      <c r="I1150" s="37"/>
    </row>
    <row r="1151" ht="22.5" customHeight="1">
      <c r="A1151" s="30"/>
      <c r="B1151" s="31"/>
      <c r="C1151" s="32"/>
      <c r="D1151" s="33"/>
      <c r="E1151" s="34"/>
      <c r="F1151" s="34"/>
      <c r="G1151" s="35"/>
      <c r="H1151" s="34"/>
      <c r="I1151" s="37"/>
    </row>
    <row r="1152" ht="22.5" customHeight="1">
      <c r="A1152" s="30"/>
      <c r="B1152" s="40"/>
      <c r="C1152" s="32"/>
      <c r="D1152" s="33"/>
      <c r="E1152" s="34"/>
      <c r="F1152" s="34"/>
      <c r="G1152" s="35"/>
      <c r="H1152" s="34"/>
      <c r="I1152" s="37"/>
    </row>
    <row r="1153" ht="22.5" customHeight="1">
      <c r="A1153" s="30"/>
      <c r="B1153" s="31"/>
      <c r="C1153" s="32"/>
      <c r="D1153" s="33"/>
      <c r="E1153" s="34"/>
      <c r="F1153" s="34"/>
      <c r="G1153" s="35"/>
      <c r="H1153" s="34"/>
      <c r="I1153" s="37"/>
    </row>
    <row r="1154" ht="22.5" customHeight="1">
      <c r="A1154" s="30"/>
      <c r="B1154" s="31"/>
      <c r="C1154" s="32"/>
      <c r="D1154" s="33"/>
      <c r="E1154" s="34"/>
      <c r="F1154" s="34"/>
      <c r="G1154" s="35"/>
      <c r="H1154" s="34"/>
      <c r="I1154" s="37"/>
    </row>
    <row r="1155" ht="22.5" customHeight="1">
      <c r="A1155" s="30"/>
      <c r="B1155" s="31"/>
      <c r="C1155" s="32"/>
      <c r="D1155" s="33"/>
      <c r="E1155" s="34"/>
      <c r="F1155" s="34"/>
      <c r="G1155" s="35"/>
      <c r="H1155" s="34"/>
      <c r="I1155" s="37"/>
    </row>
    <row r="1156" ht="22.5" customHeight="1">
      <c r="A1156" s="30"/>
      <c r="B1156" s="31"/>
      <c r="C1156" s="32"/>
      <c r="D1156" s="33"/>
      <c r="E1156" s="34"/>
      <c r="F1156" s="34"/>
      <c r="G1156" s="35"/>
      <c r="H1156" s="34"/>
      <c r="I1156" s="37"/>
    </row>
    <row r="1157" ht="22.5" customHeight="1">
      <c r="A1157" s="30"/>
      <c r="B1157" s="31"/>
      <c r="C1157" s="32"/>
      <c r="D1157" s="33"/>
      <c r="E1157" s="34"/>
      <c r="F1157" s="34"/>
      <c r="G1157" s="35"/>
      <c r="H1157" s="34"/>
      <c r="I1157" s="37"/>
    </row>
    <row r="1158" ht="22.5" customHeight="1">
      <c r="A1158" s="30"/>
      <c r="B1158" s="31"/>
      <c r="C1158" s="32"/>
      <c r="D1158" s="33"/>
      <c r="E1158" s="34"/>
      <c r="F1158" s="34"/>
      <c r="G1158" s="35"/>
      <c r="H1158" s="34"/>
      <c r="I1158" s="37"/>
    </row>
    <row r="1159" ht="22.5" customHeight="1">
      <c r="A1159" s="30"/>
      <c r="B1159" s="31"/>
      <c r="C1159" s="32"/>
      <c r="D1159" s="33"/>
      <c r="E1159" s="34"/>
      <c r="F1159" s="34"/>
      <c r="G1159" s="35"/>
      <c r="H1159" s="34"/>
      <c r="I1159" s="37"/>
    </row>
    <row r="1160" ht="22.5" customHeight="1">
      <c r="A1160" s="30"/>
      <c r="B1160" s="31"/>
      <c r="C1160" s="32"/>
      <c r="D1160" s="33"/>
      <c r="E1160" s="34"/>
      <c r="F1160" s="34"/>
      <c r="G1160" s="35"/>
      <c r="H1160" s="34"/>
      <c r="I1160" s="37"/>
    </row>
    <row r="1161" ht="22.5" customHeight="1">
      <c r="A1161" s="30"/>
      <c r="B1161" s="31"/>
      <c r="C1161" s="32"/>
      <c r="D1161" s="33"/>
      <c r="E1161" s="34"/>
      <c r="F1161" s="34"/>
      <c r="G1161" s="35"/>
      <c r="H1161" s="34"/>
      <c r="I1161" s="37"/>
    </row>
    <row r="1162" ht="22.5" customHeight="1">
      <c r="A1162" s="30"/>
      <c r="B1162" s="31"/>
      <c r="C1162" s="32"/>
      <c r="D1162" s="33"/>
      <c r="E1162" s="34"/>
      <c r="F1162" s="34"/>
      <c r="G1162" s="35"/>
      <c r="H1162" s="34"/>
      <c r="I1162" s="37"/>
    </row>
    <row r="1163" ht="22.5" customHeight="1">
      <c r="A1163" s="30"/>
      <c r="B1163" s="31"/>
      <c r="C1163" s="32"/>
      <c r="D1163" s="33"/>
      <c r="E1163" s="34"/>
      <c r="F1163" s="34"/>
      <c r="G1163" s="35"/>
      <c r="H1163" s="34"/>
      <c r="I1163" s="37"/>
    </row>
    <row r="1164" ht="22.5" customHeight="1">
      <c r="A1164" s="30"/>
      <c r="B1164" s="31"/>
      <c r="C1164" s="32"/>
      <c r="D1164" s="33"/>
      <c r="E1164" s="34"/>
      <c r="F1164" s="34"/>
      <c r="G1164" s="35"/>
      <c r="H1164" s="34"/>
      <c r="I1164" s="37"/>
    </row>
    <row r="1165" ht="22.5" customHeight="1">
      <c r="A1165" s="30"/>
      <c r="B1165" s="31"/>
      <c r="C1165" s="32"/>
      <c r="D1165" s="33"/>
      <c r="E1165" s="34"/>
      <c r="F1165" s="34"/>
      <c r="G1165" s="35"/>
      <c r="H1165" s="34"/>
      <c r="I1165" s="37"/>
    </row>
    <row r="1166" ht="22.5" customHeight="1">
      <c r="A1166" s="30"/>
      <c r="B1166" s="31"/>
      <c r="C1166" s="32"/>
      <c r="D1166" s="33"/>
      <c r="E1166" s="34"/>
      <c r="F1166" s="34"/>
      <c r="G1166" s="35"/>
      <c r="H1166" s="34"/>
      <c r="I1166" s="37"/>
    </row>
    <row r="1167" ht="22.5" customHeight="1">
      <c r="A1167" s="30"/>
      <c r="B1167" s="31"/>
      <c r="C1167" s="32"/>
      <c r="D1167" s="33"/>
      <c r="E1167" s="34"/>
      <c r="F1167" s="34"/>
      <c r="G1167" s="35"/>
      <c r="H1167" s="34"/>
      <c r="I1167" s="37"/>
    </row>
    <row r="1168" ht="22.5" customHeight="1">
      <c r="A1168" s="30"/>
      <c r="B1168" s="31"/>
      <c r="C1168" s="32"/>
      <c r="D1168" s="33"/>
      <c r="E1168" s="34"/>
      <c r="F1168" s="34"/>
      <c r="G1168" s="35"/>
      <c r="H1168" s="34"/>
      <c r="I1168" s="37"/>
    </row>
    <row r="1169" ht="22.5" customHeight="1">
      <c r="A1169" s="30"/>
      <c r="B1169" s="31"/>
      <c r="C1169" s="32"/>
      <c r="D1169" s="33"/>
      <c r="E1169" s="34"/>
      <c r="F1169" s="34"/>
      <c r="G1169" s="35"/>
      <c r="H1169" s="34"/>
      <c r="I1169" s="37"/>
    </row>
    <row r="1170" ht="22.5" customHeight="1">
      <c r="A1170" s="30"/>
      <c r="B1170" s="31"/>
      <c r="C1170" s="32"/>
      <c r="D1170" s="33"/>
      <c r="E1170" s="34"/>
      <c r="F1170" s="34"/>
      <c r="G1170" s="35"/>
      <c r="H1170" s="34"/>
      <c r="I1170" s="37"/>
    </row>
    <row r="1171" ht="22.5" customHeight="1">
      <c r="A1171" s="30"/>
      <c r="B1171" s="31"/>
      <c r="C1171" s="32"/>
      <c r="D1171" s="33"/>
      <c r="E1171" s="34"/>
      <c r="F1171" s="34"/>
      <c r="G1171" s="35"/>
      <c r="H1171" s="34"/>
      <c r="I1171" s="37"/>
    </row>
    <row r="1172" ht="22.5" customHeight="1">
      <c r="A1172" s="30"/>
      <c r="B1172" s="31"/>
      <c r="C1172" s="32"/>
      <c r="D1172" s="33"/>
      <c r="E1172" s="34"/>
      <c r="F1172" s="34"/>
      <c r="G1172" s="35"/>
      <c r="H1172" s="34"/>
      <c r="I1172" s="37"/>
    </row>
    <row r="1173" ht="22.5" customHeight="1">
      <c r="A1173" s="30"/>
      <c r="B1173" s="31"/>
      <c r="C1173" s="32"/>
      <c r="D1173" s="33"/>
      <c r="E1173" s="34"/>
      <c r="F1173" s="34"/>
      <c r="G1173" s="35"/>
      <c r="H1173" s="34"/>
      <c r="I1173" s="37"/>
    </row>
    <row r="1174" ht="22.5" customHeight="1">
      <c r="A1174" s="30"/>
      <c r="B1174" s="40"/>
      <c r="C1174" s="32"/>
      <c r="D1174" s="33"/>
      <c r="E1174" s="34"/>
      <c r="F1174" s="34"/>
      <c r="G1174" s="35"/>
      <c r="H1174" s="34"/>
      <c r="I1174" s="37"/>
    </row>
    <row r="1175" ht="22.5" customHeight="1">
      <c r="A1175" s="30"/>
      <c r="B1175" s="31"/>
      <c r="C1175" s="32"/>
      <c r="D1175" s="33"/>
      <c r="E1175" s="34"/>
      <c r="F1175" s="34"/>
      <c r="G1175" s="35"/>
      <c r="H1175" s="34"/>
      <c r="I1175" s="37"/>
    </row>
    <row r="1176" ht="22.5" customHeight="1">
      <c r="A1176" s="30"/>
      <c r="B1176" s="31"/>
      <c r="C1176" s="32"/>
      <c r="D1176" s="33"/>
      <c r="E1176" s="34"/>
      <c r="F1176" s="34"/>
      <c r="G1176" s="35"/>
      <c r="H1176" s="34"/>
      <c r="I1176" s="37"/>
    </row>
    <row r="1177" ht="22.5" customHeight="1">
      <c r="A1177" s="30"/>
      <c r="B1177" s="31"/>
      <c r="C1177" s="32"/>
      <c r="D1177" s="33"/>
      <c r="E1177" s="34"/>
      <c r="F1177" s="34"/>
      <c r="G1177" s="35"/>
      <c r="H1177" s="34"/>
      <c r="I1177" s="37"/>
    </row>
    <row r="1178" ht="22.5" customHeight="1">
      <c r="A1178" s="30"/>
      <c r="B1178" s="31"/>
      <c r="C1178" s="32"/>
      <c r="D1178" s="33"/>
      <c r="E1178" s="34"/>
      <c r="F1178" s="34"/>
      <c r="G1178" s="35"/>
      <c r="H1178" s="34"/>
      <c r="I1178" s="38"/>
    </row>
    <row r="1179" ht="22.5" customHeight="1">
      <c r="A1179" s="30"/>
      <c r="B1179" s="39"/>
      <c r="C1179" s="32"/>
      <c r="D1179" s="33"/>
      <c r="E1179" s="34"/>
      <c r="F1179" s="34"/>
      <c r="G1179" s="35"/>
      <c r="H1179" s="34"/>
      <c r="I1179" s="37"/>
    </row>
    <row r="1180" ht="22.5" customHeight="1">
      <c r="A1180" s="30"/>
      <c r="B1180" s="31"/>
      <c r="C1180" s="32"/>
      <c r="D1180" s="33"/>
      <c r="E1180" s="34"/>
      <c r="F1180" s="34"/>
      <c r="G1180" s="35"/>
      <c r="H1180" s="34"/>
      <c r="I1180" s="37"/>
    </row>
    <row r="1181" ht="22.5" customHeight="1">
      <c r="A1181" s="30"/>
      <c r="B1181" s="31"/>
      <c r="C1181" s="32"/>
      <c r="D1181" s="33"/>
      <c r="E1181" s="34"/>
      <c r="F1181" s="34"/>
      <c r="G1181" s="35"/>
      <c r="H1181" s="34"/>
      <c r="I1181" s="37"/>
    </row>
    <row r="1182" ht="22.5" customHeight="1">
      <c r="A1182" s="30"/>
      <c r="B1182" s="31"/>
      <c r="C1182" s="32"/>
      <c r="D1182" s="33"/>
      <c r="E1182" s="34"/>
      <c r="F1182" s="34"/>
      <c r="G1182" s="35"/>
      <c r="H1182" s="34"/>
      <c r="I1182" s="37"/>
    </row>
    <row r="1183" ht="22.5" customHeight="1">
      <c r="A1183" s="30"/>
      <c r="B1183" s="39"/>
      <c r="C1183" s="32"/>
      <c r="D1183" s="33"/>
      <c r="E1183" s="34"/>
      <c r="F1183" s="34"/>
      <c r="G1183" s="35"/>
      <c r="H1183" s="34"/>
      <c r="I1183" s="37"/>
    </row>
    <row r="1184" ht="22.5" customHeight="1">
      <c r="A1184" s="30"/>
      <c r="B1184" s="31"/>
      <c r="C1184" s="32"/>
      <c r="D1184" s="33"/>
      <c r="E1184" s="34"/>
      <c r="F1184" s="34"/>
      <c r="G1184" s="35"/>
      <c r="H1184" s="34"/>
      <c r="I1184" s="37"/>
    </row>
    <row r="1185" ht="22.5" customHeight="1">
      <c r="A1185" s="30"/>
      <c r="B1185" s="39"/>
      <c r="C1185" s="32"/>
      <c r="D1185" s="33"/>
      <c r="E1185" s="34"/>
      <c r="F1185" s="34"/>
      <c r="G1185" s="35"/>
      <c r="H1185" s="34"/>
      <c r="I1185" s="37"/>
    </row>
    <row r="1186" ht="22.5" customHeight="1">
      <c r="A1186" s="30"/>
      <c r="B1186" s="31"/>
      <c r="C1186" s="32"/>
      <c r="D1186" s="33"/>
      <c r="E1186" s="34"/>
      <c r="F1186" s="34"/>
      <c r="G1186" s="35"/>
      <c r="H1186" s="34"/>
      <c r="I1186" s="37"/>
    </row>
    <row r="1187" ht="22.5" customHeight="1">
      <c r="A1187" s="30"/>
      <c r="B1187" s="31"/>
      <c r="C1187" s="32"/>
      <c r="D1187" s="33"/>
      <c r="E1187" s="34"/>
      <c r="F1187" s="34"/>
      <c r="G1187" s="35"/>
      <c r="H1187" s="34"/>
      <c r="I1187" s="37"/>
    </row>
    <row r="1188" ht="22.5" customHeight="1">
      <c r="A1188" s="30"/>
      <c r="B1188" s="31"/>
      <c r="C1188" s="32"/>
      <c r="D1188" s="33"/>
      <c r="E1188" s="34"/>
      <c r="F1188" s="34"/>
      <c r="G1188" s="35"/>
      <c r="H1188" s="34"/>
      <c r="I1188" s="37"/>
    </row>
    <row r="1189" ht="22.5" customHeight="1">
      <c r="A1189" s="30"/>
      <c r="B1189" s="31"/>
      <c r="C1189" s="32"/>
      <c r="D1189" s="33"/>
      <c r="E1189" s="34"/>
      <c r="F1189" s="34"/>
      <c r="G1189" s="35"/>
      <c r="H1189" s="34"/>
      <c r="I1189" s="37"/>
    </row>
    <row r="1190" ht="22.5" customHeight="1">
      <c r="A1190" s="30"/>
      <c r="B1190" s="31"/>
      <c r="C1190" s="32"/>
      <c r="D1190" s="33"/>
      <c r="E1190" s="34"/>
      <c r="F1190" s="34"/>
      <c r="G1190" s="35"/>
      <c r="H1190" s="34"/>
      <c r="I1190" s="37"/>
    </row>
    <row r="1191" ht="22.5" customHeight="1">
      <c r="A1191" s="30"/>
      <c r="B1191" s="31"/>
      <c r="C1191" s="32"/>
      <c r="D1191" s="33"/>
      <c r="E1191" s="34"/>
      <c r="F1191" s="34"/>
      <c r="G1191" s="35"/>
      <c r="H1191" s="34"/>
      <c r="I1191" s="37"/>
    </row>
    <row r="1192" ht="22.5" customHeight="1">
      <c r="A1192" s="30"/>
      <c r="B1192" s="31"/>
      <c r="C1192" s="32"/>
      <c r="D1192" s="33"/>
      <c r="E1192" s="34"/>
      <c r="F1192" s="34"/>
      <c r="G1192" s="35"/>
      <c r="H1192" s="34"/>
      <c r="I1192" s="37"/>
    </row>
    <row r="1193" ht="22.5" customHeight="1">
      <c r="A1193" s="30"/>
      <c r="B1193" s="31"/>
      <c r="C1193" s="32"/>
      <c r="D1193" s="33"/>
      <c r="E1193" s="34"/>
      <c r="F1193" s="34"/>
      <c r="G1193" s="35"/>
      <c r="H1193" s="34"/>
      <c r="I1193" s="37"/>
    </row>
    <row r="1194" ht="22.5" customHeight="1">
      <c r="A1194" s="30"/>
      <c r="B1194" s="31"/>
      <c r="C1194" s="32"/>
      <c r="D1194" s="33"/>
      <c r="E1194" s="34"/>
      <c r="F1194" s="34"/>
      <c r="G1194" s="35"/>
      <c r="H1194" s="34"/>
      <c r="I1194" s="37"/>
    </row>
    <row r="1195" ht="22.5" customHeight="1">
      <c r="A1195" s="30"/>
      <c r="B1195" s="31"/>
      <c r="C1195" s="32"/>
      <c r="D1195" s="33"/>
      <c r="E1195" s="34"/>
      <c r="F1195" s="34"/>
      <c r="G1195" s="35"/>
      <c r="H1195" s="34"/>
      <c r="I1195" s="37"/>
    </row>
    <row r="1196" ht="22.5" customHeight="1">
      <c r="A1196" s="30"/>
      <c r="B1196" s="40"/>
      <c r="C1196" s="32"/>
      <c r="D1196" s="33"/>
      <c r="E1196" s="34"/>
      <c r="F1196" s="34"/>
      <c r="G1196" s="35"/>
      <c r="H1196" s="34"/>
      <c r="I1196" s="37"/>
    </row>
    <row r="1197" ht="22.5" customHeight="1">
      <c r="A1197" s="30"/>
      <c r="B1197" s="31"/>
      <c r="C1197" s="32"/>
      <c r="D1197" s="33"/>
      <c r="E1197" s="34"/>
      <c r="F1197" s="34"/>
      <c r="G1197" s="35"/>
      <c r="H1197" s="34"/>
      <c r="I1197" s="37"/>
    </row>
    <row r="1198" ht="22.5" customHeight="1">
      <c r="A1198" s="30"/>
      <c r="B1198" s="31"/>
      <c r="C1198" s="32"/>
      <c r="D1198" s="33"/>
      <c r="E1198" s="34"/>
      <c r="F1198" s="34"/>
      <c r="G1198" s="35"/>
      <c r="H1198" s="34"/>
      <c r="I1198" s="37"/>
    </row>
    <row r="1199" ht="22.5" customHeight="1">
      <c r="A1199" s="30"/>
      <c r="B1199" s="31"/>
      <c r="C1199" s="32"/>
      <c r="D1199" s="33"/>
      <c r="E1199" s="34"/>
      <c r="F1199" s="34"/>
      <c r="G1199" s="35"/>
      <c r="H1199" s="34"/>
      <c r="I1199" s="37"/>
    </row>
    <row r="1200" ht="22.5" customHeight="1">
      <c r="A1200" s="30"/>
      <c r="B1200" s="31"/>
      <c r="C1200" s="32"/>
      <c r="D1200" s="33"/>
      <c r="E1200" s="34"/>
      <c r="F1200" s="34"/>
      <c r="G1200" s="35"/>
      <c r="H1200" s="34"/>
      <c r="I1200" s="37"/>
    </row>
    <row r="1201" ht="22.5" customHeight="1">
      <c r="A1201" s="30"/>
      <c r="B1201" s="31"/>
      <c r="C1201" s="32"/>
      <c r="D1201" s="33"/>
      <c r="E1201" s="34"/>
      <c r="F1201" s="34"/>
      <c r="G1201" s="35"/>
      <c r="H1201" s="34"/>
      <c r="I1201" s="37"/>
    </row>
    <row r="1202" ht="22.5" customHeight="1">
      <c r="A1202" s="30"/>
      <c r="B1202" s="31"/>
      <c r="C1202" s="32"/>
      <c r="D1202" s="33"/>
      <c r="E1202" s="34"/>
      <c r="F1202" s="34"/>
      <c r="G1202" s="35"/>
      <c r="H1202" s="34"/>
      <c r="I1202" s="37"/>
    </row>
    <row r="1203" ht="22.5" customHeight="1">
      <c r="A1203" s="30"/>
      <c r="B1203" s="39"/>
      <c r="C1203" s="32"/>
      <c r="D1203" s="33"/>
      <c r="E1203" s="34"/>
      <c r="F1203" s="34"/>
      <c r="G1203" s="35"/>
      <c r="H1203" s="34"/>
      <c r="I1203" s="37"/>
    </row>
    <row r="1204" ht="22.5" customHeight="1">
      <c r="A1204" s="30"/>
      <c r="B1204" s="39"/>
      <c r="C1204" s="32"/>
      <c r="D1204" s="33"/>
      <c r="E1204" s="34"/>
      <c r="F1204" s="34"/>
      <c r="G1204" s="35"/>
      <c r="H1204" s="34"/>
      <c r="I1204" s="37"/>
    </row>
    <row r="1205" ht="22.5" customHeight="1">
      <c r="A1205" s="30"/>
      <c r="B1205" s="39"/>
      <c r="C1205" s="32"/>
      <c r="D1205" s="33"/>
      <c r="E1205" s="34"/>
      <c r="F1205" s="34"/>
      <c r="G1205" s="35"/>
      <c r="H1205" s="34"/>
      <c r="I1205" s="37"/>
    </row>
    <row r="1206" ht="22.5" customHeight="1">
      <c r="A1206" s="30"/>
      <c r="B1206" s="40"/>
      <c r="C1206" s="32"/>
      <c r="D1206" s="33"/>
      <c r="E1206" s="34"/>
      <c r="F1206" s="34"/>
      <c r="G1206" s="35"/>
      <c r="H1206" s="34"/>
      <c r="I1206" s="37"/>
    </row>
    <row r="1207" ht="22.5" customHeight="1">
      <c r="A1207" s="30"/>
      <c r="B1207" s="31"/>
      <c r="C1207" s="32"/>
      <c r="D1207" s="33"/>
      <c r="E1207" s="34"/>
      <c r="F1207" s="34"/>
      <c r="G1207" s="35"/>
      <c r="H1207" s="34"/>
      <c r="I1207" s="37"/>
    </row>
    <row r="1208" ht="22.5" customHeight="1">
      <c r="A1208" s="30"/>
      <c r="B1208" s="31"/>
      <c r="C1208" s="32"/>
      <c r="D1208" s="33"/>
      <c r="E1208" s="34"/>
      <c r="F1208" s="34"/>
      <c r="G1208" s="35"/>
      <c r="H1208" s="34"/>
      <c r="I1208" s="37"/>
    </row>
    <row r="1209" ht="22.5" customHeight="1">
      <c r="A1209" s="30"/>
      <c r="B1209" s="31"/>
      <c r="C1209" s="32"/>
      <c r="D1209" s="33"/>
      <c r="E1209" s="34"/>
      <c r="F1209" s="34"/>
      <c r="G1209" s="35"/>
      <c r="H1209" s="34"/>
      <c r="I1209" s="37"/>
    </row>
    <row r="1210" ht="22.5" customHeight="1">
      <c r="A1210" s="30"/>
      <c r="B1210" s="31"/>
      <c r="C1210" s="32"/>
      <c r="D1210" s="33"/>
      <c r="E1210" s="34"/>
      <c r="F1210" s="34"/>
      <c r="G1210" s="35"/>
      <c r="H1210" s="34"/>
      <c r="I1210" s="37"/>
    </row>
    <row r="1211" ht="22.5" customHeight="1">
      <c r="A1211" s="30"/>
      <c r="B1211" s="31"/>
      <c r="C1211" s="32"/>
      <c r="D1211" s="33"/>
      <c r="E1211" s="34"/>
      <c r="F1211" s="34"/>
      <c r="G1211" s="35"/>
      <c r="H1211" s="34"/>
      <c r="I1211" s="37"/>
    </row>
    <row r="1212" ht="22.5" customHeight="1">
      <c r="A1212" s="30"/>
      <c r="B1212" s="31"/>
      <c r="C1212" s="32"/>
      <c r="D1212" s="33"/>
      <c r="E1212" s="34"/>
      <c r="F1212" s="34"/>
      <c r="G1212" s="35"/>
      <c r="H1212" s="34"/>
      <c r="I1212" s="37"/>
    </row>
    <row r="1213" ht="22.5" customHeight="1">
      <c r="A1213" s="30"/>
      <c r="B1213" s="31"/>
      <c r="C1213" s="32"/>
      <c r="D1213" s="33"/>
      <c r="E1213" s="34"/>
      <c r="F1213" s="34"/>
      <c r="G1213" s="35"/>
      <c r="H1213" s="34"/>
      <c r="I1213" s="37"/>
    </row>
    <row r="1214" ht="22.5" customHeight="1">
      <c r="A1214" s="30"/>
      <c r="B1214" s="31"/>
      <c r="C1214" s="32"/>
      <c r="D1214" s="33"/>
      <c r="E1214" s="34"/>
      <c r="F1214" s="34"/>
      <c r="G1214" s="35"/>
      <c r="H1214" s="34"/>
      <c r="I1214" s="37"/>
    </row>
    <row r="1215" ht="22.5" customHeight="1">
      <c r="A1215" s="30"/>
      <c r="B1215" s="31"/>
      <c r="C1215" s="32"/>
      <c r="D1215" s="33"/>
      <c r="E1215" s="34"/>
      <c r="F1215" s="34"/>
      <c r="G1215" s="35"/>
      <c r="H1215" s="34"/>
      <c r="I1215" s="37"/>
    </row>
    <row r="1216" ht="22.5" customHeight="1">
      <c r="A1216" s="30"/>
      <c r="B1216" s="40"/>
      <c r="C1216" s="32"/>
      <c r="D1216" s="33"/>
      <c r="E1216" s="34"/>
      <c r="F1216" s="34"/>
      <c r="G1216" s="35"/>
      <c r="H1216" s="34"/>
      <c r="I1216" s="37"/>
    </row>
    <row r="1217" ht="22.5" customHeight="1">
      <c r="A1217" s="30"/>
      <c r="B1217" s="31"/>
      <c r="C1217" s="32"/>
      <c r="D1217" s="33"/>
      <c r="E1217" s="34"/>
      <c r="F1217" s="34"/>
      <c r="G1217" s="35"/>
      <c r="H1217" s="34"/>
      <c r="I1217" s="37"/>
    </row>
    <row r="1218" ht="22.5" customHeight="1">
      <c r="A1218" s="30"/>
      <c r="B1218" s="31"/>
      <c r="C1218" s="32"/>
      <c r="D1218" s="33"/>
      <c r="E1218" s="34"/>
      <c r="F1218" s="34"/>
      <c r="G1218" s="35"/>
      <c r="H1218" s="34"/>
      <c r="I1218" s="37"/>
    </row>
    <row r="1219" ht="22.5" customHeight="1">
      <c r="A1219" s="30"/>
      <c r="B1219" s="31"/>
      <c r="C1219" s="32"/>
      <c r="D1219" s="33"/>
      <c r="E1219" s="34"/>
      <c r="F1219" s="34"/>
      <c r="G1219" s="35"/>
      <c r="H1219" s="34"/>
      <c r="I1219" s="37"/>
    </row>
    <row r="1220" ht="22.5" customHeight="1">
      <c r="A1220" s="30"/>
      <c r="B1220" s="40"/>
      <c r="C1220" s="32"/>
      <c r="D1220" s="33"/>
      <c r="E1220" s="34"/>
      <c r="F1220" s="34"/>
      <c r="G1220" s="35"/>
      <c r="H1220" s="34"/>
      <c r="I1220" s="37"/>
    </row>
    <row r="1221" ht="22.5" customHeight="1">
      <c r="A1221" s="30"/>
      <c r="B1221" s="31"/>
      <c r="C1221" s="32"/>
      <c r="D1221" s="33"/>
      <c r="E1221" s="34"/>
      <c r="F1221" s="34"/>
      <c r="G1221" s="35"/>
      <c r="H1221" s="34"/>
      <c r="I1221" s="37"/>
    </row>
    <row r="1222" ht="22.5" customHeight="1">
      <c r="A1222" s="30"/>
      <c r="B1222" s="31"/>
      <c r="C1222" s="32"/>
      <c r="D1222" s="33"/>
      <c r="E1222" s="34"/>
      <c r="F1222" s="34"/>
      <c r="G1222" s="35"/>
      <c r="H1222" s="34"/>
      <c r="I1222" s="37"/>
    </row>
    <row r="1223" ht="22.5" customHeight="1">
      <c r="A1223" s="30"/>
      <c r="B1223" s="31"/>
      <c r="C1223" s="32"/>
      <c r="D1223" s="33"/>
      <c r="E1223" s="34"/>
      <c r="F1223" s="34"/>
      <c r="G1223" s="35"/>
      <c r="H1223" s="34"/>
      <c r="I1223" s="37"/>
    </row>
    <row r="1224" ht="22.5" customHeight="1">
      <c r="A1224" s="30"/>
      <c r="B1224" s="31"/>
      <c r="C1224" s="32"/>
      <c r="D1224" s="33"/>
      <c r="E1224" s="34"/>
      <c r="F1224" s="34"/>
      <c r="G1224" s="35"/>
      <c r="H1224" s="34"/>
      <c r="I1224" s="37"/>
    </row>
    <row r="1225" ht="22.5" customHeight="1">
      <c r="A1225" s="30"/>
      <c r="B1225" s="31"/>
      <c r="C1225" s="32"/>
      <c r="D1225" s="33"/>
      <c r="E1225" s="34"/>
      <c r="F1225" s="34"/>
      <c r="G1225" s="35"/>
      <c r="H1225" s="34"/>
      <c r="I1225" s="37"/>
    </row>
    <row r="1226" ht="22.5" customHeight="1">
      <c r="A1226" s="30"/>
      <c r="B1226" s="31"/>
      <c r="C1226" s="32"/>
      <c r="D1226" s="33"/>
      <c r="E1226" s="34"/>
      <c r="F1226" s="34"/>
      <c r="G1226" s="35"/>
      <c r="H1226" s="34"/>
      <c r="I1226" s="37"/>
    </row>
    <row r="1227" ht="22.5" customHeight="1">
      <c r="A1227" s="30"/>
      <c r="B1227" s="31"/>
      <c r="C1227" s="32"/>
      <c r="D1227" s="33"/>
      <c r="E1227" s="34"/>
      <c r="F1227" s="34"/>
      <c r="G1227" s="35"/>
      <c r="H1227" s="34"/>
      <c r="I1227" s="37"/>
    </row>
    <row r="1228" ht="22.5" customHeight="1">
      <c r="A1228" s="30"/>
      <c r="B1228" s="31"/>
      <c r="C1228" s="32"/>
      <c r="D1228" s="33"/>
      <c r="E1228" s="34"/>
      <c r="F1228" s="34"/>
      <c r="G1228" s="35"/>
      <c r="H1228" s="34"/>
      <c r="I1228" s="37"/>
    </row>
    <row r="1229" ht="22.5" customHeight="1">
      <c r="A1229" s="30"/>
      <c r="B1229" s="31"/>
      <c r="C1229" s="32"/>
      <c r="D1229" s="33"/>
      <c r="E1229" s="34"/>
      <c r="F1229" s="34"/>
      <c r="G1229" s="35"/>
      <c r="H1229" s="34"/>
      <c r="I1229" s="37"/>
    </row>
    <row r="1230" ht="22.5" customHeight="1">
      <c r="A1230" s="30"/>
      <c r="B1230" s="31"/>
      <c r="C1230" s="32"/>
      <c r="D1230" s="33"/>
      <c r="E1230" s="34"/>
      <c r="F1230" s="34"/>
      <c r="G1230" s="35"/>
      <c r="H1230" s="34"/>
      <c r="I1230" s="37"/>
    </row>
    <row r="1231" ht="22.5" customHeight="1">
      <c r="A1231" s="30"/>
      <c r="B1231" s="31"/>
      <c r="C1231" s="32"/>
      <c r="D1231" s="33"/>
      <c r="E1231" s="34"/>
      <c r="F1231" s="34"/>
      <c r="G1231" s="35"/>
      <c r="H1231" s="34"/>
      <c r="I1231" s="37"/>
    </row>
    <row r="1232" ht="22.5" customHeight="1">
      <c r="A1232" s="30"/>
      <c r="B1232" s="31"/>
      <c r="C1232" s="32"/>
      <c r="D1232" s="33"/>
      <c r="E1232" s="34"/>
      <c r="F1232" s="34"/>
      <c r="G1232" s="35"/>
      <c r="H1232" s="34"/>
      <c r="I1232" s="37"/>
    </row>
    <row r="1233" ht="22.5" customHeight="1">
      <c r="A1233" s="30"/>
      <c r="B1233" s="31"/>
      <c r="C1233" s="32"/>
      <c r="D1233" s="33"/>
      <c r="E1233" s="34"/>
      <c r="F1233" s="34"/>
      <c r="G1233" s="35"/>
      <c r="H1233" s="34"/>
      <c r="I1233" s="37"/>
    </row>
    <row r="1234" ht="22.5" customHeight="1">
      <c r="A1234" s="30"/>
      <c r="B1234" s="31"/>
      <c r="C1234" s="32"/>
      <c r="D1234" s="33"/>
      <c r="E1234" s="34"/>
      <c r="F1234" s="34"/>
      <c r="G1234" s="35"/>
      <c r="H1234" s="34"/>
      <c r="I1234" s="37"/>
    </row>
    <row r="1235" ht="22.5" customHeight="1">
      <c r="A1235" s="30"/>
      <c r="B1235" s="40"/>
      <c r="C1235" s="32"/>
      <c r="D1235" s="33"/>
      <c r="E1235" s="34"/>
      <c r="F1235" s="34"/>
      <c r="G1235" s="35"/>
      <c r="H1235" s="34"/>
      <c r="I1235" s="37"/>
    </row>
    <row r="1236" ht="22.5" customHeight="1">
      <c r="A1236" s="30"/>
      <c r="B1236" s="31"/>
      <c r="C1236" s="32"/>
      <c r="D1236" s="33"/>
      <c r="E1236" s="34"/>
      <c r="F1236" s="34"/>
      <c r="G1236" s="35"/>
      <c r="H1236" s="34"/>
      <c r="I1236" s="37"/>
    </row>
    <row r="1237" ht="22.5" customHeight="1">
      <c r="A1237" s="30"/>
      <c r="B1237" s="40"/>
      <c r="C1237" s="32"/>
      <c r="D1237" s="33"/>
      <c r="E1237" s="34"/>
      <c r="F1237" s="34"/>
      <c r="G1237" s="35"/>
      <c r="H1237" s="34"/>
      <c r="I1237" s="37"/>
    </row>
    <row r="1238" ht="22.5" customHeight="1">
      <c r="A1238" s="30"/>
      <c r="B1238" s="31"/>
      <c r="C1238" s="32"/>
      <c r="D1238" s="33"/>
      <c r="E1238" s="34"/>
      <c r="F1238" s="34"/>
      <c r="G1238" s="35"/>
      <c r="H1238" s="34"/>
      <c r="I1238" s="37"/>
    </row>
    <row r="1239" ht="22.5" customHeight="1">
      <c r="A1239" s="30"/>
      <c r="B1239" s="31"/>
      <c r="C1239" s="32"/>
      <c r="D1239" s="33"/>
      <c r="E1239" s="34"/>
      <c r="F1239" s="34"/>
      <c r="G1239" s="35"/>
      <c r="H1239" s="34"/>
      <c r="I1239" s="37"/>
    </row>
    <row r="1240" ht="22.5" customHeight="1">
      <c r="A1240" s="30"/>
      <c r="B1240" s="31"/>
      <c r="C1240" s="32"/>
      <c r="D1240" s="33"/>
      <c r="E1240" s="34"/>
      <c r="F1240" s="34"/>
      <c r="G1240" s="35"/>
      <c r="H1240" s="34"/>
      <c r="I1240" s="37"/>
    </row>
    <row r="1241" ht="22.5" customHeight="1">
      <c r="A1241" s="30"/>
      <c r="B1241" s="31"/>
      <c r="C1241" s="32"/>
      <c r="D1241" s="33"/>
      <c r="E1241" s="34"/>
      <c r="F1241" s="34"/>
      <c r="G1241" s="35"/>
      <c r="H1241" s="34"/>
      <c r="I1241" s="37"/>
    </row>
    <row r="1242" ht="22.5" customHeight="1">
      <c r="A1242" s="30"/>
      <c r="B1242" s="40"/>
      <c r="C1242" s="32"/>
      <c r="D1242" s="33"/>
      <c r="E1242" s="34"/>
      <c r="F1242" s="34"/>
      <c r="G1242" s="35"/>
      <c r="H1242" s="34"/>
      <c r="I1242" s="37"/>
    </row>
    <row r="1243" ht="22.5" customHeight="1">
      <c r="A1243" s="30"/>
      <c r="B1243" s="31"/>
      <c r="C1243" s="32"/>
      <c r="D1243" s="33"/>
      <c r="E1243" s="34"/>
      <c r="F1243" s="34"/>
      <c r="G1243" s="35"/>
      <c r="H1243" s="34"/>
      <c r="I1243" s="37"/>
    </row>
    <row r="1244" ht="22.5" customHeight="1">
      <c r="A1244" s="30"/>
      <c r="B1244" s="31"/>
      <c r="C1244" s="32"/>
      <c r="D1244" s="33"/>
      <c r="E1244" s="34"/>
      <c r="F1244" s="34"/>
      <c r="G1244" s="35"/>
      <c r="H1244" s="34"/>
      <c r="I1244" s="37"/>
    </row>
    <row r="1245" ht="22.5" customHeight="1">
      <c r="A1245" s="30"/>
      <c r="B1245" s="31"/>
      <c r="C1245" s="32"/>
      <c r="D1245" s="33"/>
      <c r="E1245" s="34"/>
      <c r="F1245" s="34"/>
      <c r="G1245" s="35"/>
      <c r="H1245" s="34"/>
      <c r="I1245" s="37"/>
    </row>
    <row r="1246" ht="22.5" customHeight="1">
      <c r="A1246" s="30"/>
      <c r="B1246" s="31"/>
      <c r="C1246" s="32"/>
      <c r="D1246" s="33"/>
      <c r="E1246" s="34"/>
      <c r="F1246" s="34"/>
      <c r="G1246" s="35"/>
      <c r="H1246" s="34"/>
      <c r="I1246" s="37"/>
    </row>
    <row r="1247" ht="22.5" customHeight="1">
      <c r="A1247" s="30"/>
      <c r="B1247" s="31"/>
      <c r="C1247" s="32"/>
      <c r="D1247" s="33"/>
      <c r="E1247" s="34"/>
      <c r="F1247" s="34"/>
      <c r="G1247" s="35"/>
      <c r="H1247" s="34"/>
      <c r="I1247" s="37"/>
    </row>
    <row r="1248" ht="22.5" customHeight="1">
      <c r="A1248" s="30"/>
      <c r="B1248" s="31"/>
      <c r="C1248" s="32"/>
      <c r="D1248" s="33"/>
      <c r="E1248" s="34"/>
      <c r="F1248" s="34"/>
      <c r="G1248" s="35"/>
      <c r="H1248" s="34"/>
      <c r="I1248" s="37"/>
    </row>
    <row r="1249" ht="22.5" customHeight="1">
      <c r="A1249" s="30"/>
      <c r="B1249" s="31"/>
      <c r="C1249" s="32"/>
      <c r="D1249" s="33"/>
      <c r="E1249" s="34"/>
      <c r="F1249" s="34"/>
      <c r="G1249" s="35"/>
      <c r="H1249" s="34"/>
      <c r="I1249" s="37"/>
    </row>
    <row r="1250" ht="22.5" customHeight="1">
      <c r="A1250" s="30"/>
      <c r="B1250" s="31"/>
      <c r="C1250" s="32"/>
      <c r="D1250" s="33"/>
      <c r="E1250" s="34"/>
      <c r="F1250" s="34"/>
      <c r="G1250" s="35"/>
      <c r="H1250" s="34"/>
      <c r="I1250" s="37"/>
    </row>
    <row r="1251" ht="22.5" customHeight="1">
      <c r="A1251" s="30"/>
      <c r="B1251" s="31"/>
      <c r="C1251" s="32"/>
      <c r="D1251" s="33"/>
      <c r="E1251" s="34"/>
      <c r="F1251" s="34"/>
      <c r="G1251" s="35"/>
      <c r="H1251" s="34"/>
      <c r="I1251" s="37"/>
    </row>
    <row r="1252" ht="22.5" customHeight="1">
      <c r="A1252" s="30"/>
      <c r="B1252" s="31"/>
      <c r="C1252" s="32"/>
      <c r="D1252" s="33"/>
      <c r="E1252" s="34"/>
      <c r="F1252" s="34"/>
      <c r="G1252" s="35"/>
      <c r="H1252" s="34"/>
      <c r="I1252" s="37"/>
    </row>
    <row r="1253" ht="22.5" customHeight="1">
      <c r="A1253" s="30"/>
      <c r="B1253" s="31"/>
      <c r="C1253" s="32"/>
      <c r="D1253" s="33"/>
      <c r="E1253" s="34"/>
      <c r="F1253" s="34"/>
      <c r="G1253" s="35"/>
      <c r="H1253" s="34"/>
      <c r="I1253" s="37"/>
    </row>
    <row r="1254" ht="22.5" customHeight="1">
      <c r="A1254" s="30"/>
      <c r="B1254" s="31"/>
      <c r="C1254" s="32"/>
      <c r="D1254" s="33"/>
      <c r="E1254" s="34"/>
      <c r="F1254" s="34"/>
      <c r="G1254" s="35"/>
      <c r="H1254" s="34"/>
      <c r="I1254" s="37"/>
    </row>
    <row r="1255" ht="22.5" customHeight="1">
      <c r="A1255" s="30"/>
      <c r="B1255" s="31"/>
      <c r="C1255" s="32"/>
      <c r="D1255" s="33"/>
      <c r="E1255" s="34"/>
      <c r="F1255" s="34"/>
      <c r="G1255" s="35"/>
      <c r="H1255" s="34"/>
      <c r="I1255" s="37"/>
    </row>
    <row r="1256" ht="22.5" customHeight="1">
      <c r="A1256" s="30"/>
      <c r="B1256" s="31"/>
      <c r="C1256" s="32"/>
      <c r="D1256" s="33"/>
      <c r="E1256" s="34"/>
      <c r="F1256" s="34"/>
      <c r="G1256" s="35"/>
      <c r="H1256" s="34"/>
      <c r="I1256" s="37"/>
    </row>
    <row r="1257" ht="22.5" customHeight="1">
      <c r="A1257" s="30"/>
      <c r="B1257" s="31"/>
      <c r="C1257" s="32"/>
      <c r="D1257" s="33"/>
      <c r="E1257" s="34"/>
      <c r="F1257" s="34"/>
      <c r="G1257" s="35"/>
      <c r="H1257" s="34"/>
      <c r="I1257" s="37"/>
    </row>
    <row r="1258" ht="22.5" customHeight="1">
      <c r="A1258" s="30"/>
      <c r="B1258" s="31"/>
      <c r="C1258" s="32"/>
      <c r="D1258" s="33"/>
      <c r="E1258" s="34"/>
      <c r="F1258" s="34"/>
      <c r="G1258" s="35"/>
      <c r="H1258" s="34"/>
      <c r="I1258" s="37"/>
    </row>
    <row r="1259" ht="22.5" customHeight="1">
      <c r="A1259" s="30"/>
      <c r="B1259" s="31"/>
      <c r="C1259" s="32"/>
      <c r="D1259" s="33"/>
      <c r="E1259" s="34"/>
      <c r="F1259" s="34"/>
      <c r="G1259" s="35"/>
      <c r="H1259" s="34"/>
      <c r="I1259" s="37"/>
    </row>
    <row r="1260" ht="22.5" customHeight="1">
      <c r="A1260" s="30"/>
      <c r="B1260" s="31"/>
      <c r="C1260" s="32"/>
      <c r="D1260" s="33"/>
      <c r="E1260" s="34"/>
      <c r="F1260" s="34"/>
      <c r="G1260" s="35"/>
      <c r="H1260" s="34"/>
      <c r="I1260" s="37"/>
    </row>
    <row r="1261" ht="22.5" customHeight="1">
      <c r="A1261" s="30"/>
      <c r="B1261" s="31"/>
      <c r="C1261" s="32"/>
      <c r="D1261" s="33"/>
      <c r="E1261" s="34"/>
      <c r="F1261" s="34"/>
      <c r="G1261" s="35"/>
      <c r="H1261" s="34"/>
      <c r="I1261" s="37"/>
    </row>
    <row r="1262" ht="22.5" customHeight="1">
      <c r="A1262" s="30"/>
      <c r="B1262" s="31"/>
      <c r="C1262" s="32"/>
      <c r="D1262" s="33"/>
      <c r="E1262" s="34"/>
      <c r="F1262" s="34"/>
      <c r="G1262" s="35"/>
      <c r="H1262" s="34"/>
      <c r="I1262" s="37"/>
    </row>
    <row r="1263" ht="22.5" customHeight="1">
      <c r="A1263" s="30"/>
      <c r="B1263" s="31"/>
      <c r="C1263" s="32"/>
      <c r="D1263" s="33"/>
      <c r="E1263" s="34"/>
      <c r="F1263" s="34"/>
      <c r="G1263" s="35"/>
      <c r="H1263" s="34"/>
      <c r="I1263" s="37"/>
    </row>
    <row r="1264" ht="22.5" customHeight="1">
      <c r="A1264" s="30"/>
      <c r="B1264" s="40"/>
      <c r="C1264" s="32"/>
      <c r="D1264" s="33"/>
      <c r="E1264" s="34"/>
      <c r="F1264" s="34"/>
      <c r="G1264" s="35"/>
      <c r="H1264" s="34"/>
      <c r="I1264" s="37"/>
    </row>
    <row r="1265" ht="22.5" customHeight="1">
      <c r="A1265" s="30"/>
      <c r="B1265" s="31"/>
      <c r="C1265" s="32"/>
      <c r="D1265" s="33"/>
      <c r="E1265" s="34"/>
      <c r="F1265" s="34"/>
      <c r="G1265" s="35"/>
      <c r="H1265" s="34"/>
      <c r="I1265" s="37"/>
    </row>
    <row r="1266" ht="22.5" customHeight="1">
      <c r="A1266" s="30"/>
      <c r="B1266" s="31"/>
      <c r="C1266" s="32"/>
      <c r="D1266" s="33"/>
      <c r="E1266" s="34"/>
      <c r="F1266" s="34"/>
      <c r="G1266" s="35"/>
      <c r="H1266" s="34"/>
      <c r="I1266" s="37"/>
    </row>
    <row r="1267" ht="22.5" customHeight="1">
      <c r="A1267" s="30"/>
      <c r="B1267" s="31"/>
      <c r="C1267" s="32"/>
      <c r="D1267" s="33"/>
      <c r="E1267" s="34"/>
      <c r="F1267" s="34"/>
      <c r="G1267" s="35"/>
      <c r="H1267" s="34"/>
      <c r="I1267" s="37"/>
    </row>
    <row r="1268" ht="22.5" customHeight="1">
      <c r="A1268" s="30"/>
      <c r="B1268" s="31"/>
      <c r="C1268" s="32"/>
      <c r="D1268" s="33"/>
      <c r="E1268" s="34"/>
      <c r="F1268" s="34"/>
      <c r="G1268" s="35"/>
      <c r="H1268" s="34"/>
      <c r="I1268" s="38"/>
    </row>
    <row r="1269" ht="22.5" customHeight="1">
      <c r="A1269" s="30"/>
      <c r="B1269" s="39"/>
      <c r="C1269" s="32"/>
      <c r="D1269" s="33"/>
      <c r="E1269" s="34"/>
      <c r="F1269" s="34"/>
      <c r="G1269" s="35"/>
      <c r="H1269" s="34"/>
      <c r="I1269" s="37"/>
    </row>
    <row r="1270" ht="22.5" customHeight="1">
      <c r="A1270" s="30"/>
      <c r="B1270" s="31"/>
      <c r="C1270" s="32"/>
      <c r="D1270" s="33"/>
      <c r="E1270" s="34"/>
      <c r="F1270" s="34"/>
      <c r="G1270" s="35"/>
      <c r="H1270" s="34"/>
      <c r="I1270" s="37"/>
    </row>
    <row r="1271" ht="22.5" customHeight="1">
      <c r="A1271" s="30"/>
      <c r="B1271" s="31"/>
      <c r="C1271" s="32"/>
      <c r="D1271" s="33"/>
      <c r="E1271" s="34"/>
      <c r="F1271" s="34"/>
      <c r="G1271" s="35"/>
      <c r="H1271" s="34"/>
      <c r="I1271" s="37"/>
    </row>
    <row r="1272" ht="22.5" customHeight="1">
      <c r="A1272" s="30"/>
      <c r="B1272" s="31"/>
      <c r="C1272" s="32"/>
      <c r="D1272" s="33"/>
      <c r="E1272" s="34"/>
      <c r="F1272" s="34"/>
      <c r="G1272" s="35"/>
      <c r="H1272" s="34"/>
      <c r="I1272" s="37"/>
    </row>
    <row r="1273" ht="22.5" customHeight="1">
      <c r="A1273" s="30"/>
      <c r="B1273" s="39"/>
      <c r="C1273" s="32"/>
      <c r="D1273" s="33"/>
      <c r="E1273" s="34"/>
      <c r="F1273" s="34"/>
      <c r="G1273" s="35"/>
      <c r="H1273" s="34"/>
      <c r="I1273" s="37"/>
    </row>
    <row r="1274" ht="22.5" customHeight="1">
      <c r="A1274" s="30"/>
      <c r="B1274" s="31"/>
      <c r="C1274" s="32"/>
      <c r="D1274" s="33"/>
      <c r="E1274" s="34"/>
      <c r="F1274" s="34"/>
      <c r="G1274" s="35"/>
      <c r="H1274" s="34"/>
      <c r="I1274" s="37"/>
    </row>
    <row r="1275" ht="22.5" customHeight="1">
      <c r="A1275" s="30"/>
      <c r="B1275" s="39"/>
      <c r="C1275" s="32"/>
      <c r="D1275" s="33"/>
      <c r="E1275" s="34"/>
      <c r="F1275" s="34"/>
      <c r="G1275" s="35"/>
      <c r="H1275" s="34"/>
      <c r="I1275" s="37"/>
    </row>
    <row r="1276" ht="22.5" customHeight="1">
      <c r="A1276" s="30"/>
      <c r="B1276" s="31"/>
      <c r="C1276" s="32"/>
      <c r="D1276" s="33"/>
      <c r="E1276" s="34"/>
      <c r="F1276" s="34"/>
      <c r="G1276" s="35"/>
      <c r="H1276" s="34"/>
      <c r="I1276" s="37"/>
    </row>
    <row r="1277" ht="22.5" customHeight="1">
      <c r="A1277" s="30"/>
      <c r="B1277" s="31"/>
      <c r="C1277" s="32"/>
      <c r="D1277" s="33"/>
      <c r="E1277" s="34"/>
      <c r="F1277" s="34"/>
      <c r="G1277" s="35"/>
      <c r="H1277" s="34"/>
      <c r="I1277" s="37"/>
    </row>
    <row r="1278" ht="22.5" customHeight="1">
      <c r="A1278" s="30"/>
      <c r="B1278" s="31"/>
      <c r="C1278" s="32"/>
      <c r="D1278" s="33"/>
      <c r="E1278" s="34"/>
      <c r="F1278" s="34"/>
      <c r="G1278" s="35"/>
      <c r="H1278" s="34"/>
      <c r="I1278" s="37"/>
    </row>
    <row r="1279" ht="22.5" customHeight="1">
      <c r="A1279" s="30"/>
      <c r="B1279" s="31"/>
      <c r="C1279" s="32"/>
      <c r="D1279" s="33"/>
      <c r="E1279" s="34"/>
      <c r="F1279" s="34"/>
      <c r="G1279" s="35"/>
      <c r="H1279" s="34"/>
      <c r="I1279" s="37"/>
    </row>
    <row r="1280" ht="22.5" customHeight="1">
      <c r="A1280" s="30"/>
      <c r="B1280" s="31"/>
      <c r="C1280" s="32"/>
      <c r="D1280" s="33"/>
      <c r="E1280" s="34"/>
      <c r="F1280" s="34"/>
      <c r="G1280" s="35"/>
      <c r="H1280" s="34"/>
      <c r="I1280" s="37"/>
    </row>
    <row r="1281" ht="22.5" customHeight="1">
      <c r="A1281" s="30"/>
      <c r="B1281" s="31"/>
      <c r="C1281" s="32"/>
      <c r="D1281" s="33"/>
      <c r="E1281" s="34"/>
      <c r="F1281" s="34"/>
      <c r="G1281" s="35"/>
      <c r="H1281" s="34"/>
      <c r="I1281" s="37"/>
    </row>
    <row r="1282" ht="22.5" customHeight="1">
      <c r="A1282" s="30"/>
      <c r="B1282" s="31"/>
      <c r="C1282" s="32"/>
      <c r="D1282" s="33"/>
      <c r="E1282" s="34"/>
      <c r="F1282" s="34"/>
      <c r="G1282" s="35"/>
      <c r="H1282" s="34"/>
      <c r="I1282" s="37"/>
    </row>
    <row r="1283" ht="22.5" customHeight="1">
      <c r="A1283" s="30"/>
      <c r="B1283" s="31"/>
      <c r="C1283" s="32"/>
      <c r="D1283" s="33"/>
      <c r="E1283" s="34"/>
      <c r="F1283" s="34"/>
      <c r="G1283" s="35"/>
      <c r="H1283" s="34"/>
      <c r="I1283" s="37"/>
    </row>
    <row r="1284" ht="22.5" customHeight="1">
      <c r="A1284" s="30"/>
      <c r="B1284" s="31"/>
      <c r="C1284" s="32"/>
      <c r="D1284" s="33"/>
      <c r="E1284" s="34"/>
      <c r="F1284" s="34"/>
      <c r="G1284" s="35"/>
      <c r="H1284" s="34"/>
      <c r="I1284" s="37"/>
    </row>
    <row r="1285" ht="22.5" customHeight="1">
      <c r="A1285" s="30"/>
      <c r="B1285" s="31"/>
      <c r="C1285" s="32"/>
      <c r="D1285" s="33"/>
      <c r="E1285" s="34"/>
      <c r="F1285" s="34"/>
      <c r="G1285" s="35"/>
      <c r="H1285" s="34"/>
      <c r="I1285" s="37"/>
    </row>
    <row r="1286" ht="22.5" customHeight="1">
      <c r="A1286" s="30"/>
      <c r="B1286" s="40"/>
      <c r="C1286" s="32"/>
      <c r="D1286" s="33"/>
      <c r="E1286" s="34"/>
      <c r="F1286" s="34"/>
      <c r="G1286" s="35"/>
      <c r="H1286" s="34"/>
      <c r="I1286" s="37"/>
    </row>
    <row r="1287" ht="22.5" customHeight="1">
      <c r="A1287" s="30"/>
      <c r="B1287" s="31"/>
      <c r="C1287" s="32"/>
      <c r="D1287" s="33"/>
      <c r="E1287" s="34"/>
      <c r="F1287" s="34"/>
      <c r="G1287" s="35"/>
      <c r="H1287" s="34"/>
      <c r="I1287" s="37"/>
    </row>
    <row r="1288" ht="22.5" customHeight="1">
      <c r="A1288" s="30"/>
      <c r="B1288" s="31"/>
      <c r="C1288" s="32"/>
      <c r="D1288" s="33"/>
      <c r="E1288" s="34"/>
      <c r="F1288" s="34"/>
      <c r="G1288" s="35"/>
      <c r="H1288" s="34"/>
      <c r="I1288" s="37"/>
    </row>
    <row r="1289" ht="22.5" customHeight="1">
      <c r="A1289" s="30"/>
      <c r="B1289" s="31"/>
      <c r="C1289" s="32"/>
      <c r="D1289" s="33"/>
      <c r="E1289" s="34"/>
      <c r="F1289" s="34"/>
      <c r="G1289" s="35"/>
      <c r="H1289" s="34"/>
      <c r="I1289" s="37"/>
    </row>
    <row r="1290" ht="22.5" customHeight="1">
      <c r="A1290" s="30"/>
      <c r="B1290" s="31"/>
      <c r="C1290" s="32"/>
      <c r="D1290" s="33"/>
      <c r="E1290" s="34"/>
      <c r="F1290" s="34"/>
      <c r="G1290" s="35"/>
      <c r="H1290" s="34"/>
      <c r="I1290" s="37"/>
    </row>
    <row r="1291" ht="22.5" customHeight="1">
      <c r="A1291" s="30"/>
      <c r="B1291" s="31"/>
      <c r="C1291" s="32"/>
      <c r="D1291" s="33"/>
      <c r="E1291" s="34"/>
      <c r="F1291" s="34"/>
      <c r="G1291" s="35"/>
      <c r="H1291" s="34"/>
      <c r="I1291" s="37"/>
    </row>
    <row r="1292" ht="22.5" customHeight="1">
      <c r="A1292" s="30"/>
      <c r="B1292" s="31"/>
      <c r="C1292" s="32"/>
      <c r="D1292" s="33"/>
      <c r="E1292" s="34"/>
      <c r="F1292" s="34"/>
      <c r="G1292" s="35"/>
      <c r="H1292" s="34"/>
      <c r="I1292" s="37"/>
    </row>
    <row r="1293" ht="22.5" customHeight="1">
      <c r="A1293" s="30"/>
      <c r="B1293" s="39"/>
      <c r="C1293" s="32"/>
      <c r="D1293" s="33"/>
      <c r="E1293" s="34"/>
      <c r="F1293" s="34"/>
      <c r="G1293" s="35"/>
      <c r="H1293" s="34"/>
      <c r="I1293" s="37"/>
    </row>
    <row r="1294" ht="22.5" customHeight="1">
      <c r="A1294" s="30"/>
      <c r="B1294" s="39"/>
      <c r="C1294" s="32"/>
      <c r="D1294" s="33"/>
      <c r="E1294" s="34"/>
      <c r="F1294" s="34"/>
      <c r="G1294" s="35"/>
      <c r="H1294" s="34"/>
      <c r="I1294" s="37"/>
    </row>
    <row r="1295" ht="22.5" customHeight="1">
      <c r="A1295" s="30"/>
      <c r="B1295" s="39"/>
      <c r="C1295" s="32"/>
      <c r="D1295" s="33"/>
      <c r="E1295" s="34"/>
      <c r="F1295" s="34"/>
      <c r="G1295" s="35"/>
      <c r="H1295" s="34"/>
      <c r="I1295" s="37"/>
    </row>
    <row r="1296" ht="22.5" customHeight="1">
      <c r="A1296" s="30"/>
      <c r="B1296" s="40"/>
      <c r="C1296" s="32"/>
      <c r="D1296" s="33"/>
      <c r="E1296" s="34"/>
      <c r="F1296" s="34"/>
      <c r="G1296" s="35"/>
      <c r="H1296" s="34"/>
      <c r="I1296" s="37"/>
    </row>
    <row r="1297" ht="22.5" customHeight="1">
      <c r="A1297" s="30"/>
      <c r="B1297" s="31"/>
      <c r="C1297" s="32"/>
      <c r="D1297" s="33"/>
      <c r="E1297" s="34"/>
      <c r="F1297" s="34"/>
      <c r="G1297" s="35"/>
      <c r="H1297" s="34"/>
      <c r="I1297" s="37"/>
    </row>
    <row r="1298" ht="22.5" customHeight="1">
      <c r="A1298" s="30"/>
      <c r="B1298" s="31"/>
      <c r="C1298" s="32"/>
      <c r="D1298" s="33"/>
      <c r="E1298" s="34"/>
      <c r="F1298" s="34"/>
      <c r="G1298" s="35"/>
      <c r="H1298" s="34"/>
      <c r="I1298" s="37"/>
    </row>
    <row r="1299" ht="22.5" customHeight="1">
      <c r="A1299" s="30"/>
      <c r="B1299" s="31"/>
      <c r="C1299" s="32"/>
      <c r="D1299" s="33"/>
      <c r="E1299" s="34"/>
      <c r="F1299" s="34"/>
      <c r="G1299" s="35"/>
      <c r="H1299" s="34"/>
      <c r="I1299" s="37"/>
    </row>
    <row r="1300" ht="22.5" customHeight="1">
      <c r="A1300" s="30"/>
      <c r="B1300" s="31"/>
      <c r="C1300" s="32"/>
      <c r="D1300" s="33"/>
      <c r="E1300" s="34"/>
      <c r="F1300" s="34"/>
      <c r="G1300" s="35"/>
      <c r="H1300" s="34"/>
      <c r="I1300" s="37"/>
    </row>
    <row r="1301" ht="22.5" customHeight="1">
      <c r="A1301" s="30"/>
      <c r="B1301" s="31"/>
      <c r="C1301" s="32"/>
      <c r="D1301" s="33"/>
      <c r="E1301" s="34"/>
      <c r="F1301" s="34"/>
      <c r="G1301" s="35"/>
      <c r="H1301" s="34"/>
      <c r="I1301" s="37"/>
    </row>
    <row r="1302" ht="22.5" customHeight="1">
      <c r="A1302" s="30"/>
      <c r="B1302" s="31"/>
      <c r="C1302" s="32"/>
      <c r="D1302" s="33"/>
      <c r="E1302" s="34"/>
      <c r="F1302" s="34"/>
      <c r="G1302" s="35"/>
      <c r="H1302" s="34"/>
      <c r="I1302" s="37"/>
    </row>
    <row r="1303" ht="22.5" customHeight="1">
      <c r="A1303" s="30"/>
      <c r="B1303" s="31"/>
      <c r="C1303" s="32"/>
      <c r="D1303" s="33"/>
      <c r="E1303" s="34"/>
      <c r="F1303" s="34"/>
      <c r="G1303" s="35"/>
      <c r="H1303" s="34"/>
      <c r="I1303" s="37"/>
    </row>
    <row r="1304" ht="22.5" customHeight="1">
      <c r="A1304" s="30"/>
      <c r="B1304" s="31"/>
      <c r="C1304" s="32"/>
      <c r="D1304" s="33"/>
      <c r="E1304" s="34"/>
      <c r="F1304" s="34"/>
      <c r="G1304" s="35"/>
      <c r="H1304" s="34"/>
      <c r="I1304" s="37"/>
    </row>
    <row r="1305" ht="22.5" customHeight="1">
      <c r="A1305" s="30"/>
      <c r="B1305" s="31"/>
      <c r="C1305" s="32"/>
      <c r="D1305" s="33"/>
      <c r="E1305" s="34"/>
      <c r="F1305" s="34"/>
      <c r="G1305" s="35"/>
      <c r="H1305" s="34"/>
      <c r="I1305" s="37"/>
    </row>
    <row r="1306" ht="22.5" customHeight="1">
      <c r="A1306" s="30"/>
      <c r="B1306" s="40"/>
      <c r="C1306" s="32"/>
      <c r="D1306" s="33"/>
      <c r="E1306" s="34"/>
      <c r="F1306" s="34"/>
      <c r="G1306" s="35"/>
      <c r="H1306" s="34"/>
      <c r="I1306" s="37"/>
    </row>
    <row r="1307" ht="22.5" customHeight="1">
      <c r="A1307" s="30"/>
      <c r="B1307" s="31"/>
      <c r="C1307" s="32"/>
      <c r="D1307" s="33"/>
      <c r="E1307" s="34"/>
      <c r="F1307" s="34"/>
      <c r="G1307" s="35"/>
      <c r="H1307" s="34"/>
      <c r="I1307" s="37"/>
    </row>
    <row r="1308" ht="22.5" customHeight="1">
      <c r="A1308" s="30"/>
      <c r="B1308" s="31"/>
      <c r="C1308" s="32"/>
      <c r="D1308" s="33"/>
      <c r="E1308" s="34"/>
      <c r="F1308" s="34"/>
      <c r="G1308" s="35"/>
      <c r="H1308" s="34"/>
      <c r="I1308" s="37"/>
    </row>
    <row r="1309" ht="22.5" customHeight="1">
      <c r="A1309" s="30"/>
      <c r="B1309" s="31"/>
      <c r="C1309" s="32"/>
      <c r="D1309" s="33"/>
      <c r="E1309" s="34"/>
      <c r="F1309" s="34"/>
      <c r="G1309" s="35"/>
      <c r="H1309" s="34"/>
      <c r="I1309" s="37"/>
    </row>
    <row r="1310" ht="22.5" customHeight="1">
      <c r="A1310" s="30"/>
      <c r="B1310" s="40"/>
      <c r="C1310" s="32"/>
      <c r="D1310" s="33"/>
      <c r="E1310" s="34"/>
      <c r="F1310" s="34"/>
      <c r="G1310" s="35"/>
      <c r="H1310" s="34"/>
      <c r="I1310" s="37"/>
    </row>
    <row r="1311" ht="22.5" customHeight="1">
      <c r="A1311" s="30"/>
      <c r="B1311" s="31"/>
      <c r="C1311" s="32"/>
      <c r="D1311" s="33"/>
      <c r="E1311" s="34"/>
      <c r="F1311" s="34"/>
      <c r="G1311" s="35"/>
      <c r="H1311" s="34"/>
      <c r="I1311" s="37"/>
    </row>
    <row r="1312" ht="22.5" customHeight="1">
      <c r="A1312" s="30"/>
      <c r="B1312" s="31"/>
      <c r="C1312" s="32"/>
      <c r="D1312" s="33"/>
      <c r="E1312" s="34"/>
      <c r="F1312" s="34"/>
      <c r="G1312" s="35"/>
      <c r="H1312" s="34"/>
      <c r="I1312" s="37"/>
    </row>
    <row r="1313" ht="22.5" customHeight="1">
      <c r="A1313" s="30"/>
      <c r="B1313" s="31"/>
      <c r="C1313" s="32"/>
      <c r="D1313" s="33"/>
      <c r="E1313" s="34"/>
      <c r="F1313" s="34"/>
      <c r="G1313" s="35"/>
      <c r="H1313" s="34"/>
      <c r="I1313" s="37"/>
    </row>
    <row r="1314" ht="22.5" customHeight="1">
      <c r="A1314" s="30"/>
      <c r="B1314" s="31"/>
      <c r="C1314" s="32"/>
      <c r="D1314" s="33"/>
      <c r="E1314" s="34"/>
      <c r="F1314" s="34"/>
      <c r="G1314" s="35"/>
      <c r="H1314" s="34"/>
      <c r="I1314" s="37"/>
    </row>
    <row r="1315" ht="22.5" customHeight="1">
      <c r="A1315" s="30"/>
      <c r="B1315" s="31"/>
      <c r="C1315" s="32"/>
      <c r="D1315" s="33"/>
      <c r="E1315" s="34"/>
      <c r="F1315" s="34"/>
      <c r="G1315" s="35"/>
      <c r="H1315" s="34"/>
      <c r="I1315" s="37"/>
    </row>
    <row r="1316" ht="22.5" customHeight="1">
      <c r="A1316" s="30"/>
      <c r="B1316" s="31"/>
      <c r="C1316" s="32"/>
      <c r="D1316" s="33"/>
      <c r="E1316" s="34"/>
      <c r="F1316" s="34"/>
      <c r="G1316" s="35"/>
      <c r="H1316" s="34"/>
      <c r="I1316" s="37"/>
    </row>
    <row r="1317" ht="22.5" customHeight="1">
      <c r="A1317" s="30"/>
      <c r="B1317" s="31"/>
      <c r="C1317" s="32"/>
      <c r="D1317" s="33"/>
      <c r="E1317" s="34"/>
      <c r="F1317" s="34"/>
      <c r="G1317" s="35"/>
      <c r="H1317" s="34"/>
      <c r="I1317" s="37"/>
    </row>
    <row r="1318" ht="22.5" customHeight="1">
      <c r="A1318" s="30"/>
      <c r="B1318" s="31"/>
      <c r="C1318" s="32"/>
      <c r="D1318" s="33"/>
      <c r="E1318" s="34"/>
      <c r="F1318" s="34"/>
      <c r="G1318" s="35"/>
      <c r="H1318" s="34"/>
      <c r="I1318" s="37"/>
    </row>
    <row r="1319" ht="22.5" customHeight="1">
      <c r="A1319" s="30"/>
      <c r="B1319" s="31"/>
      <c r="C1319" s="32"/>
      <c r="D1319" s="33"/>
      <c r="E1319" s="34"/>
      <c r="F1319" s="34"/>
      <c r="G1319" s="35"/>
      <c r="H1319" s="34"/>
      <c r="I1319" s="37"/>
    </row>
    <row r="1320" ht="22.5" customHeight="1">
      <c r="A1320" s="30"/>
      <c r="B1320" s="31"/>
      <c r="C1320" s="32"/>
      <c r="D1320" s="33"/>
      <c r="E1320" s="34"/>
      <c r="F1320" s="34"/>
      <c r="G1320" s="35"/>
      <c r="H1320" s="34"/>
      <c r="I1320" s="37"/>
    </row>
    <row r="1321" ht="22.5" customHeight="1">
      <c r="A1321" s="30"/>
      <c r="B1321" s="31"/>
      <c r="C1321" s="32"/>
      <c r="D1321" s="33"/>
      <c r="E1321" s="34"/>
      <c r="F1321" s="34"/>
      <c r="G1321" s="35"/>
      <c r="H1321" s="34"/>
      <c r="I1321" s="37"/>
    </row>
    <row r="1322" ht="22.5" customHeight="1">
      <c r="A1322" s="30"/>
      <c r="B1322" s="31"/>
      <c r="C1322" s="32"/>
      <c r="D1322" s="33"/>
      <c r="E1322" s="34"/>
      <c r="F1322" s="34"/>
      <c r="G1322" s="35"/>
      <c r="H1322" s="34"/>
      <c r="I1322" s="37"/>
    </row>
    <row r="1323" ht="22.5" customHeight="1">
      <c r="A1323" s="30"/>
      <c r="B1323" s="31"/>
      <c r="C1323" s="32"/>
      <c r="D1323" s="33"/>
      <c r="E1323" s="34"/>
      <c r="F1323" s="34"/>
      <c r="G1323" s="35"/>
      <c r="H1323" s="34"/>
      <c r="I1323" s="37"/>
    </row>
    <row r="1324" ht="22.5" customHeight="1">
      <c r="A1324" s="30"/>
      <c r="B1324" s="31"/>
      <c r="C1324" s="32"/>
      <c r="D1324" s="33"/>
      <c r="E1324" s="34"/>
      <c r="F1324" s="34"/>
      <c r="G1324" s="35"/>
      <c r="H1324" s="34"/>
      <c r="I1324" s="37"/>
    </row>
    <row r="1325" ht="22.5" customHeight="1">
      <c r="A1325" s="30"/>
      <c r="B1325" s="40"/>
      <c r="C1325" s="32"/>
      <c r="D1325" s="33"/>
      <c r="E1325" s="34"/>
      <c r="F1325" s="34"/>
      <c r="G1325" s="35"/>
      <c r="H1325" s="34"/>
      <c r="I1325" s="37"/>
    </row>
    <row r="1326" ht="22.5" customHeight="1">
      <c r="A1326" s="30"/>
      <c r="B1326" s="31"/>
      <c r="C1326" s="32"/>
      <c r="D1326" s="33"/>
      <c r="E1326" s="34"/>
      <c r="F1326" s="34"/>
      <c r="G1326" s="35"/>
      <c r="H1326" s="34"/>
      <c r="I1326" s="37"/>
    </row>
    <row r="1327" ht="22.5" customHeight="1">
      <c r="A1327" s="30"/>
      <c r="B1327" s="40"/>
      <c r="C1327" s="32"/>
      <c r="D1327" s="33"/>
      <c r="E1327" s="34"/>
      <c r="F1327" s="34"/>
      <c r="G1327" s="35"/>
      <c r="H1327" s="34"/>
      <c r="I1327" s="37"/>
    </row>
    <row r="1328" ht="22.5" customHeight="1">
      <c r="A1328" s="30"/>
      <c r="B1328" s="31"/>
      <c r="C1328" s="32"/>
      <c r="D1328" s="33"/>
      <c r="E1328" s="34"/>
      <c r="F1328" s="34"/>
      <c r="G1328" s="35"/>
      <c r="H1328" s="34"/>
      <c r="I1328" s="37"/>
    </row>
    <row r="1329" ht="22.5" customHeight="1">
      <c r="A1329" s="30"/>
      <c r="B1329" s="31"/>
      <c r="C1329" s="32"/>
      <c r="D1329" s="33"/>
      <c r="E1329" s="34"/>
      <c r="F1329" s="34"/>
      <c r="G1329" s="35"/>
      <c r="H1329" s="34"/>
      <c r="I1329" s="37"/>
    </row>
    <row r="1330" ht="22.5" customHeight="1">
      <c r="A1330" s="30"/>
      <c r="B1330" s="31"/>
      <c r="C1330" s="32"/>
      <c r="D1330" s="33"/>
      <c r="E1330" s="34"/>
      <c r="F1330" s="34"/>
      <c r="G1330" s="35"/>
      <c r="H1330" s="34"/>
      <c r="I1330" s="37"/>
    </row>
    <row r="1331" ht="22.5" customHeight="1">
      <c r="A1331" s="30"/>
      <c r="B1331" s="31"/>
      <c r="C1331" s="32"/>
      <c r="D1331" s="33"/>
      <c r="E1331" s="34"/>
      <c r="F1331" s="34"/>
      <c r="G1331" s="35"/>
      <c r="H1331" s="34"/>
      <c r="I1331" s="37"/>
    </row>
    <row r="1332" ht="22.5" customHeight="1">
      <c r="A1332" s="30"/>
      <c r="B1332" s="40"/>
      <c r="C1332" s="32"/>
      <c r="D1332" s="33"/>
      <c r="E1332" s="34"/>
      <c r="F1332" s="34"/>
      <c r="G1332" s="35"/>
      <c r="H1332" s="34"/>
      <c r="I1332" s="37"/>
    </row>
    <row r="1333" ht="22.5" customHeight="1">
      <c r="A1333" s="30"/>
      <c r="B1333" s="31"/>
      <c r="C1333" s="32"/>
      <c r="D1333" s="33"/>
      <c r="E1333" s="34"/>
      <c r="F1333" s="34"/>
      <c r="G1333" s="35"/>
      <c r="H1333" s="34"/>
      <c r="I1333" s="37"/>
    </row>
    <row r="1334" ht="22.5" customHeight="1">
      <c r="A1334" s="30"/>
      <c r="B1334" s="31"/>
      <c r="C1334" s="32"/>
      <c r="D1334" s="33"/>
      <c r="E1334" s="34"/>
      <c r="F1334" s="34"/>
      <c r="G1334" s="35"/>
      <c r="H1334" s="34"/>
      <c r="I1334" s="37"/>
    </row>
    <row r="1335" ht="22.5" customHeight="1">
      <c r="A1335" s="30"/>
      <c r="B1335" s="31"/>
      <c r="C1335" s="32"/>
      <c r="D1335" s="33"/>
      <c r="E1335" s="34"/>
      <c r="F1335" s="34"/>
      <c r="G1335" s="35"/>
      <c r="H1335" s="34"/>
      <c r="I1335" s="37"/>
    </row>
    <row r="1336" ht="22.5" customHeight="1">
      <c r="A1336" s="30"/>
      <c r="B1336" s="31"/>
      <c r="C1336" s="32"/>
      <c r="D1336" s="33"/>
      <c r="E1336" s="34"/>
      <c r="F1336" s="34"/>
      <c r="G1336" s="35"/>
      <c r="H1336" s="34"/>
      <c r="I1336" s="37"/>
    </row>
    <row r="1337" ht="22.5" customHeight="1">
      <c r="A1337" s="30"/>
      <c r="B1337" s="31"/>
      <c r="C1337" s="32"/>
      <c r="D1337" s="33"/>
      <c r="E1337" s="34"/>
      <c r="F1337" s="34"/>
      <c r="G1337" s="35"/>
      <c r="H1337" s="34"/>
      <c r="I1337" s="37"/>
    </row>
    <row r="1338" ht="22.5" customHeight="1">
      <c r="A1338" s="30"/>
      <c r="B1338" s="31"/>
      <c r="C1338" s="32"/>
      <c r="D1338" s="33"/>
      <c r="E1338" s="34"/>
      <c r="F1338" s="34"/>
      <c r="G1338" s="35"/>
      <c r="H1338" s="34"/>
      <c r="I1338" s="37"/>
    </row>
    <row r="1339" ht="22.5" customHeight="1">
      <c r="A1339" s="30"/>
      <c r="B1339" s="31"/>
      <c r="C1339" s="32"/>
      <c r="D1339" s="33"/>
      <c r="E1339" s="34"/>
      <c r="F1339" s="34"/>
      <c r="G1339" s="35"/>
      <c r="H1339" s="34"/>
      <c r="I1339" s="37"/>
    </row>
    <row r="1340" ht="22.5" customHeight="1">
      <c r="A1340" s="30"/>
      <c r="B1340" s="31"/>
      <c r="C1340" s="32"/>
      <c r="D1340" s="33"/>
      <c r="E1340" s="34"/>
      <c r="F1340" s="34"/>
      <c r="G1340" s="35"/>
      <c r="H1340" s="34"/>
      <c r="I1340" s="37"/>
    </row>
    <row r="1341" ht="22.5" customHeight="1">
      <c r="A1341" s="30"/>
      <c r="B1341" s="31"/>
      <c r="C1341" s="32"/>
      <c r="D1341" s="33"/>
      <c r="E1341" s="34"/>
      <c r="F1341" s="34"/>
      <c r="G1341" s="35"/>
      <c r="H1341" s="34"/>
      <c r="I1341" s="37"/>
    </row>
    <row r="1342" ht="22.5" customHeight="1">
      <c r="A1342" s="30"/>
      <c r="B1342" s="31"/>
      <c r="C1342" s="32"/>
      <c r="D1342" s="33"/>
      <c r="E1342" s="34"/>
      <c r="F1342" s="34"/>
      <c r="G1342" s="35"/>
      <c r="H1342" s="34"/>
      <c r="I1342" s="37"/>
    </row>
    <row r="1343" ht="22.5" customHeight="1">
      <c r="A1343" s="30"/>
      <c r="B1343" s="31"/>
      <c r="C1343" s="32"/>
      <c r="D1343" s="33"/>
      <c r="E1343" s="34"/>
      <c r="F1343" s="34"/>
      <c r="G1343" s="35"/>
      <c r="H1343" s="34"/>
      <c r="I1343" s="37"/>
    </row>
    <row r="1344" ht="22.5" customHeight="1">
      <c r="A1344" s="30"/>
      <c r="B1344" s="31"/>
      <c r="C1344" s="32"/>
      <c r="D1344" s="33"/>
      <c r="E1344" s="34"/>
      <c r="F1344" s="34"/>
      <c r="G1344" s="35"/>
      <c r="H1344" s="34"/>
      <c r="I1344" s="37"/>
    </row>
    <row r="1345" ht="22.5" customHeight="1">
      <c r="A1345" s="30"/>
      <c r="B1345" s="31"/>
      <c r="C1345" s="32"/>
      <c r="D1345" s="33"/>
      <c r="E1345" s="34"/>
      <c r="F1345" s="34"/>
      <c r="G1345" s="35"/>
      <c r="H1345" s="34"/>
      <c r="I1345" s="37"/>
    </row>
    <row r="1346" ht="22.5" customHeight="1">
      <c r="A1346" s="30"/>
      <c r="B1346" s="31"/>
      <c r="C1346" s="32"/>
      <c r="D1346" s="33"/>
      <c r="E1346" s="34"/>
      <c r="F1346" s="34"/>
      <c r="G1346" s="35"/>
      <c r="H1346" s="34"/>
      <c r="I1346" s="37"/>
    </row>
    <row r="1347" ht="22.5" customHeight="1">
      <c r="A1347" s="30"/>
      <c r="B1347" s="31"/>
      <c r="C1347" s="32"/>
      <c r="D1347" s="33"/>
      <c r="E1347" s="34"/>
      <c r="F1347" s="34"/>
      <c r="G1347" s="35"/>
      <c r="H1347" s="34"/>
      <c r="I1347" s="37"/>
    </row>
    <row r="1348" ht="22.5" customHeight="1">
      <c r="A1348" s="30"/>
      <c r="B1348" s="31"/>
      <c r="C1348" s="32"/>
      <c r="D1348" s="33"/>
      <c r="E1348" s="34"/>
      <c r="F1348" s="34"/>
      <c r="G1348" s="35"/>
      <c r="H1348" s="34"/>
      <c r="I1348" s="37"/>
    </row>
    <row r="1349" ht="22.5" customHeight="1">
      <c r="A1349" s="30"/>
      <c r="B1349" s="31"/>
      <c r="C1349" s="32"/>
      <c r="D1349" s="33"/>
      <c r="E1349" s="34"/>
      <c r="F1349" s="34"/>
      <c r="G1349" s="35"/>
      <c r="H1349" s="34"/>
      <c r="I1349" s="37"/>
    </row>
    <row r="1350" ht="22.5" customHeight="1">
      <c r="A1350" s="30"/>
      <c r="B1350" s="31"/>
      <c r="C1350" s="32"/>
      <c r="D1350" s="33"/>
      <c r="E1350" s="34"/>
      <c r="F1350" s="34"/>
      <c r="G1350" s="35"/>
      <c r="H1350" s="34"/>
      <c r="I1350" s="37"/>
    </row>
    <row r="1351" ht="22.5" customHeight="1">
      <c r="A1351" s="30"/>
      <c r="B1351" s="31"/>
      <c r="C1351" s="32"/>
      <c r="D1351" s="33"/>
      <c r="E1351" s="34"/>
      <c r="F1351" s="34"/>
      <c r="G1351" s="35"/>
      <c r="H1351" s="34"/>
      <c r="I1351" s="37"/>
    </row>
    <row r="1352" ht="22.5" customHeight="1">
      <c r="A1352" s="30"/>
      <c r="B1352" s="31"/>
      <c r="C1352" s="32"/>
      <c r="D1352" s="33"/>
      <c r="E1352" s="34"/>
      <c r="F1352" s="34"/>
      <c r="G1352" s="35"/>
      <c r="H1352" s="34"/>
      <c r="I1352" s="37"/>
    </row>
    <row r="1353" ht="22.5" customHeight="1">
      <c r="A1353" s="30"/>
      <c r="B1353" s="31"/>
      <c r="C1353" s="32"/>
      <c r="D1353" s="33"/>
      <c r="E1353" s="34"/>
      <c r="F1353" s="34"/>
      <c r="G1353" s="35"/>
      <c r="H1353" s="34"/>
      <c r="I1353" s="37"/>
    </row>
    <row r="1354" ht="22.5" customHeight="1">
      <c r="A1354" s="30"/>
      <c r="B1354" s="40"/>
      <c r="C1354" s="32"/>
      <c r="D1354" s="33"/>
      <c r="E1354" s="34"/>
      <c r="F1354" s="34"/>
      <c r="G1354" s="35"/>
      <c r="H1354" s="34"/>
      <c r="I1354" s="37"/>
    </row>
    <row r="1355" ht="22.5" customHeight="1">
      <c r="A1355" s="30"/>
      <c r="B1355" s="31"/>
      <c r="C1355" s="32"/>
      <c r="D1355" s="33"/>
      <c r="E1355" s="34"/>
      <c r="F1355" s="34"/>
      <c r="G1355" s="35"/>
      <c r="H1355" s="34"/>
      <c r="I1355" s="37"/>
    </row>
    <row r="1356" ht="22.5" customHeight="1">
      <c r="A1356" s="30"/>
      <c r="B1356" s="31"/>
      <c r="C1356" s="32"/>
      <c r="D1356" s="33"/>
      <c r="E1356" s="34"/>
      <c r="F1356" s="34"/>
      <c r="G1356" s="35"/>
      <c r="H1356" s="34"/>
      <c r="I1356" s="37"/>
    </row>
    <row r="1357" ht="22.5" customHeight="1">
      <c r="A1357" s="30"/>
      <c r="B1357" s="31"/>
      <c r="C1357" s="32"/>
      <c r="D1357" s="33"/>
      <c r="E1357" s="34"/>
      <c r="F1357" s="34"/>
      <c r="G1357" s="35"/>
      <c r="H1357" s="34"/>
      <c r="I1357" s="37"/>
    </row>
    <row r="1358" ht="22.5" customHeight="1">
      <c r="A1358" s="30"/>
      <c r="B1358" s="31"/>
      <c r="C1358" s="32"/>
      <c r="D1358" s="33"/>
      <c r="E1358" s="34"/>
      <c r="F1358" s="34"/>
      <c r="G1358" s="35"/>
      <c r="H1358" s="34"/>
      <c r="I1358" s="38"/>
    </row>
    <row r="1359" ht="22.5" customHeight="1">
      <c r="A1359" s="30"/>
      <c r="B1359" s="39"/>
      <c r="C1359" s="32"/>
      <c r="D1359" s="33"/>
      <c r="E1359" s="34"/>
      <c r="F1359" s="34"/>
      <c r="G1359" s="35"/>
      <c r="H1359" s="34"/>
      <c r="I1359" s="37"/>
    </row>
    <row r="1360" ht="22.5" customHeight="1">
      <c r="A1360" s="30"/>
      <c r="B1360" s="31"/>
      <c r="C1360" s="32"/>
      <c r="D1360" s="33"/>
      <c r="E1360" s="34"/>
      <c r="F1360" s="34"/>
      <c r="G1360" s="35"/>
      <c r="H1360" s="34"/>
      <c r="I1360" s="37"/>
    </row>
    <row r="1361" ht="22.5" customHeight="1">
      <c r="A1361" s="30"/>
      <c r="B1361" s="31"/>
      <c r="C1361" s="32"/>
      <c r="D1361" s="33"/>
      <c r="E1361" s="34"/>
      <c r="F1361" s="34"/>
      <c r="G1361" s="35"/>
      <c r="H1361" s="34"/>
      <c r="I1361" s="37"/>
    </row>
    <row r="1362" ht="22.5" customHeight="1">
      <c r="A1362" s="30"/>
      <c r="B1362" s="31"/>
      <c r="C1362" s="32"/>
      <c r="D1362" s="33"/>
      <c r="E1362" s="34"/>
      <c r="F1362" s="34"/>
      <c r="G1362" s="35"/>
      <c r="H1362" s="34"/>
      <c r="I1362" s="37"/>
    </row>
    <row r="1363" ht="22.5" customHeight="1">
      <c r="A1363" s="30"/>
      <c r="B1363" s="39"/>
      <c r="C1363" s="32"/>
      <c r="D1363" s="33"/>
      <c r="E1363" s="34"/>
      <c r="F1363" s="34"/>
      <c r="G1363" s="35"/>
      <c r="H1363" s="34"/>
      <c r="I1363" s="37"/>
    </row>
    <row r="1364" ht="22.5" customHeight="1">
      <c r="A1364" s="30"/>
      <c r="B1364" s="31"/>
      <c r="C1364" s="32"/>
      <c r="D1364" s="33"/>
      <c r="E1364" s="34"/>
      <c r="F1364" s="34"/>
      <c r="G1364" s="35"/>
      <c r="H1364" s="34"/>
      <c r="I1364" s="37"/>
    </row>
    <row r="1365" ht="22.5" customHeight="1">
      <c r="A1365" s="30"/>
      <c r="B1365" s="39"/>
      <c r="C1365" s="32"/>
      <c r="D1365" s="33"/>
      <c r="E1365" s="34"/>
      <c r="F1365" s="34"/>
      <c r="G1365" s="35"/>
      <c r="H1365" s="34"/>
      <c r="I1365" s="37"/>
    </row>
    <row r="1366" ht="22.5" customHeight="1">
      <c r="A1366" s="30"/>
      <c r="B1366" s="31"/>
      <c r="C1366" s="32"/>
      <c r="D1366" s="33"/>
      <c r="E1366" s="34"/>
      <c r="F1366" s="34"/>
      <c r="G1366" s="35"/>
      <c r="H1366" s="34"/>
      <c r="I1366" s="37"/>
    </row>
    <row r="1367" ht="22.5" customHeight="1">
      <c r="A1367" s="30"/>
      <c r="B1367" s="31"/>
      <c r="C1367" s="32"/>
      <c r="D1367" s="33"/>
      <c r="E1367" s="34"/>
      <c r="F1367" s="34"/>
      <c r="G1367" s="35"/>
      <c r="H1367" s="34"/>
      <c r="I1367" s="37"/>
    </row>
    <row r="1368" ht="22.5" customHeight="1">
      <c r="A1368" s="30"/>
      <c r="B1368" s="31"/>
      <c r="C1368" s="32"/>
      <c r="D1368" s="33"/>
      <c r="E1368" s="34"/>
      <c r="F1368" s="34"/>
      <c r="G1368" s="35"/>
      <c r="H1368" s="34"/>
      <c r="I1368" s="37"/>
    </row>
    <row r="1369" ht="22.5" customHeight="1">
      <c r="A1369" s="30"/>
      <c r="B1369" s="31"/>
      <c r="C1369" s="32"/>
      <c r="D1369" s="33"/>
      <c r="E1369" s="34"/>
      <c r="F1369" s="34"/>
      <c r="G1369" s="35"/>
      <c r="H1369" s="34"/>
      <c r="I1369" s="37"/>
    </row>
    <row r="1370" ht="22.5" customHeight="1">
      <c r="A1370" s="30"/>
      <c r="B1370" s="31"/>
      <c r="C1370" s="32"/>
      <c r="D1370" s="33"/>
      <c r="E1370" s="34"/>
      <c r="F1370" s="34"/>
      <c r="G1370" s="35"/>
      <c r="H1370" s="34"/>
      <c r="I1370" s="37"/>
    </row>
    <row r="1371" ht="22.5" customHeight="1">
      <c r="A1371" s="30"/>
      <c r="B1371" s="31"/>
      <c r="C1371" s="32"/>
      <c r="D1371" s="33"/>
      <c r="E1371" s="34"/>
      <c r="F1371" s="34"/>
      <c r="G1371" s="35"/>
      <c r="H1371" s="34"/>
      <c r="I1371" s="37"/>
    </row>
    <row r="1372" ht="22.5" customHeight="1">
      <c r="A1372" s="30"/>
      <c r="B1372" s="31"/>
      <c r="C1372" s="32"/>
      <c r="D1372" s="33"/>
      <c r="E1372" s="34"/>
      <c r="F1372" s="34"/>
      <c r="G1372" s="35"/>
      <c r="H1372" s="34"/>
      <c r="I1372" s="37"/>
    </row>
    <row r="1373" ht="22.5" customHeight="1">
      <c r="A1373" s="30"/>
      <c r="B1373" s="31"/>
      <c r="C1373" s="32"/>
      <c r="D1373" s="33"/>
      <c r="E1373" s="34"/>
      <c r="F1373" s="34"/>
      <c r="G1373" s="35"/>
      <c r="H1373" s="34"/>
      <c r="I1373" s="37"/>
    </row>
    <row r="1374" ht="22.5" customHeight="1">
      <c r="A1374" s="30"/>
      <c r="B1374" s="31"/>
      <c r="C1374" s="32"/>
      <c r="D1374" s="33"/>
      <c r="E1374" s="34"/>
      <c r="F1374" s="34"/>
      <c r="G1374" s="35"/>
      <c r="H1374" s="34"/>
      <c r="I1374" s="37"/>
    </row>
    <row r="1375" ht="22.5" customHeight="1">
      <c r="A1375" s="30"/>
      <c r="B1375" s="31"/>
      <c r="C1375" s="32"/>
      <c r="D1375" s="33"/>
      <c r="E1375" s="34"/>
      <c r="F1375" s="34"/>
      <c r="G1375" s="35"/>
      <c r="H1375" s="34"/>
      <c r="I1375" s="37"/>
    </row>
    <row r="1376" ht="22.5" customHeight="1">
      <c r="A1376" s="30"/>
      <c r="B1376" s="40"/>
      <c r="C1376" s="32"/>
      <c r="D1376" s="33"/>
      <c r="E1376" s="34"/>
      <c r="F1376" s="34"/>
      <c r="G1376" s="35"/>
      <c r="H1376" s="34"/>
      <c r="I1376" s="37"/>
    </row>
    <row r="1377" ht="22.5" customHeight="1">
      <c r="A1377" s="30"/>
      <c r="B1377" s="31"/>
      <c r="C1377" s="32"/>
      <c r="D1377" s="33"/>
      <c r="E1377" s="34"/>
      <c r="F1377" s="34"/>
      <c r="G1377" s="35"/>
      <c r="H1377" s="34"/>
      <c r="I1377" s="37"/>
    </row>
    <row r="1378" ht="22.5" customHeight="1">
      <c r="A1378" s="30"/>
      <c r="B1378" s="31"/>
      <c r="C1378" s="32"/>
      <c r="D1378" s="33"/>
      <c r="E1378" s="34"/>
      <c r="F1378" s="34"/>
      <c r="G1378" s="35"/>
      <c r="H1378" s="34"/>
      <c r="I1378" s="37"/>
    </row>
    <row r="1379" ht="22.5" customHeight="1">
      <c r="A1379" s="30"/>
      <c r="B1379" s="31"/>
      <c r="C1379" s="32"/>
      <c r="D1379" s="33"/>
      <c r="E1379" s="34"/>
      <c r="F1379" s="34"/>
      <c r="G1379" s="35"/>
      <c r="H1379" s="34"/>
      <c r="I1379" s="37"/>
    </row>
    <row r="1380" ht="22.5" customHeight="1">
      <c r="A1380" s="30"/>
      <c r="B1380" s="31"/>
      <c r="C1380" s="32"/>
      <c r="D1380" s="33"/>
      <c r="E1380" s="34"/>
      <c r="F1380" s="34"/>
      <c r="G1380" s="35"/>
      <c r="H1380" s="34"/>
      <c r="I1380" s="37"/>
    </row>
    <row r="1381" ht="22.5" customHeight="1">
      <c r="A1381" s="30"/>
      <c r="B1381" s="31"/>
      <c r="C1381" s="32"/>
      <c r="D1381" s="33"/>
      <c r="E1381" s="34"/>
      <c r="F1381" s="34"/>
      <c r="G1381" s="35"/>
      <c r="H1381" s="34"/>
      <c r="I1381" s="37"/>
    </row>
    <row r="1382" ht="22.5" customHeight="1">
      <c r="A1382" s="30"/>
      <c r="B1382" s="31"/>
      <c r="C1382" s="32"/>
      <c r="D1382" s="33"/>
      <c r="E1382" s="34"/>
      <c r="F1382" s="34"/>
      <c r="G1382" s="35"/>
      <c r="H1382" s="34"/>
      <c r="I1382" s="37"/>
    </row>
    <row r="1383" ht="22.5" customHeight="1">
      <c r="A1383" s="30"/>
      <c r="B1383" s="39"/>
      <c r="C1383" s="32"/>
      <c r="D1383" s="33"/>
      <c r="E1383" s="34"/>
      <c r="F1383" s="34"/>
      <c r="G1383" s="35"/>
      <c r="H1383" s="34"/>
      <c r="I1383" s="37"/>
    </row>
    <row r="1384" ht="22.5" customHeight="1">
      <c r="A1384" s="30"/>
      <c r="B1384" s="39"/>
      <c r="C1384" s="32"/>
      <c r="D1384" s="33"/>
      <c r="E1384" s="34"/>
      <c r="F1384" s="34"/>
      <c r="G1384" s="35"/>
      <c r="H1384" s="34"/>
      <c r="I1384" s="37"/>
    </row>
    <row r="1385" ht="22.5" customHeight="1">
      <c r="A1385" s="30"/>
      <c r="B1385" s="39"/>
      <c r="C1385" s="32"/>
      <c r="D1385" s="33"/>
      <c r="E1385" s="34"/>
      <c r="F1385" s="34"/>
      <c r="G1385" s="35"/>
      <c r="H1385" s="34"/>
      <c r="I1385" s="37"/>
    </row>
    <row r="1386" ht="22.5" customHeight="1">
      <c r="A1386" s="30"/>
      <c r="B1386" s="40"/>
      <c r="C1386" s="32"/>
      <c r="D1386" s="33"/>
      <c r="E1386" s="34"/>
      <c r="F1386" s="34"/>
      <c r="G1386" s="35"/>
      <c r="H1386" s="34"/>
      <c r="I1386" s="37"/>
    </row>
    <row r="1387" ht="22.5" customHeight="1">
      <c r="A1387" s="30"/>
      <c r="B1387" s="31"/>
      <c r="C1387" s="32"/>
      <c r="D1387" s="33"/>
      <c r="E1387" s="34"/>
      <c r="F1387" s="34"/>
      <c r="G1387" s="35"/>
      <c r="H1387" s="34"/>
      <c r="I1387" s="37"/>
    </row>
    <row r="1388" ht="22.5" customHeight="1">
      <c r="A1388" s="30"/>
      <c r="B1388" s="31"/>
      <c r="C1388" s="32"/>
      <c r="D1388" s="33"/>
      <c r="E1388" s="34"/>
      <c r="F1388" s="34"/>
      <c r="G1388" s="35"/>
      <c r="H1388" s="34"/>
      <c r="I1388" s="37"/>
    </row>
    <row r="1389" ht="22.5" customHeight="1">
      <c r="A1389" s="30"/>
      <c r="B1389" s="31"/>
      <c r="C1389" s="32"/>
      <c r="D1389" s="33"/>
      <c r="E1389" s="34"/>
      <c r="F1389" s="34"/>
      <c r="G1389" s="35"/>
      <c r="H1389" s="34"/>
      <c r="I1389" s="37"/>
    </row>
    <row r="1390" ht="22.5" customHeight="1">
      <c r="A1390" s="30"/>
      <c r="B1390" s="31"/>
      <c r="C1390" s="32"/>
      <c r="D1390" s="33"/>
      <c r="E1390" s="34"/>
      <c r="F1390" s="34"/>
      <c r="G1390" s="35"/>
      <c r="H1390" s="34"/>
      <c r="I1390" s="37"/>
    </row>
    <row r="1391" ht="22.5" customHeight="1">
      <c r="A1391" s="30"/>
      <c r="B1391" s="31"/>
      <c r="C1391" s="32"/>
      <c r="D1391" s="33"/>
      <c r="E1391" s="34"/>
      <c r="F1391" s="34"/>
      <c r="G1391" s="35"/>
      <c r="H1391" s="34"/>
      <c r="I1391" s="37"/>
    </row>
    <row r="1392" ht="22.5" customHeight="1">
      <c r="A1392" s="30"/>
      <c r="B1392" s="31"/>
      <c r="C1392" s="32"/>
      <c r="D1392" s="33"/>
      <c r="E1392" s="34"/>
      <c r="F1392" s="34"/>
      <c r="G1392" s="35"/>
      <c r="H1392" s="34"/>
      <c r="I1392" s="37"/>
    </row>
    <row r="1393" ht="22.5" customHeight="1">
      <c r="A1393" s="30"/>
      <c r="B1393" s="31"/>
      <c r="C1393" s="32"/>
      <c r="D1393" s="33"/>
      <c r="E1393" s="34"/>
      <c r="F1393" s="34"/>
      <c r="G1393" s="35"/>
      <c r="H1393" s="34"/>
      <c r="I1393" s="37"/>
    </row>
    <row r="1394" ht="22.5" customHeight="1">
      <c r="A1394" s="30"/>
      <c r="B1394" s="31"/>
      <c r="C1394" s="32"/>
      <c r="D1394" s="33"/>
      <c r="E1394" s="34"/>
      <c r="F1394" s="34"/>
      <c r="G1394" s="35"/>
      <c r="H1394" s="34"/>
      <c r="I1394" s="37"/>
    </row>
    <row r="1395" ht="22.5" customHeight="1">
      <c r="A1395" s="30"/>
      <c r="B1395" s="31"/>
      <c r="C1395" s="32"/>
      <c r="D1395" s="33"/>
      <c r="E1395" s="34"/>
      <c r="F1395" s="34"/>
      <c r="G1395" s="35"/>
      <c r="H1395" s="34"/>
      <c r="I1395" s="37"/>
    </row>
    <row r="1396" ht="22.5" customHeight="1">
      <c r="A1396" s="30"/>
      <c r="B1396" s="40"/>
      <c r="C1396" s="32"/>
      <c r="D1396" s="33"/>
      <c r="E1396" s="34"/>
      <c r="F1396" s="34"/>
      <c r="G1396" s="35"/>
      <c r="H1396" s="34"/>
      <c r="I1396" s="37"/>
    </row>
    <row r="1397" ht="22.5" customHeight="1">
      <c r="A1397" s="30"/>
      <c r="B1397" s="31"/>
      <c r="C1397" s="32"/>
      <c r="D1397" s="33"/>
      <c r="E1397" s="34"/>
      <c r="F1397" s="34"/>
      <c r="G1397" s="35"/>
      <c r="H1397" s="34"/>
      <c r="I1397" s="37"/>
    </row>
    <row r="1398" ht="22.5" customHeight="1">
      <c r="A1398" s="30"/>
      <c r="B1398" s="31"/>
      <c r="C1398" s="32"/>
      <c r="D1398" s="33"/>
      <c r="E1398" s="34"/>
      <c r="F1398" s="34"/>
      <c r="G1398" s="35"/>
      <c r="H1398" s="34"/>
      <c r="I1398" s="37"/>
    </row>
    <row r="1399" ht="22.5" customHeight="1">
      <c r="A1399" s="30"/>
      <c r="B1399" s="31"/>
      <c r="C1399" s="32"/>
      <c r="D1399" s="33"/>
      <c r="E1399" s="34"/>
      <c r="F1399" s="34"/>
      <c r="G1399" s="35"/>
      <c r="H1399" s="34"/>
      <c r="I1399" s="37"/>
    </row>
    <row r="1400" ht="22.5" customHeight="1">
      <c r="A1400" s="30"/>
      <c r="B1400" s="40"/>
      <c r="C1400" s="32"/>
      <c r="D1400" s="33"/>
      <c r="E1400" s="34"/>
      <c r="F1400" s="34"/>
      <c r="G1400" s="35"/>
      <c r="H1400" s="34"/>
      <c r="I1400" s="37"/>
    </row>
    <row r="1401" ht="22.5" customHeight="1">
      <c r="A1401" s="30"/>
      <c r="B1401" s="31"/>
      <c r="C1401" s="32"/>
      <c r="D1401" s="33"/>
      <c r="E1401" s="34"/>
      <c r="F1401" s="34"/>
      <c r="G1401" s="35"/>
      <c r="H1401" s="34"/>
      <c r="I1401" s="37"/>
    </row>
    <row r="1402" ht="22.5" customHeight="1">
      <c r="A1402" s="30"/>
      <c r="B1402" s="31"/>
      <c r="C1402" s="32"/>
      <c r="D1402" s="33"/>
      <c r="E1402" s="34"/>
      <c r="F1402" s="34"/>
      <c r="G1402" s="35"/>
      <c r="H1402" s="34"/>
      <c r="I1402" s="37"/>
    </row>
    <row r="1403" ht="22.5" customHeight="1">
      <c r="A1403" s="30"/>
      <c r="B1403" s="31"/>
      <c r="C1403" s="32"/>
      <c r="D1403" s="33"/>
      <c r="E1403" s="34"/>
      <c r="F1403" s="34"/>
      <c r="G1403" s="35"/>
      <c r="H1403" s="34"/>
      <c r="I1403" s="37"/>
    </row>
    <row r="1404" ht="22.5" customHeight="1">
      <c r="A1404" s="30"/>
      <c r="B1404" s="31"/>
      <c r="C1404" s="32"/>
      <c r="D1404" s="33"/>
      <c r="E1404" s="34"/>
      <c r="F1404" s="34"/>
      <c r="G1404" s="35"/>
      <c r="H1404" s="34"/>
      <c r="I1404" s="37"/>
    </row>
    <row r="1405" ht="22.5" customHeight="1">
      <c r="A1405" s="30"/>
      <c r="B1405" s="31"/>
      <c r="C1405" s="32"/>
      <c r="D1405" s="33"/>
      <c r="E1405" s="34"/>
      <c r="F1405" s="34"/>
      <c r="G1405" s="35"/>
      <c r="H1405" s="34"/>
      <c r="I1405" s="37"/>
    </row>
    <row r="1406" ht="22.5" customHeight="1">
      <c r="A1406" s="30"/>
      <c r="B1406" s="31"/>
      <c r="C1406" s="32"/>
      <c r="D1406" s="33"/>
      <c r="E1406" s="34"/>
      <c r="F1406" s="34"/>
      <c r="G1406" s="35"/>
      <c r="H1406" s="34"/>
      <c r="I1406" s="37"/>
    </row>
    <row r="1407" ht="22.5" customHeight="1">
      <c r="A1407" s="30"/>
      <c r="B1407" s="31"/>
      <c r="C1407" s="32"/>
      <c r="D1407" s="33"/>
      <c r="E1407" s="34"/>
      <c r="F1407" s="34"/>
      <c r="G1407" s="35"/>
      <c r="H1407" s="34"/>
      <c r="I1407" s="37"/>
    </row>
    <row r="1408" ht="22.5" customHeight="1">
      <c r="A1408" s="30"/>
      <c r="B1408" s="31"/>
      <c r="C1408" s="32"/>
      <c r="D1408" s="33"/>
      <c r="E1408" s="34"/>
      <c r="F1408" s="34"/>
      <c r="G1408" s="35"/>
      <c r="H1408" s="34"/>
      <c r="I1408" s="37"/>
    </row>
    <row r="1409" ht="22.5" customHeight="1">
      <c r="A1409" s="30"/>
      <c r="B1409" s="31"/>
      <c r="C1409" s="32"/>
      <c r="D1409" s="33"/>
      <c r="E1409" s="34"/>
      <c r="F1409" s="34"/>
      <c r="G1409" s="35"/>
      <c r="H1409" s="34"/>
      <c r="I1409" s="37"/>
    </row>
    <row r="1410" ht="22.5" customHeight="1">
      <c r="A1410" s="30"/>
      <c r="B1410" s="31"/>
      <c r="C1410" s="32"/>
      <c r="D1410" s="33"/>
      <c r="E1410" s="34"/>
      <c r="F1410" s="34"/>
      <c r="G1410" s="35"/>
      <c r="H1410" s="34"/>
      <c r="I1410" s="37"/>
    </row>
    <row r="1411" ht="22.5" customHeight="1">
      <c r="A1411" s="30"/>
      <c r="B1411" s="31"/>
      <c r="C1411" s="32"/>
      <c r="D1411" s="33"/>
      <c r="E1411" s="34"/>
      <c r="F1411" s="34"/>
      <c r="G1411" s="35"/>
      <c r="H1411" s="34"/>
      <c r="I1411" s="37"/>
    </row>
    <row r="1412" ht="22.5" customHeight="1">
      <c r="A1412" s="30"/>
      <c r="B1412" s="31"/>
      <c r="C1412" s="32"/>
      <c r="D1412" s="33"/>
      <c r="E1412" s="34"/>
      <c r="F1412" s="34"/>
      <c r="G1412" s="35"/>
      <c r="H1412" s="34"/>
      <c r="I1412" s="37"/>
    </row>
    <row r="1413" ht="22.5" customHeight="1">
      <c r="A1413" s="30"/>
      <c r="B1413" s="31"/>
      <c r="C1413" s="32"/>
      <c r="D1413" s="33"/>
      <c r="E1413" s="34"/>
      <c r="F1413" s="34"/>
      <c r="G1413" s="35"/>
      <c r="H1413" s="34"/>
      <c r="I1413" s="37"/>
    </row>
    <row r="1414" ht="22.5" customHeight="1">
      <c r="A1414" s="30"/>
      <c r="B1414" s="31"/>
      <c r="C1414" s="32"/>
      <c r="D1414" s="33"/>
      <c r="E1414" s="34"/>
      <c r="F1414" s="34"/>
      <c r="G1414" s="35"/>
      <c r="H1414" s="34"/>
      <c r="I1414" s="37"/>
    </row>
    <row r="1415" ht="22.5" customHeight="1">
      <c r="A1415" s="30"/>
      <c r="B1415" s="40"/>
      <c r="C1415" s="32"/>
      <c r="D1415" s="33"/>
      <c r="E1415" s="34"/>
      <c r="F1415" s="34"/>
      <c r="G1415" s="35"/>
      <c r="H1415" s="34"/>
      <c r="I1415" s="37"/>
    </row>
    <row r="1416" ht="22.5" customHeight="1">
      <c r="A1416" s="30"/>
      <c r="B1416" s="31"/>
      <c r="C1416" s="32"/>
      <c r="D1416" s="33"/>
      <c r="E1416" s="34"/>
      <c r="F1416" s="34"/>
      <c r="G1416" s="35"/>
      <c r="H1416" s="34"/>
      <c r="I1416" s="37"/>
    </row>
    <row r="1417" ht="22.5" customHeight="1">
      <c r="A1417" s="30"/>
      <c r="B1417" s="40"/>
      <c r="C1417" s="32"/>
      <c r="D1417" s="33"/>
      <c r="E1417" s="34"/>
      <c r="F1417" s="34"/>
      <c r="G1417" s="35"/>
      <c r="H1417" s="34"/>
      <c r="I1417" s="37"/>
    </row>
    <row r="1418" ht="22.5" customHeight="1">
      <c r="A1418" s="30"/>
      <c r="B1418" s="31"/>
      <c r="C1418" s="32"/>
      <c r="D1418" s="33"/>
      <c r="E1418" s="34"/>
      <c r="F1418" s="34"/>
      <c r="G1418" s="35"/>
      <c r="H1418" s="34"/>
      <c r="I1418" s="37"/>
    </row>
    <row r="1419" ht="22.5" customHeight="1">
      <c r="A1419" s="30"/>
      <c r="B1419" s="31"/>
      <c r="C1419" s="32"/>
      <c r="D1419" s="33"/>
      <c r="E1419" s="34"/>
      <c r="F1419" s="34"/>
      <c r="G1419" s="35"/>
      <c r="H1419" s="34"/>
      <c r="I1419" s="37"/>
    </row>
    <row r="1420" ht="22.5" customHeight="1">
      <c r="A1420" s="30"/>
      <c r="B1420" s="31"/>
      <c r="C1420" s="32"/>
      <c r="D1420" s="33"/>
      <c r="E1420" s="34"/>
      <c r="F1420" s="34"/>
      <c r="G1420" s="35"/>
      <c r="H1420" s="34"/>
      <c r="I1420" s="37"/>
    </row>
    <row r="1421" ht="22.5" customHeight="1">
      <c r="A1421" s="30"/>
      <c r="B1421" s="31"/>
      <c r="C1421" s="32"/>
      <c r="D1421" s="33"/>
      <c r="E1421" s="34"/>
      <c r="F1421" s="34"/>
      <c r="G1421" s="35"/>
      <c r="H1421" s="34"/>
      <c r="I1421" s="37"/>
    </row>
    <row r="1422" ht="22.5" customHeight="1">
      <c r="A1422" s="30"/>
      <c r="B1422" s="40"/>
      <c r="C1422" s="32"/>
      <c r="D1422" s="33"/>
      <c r="E1422" s="34"/>
      <c r="F1422" s="34"/>
      <c r="G1422" s="35"/>
      <c r="H1422" s="34"/>
      <c r="I1422" s="37"/>
    </row>
    <row r="1423" ht="22.5" customHeight="1">
      <c r="A1423" s="30"/>
      <c r="B1423" s="31"/>
      <c r="C1423" s="32"/>
      <c r="D1423" s="33"/>
      <c r="E1423" s="34"/>
      <c r="F1423" s="34"/>
      <c r="G1423" s="35"/>
      <c r="H1423" s="34"/>
      <c r="I1423" s="37"/>
    </row>
    <row r="1424" ht="22.5" customHeight="1">
      <c r="A1424" s="30"/>
      <c r="B1424" s="31"/>
      <c r="C1424" s="32"/>
      <c r="D1424" s="33"/>
      <c r="E1424" s="34"/>
      <c r="F1424" s="34"/>
      <c r="G1424" s="35"/>
      <c r="H1424" s="34"/>
      <c r="I1424" s="37"/>
    </row>
    <row r="1425" ht="22.5" customHeight="1">
      <c r="A1425" s="30"/>
      <c r="B1425" s="31"/>
      <c r="C1425" s="32"/>
      <c r="D1425" s="33"/>
      <c r="E1425" s="34"/>
      <c r="F1425" s="34"/>
      <c r="G1425" s="35"/>
      <c r="H1425" s="34"/>
      <c r="I1425" s="37"/>
    </row>
    <row r="1426" ht="22.5" customHeight="1">
      <c r="A1426" s="30"/>
      <c r="B1426" s="31"/>
      <c r="C1426" s="32"/>
      <c r="D1426" s="33"/>
      <c r="E1426" s="34"/>
      <c r="F1426" s="34"/>
      <c r="G1426" s="35"/>
      <c r="H1426" s="34"/>
      <c r="I1426" s="37"/>
    </row>
    <row r="1427" ht="22.5" customHeight="1">
      <c r="A1427" s="30"/>
      <c r="B1427" s="31"/>
      <c r="C1427" s="32"/>
      <c r="D1427" s="33"/>
      <c r="E1427" s="34"/>
      <c r="F1427" s="34"/>
      <c r="G1427" s="35"/>
      <c r="H1427" s="34"/>
      <c r="I1427" s="37"/>
    </row>
    <row r="1428" ht="22.5" customHeight="1">
      <c r="A1428" s="30"/>
      <c r="B1428" s="31"/>
      <c r="C1428" s="32"/>
      <c r="D1428" s="33"/>
      <c r="E1428" s="34"/>
      <c r="F1428" s="34"/>
      <c r="G1428" s="35"/>
      <c r="H1428" s="34"/>
      <c r="I1428" s="37"/>
    </row>
    <row r="1429" ht="22.5" customHeight="1">
      <c r="A1429" s="30"/>
      <c r="B1429" s="31"/>
      <c r="C1429" s="32"/>
      <c r="D1429" s="33"/>
      <c r="E1429" s="34"/>
      <c r="F1429" s="34"/>
      <c r="G1429" s="35"/>
      <c r="H1429" s="34"/>
      <c r="I1429" s="37"/>
    </row>
    <row r="1430" ht="22.5" customHeight="1">
      <c r="A1430" s="30"/>
      <c r="B1430" s="31"/>
      <c r="C1430" s="32"/>
      <c r="D1430" s="33"/>
      <c r="E1430" s="34"/>
      <c r="F1430" s="34"/>
      <c r="G1430" s="35"/>
      <c r="H1430" s="34"/>
      <c r="I1430" s="37"/>
    </row>
    <row r="1431" ht="22.5" customHeight="1">
      <c r="A1431" s="30"/>
      <c r="B1431" s="31"/>
      <c r="C1431" s="32"/>
      <c r="D1431" s="33"/>
      <c r="E1431" s="34"/>
      <c r="F1431" s="34"/>
      <c r="G1431" s="35"/>
      <c r="H1431" s="34"/>
      <c r="I1431" s="37"/>
    </row>
    <row r="1432" ht="22.5" customHeight="1">
      <c r="A1432" s="30"/>
      <c r="B1432" s="31"/>
      <c r="C1432" s="32"/>
      <c r="D1432" s="33"/>
      <c r="E1432" s="34"/>
      <c r="F1432" s="34"/>
      <c r="G1432" s="35"/>
      <c r="H1432" s="34"/>
      <c r="I1432" s="37"/>
    </row>
    <row r="1433" ht="22.5" customHeight="1">
      <c r="A1433" s="30"/>
      <c r="B1433" s="31"/>
      <c r="C1433" s="32"/>
      <c r="D1433" s="33"/>
      <c r="E1433" s="34"/>
      <c r="F1433" s="34"/>
      <c r="G1433" s="35"/>
      <c r="H1433" s="34"/>
      <c r="I1433" s="37"/>
    </row>
    <row r="1434" ht="22.5" customHeight="1">
      <c r="A1434" s="30"/>
      <c r="B1434" s="31"/>
      <c r="C1434" s="32"/>
      <c r="D1434" s="33"/>
      <c r="E1434" s="34"/>
      <c r="F1434" s="34"/>
      <c r="G1434" s="35"/>
      <c r="H1434" s="34"/>
      <c r="I1434" s="37"/>
    </row>
    <row r="1435" ht="22.5" customHeight="1">
      <c r="A1435" s="30"/>
      <c r="B1435" s="31"/>
      <c r="C1435" s="32"/>
      <c r="D1435" s="33"/>
      <c r="E1435" s="34"/>
      <c r="F1435" s="34"/>
      <c r="G1435" s="35"/>
      <c r="H1435" s="34"/>
      <c r="I1435" s="37"/>
    </row>
    <row r="1436" ht="22.5" customHeight="1">
      <c r="A1436" s="30"/>
      <c r="B1436" s="31"/>
      <c r="C1436" s="32"/>
      <c r="D1436" s="33"/>
      <c r="E1436" s="34"/>
      <c r="F1436" s="34"/>
      <c r="G1436" s="35"/>
      <c r="H1436" s="34"/>
      <c r="I1436" s="37"/>
    </row>
    <row r="1437" ht="22.5" customHeight="1">
      <c r="A1437" s="30"/>
      <c r="B1437" s="31"/>
      <c r="C1437" s="32"/>
      <c r="D1437" s="33"/>
      <c r="E1437" s="34"/>
      <c r="F1437" s="34"/>
      <c r="G1437" s="35"/>
      <c r="H1437" s="34"/>
      <c r="I1437" s="37"/>
    </row>
    <row r="1438" ht="22.5" customHeight="1">
      <c r="A1438" s="30"/>
      <c r="B1438" s="31"/>
      <c r="C1438" s="32"/>
      <c r="D1438" s="33"/>
      <c r="E1438" s="34"/>
      <c r="F1438" s="34"/>
      <c r="G1438" s="35"/>
      <c r="H1438" s="34"/>
      <c r="I1438" s="37"/>
    </row>
    <row r="1439" ht="22.5" customHeight="1">
      <c r="A1439" s="30"/>
      <c r="B1439" s="31"/>
      <c r="C1439" s="32"/>
      <c r="D1439" s="33"/>
      <c r="E1439" s="34"/>
      <c r="F1439" s="34"/>
      <c r="G1439" s="35"/>
      <c r="H1439" s="34"/>
      <c r="I1439" s="37"/>
    </row>
    <row r="1440" ht="22.5" customHeight="1">
      <c r="A1440" s="30"/>
      <c r="B1440" s="31"/>
      <c r="C1440" s="32"/>
      <c r="D1440" s="33"/>
      <c r="E1440" s="34"/>
      <c r="F1440" s="34"/>
      <c r="G1440" s="35"/>
      <c r="H1440" s="34"/>
      <c r="I1440" s="37"/>
    </row>
    <row r="1441" ht="22.5" customHeight="1">
      <c r="A1441" s="30"/>
      <c r="B1441" s="31"/>
      <c r="C1441" s="32"/>
      <c r="D1441" s="33"/>
      <c r="E1441" s="34"/>
      <c r="F1441" s="34"/>
      <c r="G1441" s="35"/>
      <c r="H1441" s="34"/>
      <c r="I1441" s="37"/>
    </row>
    <row r="1442" ht="22.5" customHeight="1">
      <c r="A1442" s="30"/>
      <c r="B1442" s="31"/>
      <c r="C1442" s="32"/>
      <c r="D1442" s="33"/>
      <c r="E1442" s="34"/>
      <c r="F1442" s="34"/>
      <c r="G1442" s="35"/>
      <c r="H1442" s="34"/>
      <c r="I1442" s="37"/>
    </row>
    <row r="1443" ht="22.5" customHeight="1">
      <c r="A1443" s="30"/>
      <c r="B1443" s="31"/>
      <c r="C1443" s="32"/>
      <c r="D1443" s="33"/>
      <c r="E1443" s="34"/>
      <c r="F1443" s="34"/>
      <c r="G1443" s="35"/>
      <c r="H1443" s="34"/>
      <c r="I1443" s="37"/>
    </row>
    <row r="1444" ht="22.5" customHeight="1">
      <c r="A1444" s="30"/>
      <c r="B1444" s="40"/>
      <c r="C1444" s="32"/>
      <c r="D1444" s="33"/>
      <c r="E1444" s="34"/>
      <c r="F1444" s="34"/>
      <c r="G1444" s="35"/>
      <c r="H1444" s="34"/>
      <c r="I1444" s="37"/>
    </row>
    <row r="1445" ht="22.5" customHeight="1">
      <c r="A1445" s="30"/>
      <c r="B1445" s="31"/>
      <c r="C1445" s="32"/>
      <c r="D1445" s="33"/>
      <c r="E1445" s="34"/>
      <c r="F1445" s="34"/>
      <c r="G1445" s="35"/>
      <c r="H1445" s="34"/>
      <c r="I1445" s="37"/>
    </row>
    <row r="1446" ht="22.5" customHeight="1">
      <c r="A1446" s="30"/>
      <c r="B1446" s="31"/>
      <c r="C1446" s="32"/>
      <c r="D1446" s="33"/>
      <c r="E1446" s="34"/>
      <c r="F1446" s="34"/>
      <c r="G1446" s="35"/>
      <c r="H1446" s="34"/>
      <c r="I1446" s="37"/>
    </row>
    <row r="1447" ht="22.5" customHeight="1">
      <c r="A1447" s="30"/>
      <c r="B1447" s="31"/>
      <c r="C1447" s="32"/>
      <c r="D1447" s="33"/>
      <c r="E1447" s="34"/>
      <c r="F1447" s="34"/>
      <c r="G1447" s="35"/>
      <c r="H1447" s="34"/>
      <c r="I1447" s="37"/>
    </row>
    <row r="1448" ht="22.5" customHeight="1">
      <c r="A1448" s="30"/>
      <c r="B1448" s="31"/>
      <c r="C1448" s="32"/>
      <c r="D1448" s="33"/>
      <c r="E1448" s="34"/>
      <c r="F1448" s="34"/>
      <c r="G1448" s="35"/>
      <c r="H1448" s="34"/>
      <c r="I1448" s="38"/>
    </row>
    <row r="1449" ht="22.5" customHeight="1">
      <c r="A1449" s="30"/>
      <c r="B1449" s="39"/>
      <c r="C1449" s="32"/>
      <c r="D1449" s="33"/>
      <c r="E1449" s="34"/>
      <c r="F1449" s="34"/>
      <c r="G1449" s="35"/>
      <c r="H1449" s="34"/>
      <c r="I1449" s="37"/>
    </row>
    <row r="1450" ht="22.5" customHeight="1">
      <c r="A1450" s="30"/>
      <c r="B1450" s="31"/>
      <c r="C1450" s="32"/>
      <c r="D1450" s="33"/>
      <c r="E1450" s="34"/>
      <c r="F1450" s="34"/>
      <c r="G1450" s="35"/>
      <c r="H1450" s="34"/>
      <c r="I1450" s="37"/>
    </row>
    <row r="1451" ht="22.5" customHeight="1">
      <c r="A1451" s="30"/>
      <c r="B1451" s="31"/>
      <c r="C1451" s="32"/>
      <c r="D1451" s="33"/>
      <c r="E1451" s="34"/>
      <c r="F1451" s="34"/>
      <c r="G1451" s="35"/>
      <c r="H1451" s="34"/>
      <c r="I1451" s="37"/>
    </row>
    <row r="1452" ht="22.5" customHeight="1">
      <c r="A1452" s="30"/>
      <c r="B1452" s="31"/>
      <c r="C1452" s="32"/>
      <c r="D1452" s="33"/>
      <c r="E1452" s="34"/>
      <c r="F1452" s="34"/>
      <c r="G1452" s="35"/>
      <c r="H1452" s="34"/>
      <c r="I1452" s="37"/>
    </row>
    <row r="1453" ht="22.5" customHeight="1">
      <c r="A1453" s="30"/>
      <c r="B1453" s="39"/>
      <c r="C1453" s="32"/>
      <c r="D1453" s="33"/>
      <c r="E1453" s="34"/>
      <c r="F1453" s="34"/>
      <c r="G1453" s="35"/>
      <c r="H1453" s="34"/>
      <c r="I1453" s="37"/>
    </row>
    <row r="1454" ht="22.5" customHeight="1">
      <c r="A1454" s="30"/>
      <c r="B1454" s="31"/>
      <c r="C1454" s="32"/>
      <c r="D1454" s="33"/>
      <c r="E1454" s="34"/>
      <c r="F1454" s="34"/>
      <c r="G1454" s="35"/>
      <c r="H1454" s="34"/>
      <c r="I1454" s="37"/>
    </row>
    <row r="1455" ht="22.5" customHeight="1">
      <c r="A1455" s="30"/>
      <c r="B1455" s="39"/>
      <c r="C1455" s="32"/>
      <c r="D1455" s="33"/>
      <c r="E1455" s="34"/>
      <c r="F1455" s="34"/>
      <c r="G1455" s="35"/>
      <c r="H1455" s="34"/>
      <c r="I1455" s="37"/>
    </row>
    <row r="1456" ht="22.5" customHeight="1">
      <c r="A1456" s="30"/>
      <c r="B1456" s="31"/>
      <c r="C1456" s="32"/>
      <c r="D1456" s="33"/>
      <c r="E1456" s="34"/>
      <c r="F1456" s="34"/>
      <c r="G1456" s="35"/>
      <c r="H1456" s="34"/>
      <c r="I1456" s="37"/>
    </row>
    <row r="1457" ht="22.5" customHeight="1">
      <c r="A1457" s="30"/>
      <c r="B1457" s="31"/>
      <c r="C1457" s="32"/>
      <c r="D1457" s="33"/>
      <c r="E1457" s="34"/>
      <c r="F1457" s="34"/>
      <c r="G1457" s="35"/>
      <c r="H1457" s="34"/>
      <c r="I1457" s="37"/>
    </row>
    <row r="1458" ht="22.5" customHeight="1">
      <c r="A1458" s="30"/>
      <c r="B1458" s="31"/>
      <c r="C1458" s="32"/>
      <c r="D1458" s="33"/>
      <c r="E1458" s="34"/>
      <c r="F1458" s="34"/>
      <c r="G1458" s="35"/>
      <c r="H1458" s="34"/>
      <c r="I1458" s="37"/>
    </row>
    <row r="1459" ht="22.5" customHeight="1">
      <c r="A1459" s="30"/>
      <c r="B1459" s="31"/>
      <c r="C1459" s="32"/>
      <c r="D1459" s="33"/>
      <c r="E1459" s="34"/>
      <c r="F1459" s="34"/>
      <c r="G1459" s="35"/>
      <c r="H1459" s="34"/>
      <c r="I1459" s="37"/>
    </row>
    <row r="1460" ht="22.5" customHeight="1">
      <c r="A1460" s="30"/>
      <c r="B1460" s="31"/>
      <c r="C1460" s="32"/>
      <c r="D1460" s="33"/>
      <c r="E1460" s="34"/>
      <c r="F1460" s="34"/>
      <c r="G1460" s="35"/>
      <c r="H1460" s="34"/>
      <c r="I1460" s="37"/>
    </row>
    <row r="1461" ht="22.5" customHeight="1">
      <c r="A1461" s="30"/>
      <c r="B1461" s="31"/>
      <c r="C1461" s="32"/>
      <c r="D1461" s="33"/>
      <c r="E1461" s="34"/>
      <c r="F1461" s="34"/>
      <c r="G1461" s="35"/>
      <c r="H1461" s="34"/>
      <c r="I1461" s="37"/>
    </row>
    <row r="1462" ht="22.5" customHeight="1">
      <c r="A1462" s="30"/>
      <c r="B1462" s="31"/>
      <c r="C1462" s="32"/>
      <c r="D1462" s="33"/>
      <c r="E1462" s="34"/>
      <c r="F1462" s="34"/>
      <c r="G1462" s="35"/>
      <c r="H1462" s="34"/>
      <c r="I1462" s="37"/>
    </row>
    <row r="1463" ht="22.5" customHeight="1">
      <c r="A1463" s="30"/>
      <c r="B1463" s="31"/>
      <c r="C1463" s="32"/>
      <c r="D1463" s="33"/>
      <c r="E1463" s="34"/>
      <c r="F1463" s="34"/>
      <c r="G1463" s="35"/>
      <c r="H1463" s="34"/>
      <c r="I1463" s="37"/>
    </row>
    <row r="1464" ht="22.5" customHeight="1">
      <c r="A1464" s="30"/>
      <c r="B1464" s="31"/>
      <c r="C1464" s="32"/>
      <c r="D1464" s="33"/>
      <c r="E1464" s="34"/>
      <c r="F1464" s="34"/>
      <c r="G1464" s="35"/>
      <c r="H1464" s="34"/>
      <c r="I1464" s="37"/>
    </row>
    <row r="1465" ht="22.5" customHeight="1">
      <c r="A1465" s="30"/>
      <c r="B1465" s="31"/>
      <c r="C1465" s="32"/>
      <c r="D1465" s="33"/>
      <c r="E1465" s="34"/>
      <c r="F1465" s="34"/>
      <c r="G1465" s="35"/>
      <c r="H1465" s="34"/>
      <c r="I1465" s="37"/>
    </row>
    <row r="1466" ht="22.5" customHeight="1">
      <c r="A1466" s="30"/>
      <c r="B1466" s="40"/>
      <c r="C1466" s="32"/>
      <c r="D1466" s="33"/>
      <c r="E1466" s="34"/>
      <c r="F1466" s="34"/>
      <c r="G1466" s="35"/>
      <c r="H1466" s="34"/>
      <c r="I1466" s="37"/>
    </row>
    <row r="1467" ht="22.5" customHeight="1">
      <c r="A1467" s="30"/>
      <c r="B1467" s="31"/>
      <c r="C1467" s="32"/>
      <c r="D1467" s="33"/>
      <c r="E1467" s="34"/>
      <c r="F1467" s="34"/>
      <c r="G1467" s="35"/>
      <c r="H1467" s="34"/>
      <c r="I1467" s="37"/>
    </row>
    <row r="1468" ht="22.5" customHeight="1">
      <c r="A1468" s="30"/>
      <c r="B1468" s="31"/>
      <c r="C1468" s="32"/>
      <c r="D1468" s="33"/>
      <c r="E1468" s="34"/>
      <c r="F1468" s="34"/>
      <c r="G1468" s="35"/>
      <c r="H1468" s="34"/>
      <c r="I1468" s="37"/>
    </row>
    <row r="1469" ht="22.5" customHeight="1">
      <c r="A1469" s="30"/>
      <c r="B1469" s="31"/>
      <c r="C1469" s="32"/>
      <c r="D1469" s="33"/>
      <c r="E1469" s="34"/>
      <c r="F1469" s="34"/>
      <c r="G1469" s="35"/>
      <c r="H1469" s="34"/>
      <c r="I1469" s="37"/>
    </row>
    <row r="1470" ht="22.5" customHeight="1">
      <c r="A1470" s="30"/>
      <c r="B1470" s="31"/>
      <c r="C1470" s="32"/>
      <c r="D1470" s="33"/>
      <c r="E1470" s="34"/>
      <c r="F1470" s="34"/>
      <c r="G1470" s="35"/>
      <c r="H1470" s="34"/>
      <c r="I1470" s="37"/>
    </row>
    <row r="1471" ht="22.5" customHeight="1">
      <c r="A1471" s="30"/>
      <c r="B1471" s="31"/>
      <c r="C1471" s="32"/>
      <c r="D1471" s="33"/>
      <c r="E1471" s="34"/>
      <c r="F1471" s="34"/>
      <c r="G1471" s="35"/>
      <c r="H1471" s="34"/>
      <c r="I1471" s="37"/>
    </row>
    <row r="1472" ht="22.5" customHeight="1">
      <c r="A1472" s="30"/>
      <c r="B1472" s="31"/>
      <c r="C1472" s="32"/>
      <c r="D1472" s="33"/>
      <c r="E1472" s="34"/>
      <c r="F1472" s="34"/>
      <c r="G1472" s="35"/>
      <c r="H1472" s="34"/>
      <c r="I1472" s="37"/>
    </row>
    <row r="1473" ht="22.5" customHeight="1">
      <c r="A1473" s="30"/>
      <c r="B1473" s="39"/>
      <c r="C1473" s="32"/>
      <c r="D1473" s="33"/>
      <c r="E1473" s="34"/>
      <c r="F1473" s="34"/>
      <c r="G1473" s="35"/>
      <c r="H1473" s="34"/>
      <c r="I1473" s="37"/>
    </row>
    <row r="1474" ht="22.5" customHeight="1">
      <c r="A1474" s="30"/>
      <c r="B1474" s="39"/>
      <c r="C1474" s="32"/>
      <c r="D1474" s="33"/>
      <c r="E1474" s="34"/>
      <c r="F1474" s="34"/>
      <c r="G1474" s="35"/>
      <c r="H1474" s="34"/>
      <c r="I1474" s="37"/>
    </row>
    <row r="1475" ht="22.5" customHeight="1">
      <c r="A1475" s="30"/>
      <c r="B1475" s="39"/>
      <c r="C1475" s="32"/>
      <c r="D1475" s="33"/>
      <c r="E1475" s="34"/>
      <c r="F1475" s="34"/>
      <c r="G1475" s="35"/>
      <c r="H1475" s="34"/>
      <c r="I1475" s="37"/>
    </row>
    <row r="1476" ht="22.5" customHeight="1">
      <c r="A1476" s="30"/>
      <c r="B1476" s="40"/>
      <c r="C1476" s="32"/>
      <c r="D1476" s="33"/>
      <c r="E1476" s="34"/>
      <c r="F1476" s="34"/>
      <c r="G1476" s="35"/>
      <c r="H1476" s="34"/>
      <c r="I1476" s="37"/>
    </row>
    <row r="1477" ht="22.5" customHeight="1">
      <c r="A1477" s="30"/>
      <c r="B1477" s="31"/>
      <c r="C1477" s="32"/>
      <c r="D1477" s="33"/>
      <c r="E1477" s="34"/>
      <c r="F1477" s="34"/>
      <c r="G1477" s="35"/>
      <c r="H1477" s="34"/>
      <c r="I1477" s="37"/>
    </row>
    <row r="1478" ht="22.5" customHeight="1">
      <c r="A1478" s="30"/>
      <c r="B1478" s="31"/>
      <c r="C1478" s="32"/>
      <c r="D1478" s="33"/>
      <c r="E1478" s="34"/>
      <c r="F1478" s="34"/>
      <c r="G1478" s="35"/>
      <c r="H1478" s="34"/>
      <c r="I1478" s="37"/>
    </row>
    <row r="1479" ht="22.5" customHeight="1">
      <c r="A1479" s="30"/>
      <c r="B1479" s="31"/>
      <c r="C1479" s="32"/>
      <c r="D1479" s="33"/>
      <c r="E1479" s="34"/>
      <c r="F1479" s="34"/>
      <c r="G1479" s="35"/>
      <c r="H1479" s="34"/>
      <c r="I1479" s="37"/>
    </row>
    <row r="1480" ht="22.5" customHeight="1">
      <c r="A1480" s="30"/>
      <c r="B1480" s="31"/>
      <c r="C1480" s="32"/>
      <c r="D1480" s="33"/>
      <c r="E1480" s="34"/>
      <c r="F1480" s="34"/>
      <c r="G1480" s="35"/>
      <c r="H1480" s="34"/>
      <c r="I1480" s="37"/>
    </row>
    <row r="1481" ht="22.5" customHeight="1">
      <c r="A1481" s="30"/>
      <c r="B1481" s="31"/>
      <c r="C1481" s="32"/>
      <c r="D1481" s="33"/>
      <c r="E1481" s="34"/>
      <c r="F1481" s="34"/>
      <c r="G1481" s="35"/>
      <c r="H1481" s="34"/>
      <c r="I1481" s="37"/>
    </row>
    <row r="1482" ht="22.5" customHeight="1">
      <c r="A1482" s="30"/>
      <c r="B1482" s="31"/>
      <c r="C1482" s="32"/>
      <c r="D1482" s="33"/>
      <c r="E1482" s="34"/>
      <c r="F1482" s="34"/>
      <c r="G1482" s="35"/>
      <c r="H1482" s="34"/>
      <c r="I1482" s="37"/>
    </row>
    <row r="1483" ht="22.5" customHeight="1">
      <c r="A1483" s="30"/>
      <c r="B1483" s="31"/>
      <c r="C1483" s="32"/>
      <c r="D1483" s="33"/>
      <c r="E1483" s="34"/>
      <c r="F1483" s="34"/>
      <c r="G1483" s="35"/>
      <c r="H1483" s="34"/>
      <c r="I1483" s="37"/>
    </row>
    <row r="1484" ht="22.5" customHeight="1">
      <c r="A1484" s="30"/>
      <c r="B1484" s="31"/>
      <c r="C1484" s="32"/>
      <c r="D1484" s="33"/>
      <c r="E1484" s="34"/>
      <c r="F1484" s="34"/>
      <c r="G1484" s="35"/>
      <c r="H1484" s="34"/>
      <c r="I1484" s="37"/>
    </row>
    <row r="1485" ht="22.5" customHeight="1">
      <c r="A1485" s="30"/>
      <c r="B1485" s="31"/>
      <c r="C1485" s="32"/>
      <c r="D1485" s="33"/>
      <c r="E1485" s="34"/>
      <c r="F1485" s="34"/>
      <c r="G1485" s="35"/>
      <c r="H1485" s="34"/>
      <c r="I1485" s="37"/>
    </row>
    <row r="1486" ht="22.5" customHeight="1">
      <c r="A1486" s="30"/>
      <c r="B1486" s="40"/>
      <c r="C1486" s="32"/>
      <c r="D1486" s="33"/>
      <c r="E1486" s="34"/>
      <c r="F1486" s="34"/>
      <c r="G1486" s="35"/>
      <c r="H1486" s="34"/>
      <c r="I1486" s="37"/>
    </row>
    <row r="1487" ht="22.5" customHeight="1">
      <c r="A1487" s="30"/>
      <c r="B1487" s="31"/>
      <c r="C1487" s="32"/>
      <c r="D1487" s="33"/>
      <c r="E1487" s="34"/>
      <c r="F1487" s="34"/>
      <c r="G1487" s="35"/>
      <c r="H1487" s="34"/>
      <c r="I1487" s="37"/>
    </row>
    <row r="1488" ht="22.5" customHeight="1">
      <c r="A1488" s="30"/>
      <c r="B1488" s="31"/>
      <c r="C1488" s="32"/>
      <c r="D1488" s="33"/>
      <c r="E1488" s="34"/>
      <c r="F1488" s="34"/>
      <c r="G1488" s="35"/>
      <c r="H1488" s="34"/>
      <c r="I1488" s="37"/>
    </row>
    <row r="1489" ht="22.5" customHeight="1">
      <c r="A1489" s="30"/>
      <c r="B1489" s="31"/>
      <c r="C1489" s="32"/>
      <c r="D1489" s="33"/>
      <c r="E1489" s="34"/>
      <c r="F1489" s="34"/>
      <c r="G1489" s="35"/>
      <c r="H1489" s="34"/>
      <c r="I1489" s="37"/>
    </row>
    <row r="1490" ht="22.5" customHeight="1">
      <c r="A1490" s="30"/>
      <c r="B1490" s="40"/>
      <c r="C1490" s="32"/>
      <c r="D1490" s="33"/>
      <c r="E1490" s="34"/>
      <c r="F1490" s="34"/>
      <c r="G1490" s="35"/>
      <c r="H1490" s="34"/>
      <c r="I1490" s="37"/>
    </row>
    <row r="1491" ht="22.5" customHeight="1">
      <c r="A1491" s="30"/>
      <c r="B1491" s="31"/>
      <c r="C1491" s="32"/>
      <c r="D1491" s="33"/>
      <c r="E1491" s="34"/>
      <c r="F1491" s="34"/>
      <c r="G1491" s="35"/>
      <c r="H1491" s="34"/>
      <c r="I1491" s="37"/>
    </row>
    <row r="1492" ht="22.5" customHeight="1">
      <c r="A1492" s="30"/>
      <c r="B1492" s="31"/>
      <c r="C1492" s="32"/>
      <c r="D1492" s="33"/>
      <c r="E1492" s="34"/>
      <c r="F1492" s="34"/>
      <c r="G1492" s="35"/>
      <c r="H1492" s="34"/>
      <c r="I1492" s="37"/>
    </row>
    <row r="1493" ht="22.5" customHeight="1">
      <c r="A1493" s="30"/>
      <c r="B1493" s="31"/>
      <c r="C1493" s="32"/>
      <c r="D1493" s="33"/>
      <c r="E1493" s="34"/>
      <c r="F1493" s="34"/>
      <c r="G1493" s="35"/>
      <c r="H1493" s="34"/>
      <c r="I1493" s="37"/>
    </row>
    <row r="1494" ht="22.5" customHeight="1">
      <c r="A1494" s="30"/>
      <c r="B1494" s="31"/>
      <c r="C1494" s="32"/>
      <c r="D1494" s="33"/>
      <c r="E1494" s="34"/>
      <c r="F1494" s="34"/>
      <c r="G1494" s="35"/>
      <c r="H1494" s="34"/>
      <c r="I1494" s="37"/>
    </row>
    <row r="1495" ht="22.5" customHeight="1">
      <c r="A1495" s="30"/>
      <c r="B1495" s="31"/>
      <c r="C1495" s="32"/>
      <c r="D1495" s="33"/>
      <c r="E1495" s="34"/>
      <c r="F1495" s="34"/>
      <c r="G1495" s="35"/>
      <c r="H1495" s="34"/>
      <c r="I1495" s="37"/>
    </row>
    <row r="1496" ht="22.5" customHeight="1">
      <c r="A1496" s="30"/>
      <c r="B1496" s="31"/>
      <c r="C1496" s="32"/>
      <c r="D1496" s="33"/>
      <c r="E1496" s="34"/>
      <c r="F1496" s="34"/>
      <c r="G1496" s="35"/>
      <c r="H1496" s="34"/>
      <c r="I1496" s="37"/>
    </row>
    <row r="1497" ht="22.5" customHeight="1">
      <c r="A1497" s="30"/>
      <c r="B1497" s="31"/>
      <c r="C1497" s="32"/>
      <c r="D1497" s="33"/>
      <c r="E1497" s="34"/>
      <c r="F1497" s="34"/>
      <c r="G1497" s="35"/>
      <c r="H1497" s="34"/>
      <c r="I1497" s="37"/>
    </row>
    <row r="1498" ht="22.5" customHeight="1">
      <c r="A1498" s="30"/>
      <c r="B1498" s="31"/>
      <c r="C1498" s="32"/>
      <c r="D1498" s="33"/>
      <c r="E1498" s="34"/>
      <c r="F1498" s="34"/>
      <c r="G1498" s="35"/>
      <c r="H1498" s="34"/>
      <c r="I1498" s="37"/>
    </row>
    <row r="1499" ht="22.5" customHeight="1">
      <c r="A1499" s="30"/>
      <c r="B1499" s="31"/>
      <c r="C1499" s="32"/>
      <c r="D1499" s="33"/>
      <c r="E1499" s="34"/>
      <c r="F1499" s="34"/>
      <c r="G1499" s="35"/>
      <c r="H1499" s="34"/>
      <c r="I1499" s="37"/>
    </row>
    <row r="1500" ht="22.5" customHeight="1">
      <c r="A1500" s="30"/>
      <c r="B1500" s="31"/>
      <c r="C1500" s="32"/>
      <c r="D1500" s="33"/>
      <c r="E1500" s="34"/>
      <c r="F1500" s="34"/>
      <c r="G1500" s="35"/>
      <c r="H1500" s="34"/>
      <c r="I1500" s="37"/>
    </row>
    <row r="1501" ht="22.5" customHeight="1">
      <c r="A1501" s="30"/>
      <c r="B1501" s="31"/>
      <c r="C1501" s="32"/>
      <c r="D1501" s="33"/>
      <c r="E1501" s="34"/>
      <c r="F1501" s="34"/>
      <c r="G1501" s="35"/>
      <c r="H1501" s="34"/>
      <c r="I1501" s="37"/>
    </row>
    <row r="1502" ht="22.5" customHeight="1">
      <c r="A1502" s="30"/>
      <c r="B1502" s="31"/>
      <c r="C1502" s="32"/>
      <c r="D1502" s="33"/>
      <c r="E1502" s="34"/>
      <c r="F1502" s="34"/>
      <c r="G1502" s="35"/>
      <c r="H1502" s="34"/>
      <c r="I1502" s="37"/>
    </row>
    <row r="1503" ht="22.5" customHeight="1">
      <c r="A1503" s="30"/>
      <c r="B1503" s="31"/>
      <c r="C1503" s="32"/>
      <c r="D1503" s="33"/>
      <c r="E1503" s="34"/>
      <c r="F1503" s="34"/>
      <c r="G1503" s="35"/>
      <c r="H1503" s="34"/>
      <c r="I1503" s="37"/>
    </row>
    <row r="1504" ht="22.5" customHeight="1">
      <c r="A1504" s="30"/>
      <c r="B1504" s="31"/>
      <c r="C1504" s="32"/>
      <c r="D1504" s="33"/>
      <c r="E1504" s="34"/>
      <c r="F1504" s="34"/>
      <c r="G1504" s="35"/>
      <c r="H1504" s="34"/>
      <c r="I1504" s="37"/>
    </row>
    <row r="1505" ht="22.5" customHeight="1">
      <c r="A1505" s="30"/>
      <c r="B1505" s="40"/>
      <c r="C1505" s="32"/>
      <c r="D1505" s="33"/>
      <c r="E1505" s="34"/>
      <c r="F1505" s="34"/>
      <c r="G1505" s="35"/>
      <c r="H1505" s="34"/>
      <c r="I1505" s="37"/>
    </row>
    <row r="1506" ht="22.5" customHeight="1">
      <c r="A1506" s="30"/>
      <c r="B1506" s="31"/>
      <c r="C1506" s="32"/>
      <c r="D1506" s="33"/>
      <c r="E1506" s="34"/>
      <c r="F1506" s="34"/>
      <c r="G1506" s="35"/>
      <c r="H1506" s="34"/>
      <c r="I1506" s="37"/>
    </row>
    <row r="1507" ht="22.5" customHeight="1">
      <c r="A1507" s="30"/>
      <c r="B1507" s="40"/>
      <c r="C1507" s="32"/>
      <c r="D1507" s="33"/>
      <c r="E1507" s="34"/>
      <c r="F1507" s="34"/>
      <c r="G1507" s="35"/>
      <c r="H1507" s="34"/>
      <c r="I1507" s="37"/>
    </row>
    <row r="1508" ht="22.5" customHeight="1">
      <c r="A1508" s="30"/>
      <c r="B1508" s="31"/>
      <c r="C1508" s="32"/>
      <c r="D1508" s="33"/>
      <c r="E1508" s="34"/>
      <c r="F1508" s="34"/>
      <c r="G1508" s="35"/>
      <c r="H1508" s="34"/>
      <c r="I1508" s="37"/>
    </row>
    <row r="1509" ht="22.5" customHeight="1">
      <c r="A1509" s="30"/>
      <c r="B1509" s="31"/>
      <c r="C1509" s="32"/>
      <c r="D1509" s="33"/>
      <c r="E1509" s="34"/>
      <c r="F1509" s="34"/>
      <c r="G1509" s="35"/>
      <c r="H1509" s="34"/>
      <c r="I1509" s="37"/>
    </row>
    <row r="1510" ht="22.5" customHeight="1">
      <c r="A1510" s="30"/>
      <c r="B1510" s="31"/>
      <c r="C1510" s="32"/>
      <c r="D1510" s="33"/>
      <c r="E1510" s="34"/>
      <c r="F1510" s="34"/>
      <c r="G1510" s="35"/>
      <c r="H1510" s="34"/>
      <c r="I1510" s="37"/>
    </row>
    <row r="1511" ht="22.5" customHeight="1">
      <c r="A1511" s="30"/>
      <c r="B1511" s="31"/>
      <c r="C1511" s="32"/>
      <c r="D1511" s="33"/>
      <c r="E1511" s="34"/>
      <c r="F1511" s="34"/>
      <c r="G1511" s="35"/>
      <c r="H1511" s="34"/>
      <c r="I1511" s="37"/>
    </row>
    <row r="1512" ht="22.5" customHeight="1">
      <c r="A1512" s="30"/>
      <c r="B1512" s="40"/>
      <c r="C1512" s="32"/>
      <c r="D1512" s="33"/>
      <c r="E1512" s="34"/>
      <c r="F1512" s="34"/>
      <c r="G1512" s="35"/>
      <c r="H1512" s="34"/>
      <c r="I1512" s="37"/>
    </row>
    <row r="1513" ht="22.5" customHeight="1">
      <c r="A1513" s="30"/>
      <c r="B1513" s="31"/>
      <c r="C1513" s="32"/>
      <c r="D1513" s="33"/>
      <c r="E1513" s="34"/>
      <c r="F1513" s="34"/>
      <c r="G1513" s="35"/>
      <c r="H1513" s="34"/>
      <c r="I1513" s="37"/>
    </row>
    <row r="1514" ht="22.5" customHeight="1">
      <c r="A1514" s="30"/>
      <c r="B1514" s="31"/>
      <c r="C1514" s="32"/>
      <c r="D1514" s="33"/>
      <c r="E1514" s="34"/>
      <c r="F1514" s="34"/>
      <c r="G1514" s="35"/>
      <c r="H1514" s="34"/>
      <c r="I1514" s="37"/>
    </row>
    <row r="1515" ht="22.5" customHeight="1">
      <c r="A1515" s="30"/>
      <c r="B1515" s="31"/>
      <c r="C1515" s="32"/>
      <c r="D1515" s="33"/>
      <c r="E1515" s="34"/>
      <c r="F1515" s="34"/>
      <c r="G1515" s="35"/>
      <c r="H1515" s="34"/>
      <c r="I1515" s="37"/>
    </row>
    <row r="1516" ht="22.5" customHeight="1">
      <c r="A1516" s="30"/>
      <c r="B1516" s="31"/>
      <c r="C1516" s="32"/>
      <c r="D1516" s="33"/>
      <c r="E1516" s="34"/>
      <c r="F1516" s="34"/>
      <c r="G1516" s="35"/>
      <c r="H1516" s="34"/>
      <c r="I1516" s="37"/>
    </row>
    <row r="1517" ht="22.5" customHeight="1">
      <c r="A1517" s="30"/>
      <c r="B1517" s="31"/>
      <c r="C1517" s="32"/>
      <c r="D1517" s="33"/>
      <c r="E1517" s="34"/>
      <c r="F1517" s="34"/>
      <c r="G1517" s="35"/>
      <c r="H1517" s="34"/>
      <c r="I1517" s="37"/>
    </row>
    <row r="1518" ht="22.5" customHeight="1">
      <c r="A1518" s="30"/>
      <c r="B1518" s="31"/>
      <c r="C1518" s="32"/>
      <c r="D1518" s="33"/>
      <c r="E1518" s="34"/>
      <c r="F1518" s="34"/>
      <c r="G1518" s="35"/>
      <c r="H1518" s="34"/>
      <c r="I1518" s="37"/>
    </row>
    <row r="1519" ht="22.5" customHeight="1">
      <c r="A1519" s="30"/>
      <c r="B1519" s="31"/>
      <c r="C1519" s="32"/>
      <c r="D1519" s="33"/>
      <c r="E1519" s="34"/>
      <c r="F1519" s="34"/>
      <c r="G1519" s="35"/>
      <c r="H1519" s="34"/>
      <c r="I1519" s="37"/>
    </row>
    <row r="1520" ht="22.5" customHeight="1">
      <c r="A1520" s="30"/>
      <c r="B1520" s="31"/>
      <c r="C1520" s="32"/>
      <c r="D1520" s="33"/>
      <c r="E1520" s="34"/>
      <c r="F1520" s="34"/>
      <c r="G1520" s="35"/>
      <c r="H1520" s="34"/>
      <c r="I1520" s="37"/>
    </row>
    <row r="1521" ht="22.5" customHeight="1">
      <c r="A1521" s="30"/>
      <c r="B1521" s="31"/>
      <c r="C1521" s="32"/>
      <c r="D1521" s="33"/>
      <c r="E1521" s="34"/>
      <c r="F1521" s="34"/>
      <c r="G1521" s="35"/>
      <c r="H1521" s="34"/>
      <c r="I1521" s="37"/>
    </row>
    <row r="1522" ht="22.5" customHeight="1">
      <c r="A1522" s="30"/>
      <c r="B1522" s="31"/>
      <c r="C1522" s="32"/>
      <c r="D1522" s="33"/>
      <c r="E1522" s="34"/>
      <c r="F1522" s="34"/>
      <c r="G1522" s="35"/>
      <c r="H1522" s="34"/>
      <c r="I1522" s="37"/>
    </row>
    <row r="1523" ht="22.5" customHeight="1">
      <c r="A1523" s="30"/>
      <c r="B1523" s="31"/>
      <c r="C1523" s="32"/>
      <c r="D1523" s="33"/>
      <c r="E1523" s="34"/>
      <c r="F1523" s="34"/>
      <c r="G1523" s="35"/>
      <c r="H1523" s="34"/>
      <c r="I1523" s="37"/>
    </row>
    <row r="1524" ht="22.5" customHeight="1">
      <c r="A1524" s="30"/>
      <c r="B1524" s="31"/>
      <c r="C1524" s="32"/>
      <c r="D1524" s="33"/>
      <c r="E1524" s="34"/>
      <c r="F1524" s="34"/>
      <c r="G1524" s="35"/>
      <c r="H1524" s="34"/>
      <c r="I1524" s="37"/>
    </row>
    <row r="1525" ht="22.5" customHeight="1">
      <c r="A1525" s="30"/>
      <c r="B1525" s="31"/>
      <c r="C1525" s="32"/>
      <c r="D1525" s="33"/>
      <c r="E1525" s="34"/>
      <c r="F1525" s="34"/>
      <c r="G1525" s="35"/>
      <c r="H1525" s="34"/>
      <c r="I1525" s="37"/>
    </row>
    <row r="1526" ht="22.5" customHeight="1">
      <c r="A1526" s="30"/>
      <c r="B1526" s="31"/>
      <c r="C1526" s="32"/>
      <c r="D1526" s="33"/>
      <c r="E1526" s="34"/>
      <c r="F1526" s="34"/>
      <c r="G1526" s="35"/>
      <c r="H1526" s="34"/>
      <c r="I1526" s="37"/>
    </row>
    <row r="1527" ht="22.5" customHeight="1">
      <c r="A1527" s="30"/>
      <c r="B1527" s="31"/>
      <c r="C1527" s="32"/>
      <c r="D1527" s="33"/>
      <c r="E1527" s="34"/>
      <c r="F1527" s="34"/>
      <c r="G1527" s="35"/>
      <c r="H1527" s="34"/>
      <c r="I1527" s="37"/>
    </row>
    <row r="1528" ht="22.5" customHeight="1">
      <c r="A1528" s="30"/>
      <c r="B1528" s="31"/>
      <c r="C1528" s="32"/>
      <c r="D1528" s="33"/>
      <c r="E1528" s="34"/>
      <c r="F1528" s="34"/>
      <c r="G1528" s="35"/>
      <c r="H1528" s="34"/>
      <c r="I1528" s="37"/>
    </row>
    <row r="1529" ht="22.5" customHeight="1">
      <c r="A1529" s="30"/>
      <c r="B1529" s="31"/>
      <c r="C1529" s="32"/>
      <c r="D1529" s="33"/>
      <c r="E1529" s="34"/>
      <c r="F1529" s="34"/>
      <c r="G1529" s="35"/>
      <c r="H1529" s="34"/>
      <c r="I1529" s="37"/>
    </row>
    <row r="1530" ht="22.5" customHeight="1">
      <c r="A1530" s="30"/>
      <c r="B1530" s="31"/>
      <c r="C1530" s="32"/>
      <c r="D1530" s="33"/>
      <c r="E1530" s="34"/>
      <c r="F1530" s="34"/>
      <c r="G1530" s="35"/>
      <c r="H1530" s="34"/>
      <c r="I1530" s="37"/>
    </row>
    <row r="1531" ht="22.5" customHeight="1">
      <c r="A1531" s="30"/>
      <c r="B1531" s="31"/>
      <c r="C1531" s="32"/>
      <c r="D1531" s="33"/>
      <c r="E1531" s="34"/>
      <c r="F1531" s="34"/>
      <c r="G1531" s="35"/>
      <c r="H1531" s="34"/>
      <c r="I1531" s="37"/>
    </row>
    <row r="1532" ht="22.5" customHeight="1">
      <c r="A1532" s="30"/>
      <c r="B1532" s="31"/>
      <c r="C1532" s="32"/>
      <c r="D1532" s="33"/>
      <c r="E1532" s="34"/>
      <c r="F1532" s="34"/>
      <c r="G1532" s="35"/>
      <c r="H1532" s="34"/>
      <c r="I1532" s="37"/>
    </row>
    <row r="1533" ht="22.5" customHeight="1">
      <c r="A1533" s="30"/>
      <c r="B1533" s="31"/>
      <c r="C1533" s="32"/>
      <c r="D1533" s="33"/>
      <c r="E1533" s="34"/>
      <c r="F1533" s="34"/>
      <c r="G1533" s="35"/>
      <c r="H1533" s="34"/>
      <c r="I1533" s="37"/>
    </row>
    <row r="1534" ht="22.5" customHeight="1">
      <c r="A1534" s="30"/>
      <c r="B1534" s="40"/>
      <c r="C1534" s="32"/>
      <c r="D1534" s="33"/>
      <c r="E1534" s="34"/>
      <c r="F1534" s="34"/>
      <c r="G1534" s="35"/>
      <c r="H1534" s="34"/>
      <c r="I1534" s="37"/>
    </row>
    <row r="1535" ht="22.5" customHeight="1">
      <c r="A1535" s="30"/>
      <c r="B1535" s="31"/>
      <c r="C1535" s="32"/>
      <c r="D1535" s="33"/>
      <c r="E1535" s="34"/>
      <c r="F1535" s="34"/>
      <c r="G1535" s="35"/>
      <c r="H1535" s="34"/>
      <c r="I1535" s="37"/>
    </row>
    <row r="1536" ht="22.5" customHeight="1">
      <c r="A1536" s="30"/>
      <c r="B1536" s="31"/>
      <c r="C1536" s="32"/>
      <c r="D1536" s="33"/>
      <c r="E1536" s="34"/>
      <c r="F1536" s="34"/>
      <c r="G1536" s="35"/>
      <c r="H1536" s="34"/>
      <c r="I1536" s="37"/>
    </row>
    <row r="1537" ht="22.5" customHeight="1">
      <c r="A1537" s="30"/>
      <c r="B1537" s="31"/>
      <c r="C1537" s="32"/>
      <c r="D1537" s="33"/>
      <c r="E1537" s="34"/>
      <c r="F1537" s="34"/>
      <c r="G1537" s="35"/>
      <c r="H1537" s="34"/>
      <c r="I1537" s="37"/>
    </row>
    <row r="1538" ht="22.5" customHeight="1">
      <c r="A1538" s="30"/>
      <c r="B1538" s="31"/>
      <c r="C1538" s="32"/>
      <c r="D1538" s="33"/>
      <c r="E1538" s="34"/>
      <c r="F1538" s="34"/>
      <c r="G1538" s="35"/>
      <c r="H1538" s="34"/>
      <c r="I1538" s="38"/>
    </row>
    <row r="1539" ht="22.5" customHeight="1">
      <c r="A1539" s="30"/>
      <c r="B1539" s="39"/>
      <c r="C1539" s="32"/>
      <c r="D1539" s="33"/>
      <c r="E1539" s="34"/>
      <c r="F1539" s="34"/>
      <c r="G1539" s="35"/>
      <c r="H1539" s="34"/>
      <c r="I1539" s="37"/>
    </row>
    <row r="1540" ht="22.5" customHeight="1">
      <c r="A1540" s="30"/>
      <c r="B1540" s="31"/>
      <c r="C1540" s="32"/>
      <c r="D1540" s="33"/>
      <c r="E1540" s="34"/>
      <c r="F1540" s="34"/>
      <c r="G1540" s="35"/>
      <c r="H1540" s="34"/>
      <c r="I1540" s="37"/>
    </row>
    <row r="1541" ht="22.5" customHeight="1">
      <c r="A1541" s="30"/>
      <c r="B1541" s="31"/>
      <c r="C1541" s="32"/>
      <c r="D1541" s="33"/>
      <c r="E1541" s="34"/>
      <c r="F1541" s="34"/>
      <c r="G1541" s="35"/>
      <c r="H1541" s="34"/>
      <c r="I1541" s="37"/>
    </row>
    <row r="1542" ht="22.5" customHeight="1">
      <c r="A1542" s="30"/>
      <c r="B1542" s="31"/>
      <c r="C1542" s="32"/>
      <c r="D1542" s="33"/>
      <c r="E1542" s="34"/>
      <c r="F1542" s="34"/>
      <c r="G1542" s="35"/>
      <c r="H1542" s="34"/>
      <c r="I1542" s="37"/>
    </row>
    <row r="1543" ht="22.5" customHeight="1">
      <c r="A1543" s="30"/>
      <c r="B1543" s="39"/>
      <c r="C1543" s="32"/>
      <c r="D1543" s="33"/>
      <c r="E1543" s="34"/>
      <c r="F1543" s="34"/>
      <c r="G1543" s="35"/>
      <c r="H1543" s="34"/>
      <c r="I1543" s="37"/>
    </row>
    <row r="1544" ht="22.5" customHeight="1">
      <c r="A1544" s="30"/>
      <c r="B1544" s="31"/>
      <c r="C1544" s="32"/>
      <c r="D1544" s="33"/>
      <c r="E1544" s="34"/>
      <c r="F1544" s="34"/>
      <c r="G1544" s="35"/>
      <c r="H1544" s="34"/>
      <c r="I1544" s="37"/>
    </row>
    <row r="1545" ht="22.5" customHeight="1">
      <c r="A1545" s="30"/>
      <c r="B1545" s="39"/>
      <c r="C1545" s="32"/>
      <c r="D1545" s="33"/>
      <c r="E1545" s="34"/>
      <c r="F1545" s="34"/>
      <c r="G1545" s="35"/>
      <c r="H1545" s="34"/>
      <c r="I1545" s="37"/>
    </row>
    <row r="1546" ht="22.5" customHeight="1">
      <c r="A1546" s="30"/>
      <c r="B1546" s="31"/>
      <c r="C1546" s="32"/>
      <c r="D1546" s="33"/>
      <c r="E1546" s="34"/>
      <c r="F1546" s="34"/>
      <c r="G1546" s="35"/>
      <c r="H1546" s="34"/>
      <c r="I1546" s="37"/>
    </row>
    <row r="1547" ht="22.5" customHeight="1">
      <c r="A1547" s="30"/>
      <c r="B1547" s="31"/>
      <c r="C1547" s="32"/>
      <c r="D1547" s="33"/>
      <c r="E1547" s="34"/>
      <c r="F1547" s="34"/>
      <c r="G1547" s="35"/>
      <c r="H1547" s="34"/>
      <c r="I1547" s="37"/>
    </row>
    <row r="1548" ht="22.5" customHeight="1">
      <c r="A1548" s="30"/>
      <c r="B1548" s="31"/>
      <c r="C1548" s="32"/>
      <c r="D1548" s="33"/>
      <c r="E1548" s="34"/>
      <c r="F1548" s="34"/>
      <c r="G1548" s="35"/>
      <c r="H1548" s="34"/>
      <c r="I1548" s="37"/>
    </row>
    <row r="1549" ht="22.5" customHeight="1">
      <c r="A1549" s="30"/>
      <c r="B1549" s="31"/>
      <c r="C1549" s="32"/>
      <c r="D1549" s="33"/>
      <c r="E1549" s="34"/>
      <c r="F1549" s="34"/>
      <c r="G1549" s="35"/>
      <c r="H1549" s="34"/>
      <c r="I1549" s="37"/>
    </row>
    <row r="1550" ht="22.5" customHeight="1">
      <c r="A1550" s="30"/>
      <c r="B1550" s="31"/>
      <c r="C1550" s="32"/>
      <c r="D1550" s="33"/>
      <c r="E1550" s="34"/>
      <c r="F1550" s="34"/>
      <c r="G1550" s="35"/>
      <c r="H1550" s="34"/>
      <c r="I1550" s="37"/>
    </row>
    <row r="1551" ht="22.5" customHeight="1">
      <c r="A1551" s="30"/>
      <c r="B1551" s="31"/>
      <c r="C1551" s="32"/>
      <c r="D1551" s="33"/>
      <c r="E1551" s="34"/>
      <c r="F1551" s="34"/>
      <c r="G1551" s="35"/>
      <c r="H1551" s="34"/>
      <c r="I1551" s="37"/>
    </row>
    <row r="1552" ht="22.5" customHeight="1">
      <c r="A1552" s="30"/>
      <c r="B1552" s="31"/>
      <c r="C1552" s="32"/>
      <c r="D1552" s="33"/>
      <c r="E1552" s="34"/>
      <c r="F1552" s="34"/>
      <c r="G1552" s="35"/>
      <c r="H1552" s="34"/>
      <c r="I1552" s="37"/>
    </row>
    <row r="1553" ht="22.5" customHeight="1">
      <c r="A1553" s="30"/>
      <c r="B1553" s="31"/>
      <c r="C1553" s="32"/>
      <c r="D1553" s="33"/>
      <c r="E1553" s="34"/>
      <c r="F1553" s="34"/>
      <c r="G1553" s="35"/>
      <c r="H1553" s="34"/>
      <c r="I1553" s="37"/>
    </row>
    <row r="1554" ht="22.5" customHeight="1">
      <c r="A1554" s="30"/>
      <c r="B1554" s="31"/>
      <c r="C1554" s="32"/>
      <c r="D1554" s="33"/>
      <c r="E1554" s="34"/>
      <c r="F1554" s="34"/>
      <c r="G1554" s="35"/>
      <c r="H1554" s="34"/>
      <c r="I1554" s="37"/>
    </row>
    <row r="1555" ht="22.5" customHeight="1">
      <c r="A1555" s="30"/>
      <c r="B1555" s="31"/>
      <c r="C1555" s="32"/>
      <c r="D1555" s="33"/>
      <c r="E1555" s="34"/>
      <c r="F1555" s="34"/>
      <c r="G1555" s="35"/>
      <c r="H1555" s="34"/>
      <c r="I1555" s="37"/>
    </row>
    <row r="1556" ht="22.5" customHeight="1">
      <c r="A1556" s="30"/>
      <c r="B1556" s="40"/>
      <c r="C1556" s="32"/>
      <c r="D1556" s="33"/>
      <c r="E1556" s="34"/>
      <c r="F1556" s="34"/>
      <c r="G1556" s="35"/>
      <c r="H1556" s="34"/>
      <c r="I1556" s="37"/>
    </row>
    <row r="1557" ht="22.5" customHeight="1">
      <c r="A1557" s="30"/>
      <c r="B1557" s="31"/>
      <c r="C1557" s="32"/>
      <c r="D1557" s="33"/>
      <c r="E1557" s="34"/>
      <c r="F1557" s="34"/>
      <c r="G1557" s="35"/>
      <c r="H1557" s="34"/>
      <c r="I1557" s="37"/>
    </row>
    <row r="1558" ht="22.5" customHeight="1">
      <c r="A1558" s="30"/>
      <c r="B1558" s="31"/>
      <c r="C1558" s="32"/>
      <c r="D1558" s="33"/>
      <c r="E1558" s="34"/>
      <c r="F1558" s="34"/>
      <c r="G1558" s="35"/>
      <c r="H1558" s="34"/>
      <c r="I1558" s="37"/>
    </row>
    <row r="1559" ht="22.5" customHeight="1">
      <c r="A1559" s="30"/>
      <c r="B1559" s="31"/>
      <c r="C1559" s="32"/>
      <c r="D1559" s="33"/>
      <c r="E1559" s="34"/>
      <c r="F1559" s="34"/>
      <c r="G1559" s="35"/>
      <c r="H1559" s="34"/>
      <c r="I1559" s="37"/>
    </row>
    <row r="1560" ht="22.5" customHeight="1">
      <c r="A1560" s="30"/>
      <c r="B1560" s="31"/>
      <c r="C1560" s="32"/>
      <c r="D1560" s="33"/>
      <c r="E1560" s="34"/>
      <c r="F1560" s="34"/>
      <c r="G1560" s="35"/>
      <c r="H1560" s="34"/>
      <c r="I1560" s="37"/>
    </row>
    <row r="1561" ht="22.5" customHeight="1">
      <c r="A1561" s="30"/>
      <c r="B1561" s="31"/>
      <c r="C1561" s="32"/>
      <c r="D1561" s="33"/>
      <c r="E1561" s="34"/>
      <c r="F1561" s="34"/>
      <c r="G1561" s="35"/>
      <c r="H1561" s="34"/>
      <c r="I1561" s="37"/>
    </row>
    <row r="1562" ht="22.5" customHeight="1">
      <c r="A1562" s="30"/>
      <c r="B1562" s="31"/>
      <c r="C1562" s="32"/>
      <c r="D1562" s="33"/>
      <c r="E1562" s="34"/>
      <c r="F1562" s="34"/>
      <c r="G1562" s="35"/>
      <c r="H1562" s="34"/>
      <c r="I1562" s="37"/>
    </row>
    <row r="1563" ht="22.5" customHeight="1">
      <c r="A1563" s="30"/>
      <c r="B1563" s="39"/>
      <c r="C1563" s="32"/>
      <c r="D1563" s="33"/>
      <c r="E1563" s="34"/>
      <c r="F1563" s="34"/>
      <c r="G1563" s="35"/>
      <c r="H1563" s="34"/>
      <c r="I1563" s="37"/>
    </row>
    <row r="1564" ht="22.5" customHeight="1">
      <c r="A1564" s="30"/>
      <c r="B1564" s="39"/>
      <c r="C1564" s="32"/>
      <c r="D1564" s="33"/>
      <c r="E1564" s="34"/>
      <c r="F1564" s="34"/>
      <c r="G1564" s="35"/>
      <c r="H1564" s="34"/>
      <c r="I1564" s="37"/>
    </row>
    <row r="1565" ht="22.5" customHeight="1">
      <c r="A1565" s="30"/>
      <c r="B1565" s="39"/>
      <c r="C1565" s="32"/>
      <c r="D1565" s="33"/>
      <c r="E1565" s="34"/>
      <c r="F1565" s="34"/>
      <c r="G1565" s="35"/>
      <c r="H1565" s="34"/>
      <c r="I1565" s="37"/>
    </row>
    <row r="1566" ht="22.5" customHeight="1">
      <c r="A1566" s="30"/>
      <c r="B1566" s="40"/>
      <c r="C1566" s="32"/>
      <c r="D1566" s="33"/>
      <c r="E1566" s="34"/>
      <c r="F1566" s="34"/>
      <c r="G1566" s="35"/>
      <c r="H1566" s="34"/>
      <c r="I1566" s="37"/>
    </row>
    <row r="1567" ht="22.5" customHeight="1">
      <c r="A1567" s="30"/>
      <c r="B1567" s="31"/>
      <c r="C1567" s="32"/>
      <c r="D1567" s="33"/>
      <c r="E1567" s="34"/>
      <c r="F1567" s="34"/>
      <c r="G1567" s="35"/>
      <c r="H1567" s="34"/>
      <c r="I1567" s="37"/>
    </row>
    <row r="1568" ht="22.5" customHeight="1">
      <c r="A1568" s="30"/>
      <c r="B1568" s="31"/>
      <c r="C1568" s="32"/>
      <c r="D1568" s="33"/>
      <c r="E1568" s="34"/>
      <c r="F1568" s="34"/>
      <c r="G1568" s="35"/>
      <c r="H1568" s="34"/>
      <c r="I1568" s="37"/>
    </row>
    <row r="1569" ht="22.5" customHeight="1">
      <c r="A1569" s="30"/>
      <c r="B1569" s="31"/>
      <c r="C1569" s="32"/>
      <c r="D1569" s="33"/>
      <c r="E1569" s="34"/>
      <c r="F1569" s="34"/>
      <c r="G1569" s="35"/>
      <c r="H1569" s="34"/>
      <c r="I1569" s="37"/>
    </row>
    <row r="1570" ht="22.5" customHeight="1">
      <c r="A1570" s="30"/>
      <c r="B1570" s="31"/>
      <c r="C1570" s="32"/>
      <c r="D1570" s="33"/>
      <c r="E1570" s="34"/>
      <c r="F1570" s="34"/>
      <c r="G1570" s="35"/>
      <c r="H1570" s="34"/>
      <c r="I1570" s="37"/>
    </row>
    <row r="1571" ht="22.5" customHeight="1">
      <c r="A1571" s="30"/>
      <c r="B1571" s="31"/>
      <c r="C1571" s="32"/>
      <c r="D1571" s="33"/>
      <c r="E1571" s="34"/>
      <c r="F1571" s="34"/>
      <c r="G1571" s="35"/>
      <c r="H1571" s="34"/>
      <c r="I1571" s="37"/>
    </row>
    <row r="1572" ht="22.5" customHeight="1">
      <c r="A1572" s="30"/>
      <c r="B1572" s="31"/>
      <c r="C1572" s="32"/>
      <c r="D1572" s="33"/>
      <c r="E1572" s="34"/>
      <c r="F1572" s="34"/>
      <c r="G1572" s="35"/>
      <c r="H1572" s="34"/>
      <c r="I1572" s="37"/>
    </row>
    <row r="1573" ht="22.5" customHeight="1">
      <c r="A1573" s="30"/>
      <c r="B1573" s="31"/>
      <c r="C1573" s="32"/>
      <c r="D1573" s="33"/>
      <c r="E1573" s="34"/>
      <c r="F1573" s="34"/>
      <c r="G1573" s="35"/>
      <c r="H1573" s="34"/>
      <c r="I1573" s="37"/>
    </row>
    <row r="1574" ht="22.5" customHeight="1">
      <c r="A1574" s="30"/>
      <c r="B1574" s="31"/>
      <c r="C1574" s="32"/>
      <c r="D1574" s="33"/>
      <c r="E1574" s="34"/>
      <c r="F1574" s="34"/>
      <c r="G1574" s="35"/>
      <c r="H1574" s="34"/>
      <c r="I1574" s="37"/>
    </row>
    <row r="1575" ht="22.5" customHeight="1">
      <c r="A1575" s="30"/>
      <c r="B1575" s="31"/>
      <c r="C1575" s="32"/>
      <c r="D1575" s="33"/>
      <c r="E1575" s="34"/>
      <c r="F1575" s="34"/>
      <c r="G1575" s="35"/>
      <c r="H1575" s="34"/>
      <c r="I1575" s="37"/>
    </row>
    <row r="1576" ht="22.5" customHeight="1">
      <c r="A1576" s="30"/>
      <c r="B1576" s="40"/>
      <c r="C1576" s="32"/>
      <c r="D1576" s="33"/>
      <c r="E1576" s="34"/>
      <c r="F1576" s="34"/>
      <c r="G1576" s="35"/>
      <c r="H1576" s="34"/>
      <c r="I1576" s="37"/>
    </row>
    <row r="1577" ht="22.5" customHeight="1">
      <c r="A1577" s="30"/>
      <c r="B1577" s="31"/>
      <c r="C1577" s="32"/>
      <c r="D1577" s="33"/>
      <c r="E1577" s="34"/>
      <c r="F1577" s="34"/>
      <c r="G1577" s="35"/>
      <c r="H1577" s="34"/>
      <c r="I1577" s="37"/>
    </row>
    <row r="1578" ht="22.5" customHeight="1">
      <c r="A1578" s="30"/>
      <c r="B1578" s="31"/>
      <c r="C1578" s="32"/>
      <c r="D1578" s="33"/>
      <c r="E1578" s="34"/>
      <c r="F1578" s="34"/>
      <c r="G1578" s="35"/>
      <c r="H1578" s="34"/>
      <c r="I1578" s="37"/>
    </row>
    <row r="1579" ht="22.5" customHeight="1">
      <c r="A1579" s="30"/>
      <c r="B1579" s="31"/>
      <c r="C1579" s="32"/>
      <c r="D1579" s="33"/>
      <c r="E1579" s="34"/>
      <c r="F1579" s="34"/>
      <c r="G1579" s="35"/>
      <c r="H1579" s="34"/>
      <c r="I1579" s="37"/>
    </row>
    <row r="1580" ht="22.5" customHeight="1">
      <c r="A1580" s="30"/>
      <c r="B1580" s="40"/>
      <c r="C1580" s="32"/>
      <c r="D1580" s="33"/>
      <c r="E1580" s="34"/>
      <c r="F1580" s="34"/>
      <c r="G1580" s="35"/>
      <c r="H1580" s="34"/>
      <c r="I1580" s="37"/>
    </row>
    <row r="1581" ht="22.5" customHeight="1">
      <c r="A1581" s="30"/>
      <c r="B1581" s="31"/>
      <c r="C1581" s="32"/>
      <c r="D1581" s="33"/>
      <c r="E1581" s="34"/>
      <c r="F1581" s="34"/>
      <c r="G1581" s="35"/>
      <c r="H1581" s="34"/>
      <c r="I1581" s="37"/>
    </row>
    <row r="1582" ht="22.5" customHeight="1">
      <c r="A1582" s="30"/>
      <c r="B1582" s="31"/>
      <c r="C1582" s="32"/>
      <c r="D1582" s="33"/>
      <c r="E1582" s="34"/>
      <c r="F1582" s="34"/>
      <c r="G1582" s="35"/>
      <c r="H1582" s="34"/>
      <c r="I1582" s="37"/>
    </row>
    <row r="1583" ht="22.5" customHeight="1">
      <c r="A1583" s="30"/>
      <c r="B1583" s="31"/>
      <c r="C1583" s="32"/>
      <c r="D1583" s="33"/>
      <c r="E1583" s="34"/>
      <c r="F1583" s="34"/>
      <c r="G1583" s="35"/>
      <c r="H1583" s="34"/>
      <c r="I1583" s="37"/>
    </row>
    <row r="1584" ht="22.5" customHeight="1">
      <c r="A1584" s="30"/>
      <c r="B1584" s="31"/>
      <c r="C1584" s="32"/>
      <c r="D1584" s="33"/>
      <c r="E1584" s="34"/>
      <c r="F1584" s="34"/>
      <c r="G1584" s="35"/>
      <c r="H1584" s="34"/>
      <c r="I1584" s="37"/>
    </row>
    <row r="1585" ht="22.5" customHeight="1">
      <c r="A1585" s="30"/>
      <c r="B1585" s="31"/>
      <c r="C1585" s="32"/>
      <c r="D1585" s="33"/>
      <c r="E1585" s="34"/>
      <c r="F1585" s="34"/>
      <c r="G1585" s="35"/>
      <c r="H1585" s="34"/>
      <c r="I1585" s="37"/>
    </row>
    <row r="1586" ht="22.5" customHeight="1">
      <c r="A1586" s="30"/>
      <c r="B1586" s="31"/>
      <c r="C1586" s="32"/>
      <c r="D1586" s="33"/>
      <c r="E1586" s="34"/>
      <c r="F1586" s="34"/>
      <c r="G1586" s="35"/>
      <c r="H1586" s="34"/>
      <c r="I1586" s="37"/>
    </row>
    <row r="1587" ht="22.5" customHeight="1">
      <c r="A1587" s="30"/>
      <c r="B1587" s="31"/>
      <c r="C1587" s="32"/>
      <c r="D1587" s="33"/>
      <c r="E1587" s="34"/>
      <c r="F1587" s="34"/>
      <c r="G1587" s="35"/>
      <c r="H1587" s="34"/>
      <c r="I1587" s="37"/>
    </row>
    <row r="1588" ht="22.5" customHeight="1">
      <c r="A1588" s="30"/>
      <c r="B1588" s="31"/>
      <c r="C1588" s="32"/>
      <c r="D1588" s="33"/>
      <c r="E1588" s="34"/>
      <c r="F1588" s="34"/>
      <c r="G1588" s="35"/>
      <c r="H1588" s="34"/>
      <c r="I1588" s="37"/>
    </row>
    <row r="1589" ht="22.5" customHeight="1">
      <c r="A1589" s="30"/>
      <c r="B1589" s="31"/>
      <c r="C1589" s="32"/>
      <c r="D1589" s="33"/>
      <c r="E1589" s="34"/>
      <c r="F1589" s="34"/>
      <c r="G1589" s="35"/>
      <c r="H1589" s="34"/>
      <c r="I1589" s="37"/>
    </row>
    <row r="1590" ht="22.5" customHeight="1">
      <c r="A1590" s="30"/>
      <c r="B1590" s="31"/>
      <c r="C1590" s="32"/>
      <c r="D1590" s="33"/>
      <c r="E1590" s="34"/>
      <c r="F1590" s="34"/>
      <c r="G1590" s="35"/>
      <c r="H1590" s="34"/>
      <c r="I1590" s="37"/>
    </row>
    <row r="1591" ht="22.5" customHeight="1">
      <c r="A1591" s="30"/>
      <c r="B1591" s="31"/>
      <c r="C1591" s="32"/>
      <c r="D1591" s="33"/>
      <c r="E1591" s="34"/>
      <c r="F1591" s="34"/>
      <c r="G1591" s="35"/>
      <c r="H1591" s="34"/>
      <c r="I1591" s="37"/>
    </row>
    <row r="1592" ht="22.5" customHeight="1">
      <c r="A1592" s="30"/>
      <c r="B1592" s="31"/>
      <c r="C1592" s="32"/>
      <c r="D1592" s="33"/>
      <c r="E1592" s="34"/>
      <c r="F1592" s="34"/>
      <c r="G1592" s="35"/>
      <c r="H1592" s="34"/>
      <c r="I1592" s="37"/>
    </row>
    <row r="1593" ht="22.5" customHeight="1">
      <c r="A1593" s="30"/>
      <c r="B1593" s="31"/>
      <c r="C1593" s="32"/>
      <c r="D1593" s="33"/>
      <c r="E1593" s="34"/>
      <c r="F1593" s="34"/>
      <c r="G1593" s="35"/>
      <c r="H1593" s="34"/>
      <c r="I1593" s="37"/>
    </row>
    <row r="1594" ht="22.5" customHeight="1">
      <c r="A1594" s="30"/>
      <c r="B1594" s="31"/>
      <c r="C1594" s="32"/>
      <c r="D1594" s="33"/>
      <c r="E1594" s="34"/>
      <c r="F1594" s="34"/>
      <c r="G1594" s="35"/>
      <c r="H1594" s="34"/>
      <c r="I1594" s="37"/>
    </row>
    <row r="1595" ht="22.5" customHeight="1">
      <c r="A1595" s="30"/>
      <c r="B1595" s="40"/>
      <c r="C1595" s="32"/>
      <c r="D1595" s="33"/>
      <c r="E1595" s="34"/>
      <c r="F1595" s="34"/>
      <c r="G1595" s="35"/>
      <c r="H1595" s="34"/>
      <c r="I1595" s="37"/>
    </row>
    <row r="1596" ht="22.5" customHeight="1">
      <c r="A1596" s="30"/>
      <c r="B1596" s="31"/>
      <c r="C1596" s="32"/>
      <c r="D1596" s="33"/>
      <c r="E1596" s="34"/>
      <c r="F1596" s="34"/>
      <c r="G1596" s="35"/>
      <c r="H1596" s="34"/>
      <c r="I1596" s="37"/>
    </row>
    <row r="1597" ht="22.5" customHeight="1">
      <c r="A1597" s="30"/>
      <c r="B1597" s="40"/>
      <c r="C1597" s="32"/>
      <c r="D1597" s="33"/>
      <c r="E1597" s="34"/>
      <c r="F1597" s="34"/>
      <c r="G1597" s="35"/>
      <c r="H1597" s="34"/>
      <c r="I1597" s="37"/>
    </row>
    <row r="1598" ht="22.5" customHeight="1">
      <c r="A1598" s="30"/>
      <c r="B1598" s="31"/>
      <c r="C1598" s="32"/>
      <c r="D1598" s="33"/>
      <c r="E1598" s="34"/>
      <c r="F1598" s="34"/>
      <c r="G1598" s="35"/>
      <c r="H1598" s="34"/>
      <c r="I1598" s="37"/>
    </row>
    <row r="1599" ht="22.5" customHeight="1">
      <c r="A1599" s="30"/>
      <c r="B1599" s="31"/>
      <c r="C1599" s="32"/>
      <c r="D1599" s="33"/>
      <c r="E1599" s="34"/>
      <c r="F1599" s="34"/>
      <c r="G1599" s="35"/>
      <c r="H1599" s="34"/>
      <c r="I1599" s="37"/>
    </row>
    <row r="1600" ht="22.5" customHeight="1">
      <c r="A1600" s="30"/>
      <c r="B1600" s="31"/>
      <c r="C1600" s="32"/>
      <c r="D1600" s="33"/>
      <c r="E1600" s="34"/>
      <c r="F1600" s="34"/>
      <c r="G1600" s="35"/>
      <c r="H1600" s="34"/>
      <c r="I1600" s="37"/>
    </row>
    <row r="1601" ht="22.5" customHeight="1">
      <c r="A1601" s="30"/>
      <c r="B1601" s="31"/>
      <c r="C1601" s="32"/>
      <c r="D1601" s="33"/>
      <c r="E1601" s="34"/>
      <c r="F1601" s="34"/>
      <c r="G1601" s="35"/>
      <c r="H1601" s="34"/>
      <c r="I1601" s="37"/>
    </row>
    <row r="1602" ht="22.5" customHeight="1">
      <c r="A1602" s="30"/>
      <c r="B1602" s="40"/>
      <c r="C1602" s="32"/>
      <c r="D1602" s="33"/>
      <c r="E1602" s="34"/>
      <c r="F1602" s="34"/>
      <c r="G1602" s="35"/>
      <c r="H1602" s="34"/>
      <c r="I1602" s="37"/>
    </row>
    <row r="1603" ht="22.5" customHeight="1">
      <c r="A1603" s="30"/>
      <c r="B1603" s="31"/>
      <c r="C1603" s="32"/>
      <c r="D1603" s="33"/>
      <c r="E1603" s="34"/>
      <c r="F1603" s="34"/>
      <c r="G1603" s="35"/>
      <c r="H1603" s="34"/>
      <c r="I1603" s="37"/>
    </row>
    <row r="1604" ht="22.5" customHeight="1">
      <c r="A1604" s="30"/>
      <c r="B1604" s="31"/>
      <c r="C1604" s="32"/>
      <c r="D1604" s="33"/>
      <c r="E1604" s="34"/>
      <c r="F1604" s="34"/>
      <c r="G1604" s="35"/>
      <c r="H1604" s="34"/>
      <c r="I1604" s="37"/>
    </row>
    <row r="1605" ht="22.5" customHeight="1">
      <c r="A1605" s="30"/>
      <c r="B1605" s="31"/>
      <c r="C1605" s="32"/>
      <c r="D1605" s="33"/>
      <c r="E1605" s="34"/>
      <c r="F1605" s="34"/>
      <c r="G1605" s="35"/>
      <c r="H1605" s="34"/>
      <c r="I1605" s="37"/>
    </row>
    <row r="1606" ht="22.5" customHeight="1">
      <c r="A1606" s="30"/>
      <c r="B1606" s="31"/>
      <c r="C1606" s="32"/>
      <c r="D1606" s="33"/>
      <c r="E1606" s="34"/>
      <c r="F1606" s="34"/>
      <c r="G1606" s="35"/>
      <c r="H1606" s="34"/>
      <c r="I1606" s="37"/>
    </row>
    <row r="1607" ht="22.5" customHeight="1">
      <c r="A1607" s="30"/>
      <c r="B1607" s="31"/>
      <c r="C1607" s="32"/>
      <c r="D1607" s="33"/>
      <c r="E1607" s="34"/>
      <c r="F1607" s="34"/>
      <c r="G1607" s="35"/>
      <c r="H1607" s="34"/>
      <c r="I1607" s="37"/>
    </row>
    <row r="1608" ht="22.5" customHeight="1">
      <c r="A1608" s="30"/>
      <c r="B1608" s="31"/>
      <c r="C1608" s="32"/>
      <c r="D1608" s="33"/>
      <c r="E1608" s="34"/>
      <c r="F1608" s="34"/>
      <c r="G1608" s="35"/>
      <c r="H1608" s="34"/>
      <c r="I1608" s="37"/>
    </row>
    <row r="1609" ht="22.5" customHeight="1">
      <c r="A1609" s="30"/>
      <c r="B1609" s="31"/>
      <c r="C1609" s="32"/>
      <c r="D1609" s="33"/>
      <c r="E1609" s="34"/>
      <c r="F1609" s="34"/>
      <c r="G1609" s="35"/>
      <c r="H1609" s="34"/>
      <c r="I1609" s="37"/>
    </row>
    <row r="1610" ht="22.5" customHeight="1">
      <c r="A1610" s="30"/>
      <c r="B1610" s="31"/>
      <c r="C1610" s="32"/>
      <c r="D1610" s="33"/>
      <c r="E1610" s="34"/>
      <c r="F1610" s="34"/>
      <c r="G1610" s="35"/>
      <c r="H1610" s="34"/>
      <c r="I1610" s="37"/>
    </row>
    <row r="1611" ht="22.5" customHeight="1">
      <c r="A1611" s="30"/>
      <c r="B1611" s="31"/>
      <c r="C1611" s="32"/>
      <c r="D1611" s="33"/>
      <c r="E1611" s="34"/>
      <c r="F1611" s="34"/>
      <c r="G1611" s="35"/>
      <c r="H1611" s="34"/>
      <c r="I1611" s="37"/>
    </row>
    <row r="1612" ht="22.5" customHeight="1">
      <c r="A1612" s="30"/>
      <c r="B1612" s="31"/>
      <c r="C1612" s="32"/>
      <c r="D1612" s="33"/>
      <c r="E1612" s="34"/>
      <c r="F1612" s="34"/>
      <c r="G1612" s="35"/>
      <c r="H1612" s="34"/>
      <c r="I1612" s="37"/>
    </row>
    <row r="1613" ht="22.5" customHeight="1">
      <c r="A1613" s="30"/>
      <c r="B1613" s="31"/>
      <c r="C1613" s="32"/>
      <c r="D1613" s="33"/>
      <c r="E1613" s="34"/>
      <c r="F1613" s="34"/>
      <c r="G1613" s="35"/>
      <c r="H1613" s="34"/>
      <c r="I1613" s="37"/>
    </row>
    <row r="1614" ht="22.5" customHeight="1">
      <c r="A1614" s="30"/>
      <c r="B1614" s="31"/>
      <c r="C1614" s="32"/>
      <c r="D1614" s="33"/>
      <c r="E1614" s="34"/>
      <c r="F1614" s="34"/>
      <c r="G1614" s="35"/>
      <c r="H1614" s="34"/>
      <c r="I1614" s="37"/>
    </row>
    <row r="1615" ht="22.5" customHeight="1">
      <c r="A1615" s="30"/>
      <c r="B1615" s="31"/>
      <c r="C1615" s="32"/>
      <c r="D1615" s="33"/>
      <c r="E1615" s="34"/>
      <c r="F1615" s="34"/>
      <c r="G1615" s="35"/>
      <c r="H1615" s="34"/>
      <c r="I1615" s="37"/>
    </row>
    <row r="1616" ht="22.5" customHeight="1">
      <c r="A1616" s="30"/>
      <c r="B1616" s="31"/>
      <c r="C1616" s="32"/>
      <c r="D1616" s="33"/>
      <c r="E1616" s="34"/>
      <c r="F1616" s="34"/>
      <c r="G1616" s="35"/>
      <c r="H1616" s="34"/>
      <c r="I1616" s="37"/>
    </row>
    <row r="1617" ht="22.5" customHeight="1">
      <c r="A1617" s="30"/>
      <c r="B1617" s="31"/>
      <c r="C1617" s="32"/>
      <c r="D1617" s="33"/>
      <c r="E1617" s="34"/>
      <c r="F1617" s="34"/>
      <c r="G1617" s="35"/>
      <c r="H1617" s="34"/>
      <c r="I1617" s="37"/>
    </row>
    <row r="1618" ht="22.5" customHeight="1">
      <c r="A1618" s="30"/>
      <c r="B1618" s="31"/>
      <c r="C1618" s="32"/>
      <c r="D1618" s="33"/>
      <c r="E1618" s="34"/>
      <c r="F1618" s="34"/>
      <c r="G1618" s="35"/>
      <c r="H1618" s="34"/>
      <c r="I1618" s="37"/>
    </row>
    <row r="1619" ht="22.5" customHeight="1">
      <c r="A1619" s="30"/>
      <c r="B1619" s="31"/>
      <c r="C1619" s="32"/>
      <c r="D1619" s="33"/>
      <c r="E1619" s="34"/>
      <c r="F1619" s="34"/>
      <c r="G1619" s="35"/>
      <c r="H1619" s="34"/>
      <c r="I1619" s="37"/>
    </row>
    <row r="1620" ht="22.5" customHeight="1">
      <c r="A1620" s="30"/>
      <c r="B1620" s="31"/>
      <c r="C1620" s="32"/>
      <c r="D1620" s="33"/>
      <c r="E1620" s="34"/>
      <c r="F1620" s="34"/>
      <c r="G1620" s="35"/>
      <c r="H1620" s="34"/>
      <c r="I1620" s="37"/>
    </row>
    <row r="1621" ht="22.5" customHeight="1">
      <c r="A1621" s="30"/>
      <c r="B1621" s="31"/>
      <c r="C1621" s="32"/>
      <c r="D1621" s="33"/>
      <c r="E1621" s="34"/>
      <c r="F1621" s="34"/>
      <c r="G1621" s="35"/>
      <c r="H1621" s="34"/>
      <c r="I1621" s="37"/>
    </row>
    <row r="1622" ht="22.5" customHeight="1">
      <c r="A1622" s="30"/>
      <c r="B1622" s="31"/>
      <c r="C1622" s="32"/>
      <c r="D1622" s="33"/>
      <c r="E1622" s="34"/>
      <c r="F1622" s="34"/>
      <c r="G1622" s="35"/>
      <c r="H1622" s="34"/>
      <c r="I1622" s="37"/>
    </row>
    <row r="1623" ht="22.5" customHeight="1">
      <c r="A1623" s="30"/>
      <c r="B1623" s="31"/>
      <c r="C1623" s="32"/>
      <c r="D1623" s="33"/>
      <c r="E1623" s="34"/>
      <c r="F1623" s="34"/>
      <c r="G1623" s="35"/>
      <c r="H1623" s="34"/>
      <c r="I1623" s="37"/>
    </row>
    <row r="1624" ht="22.5" customHeight="1">
      <c r="A1624" s="30"/>
      <c r="B1624" s="31"/>
      <c r="C1624" s="30"/>
      <c r="D1624" s="33"/>
      <c r="E1624" s="34"/>
      <c r="F1624" s="34"/>
      <c r="G1624" s="36"/>
      <c r="H1624" s="34"/>
      <c r="I1624" s="37"/>
    </row>
    <row r="1625" ht="22.5" customHeight="1">
      <c r="A1625" s="30"/>
      <c r="B1625" s="31"/>
      <c r="C1625" s="30"/>
      <c r="D1625" s="33"/>
      <c r="E1625" s="34"/>
      <c r="F1625" s="34"/>
      <c r="G1625" s="36"/>
      <c r="H1625" s="34"/>
      <c r="I1625" s="37"/>
    </row>
    <row r="1626" ht="22.5" customHeight="1">
      <c r="A1626" s="30"/>
      <c r="B1626" s="31"/>
      <c r="C1626" s="30"/>
      <c r="D1626" s="33"/>
      <c r="E1626" s="34"/>
      <c r="F1626" s="34"/>
      <c r="G1626" s="36"/>
      <c r="H1626" s="34"/>
      <c r="I1626" s="37"/>
    </row>
    <row r="1627" ht="22.5" customHeight="1">
      <c r="A1627" s="30"/>
      <c r="B1627" s="31"/>
      <c r="C1627" s="30"/>
      <c r="D1627" s="33"/>
      <c r="E1627" s="34"/>
      <c r="F1627" s="34"/>
      <c r="G1627" s="36"/>
      <c r="H1627" s="34"/>
      <c r="I1627" s="37"/>
    </row>
    <row r="1628" ht="22.5" customHeight="1">
      <c r="A1628" s="30"/>
      <c r="B1628" s="31"/>
      <c r="C1628" s="30"/>
      <c r="D1628" s="33"/>
      <c r="E1628" s="34"/>
      <c r="F1628" s="34"/>
      <c r="G1628" s="36"/>
      <c r="H1628" s="34"/>
      <c r="I1628" s="37"/>
    </row>
    <row r="1629" ht="22.5" customHeight="1">
      <c r="A1629" s="30"/>
      <c r="B1629" s="31"/>
      <c r="C1629" s="30"/>
      <c r="D1629" s="33"/>
      <c r="E1629" s="34"/>
      <c r="F1629" s="34"/>
      <c r="G1629" s="36"/>
      <c r="H1629" s="34"/>
      <c r="I1629" s="37"/>
    </row>
    <row r="1630" ht="22.5" customHeight="1">
      <c r="A1630" s="30"/>
      <c r="B1630" s="31"/>
      <c r="C1630" s="30"/>
      <c r="D1630" s="33"/>
      <c r="E1630" s="34"/>
      <c r="F1630" s="34"/>
      <c r="G1630" s="36"/>
      <c r="H1630" s="34"/>
      <c r="I1630" s="37"/>
    </row>
    <row r="1631" ht="22.5" customHeight="1">
      <c r="A1631" s="30"/>
      <c r="B1631" s="31"/>
      <c r="C1631" s="30"/>
      <c r="D1631" s="33"/>
      <c r="E1631" s="34"/>
      <c r="F1631" s="34"/>
      <c r="G1631" s="36"/>
      <c r="H1631" s="34"/>
      <c r="I1631" s="37"/>
    </row>
    <row r="1632" ht="22.5" customHeight="1">
      <c r="A1632" s="30"/>
      <c r="B1632" s="31"/>
      <c r="C1632" s="30"/>
      <c r="D1632" s="33"/>
      <c r="E1632" s="34"/>
      <c r="F1632" s="34"/>
      <c r="G1632" s="36"/>
      <c r="H1632" s="34"/>
      <c r="I1632" s="37"/>
    </row>
    <row r="1633" ht="22.5" customHeight="1">
      <c r="A1633" s="30"/>
      <c r="B1633" s="31"/>
      <c r="C1633" s="30"/>
      <c r="D1633" s="33"/>
      <c r="E1633" s="34"/>
      <c r="F1633" s="34"/>
      <c r="G1633" s="36"/>
      <c r="H1633" s="34"/>
      <c r="I1633" s="37"/>
    </row>
    <row r="1634" ht="22.5" customHeight="1">
      <c r="A1634" s="30"/>
      <c r="B1634" s="31"/>
      <c r="C1634" s="30"/>
      <c r="D1634" s="33"/>
      <c r="E1634" s="34"/>
      <c r="F1634" s="34"/>
      <c r="G1634" s="36"/>
      <c r="H1634" s="34"/>
      <c r="I1634" s="37"/>
    </row>
    <row r="1635" ht="22.5" customHeight="1">
      <c r="A1635" s="30"/>
      <c r="B1635" s="31"/>
      <c r="C1635" s="30"/>
      <c r="D1635" s="33"/>
      <c r="E1635" s="34"/>
      <c r="F1635" s="34"/>
      <c r="G1635" s="36"/>
      <c r="H1635" s="34"/>
      <c r="I1635" s="37"/>
    </row>
    <row r="1636" ht="22.5" customHeight="1">
      <c r="A1636" s="30"/>
      <c r="B1636" s="31"/>
      <c r="C1636" s="30"/>
      <c r="D1636" s="33"/>
      <c r="E1636" s="34"/>
      <c r="F1636" s="34"/>
      <c r="G1636" s="36"/>
      <c r="H1636" s="34"/>
      <c r="I1636" s="37"/>
    </row>
    <row r="1637" ht="22.5" customHeight="1">
      <c r="A1637" s="30"/>
      <c r="B1637" s="31"/>
      <c r="C1637" s="30"/>
      <c r="D1637" s="33"/>
      <c r="E1637" s="34"/>
      <c r="F1637" s="34"/>
      <c r="G1637" s="36"/>
      <c r="H1637" s="34"/>
      <c r="I1637" s="37"/>
    </row>
    <row r="1638" ht="22.5" customHeight="1">
      <c r="A1638" s="30"/>
      <c r="B1638" s="31"/>
      <c r="C1638" s="30"/>
      <c r="D1638" s="33"/>
      <c r="E1638" s="34"/>
      <c r="F1638" s="34"/>
      <c r="G1638" s="36"/>
      <c r="H1638" s="34"/>
      <c r="I1638" s="37"/>
    </row>
    <row r="1639" ht="22.5" customHeight="1">
      <c r="A1639" s="30"/>
      <c r="B1639" s="31"/>
      <c r="C1639" s="30"/>
      <c r="D1639" s="33"/>
      <c r="E1639" s="34"/>
      <c r="F1639" s="34"/>
      <c r="G1639" s="36"/>
      <c r="H1639" s="34"/>
      <c r="I1639" s="37"/>
    </row>
    <row r="1640" ht="22.5" customHeight="1">
      <c r="A1640" s="30"/>
      <c r="B1640" s="31"/>
      <c r="C1640" s="30"/>
      <c r="D1640" s="33"/>
      <c r="E1640" s="34"/>
      <c r="F1640" s="34"/>
      <c r="G1640" s="36"/>
      <c r="H1640" s="34"/>
      <c r="I1640" s="37"/>
    </row>
    <row r="1641" ht="22.5" customHeight="1">
      <c r="A1641" s="30"/>
      <c r="B1641" s="31"/>
      <c r="C1641" s="30"/>
      <c r="D1641" s="33"/>
      <c r="E1641" s="34"/>
      <c r="F1641" s="34"/>
      <c r="G1641" s="36"/>
      <c r="H1641" s="34"/>
      <c r="I1641" s="37"/>
    </row>
    <row r="1642" ht="22.5" customHeight="1">
      <c r="A1642" s="30"/>
      <c r="B1642" s="31"/>
      <c r="C1642" s="30"/>
      <c r="D1642" s="33"/>
      <c r="E1642" s="34"/>
      <c r="F1642" s="34"/>
      <c r="G1642" s="36"/>
      <c r="H1642" s="34"/>
      <c r="I1642" s="37"/>
    </row>
    <row r="1643" ht="22.5" customHeight="1">
      <c r="A1643" s="30"/>
      <c r="B1643" s="31"/>
      <c r="C1643" s="30"/>
      <c r="D1643" s="33"/>
      <c r="E1643" s="34"/>
      <c r="F1643" s="34"/>
      <c r="G1643" s="36"/>
      <c r="H1643" s="34"/>
      <c r="I1643" s="37"/>
    </row>
    <row r="1644" ht="22.5" customHeight="1">
      <c r="A1644" s="30"/>
      <c r="B1644" s="31"/>
      <c r="C1644" s="30"/>
      <c r="D1644" s="33"/>
      <c r="E1644" s="34"/>
      <c r="F1644" s="34"/>
      <c r="G1644" s="36"/>
      <c r="H1644" s="34"/>
      <c r="I1644" s="37"/>
    </row>
    <row r="1645" ht="22.5" customHeight="1">
      <c r="A1645" s="30"/>
      <c r="B1645" s="31"/>
      <c r="C1645" s="30"/>
      <c r="D1645" s="33"/>
      <c r="E1645" s="34"/>
      <c r="F1645" s="34"/>
      <c r="G1645" s="36"/>
      <c r="H1645" s="34"/>
      <c r="I1645" s="37"/>
    </row>
    <row r="1646" ht="22.5" customHeight="1">
      <c r="A1646" s="30"/>
      <c r="B1646" s="31"/>
      <c r="C1646" s="30"/>
      <c r="D1646" s="33"/>
      <c r="E1646" s="34"/>
      <c r="F1646" s="34"/>
      <c r="G1646" s="36"/>
      <c r="H1646" s="34"/>
      <c r="I1646" s="37"/>
    </row>
    <row r="1647" ht="22.5" customHeight="1">
      <c r="A1647" s="30"/>
      <c r="B1647" s="31"/>
      <c r="C1647" s="30"/>
      <c r="D1647" s="33"/>
      <c r="E1647" s="34"/>
      <c r="F1647" s="34"/>
      <c r="G1647" s="36"/>
      <c r="H1647" s="34"/>
      <c r="I1647" s="37"/>
    </row>
    <row r="1648" ht="22.5" customHeight="1">
      <c r="A1648" s="30"/>
      <c r="B1648" s="31"/>
      <c r="C1648" s="30"/>
      <c r="D1648" s="33"/>
      <c r="E1648" s="34"/>
      <c r="F1648" s="34"/>
      <c r="G1648" s="36"/>
      <c r="H1648" s="34"/>
      <c r="I1648" s="37"/>
    </row>
    <row r="1649" ht="22.5" customHeight="1">
      <c r="A1649" s="30"/>
      <c r="B1649" s="31"/>
      <c r="C1649" s="30"/>
      <c r="D1649" s="33"/>
      <c r="E1649" s="34"/>
      <c r="F1649" s="34"/>
      <c r="G1649" s="36"/>
      <c r="H1649" s="34"/>
      <c r="I1649" s="37"/>
    </row>
    <row r="1650" ht="22.5" customHeight="1">
      <c r="A1650" s="30"/>
      <c r="B1650" s="31"/>
      <c r="C1650" s="30"/>
      <c r="D1650" s="33"/>
      <c r="E1650" s="34"/>
      <c r="F1650" s="34"/>
      <c r="G1650" s="36"/>
      <c r="H1650" s="34"/>
      <c r="I1650" s="37"/>
    </row>
    <row r="1651" ht="22.5" customHeight="1">
      <c r="A1651" s="30"/>
      <c r="B1651" s="31"/>
      <c r="C1651" s="30"/>
      <c r="D1651" s="33"/>
      <c r="E1651" s="34"/>
      <c r="F1651" s="34"/>
      <c r="G1651" s="36"/>
      <c r="H1651" s="34"/>
      <c r="I1651" s="37"/>
    </row>
    <row r="1652" ht="22.5" customHeight="1">
      <c r="A1652" s="30"/>
      <c r="B1652" s="31"/>
      <c r="C1652" s="30"/>
      <c r="D1652" s="33"/>
      <c r="E1652" s="34"/>
      <c r="F1652" s="34"/>
      <c r="G1652" s="36"/>
      <c r="H1652" s="34"/>
      <c r="I1652" s="37"/>
    </row>
    <row r="1653" ht="22.5" customHeight="1">
      <c r="A1653" s="30"/>
      <c r="B1653" s="31"/>
      <c r="C1653" s="30"/>
      <c r="D1653" s="33"/>
      <c r="E1653" s="34"/>
      <c r="F1653" s="34"/>
      <c r="G1653" s="36"/>
      <c r="H1653" s="34"/>
      <c r="I1653" s="37"/>
    </row>
    <row r="1654" ht="22.5" customHeight="1">
      <c r="A1654" s="30"/>
      <c r="B1654" s="31"/>
      <c r="C1654" s="30"/>
      <c r="D1654" s="33"/>
      <c r="E1654" s="34"/>
      <c r="F1654" s="34"/>
      <c r="G1654" s="36"/>
      <c r="H1654" s="34"/>
      <c r="I1654" s="37"/>
    </row>
    <row r="1655" ht="22.5" customHeight="1">
      <c r="A1655" s="30"/>
      <c r="B1655" s="31"/>
      <c r="C1655" s="30"/>
      <c r="D1655" s="33"/>
      <c r="E1655" s="34"/>
      <c r="F1655" s="34"/>
      <c r="G1655" s="36"/>
      <c r="H1655" s="34"/>
      <c r="I1655" s="37"/>
    </row>
    <row r="1656" ht="22.5" customHeight="1">
      <c r="A1656" s="30"/>
      <c r="B1656" s="31"/>
      <c r="C1656" s="30"/>
      <c r="D1656" s="33"/>
      <c r="E1656" s="34"/>
      <c r="F1656" s="34"/>
      <c r="G1656" s="36"/>
      <c r="H1656" s="34"/>
      <c r="I1656" s="37"/>
    </row>
    <row r="1657" ht="22.5" customHeight="1">
      <c r="A1657" s="30"/>
      <c r="B1657" s="31"/>
      <c r="C1657" s="30"/>
      <c r="D1657" s="33"/>
      <c r="E1657" s="34"/>
      <c r="F1657" s="34"/>
      <c r="G1657" s="36"/>
      <c r="H1657" s="34"/>
      <c r="I1657" s="37"/>
    </row>
    <row r="1658" ht="22.5" customHeight="1">
      <c r="A1658" s="30"/>
      <c r="B1658" s="31"/>
      <c r="C1658" s="30"/>
      <c r="D1658" s="33"/>
      <c r="E1658" s="34"/>
      <c r="F1658" s="34"/>
      <c r="G1658" s="36"/>
      <c r="H1658" s="34"/>
      <c r="I1658" s="37"/>
    </row>
    <row r="1659" ht="22.5" customHeight="1">
      <c r="A1659" s="30"/>
      <c r="B1659" s="31"/>
      <c r="C1659" s="30"/>
      <c r="D1659" s="33"/>
      <c r="E1659" s="34"/>
      <c r="F1659" s="34"/>
      <c r="G1659" s="36"/>
      <c r="H1659" s="34"/>
      <c r="I1659" s="37"/>
    </row>
    <row r="1660" ht="22.5" customHeight="1">
      <c r="A1660" s="30"/>
      <c r="B1660" s="31"/>
      <c r="C1660" s="30"/>
      <c r="D1660" s="33"/>
      <c r="E1660" s="34"/>
      <c r="F1660" s="34"/>
      <c r="G1660" s="36"/>
      <c r="H1660" s="34"/>
      <c r="I1660" s="37"/>
    </row>
    <row r="1661" ht="22.5" customHeight="1">
      <c r="A1661" s="30"/>
      <c r="B1661" s="31"/>
      <c r="C1661" s="30"/>
      <c r="D1661" s="33"/>
      <c r="E1661" s="34"/>
      <c r="F1661" s="34"/>
      <c r="G1661" s="36"/>
      <c r="H1661" s="34"/>
      <c r="I1661" s="37"/>
    </row>
    <row r="1662" ht="22.5" customHeight="1">
      <c r="A1662" s="30"/>
      <c r="B1662" s="31"/>
      <c r="C1662" s="30"/>
      <c r="D1662" s="33"/>
      <c r="E1662" s="34"/>
      <c r="F1662" s="34"/>
      <c r="G1662" s="36"/>
      <c r="H1662" s="34"/>
      <c r="I1662" s="37"/>
    </row>
    <row r="1663" ht="22.5" customHeight="1">
      <c r="A1663" s="30"/>
      <c r="B1663" s="31"/>
      <c r="C1663" s="30"/>
      <c r="D1663" s="33"/>
      <c r="E1663" s="34"/>
      <c r="F1663" s="34"/>
      <c r="G1663" s="36"/>
      <c r="H1663" s="34"/>
      <c r="I1663" s="37"/>
    </row>
    <row r="1664" ht="22.5" customHeight="1">
      <c r="A1664" s="30"/>
      <c r="B1664" s="31"/>
      <c r="C1664" s="30"/>
      <c r="D1664" s="33"/>
      <c r="E1664" s="34"/>
      <c r="F1664" s="34"/>
      <c r="G1664" s="36"/>
      <c r="H1664" s="34"/>
      <c r="I1664" s="37"/>
    </row>
    <row r="1665" ht="22.5" customHeight="1">
      <c r="A1665" s="30"/>
      <c r="B1665" s="31"/>
      <c r="C1665" s="30"/>
      <c r="D1665" s="33"/>
      <c r="E1665" s="34"/>
      <c r="F1665" s="34"/>
      <c r="G1665" s="36"/>
      <c r="H1665" s="34"/>
      <c r="I1665" s="37"/>
    </row>
    <row r="1666" ht="22.5" customHeight="1">
      <c r="A1666" s="30"/>
      <c r="B1666" s="31"/>
      <c r="C1666" s="30"/>
      <c r="D1666" s="33"/>
      <c r="E1666" s="34"/>
      <c r="F1666" s="34"/>
      <c r="G1666" s="36"/>
      <c r="H1666" s="34"/>
      <c r="I1666" s="37"/>
    </row>
    <row r="1667" ht="22.5" customHeight="1">
      <c r="A1667" s="30"/>
      <c r="B1667" s="31"/>
      <c r="C1667" s="30"/>
      <c r="D1667" s="33"/>
      <c r="E1667" s="34"/>
      <c r="F1667" s="34"/>
      <c r="G1667" s="36"/>
      <c r="H1667" s="34"/>
      <c r="I1667" s="37"/>
    </row>
    <row r="1668" ht="22.5" customHeight="1">
      <c r="A1668" s="30"/>
      <c r="B1668" s="31"/>
      <c r="C1668" s="30"/>
      <c r="D1668" s="33"/>
      <c r="E1668" s="34"/>
      <c r="F1668" s="34"/>
      <c r="G1668" s="36"/>
      <c r="H1668" s="34"/>
      <c r="I1668" s="37"/>
    </row>
    <row r="1669" ht="22.5" customHeight="1">
      <c r="A1669" s="30"/>
      <c r="B1669" s="31"/>
      <c r="C1669" s="30"/>
      <c r="D1669" s="33"/>
      <c r="E1669" s="34"/>
      <c r="F1669" s="34"/>
      <c r="G1669" s="36"/>
      <c r="H1669" s="34"/>
      <c r="I1669" s="37"/>
    </row>
    <row r="1670" ht="22.5" customHeight="1">
      <c r="A1670" s="30"/>
      <c r="B1670" s="31"/>
      <c r="C1670" s="30"/>
      <c r="D1670" s="33"/>
      <c r="E1670" s="34"/>
      <c r="F1670" s="34"/>
      <c r="G1670" s="36"/>
      <c r="H1670" s="34"/>
      <c r="I1670" s="37"/>
    </row>
    <row r="1671" ht="22.5" customHeight="1">
      <c r="A1671" s="30"/>
      <c r="B1671" s="31"/>
      <c r="C1671" s="30"/>
      <c r="D1671" s="33"/>
      <c r="E1671" s="34"/>
      <c r="F1671" s="34"/>
      <c r="G1671" s="36"/>
      <c r="H1671" s="34"/>
      <c r="I1671" s="37"/>
    </row>
    <row r="1672" ht="22.5" customHeight="1">
      <c r="A1672" s="30"/>
      <c r="B1672" s="31"/>
      <c r="C1672" s="30"/>
      <c r="D1672" s="33"/>
      <c r="E1672" s="34"/>
      <c r="F1672" s="34"/>
      <c r="G1672" s="36"/>
      <c r="H1672" s="34"/>
      <c r="I1672" s="37"/>
    </row>
    <row r="1673" ht="22.5" customHeight="1">
      <c r="A1673" s="30"/>
      <c r="B1673" s="31"/>
      <c r="C1673" s="30"/>
      <c r="D1673" s="33"/>
      <c r="E1673" s="34"/>
      <c r="F1673" s="34"/>
      <c r="G1673" s="36"/>
      <c r="H1673" s="34"/>
      <c r="I1673" s="37"/>
    </row>
    <row r="1674" ht="22.5" customHeight="1">
      <c r="A1674" s="30"/>
      <c r="B1674" s="31"/>
      <c r="C1674" s="30"/>
      <c r="D1674" s="33"/>
      <c r="E1674" s="34"/>
      <c r="F1674" s="34"/>
      <c r="G1674" s="36"/>
      <c r="H1674" s="34"/>
      <c r="I1674" s="37"/>
    </row>
    <row r="1675" ht="22.5" customHeight="1">
      <c r="A1675" s="30"/>
      <c r="B1675" s="31"/>
      <c r="C1675" s="30"/>
      <c r="D1675" s="33"/>
      <c r="E1675" s="34"/>
      <c r="F1675" s="34"/>
      <c r="G1675" s="36"/>
      <c r="H1675" s="34"/>
      <c r="I1675" s="37"/>
    </row>
    <row r="1676" ht="22.5" customHeight="1">
      <c r="A1676" s="30"/>
      <c r="B1676" s="31"/>
      <c r="C1676" s="30"/>
      <c r="D1676" s="33"/>
      <c r="E1676" s="34"/>
      <c r="F1676" s="34"/>
      <c r="G1676" s="36"/>
      <c r="H1676" s="34"/>
      <c r="I1676" s="37"/>
    </row>
    <row r="1677" ht="22.5" customHeight="1">
      <c r="A1677" s="30"/>
      <c r="B1677" s="31"/>
      <c r="C1677" s="30"/>
      <c r="D1677" s="33"/>
      <c r="E1677" s="34"/>
      <c r="F1677" s="34"/>
      <c r="G1677" s="36"/>
      <c r="H1677" s="34"/>
      <c r="I1677" s="37"/>
    </row>
    <row r="1678" ht="22.5" customHeight="1">
      <c r="A1678" s="30"/>
      <c r="B1678" s="31"/>
      <c r="C1678" s="30"/>
      <c r="D1678" s="33"/>
      <c r="E1678" s="34"/>
      <c r="F1678" s="34"/>
      <c r="G1678" s="36"/>
      <c r="H1678" s="34"/>
      <c r="I1678" s="37"/>
    </row>
    <row r="1679" ht="22.5" customHeight="1">
      <c r="A1679" s="30"/>
      <c r="B1679" s="31"/>
      <c r="C1679" s="30"/>
      <c r="D1679" s="33"/>
      <c r="E1679" s="34"/>
      <c r="F1679" s="34"/>
      <c r="G1679" s="36"/>
      <c r="H1679" s="34"/>
      <c r="I1679" s="37"/>
    </row>
    <row r="1680" ht="22.5" customHeight="1">
      <c r="A1680" s="30"/>
      <c r="B1680" s="31"/>
      <c r="C1680" s="30"/>
      <c r="D1680" s="33"/>
      <c r="E1680" s="34"/>
      <c r="F1680" s="34"/>
      <c r="G1680" s="36"/>
      <c r="H1680" s="34"/>
      <c r="I1680" s="37"/>
    </row>
    <row r="1681" ht="22.5" customHeight="1">
      <c r="A1681" s="30"/>
      <c r="B1681" s="31"/>
      <c r="C1681" s="30"/>
      <c r="D1681" s="33"/>
      <c r="E1681" s="34"/>
      <c r="F1681" s="34"/>
      <c r="G1681" s="36"/>
      <c r="H1681" s="34"/>
      <c r="I1681" s="37"/>
    </row>
    <row r="1682" ht="22.5" customHeight="1">
      <c r="A1682" s="30"/>
      <c r="B1682" s="31"/>
      <c r="C1682" s="30"/>
      <c r="D1682" s="33"/>
      <c r="E1682" s="34"/>
      <c r="F1682" s="34"/>
      <c r="G1682" s="36"/>
      <c r="H1682" s="34"/>
      <c r="I1682" s="37"/>
    </row>
    <row r="1683" ht="22.5" customHeight="1">
      <c r="A1683" s="30"/>
      <c r="B1683" s="31"/>
      <c r="C1683" s="30"/>
      <c r="D1683" s="33"/>
      <c r="E1683" s="34"/>
      <c r="F1683" s="34"/>
      <c r="G1683" s="36"/>
      <c r="H1683" s="34"/>
      <c r="I1683" s="37"/>
    </row>
    <row r="1684" ht="22.5" customHeight="1">
      <c r="A1684" s="30"/>
      <c r="B1684" s="31"/>
      <c r="C1684" s="30"/>
      <c r="D1684" s="33"/>
      <c r="E1684" s="34"/>
      <c r="F1684" s="34"/>
      <c r="G1684" s="36"/>
      <c r="H1684" s="34"/>
      <c r="I1684" s="37"/>
    </row>
    <row r="1685" ht="22.5" customHeight="1">
      <c r="A1685" s="30"/>
      <c r="B1685" s="31"/>
      <c r="C1685" s="30"/>
      <c r="D1685" s="33"/>
      <c r="E1685" s="34"/>
      <c r="F1685" s="34"/>
      <c r="G1685" s="36"/>
      <c r="H1685" s="34"/>
      <c r="I1685" s="37"/>
    </row>
    <row r="1686" ht="22.5" customHeight="1">
      <c r="A1686" s="30"/>
      <c r="B1686" s="31"/>
      <c r="C1686" s="30"/>
      <c r="D1686" s="33"/>
      <c r="E1686" s="34"/>
      <c r="F1686" s="34"/>
      <c r="G1686" s="36"/>
      <c r="H1686" s="34"/>
      <c r="I1686" s="37"/>
    </row>
    <row r="1687" ht="22.5" customHeight="1">
      <c r="A1687" s="30"/>
      <c r="B1687" s="31"/>
      <c r="C1687" s="30"/>
      <c r="D1687" s="33"/>
      <c r="E1687" s="34"/>
      <c r="F1687" s="34"/>
      <c r="G1687" s="36"/>
      <c r="H1687" s="34"/>
      <c r="I1687" s="37"/>
    </row>
    <row r="1688" ht="22.5" customHeight="1">
      <c r="A1688" s="30"/>
      <c r="B1688" s="31"/>
      <c r="C1688" s="30"/>
      <c r="D1688" s="33"/>
      <c r="E1688" s="34"/>
      <c r="F1688" s="34"/>
      <c r="G1688" s="36"/>
      <c r="H1688" s="34"/>
      <c r="I1688" s="37"/>
    </row>
    <row r="1689" ht="22.5" customHeight="1">
      <c r="A1689" s="30"/>
      <c r="B1689" s="31"/>
      <c r="C1689" s="30"/>
      <c r="D1689" s="33"/>
      <c r="E1689" s="34"/>
      <c r="F1689" s="34"/>
      <c r="G1689" s="36"/>
      <c r="H1689" s="34"/>
      <c r="I1689" s="37"/>
    </row>
    <row r="1690" ht="22.5" customHeight="1">
      <c r="A1690" s="30"/>
      <c r="B1690" s="31"/>
      <c r="C1690" s="30"/>
      <c r="D1690" s="33"/>
      <c r="E1690" s="34"/>
      <c r="F1690" s="34"/>
      <c r="G1690" s="36"/>
      <c r="H1690" s="34"/>
      <c r="I1690" s="37"/>
    </row>
    <row r="1691" ht="22.5" customHeight="1">
      <c r="A1691" s="30"/>
      <c r="B1691" s="31"/>
      <c r="C1691" s="30"/>
      <c r="D1691" s="33"/>
      <c r="E1691" s="34"/>
      <c r="F1691" s="34"/>
      <c r="G1691" s="36"/>
      <c r="H1691" s="34"/>
      <c r="I1691" s="37"/>
    </row>
    <row r="1692" ht="22.5" customHeight="1">
      <c r="A1692" s="30"/>
      <c r="B1692" s="31"/>
      <c r="C1692" s="30"/>
      <c r="D1692" s="33"/>
      <c r="E1692" s="34"/>
      <c r="F1692" s="34"/>
      <c r="G1692" s="36"/>
      <c r="H1692" s="34"/>
      <c r="I1692" s="37"/>
    </row>
    <row r="1693" ht="22.5" customHeight="1">
      <c r="A1693" s="30"/>
      <c r="B1693" s="31"/>
      <c r="C1693" s="30"/>
      <c r="D1693" s="33"/>
      <c r="E1693" s="34"/>
      <c r="F1693" s="34"/>
      <c r="G1693" s="36"/>
      <c r="H1693" s="34"/>
      <c r="I1693" s="37"/>
    </row>
    <row r="1694" ht="22.5" customHeight="1">
      <c r="A1694" s="30"/>
      <c r="B1694" s="31"/>
      <c r="C1694" s="30"/>
      <c r="D1694" s="33"/>
      <c r="E1694" s="34"/>
      <c r="F1694" s="34"/>
      <c r="G1694" s="36"/>
      <c r="H1694" s="34"/>
      <c r="I1694" s="37"/>
    </row>
    <row r="1695" ht="22.5" customHeight="1">
      <c r="A1695" s="30"/>
      <c r="B1695" s="31"/>
      <c r="C1695" s="30"/>
      <c r="D1695" s="33"/>
      <c r="E1695" s="34"/>
      <c r="F1695" s="34"/>
      <c r="G1695" s="36"/>
      <c r="H1695" s="34"/>
      <c r="I1695" s="37"/>
    </row>
    <row r="1696" ht="22.5" customHeight="1">
      <c r="A1696" s="30"/>
      <c r="B1696" s="31"/>
      <c r="C1696" s="30"/>
      <c r="D1696" s="33"/>
      <c r="E1696" s="34"/>
      <c r="F1696" s="34"/>
      <c r="G1696" s="36"/>
      <c r="H1696" s="34"/>
      <c r="I1696" s="37"/>
    </row>
    <row r="1697" ht="22.5" customHeight="1">
      <c r="A1697" s="30"/>
      <c r="B1697" s="31"/>
      <c r="C1697" s="30"/>
      <c r="D1697" s="33"/>
      <c r="E1697" s="34"/>
      <c r="F1697" s="34"/>
      <c r="G1697" s="36"/>
      <c r="H1697" s="34"/>
      <c r="I1697" s="37"/>
    </row>
    <row r="1698" ht="22.5" customHeight="1">
      <c r="A1698" s="30"/>
      <c r="B1698" s="31"/>
      <c r="C1698" s="30"/>
      <c r="D1698" s="33"/>
      <c r="E1698" s="34"/>
      <c r="F1698" s="34"/>
      <c r="G1698" s="36"/>
      <c r="H1698" s="34"/>
      <c r="I1698" s="37"/>
    </row>
    <row r="1699" ht="22.5" customHeight="1">
      <c r="A1699" s="30"/>
      <c r="B1699" s="31"/>
      <c r="C1699" s="30"/>
      <c r="D1699" s="33"/>
      <c r="E1699" s="34"/>
      <c r="F1699" s="34"/>
      <c r="G1699" s="36"/>
      <c r="H1699" s="34"/>
      <c r="I1699" s="37"/>
    </row>
    <row r="1700" ht="22.5" customHeight="1">
      <c r="A1700" s="30"/>
      <c r="B1700" s="31"/>
      <c r="C1700" s="30"/>
      <c r="D1700" s="33"/>
      <c r="E1700" s="34"/>
      <c r="F1700" s="34"/>
      <c r="G1700" s="36"/>
      <c r="H1700" s="34"/>
      <c r="I1700" s="37"/>
    </row>
    <row r="1701" ht="22.5" customHeight="1">
      <c r="A1701" s="30"/>
      <c r="B1701" s="31"/>
      <c r="C1701" s="30"/>
      <c r="D1701" s="33"/>
      <c r="E1701" s="34"/>
      <c r="F1701" s="34"/>
      <c r="G1701" s="36"/>
      <c r="H1701" s="34"/>
      <c r="I1701" s="37"/>
    </row>
    <row r="1702" ht="22.5" customHeight="1">
      <c r="A1702" s="41"/>
      <c r="B1702" s="42"/>
      <c r="C1702" s="41"/>
      <c r="D1702" s="43"/>
      <c r="E1702" s="44"/>
      <c r="F1702" s="44"/>
      <c r="G1702" s="45"/>
      <c r="H1702" s="44"/>
      <c r="I1702" s="46"/>
    </row>
    <row r="1703" ht="22.5" customHeight="1">
      <c r="A1703" s="14"/>
      <c r="B1703" s="60"/>
      <c r="C1703" s="14"/>
      <c r="D1703" s="17"/>
      <c r="E1703" s="18"/>
      <c r="F1703" s="18"/>
      <c r="G1703" s="20"/>
      <c r="H1703" s="18"/>
      <c r="I1703" s="21"/>
    </row>
  </sheetData>
  <conditionalFormatting sqref="A5:I1702">
    <cfRule type="expression" dxfId="23" priority="1">
      <formula>$F5="BOLSA DE OXIGÊNIO"</formula>
    </cfRule>
  </conditionalFormatting>
  <conditionalFormatting sqref="A5:I1702">
    <cfRule type="expression" dxfId="6" priority="2">
      <formula>$F5="BOLSA SALV. ALTURA (MERET)"</formula>
    </cfRule>
  </conditionalFormatting>
  <conditionalFormatting sqref="A5:I1702">
    <cfRule type="expression" dxfId="7" priority="3">
      <formula>$F5="BOX 01"</formula>
    </cfRule>
  </conditionalFormatting>
  <conditionalFormatting sqref="A5:I1702">
    <cfRule type="expression" dxfId="8" priority="4">
      <formula>$F5="BOX 02"</formula>
    </cfRule>
  </conditionalFormatting>
  <conditionalFormatting sqref="A5:I1702">
    <cfRule type="expression" dxfId="9" priority="5">
      <formula>$F5="BOX 03"</formula>
    </cfRule>
  </conditionalFormatting>
  <conditionalFormatting sqref="A5:I1702">
    <cfRule type="expression" dxfId="10" priority="6">
      <formula>$F5="BOX 04"</formula>
    </cfRule>
  </conditionalFormatting>
  <conditionalFormatting sqref="A5:I1702">
    <cfRule type="expression" dxfId="11" priority="7">
      <formula>$F5="BOX 05"</formula>
    </cfRule>
  </conditionalFormatting>
  <conditionalFormatting sqref="A5:I1702">
    <cfRule type="expression" dxfId="12" priority="8">
      <formula>$F5="BOX CENTRAL"</formula>
    </cfRule>
  </conditionalFormatting>
  <conditionalFormatting sqref="A5:I1702">
    <cfRule type="expression" dxfId="13" priority="9">
      <formula>$F5="BOX SUPERIOR 01"</formula>
    </cfRule>
  </conditionalFormatting>
  <conditionalFormatting sqref="A5:I1702">
    <cfRule type="expression" dxfId="14" priority="10">
      <formula>$F5="CABINE"</formula>
    </cfRule>
  </conditionalFormatting>
  <conditionalFormatting sqref="A5:I1702">
    <cfRule type="expression" dxfId="15" priority="11">
      <formula>$F5="CARROCERIA"</formula>
    </cfRule>
  </conditionalFormatting>
  <conditionalFormatting sqref="A5:I1702">
    <cfRule type="expression" dxfId="16" priority="12">
      <formula>$F5="CAIXA DE FERRAMENTA"</formula>
    </cfRule>
  </conditionalFormatting>
  <conditionalFormatting sqref="A5:I1702">
    <cfRule type="expression" dxfId="17" priority="13">
      <formula>$F5="BOLSA DE SALV. ALTURA"</formula>
    </cfRule>
  </conditionalFormatting>
  <conditionalFormatting sqref="A5:I1702">
    <cfRule type="expression" dxfId="18" priority="14">
      <formula>$F5="BOLSA DE SALV ALTURA VERMELHA LACRADA"</formula>
    </cfRule>
  </conditionalFormatting>
  <conditionalFormatting sqref="A5:I1702">
    <cfRule type="expression" dxfId="19" priority="15">
      <formula>$F5="BOLSA DE SALV ALTURA CINZA LACRADA"</formula>
    </cfRule>
  </conditionalFormatting>
  <conditionalFormatting sqref="A5:I1702">
    <cfRule type="expression" dxfId="20" priority="16">
      <formula>$F5="BOX 06"</formula>
    </cfRule>
  </conditionalFormatting>
  <conditionalFormatting sqref="A5:I1702">
    <cfRule type="expression" dxfId="21" priority="17">
      <formula>$F5="BOX 07"</formula>
    </cfRule>
  </conditionalFormatting>
  <conditionalFormatting sqref="A5:I1702">
    <cfRule type="expression" dxfId="22" priority="18">
      <formula>$F5="BOX 08"</formula>
    </cfRule>
  </conditionalFormatting>
  <conditionalFormatting sqref="A5:I1624">
    <cfRule type="expression" dxfId="24" priority="19">
      <formula>$F5="BOX TRASEIRO"</formula>
    </cfRule>
  </conditionalFormatting>
  <dataValidations>
    <dataValidation type="list" allowBlank="1" sqref="B2">
      <formula1>'Cadastro Automático VTRSEÇÃOMIL'!$C$1:$C1703</formula1>
    </dataValidation>
    <dataValidation allowBlank="1" showDropDown="1" sqref="B5:B1703"/>
    <dataValidation type="list" allowBlank="1" sqref="B1">
      <formula1>'Cadastro Automático VTRSEÇÃOMIL'!$B$1:$B1703</formula1>
    </dataValidation>
  </dataValidations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1"/>
  <tableParts count="2">
    <tablePart r:id="rId4"/>
    <tablePart r:id="rId5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20.38"/>
    <col customWidth="1" min="2" max="2" width="50.13"/>
    <col customWidth="1" min="3" max="3" width="9.5"/>
    <col customWidth="1" min="4" max="4" width="14.0"/>
    <col customWidth="1" min="5" max="5" width="17.75"/>
    <col customWidth="1" min="6" max="6" width="30.5"/>
    <col customWidth="1" min="7" max="7" width="14.25"/>
    <col customWidth="1" min="8" max="8" width="31.25"/>
    <col customWidth="1" min="9" max="9" width="81.38"/>
  </cols>
  <sheetData>
    <row r="1" ht="21.0" customHeight="1">
      <c r="A1" s="1" t="s">
        <v>0</v>
      </c>
      <c r="B1" s="48" t="s">
        <v>19</v>
      </c>
      <c r="C1" s="3"/>
      <c r="D1" s="3"/>
      <c r="E1" s="3"/>
      <c r="F1" s="3"/>
      <c r="G1" s="4"/>
      <c r="H1" s="49"/>
      <c r="I1" s="5"/>
    </row>
    <row r="2" ht="17.25" customHeight="1">
      <c r="A2" s="1" t="s">
        <v>2</v>
      </c>
      <c r="B2" s="2"/>
      <c r="C2" s="3"/>
      <c r="D2" s="3"/>
      <c r="E2" s="3"/>
      <c r="F2" s="3"/>
      <c r="G2" s="4"/>
      <c r="H2" s="79" t="s">
        <v>22</v>
      </c>
      <c r="I2" s="5"/>
    </row>
    <row r="3" ht="30.0" customHeight="1">
      <c r="A3" s="3"/>
      <c r="B3" s="3"/>
      <c r="C3" s="3"/>
      <c r="D3" s="3"/>
      <c r="E3" s="3"/>
      <c r="F3" s="3"/>
      <c r="G3" s="4"/>
      <c r="H3" s="49"/>
      <c r="I3" s="8"/>
    </row>
    <row r="4" ht="37.5" customHeight="1">
      <c r="A4" s="9" t="s">
        <v>14</v>
      </c>
      <c r="B4" s="10" t="s">
        <v>4</v>
      </c>
      <c r="C4" s="11" t="s">
        <v>5</v>
      </c>
      <c r="D4" s="12" t="s">
        <v>6</v>
      </c>
      <c r="E4" s="12" t="s">
        <v>0</v>
      </c>
      <c r="F4" s="12" t="s">
        <v>7</v>
      </c>
      <c r="G4" s="11" t="s">
        <v>8</v>
      </c>
      <c r="H4" s="50" t="s">
        <v>9</v>
      </c>
      <c r="I4" s="13" t="s">
        <v>10</v>
      </c>
    </row>
    <row r="5" ht="22.5" customHeight="1">
      <c r="A5" s="20"/>
      <c r="B5" s="60"/>
      <c r="C5" s="14"/>
      <c r="D5" s="17"/>
      <c r="E5" s="18"/>
      <c r="F5" s="18"/>
      <c r="G5" s="20"/>
      <c r="H5" s="18"/>
      <c r="I5" s="21"/>
    </row>
    <row r="6" ht="22.5" customHeight="1">
      <c r="A6" s="20">
        <f>IFERROR(__xludf.DUMMYFUNCTION("IF(B2&lt;&gt;"""",FILTER('materiais permanenteconsumo'!A2:I1703,'materiais permanenteconsumo'!E2:E1703=B1,'materiais permanenteconsumo'!F2:F1703=B2),FILTER('materiais permanenteconsumo'!A2:I1703,'materiais permanenteconsumo'!E2:E1703=B1))"),29.0)</f>
        <v>29</v>
      </c>
      <c r="B6" s="15" t="str">
        <f>IFERROR(__xludf.DUMMYFUNCTION("""COMPUTED_VALUE"""),"ESFIGMOMANOMETRO -")</f>
        <v>ESFIGMOMANOMETRO -</v>
      </c>
      <c r="C6" s="16">
        <f>IFERROR(__xludf.DUMMYFUNCTION("""COMPUTED_VALUE"""),1.0)</f>
        <v>1</v>
      </c>
      <c r="D6" s="17" t="str">
        <f>IFERROR(__xludf.DUMMYFUNCTION("""COMPUTED_VALUE"""),"VIATURA")</f>
        <v>VIATURA</v>
      </c>
      <c r="E6" s="18" t="str">
        <f>IFERROR(__xludf.DUMMYFUNCTION("""COMPUTED_VALUE"""),"1 - ABTS5911")</f>
        <v>1 - ABTS5911</v>
      </c>
      <c r="F6" s="18" t="str">
        <f>IFERROR(__xludf.DUMMYFUNCTION("""COMPUTED_VALUE"""),"BOLSA DE RESGATE")</f>
        <v>BOLSA DE RESGATE</v>
      </c>
      <c r="G6" s="19">
        <f>IFERROR(__xludf.DUMMYFUNCTION("""COMPUTED_VALUE"""),7.674289E7)</f>
        <v>76742890</v>
      </c>
      <c r="H6" s="18"/>
      <c r="I6" s="21"/>
    </row>
    <row r="7" ht="22.5" customHeight="1">
      <c r="A7" s="20">
        <f>IFERROR(__xludf.DUMMYFUNCTION("""COMPUTED_VALUE"""),40.0)</f>
        <v>40</v>
      </c>
      <c r="B7" s="60" t="str">
        <f>IFERROR(__xludf.DUMMYFUNCTION("""COMPUTED_VALUE"""),"ESTETOSCOPIO -")</f>
        <v>ESTETOSCOPIO -</v>
      </c>
      <c r="C7" s="16">
        <f>IFERROR(__xludf.DUMMYFUNCTION("""COMPUTED_VALUE"""),1.0)</f>
        <v>1</v>
      </c>
      <c r="D7" s="17" t="str">
        <f>IFERROR(__xludf.DUMMYFUNCTION("""COMPUTED_VALUE"""),"VIATURA")</f>
        <v>VIATURA</v>
      </c>
      <c r="E7" s="18" t="str">
        <f>IFERROR(__xludf.DUMMYFUNCTION("""COMPUTED_VALUE"""),"1 - ABTS5911")</f>
        <v>1 - ABTS5911</v>
      </c>
      <c r="F7" s="18" t="str">
        <f>IFERROR(__xludf.DUMMYFUNCTION("""COMPUTED_VALUE"""),"BOLSA DE RESGATE")</f>
        <v>BOLSA DE RESGATE</v>
      </c>
      <c r="G7" s="19">
        <f>IFERROR(__xludf.DUMMYFUNCTION("""COMPUTED_VALUE"""),7.6757595E7)</f>
        <v>76757595</v>
      </c>
      <c r="H7" s="18"/>
      <c r="I7" s="21"/>
    </row>
    <row r="8" ht="22.5" customHeight="1">
      <c r="A8" s="20">
        <f>IFERROR(__xludf.DUMMYFUNCTION("""COMPUTED_VALUE"""),491.0)</f>
        <v>491</v>
      </c>
      <c r="B8" s="60" t="str">
        <f>IFERROR(__xludf.DUMMYFUNCTION("""COMPUTED_VALUE"""),"EQUIPAMENTO DE PROTEÇÃO RESPIRATÓRIO, COMPLETO -")</f>
        <v>EQUIPAMENTO DE PROTEÇÃO RESPIRATÓRIO, COMPLETO -</v>
      </c>
      <c r="C8" s="16">
        <f>IFERROR(__xludf.DUMMYFUNCTION("""COMPUTED_VALUE"""),1.0)</f>
        <v>1</v>
      </c>
      <c r="D8" s="17" t="str">
        <f>IFERROR(__xludf.DUMMYFUNCTION("""COMPUTED_VALUE"""),"VIATURA")</f>
        <v>VIATURA</v>
      </c>
      <c r="E8" s="18" t="str">
        <f>IFERROR(__xludf.DUMMYFUNCTION("""COMPUTED_VALUE"""),"1 - ABTS5911")</f>
        <v>1 - ABTS5911</v>
      </c>
      <c r="F8" s="18" t="str">
        <f>IFERROR(__xludf.DUMMYFUNCTION("""COMPUTED_VALUE"""),"CABINE")</f>
        <v>CABINE</v>
      </c>
      <c r="G8" s="19">
        <f>IFERROR(__xludf.DUMMYFUNCTION("""COMPUTED_VALUE"""),7.6808068E7)</f>
        <v>76808068</v>
      </c>
      <c r="H8" s="18" t="str">
        <f>IFERROR(__xludf.DUMMYFUNCTION("""COMPUTED_VALUE"""),"N.S.115S2201004795")</f>
        <v>N.S.115S2201004795</v>
      </c>
      <c r="I8" s="21" t="str">
        <f>IFERROR(__xludf.DUMMYFUNCTION("""COMPUTED_VALUE"""),"EPR SCOTT COMPLETO, VALVULA DE DEMANDA, ARRIATA, CILINDRO E MÁSCARA")</f>
        <v>EPR SCOTT COMPLETO, VALVULA DE DEMANDA, ARRIATA, CILINDRO E MÁSCARA</v>
      </c>
    </row>
    <row r="9" ht="22.5" customHeight="1">
      <c r="A9" s="20">
        <f>IFERROR(__xludf.DUMMYFUNCTION("""COMPUTED_VALUE"""),492.0)</f>
        <v>492</v>
      </c>
      <c r="B9" s="60" t="str">
        <f>IFERROR(__xludf.DUMMYFUNCTION("""COMPUTED_VALUE"""),"EQUIPAMENTO DE PROTEÇÃO RESPIRATÓRIO, COMPLETO -")</f>
        <v>EQUIPAMENTO DE PROTEÇÃO RESPIRATÓRIO, COMPLETO -</v>
      </c>
      <c r="C9" s="16">
        <f>IFERROR(__xludf.DUMMYFUNCTION("""COMPUTED_VALUE"""),1.0)</f>
        <v>1</v>
      </c>
      <c r="D9" s="17" t="str">
        <f>IFERROR(__xludf.DUMMYFUNCTION("""COMPUTED_VALUE"""),"VIATURA")</f>
        <v>VIATURA</v>
      </c>
      <c r="E9" s="18" t="str">
        <f>IFERROR(__xludf.DUMMYFUNCTION("""COMPUTED_VALUE"""),"1 - ABTS5911")</f>
        <v>1 - ABTS5911</v>
      </c>
      <c r="F9" s="18" t="str">
        <f>IFERROR(__xludf.DUMMYFUNCTION("""COMPUTED_VALUE"""),"CABINE")</f>
        <v>CABINE</v>
      </c>
      <c r="G9" s="19">
        <f>IFERROR(__xludf.DUMMYFUNCTION("""COMPUTED_VALUE"""),7.6704904E7)</f>
        <v>76704904</v>
      </c>
      <c r="H9" s="18"/>
      <c r="I9" s="21" t="str">
        <f>IFERROR(__xludf.DUMMYFUNCTION("""COMPUTED_VALUE"""),"EPR SCOTT COMPLETO, VALVULA DE DEMANDA, ARRIATA, CILINDRO E MÁSCARA")</f>
        <v>EPR SCOTT COMPLETO, VALVULA DE DEMANDA, ARRIATA, CILINDRO E MÁSCARA</v>
      </c>
    </row>
    <row r="10" ht="22.5" customHeight="1">
      <c r="A10" s="20">
        <f>IFERROR(__xludf.DUMMYFUNCTION("""COMPUTED_VALUE"""),493.0)</f>
        <v>493</v>
      </c>
      <c r="B10" s="60" t="str">
        <f>IFERROR(__xludf.DUMMYFUNCTION("""COMPUTED_VALUE"""),"EQUIPAMENTO DE PROTEÇÃO RESPIRATÓRIO, COMPLETO -")</f>
        <v>EQUIPAMENTO DE PROTEÇÃO RESPIRATÓRIO, COMPLETO -</v>
      </c>
      <c r="C10" s="16">
        <f>IFERROR(__xludf.DUMMYFUNCTION("""COMPUTED_VALUE"""),1.0)</f>
        <v>1</v>
      </c>
      <c r="D10" s="17" t="str">
        <f>IFERROR(__xludf.DUMMYFUNCTION("""COMPUTED_VALUE"""),"VIATURA")</f>
        <v>VIATURA</v>
      </c>
      <c r="E10" s="18" t="str">
        <f>IFERROR(__xludf.DUMMYFUNCTION("""COMPUTED_VALUE"""),"1 - ABTS5911")</f>
        <v>1 - ABTS5911</v>
      </c>
      <c r="F10" s="18" t="str">
        <f>IFERROR(__xludf.DUMMYFUNCTION("""COMPUTED_VALUE"""),"CABINE")</f>
        <v>CABINE</v>
      </c>
      <c r="G10" s="19">
        <f>IFERROR(__xludf.DUMMYFUNCTION("""COMPUTED_VALUE"""),7.685512E7)</f>
        <v>76855120</v>
      </c>
      <c r="H10" s="18"/>
      <c r="I10" s="80" t="str">
        <f>IFERROR(__xludf.DUMMYFUNCTION("""COMPUTED_VALUE"""),"EPR SCOTT COMPLETO, VALVULA DE DEMANDA, ARRIATA, CILINDRO E MÁSCARA")</f>
        <v>EPR SCOTT COMPLETO, VALVULA DE DEMANDA, ARRIATA, CILINDRO E MÁSCARA</v>
      </c>
    </row>
    <row r="11" ht="22.5" customHeight="1">
      <c r="A11" s="20">
        <f>IFERROR(__xludf.DUMMYFUNCTION("""COMPUTED_VALUE"""),494.0)</f>
        <v>494</v>
      </c>
      <c r="B11" s="81" t="str">
        <f>IFERROR(__xludf.DUMMYFUNCTION("""COMPUTED_VALUE"""),"EQUIPAMENTO DE PROTEÇÃO RESPIRATÓRIO, COMPLETO -")</f>
        <v>EQUIPAMENTO DE PROTEÇÃO RESPIRATÓRIO, COMPLETO -</v>
      </c>
      <c r="C11" s="16">
        <f>IFERROR(__xludf.DUMMYFUNCTION("""COMPUTED_VALUE"""),1.0)</f>
        <v>1</v>
      </c>
      <c r="D11" s="17" t="str">
        <f>IFERROR(__xludf.DUMMYFUNCTION("""COMPUTED_VALUE"""),"VIATURA")</f>
        <v>VIATURA</v>
      </c>
      <c r="E11" s="18" t="str">
        <f>IFERROR(__xludf.DUMMYFUNCTION("""COMPUTED_VALUE"""),"1 - ABTS5911")</f>
        <v>1 - ABTS5911</v>
      </c>
      <c r="F11" s="18" t="str">
        <f>IFERROR(__xludf.DUMMYFUNCTION("""COMPUTED_VALUE"""),"CABINE")</f>
        <v>CABINE</v>
      </c>
      <c r="G11" s="19">
        <f>IFERROR(__xludf.DUMMYFUNCTION("""COMPUTED_VALUE"""),7.6855201E7)</f>
        <v>76855201</v>
      </c>
      <c r="H11" s="18"/>
      <c r="I11" s="21" t="str">
        <f>IFERROR(__xludf.DUMMYFUNCTION("""COMPUTED_VALUE"""),"EPR SCOTT COMPLETO, VALVULA DE DEMANDA, ARRIATA, CILINDRO E MÁSCARA")</f>
        <v>EPR SCOTT COMPLETO, VALVULA DE DEMANDA, ARRIATA, CILINDRO E MÁSCARA</v>
      </c>
    </row>
    <row r="12" ht="22.5" customHeight="1">
      <c r="A12" s="20">
        <f>IFERROR(__xludf.DUMMYFUNCTION("""COMPUTED_VALUE"""),544.0)</f>
        <v>544</v>
      </c>
      <c r="B12" s="60" t="str">
        <f>IFERROR(__xludf.DUMMYFUNCTION("""COMPUTED_VALUE"""),"TALHA -")</f>
        <v>TALHA -</v>
      </c>
      <c r="C12" s="16">
        <f>IFERROR(__xludf.DUMMYFUNCTION("""COMPUTED_VALUE"""),1.0)</f>
        <v>1</v>
      </c>
      <c r="D12" s="17" t="str">
        <f>IFERROR(__xludf.DUMMYFUNCTION("""COMPUTED_VALUE"""),"VIATURA")</f>
        <v>VIATURA</v>
      </c>
      <c r="E12" s="18" t="str">
        <f>IFERROR(__xludf.DUMMYFUNCTION("""COMPUTED_VALUE"""),"1 - ABTS5911")</f>
        <v>1 - ABTS5911</v>
      </c>
      <c r="F12" s="18" t="str">
        <f>IFERROR(__xludf.DUMMYFUNCTION("""COMPUTED_VALUE"""),"BOX 02")</f>
        <v>BOX 02</v>
      </c>
      <c r="G12" s="19">
        <f>IFERROR(__xludf.DUMMYFUNCTION("""COMPUTED_VALUE"""),1.396438E7)</f>
        <v>13964380</v>
      </c>
      <c r="H12" s="18"/>
      <c r="I12" s="21"/>
    </row>
    <row r="13" ht="22.5" customHeight="1">
      <c r="A13" s="20">
        <f>IFERROR(__xludf.DUMMYFUNCTION("""COMPUTED_VALUE"""),552.0)</f>
        <v>552</v>
      </c>
      <c r="B13" s="60" t="str">
        <f>IFERROR(__xludf.DUMMYFUNCTION("""COMPUTED_VALUE"""),"CAIXA PARA GUARDA DE FERRAMENTAS -")</f>
        <v>CAIXA PARA GUARDA DE FERRAMENTAS -</v>
      </c>
      <c r="C13" s="16">
        <f>IFERROR(__xludf.DUMMYFUNCTION("""COMPUTED_VALUE"""),1.0)</f>
        <v>1</v>
      </c>
      <c r="D13" s="17" t="str">
        <f>IFERROR(__xludf.DUMMYFUNCTION("""COMPUTED_VALUE"""),"VIATURA")</f>
        <v>VIATURA</v>
      </c>
      <c r="E13" s="18" t="str">
        <f>IFERROR(__xludf.DUMMYFUNCTION("""COMPUTED_VALUE"""),"1 - ABTS5911")</f>
        <v>1 - ABTS5911</v>
      </c>
      <c r="F13" s="18" t="str">
        <f>IFERROR(__xludf.DUMMYFUNCTION("""COMPUTED_VALUE"""),"BOX 05")</f>
        <v>BOX 05</v>
      </c>
      <c r="G13" s="19">
        <f>IFERROR(__xludf.DUMMYFUNCTION("""COMPUTED_VALUE"""),1.399901E7)</f>
        <v>13999010</v>
      </c>
      <c r="H13" s="18"/>
      <c r="I13" s="21"/>
    </row>
    <row r="14" ht="22.5" customHeight="1">
      <c r="A14" s="20">
        <f>IFERROR(__xludf.DUMMYFUNCTION("""COMPUTED_VALUE"""),556.0)</f>
        <v>556</v>
      </c>
      <c r="B14" s="60" t="str">
        <f>IFERROR(__xludf.DUMMYFUNCTION("""COMPUTED_VALUE"""),"EQUIPAMENTO DE PROTEÇÃO RESPIRATÓRIO, COMPLETO -")</f>
        <v>EQUIPAMENTO DE PROTEÇÃO RESPIRATÓRIO, COMPLETO -</v>
      </c>
      <c r="C14" s="16">
        <f>IFERROR(__xludf.DUMMYFUNCTION("""COMPUTED_VALUE"""),1.0)</f>
        <v>1</v>
      </c>
      <c r="D14" s="17" t="str">
        <f>IFERROR(__xludf.DUMMYFUNCTION("""COMPUTED_VALUE"""),"VIATURA")</f>
        <v>VIATURA</v>
      </c>
      <c r="E14" s="18" t="str">
        <f>IFERROR(__xludf.DUMMYFUNCTION("""COMPUTED_VALUE"""),"1 - ABTS5911")</f>
        <v>1 - ABTS5911</v>
      </c>
      <c r="F14" s="18" t="str">
        <f>IFERROR(__xludf.DUMMYFUNCTION("""COMPUTED_VALUE"""),"CABINE")</f>
        <v>CABINE</v>
      </c>
      <c r="G14" s="19">
        <f>IFERROR(__xludf.DUMMYFUNCTION("""COMPUTED_VALUE"""),7.693755E7)</f>
        <v>76937550</v>
      </c>
      <c r="H14" s="18"/>
      <c r="I14" s="21" t="str">
        <f>IFERROR(__xludf.DUMMYFUNCTION("""COMPUTED_VALUE"""),"EPR MSA COMPLETO, VALVULA DE DEMANDA, ARRIATA, CILINDRO E MÁSCARA")</f>
        <v>EPR MSA COMPLETO, VALVULA DE DEMANDA, ARRIATA, CILINDRO E MÁSCARA</v>
      </c>
    </row>
    <row r="15" ht="22.5" customHeight="1">
      <c r="A15" s="20">
        <f>IFERROR(__xludf.DUMMYFUNCTION("""COMPUTED_VALUE"""),557.0)</f>
        <v>557</v>
      </c>
      <c r="B15" s="81" t="str">
        <f>IFERROR(__xludf.DUMMYFUNCTION("""COMPUTED_VALUE"""),"EQUIPAMENTO DE PROTEÇÃO RESPIRATÓRIO, COMPLETO -")</f>
        <v>EQUIPAMENTO DE PROTEÇÃO RESPIRATÓRIO, COMPLETO -</v>
      </c>
      <c r="C15" s="16">
        <f>IFERROR(__xludf.DUMMYFUNCTION("""COMPUTED_VALUE"""),1.0)</f>
        <v>1</v>
      </c>
      <c r="D15" s="17" t="str">
        <f>IFERROR(__xludf.DUMMYFUNCTION("""COMPUTED_VALUE"""),"VIATURA")</f>
        <v>VIATURA</v>
      </c>
      <c r="E15" s="18" t="str">
        <f>IFERROR(__xludf.DUMMYFUNCTION("""COMPUTED_VALUE"""),"1 - ABTS5911")</f>
        <v>1 - ABTS5911</v>
      </c>
      <c r="F15" s="18" t="str">
        <f>IFERROR(__xludf.DUMMYFUNCTION("""COMPUTED_VALUE"""),"CABINE")</f>
        <v>CABINE</v>
      </c>
      <c r="G15" s="19">
        <f>IFERROR(__xludf.DUMMYFUNCTION("""COMPUTED_VALUE"""),7.6937569E7)</f>
        <v>76937569</v>
      </c>
      <c r="H15" s="18"/>
      <c r="I15" s="21" t="str">
        <f>IFERROR(__xludf.DUMMYFUNCTION("""COMPUTED_VALUE"""),"EPR MSA COMPLETO, VALVULA DE DEMANDA, ARRIATA, CILINDRO E MÁSCARA")</f>
        <v>EPR MSA COMPLETO, VALVULA DE DEMANDA, ARRIATA, CILINDRO E MÁSCARA</v>
      </c>
    </row>
    <row r="16" ht="22.5" customHeight="1">
      <c r="A16" s="20">
        <f>IFERROR(__xludf.DUMMYFUNCTION("""COMPUTED_VALUE"""),625.0)</f>
        <v>625</v>
      </c>
      <c r="B16" s="60" t="str">
        <f>IFERROR(__xludf.DUMMYFUNCTION("""COMPUTED_VALUE"""),"ESGUICHO PARA MANGUEIRA COMBATE A INCENDIO -")</f>
        <v>ESGUICHO PARA MANGUEIRA COMBATE A INCENDIO -</v>
      </c>
      <c r="C16" s="16">
        <f>IFERROR(__xludf.DUMMYFUNCTION("""COMPUTED_VALUE"""),1.0)</f>
        <v>1</v>
      </c>
      <c r="D16" s="17" t="str">
        <f>IFERROR(__xludf.DUMMYFUNCTION("""COMPUTED_VALUE"""),"VIATURA")</f>
        <v>VIATURA</v>
      </c>
      <c r="E16" s="18" t="str">
        <f>IFERROR(__xludf.DUMMYFUNCTION("""COMPUTED_VALUE"""),"1 - ABTS5911")</f>
        <v>1 - ABTS5911</v>
      </c>
      <c r="F16" s="18"/>
      <c r="G16" s="19">
        <f>IFERROR(__xludf.DUMMYFUNCTION("""COMPUTED_VALUE"""),4.0165582E7)</f>
        <v>40165582</v>
      </c>
      <c r="H16" s="18"/>
      <c r="I16" s="21" t="str">
        <f>IFERROR(__xludf.DUMMYFUNCTION("""COMPUTED_VALUE"""),"Esguicho de 2¹/²")</f>
        <v>Esguicho de 2¹/²</v>
      </c>
    </row>
    <row r="17" ht="22.5" customHeight="1">
      <c r="A17" s="20">
        <f>IFERROR(__xludf.DUMMYFUNCTION("""COMPUTED_VALUE"""),956.0)</f>
        <v>956</v>
      </c>
      <c r="B17" s="81" t="str">
        <f>IFERROR(__xludf.DUMMYFUNCTION("""COMPUTED_VALUE"""),"MOCHILA COSTAL PARA COMBATE A INCENDIO")</f>
        <v>MOCHILA COSTAL PARA COMBATE A INCENDIO</v>
      </c>
      <c r="C17" s="16">
        <f>IFERROR(__xludf.DUMMYFUNCTION("""COMPUTED_VALUE"""),1.0)</f>
        <v>1</v>
      </c>
      <c r="D17" s="17" t="str">
        <f>IFERROR(__xludf.DUMMYFUNCTION("""COMPUTED_VALUE"""),"VIATURA")</f>
        <v>VIATURA</v>
      </c>
      <c r="E17" s="18" t="str">
        <f>IFERROR(__xludf.DUMMYFUNCTION("""COMPUTED_VALUE"""),"1 - ABTS5911")</f>
        <v>1 - ABTS5911</v>
      </c>
      <c r="F17" s="18" t="str">
        <f>IFERROR(__xludf.DUMMYFUNCTION("""COMPUTED_VALUE"""),"BOX 06")</f>
        <v>BOX 06</v>
      </c>
      <c r="G17" s="19">
        <f>IFERROR(__xludf.DUMMYFUNCTION("""COMPUTED_VALUE"""),7.6669718E7)</f>
        <v>76669718</v>
      </c>
      <c r="H17" s="18"/>
      <c r="I17" s="21" t="str">
        <f>IFERROR(__xludf.DUMMYFUNCTION("""COMPUTED_VALUE"""),"MOCHILA COSTAL (VALLFIREST) C/ ESGUICHO")</f>
        <v>MOCHILA COSTAL (VALLFIREST) C/ ESGUICHO</v>
      </c>
    </row>
    <row r="18" ht="22.5" customHeight="1">
      <c r="A18" s="20">
        <f>IFERROR(__xludf.DUMMYFUNCTION("""COMPUTED_VALUE"""),957.0)</f>
        <v>957</v>
      </c>
      <c r="B18" s="60" t="str">
        <f>IFERROR(__xludf.DUMMYFUNCTION("""COMPUTED_VALUE"""),"MOCHILA COSTAL PARA COMBATE A INCENDIO")</f>
        <v>MOCHILA COSTAL PARA COMBATE A INCENDIO</v>
      </c>
      <c r="C18" s="16">
        <f>IFERROR(__xludf.DUMMYFUNCTION("""COMPUTED_VALUE"""),1.0)</f>
        <v>1</v>
      </c>
      <c r="D18" s="17" t="str">
        <f>IFERROR(__xludf.DUMMYFUNCTION("""COMPUTED_VALUE"""),"VIATURA")</f>
        <v>VIATURA</v>
      </c>
      <c r="E18" s="18" t="str">
        <f>IFERROR(__xludf.DUMMYFUNCTION("""COMPUTED_VALUE"""),"1 - ABTS5911")</f>
        <v>1 - ABTS5911</v>
      </c>
      <c r="F18" s="18" t="str">
        <f>IFERROR(__xludf.DUMMYFUNCTION("""COMPUTED_VALUE"""),"BOX 06")</f>
        <v>BOX 06</v>
      </c>
      <c r="G18" s="19">
        <f>IFERROR(__xludf.DUMMYFUNCTION("""COMPUTED_VALUE"""),7.6669726E7)</f>
        <v>76669726</v>
      </c>
      <c r="H18" s="18"/>
      <c r="I18" s="21" t="str">
        <f>IFERROR(__xludf.DUMMYFUNCTION("""COMPUTED_VALUE"""),"MOCHILA COSTAL (VALLFIREST) C/ ESGUICHO")</f>
        <v>MOCHILA COSTAL (VALLFIREST) C/ ESGUICHO</v>
      </c>
    </row>
    <row r="19" ht="22.5" customHeight="1">
      <c r="A19" s="20">
        <f>IFERROR(__xludf.DUMMYFUNCTION("""COMPUTED_VALUE"""),978.0)</f>
        <v>978</v>
      </c>
      <c r="B19" s="60" t="str">
        <f>IFERROR(__xludf.DUMMYFUNCTION("""COMPUTED_VALUE"""),"EQUIPAMENTO DE PROTEÇÃO RESPIRATÓRIO, COMPLETO -")</f>
        <v>EQUIPAMENTO DE PROTEÇÃO RESPIRATÓRIO, COMPLETO -</v>
      </c>
      <c r="C19" s="16">
        <f>IFERROR(__xludf.DUMMYFUNCTION("""COMPUTED_VALUE"""),1.0)</f>
        <v>1</v>
      </c>
      <c r="D19" s="17" t="str">
        <f>IFERROR(__xludf.DUMMYFUNCTION("""COMPUTED_VALUE"""),"VIATURA")</f>
        <v>VIATURA</v>
      </c>
      <c r="E19" s="18" t="str">
        <f>IFERROR(__xludf.DUMMYFUNCTION("""COMPUTED_VALUE"""),"1 - ABTS5911")</f>
        <v>1 - ABTS5911</v>
      </c>
      <c r="F19" s="18" t="str">
        <f>IFERROR(__xludf.DUMMYFUNCTION("""COMPUTED_VALUE"""),"CABINE")</f>
        <v>CABINE</v>
      </c>
      <c r="G19" s="19">
        <f>IFERROR(__xludf.DUMMYFUNCTION("""COMPUTED_VALUE"""),7.6937577E7)</f>
        <v>76937577</v>
      </c>
      <c r="H19" s="18"/>
      <c r="I19" s="21" t="str">
        <f>IFERROR(__xludf.DUMMYFUNCTION("""COMPUTED_VALUE"""),"EPR MSA COMPLETO, VALVULA DE DEMANDA, ARRIATA, CILINDRO E MÁSCARA")</f>
        <v>EPR MSA COMPLETO, VALVULA DE DEMANDA, ARRIATA, CILINDRO E MÁSCARA</v>
      </c>
    </row>
    <row r="20" ht="22.5" customHeight="1">
      <c r="A20" s="20">
        <f>IFERROR(__xludf.DUMMYFUNCTION("""COMPUTED_VALUE"""),1129.0)</f>
        <v>1129</v>
      </c>
      <c r="B20" s="60" t="str">
        <f>IFERROR(__xludf.DUMMYFUNCTION("""COMPUTED_VALUE"""),"LANTERNA LUZ DE CENA -")</f>
        <v>LANTERNA LUZ DE CENA -</v>
      </c>
      <c r="C20" s="16">
        <f>IFERROR(__xludf.DUMMYFUNCTION("""COMPUTED_VALUE"""),1.0)</f>
        <v>1</v>
      </c>
      <c r="D20" s="17" t="str">
        <f>IFERROR(__xludf.DUMMYFUNCTION("""COMPUTED_VALUE"""),"VIATURA")</f>
        <v>VIATURA</v>
      </c>
      <c r="E20" s="18" t="str">
        <f>IFERROR(__xludf.DUMMYFUNCTION("""COMPUTED_VALUE"""),"1 - ABTS5911")</f>
        <v>1 - ABTS5911</v>
      </c>
      <c r="F20" s="18" t="str">
        <f>IFERROR(__xludf.DUMMYFUNCTION("""COMPUTED_VALUE"""),"BOX 01")</f>
        <v>BOX 01</v>
      </c>
      <c r="G20" s="19">
        <f>IFERROR(__xludf.DUMMYFUNCTION("""COMPUTED_VALUE"""),7.6829391E7)</f>
        <v>76829391</v>
      </c>
      <c r="H20" s="18"/>
      <c r="I20" s="21" t="str">
        <f>IFERROR(__xludf.DUMMYFUNCTION("""COMPUTED_VALUE"""),"STREAMLIGHT")</f>
        <v>STREAMLIGHT</v>
      </c>
    </row>
    <row r="21" ht="22.5" customHeight="1">
      <c r="A21" s="20">
        <f>IFERROR(__xludf.DUMMYFUNCTION("""COMPUTED_VALUE"""),1145.0)</f>
        <v>1145</v>
      </c>
      <c r="B21" s="60" t="str">
        <f>IFERROR(__xludf.DUMMYFUNCTION("""COMPUTED_VALUE"""),"FERRAMENTA PARA DESENCARCERAMENTO -")</f>
        <v>FERRAMENTA PARA DESENCARCERAMENTO -</v>
      </c>
      <c r="C21" s="16">
        <f>IFERROR(__xludf.DUMMYFUNCTION("""COMPUTED_VALUE"""),1.0)</f>
        <v>1</v>
      </c>
      <c r="D21" s="17" t="str">
        <f>IFERROR(__xludf.DUMMYFUNCTION("""COMPUTED_VALUE"""),"VIATURA")</f>
        <v>VIATURA</v>
      </c>
      <c r="E21" s="18" t="str">
        <f>IFERROR(__xludf.DUMMYFUNCTION("""COMPUTED_VALUE"""),"1 - ABTS5911")</f>
        <v>1 - ABTS5911</v>
      </c>
      <c r="F21" s="18" t="str">
        <f>IFERROR(__xludf.DUMMYFUNCTION("""COMPUTED_VALUE"""),"BOX 06")</f>
        <v>BOX 06</v>
      </c>
      <c r="G21" s="19">
        <f>IFERROR(__xludf.DUMMYFUNCTION("""COMPUTED_VALUE"""),7.6839168E7)</f>
        <v>76839168</v>
      </c>
      <c r="H21" s="18"/>
      <c r="I21" s="21" t="str">
        <f>IFERROR(__xludf.DUMMYFUNCTION("""COMPUTED_VALUE"""),"(ALARGADOR) HOLMATRO MODELO: PSP40 PENTHEON  C/ BATERIA")</f>
        <v>(ALARGADOR) HOLMATRO MODELO: PSP40 PENTHEON  C/ BATERIA</v>
      </c>
    </row>
    <row r="22" ht="22.5" customHeight="1">
      <c r="A22" s="20">
        <f>IFERROR(__xludf.DUMMYFUNCTION("""COMPUTED_VALUE"""),1160.0)</f>
        <v>1160</v>
      </c>
      <c r="B22" s="60" t="str">
        <f>IFERROR(__xludf.DUMMYFUNCTION("""COMPUTED_VALUE"""),"ESGUICHO PARA MANGUEIRA COMBATE A INCENDIO -")</f>
        <v>ESGUICHO PARA MANGUEIRA COMBATE A INCENDIO -</v>
      </c>
      <c r="C22" s="16">
        <f>IFERROR(__xludf.DUMMYFUNCTION("""COMPUTED_VALUE"""),1.0)</f>
        <v>1</v>
      </c>
      <c r="D22" s="17" t="str">
        <f>IFERROR(__xludf.DUMMYFUNCTION("""COMPUTED_VALUE"""),"VIATURA")</f>
        <v>VIATURA</v>
      </c>
      <c r="E22" s="18" t="str">
        <f>IFERROR(__xludf.DUMMYFUNCTION("""COMPUTED_VALUE"""),"1 - ABTS5911")</f>
        <v>1 - ABTS5911</v>
      </c>
      <c r="F22" s="18" t="str">
        <f>IFERROR(__xludf.DUMMYFUNCTION("""COMPUTED_VALUE"""),"BOX 05")</f>
        <v>BOX 05</v>
      </c>
      <c r="G22" s="19">
        <f>IFERROR(__xludf.DUMMYFUNCTION("""COMPUTED_VALUE"""),7.685633E7)</f>
        <v>76856330</v>
      </c>
      <c r="H22" s="18" t="str">
        <f>IFERROR(__xludf.DUMMYFUNCTION("""COMPUTED_VALUE"""),"N.S-4630-22")</f>
        <v>N.S-4630-22</v>
      </c>
      <c r="I22" s="21" t="str">
        <f>IFERROR(__xludf.DUMMYFUNCTION("""COMPUTED_VALUE"""),"Esguicho POK Firefighting equipment ")</f>
        <v>Esguicho POK Firefighting equipment </v>
      </c>
    </row>
    <row r="23" ht="22.5" customHeight="1">
      <c r="A23" s="20">
        <f>IFERROR(__xludf.DUMMYFUNCTION("""COMPUTED_VALUE"""),1162.0)</f>
        <v>1162</v>
      </c>
      <c r="B23" s="60" t="str">
        <f>IFERROR(__xludf.DUMMYFUNCTION("""COMPUTED_VALUE"""),"FERRAMENTA PARA DESENCARCERAMENTO -")</f>
        <v>FERRAMENTA PARA DESENCARCERAMENTO -</v>
      </c>
      <c r="C23" s="16">
        <f>IFERROR(__xludf.DUMMYFUNCTION("""COMPUTED_VALUE"""),1.0)</f>
        <v>1</v>
      </c>
      <c r="D23" s="17" t="str">
        <f>IFERROR(__xludf.DUMMYFUNCTION("""COMPUTED_VALUE"""),"VIATURA")</f>
        <v>VIATURA</v>
      </c>
      <c r="E23" s="18" t="str">
        <f>IFERROR(__xludf.DUMMYFUNCTION("""COMPUTED_VALUE"""),"1 - ABTS5911")</f>
        <v>1 - ABTS5911</v>
      </c>
      <c r="F23" s="18" t="str">
        <f>IFERROR(__xludf.DUMMYFUNCTION("""COMPUTED_VALUE"""),"BOX 05")</f>
        <v>BOX 05</v>
      </c>
      <c r="G23" s="19">
        <f>IFERROR(__xludf.DUMMYFUNCTION("""COMPUTED_VALUE"""),7.6857638E7)</f>
        <v>76857638</v>
      </c>
      <c r="H23" s="18" t="str">
        <f>IFERROR(__xludf.DUMMYFUNCTION("""COMPUTED_VALUE"""),"1407131HH")</f>
        <v>1407131HH</v>
      </c>
      <c r="I23" s="21" t="str">
        <f>IFERROR(__xludf.DUMMYFUNCTION("""COMPUTED_VALUE"""),"(ALARGADOR) - HOLMATRO MODELO: PSP40 PENTHEON  C/ BATERIA ")</f>
        <v>(ALARGADOR) - HOLMATRO MODELO: PSP40 PENTHEON  C/ BATERIA </v>
      </c>
    </row>
    <row r="24" ht="22.5" customHeight="1">
      <c r="A24" s="20">
        <f>IFERROR(__xludf.DUMMYFUNCTION("""COMPUTED_VALUE"""),1239.0)</f>
        <v>1239</v>
      </c>
      <c r="B24" s="60" t="str">
        <f>IFERROR(__xludf.DUMMYFUNCTION("""COMPUTED_VALUE"""),"ESGUICHO PARA MANGUEIRA COMBATE A INCENDIO -")</f>
        <v>ESGUICHO PARA MANGUEIRA COMBATE A INCENDIO -</v>
      </c>
      <c r="C24" s="16">
        <f>IFERROR(__xludf.DUMMYFUNCTION("""COMPUTED_VALUE"""),1.0)</f>
        <v>1</v>
      </c>
      <c r="D24" s="17" t="str">
        <f>IFERROR(__xludf.DUMMYFUNCTION("""COMPUTED_VALUE"""),"VIATURA")</f>
        <v>VIATURA</v>
      </c>
      <c r="E24" s="18" t="str">
        <f>IFERROR(__xludf.DUMMYFUNCTION("""COMPUTED_VALUE"""),"1 - ABTS5911")</f>
        <v>1 - ABTS5911</v>
      </c>
      <c r="F24" s="18"/>
      <c r="G24" s="19">
        <f>IFERROR(__xludf.DUMMYFUNCTION("""COMPUTED_VALUE"""),7.690418E7)</f>
        <v>76904180</v>
      </c>
      <c r="H24" s="18" t="str">
        <f>IFERROR(__xludf.DUMMYFUNCTION("""COMPUTED_VALUE"""),"N.S- 0352-23 ")</f>
        <v>N.S- 0352-23 </v>
      </c>
      <c r="I24" s="21" t="str">
        <f>IFERROR(__xludf.DUMMYFUNCTION("""COMPUTED_VALUE"""),"Esguicho POK Firefighting equipment -")</f>
        <v>Esguicho POK Firefighting equipment -</v>
      </c>
    </row>
    <row r="25" ht="22.5" customHeight="1">
      <c r="A25" s="20">
        <f>IFERROR(__xludf.DUMMYFUNCTION("""COMPUTED_VALUE"""),1275.0)</f>
        <v>1275</v>
      </c>
      <c r="B25" s="60" t="str">
        <f>IFERROR(__xludf.DUMMYFUNCTION("""COMPUTED_VALUE"""),"SOPRADOR")</f>
        <v>SOPRADOR</v>
      </c>
      <c r="C25" s="16">
        <f>IFERROR(__xludf.DUMMYFUNCTION("""COMPUTED_VALUE"""),1.0)</f>
        <v>1</v>
      </c>
      <c r="D25" s="17" t="str">
        <f>IFERROR(__xludf.DUMMYFUNCTION("""COMPUTED_VALUE"""),"VIATURA")</f>
        <v>VIATURA</v>
      </c>
      <c r="E25" s="18" t="str">
        <f>IFERROR(__xludf.DUMMYFUNCTION("""COMPUTED_VALUE"""),"1 - ABTS5911")</f>
        <v>1 - ABTS5911</v>
      </c>
      <c r="F25" s="18"/>
      <c r="G25" s="19">
        <f>IFERROR(__xludf.DUMMYFUNCTION("""COMPUTED_VALUE"""),7.6902161E7)</f>
        <v>76902161</v>
      </c>
      <c r="H25" s="18" t="str">
        <f>IFERROR(__xludf.DUMMYFUNCTION("""COMPUTED_VALUE"""),"N.S. 540696991")</f>
        <v>N.S. 540696991</v>
      </c>
      <c r="I25" s="21"/>
    </row>
    <row r="26" ht="22.5" customHeight="1">
      <c r="A26" s="20">
        <f>IFERROR(__xludf.DUMMYFUNCTION("""COMPUTED_VALUE"""),1278.0)</f>
        <v>1278</v>
      </c>
      <c r="B26" s="60" t="str">
        <f>IFERROR(__xludf.DUMMYFUNCTION("""COMPUTED_VALUE"""),"SERRA SABRE -")</f>
        <v>SERRA SABRE -</v>
      </c>
      <c r="C26" s="16">
        <f>IFERROR(__xludf.DUMMYFUNCTION("""COMPUTED_VALUE"""),1.0)</f>
        <v>1</v>
      </c>
      <c r="D26" s="17" t="str">
        <f>IFERROR(__xludf.DUMMYFUNCTION("""COMPUTED_VALUE"""),"VIATURA")</f>
        <v>VIATURA</v>
      </c>
      <c r="E26" s="18" t="str">
        <f>IFERROR(__xludf.DUMMYFUNCTION("""COMPUTED_VALUE"""),"1 - ABTS5911")</f>
        <v>1 - ABTS5911</v>
      </c>
      <c r="F26" s="18"/>
      <c r="G26" s="19">
        <f>IFERROR(__xludf.DUMMYFUNCTION("""COMPUTED_VALUE"""),7.6905047E7)</f>
        <v>76905047</v>
      </c>
      <c r="H26" s="18" t="str">
        <f>IFERROR(__xludf.DUMMYFUNCTION("""COMPUTED_VALUE"""),"N.S. 990182")</f>
        <v>N.S. 990182</v>
      </c>
      <c r="I26" s="21" t="str">
        <f>IFERROR(__xludf.DUMMYFUNCTION("""COMPUTED_VALUE"""),"DEWALT DCS380-B3 12 - 20V, C/ 02 BATERIAS DCB204, CARREGADOR DCB107 N.S. 202337QX E 05 SERRAS")</f>
        <v>DEWALT DCS380-B3 12 - 20V, C/ 02 BATERIAS DCB204, CARREGADOR DCB107 N.S. 202337QX E 05 SERRAS</v>
      </c>
    </row>
    <row r="27" ht="22.5" customHeight="1">
      <c r="A27" s="20">
        <f>IFERROR(__xludf.DUMMYFUNCTION("""COMPUTED_VALUE"""),1331.0)</f>
        <v>1331</v>
      </c>
      <c r="B27" s="60" t="str">
        <f>IFERROR(__xludf.DUMMYFUNCTION("""COMPUTED_VALUE"""),"ESCADA PROLONGAVEL PARA ATIVIDADES BOMBEIRO -")</f>
        <v>ESCADA PROLONGAVEL PARA ATIVIDADES BOMBEIRO -</v>
      </c>
      <c r="C27" s="16">
        <f>IFERROR(__xludf.DUMMYFUNCTION("""COMPUTED_VALUE"""),1.0)</f>
        <v>1</v>
      </c>
      <c r="D27" s="17" t="str">
        <f>IFERROR(__xludf.DUMMYFUNCTION("""COMPUTED_VALUE"""),"VIATURA")</f>
        <v>VIATURA</v>
      </c>
      <c r="E27" s="18" t="str">
        <f>IFERROR(__xludf.DUMMYFUNCTION("""COMPUTED_VALUE"""),"1 - ABTS5911")</f>
        <v>1 - ABTS5911</v>
      </c>
      <c r="F27" s="18"/>
      <c r="G27" s="19">
        <f>IFERROR(__xludf.DUMMYFUNCTION("""COMPUTED_VALUE"""),7.6878635E7)</f>
        <v>76878635</v>
      </c>
      <c r="H27" s="18"/>
      <c r="I27" s="21" t="str">
        <f>IFERROR(__xludf.DUMMYFUNCTION("""COMPUTED_VALUE"""),"FIBRA DE VIDRO; DEGRAU: ALUMINIO, LANCE: 02 LANCES DE 3,5 METROS;")</f>
        <v>FIBRA DE VIDRO; DEGRAU: ALUMINIO, LANCE: 02 LANCES DE 3,5 METROS;</v>
      </c>
    </row>
    <row r="28" ht="22.5" customHeight="1">
      <c r="A28" s="20">
        <f>IFERROR(__xludf.DUMMYFUNCTION("""COMPUTED_VALUE"""),1538.0)</f>
        <v>1538</v>
      </c>
      <c r="B28" s="15" t="str">
        <f>IFERROR(__xludf.DUMMYFUNCTION("""COMPUTED_VALUE"""),"CONJUNTO DE BLOCOS E CALCOS -")</f>
        <v>CONJUNTO DE BLOCOS E CALCOS -</v>
      </c>
      <c r="C28" s="16">
        <f>IFERROR(__xludf.DUMMYFUNCTION("""COMPUTED_VALUE"""),1.0)</f>
        <v>1</v>
      </c>
      <c r="D28" s="17" t="str">
        <f>IFERROR(__xludf.DUMMYFUNCTION("""COMPUTED_VALUE"""),"SEÇÃO")</f>
        <v>SEÇÃO</v>
      </c>
      <c r="E28" s="18" t="str">
        <f>IFERROR(__xludf.DUMMYFUNCTION("""COMPUTED_VALUE"""),"1 - ABTS5911")</f>
        <v>1 - ABTS5911</v>
      </c>
      <c r="F28" s="18" t="str">
        <f>IFERROR(__xludf.DUMMYFUNCTION("""COMPUTED_VALUE"""),"BOX 01")</f>
        <v>BOX 01</v>
      </c>
      <c r="G28" s="19">
        <f>IFERROR(__xludf.DUMMYFUNCTION("""COMPUTED_VALUE"""),7.6950727E7)</f>
        <v>76950727</v>
      </c>
      <c r="H28" s="18"/>
      <c r="I28" s="21" t="str">
        <f>IFERROR(__xludf.DUMMYFUNCTION("""COMPUTED_VALUE"""),"Holmatro - 08 calços em cunha, 06 calços quadrados, 02 calços escalonados grandes")</f>
        <v>Holmatro - 08 calços em cunha, 06 calços quadrados, 02 calços escalonados grandes</v>
      </c>
    </row>
    <row r="29" ht="22.5" customHeight="1">
      <c r="A29" s="20">
        <f>IFERROR(__xludf.DUMMYFUNCTION("""COMPUTED_VALUE"""),8.0)</f>
        <v>8</v>
      </c>
      <c r="B29" s="60" t="str">
        <f>IFERROR(__xludf.DUMMYFUNCTION("""COMPUTED_VALUE"""),"CALÇA DE MOTOSSERRISTA XG")</f>
        <v>CALÇA DE MOTOSSERRISTA XG</v>
      </c>
      <c r="C29" s="16">
        <f>IFERROR(__xludf.DUMMYFUNCTION("""COMPUTED_VALUE"""),2.0)</f>
        <v>2</v>
      </c>
      <c r="D29" s="17" t="str">
        <f>IFERROR(__xludf.DUMMYFUNCTION("""COMPUTED_VALUE"""),"VIATURA")</f>
        <v>VIATURA</v>
      </c>
      <c r="E29" s="18" t="str">
        <f>IFERROR(__xludf.DUMMYFUNCTION("""COMPUTED_VALUE"""),"1 - ABTS5911")</f>
        <v>1 - ABTS5911</v>
      </c>
      <c r="F29" s="18" t="str">
        <f>IFERROR(__xludf.DUMMYFUNCTION("""COMPUTED_VALUE"""),"BOX 02")</f>
        <v>BOX 02</v>
      </c>
      <c r="G29" s="19">
        <f>IFERROR(__xludf.DUMMYFUNCTION("""COMPUTED_VALUE"""),45527.0)</f>
        <v>45527</v>
      </c>
      <c r="H29" s="18"/>
      <c r="I29" s="21"/>
    </row>
    <row r="30" ht="22.5" customHeight="1">
      <c r="A30" s="20">
        <f>IFERROR(__xludf.DUMMYFUNCTION("""COMPUTED_VALUE"""),52.0)</f>
        <v>52</v>
      </c>
      <c r="B30" s="60" t="str">
        <f>IFERROR(__xludf.DUMMYFUNCTION("""COMPUTED_VALUE"""),"EXTENSÃO  ")</f>
        <v>EXTENSÃO  </v>
      </c>
      <c r="C30" s="16">
        <f>IFERROR(__xludf.DUMMYFUNCTION("""COMPUTED_VALUE"""),1.0)</f>
        <v>1</v>
      </c>
      <c r="D30" s="17" t="str">
        <f>IFERROR(__xludf.DUMMYFUNCTION("""COMPUTED_VALUE"""),"VIATURA")</f>
        <v>VIATURA</v>
      </c>
      <c r="E30" s="18" t="str">
        <f>IFERROR(__xludf.DUMMYFUNCTION("""COMPUTED_VALUE"""),"1 - ABTS5911")</f>
        <v>1 - ABTS5911</v>
      </c>
      <c r="F30" s="18" t="str">
        <f>IFERROR(__xludf.DUMMYFUNCTION("""COMPUTED_VALUE"""),"BOX 01")</f>
        <v>BOX 01</v>
      </c>
      <c r="G30" s="19"/>
      <c r="H30" s="18"/>
      <c r="I30" s="21"/>
    </row>
    <row r="31" ht="22.5" customHeight="1">
      <c r="A31" s="20">
        <f>IFERROR(__xludf.DUMMYFUNCTION("""COMPUTED_VALUE"""),56.0)</f>
        <v>56</v>
      </c>
      <c r="B31" s="60" t="str">
        <f>IFERROR(__xludf.DUMMYFUNCTION("""COMPUTED_VALUE"""),"ESGUICHO KR4")</f>
        <v>ESGUICHO KR4</v>
      </c>
      <c r="C31" s="16">
        <f>IFERROR(__xludf.DUMMYFUNCTION("""COMPUTED_VALUE"""),1.0)</f>
        <v>1</v>
      </c>
      <c r="D31" s="17" t="str">
        <f>IFERROR(__xludf.DUMMYFUNCTION("""COMPUTED_VALUE"""),"VIATURA")</f>
        <v>VIATURA</v>
      </c>
      <c r="E31" s="18" t="str">
        <f>IFERROR(__xludf.DUMMYFUNCTION("""COMPUTED_VALUE"""),"1 - ABTS5911")</f>
        <v>1 - ABTS5911</v>
      </c>
      <c r="F31" s="18"/>
      <c r="G31" s="19"/>
      <c r="H31" s="18"/>
      <c r="I31" s="21"/>
    </row>
    <row r="32" ht="22.5" customHeight="1">
      <c r="A32" s="20">
        <f>IFERROR(__xludf.DUMMYFUNCTION("""COMPUTED_VALUE"""),58.0)</f>
        <v>58</v>
      </c>
      <c r="B32" s="60" t="str">
        <f>IFERROR(__xludf.DUMMYFUNCTION("""COMPUTED_VALUE"""),"CHAVE PHILIPS")</f>
        <v>CHAVE PHILIPS</v>
      </c>
      <c r="C32" s="16">
        <f>IFERROR(__xludf.DUMMYFUNCTION("""COMPUTED_VALUE"""),4.0)</f>
        <v>4</v>
      </c>
      <c r="D32" s="17" t="str">
        <f>IFERROR(__xludf.DUMMYFUNCTION("""COMPUTED_VALUE"""),"VIATURA")</f>
        <v>VIATURA</v>
      </c>
      <c r="E32" s="18" t="str">
        <f>IFERROR(__xludf.DUMMYFUNCTION("""COMPUTED_VALUE"""),"1 - ABTS5911")</f>
        <v>1 - ABTS5911</v>
      </c>
      <c r="F32" s="18" t="str">
        <f>IFERROR(__xludf.DUMMYFUNCTION("""COMPUTED_VALUE"""),"CAIXA DE FERRAMENTA")</f>
        <v>CAIXA DE FERRAMENTA</v>
      </c>
      <c r="G32" s="19">
        <f>IFERROR(__xludf.DUMMYFUNCTION("""COMPUTED_VALUE"""),45527.0)</f>
        <v>45527</v>
      </c>
      <c r="H32" s="18"/>
      <c r="I32" s="21"/>
    </row>
    <row r="33" ht="22.5" customHeight="1">
      <c r="A33" s="20">
        <f>IFERROR(__xludf.DUMMYFUNCTION("""COMPUTED_VALUE"""),59.0)</f>
        <v>59</v>
      </c>
      <c r="B33" s="60" t="str">
        <f>IFERROR(__xludf.DUMMYFUNCTION("""COMPUTED_VALUE"""),"CHAVE DE FENDA")</f>
        <v>CHAVE DE FENDA</v>
      </c>
      <c r="C33" s="16">
        <f>IFERROR(__xludf.DUMMYFUNCTION("""COMPUTED_VALUE"""),6.0)</f>
        <v>6</v>
      </c>
      <c r="D33" s="17" t="str">
        <f>IFERROR(__xludf.DUMMYFUNCTION("""COMPUTED_VALUE"""),"VIATURA")</f>
        <v>VIATURA</v>
      </c>
      <c r="E33" s="18" t="str">
        <f>IFERROR(__xludf.DUMMYFUNCTION("""COMPUTED_VALUE"""),"1 - ABTS5911")</f>
        <v>1 - ABTS5911</v>
      </c>
      <c r="F33" s="18" t="str">
        <f>IFERROR(__xludf.DUMMYFUNCTION("""COMPUTED_VALUE"""),"CAIXA DE FERRAMENTA")</f>
        <v>CAIXA DE FERRAMENTA</v>
      </c>
      <c r="G33" s="19">
        <f>IFERROR(__xludf.DUMMYFUNCTION("""COMPUTED_VALUE"""),45527.0)</f>
        <v>45527</v>
      </c>
      <c r="H33" s="18"/>
      <c r="I33" s="21" t="str">
        <f>IFERROR(__xludf.DUMMYFUNCTION("""COMPUTED_VALUE"""),"05 CHAVES PERTENCIAM À ABTS5911")</f>
        <v>05 CHAVES PERTENCIAM À ABTS5911</v>
      </c>
    </row>
    <row r="34" ht="22.5" customHeight="1">
      <c r="A34" s="20">
        <f>IFERROR(__xludf.DUMMYFUNCTION("""COMPUTED_VALUE"""),60.0)</f>
        <v>60</v>
      </c>
      <c r="B34" s="60" t="str">
        <f>IFERROR(__xludf.DUMMYFUNCTION("""COMPUTED_VALUE"""),"ALICATE UNIVERSAL")</f>
        <v>ALICATE UNIVERSAL</v>
      </c>
      <c r="C34" s="16">
        <f>IFERROR(__xludf.DUMMYFUNCTION("""COMPUTED_VALUE"""),2.0)</f>
        <v>2</v>
      </c>
      <c r="D34" s="17" t="str">
        <f>IFERROR(__xludf.DUMMYFUNCTION("""COMPUTED_VALUE"""),"VIATURA")</f>
        <v>VIATURA</v>
      </c>
      <c r="E34" s="18" t="str">
        <f>IFERROR(__xludf.DUMMYFUNCTION("""COMPUTED_VALUE"""),"1 - ABTS5911")</f>
        <v>1 - ABTS5911</v>
      </c>
      <c r="F34" s="18" t="str">
        <f>IFERROR(__xludf.DUMMYFUNCTION("""COMPUTED_VALUE"""),"CAIXA DE FERRAMENTA")</f>
        <v>CAIXA DE FERRAMENTA</v>
      </c>
      <c r="G34" s="19">
        <f>IFERROR(__xludf.DUMMYFUNCTION("""COMPUTED_VALUE"""),45527.0)</f>
        <v>45527</v>
      </c>
      <c r="H34" s="18"/>
      <c r="I34" s="21"/>
    </row>
    <row r="35" ht="22.5" customHeight="1">
      <c r="A35" s="20">
        <f>IFERROR(__xludf.DUMMYFUNCTION("""COMPUTED_VALUE"""),61.0)</f>
        <v>61</v>
      </c>
      <c r="B35" s="81" t="str">
        <f>IFERROR(__xludf.DUMMYFUNCTION("""COMPUTED_VALUE"""),"CHAVE DE GRIFO 14""")</f>
        <v>CHAVE DE GRIFO 14"</v>
      </c>
      <c r="C35" s="16">
        <f>IFERROR(__xludf.DUMMYFUNCTION("""COMPUTED_VALUE"""),1.0)</f>
        <v>1</v>
      </c>
      <c r="D35" s="17" t="str">
        <f>IFERROR(__xludf.DUMMYFUNCTION("""COMPUTED_VALUE"""),"VIATURA")</f>
        <v>VIATURA</v>
      </c>
      <c r="E35" s="18" t="str">
        <f>IFERROR(__xludf.DUMMYFUNCTION("""COMPUTED_VALUE"""),"1 - ABTS5911")</f>
        <v>1 - ABTS5911</v>
      </c>
      <c r="F35" s="18" t="str">
        <f>IFERROR(__xludf.DUMMYFUNCTION("""COMPUTED_VALUE"""),"CAIXA DE FERRAMENTA")</f>
        <v>CAIXA DE FERRAMENTA</v>
      </c>
      <c r="G35" s="19">
        <f>IFERROR(__xludf.DUMMYFUNCTION("""COMPUTED_VALUE"""),45527.0)</f>
        <v>45527</v>
      </c>
      <c r="H35" s="18"/>
      <c r="I35" s="21"/>
    </row>
    <row r="36" ht="22.5" customHeight="1">
      <c r="A36" s="20">
        <f>IFERROR(__xludf.DUMMYFUNCTION("""COMPUTED_VALUE"""),62.0)</f>
        <v>62</v>
      </c>
      <c r="B36" s="81" t="str">
        <f>IFERROR(__xludf.DUMMYFUNCTION("""COMPUTED_VALUE"""),"CHAVE DE BOCA")</f>
        <v>CHAVE DE BOCA</v>
      </c>
      <c r="C36" s="16">
        <f>IFERROR(__xludf.DUMMYFUNCTION("""COMPUTED_VALUE"""),9.0)</f>
        <v>9</v>
      </c>
      <c r="D36" s="17" t="str">
        <f>IFERROR(__xludf.DUMMYFUNCTION("""COMPUTED_VALUE"""),"VIATURA")</f>
        <v>VIATURA</v>
      </c>
      <c r="E36" s="18" t="str">
        <f>IFERROR(__xludf.DUMMYFUNCTION("""COMPUTED_VALUE"""),"1 - ABTS5911")</f>
        <v>1 - ABTS5911</v>
      </c>
      <c r="F36" s="18" t="str">
        <f>IFERROR(__xludf.DUMMYFUNCTION("""COMPUTED_VALUE"""),"CAIXA DE FERRAMENTA")</f>
        <v>CAIXA DE FERRAMENTA</v>
      </c>
      <c r="G36" s="19">
        <f>IFERROR(__xludf.DUMMYFUNCTION("""COMPUTED_VALUE"""),45527.0)</f>
        <v>45527</v>
      </c>
      <c r="H36" s="18"/>
      <c r="I36" s="21"/>
    </row>
    <row r="37" ht="22.5" customHeight="1">
      <c r="A37" s="20">
        <f>IFERROR(__xludf.DUMMYFUNCTION("""COMPUTED_VALUE"""),64.0)</f>
        <v>64</v>
      </c>
      <c r="B37" s="81" t="str">
        <f>IFERROR(__xludf.DUMMYFUNCTION("""COMPUTED_VALUE"""),"MARTELO")</f>
        <v>MARTELO</v>
      </c>
      <c r="C37" s="16">
        <f>IFERROR(__xludf.DUMMYFUNCTION("""COMPUTED_VALUE"""),1.0)</f>
        <v>1</v>
      </c>
      <c r="D37" s="17" t="str">
        <f>IFERROR(__xludf.DUMMYFUNCTION("""COMPUTED_VALUE"""),"VIATURA")</f>
        <v>VIATURA</v>
      </c>
      <c r="E37" s="18" t="str">
        <f>IFERROR(__xludf.DUMMYFUNCTION("""COMPUTED_VALUE"""),"1 - ABTS5911")</f>
        <v>1 - ABTS5911</v>
      </c>
      <c r="F37" s="18" t="str">
        <f>IFERROR(__xludf.DUMMYFUNCTION("""COMPUTED_VALUE"""),"CAIXA DE FERRAMENTA")</f>
        <v>CAIXA DE FERRAMENTA</v>
      </c>
      <c r="G37" s="19"/>
      <c r="H37" s="18"/>
      <c r="I37" s="21"/>
    </row>
    <row r="38" ht="22.5" customHeight="1">
      <c r="A38" s="20">
        <f>IFERROR(__xludf.DUMMYFUNCTION("""COMPUTED_VALUE"""),69.0)</f>
        <v>69</v>
      </c>
      <c r="B38" s="15" t="str">
        <f>IFERROR(__xludf.DUMMYFUNCTION("""COMPUTED_VALUE"""),"BOLSA DE RESGATE (MERET)")</f>
        <v>BOLSA DE RESGATE (MERET)</v>
      </c>
      <c r="C38" s="16">
        <f>IFERROR(__xludf.DUMMYFUNCTION("""COMPUTED_VALUE"""),1.0)</f>
        <v>1</v>
      </c>
      <c r="D38" s="17" t="str">
        <f>IFERROR(__xludf.DUMMYFUNCTION("""COMPUTED_VALUE"""),"VIATURA")</f>
        <v>VIATURA</v>
      </c>
      <c r="E38" s="18" t="str">
        <f>IFERROR(__xludf.DUMMYFUNCTION("""COMPUTED_VALUE"""),"1 - ABTS5911")</f>
        <v>1 - ABTS5911</v>
      </c>
      <c r="F38" s="18" t="str">
        <f>IFERROR(__xludf.DUMMYFUNCTION("""COMPUTED_VALUE"""),"CABINE")</f>
        <v>CABINE</v>
      </c>
      <c r="G38" s="19">
        <f>IFERROR(__xludf.DUMMYFUNCTION("""COMPUTED_VALUE"""),45525.0)</f>
        <v>45525</v>
      </c>
      <c r="H38" s="18"/>
      <c r="I38" s="21"/>
    </row>
    <row r="39" ht="22.5" customHeight="1">
      <c r="A39" s="20">
        <f>IFERROR(__xludf.DUMMYFUNCTION("""COMPUTED_VALUE"""),70.0)</f>
        <v>70</v>
      </c>
      <c r="B39" s="60" t="str">
        <f>IFERROR(__xludf.DUMMYFUNCTION("""COMPUTED_VALUE"""),"CARTÃO DE ABASTECIMENTO")</f>
        <v>CARTÃO DE ABASTECIMENTO</v>
      </c>
      <c r="C39" s="16">
        <f>IFERROR(__xludf.DUMMYFUNCTION("""COMPUTED_VALUE"""),2.0)</f>
        <v>2</v>
      </c>
      <c r="D39" s="17" t="str">
        <f>IFERROR(__xludf.DUMMYFUNCTION("""COMPUTED_VALUE"""),"VIATURA")</f>
        <v>VIATURA</v>
      </c>
      <c r="E39" s="18" t="str">
        <f>IFERROR(__xludf.DUMMYFUNCTION("""COMPUTED_VALUE"""),"1 - ABTS5911")</f>
        <v>1 - ABTS5911</v>
      </c>
      <c r="F39" s="18" t="str">
        <f>IFERROR(__xludf.DUMMYFUNCTION("""COMPUTED_VALUE"""),"CABINE")</f>
        <v>CABINE</v>
      </c>
      <c r="G39" s="19">
        <f>IFERROR(__xludf.DUMMYFUNCTION("""COMPUTED_VALUE"""),45525.0)</f>
        <v>45525</v>
      </c>
      <c r="H39" s="18"/>
      <c r="I39" s="21"/>
    </row>
    <row r="40" ht="22.5" customHeight="1">
      <c r="A40" s="20">
        <f>IFERROR(__xludf.DUMMYFUNCTION("""COMPUTED_VALUE"""),71.0)</f>
        <v>71</v>
      </c>
      <c r="B40" s="60" t="str">
        <f>IFERROR(__xludf.DUMMYFUNCTION("""COMPUTED_VALUE"""),"CHAVE ""L"" PARA DESCABINAR")</f>
        <v>CHAVE "L" PARA DESCABINAR</v>
      </c>
      <c r="C40" s="16">
        <f>IFERROR(__xludf.DUMMYFUNCTION("""COMPUTED_VALUE"""),1.0)</f>
        <v>1</v>
      </c>
      <c r="D40" s="17" t="str">
        <f>IFERROR(__xludf.DUMMYFUNCTION("""COMPUTED_VALUE"""),"VIATURA")</f>
        <v>VIATURA</v>
      </c>
      <c r="E40" s="18" t="str">
        <f>IFERROR(__xludf.DUMMYFUNCTION("""COMPUTED_VALUE"""),"1 - ABTS5911")</f>
        <v>1 - ABTS5911</v>
      </c>
      <c r="F40" s="18" t="str">
        <f>IFERROR(__xludf.DUMMYFUNCTION("""COMPUTED_VALUE"""),"CABINE")</f>
        <v>CABINE</v>
      </c>
      <c r="G40" s="19">
        <f>IFERROR(__xludf.DUMMYFUNCTION("""COMPUTED_VALUE"""),45525.0)</f>
        <v>45525</v>
      </c>
      <c r="H40" s="18"/>
      <c r="I40" s="21"/>
    </row>
    <row r="41" ht="22.5" customHeight="1">
      <c r="A41" s="20">
        <f>IFERROR(__xludf.DUMMYFUNCTION("""COMPUTED_VALUE"""),72.0)</f>
        <v>72</v>
      </c>
      <c r="B41" s="60" t="str">
        <f>IFERROR(__xludf.DUMMYFUNCTION("""COMPUTED_VALUE"""),"CHAVE DE RODA")</f>
        <v>CHAVE DE RODA</v>
      </c>
      <c r="C41" s="16">
        <f>IFERROR(__xludf.DUMMYFUNCTION("""COMPUTED_VALUE"""),1.0)</f>
        <v>1</v>
      </c>
      <c r="D41" s="17" t="str">
        <f>IFERROR(__xludf.DUMMYFUNCTION("""COMPUTED_VALUE"""),"VIATURA")</f>
        <v>VIATURA</v>
      </c>
      <c r="E41" s="18" t="str">
        <f>IFERROR(__xludf.DUMMYFUNCTION("""COMPUTED_VALUE"""),"1 - ABTS5911")</f>
        <v>1 - ABTS5911</v>
      </c>
      <c r="F41" s="18" t="str">
        <f>IFERROR(__xludf.DUMMYFUNCTION("""COMPUTED_VALUE"""),"CABINE")</f>
        <v>CABINE</v>
      </c>
      <c r="G41" s="19">
        <f>IFERROR(__xludf.DUMMYFUNCTION("""COMPUTED_VALUE"""),45525.0)</f>
        <v>45525</v>
      </c>
      <c r="H41" s="18"/>
      <c r="I41" s="21"/>
    </row>
    <row r="42" ht="22.5" customHeight="1">
      <c r="A42" s="20">
        <f>IFERROR(__xludf.DUMMYFUNCTION("""COMPUTED_VALUE"""),73.0)</f>
        <v>73</v>
      </c>
      <c r="B42" s="60" t="str">
        <f>IFERROR(__xludf.DUMMYFUNCTION("""COMPUTED_VALUE"""),"CONTROLE DO GUINCHO")</f>
        <v>CONTROLE DO GUINCHO</v>
      </c>
      <c r="C42" s="16">
        <f>IFERROR(__xludf.DUMMYFUNCTION("""COMPUTED_VALUE"""),1.0)</f>
        <v>1</v>
      </c>
      <c r="D42" s="17" t="str">
        <f>IFERROR(__xludf.DUMMYFUNCTION("""COMPUTED_VALUE"""),"VIATURA")</f>
        <v>VIATURA</v>
      </c>
      <c r="E42" s="18" t="str">
        <f>IFERROR(__xludf.DUMMYFUNCTION("""COMPUTED_VALUE"""),"1 - ABTS5911")</f>
        <v>1 - ABTS5911</v>
      </c>
      <c r="F42" s="18" t="str">
        <f>IFERROR(__xludf.DUMMYFUNCTION("""COMPUTED_VALUE"""),"CABINE")</f>
        <v>CABINE</v>
      </c>
      <c r="G42" s="19">
        <f>IFERROR(__xludf.DUMMYFUNCTION("""COMPUTED_VALUE"""),45525.0)</f>
        <v>45525</v>
      </c>
      <c r="H42" s="18"/>
      <c r="I42" s="21"/>
    </row>
    <row r="43" ht="22.5" customHeight="1">
      <c r="A43" s="20">
        <f>IFERROR(__xludf.DUMMYFUNCTION("""COMPUTED_VALUE"""),74.0)</f>
        <v>74</v>
      </c>
      <c r="B43" s="60" t="str">
        <f>IFERROR(__xludf.DUMMYFUNCTION("""COMPUTED_VALUE"""),"GUINCHO ELÉTRICO 4.100 KG")</f>
        <v>GUINCHO ELÉTRICO 4.100 KG</v>
      </c>
      <c r="C43" s="16">
        <f>IFERROR(__xludf.DUMMYFUNCTION("""COMPUTED_VALUE"""),1.0)</f>
        <v>1</v>
      </c>
      <c r="D43" s="17" t="str">
        <f>IFERROR(__xludf.DUMMYFUNCTION("""COMPUTED_VALUE"""),"VIATURA")</f>
        <v>VIATURA</v>
      </c>
      <c r="E43" s="18" t="str">
        <f>IFERROR(__xludf.DUMMYFUNCTION("""COMPUTED_VALUE"""),"1 - ABTS5911")</f>
        <v>1 - ABTS5911</v>
      </c>
      <c r="F43" s="18" t="str">
        <f>IFERROR(__xludf.DUMMYFUNCTION("""COMPUTED_VALUE"""),"CABINE")</f>
        <v>CABINE</v>
      </c>
      <c r="G43" s="19">
        <f>IFERROR(__xludf.DUMMYFUNCTION("""COMPUTED_VALUE"""),45525.0)</f>
        <v>45525</v>
      </c>
      <c r="H43" s="18"/>
      <c r="I43" s="21"/>
    </row>
    <row r="44" ht="22.5" customHeight="1">
      <c r="A44" s="20">
        <f>IFERROR(__xludf.DUMMYFUNCTION("""COMPUTED_VALUE"""),75.0)</f>
        <v>75</v>
      </c>
      <c r="B44" s="60" t="str">
        <f>IFERROR(__xludf.DUMMYFUNCTION("""COMPUTED_VALUE"""),"LANTERNA DE COMBATE A INCÊNDIO INDIVIDUAL (ADALIT) COM  CARREGADOR FIXO")</f>
        <v>LANTERNA DE COMBATE A INCÊNDIO INDIVIDUAL (ADALIT) COM  CARREGADOR FIXO</v>
      </c>
      <c r="C44" s="16">
        <f>IFERROR(__xludf.DUMMYFUNCTION("""COMPUTED_VALUE"""),5.0)</f>
        <v>5</v>
      </c>
      <c r="D44" s="17" t="str">
        <f>IFERROR(__xludf.DUMMYFUNCTION("""COMPUTED_VALUE"""),"VIATURA")</f>
        <v>VIATURA</v>
      </c>
      <c r="E44" s="18" t="str">
        <f>IFERROR(__xludf.DUMMYFUNCTION("""COMPUTED_VALUE"""),"1 - ABTS5911")</f>
        <v>1 - ABTS5911</v>
      </c>
      <c r="F44" s="18" t="str">
        <f>IFERROR(__xludf.DUMMYFUNCTION("""COMPUTED_VALUE"""),"CABINE")</f>
        <v>CABINE</v>
      </c>
      <c r="G44" s="19">
        <f>IFERROR(__xludf.DUMMYFUNCTION("""COMPUTED_VALUE"""),45525.0)</f>
        <v>45525</v>
      </c>
      <c r="H44" s="18"/>
      <c r="I44" s="21"/>
    </row>
    <row r="45" ht="22.5" customHeight="1">
      <c r="A45" s="20">
        <f>IFERROR(__xludf.DUMMYFUNCTION("""COMPUTED_VALUE"""),76.0)</f>
        <v>76</v>
      </c>
      <c r="B45" s="60" t="str">
        <f>IFERROR(__xludf.DUMMYFUNCTION("""COMPUTED_VALUE"""),"MACACO AUTOMOTIVO HIDRÁULICO/ SAPATA")</f>
        <v>MACACO AUTOMOTIVO HIDRÁULICO/ SAPATA</v>
      </c>
      <c r="C45" s="16">
        <f>IFERROR(__xludf.DUMMYFUNCTION("""COMPUTED_VALUE"""),1.0)</f>
        <v>1</v>
      </c>
      <c r="D45" s="17" t="str">
        <f>IFERROR(__xludf.DUMMYFUNCTION("""COMPUTED_VALUE"""),"VIATURA")</f>
        <v>VIATURA</v>
      </c>
      <c r="E45" s="18" t="str">
        <f>IFERROR(__xludf.DUMMYFUNCTION("""COMPUTED_VALUE"""),"1 - ABTS5911")</f>
        <v>1 - ABTS5911</v>
      </c>
      <c r="F45" s="18" t="str">
        <f>IFERROR(__xludf.DUMMYFUNCTION("""COMPUTED_VALUE"""),"CABINE")</f>
        <v>CABINE</v>
      </c>
      <c r="G45" s="19">
        <f>IFERROR(__xludf.DUMMYFUNCTION("""COMPUTED_VALUE"""),45525.0)</f>
        <v>45525</v>
      </c>
      <c r="H45" s="18"/>
      <c r="I45" s="21"/>
    </row>
    <row r="46" ht="22.5" customHeight="1">
      <c r="A46" s="20">
        <f>IFERROR(__xludf.DUMMYFUNCTION("""COMPUTED_VALUE"""),77.0)</f>
        <v>77</v>
      </c>
      <c r="B46" s="60" t="str">
        <f>IFERROR(__xludf.DUMMYFUNCTION("""COMPUTED_VALUE"""),"MANUAL DO VEÍCULO")</f>
        <v>MANUAL DO VEÍCULO</v>
      </c>
      <c r="C46" s="16">
        <f>IFERROR(__xludf.DUMMYFUNCTION("""COMPUTED_VALUE"""),1.0)</f>
        <v>1</v>
      </c>
      <c r="D46" s="17" t="str">
        <f>IFERROR(__xludf.DUMMYFUNCTION("""COMPUTED_VALUE"""),"VIATURA")</f>
        <v>VIATURA</v>
      </c>
      <c r="E46" s="18" t="str">
        <f>IFERROR(__xludf.DUMMYFUNCTION("""COMPUTED_VALUE"""),"1 - ABTS5911")</f>
        <v>1 - ABTS5911</v>
      </c>
      <c r="F46" s="18" t="str">
        <f>IFERROR(__xludf.DUMMYFUNCTION("""COMPUTED_VALUE"""),"CABINE")</f>
        <v>CABINE</v>
      </c>
      <c r="G46" s="19">
        <f>IFERROR(__xludf.DUMMYFUNCTION("""COMPUTED_VALUE"""),45525.0)</f>
        <v>45525</v>
      </c>
      <c r="H46" s="18"/>
      <c r="I46" s="21"/>
    </row>
    <row r="47" ht="22.5" customHeight="1">
      <c r="A47" s="20">
        <f>IFERROR(__xludf.DUMMYFUNCTION("""COMPUTED_VALUE"""),78.0)</f>
        <v>78</v>
      </c>
      <c r="B47" s="60" t="str">
        <f>IFERROR(__xludf.DUMMYFUNCTION("""COMPUTED_VALUE"""),"RÁDIO MOTOROLA")</f>
        <v>RÁDIO MOTOROLA</v>
      </c>
      <c r="C47" s="16">
        <f>IFERROR(__xludf.DUMMYFUNCTION("""COMPUTED_VALUE"""),1.0)</f>
        <v>1</v>
      </c>
      <c r="D47" s="17" t="str">
        <f>IFERROR(__xludf.DUMMYFUNCTION("""COMPUTED_VALUE"""),"VIATURA")</f>
        <v>VIATURA</v>
      </c>
      <c r="E47" s="18" t="str">
        <f>IFERROR(__xludf.DUMMYFUNCTION("""COMPUTED_VALUE"""),"1 - ABTS5911")</f>
        <v>1 - ABTS5911</v>
      </c>
      <c r="F47" s="18" t="str">
        <f>IFERROR(__xludf.DUMMYFUNCTION("""COMPUTED_VALUE"""),"CABINE")</f>
        <v>CABINE</v>
      </c>
      <c r="G47" s="19">
        <f>IFERROR(__xludf.DUMMYFUNCTION("""COMPUTED_VALUE"""),45525.0)</f>
        <v>45525</v>
      </c>
      <c r="H47" s="18"/>
      <c r="I47" s="21"/>
    </row>
    <row r="48" ht="22.5" customHeight="1">
      <c r="A48" s="20">
        <f>IFERROR(__xludf.DUMMYFUNCTION("""COMPUTED_VALUE"""),79.0)</f>
        <v>79</v>
      </c>
      <c r="B48" s="15" t="str">
        <f>IFERROR(__xludf.DUMMYFUNCTION("""COMPUTED_VALUE"""),"TRIÂNGULO DE SINALIZAÇÃO")</f>
        <v>TRIÂNGULO DE SINALIZAÇÃO</v>
      </c>
      <c r="C48" s="16">
        <f>IFERROR(__xludf.DUMMYFUNCTION("""COMPUTED_VALUE"""),1.0)</f>
        <v>1</v>
      </c>
      <c r="D48" s="17" t="str">
        <f>IFERROR(__xludf.DUMMYFUNCTION("""COMPUTED_VALUE"""),"VIATURA")</f>
        <v>VIATURA</v>
      </c>
      <c r="E48" s="18" t="str">
        <f>IFERROR(__xludf.DUMMYFUNCTION("""COMPUTED_VALUE"""),"1 - ABTS5911")</f>
        <v>1 - ABTS5911</v>
      </c>
      <c r="F48" s="18" t="str">
        <f>IFERROR(__xludf.DUMMYFUNCTION("""COMPUTED_VALUE"""),"CABINE")</f>
        <v>CABINE</v>
      </c>
      <c r="G48" s="19">
        <f>IFERROR(__xludf.DUMMYFUNCTION("""COMPUTED_VALUE"""),45525.0)</f>
        <v>45525</v>
      </c>
      <c r="H48" s="18"/>
      <c r="I48" s="21"/>
    </row>
    <row r="49" ht="22.5" customHeight="1">
      <c r="A49" s="20">
        <f>IFERROR(__xludf.DUMMYFUNCTION("""COMPUTED_VALUE"""),80.0)</f>
        <v>80</v>
      </c>
      <c r="B49" s="60" t="str">
        <f>IFERROR(__xludf.DUMMYFUNCTION("""COMPUTED_VALUE"""),"OLHAIS PARA GUINCHO ")</f>
        <v>OLHAIS PARA GUINCHO </v>
      </c>
      <c r="C49" s="16">
        <f>IFERROR(__xludf.DUMMYFUNCTION("""COMPUTED_VALUE"""),1.0)</f>
        <v>1</v>
      </c>
      <c r="D49" s="17" t="str">
        <f>IFERROR(__xludf.DUMMYFUNCTION("""COMPUTED_VALUE"""),"VIATURA")</f>
        <v>VIATURA</v>
      </c>
      <c r="E49" s="18" t="str">
        <f>IFERROR(__xludf.DUMMYFUNCTION("""COMPUTED_VALUE"""),"1 - ABTS5911")</f>
        <v>1 - ABTS5911</v>
      </c>
      <c r="F49" s="18" t="str">
        <f>IFERROR(__xludf.DUMMYFUNCTION("""COMPUTED_VALUE"""),"CABINE")</f>
        <v>CABINE</v>
      </c>
      <c r="G49" s="19">
        <f>IFERROR(__xludf.DUMMYFUNCTION("""COMPUTED_VALUE"""),45525.0)</f>
        <v>45525</v>
      </c>
      <c r="H49" s="18"/>
      <c r="I49" s="21"/>
    </row>
    <row r="50" ht="22.5" customHeight="1">
      <c r="A50" s="20">
        <f>IFERROR(__xludf.DUMMYFUNCTION("""COMPUTED_VALUE"""),81.0)</f>
        <v>81</v>
      </c>
      <c r="B50" s="81" t="str">
        <f>IFERROR(__xludf.DUMMYFUNCTION("""COMPUTED_VALUE"""),"PINO PARA REBOQUE")</f>
        <v>PINO PARA REBOQUE</v>
      </c>
      <c r="C50" s="16">
        <f>IFERROR(__xludf.DUMMYFUNCTION("""COMPUTED_VALUE"""),1.0)</f>
        <v>1</v>
      </c>
      <c r="D50" s="17" t="str">
        <f>IFERROR(__xludf.DUMMYFUNCTION("""COMPUTED_VALUE"""),"VIATURA")</f>
        <v>VIATURA</v>
      </c>
      <c r="E50" s="18" t="str">
        <f>IFERROR(__xludf.DUMMYFUNCTION("""COMPUTED_VALUE"""),"1 - ABTS5911")</f>
        <v>1 - ABTS5911</v>
      </c>
      <c r="F50" s="18" t="str">
        <f>IFERROR(__xludf.DUMMYFUNCTION("""COMPUTED_VALUE"""),"CABINE")</f>
        <v>CABINE</v>
      </c>
      <c r="G50" s="19">
        <f>IFERROR(__xludf.DUMMYFUNCTION("""COMPUTED_VALUE"""),45525.0)</f>
        <v>45525</v>
      </c>
      <c r="H50" s="18"/>
      <c r="I50" s="21"/>
    </row>
    <row r="51" ht="22.5" customHeight="1">
      <c r="A51" s="20">
        <f>IFERROR(__xludf.DUMMYFUNCTION("""COMPUTED_VALUE"""),82.0)</f>
        <v>82</v>
      </c>
      <c r="B51" s="60" t="str">
        <f>IFERROR(__xludf.DUMMYFUNCTION("""COMPUTED_VALUE"""),"SACO PARA CADÁVER")</f>
        <v>SACO PARA CADÁVER</v>
      </c>
      <c r="C51" s="16">
        <f>IFERROR(__xludf.DUMMYFUNCTION("""COMPUTED_VALUE"""),1.0)</f>
        <v>1</v>
      </c>
      <c r="D51" s="17" t="str">
        <f>IFERROR(__xludf.DUMMYFUNCTION("""COMPUTED_VALUE"""),"VIATURA")</f>
        <v>VIATURA</v>
      </c>
      <c r="E51" s="18" t="str">
        <f>IFERROR(__xludf.DUMMYFUNCTION("""COMPUTED_VALUE"""),"1 - ABTS5911")</f>
        <v>1 - ABTS5911</v>
      </c>
      <c r="F51" s="18" t="str">
        <f>IFERROR(__xludf.DUMMYFUNCTION("""COMPUTED_VALUE"""),"CABINE")</f>
        <v>CABINE</v>
      </c>
      <c r="G51" s="19">
        <f>IFERROR(__xludf.DUMMYFUNCTION("""COMPUTED_VALUE"""),45525.0)</f>
        <v>45525</v>
      </c>
      <c r="H51" s="18"/>
      <c r="I51" s="21"/>
    </row>
    <row r="52" ht="22.5" customHeight="1">
      <c r="A52" s="20">
        <f>IFERROR(__xludf.DUMMYFUNCTION("""COMPUTED_VALUE"""),83.0)</f>
        <v>83</v>
      </c>
      <c r="B52" s="60" t="str">
        <f>IFERROR(__xludf.DUMMYFUNCTION("""COMPUTED_VALUE"""),"CORDA -")</f>
        <v>CORDA -</v>
      </c>
      <c r="C52" s="16">
        <f>IFERROR(__xludf.DUMMYFUNCTION("""COMPUTED_VALUE"""),5.0)</f>
        <v>5</v>
      </c>
      <c r="D52" s="17" t="str">
        <f>IFERROR(__xludf.DUMMYFUNCTION("""COMPUTED_VALUE"""),"VIATURA")</f>
        <v>VIATURA</v>
      </c>
      <c r="E52" s="18" t="str">
        <f>IFERROR(__xludf.DUMMYFUNCTION("""COMPUTED_VALUE"""),"1 - ABTS5911")</f>
        <v>1 - ABTS5911</v>
      </c>
      <c r="F52" s="18" t="str">
        <f>IFERROR(__xludf.DUMMYFUNCTION("""COMPUTED_VALUE"""),"BOX 01")</f>
        <v>BOX 01</v>
      </c>
      <c r="G52" s="19">
        <f>IFERROR(__xludf.DUMMYFUNCTION("""COMPUTED_VALUE"""),45525.0)</f>
        <v>45525</v>
      </c>
      <c r="H52" s="18"/>
      <c r="I52" s="21"/>
    </row>
    <row r="53" ht="22.5" customHeight="1">
      <c r="A53" s="20">
        <f>IFERROR(__xludf.DUMMYFUNCTION("""COMPUTED_VALUE"""),85.0)</f>
        <v>85</v>
      </c>
      <c r="B53" s="60" t="str">
        <f>IFERROR(__xludf.DUMMYFUNCTION("""COMPUTED_VALUE"""),"EXTINTOR DE INCÊNDIO 6A 40BC 12 KG")</f>
        <v>EXTINTOR DE INCÊNDIO 6A 40BC 12 KG</v>
      </c>
      <c r="C53" s="16">
        <f>IFERROR(__xludf.DUMMYFUNCTION("""COMPUTED_VALUE"""),1.0)</f>
        <v>1</v>
      </c>
      <c r="D53" s="17" t="str">
        <f>IFERROR(__xludf.DUMMYFUNCTION("""COMPUTED_VALUE"""),"VIATURA")</f>
        <v>VIATURA</v>
      </c>
      <c r="E53" s="18" t="str">
        <f>IFERROR(__xludf.DUMMYFUNCTION("""COMPUTED_VALUE"""),"1 - ABTS5911")</f>
        <v>1 - ABTS5911</v>
      </c>
      <c r="F53" s="18" t="str">
        <f>IFERROR(__xludf.DUMMYFUNCTION("""COMPUTED_VALUE"""),"BOX 01")</f>
        <v>BOX 01</v>
      </c>
      <c r="G53" s="19">
        <f>IFERROR(__xludf.DUMMYFUNCTION("""COMPUTED_VALUE"""),45525.0)</f>
        <v>45525</v>
      </c>
      <c r="H53" s="18"/>
      <c r="I53" s="21" t="str">
        <f>IFERROR(__xludf.DUMMYFUNCTION("""COMPUTED_VALUE"""),"* NA ABTS5911 QUE SE ENCONTRA NO CSM")</f>
        <v>* NA ABTS5911 QUE SE ENCONTRA NO CSM</v>
      </c>
    </row>
    <row r="54" ht="22.5" customHeight="1">
      <c r="A54" s="20">
        <f>IFERROR(__xludf.DUMMYFUNCTION("""COMPUTED_VALUE"""),86.0)</f>
        <v>86</v>
      </c>
      <c r="B54" s="60" t="str">
        <f>IFERROR(__xludf.DUMMYFUNCTION("""COMPUTED_VALUE"""),"EXTINTOR DE INCÊNDIO CO2 6 KG")</f>
        <v>EXTINTOR DE INCÊNDIO CO2 6 KG</v>
      </c>
      <c r="C54" s="16">
        <f>IFERROR(__xludf.DUMMYFUNCTION("""COMPUTED_VALUE"""),1.0)</f>
        <v>1</v>
      </c>
      <c r="D54" s="17" t="str">
        <f>IFERROR(__xludf.DUMMYFUNCTION("""COMPUTED_VALUE"""),"VIATURA")</f>
        <v>VIATURA</v>
      </c>
      <c r="E54" s="18" t="str">
        <f>IFERROR(__xludf.DUMMYFUNCTION("""COMPUTED_VALUE"""),"1 - ABTS5911")</f>
        <v>1 - ABTS5911</v>
      </c>
      <c r="F54" s="18" t="str">
        <f>IFERROR(__xludf.DUMMYFUNCTION("""COMPUTED_VALUE"""),"BOX 01")</f>
        <v>BOX 01</v>
      </c>
      <c r="G54" s="19">
        <f>IFERROR(__xludf.DUMMYFUNCTION("""COMPUTED_VALUE"""),45525.0)</f>
        <v>45525</v>
      </c>
      <c r="H54" s="18"/>
      <c r="I54" s="21"/>
    </row>
    <row r="55" ht="22.5" customHeight="1">
      <c r="A55" s="20">
        <f>IFERROR(__xludf.DUMMYFUNCTION("""COMPUTED_VALUE"""),87.0)</f>
        <v>87</v>
      </c>
      <c r="B55" s="60" t="str">
        <f>IFERROR(__xludf.DUMMYFUNCTION("""COMPUTED_VALUE"""),"CARREGADOR VEICULAR E CARREGADOR DE TOMADA DA LANTERNA DE CENA STREAMLIGHT")</f>
        <v>CARREGADOR VEICULAR E CARREGADOR DE TOMADA DA LANTERNA DE CENA STREAMLIGHT</v>
      </c>
      <c r="C55" s="16">
        <f>IFERROR(__xludf.DUMMYFUNCTION("""COMPUTED_VALUE"""),1.0)</f>
        <v>1</v>
      </c>
      <c r="D55" s="17" t="str">
        <f>IFERROR(__xludf.DUMMYFUNCTION("""COMPUTED_VALUE"""),"VIATURA")</f>
        <v>VIATURA</v>
      </c>
      <c r="E55" s="18" t="str">
        <f>IFERROR(__xludf.DUMMYFUNCTION("""COMPUTED_VALUE"""),"1 - ABTS5911")</f>
        <v>1 - ABTS5911</v>
      </c>
      <c r="F55" s="18" t="str">
        <f>IFERROR(__xludf.DUMMYFUNCTION("""COMPUTED_VALUE"""),"BOX 01")</f>
        <v>BOX 01</v>
      </c>
      <c r="G55" s="19">
        <f>IFERROR(__xludf.DUMMYFUNCTION("""COMPUTED_VALUE"""),45525.0)</f>
        <v>45525</v>
      </c>
      <c r="H55" s="18"/>
      <c r="I55" s="21"/>
    </row>
    <row r="56" ht="22.5" customHeight="1">
      <c r="A56" s="20">
        <f>IFERROR(__xludf.DUMMYFUNCTION("""COMPUTED_VALUE"""),88.0)</f>
        <v>88</v>
      </c>
      <c r="B56" s="60" t="str">
        <f>IFERROR(__xludf.DUMMYFUNCTION("""COMPUTED_VALUE"""),"ESTEPE")</f>
        <v>ESTEPE</v>
      </c>
      <c r="C56" s="16">
        <f>IFERROR(__xludf.DUMMYFUNCTION("""COMPUTED_VALUE"""),1.0)</f>
        <v>1</v>
      </c>
      <c r="D56" s="17" t="str">
        <f>IFERROR(__xludf.DUMMYFUNCTION("""COMPUTED_VALUE"""),"VIATURA")</f>
        <v>VIATURA</v>
      </c>
      <c r="E56" s="18" t="str">
        <f>IFERROR(__xludf.DUMMYFUNCTION("""COMPUTED_VALUE"""),"1 - ABTS5911")</f>
        <v>1 - ABTS5911</v>
      </c>
      <c r="F56" s="18" t="str">
        <f>IFERROR(__xludf.DUMMYFUNCTION("""COMPUTED_VALUE"""),"BOX 01")</f>
        <v>BOX 01</v>
      </c>
      <c r="G56" s="19">
        <f>IFERROR(__xludf.DUMMYFUNCTION("""COMPUTED_VALUE"""),45525.0)</f>
        <v>45525</v>
      </c>
      <c r="H56" s="18"/>
      <c r="I56" s="21" t="str">
        <f>IFERROR(__xludf.DUMMYFUNCTION("""COMPUTED_VALUE"""),"* ENCONTRA-SE NA VTR EM MANUTENÇÃO NO CSM")</f>
        <v>* ENCONTRA-SE NA VTR EM MANUTENÇÃO NO CSM</v>
      </c>
    </row>
    <row r="57" ht="22.5" customHeight="1">
      <c r="A57" s="20">
        <f>IFERROR(__xludf.DUMMYFUNCTION("""COMPUTED_VALUE"""),89.0)</f>
        <v>89</v>
      </c>
      <c r="B57" s="60" t="str">
        <f>IFERROR(__xludf.DUMMYFUNCTION("""COMPUTED_VALUE"""),"BATERIAS PARA DESENCARCERADORES")</f>
        <v>BATERIAS PARA DESENCARCERADORES</v>
      </c>
      <c r="C57" s="16">
        <f>IFERROR(__xludf.DUMMYFUNCTION("""COMPUTED_VALUE"""),2.0)</f>
        <v>2</v>
      </c>
      <c r="D57" s="17" t="str">
        <f>IFERROR(__xludf.DUMMYFUNCTION("""COMPUTED_VALUE"""),"VIATURA")</f>
        <v>VIATURA</v>
      </c>
      <c r="E57" s="18" t="str">
        <f>IFERROR(__xludf.DUMMYFUNCTION("""COMPUTED_VALUE"""),"1 - ABTS5911")</f>
        <v>1 - ABTS5911</v>
      </c>
      <c r="F57" s="18" t="str">
        <f>IFERROR(__xludf.DUMMYFUNCTION("""COMPUTED_VALUE"""),"BOX 01")</f>
        <v>BOX 01</v>
      </c>
      <c r="G57" s="19">
        <f>IFERROR(__xludf.DUMMYFUNCTION("""COMPUTED_VALUE"""),45525.0)</f>
        <v>45525</v>
      </c>
      <c r="H57" s="18"/>
      <c r="I57" s="21"/>
    </row>
    <row r="58" ht="22.5" customHeight="1">
      <c r="A58" s="20">
        <f>IFERROR(__xludf.DUMMYFUNCTION("""COMPUTED_VALUE"""),90.0)</f>
        <v>90</v>
      </c>
      <c r="B58" s="60" t="str">
        <f>IFERROR(__xludf.DUMMYFUNCTION("""COMPUTED_VALUE"""),"CILINDRO RESERVA PA SCOTT")</f>
        <v>CILINDRO RESERVA PA SCOTT</v>
      </c>
      <c r="C58" s="16">
        <f>IFERROR(__xludf.DUMMYFUNCTION("""COMPUTED_VALUE"""),4.0)</f>
        <v>4</v>
      </c>
      <c r="D58" s="17" t="str">
        <f>IFERROR(__xludf.DUMMYFUNCTION("""COMPUTED_VALUE"""),"VIATURA")</f>
        <v>VIATURA</v>
      </c>
      <c r="E58" s="18" t="str">
        <f>IFERROR(__xludf.DUMMYFUNCTION("""COMPUTED_VALUE"""),"1 - ABTS5911")</f>
        <v>1 - ABTS5911</v>
      </c>
      <c r="F58" s="18"/>
      <c r="G58" s="19">
        <f>IFERROR(__xludf.DUMMYFUNCTION("""COMPUTED_VALUE"""),45525.0)</f>
        <v>45525</v>
      </c>
      <c r="H58" s="18"/>
      <c r="I58" s="21"/>
    </row>
    <row r="59" ht="22.5" customHeight="1">
      <c r="A59" s="20">
        <f>IFERROR(__xludf.DUMMYFUNCTION("""COMPUTED_VALUE"""),92.0)</f>
        <v>92</v>
      </c>
      <c r="B59" s="60" t="str">
        <f>IFERROR(__xludf.DUMMYFUNCTION("""COMPUTED_VALUE"""),"CATRACA 10 TON")</f>
        <v>CATRACA 10 TON</v>
      </c>
      <c r="C59" s="16">
        <f>IFERROR(__xludf.DUMMYFUNCTION("""COMPUTED_VALUE"""),1.0)</f>
        <v>1</v>
      </c>
      <c r="D59" s="17" t="str">
        <f>IFERROR(__xludf.DUMMYFUNCTION("""COMPUTED_VALUE"""),"VIATURA")</f>
        <v>VIATURA</v>
      </c>
      <c r="E59" s="18" t="str">
        <f>IFERROR(__xludf.DUMMYFUNCTION("""COMPUTED_VALUE"""),"1 - ABTS5911")</f>
        <v>1 - ABTS5911</v>
      </c>
      <c r="F59" s="18" t="str">
        <f>IFERROR(__xludf.DUMMYFUNCTION("""COMPUTED_VALUE"""),"BOX 02")</f>
        <v>BOX 02</v>
      </c>
      <c r="G59" s="19">
        <f>IFERROR(__xludf.DUMMYFUNCTION("""COMPUTED_VALUE"""),45525.0)</f>
        <v>45525</v>
      </c>
      <c r="H59" s="18"/>
      <c r="I59" s="21"/>
    </row>
    <row r="60" ht="22.5" customHeight="1">
      <c r="A60" s="20">
        <f>IFERROR(__xludf.DUMMYFUNCTION("""COMPUTED_VALUE"""),93.0)</f>
        <v>93</v>
      </c>
      <c r="B60" s="60" t="str">
        <f>IFERROR(__xludf.DUMMYFUNCTION("""COMPUTED_VALUE"""),"CATRACA 05 TON")</f>
        <v>CATRACA 05 TON</v>
      </c>
      <c r="C60" s="16">
        <f>IFERROR(__xludf.DUMMYFUNCTION("""COMPUTED_VALUE"""),1.0)</f>
        <v>1</v>
      </c>
      <c r="D60" s="17" t="str">
        <f>IFERROR(__xludf.DUMMYFUNCTION("""COMPUTED_VALUE"""),"VIATURA")</f>
        <v>VIATURA</v>
      </c>
      <c r="E60" s="18" t="str">
        <f>IFERROR(__xludf.DUMMYFUNCTION("""COMPUTED_VALUE"""),"1 - ABTS5911")</f>
        <v>1 - ABTS5911</v>
      </c>
      <c r="F60" s="18" t="str">
        <f>IFERROR(__xludf.DUMMYFUNCTION("""COMPUTED_VALUE"""),"BOX 02")</f>
        <v>BOX 02</v>
      </c>
      <c r="G60" s="19">
        <f>IFERROR(__xludf.DUMMYFUNCTION("""COMPUTED_VALUE"""),45525.0)</f>
        <v>45525</v>
      </c>
      <c r="H60" s="18"/>
      <c r="I60" s="21"/>
    </row>
    <row r="61" ht="22.5" customHeight="1">
      <c r="A61" s="20">
        <f>IFERROR(__xludf.DUMMYFUNCTION("""COMPUTED_VALUE"""),94.0)</f>
        <v>94</v>
      </c>
      <c r="B61" s="60" t="str">
        <f>IFERROR(__xludf.DUMMYFUNCTION("""COMPUTED_VALUE"""),"CATRACA 1,5 TON")</f>
        <v>CATRACA 1,5 TON</v>
      </c>
      <c r="C61" s="16">
        <f>IFERROR(__xludf.DUMMYFUNCTION("""COMPUTED_VALUE"""),1.0)</f>
        <v>1</v>
      </c>
      <c r="D61" s="17" t="str">
        <f>IFERROR(__xludf.DUMMYFUNCTION("""COMPUTED_VALUE"""),"VIATURA")</f>
        <v>VIATURA</v>
      </c>
      <c r="E61" s="18" t="str">
        <f>IFERROR(__xludf.DUMMYFUNCTION("""COMPUTED_VALUE"""),"1 - ABTS5911")</f>
        <v>1 - ABTS5911</v>
      </c>
      <c r="F61" s="18" t="str">
        <f>IFERROR(__xludf.DUMMYFUNCTION("""COMPUTED_VALUE"""),"BOX 02")</f>
        <v>BOX 02</v>
      </c>
      <c r="G61" s="19">
        <f>IFERROR(__xludf.DUMMYFUNCTION("""COMPUTED_VALUE"""),45525.0)</f>
        <v>45525</v>
      </c>
      <c r="H61" s="18"/>
      <c r="I61" s="21"/>
    </row>
    <row r="62" ht="22.5" customHeight="1">
      <c r="A62" s="20">
        <f>IFERROR(__xludf.DUMMYFUNCTION("""COMPUTED_VALUE"""),95.0)</f>
        <v>95</v>
      </c>
      <c r="B62" s="60" t="str">
        <f>IFERROR(__xludf.DUMMYFUNCTION("""COMPUTED_VALUE"""),"CABO SOLTEIRO")</f>
        <v>CABO SOLTEIRO</v>
      </c>
      <c r="C62" s="16">
        <f>IFERROR(__xludf.DUMMYFUNCTION("""COMPUTED_VALUE"""),4.0)</f>
        <v>4</v>
      </c>
      <c r="D62" s="17" t="str">
        <f>IFERROR(__xludf.DUMMYFUNCTION("""COMPUTED_VALUE"""),"VIATURA")</f>
        <v>VIATURA</v>
      </c>
      <c r="E62" s="18" t="str">
        <f>IFERROR(__xludf.DUMMYFUNCTION("""COMPUTED_VALUE"""),"1 - ABTS5911")</f>
        <v>1 - ABTS5911</v>
      </c>
      <c r="F62" s="18" t="str">
        <f>IFERROR(__xludf.DUMMYFUNCTION("""COMPUTED_VALUE"""),"BOX 02")</f>
        <v>BOX 02</v>
      </c>
      <c r="G62" s="19">
        <f>IFERROR(__xludf.DUMMYFUNCTION("""COMPUTED_VALUE"""),45525.0)</f>
        <v>45525</v>
      </c>
      <c r="H62" s="18"/>
      <c r="I62" s="21"/>
    </row>
    <row r="63" ht="22.5" customHeight="1">
      <c r="A63" s="20">
        <f>IFERROR(__xludf.DUMMYFUNCTION("""COMPUTED_VALUE"""),96.0)</f>
        <v>96</v>
      </c>
      <c r="B63" s="60" t="str">
        <f>IFERROR(__xludf.DUMMYFUNCTION("""COMPUTED_VALUE"""),"FREIO OITO -")</f>
        <v>FREIO OITO -</v>
      </c>
      <c r="C63" s="16">
        <f>IFERROR(__xludf.DUMMYFUNCTION("""COMPUTED_VALUE"""),1.0)</f>
        <v>1</v>
      </c>
      <c r="D63" s="17" t="str">
        <f>IFERROR(__xludf.DUMMYFUNCTION("""COMPUTED_VALUE"""),"VIATURA")</f>
        <v>VIATURA</v>
      </c>
      <c r="E63" s="18" t="str">
        <f>IFERROR(__xludf.DUMMYFUNCTION("""COMPUTED_VALUE"""),"1 - ABTS5911")</f>
        <v>1 - ABTS5911</v>
      </c>
      <c r="F63" s="18" t="str">
        <f>IFERROR(__xludf.DUMMYFUNCTION("""COMPUTED_VALUE"""),"BOLSA DE SALV. ALTURA")</f>
        <v>BOLSA DE SALV. ALTURA</v>
      </c>
      <c r="G63" s="19">
        <f>IFERROR(__xludf.DUMMYFUNCTION("""COMPUTED_VALUE"""),45583.0)</f>
        <v>45583</v>
      </c>
      <c r="H63" s="18"/>
      <c r="I63" s="21"/>
    </row>
    <row r="64" ht="22.5" customHeight="1">
      <c r="A64" s="20">
        <f>IFERROR(__xludf.DUMMYFUNCTION("""COMPUTED_VALUE"""),98.0)</f>
        <v>98</v>
      </c>
      <c r="B64" s="60" t="str">
        <f>IFERROR(__xludf.DUMMYFUNCTION("""COMPUTED_VALUE"""),"ALAVANCA PÉ DE CABRA DUPLO")</f>
        <v>ALAVANCA PÉ DE CABRA DUPLO</v>
      </c>
      <c r="C64" s="16">
        <f>IFERROR(__xludf.DUMMYFUNCTION("""COMPUTED_VALUE"""),1.0)</f>
        <v>1</v>
      </c>
      <c r="D64" s="17" t="str">
        <f>IFERROR(__xludf.DUMMYFUNCTION("""COMPUTED_VALUE"""),"VIATURA")</f>
        <v>VIATURA</v>
      </c>
      <c r="E64" s="18" t="str">
        <f>IFERROR(__xludf.DUMMYFUNCTION("""COMPUTED_VALUE"""),"1 - ABTS5911")</f>
        <v>1 - ABTS5911</v>
      </c>
      <c r="F64" s="18" t="str">
        <f>IFERROR(__xludf.DUMMYFUNCTION("""COMPUTED_VALUE"""),"BOX 03")</f>
        <v>BOX 03</v>
      </c>
      <c r="G64" s="19">
        <f>IFERROR(__xludf.DUMMYFUNCTION("""COMPUTED_VALUE"""),45525.0)</f>
        <v>45525</v>
      </c>
      <c r="H64" s="18"/>
      <c r="I64" s="21"/>
    </row>
    <row r="65" ht="22.5" customHeight="1">
      <c r="A65" s="20">
        <f>IFERROR(__xludf.DUMMYFUNCTION("""COMPUTED_VALUE"""),99.0)</f>
        <v>99</v>
      </c>
      <c r="B65" s="60" t="str">
        <f>IFERROR(__xludf.DUMMYFUNCTION("""COMPUTED_VALUE"""),"BARRA HALLIGAN")</f>
        <v>BARRA HALLIGAN</v>
      </c>
      <c r="C65" s="16">
        <f>IFERROR(__xludf.DUMMYFUNCTION("""COMPUTED_VALUE"""),1.0)</f>
        <v>1</v>
      </c>
      <c r="D65" s="17" t="str">
        <f>IFERROR(__xludf.DUMMYFUNCTION("""COMPUTED_VALUE"""),"VIATURA")</f>
        <v>VIATURA</v>
      </c>
      <c r="E65" s="18" t="str">
        <f>IFERROR(__xludf.DUMMYFUNCTION("""COMPUTED_VALUE"""),"1 - ABTS5911")</f>
        <v>1 - ABTS5911</v>
      </c>
      <c r="F65" s="18" t="str">
        <f>IFERROR(__xludf.DUMMYFUNCTION("""COMPUTED_VALUE"""),"BOX 03")</f>
        <v>BOX 03</v>
      </c>
      <c r="G65" s="19">
        <f>IFERROR(__xludf.DUMMYFUNCTION("""COMPUTED_VALUE"""),45525.0)</f>
        <v>45525</v>
      </c>
      <c r="H65" s="18"/>
      <c r="I65" s="21"/>
    </row>
    <row r="66" ht="22.5" customHeight="1">
      <c r="A66" s="20">
        <f>IFERROR(__xludf.DUMMYFUNCTION("""COMPUTED_VALUE"""),100.0)</f>
        <v>100</v>
      </c>
      <c r="B66" s="81" t="str">
        <f>IFERROR(__xludf.DUMMYFUNCTION("""COMPUTED_VALUE"""),"CHAVE DE TAMPÃO DE HIRANTE")</f>
        <v>CHAVE DE TAMPÃO DE HIRANTE</v>
      </c>
      <c r="C66" s="16">
        <f>IFERROR(__xludf.DUMMYFUNCTION("""COMPUTED_VALUE"""),4.0)</f>
        <v>4</v>
      </c>
      <c r="D66" s="17" t="str">
        <f>IFERROR(__xludf.DUMMYFUNCTION("""COMPUTED_VALUE"""),"VIATURA")</f>
        <v>VIATURA</v>
      </c>
      <c r="E66" s="18" t="str">
        <f>IFERROR(__xludf.DUMMYFUNCTION("""COMPUTED_VALUE"""),"1 - ABTS5911")</f>
        <v>1 - ABTS5911</v>
      </c>
      <c r="F66" s="18" t="str">
        <f>IFERROR(__xludf.DUMMYFUNCTION("""COMPUTED_VALUE"""),"BOX 03")</f>
        <v>BOX 03</v>
      </c>
      <c r="G66" s="19">
        <f>IFERROR(__xludf.DUMMYFUNCTION("""COMPUTED_VALUE"""),45525.0)</f>
        <v>45525</v>
      </c>
      <c r="H66" s="18"/>
      <c r="I66" s="21"/>
    </row>
    <row r="67" ht="22.5" customHeight="1">
      <c r="A67" s="20">
        <f>IFERROR(__xludf.DUMMYFUNCTION("""COMPUTED_VALUE"""),101.0)</f>
        <v>101</v>
      </c>
      <c r="B67" s="81" t="str">
        <f>IFERROR(__xludf.DUMMYFUNCTION("""COMPUTED_VALUE"""),"MACHADINHA")</f>
        <v>MACHADINHA</v>
      </c>
      <c r="C67" s="16">
        <f>IFERROR(__xludf.DUMMYFUNCTION("""COMPUTED_VALUE"""),1.0)</f>
        <v>1</v>
      </c>
      <c r="D67" s="17" t="str">
        <f>IFERROR(__xludf.DUMMYFUNCTION("""COMPUTED_VALUE"""),"VIATURA")</f>
        <v>VIATURA</v>
      </c>
      <c r="E67" s="18" t="str">
        <f>IFERROR(__xludf.DUMMYFUNCTION("""COMPUTED_VALUE"""),"1 - ABTS5911")</f>
        <v>1 - ABTS5911</v>
      </c>
      <c r="F67" s="18" t="str">
        <f>IFERROR(__xludf.DUMMYFUNCTION("""COMPUTED_VALUE"""),"BOX 03")</f>
        <v>BOX 03</v>
      </c>
      <c r="G67" s="19">
        <f>IFERROR(__xludf.DUMMYFUNCTION("""COMPUTED_VALUE"""),45525.0)</f>
        <v>45525</v>
      </c>
      <c r="H67" s="18"/>
      <c r="I67" s="21"/>
    </row>
    <row r="68" ht="22.5" customHeight="1">
      <c r="A68" s="20">
        <f>IFERROR(__xludf.DUMMYFUNCTION("""COMPUTED_VALUE"""),102.0)</f>
        <v>102</v>
      </c>
      <c r="B68" s="60" t="str">
        <f>IFERROR(__xludf.DUMMYFUNCTION("""COMPUTED_VALUE"""),"GADANHO")</f>
        <v>GADANHO</v>
      </c>
      <c r="C68" s="16">
        <f>IFERROR(__xludf.DUMMYFUNCTION("""COMPUTED_VALUE"""),1.0)</f>
        <v>1</v>
      </c>
      <c r="D68" s="17" t="str">
        <f>IFERROR(__xludf.DUMMYFUNCTION("""COMPUTED_VALUE"""),"VIATURA")</f>
        <v>VIATURA</v>
      </c>
      <c r="E68" s="18" t="str">
        <f>IFERROR(__xludf.DUMMYFUNCTION("""COMPUTED_VALUE"""),"1 - ABTS5911")</f>
        <v>1 - ABTS5911</v>
      </c>
      <c r="F68" s="18" t="str">
        <f>IFERROR(__xludf.DUMMYFUNCTION("""COMPUTED_VALUE"""),"BOX 03")</f>
        <v>BOX 03</v>
      </c>
      <c r="G68" s="19">
        <f>IFERROR(__xludf.DUMMYFUNCTION("""COMPUTED_VALUE"""),45525.0)</f>
        <v>45525</v>
      </c>
      <c r="H68" s="18"/>
      <c r="I68" s="21"/>
    </row>
    <row r="69" ht="22.5" customHeight="1">
      <c r="A69" s="20">
        <f>IFERROR(__xludf.DUMMYFUNCTION("""COMPUTED_VALUE"""),103.0)</f>
        <v>103</v>
      </c>
      <c r="B69" s="15" t="str">
        <f>IFERROR(__xludf.DUMMYFUNCTION("""COMPUTED_VALUE"""),"FOICE")</f>
        <v>FOICE</v>
      </c>
      <c r="C69" s="16">
        <f>IFERROR(__xludf.DUMMYFUNCTION("""COMPUTED_VALUE"""),1.0)</f>
        <v>1</v>
      </c>
      <c r="D69" s="17" t="str">
        <f>IFERROR(__xludf.DUMMYFUNCTION("""COMPUTED_VALUE"""),"VIATURA")</f>
        <v>VIATURA</v>
      </c>
      <c r="E69" s="18" t="str">
        <f>IFERROR(__xludf.DUMMYFUNCTION("""COMPUTED_VALUE"""),"1 - ABTS5911")</f>
        <v>1 - ABTS5911</v>
      </c>
      <c r="F69" s="18" t="str">
        <f>IFERROR(__xludf.DUMMYFUNCTION("""COMPUTED_VALUE"""),"BOX 03")</f>
        <v>BOX 03</v>
      </c>
      <c r="G69" s="19">
        <f>IFERROR(__xludf.DUMMYFUNCTION("""COMPUTED_VALUE"""),45525.0)</f>
        <v>45525</v>
      </c>
      <c r="H69" s="18"/>
      <c r="I69" s="21"/>
    </row>
    <row r="70" ht="22.5" customHeight="1">
      <c r="A70" s="20">
        <f>IFERROR(__xludf.DUMMYFUNCTION("""COMPUTED_VALUE"""),104.0)</f>
        <v>104</v>
      </c>
      <c r="B70" s="60" t="str">
        <f>IFERROR(__xludf.DUMMYFUNCTION("""COMPUTED_VALUE"""),"ENXADÃO")</f>
        <v>ENXADÃO</v>
      </c>
      <c r="C70" s="16">
        <f>IFERROR(__xludf.DUMMYFUNCTION("""COMPUTED_VALUE"""),1.0)</f>
        <v>1</v>
      </c>
      <c r="D70" s="17" t="str">
        <f>IFERROR(__xludf.DUMMYFUNCTION("""COMPUTED_VALUE"""),"VIATURA")</f>
        <v>VIATURA</v>
      </c>
      <c r="E70" s="18" t="str">
        <f>IFERROR(__xludf.DUMMYFUNCTION("""COMPUTED_VALUE"""),"1 - ABTS5911")</f>
        <v>1 - ABTS5911</v>
      </c>
      <c r="F70" s="18" t="str">
        <f>IFERROR(__xludf.DUMMYFUNCTION("""COMPUTED_VALUE"""),"BOX 03")</f>
        <v>BOX 03</v>
      </c>
      <c r="G70" s="19">
        <f>IFERROR(__xludf.DUMMYFUNCTION("""COMPUTED_VALUE"""),45525.0)</f>
        <v>45525</v>
      </c>
      <c r="H70" s="18"/>
      <c r="I70" s="21"/>
    </row>
    <row r="71" ht="22.5" customHeight="1">
      <c r="A71" s="20">
        <f>IFERROR(__xludf.DUMMYFUNCTION("""COMPUTED_VALUE"""),106.0)</f>
        <v>106</v>
      </c>
      <c r="B71" s="60" t="str">
        <f>IFERROR(__xludf.DUMMYFUNCTION("""COMPUTED_VALUE"""),"TAMPÃO DE MANGOTE COM ROSCA GROSSA 4""")</f>
        <v>TAMPÃO DE MANGOTE COM ROSCA GROSSA 4"</v>
      </c>
      <c r="C71" s="16">
        <f>IFERROR(__xludf.DUMMYFUNCTION("""COMPUTED_VALUE"""),1.0)</f>
        <v>1</v>
      </c>
      <c r="D71" s="17" t="str">
        <f>IFERROR(__xludf.DUMMYFUNCTION("""COMPUTED_VALUE"""),"VIATURA")</f>
        <v>VIATURA</v>
      </c>
      <c r="E71" s="18" t="str">
        <f>IFERROR(__xludf.DUMMYFUNCTION("""COMPUTED_VALUE"""),"1 - ABTS5911")</f>
        <v>1 - ABTS5911</v>
      </c>
      <c r="F71" s="18" t="str">
        <f>IFERROR(__xludf.DUMMYFUNCTION("""COMPUTED_VALUE"""),"BOX TRASEIRO")</f>
        <v>BOX TRASEIRO</v>
      </c>
      <c r="G71" s="19">
        <f>IFERROR(__xludf.DUMMYFUNCTION("""COMPUTED_VALUE"""),45525.0)</f>
        <v>45525</v>
      </c>
      <c r="H71" s="18"/>
      <c r="I71" s="21"/>
    </row>
    <row r="72" ht="22.5" customHeight="1">
      <c r="A72" s="20">
        <f>IFERROR(__xludf.DUMMYFUNCTION("""COMPUTED_VALUE"""),108.0)</f>
        <v>108</v>
      </c>
      <c r="B72" s="60" t="str">
        <f>IFERROR(__xludf.DUMMYFUNCTION("""COMPUTED_VALUE"""),"NIPS")</f>
        <v>NIPS</v>
      </c>
      <c r="C72" s="16">
        <f>IFERROR(__xludf.DUMMYFUNCTION("""COMPUTED_VALUE"""),3.0)</f>
        <v>3</v>
      </c>
      <c r="D72" s="17" t="str">
        <f>IFERROR(__xludf.DUMMYFUNCTION("""COMPUTED_VALUE"""),"VIATURA")</f>
        <v>VIATURA</v>
      </c>
      <c r="E72" s="18" t="str">
        <f>IFERROR(__xludf.DUMMYFUNCTION("""COMPUTED_VALUE"""),"1 - ABTS5911")</f>
        <v>1 - ABTS5911</v>
      </c>
      <c r="F72" s="18" t="str">
        <f>IFERROR(__xludf.DUMMYFUNCTION("""COMPUTED_VALUE"""),"BOX 05")</f>
        <v>BOX 05</v>
      </c>
      <c r="G72" s="19">
        <f>IFERROR(__xludf.DUMMYFUNCTION("""COMPUTED_VALUE"""),45603.0)</f>
        <v>45603</v>
      </c>
      <c r="H72" s="18"/>
      <c r="I72" s="21"/>
    </row>
    <row r="73" ht="22.5" customHeight="1">
      <c r="A73" s="20">
        <f>IFERROR(__xludf.DUMMYFUNCTION("""COMPUTED_VALUE"""),109.0)</f>
        <v>109</v>
      </c>
      <c r="B73" s="60" t="str">
        <f>IFERROR(__xludf.DUMMYFUNCTION("""COMPUTED_VALUE"""),"CHAVE DE MANGUEIRA")</f>
        <v>CHAVE DE MANGUEIRA</v>
      </c>
      <c r="C73" s="16">
        <f>IFERROR(__xludf.DUMMYFUNCTION("""COMPUTED_VALUE"""),4.0)</f>
        <v>4</v>
      </c>
      <c r="D73" s="17" t="str">
        <f>IFERROR(__xludf.DUMMYFUNCTION("""COMPUTED_VALUE"""),"VIATURA")</f>
        <v>VIATURA</v>
      </c>
      <c r="E73" s="18" t="str">
        <f>IFERROR(__xludf.DUMMYFUNCTION("""COMPUTED_VALUE"""),"1 - ABTS5911")</f>
        <v>1 - ABTS5911</v>
      </c>
      <c r="F73" s="18" t="str">
        <f>IFERROR(__xludf.DUMMYFUNCTION("""COMPUTED_VALUE"""),"BOX 05")</f>
        <v>BOX 05</v>
      </c>
      <c r="G73" s="19">
        <f>IFERROR(__xludf.DUMMYFUNCTION("""COMPUTED_VALUE"""),45525.0)</f>
        <v>45525</v>
      </c>
      <c r="H73" s="18"/>
      <c r="I73" s="21"/>
    </row>
    <row r="74" ht="22.5" customHeight="1">
      <c r="A74" s="20">
        <f>IFERROR(__xludf.DUMMYFUNCTION("""COMPUTED_VALUE"""),110.0)</f>
        <v>110</v>
      </c>
      <c r="B74" s="15" t="str">
        <f>IFERROR(__xludf.DUMMYFUNCTION("""COMPUTED_VALUE"""),"DIVISOR 3 BOCAS")</f>
        <v>DIVISOR 3 BOCAS</v>
      </c>
      <c r="C74" s="16">
        <f>IFERROR(__xludf.DUMMYFUNCTION("""COMPUTED_VALUE"""),1.0)</f>
        <v>1</v>
      </c>
      <c r="D74" s="17" t="str">
        <f>IFERROR(__xludf.DUMMYFUNCTION("""COMPUTED_VALUE"""),"VIATURA")</f>
        <v>VIATURA</v>
      </c>
      <c r="E74" s="18" t="str">
        <f>IFERROR(__xludf.DUMMYFUNCTION("""COMPUTED_VALUE"""),"1 - ABTS5911")</f>
        <v>1 - ABTS5911</v>
      </c>
      <c r="F74" s="18" t="str">
        <f>IFERROR(__xludf.DUMMYFUNCTION("""COMPUTED_VALUE"""),"BOX 05")</f>
        <v>BOX 05</v>
      </c>
      <c r="G74" s="19">
        <f>IFERROR(__xludf.DUMMYFUNCTION("""COMPUTED_VALUE"""),45525.0)</f>
        <v>45525</v>
      </c>
      <c r="H74" s="18"/>
      <c r="I74" s="21"/>
    </row>
    <row r="75" ht="22.5" customHeight="1">
      <c r="A75" s="20">
        <f>IFERROR(__xludf.DUMMYFUNCTION("""COMPUTED_VALUE"""),111.0)</f>
        <v>111</v>
      </c>
      <c r="B75" s="60" t="str">
        <f>IFERROR(__xludf.DUMMYFUNCTION("""COMPUTED_VALUE"""),"REDUÇÃO 2 ¹/² P/ 1¹/² ")</f>
        <v>REDUÇÃO 2 ¹/² P/ 1¹/² </v>
      </c>
      <c r="C75" s="16">
        <f>IFERROR(__xludf.DUMMYFUNCTION("""COMPUTED_VALUE"""),2.0)</f>
        <v>2</v>
      </c>
      <c r="D75" s="17" t="str">
        <f>IFERROR(__xludf.DUMMYFUNCTION("""COMPUTED_VALUE"""),"VIATURA")</f>
        <v>VIATURA</v>
      </c>
      <c r="E75" s="18" t="str">
        <f>IFERROR(__xludf.DUMMYFUNCTION("""COMPUTED_VALUE"""),"1 - ABTS5911")</f>
        <v>1 - ABTS5911</v>
      </c>
      <c r="F75" s="18" t="str">
        <f>IFERROR(__xludf.DUMMYFUNCTION("""COMPUTED_VALUE"""),"BOX 05")</f>
        <v>BOX 05</v>
      </c>
      <c r="G75" s="19">
        <f>IFERROR(__xludf.DUMMYFUNCTION("""COMPUTED_VALUE"""),45525.0)</f>
        <v>45525</v>
      </c>
      <c r="H75" s="18"/>
      <c r="I75" s="21"/>
    </row>
    <row r="76" ht="22.5" customHeight="1">
      <c r="A76" s="20">
        <f>IFERROR(__xludf.DUMMYFUNCTION("""COMPUTED_VALUE"""),113.0)</f>
        <v>113</v>
      </c>
      <c r="B76" s="60" t="str">
        <f>IFERROR(__xludf.DUMMYFUNCTION("""COMPUTED_VALUE"""),"TAMPÃO DE 4'' ROSCA GROSSA")</f>
        <v>TAMPÃO DE 4'' ROSCA GROSSA</v>
      </c>
      <c r="C76" s="16">
        <f>IFERROR(__xludf.DUMMYFUNCTION("""COMPUTED_VALUE"""),1.0)</f>
        <v>1</v>
      </c>
      <c r="D76" s="17" t="str">
        <f>IFERROR(__xludf.DUMMYFUNCTION("""COMPUTED_VALUE"""),"VIATURA")</f>
        <v>VIATURA</v>
      </c>
      <c r="E76" s="18" t="str">
        <f>IFERROR(__xludf.DUMMYFUNCTION("""COMPUTED_VALUE"""),"1 - ABTS5911")</f>
        <v>1 - ABTS5911</v>
      </c>
      <c r="F76" s="18" t="str">
        <f>IFERROR(__xludf.DUMMYFUNCTION("""COMPUTED_VALUE"""),"BOX 05")</f>
        <v>BOX 05</v>
      </c>
      <c r="G76" s="19">
        <f>IFERROR(__xludf.DUMMYFUNCTION("""COMPUTED_VALUE"""),45525.0)</f>
        <v>45525</v>
      </c>
      <c r="H76" s="18"/>
      <c r="I76" s="21"/>
    </row>
    <row r="77" ht="22.5" customHeight="1">
      <c r="A77" s="20">
        <f>IFERROR(__xludf.DUMMYFUNCTION("""COMPUTED_VALUE"""),114.0)</f>
        <v>114</v>
      </c>
      <c r="B77" s="60" t="str">
        <f>IFERROR(__xludf.DUMMYFUNCTION("""COMPUTED_VALUE"""),"RALO DE 8""")</f>
        <v>RALO DE 8"</v>
      </c>
      <c r="C77" s="16">
        <f>IFERROR(__xludf.DUMMYFUNCTION("""COMPUTED_VALUE"""),1.0)</f>
        <v>1</v>
      </c>
      <c r="D77" s="17" t="str">
        <f>IFERROR(__xludf.DUMMYFUNCTION("""COMPUTED_VALUE"""),"VIATURA")</f>
        <v>VIATURA</v>
      </c>
      <c r="E77" s="18" t="str">
        <f>IFERROR(__xludf.DUMMYFUNCTION("""COMPUTED_VALUE"""),"1 - ABTS5911")</f>
        <v>1 - ABTS5911</v>
      </c>
      <c r="F77" s="18" t="str">
        <f>IFERROR(__xludf.DUMMYFUNCTION("""COMPUTED_VALUE"""),"BOX 05")</f>
        <v>BOX 05</v>
      </c>
      <c r="G77" s="19">
        <f>IFERROR(__xludf.DUMMYFUNCTION("""COMPUTED_VALUE"""),45525.0)</f>
        <v>45525</v>
      </c>
      <c r="H77" s="18"/>
      <c r="I77" s="21"/>
    </row>
    <row r="78" ht="22.5" customHeight="1">
      <c r="A78" s="20">
        <f>IFERROR(__xludf.DUMMYFUNCTION("""COMPUTED_VALUE"""),115.0)</f>
        <v>115</v>
      </c>
      <c r="B78" s="60" t="str">
        <f>IFERROR(__xludf.DUMMYFUNCTION("""COMPUTED_VALUE"""),"CALÇO PARA VIATURAS (PLÁSTICO)")</f>
        <v>CALÇO PARA VIATURAS (PLÁSTICO)</v>
      </c>
      <c r="C78" s="16">
        <f>IFERROR(__xludf.DUMMYFUNCTION("""COMPUTED_VALUE"""),2.0)</f>
        <v>2</v>
      </c>
      <c r="D78" s="17" t="str">
        <f>IFERROR(__xludf.DUMMYFUNCTION("""COMPUTED_VALUE"""),"VIATURA")</f>
        <v>VIATURA</v>
      </c>
      <c r="E78" s="18" t="str">
        <f>IFERROR(__xludf.DUMMYFUNCTION("""COMPUTED_VALUE"""),"1 - ABTS5911")</f>
        <v>1 - ABTS5911</v>
      </c>
      <c r="F78" s="18" t="str">
        <f>IFERROR(__xludf.DUMMYFUNCTION("""COMPUTED_VALUE"""),"BOX 05")</f>
        <v>BOX 05</v>
      </c>
      <c r="G78" s="19">
        <f>IFERROR(__xludf.DUMMYFUNCTION("""COMPUTED_VALUE"""),45525.0)</f>
        <v>45525</v>
      </c>
      <c r="H78" s="18"/>
      <c r="I78" s="21"/>
    </row>
    <row r="79" ht="22.5" customHeight="1">
      <c r="A79" s="20">
        <f>IFERROR(__xludf.DUMMYFUNCTION("""COMPUTED_VALUE"""),116.0)</f>
        <v>116</v>
      </c>
      <c r="B79" s="60" t="str">
        <f>IFERROR(__xludf.DUMMYFUNCTION("""COMPUTED_VALUE"""),"CHAVE DE MANGOTE")</f>
        <v>CHAVE DE MANGOTE</v>
      </c>
      <c r="C79" s="16">
        <f>IFERROR(__xludf.DUMMYFUNCTION("""COMPUTED_VALUE"""),1.0)</f>
        <v>1</v>
      </c>
      <c r="D79" s="17" t="str">
        <f>IFERROR(__xludf.DUMMYFUNCTION("""COMPUTED_VALUE"""),"VIATURA")</f>
        <v>VIATURA</v>
      </c>
      <c r="E79" s="18" t="str">
        <f>IFERROR(__xludf.DUMMYFUNCTION("""COMPUTED_VALUE"""),"1 - ABTS5911")</f>
        <v>1 - ABTS5911</v>
      </c>
      <c r="F79" s="18" t="str">
        <f>IFERROR(__xludf.DUMMYFUNCTION("""COMPUTED_VALUE"""),"BOX 05")</f>
        <v>BOX 05</v>
      </c>
      <c r="G79" s="19">
        <f>IFERROR(__xludf.DUMMYFUNCTION("""COMPUTED_VALUE"""),45525.0)</f>
        <v>45525</v>
      </c>
      <c r="H79" s="18"/>
      <c r="I79" s="21"/>
    </row>
    <row r="80" ht="22.5" customHeight="1">
      <c r="A80" s="20">
        <f>IFERROR(__xludf.DUMMYFUNCTION("""COMPUTED_VALUE"""),117.0)</f>
        <v>117</v>
      </c>
      <c r="B80" s="60" t="str">
        <f>IFERROR(__xludf.DUMMYFUNCTION("""COMPUTED_VALUE"""),"BOLSA DE SALVAMENTO EM ALTURA")</f>
        <v>BOLSA DE SALVAMENTO EM ALTURA</v>
      </c>
      <c r="C80" s="16">
        <f>IFERROR(__xludf.DUMMYFUNCTION("""COMPUTED_VALUE"""),1.0)</f>
        <v>1</v>
      </c>
      <c r="D80" s="17" t="str">
        <f>IFERROR(__xludf.DUMMYFUNCTION("""COMPUTED_VALUE"""),"VIATURA")</f>
        <v>VIATURA</v>
      </c>
      <c r="E80" s="18" t="str">
        <f>IFERROR(__xludf.DUMMYFUNCTION("""COMPUTED_VALUE"""),"1 - ABTS5911")</f>
        <v>1 - ABTS5911</v>
      </c>
      <c r="F80" s="18" t="str">
        <f>IFERROR(__xludf.DUMMYFUNCTION("""COMPUTED_VALUE"""),"BOX 05")</f>
        <v>BOX 05</v>
      </c>
      <c r="G80" s="19">
        <f>IFERROR(__xludf.DUMMYFUNCTION("""COMPUTED_VALUE"""),45525.0)</f>
        <v>45525</v>
      </c>
      <c r="H80" s="18"/>
      <c r="I80" s="21"/>
    </row>
    <row r="81" ht="22.5" customHeight="1">
      <c r="A81" s="20">
        <f>IFERROR(__xludf.DUMMYFUNCTION("""COMPUTED_VALUE"""),118.0)</f>
        <v>118</v>
      </c>
      <c r="B81" s="60" t="str">
        <f>IFERROR(__xludf.DUMMYFUNCTION("""COMPUTED_VALUE"""),"CHAVE MAGNÉTICA")</f>
        <v>CHAVE MAGNÉTICA</v>
      </c>
      <c r="C81" s="16">
        <f>IFERROR(__xludf.DUMMYFUNCTION("""COMPUTED_VALUE"""),1.0)</f>
        <v>1</v>
      </c>
      <c r="D81" s="17" t="str">
        <f>IFERROR(__xludf.DUMMYFUNCTION("""COMPUTED_VALUE"""),"VIATURA")</f>
        <v>VIATURA</v>
      </c>
      <c r="E81" s="18" t="str">
        <f>IFERROR(__xludf.DUMMYFUNCTION("""COMPUTED_VALUE"""),"1 - ABTS5911")</f>
        <v>1 - ABTS5911</v>
      </c>
      <c r="F81" s="18" t="str">
        <f>IFERROR(__xludf.DUMMYFUNCTION("""COMPUTED_VALUE"""),"BOX 05")</f>
        <v>BOX 05</v>
      </c>
      <c r="G81" s="19">
        <f>IFERROR(__xludf.DUMMYFUNCTION("""COMPUTED_VALUE"""),45525.0)</f>
        <v>45525</v>
      </c>
      <c r="H81" s="18"/>
      <c r="I81" s="21"/>
    </row>
    <row r="82" ht="22.5" customHeight="1">
      <c r="A82" s="20">
        <f>IFERROR(__xludf.DUMMYFUNCTION("""COMPUTED_VALUE"""),119.0)</f>
        <v>119</v>
      </c>
      <c r="B82" s="60" t="str">
        <f>IFERROR(__xludf.DUMMYFUNCTION("""COMPUTED_VALUE"""),"CINTO SEGURANÇA - TIPO: PARAQUEDISTA C/ MOSQUETÃO")</f>
        <v>CINTO SEGURANÇA - TIPO: PARAQUEDISTA C/ MOSQUETÃO</v>
      </c>
      <c r="C82" s="16">
        <f>IFERROR(__xludf.DUMMYFUNCTION("""COMPUTED_VALUE"""),2.0)</f>
        <v>2</v>
      </c>
      <c r="D82" s="17" t="str">
        <f>IFERROR(__xludf.DUMMYFUNCTION("""COMPUTED_VALUE"""),"VIATURA")</f>
        <v>VIATURA</v>
      </c>
      <c r="E82" s="18" t="str">
        <f>IFERROR(__xludf.DUMMYFUNCTION("""COMPUTED_VALUE"""),"1 - ABTS5911")</f>
        <v>1 - ABTS5911</v>
      </c>
      <c r="F82" s="18" t="str">
        <f>IFERROR(__xludf.DUMMYFUNCTION("""COMPUTED_VALUE"""),"BOX 06")</f>
        <v>BOX 06</v>
      </c>
      <c r="G82" s="19">
        <f>IFERROR(__xludf.DUMMYFUNCTION("""COMPUTED_VALUE"""),45525.0)</f>
        <v>45525</v>
      </c>
      <c r="H82" s="18"/>
      <c r="I82" s="21"/>
    </row>
    <row r="83" ht="22.5" customHeight="1">
      <c r="A83" s="20">
        <f>IFERROR(__xludf.DUMMYFUNCTION("""COMPUTED_VALUE"""),120.0)</f>
        <v>120</v>
      </c>
      <c r="B83" s="60" t="str">
        <f>IFERROR(__xludf.DUMMYFUNCTION("""COMPUTED_VALUE"""),"SACO DE ARREMESSO")</f>
        <v>SACO DE ARREMESSO</v>
      </c>
      <c r="C83" s="16">
        <f>IFERROR(__xludf.DUMMYFUNCTION("""COMPUTED_VALUE"""),2.0)</f>
        <v>2</v>
      </c>
      <c r="D83" s="17" t="str">
        <f>IFERROR(__xludf.DUMMYFUNCTION("""COMPUTED_VALUE"""),"VIATURA")</f>
        <v>VIATURA</v>
      </c>
      <c r="E83" s="18" t="str">
        <f>IFERROR(__xludf.DUMMYFUNCTION("""COMPUTED_VALUE"""),"1 - ABTS5911")</f>
        <v>1 - ABTS5911</v>
      </c>
      <c r="F83" s="18" t="str">
        <f>IFERROR(__xludf.DUMMYFUNCTION("""COMPUTED_VALUE"""),"BOX 06")</f>
        <v>BOX 06</v>
      </c>
      <c r="G83" s="19">
        <f>IFERROR(__xludf.DUMMYFUNCTION("""COMPUTED_VALUE"""),45525.0)</f>
        <v>45525</v>
      </c>
      <c r="H83" s="18"/>
      <c r="I83" s="21"/>
    </row>
    <row r="84" ht="22.5" customHeight="1">
      <c r="A84" s="20">
        <f>IFERROR(__xludf.DUMMYFUNCTION("""COMPUTED_VALUE"""),121.0)</f>
        <v>121</v>
      </c>
      <c r="B84" s="60" t="str">
        <f>IFERROR(__xludf.DUMMYFUNCTION("""COMPUTED_VALUE"""),"COLETE RESGATE AQUÁTICO (LARANJA)")</f>
        <v>COLETE RESGATE AQUÁTICO (LARANJA)</v>
      </c>
      <c r="C84" s="16">
        <f>IFERROR(__xludf.DUMMYFUNCTION("""COMPUTED_VALUE"""),2.0)</f>
        <v>2</v>
      </c>
      <c r="D84" s="17" t="str">
        <f>IFERROR(__xludf.DUMMYFUNCTION("""COMPUTED_VALUE"""),"VIATURA")</f>
        <v>VIATURA</v>
      </c>
      <c r="E84" s="18" t="str">
        <f>IFERROR(__xludf.DUMMYFUNCTION("""COMPUTED_VALUE"""),"1 - ABTS5911")</f>
        <v>1 - ABTS5911</v>
      </c>
      <c r="F84" s="18" t="str">
        <f>IFERROR(__xludf.DUMMYFUNCTION("""COMPUTED_VALUE"""),"BOX 06")</f>
        <v>BOX 06</v>
      </c>
      <c r="G84" s="19">
        <f>IFERROR(__xludf.DUMMYFUNCTION("""COMPUTED_VALUE"""),45525.0)</f>
        <v>45525</v>
      </c>
      <c r="H84" s="18"/>
      <c r="I84" s="21"/>
    </row>
    <row r="85" ht="22.5" customHeight="1">
      <c r="A85" s="20">
        <f>IFERROR(__xludf.DUMMYFUNCTION("""COMPUTED_VALUE"""),122.0)</f>
        <v>122</v>
      </c>
      <c r="B85" s="60" t="str">
        <f>IFERROR(__xludf.DUMMYFUNCTION("""COMPUTED_VALUE"""),"MANGUEIRA DE 1 ¹/²")</f>
        <v>MANGUEIRA DE 1 ¹/²</v>
      </c>
      <c r="C85" s="16">
        <f>IFERROR(__xludf.DUMMYFUNCTION("""COMPUTED_VALUE"""),9.0)</f>
        <v>9</v>
      </c>
      <c r="D85" s="17" t="str">
        <f>IFERROR(__xludf.DUMMYFUNCTION("""COMPUTED_VALUE"""),"VIATURA")</f>
        <v>VIATURA</v>
      </c>
      <c r="E85" s="18" t="str">
        <f>IFERROR(__xludf.DUMMYFUNCTION("""COMPUTED_VALUE"""),"1 - ABTS5911")</f>
        <v>1 - ABTS5911</v>
      </c>
      <c r="F85" s="18" t="str">
        <f>IFERROR(__xludf.DUMMYFUNCTION("""COMPUTED_VALUE"""),"BOX 07")</f>
        <v>BOX 07</v>
      </c>
      <c r="G85" s="19">
        <f>IFERROR(__xludf.DUMMYFUNCTION("""COMPUTED_VALUE"""),45525.0)</f>
        <v>45525</v>
      </c>
      <c r="H85" s="18"/>
      <c r="I85" s="21"/>
    </row>
    <row r="86" ht="22.5" customHeight="1">
      <c r="A86" s="20">
        <f>IFERROR(__xludf.DUMMYFUNCTION("""COMPUTED_VALUE"""),123.0)</f>
        <v>123</v>
      </c>
      <c r="B86" s="60" t="str">
        <f>IFERROR(__xludf.DUMMYFUNCTION("""COMPUTED_VALUE"""),"MANGUEIRA DE 2 ¹/²")</f>
        <v>MANGUEIRA DE 2 ¹/²</v>
      </c>
      <c r="C86" s="16">
        <f>IFERROR(__xludf.DUMMYFUNCTION("""COMPUTED_VALUE"""),2.0)</f>
        <v>2</v>
      </c>
      <c r="D86" s="17" t="str">
        <f>IFERROR(__xludf.DUMMYFUNCTION("""COMPUTED_VALUE"""),"VIATURA")</f>
        <v>VIATURA</v>
      </c>
      <c r="E86" s="18" t="str">
        <f>IFERROR(__xludf.DUMMYFUNCTION("""COMPUTED_VALUE"""),"1 - ABTS5911")</f>
        <v>1 - ABTS5911</v>
      </c>
      <c r="F86" s="18" t="str">
        <f>IFERROR(__xludf.DUMMYFUNCTION("""COMPUTED_VALUE"""),"BOX 07")</f>
        <v>BOX 07</v>
      </c>
      <c r="G86" s="19">
        <f>IFERROR(__xludf.DUMMYFUNCTION("""COMPUTED_VALUE"""),45525.0)</f>
        <v>45525</v>
      </c>
      <c r="H86" s="18"/>
      <c r="I86" s="21"/>
    </row>
    <row r="87" ht="22.5" customHeight="1">
      <c r="A87" s="20">
        <f>IFERROR(__xludf.DUMMYFUNCTION("""COMPUTED_VALUE"""),124.0)</f>
        <v>124</v>
      </c>
      <c r="B87" s="60" t="str">
        <f>IFERROR(__xludf.DUMMYFUNCTION("""COMPUTED_VALUE"""),"CONE SINALEIRO")</f>
        <v>CONE SINALEIRO</v>
      </c>
      <c r="C87" s="16">
        <f>IFERROR(__xludf.DUMMYFUNCTION("""COMPUTED_VALUE"""),5.0)</f>
        <v>5</v>
      </c>
      <c r="D87" s="17" t="str">
        <f>IFERROR(__xludf.DUMMYFUNCTION("""COMPUTED_VALUE"""),"VIATURA")</f>
        <v>VIATURA</v>
      </c>
      <c r="E87" s="18" t="str">
        <f>IFERROR(__xludf.DUMMYFUNCTION("""COMPUTED_VALUE"""),"1 - ABTS5911")</f>
        <v>1 - ABTS5911</v>
      </c>
      <c r="F87" s="18" t="str">
        <f>IFERROR(__xludf.DUMMYFUNCTION("""COMPUTED_VALUE"""),"BOX 07")</f>
        <v>BOX 07</v>
      </c>
      <c r="G87" s="19">
        <f>IFERROR(__xludf.DUMMYFUNCTION("""COMPUTED_VALUE"""),45525.0)</f>
        <v>45525</v>
      </c>
      <c r="H87" s="18"/>
      <c r="I87" s="21"/>
    </row>
    <row r="88" ht="22.5" customHeight="1">
      <c r="A88" s="20">
        <f>IFERROR(__xludf.DUMMYFUNCTION("""COMPUTED_VALUE"""),125.0)</f>
        <v>125</v>
      </c>
      <c r="B88" s="60" t="str">
        <f>IFERROR(__xludf.DUMMYFUNCTION("""COMPUTED_VALUE"""),"ABAFADOR PARA COMBATE A INCENDIO FLORESTAL")</f>
        <v>ABAFADOR PARA COMBATE A INCENDIO FLORESTAL</v>
      </c>
      <c r="C88" s="16">
        <f>IFERROR(__xludf.DUMMYFUNCTION("""COMPUTED_VALUE"""),3.0)</f>
        <v>3</v>
      </c>
      <c r="D88" s="17" t="str">
        <f>IFERROR(__xludf.DUMMYFUNCTION("""COMPUTED_VALUE"""),"VIATURA")</f>
        <v>VIATURA</v>
      </c>
      <c r="E88" s="18" t="str">
        <f>IFERROR(__xludf.DUMMYFUNCTION("""COMPUTED_VALUE"""),"1 - ABTS5911")</f>
        <v>1 - ABTS5911</v>
      </c>
      <c r="F88" s="18" t="str">
        <f>IFERROR(__xludf.DUMMYFUNCTION("""COMPUTED_VALUE"""),"BOX SUPERIOR 01")</f>
        <v>BOX SUPERIOR 01</v>
      </c>
      <c r="G88" s="19">
        <f>IFERROR(__xludf.DUMMYFUNCTION("""COMPUTED_VALUE"""),45525.0)</f>
        <v>45525</v>
      </c>
      <c r="H88" s="18"/>
      <c r="I88" s="21"/>
    </row>
    <row r="89" ht="22.5" customHeight="1">
      <c r="A89" s="20">
        <f>IFERROR(__xludf.DUMMYFUNCTION("""COMPUTED_VALUE"""),126.0)</f>
        <v>126</v>
      </c>
      <c r="B89" s="60" t="str">
        <f>IFERROR(__xludf.DUMMYFUNCTION("""COMPUTED_VALUE"""),"ENXADA COMUM")</f>
        <v>ENXADA COMUM</v>
      </c>
      <c r="C89" s="16">
        <f>IFERROR(__xludf.DUMMYFUNCTION("""COMPUTED_VALUE"""),2.0)</f>
        <v>2</v>
      </c>
      <c r="D89" s="17" t="str">
        <f>IFERROR(__xludf.DUMMYFUNCTION("""COMPUTED_VALUE"""),"VIATURA")</f>
        <v>VIATURA</v>
      </c>
      <c r="E89" s="18" t="str">
        <f>IFERROR(__xludf.DUMMYFUNCTION("""COMPUTED_VALUE"""),"1 - ABTS5911")</f>
        <v>1 - ABTS5911</v>
      </c>
      <c r="F89" s="18" t="str">
        <f>IFERROR(__xludf.DUMMYFUNCTION("""COMPUTED_VALUE"""),"BOX SUPERIOR 01")</f>
        <v>BOX SUPERIOR 01</v>
      </c>
      <c r="G89" s="19">
        <f>IFERROR(__xludf.DUMMYFUNCTION("""COMPUTED_VALUE"""),45525.0)</f>
        <v>45525</v>
      </c>
      <c r="H89" s="18"/>
      <c r="I89" s="21"/>
    </row>
    <row r="90" ht="22.5" customHeight="1">
      <c r="A90" s="20">
        <f>IFERROR(__xludf.DUMMYFUNCTION("""COMPUTED_VALUE"""),127.0)</f>
        <v>127</v>
      </c>
      <c r="B90" s="60" t="str">
        <f>IFERROR(__xludf.DUMMYFUNCTION("""COMPUTED_VALUE"""),"ALAVANCA CORTE E PONTEIRA")</f>
        <v>ALAVANCA CORTE E PONTEIRA</v>
      </c>
      <c r="C90" s="16">
        <f>IFERROR(__xludf.DUMMYFUNCTION("""COMPUTED_VALUE"""),1.0)</f>
        <v>1</v>
      </c>
      <c r="D90" s="17" t="str">
        <f>IFERROR(__xludf.DUMMYFUNCTION("""COMPUTED_VALUE"""),"VIATURA")</f>
        <v>VIATURA</v>
      </c>
      <c r="E90" s="18" t="str">
        <f>IFERROR(__xludf.DUMMYFUNCTION("""COMPUTED_VALUE"""),"1 - ABTS5911")</f>
        <v>1 - ABTS5911</v>
      </c>
      <c r="F90" s="18" t="str">
        <f>IFERROR(__xludf.DUMMYFUNCTION("""COMPUTED_VALUE"""),"BOX SUPERIOR 01")</f>
        <v>BOX SUPERIOR 01</v>
      </c>
      <c r="G90" s="19">
        <f>IFERROR(__xludf.DUMMYFUNCTION("""COMPUTED_VALUE"""),45525.0)</f>
        <v>45525</v>
      </c>
      <c r="H90" s="18"/>
      <c r="I90" s="21"/>
    </row>
    <row r="91" ht="22.5" customHeight="1">
      <c r="A91" s="20">
        <f>IFERROR(__xludf.DUMMYFUNCTION("""COMPUTED_VALUE"""),128.0)</f>
        <v>128</v>
      </c>
      <c r="B91" s="60" t="str">
        <f>IFERROR(__xludf.DUMMYFUNCTION("""COMPUTED_VALUE"""),"FACÕES")</f>
        <v>FACÕES</v>
      </c>
      <c r="C91" s="16">
        <f>IFERROR(__xludf.DUMMYFUNCTION("""COMPUTED_VALUE"""),4.0)</f>
        <v>4</v>
      </c>
      <c r="D91" s="17" t="str">
        <f>IFERROR(__xludf.DUMMYFUNCTION("""COMPUTED_VALUE"""),"VIATURA")</f>
        <v>VIATURA</v>
      </c>
      <c r="E91" s="18" t="str">
        <f>IFERROR(__xludf.DUMMYFUNCTION("""COMPUTED_VALUE"""),"1 - ABTS5911")</f>
        <v>1 - ABTS5911</v>
      </c>
      <c r="F91" s="18" t="str">
        <f>IFERROR(__xludf.DUMMYFUNCTION("""COMPUTED_VALUE"""),"BOX SUPERIOR 01")</f>
        <v>BOX SUPERIOR 01</v>
      </c>
      <c r="G91" s="19">
        <f>IFERROR(__xludf.DUMMYFUNCTION("""COMPUTED_VALUE"""),45525.0)</f>
        <v>45525</v>
      </c>
      <c r="H91" s="18"/>
      <c r="I91" s="21"/>
    </row>
    <row r="92" ht="22.5" customHeight="1">
      <c r="A92" s="20">
        <f>IFERROR(__xludf.DUMMYFUNCTION("""COMPUTED_VALUE"""),129.0)</f>
        <v>129</v>
      </c>
      <c r="B92" s="60" t="str">
        <f>IFERROR(__xludf.DUMMYFUNCTION("""COMPUTED_VALUE"""),"PÁ DE BICO")</f>
        <v>PÁ DE BICO</v>
      </c>
      <c r="C92" s="16">
        <f>IFERROR(__xludf.DUMMYFUNCTION("""COMPUTED_VALUE"""),1.0)</f>
        <v>1</v>
      </c>
      <c r="D92" s="17" t="str">
        <f>IFERROR(__xludf.DUMMYFUNCTION("""COMPUTED_VALUE"""),"VIATURA")</f>
        <v>VIATURA</v>
      </c>
      <c r="E92" s="18" t="str">
        <f>IFERROR(__xludf.DUMMYFUNCTION("""COMPUTED_VALUE"""),"1 - ABTS5911")</f>
        <v>1 - ABTS5911</v>
      </c>
      <c r="F92" s="18" t="str">
        <f>IFERROR(__xludf.DUMMYFUNCTION("""COMPUTED_VALUE"""),"BOX SUPERIOR 01")</f>
        <v>BOX SUPERIOR 01</v>
      </c>
      <c r="G92" s="19">
        <f>IFERROR(__xludf.DUMMYFUNCTION("""COMPUTED_VALUE"""),45525.0)</f>
        <v>45525</v>
      </c>
      <c r="H92" s="18"/>
      <c r="I92" s="21"/>
    </row>
    <row r="93" ht="22.5" customHeight="1">
      <c r="A93" s="20">
        <f>IFERROR(__xludf.DUMMYFUNCTION("""COMPUTED_VALUE"""),130.0)</f>
        <v>130</v>
      </c>
      <c r="B93" s="60" t="str">
        <f>IFERROR(__xludf.DUMMYFUNCTION("""COMPUTED_VALUE"""),"PÁ QUADRADA")</f>
        <v>PÁ QUADRADA</v>
      </c>
      <c r="C93" s="16">
        <f>IFERROR(__xludf.DUMMYFUNCTION("""COMPUTED_VALUE"""),1.0)</f>
        <v>1</v>
      </c>
      <c r="D93" s="17" t="str">
        <f>IFERROR(__xludf.DUMMYFUNCTION("""COMPUTED_VALUE"""),"VIATURA")</f>
        <v>VIATURA</v>
      </c>
      <c r="E93" s="18" t="str">
        <f>IFERROR(__xludf.DUMMYFUNCTION("""COMPUTED_VALUE"""),"1 - ABTS5911")</f>
        <v>1 - ABTS5911</v>
      </c>
      <c r="F93" s="18" t="str">
        <f>IFERROR(__xludf.DUMMYFUNCTION("""COMPUTED_VALUE"""),"BOX SUPERIOR 01")</f>
        <v>BOX SUPERIOR 01</v>
      </c>
      <c r="G93" s="19">
        <f>IFERROR(__xludf.DUMMYFUNCTION("""COMPUTED_VALUE"""),45525.0)</f>
        <v>45525</v>
      </c>
      <c r="H93" s="18"/>
      <c r="I93" s="21"/>
    </row>
    <row r="94" ht="22.5" customHeight="1">
      <c r="A94" s="20">
        <f>IFERROR(__xludf.DUMMYFUNCTION("""COMPUTED_VALUE"""),131.0)</f>
        <v>131</v>
      </c>
      <c r="B94" s="60" t="str">
        <f>IFERROR(__xludf.DUMMYFUNCTION("""COMPUTED_VALUE"""),"GARFO COM 10 DENTES")</f>
        <v>GARFO COM 10 DENTES</v>
      </c>
      <c r="C94" s="16">
        <f>IFERROR(__xludf.DUMMYFUNCTION("""COMPUTED_VALUE"""),1.0)</f>
        <v>1</v>
      </c>
      <c r="D94" s="17" t="str">
        <f>IFERROR(__xludf.DUMMYFUNCTION("""COMPUTED_VALUE"""),"VIATURA")</f>
        <v>VIATURA</v>
      </c>
      <c r="E94" s="18" t="str">
        <f>IFERROR(__xludf.DUMMYFUNCTION("""COMPUTED_VALUE"""),"1 - ABTS5911")</f>
        <v>1 - ABTS5911</v>
      </c>
      <c r="F94" s="18" t="str">
        <f>IFERROR(__xludf.DUMMYFUNCTION("""COMPUTED_VALUE"""),"BOX SUPERIOR 01")</f>
        <v>BOX SUPERIOR 01</v>
      </c>
      <c r="G94" s="19">
        <f>IFERROR(__xludf.DUMMYFUNCTION("""COMPUTED_VALUE"""),45525.0)</f>
        <v>45525</v>
      </c>
      <c r="H94" s="18"/>
      <c r="I94" s="21"/>
    </row>
    <row r="95" ht="22.5" customHeight="1">
      <c r="A95" s="20">
        <f>IFERROR(__xludf.DUMMYFUNCTION("""COMPUTED_VALUE"""),132.0)</f>
        <v>132</v>
      </c>
      <c r="B95" s="60" t="str">
        <f>IFERROR(__xludf.DUMMYFUNCTION("""COMPUTED_VALUE"""),"GORGUI")</f>
        <v>GORGUI</v>
      </c>
      <c r="C95" s="16">
        <f>IFERROR(__xludf.DUMMYFUNCTION("""COMPUTED_VALUE"""),1.0)</f>
        <v>1</v>
      </c>
      <c r="D95" s="17" t="str">
        <f>IFERROR(__xludf.DUMMYFUNCTION("""COMPUTED_VALUE"""),"VIATURA")</f>
        <v>VIATURA</v>
      </c>
      <c r="E95" s="18" t="str">
        <f>IFERROR(__xludf.DUMMYFUNCTION("""COMPUTED_VALUE"""),"1 - ABTS5911")</f>
        <v>1 - ABTS5911</v>
      </c>
      <c r="F95" s="18" t="str">
        <f>IFERROR(__xludf.DUMMYFUNCTION("""COMPUTED_VALUE"""),"BOX SUPERIOR 01")</f>
        <v>BOX SUPERIOR 01</v>
      </c>
      <c r="G95" s="19">
        <f>IFERROR(__xludf.DUMMYFUNCTION("""COMPUTED_VALUE"""),45525.0)</f>
        <v>45525</v>
      </c>
      <c r="H95" s="18"/>
      <c r="I95" s="21"/>
    </row>
    <row r="96" ht="22.5" customHeight="1">
      <c r="A96" s="20">
        <f>IFERROR(__xludf.DUMMYFUNCTION("""COMPUTED_VALUE"""),133.0)</f>
        <v>133</v>
      </c>
      <c r="B96" s="60" t="str">
        <f>IFERROR(__xludf.DUMMYFUNCTION("""COMPUTED_VALUE"""),"ANEL DE FITA 120 CM")</f>
        <v>ANEL DE FITA 120 CM</v>
      </c>
      <c r="C96" s="16">
        <f>IFERROR(__xludf.DUMMYFUNCTION("""COMPUTED_VALUE"""),6.0)</f>
        <v>6</v>
      </c>
      <c r="D96" s="17" t="str">
        <f>IFERROR(__xludf.DUMMYFUNCTION("""COMPUTED_VALUE"""),"VIATURA")</f>
        <v>VIATURA</v>
      </c>
      <c r="E96" s="18" t="str">
        <f>IFERROR(__xludf.DUMMYFUNCTION("""COMPUTED_VALUE"""),"1 - ABTS5911")</f>
        <v>1 - ABTS5911</v>
      </c>
      <c r="F96" s="18" t="str">
        <f>IFERROR(__xludf.DUMMYFUNCTION("""COMPUTED_VALUE"""),"BOLSA DE SALV. ALTURA")</f>
        <v>BOLSA DE SALV. ALTURA</v>
      </c>
      <c r="G96" s="19">
        <f>IFERROR(__xludf.DUMMYFUNCTION("""COMPUTED_VALUE"""),45525.0)</f>
        <v>45525</v>
      </c>
      <c r="H96" s="18"/>
      <c r="I96" s="21"/>
    </row>
    <row r="97" ht="22.5" customHeight="1">
      <c r="A97" s="20">
        <f>IFERROR(__xludf.DUMMYFUNCTION("""COMPUTED_VALUE"""),134.0)</f>
        <v>134</v>
      </c>
      <c r="B97" s="60" t="str">
        <f>IFERROR(__xludf.DUMMYFUNCTION("""COMPUTED_VALUE"""),"ANEL DE FITA 80CM")</f>
        <v>ANEL DE FITA 80CM</v>
      </c>
      <c r="C97" s="16">
        <f>IFERROR(__xludf.DUMMYFUNCTION("""COMPUTED_VALUE"""),3.0)</f>
        <v>3</v>
      </c>
      <c r="D97" s="17" t="str">
        <f>IFERROR(__xludf.DUMMYFUNCTION("""COMPUTED_VALUE"""),"VIATURA")</f>
        <v>VIATURA</v>
      </c>
      <c r="E97" s="18" t="str">
        <f>IFERROR(__xludf.DUMMYFUNCTION("""COMPUTED_VALUE"""),"1 - ABTS5911")</f>
        <v>1 - ABTS5911</v>
      </c>
      <c r="F97" s="18" t="str">
        <f>IFERROR(__xludf.DUMMYFUNCTION("""COMPUTED_VALUE"""),"BOLSA DE SALV. ALTURA")</f>
        <v>BOLSA DE SALV. ALTURA</v>
      </c>
      <c r="G97" s="19">
        <f>IFERROR(__xludf.DUMMYFUNCTION("""COMPUTED_VALUE"""),45525.0)</f>
        <v>45525</v>
      </c>
      <c r="H97" s="18"/>
      <c r="I97" s="21"/>
    </row>
    <row r="98" ht="22.5" customHeight="1">
      <c r="A98" s="20">
        <f>IFERROR(__xludf.DUMMYFUNCTION("""COMPUTED_VALUE"""),135.0)</f>
        <v>135</v>
      </c>
      <c r="B98" s="60" t="str">
        <f>IFERROR(__xludf.DUMMYFUNCTION("""COMPUTED_VALUE"""),"ANEL DE FITA 60CM")</f>
        <v>ANEL DE FITA 60CM</v>
      </c>
      <c r="C98" s="16">
        <f>IFERROR(__xludf.DUMMYFUNCTION("""COMPUTED_VALUE"""),3.0)</f>
        <v>3</v>
      </c>
      <c r="D98" s="17" t="str">
        <f>IFERROR(__xludf.DUMMYFUNCTION("""COMPUTED_VALUE"""),"VIATURA")</f>
        <v>VIATURA</v>
      </c>
      <c r="E98" s="18" t="str">
        <f>IFERROR(__xludf.DUMMYFUNCTION("""COMPUTED_VALUE"""),"1 - ABTS5911")</f>
        <v>1 - ABTS5911</v>
      </c>
      <c r="F98" s="18" t="str">
        <f>IFERROR(__xludf.DUMMYFUNCTION("""COMPUTED_VALUE"""),"BOLSA DE SALV. ALTURA")</f>
        <v>BOLSA DE SALV. ALTURA</v>
      </c>
      <c r="G98" s="19">
        <f>IFERROR(__xludf.DUMMYFUNCTION("""COMPUTED_VALUE"""),45525.0)</f>
        <v>45525</v>
      </c>
      <c r="H98" s="18"/>
      <c r="I98" s="21"/>
    </row>
    <row r="99" ht="22.5" customHeight="1">
      <c r="A99" s="20">
        <f>IFERROR(__xludf.DUMMYFUNCTION("""COMPUTED_VALUE"""),136.0)</f>
        <v>136</v>
      </c>
      <c r="B99" s="60" t="str">
        <f>IFERROR(__xludf.DUMMYFUNCTION("""COMPUTED_VALUE"""),"POLIA DUPLA 40 KN (AZUL)")</f>
        <v>POLIA DUPLA 40 KN (AZUL)</v>
      </c>
      <c r="C99" s="16">
        <f>IFERROR(__xludf.DUMMYFUNCTION("""COMPUTED_VALUE"""),2.0)</f>
        <v>2</v>
      </c>
      <c r="D99" s="17" t="str">
        <f>IFERROR(__xludf.DUMMYFUNCTION("""COMPUTED_VALUE"""),"VIATURA")</f>
        <v>VIATURA</v>
      </c>
      <c r="E99" s="18" t="str">
        <f>IFERROR(__xludf.DUMMYFUNCTION("""COMPUTED_VALUE"""),"1 - ABTS5911")</f>
        <v>1 - ABTS5911</v>
      </c>
      <c r="F99" s="18" t="str">
        <f>IFERROR(__xludf.DUMMYFUNCTION("""COMPUTED_VALUE"""),"BOLSA DE SALV. ALTURA")</f>
        <v>BOLSA DE SALV. ALTURA</v>
      </c>
      <c r="G99" s="19">
        <f>IFERROR(__xludf.DUMMYFUNCTION("""COMPUTED_VALUE"""),45525.0)</f>
        <v>45525</v>
      </c>
      <c r="H99" s="18"/>
      <c r="I99" s="21"/>
    </row>
    <row r="100" ht="22.5" customHeight="1">
      <c r="A100" s="20">
        <f>IFERROR(__xludf.DUMMYFUNCTION("""COMPUTED_VALUE"""),137.0)</f>
        <v>137</v>
      </c>
      <c r="B100" s="60" t="str">
        <f>IFERROR(__xludf.DUMMYFUNCTION("""COMPUTED_VALUE"""),"POLIA SIMPLES 30 KN (VERMELHA/PRETA)")</f>
        <v>POLIA SIMPLES 30 KN (VERMELHA/PRETA)</v>
      </c>
      <c r="C100" s="16">
        <f>IFERROR(__xludf.DUMMYFUNCTION("""COMPUTED_VALUE"""),3.0)</f>
        <v>3</v>
      </c>
      <c r="D100" s="17" t="str">
        <f>IFERROR(__xludf.DUMMYFUNCTION("""COMPUTED_VALUE"""),"VIATURA")</f>
        <v>VIATURA</v>
      </c>
      <c r="E100" s="18" t="str">
        <f>IFERROR(__xludf.DUMMYFUNCTION("""COMPUTED_VALUE"""),"1 - ABTS5911")</f>
        <v>1 - ABTS5911</v>
      </c>
      <c r="F100" s="18" t="str">
        <f>IFERROR(__xludf.DUMMYFUNCTION("""COMPUTED_VALUE"""),"BOLSA DE SALV. ALTURA")</f>
        <v>BOLSA DE SALV. ALTURA</v>
      </c>
      <c r="G100" s="19">
        <f>IFERROR(__xludf.DUMMYFUNCTION("""COMPUTED_VALUE"""),45525.0)</f>
        <v>45525</v>
      </c>
      <c r="H100" s="18"/>
      <c r="I100" s="21"/>
    </row>
    <row r="101" ht="22.5" customHeight="1">
      <c r="A101" s="20">
        <f>IFERROR(__xludf.DUMMYFUNCTION("""COMPUTED_VALUE"""),138.0)</f>
        <v>138</v>
      </c>
      <c r="B101" s="60" t="str">
        <f>IFERROR(__xludf.DUMMYFUNCTION("""COMPUTED_VALUE"""),"POLIA TANDEM 24 KN (VERMELHA)")</f>
        <v>POLIA TANDEM 24 KN (VERMELHA)</v>
      </c>
      <c r="C101" s="16">
        <f>IFERROR(__xludf.DUMMYFUNCTION("""COMPUTED_VALUE"""),1.0)</f>
        <v>1</v>
      </c>
      <c r="D101" s="17" t="str">
        <f>IFERROR(__xludf.DUMMYFUNCTION("""COMPUTED_VALUE"""),"VIATURA")</f>
        <v>VIATURA</v>
      </c>
      <c r="E101" s="18" t="str">
        <f>IFERROR(__xludf.DUMMYFUNCTION("""COMPUTED_VALUE"""),"1 - ABTS5911")</f>
        <v>1 - ABTS5911</v>
      </c>
      <c r="F101" s="18" t="str">
        <f>IFERROR(__xludf.DUMMYFUNCTION("""COMPUTED_VALUE"""),"BOLSA DE SALV. ALTURA")</f>
        <v>BOLSA DE SALV. ALTURA</v>
      </c>
      <c r="G101" s="19">
        <f>IFERROR(__xludf.DUMMYFUNCTION("""COMPUTED_VALUE"""),45525.0)</f>
        <v>45525</v>
      </c>
      <c r="H101" s="18"/>
      <c r="I101" s="21"/>
    </row>
    <row r="102" ht="22.5" customHeight="1">
      <c r="A102" s="20">
        <f>IFERROR(__xludf.DUMMYFUNCTION("""COMPUTED_VALUE"""),139.0)</f>
        <v>139</v>
      </c>
      <c r="B102" s="60" t="str">
        <f>IFERROR(__xludf.DUMMYFUNCTION("""COMPUTED_VALUE"""),"MOSQUETÃO DE AÇO")</f>
        <v>MOSQUETÃO DE AÇO</v>
      </c>
      <c r="C102" s="16">
        <f>IFERROR(__xludf.DUMMYFUNCTION("""COMPUTED_VALUE"""),4.0)</f>
        <v>4</v>
      </c>
      <c r="D102" s="17" t="str">
        <f>IFERROR(__xludf.DUMMYFUNCTION("""COMPUTED_VALUE"""),"VIATURA")</f>
        <v>VIATURA</v>
      </c>
      <c r="E102" s="18" t="str">
        <f>IFERROR(__xludf.DUMMYFUNCTION("""COMPUTED_VALUE"""),"1 - ABTS5911")</f>
        <v>1 - ABTS5911</v>
      </c>
      <c r="F102" s="18" t="str">
        <f>IFERROR(__xludf.DUMMYFUNCTION("""COMPUTED_VALUE"""),"BOLSA DE SALV. ALTURA")</f>
        <v>BOLSA DE SALV. ALTURA</v>
      </c>
      <c r="G102" s="19">
        <f>IFERROR(__xludf.DUMMYFUNCTION("""COMPUTED_VALUE"""),45525.0)</f>
        <v>45525</v>
      </c>
      <c r="H102" s="18"/>
      <c r="I102" s="21"/>
    </row>
    <row r="103" ht="22.5" customHeight="1">
      <c r="A103" s="20">
        <f>IFERROR(__xludf.DUMMYFUNCTION("""COMPUTED_VALUE"""),140.0)</f>
        <v>140</v>
      </c>
      <c r="B103" s="60" t="str">
        <f>IFERROR(__xludf.DUMMYFUNCTION("""COMPUTED_VALUE"""),"MOSQUETÃO DE ALUMÍNIO")</f>
        <v>MOSQUETÃO DE ALUMÍNIO</v>
      </c>
      <c r="C103" s="16">
        <f>IFERROR(__xludf.DUMMYFUNCTION("""COMPUTED_VALUE"""),2.0)</f>
        <v>2</v>
      </c>
      <c r="D103" s="17" t="str">
        <f>IFERROR(__xludf.DUMMYFUNCTION("""COMPUTED_VALUE"""),"VIATURA")</f>
        <v>VIATURA</v>
      </c>
      <c r="E103" s="18" t="str">
        <f>IFERROR(__xludf.DUMMYFUNCTION("""COMPUTED_VALUE"""),"1 - ABTS5911")</f>
        <v>1 - ABTS5911</v>
      </c>
      <c r="F103" s="18" t="str">
        <f>IFERROR(__xludf.DUMMYFUNCTION("""COMPUTED_VALUE"""),"BOLSA DE SALV. ALTURA")</f>
        <v>BOLSA DE SALV. ALTURA</v>
      </c>
      <c r="G103" s="19">
        <f>IFERROR(__xludf.DUMMYFUNCTION("""COMPUTED_VALUE"""),45525.0)</f>
        <v>45525</v>
      </c>
      <c r="H103" s="18"/>
      <c r="I103" s="21"/>
    </row>
    <row r="104" ht="22.5" customHeight="1">
      <c r="A104" s="20">
        <f>IFERROR(__xludf.DUMMYFUNCTION("""COMPUTED_VALUE"""),151.0)</f>
        <v>151</v>
      </c>
      <c r="B104" s="60" t="str">
        <f>IFERROR(__xludf.DUMMYFUNCTION("""COMPUTED_VALUE"""),"AMBÚ  ADULTO")</f>
        <v>AMBÚ  ADULTO</v>
      </c>
      <c r="C104" s="16">
        <f>IFERROR(__xludf.DUMMYFUNCTION("""COMPUTED_VALUE"""),1.0)</f>
        <v>1</v>
      </c>
      <c r="D104" s="17" t="str">
        <f>IFERROR(__xludf.DUMMYFUNCTION("""COMPUTED_VALUE"""),"VIATURA")</f>
        <v>VIATURA</v>
      </c>
      <c r="E104" s="18" t="str">
        <f>IFERROR(__xludf.DUMMYFUNCTION("""COMPUTED_VALUE"""),"1 - ABTS5911")</f>
        <v>1 - ABTS5911</v>
      </c>
      <c r="F104" s="18" t="str">
        <f>IFERROR(__xludf.DUMMYFUNCTION("""COMPUTED_VALUE"""),"BOLSA DE RESGATE")</f>
        <v>BOLSA DE RESGATE</v>
      </c>
      <c r="G104" s="19">
        <f>IFERROR(__xludf.DUMMYFUNCTION("""COMPUTED_VALUE"""),45525.0)</f>
        <v>45525</v>
      </c>
      <c r="H104" s="18"/>
      <c r="I104" s="21"/>
    </row>
    <row r="105" ht="22.5" customHeight="1">
      <c r="A105" s="20">
        <f>IFERROR(__xludf.DUMMYFUNCTION("""COMPUTED_VALUE"""),152.0)</f>
        <v>152</v>
      </c>
      <c r="B105" s="60" t="str">
        <f>IFERROR(__xludf.DUMMYFUNCTION("""COMPUTED_VALUE"""),"ASPIRADOR DE SECREÇÃO MANUAL TIPO PERA")</f>
        <v>ASPIRADOR DE SECREÇÃO MANUAL TIPO PERA</v>
      </c>
      <c r="C105" s="16">
        <f>IFERROR(__xludf.DUMMYFUNCTION("""COMPUTED_VALUE"""),1.0)</f>
        <v>1</v>
      </c>
      <c r="D105" s="17" t="str">
        <f>IFERROR(__xludf.DUMMYFUNCTION("""COMPUTED_VALUE"""),"VIATURA")</f>
        <v>VIATURA</v>
      </c>
      <c r="E105" s="18" t="str">
        <f>IFERROR(__xludf.DUMMYFUNCTION("""COMPUTED_VALUE"""),"1 - ABTS5911")</f>
        <v>1 - ABTS5911</v>
      </c>
      <c r="F105" s="18" t="str">
        <f>IFERROR(__xludf.DUMMYFUNCTION("""COMPUTED_VALUE"""),"BOLSA DE RESGATE")</f>
        <v>BOLSA DE RESGATE</v>
      </c>
      <c r="G105" s="19">
        <f>IFERROR(__xludf.DUMMYFUNCTION("""COMPUTED_VALUE"""),45525.0)</f>
        <v>45525</v>
      </c>
      <c r="H105" s="18"/>
      <c r="I105" s="21"/>
    </row>
    <row r="106" ht="22.5" customHeight="1">
      <c r="A106" s="20">
        <f>IFERROR(__xludf.DUMMYFUNCTION("""COMPUTED_VALUE"""),153.0)</f>
        <v>153</v>
      </c>
      <c r="B106" s="60" t="str">
        <f>IFERROR(__xludf.DUMMYFUNCTION("""COMPUTED_VALUE"""),"TORNIQUETE")</f>
        <v>TORNIQUETE</v>
      </c>
      <c r="C106" s="16">
        <f>IFERROR(__xludf.DUMMYFUNCTION("""COMPUTED_VALUE"""),1.0)</f>
        <v>1</v>
      </c>
      <c r="D106" s="17" t="str">
        <f>IFERROR(__xludf.DUMMYFUNCTION("""COMPUTED_VALUE"""),"VIATURA")</f>
        <v>VIATURA</v>
      </c>
      <c r="E106" s="18" t="str">
        <f>IFERROR(__xludf.DUMMYFUNCTION("""COMPUTED_VALUE"""),"1 - ABTS5911")</f>
        <v>1 - ABTS5911</v>
      </c>
      <c r="F106" s="18" t="str">
        <f>IFERROR(__xludf.DUMMYFUNCTION("""COMPUTED_VALUE"""),"BOLSA DE RESGATE")</f>
        <v>BOLSA DE RESGATE</v>
      </c>
      <c r="G106" s="19">
        <f>IFERROR(__xludf.DUMMYFUNCTION("""COMPUTED_VALUE"""),45525.0)</f>
        <v>45525</v>
      </c>
      <c r="H106" s="18"/>
      <c r="I106" s="21"/>
    </row>
    <row r="107" ht="22.5" customHeight="1">
      <c r="A107" s="20">
        <f>IFERROR(__xludf.DUMMYFUNCTION("""COMPUTED_VALUE"""),154.0)</f>
        <v>154</v>
      </c>
      <c r="B107" s="60" t="str">
        <f>IFERROR(__xludf.DUMMYFUNCTION("""COMPUTED_VALUE"""),"ÓCULOS DE PROTEÇÃO")</f>
        <v>ÓCULOS DE PROTEÇÃO</v>
      </c>
      <c r="C107" s="16">
        <f>IFERROR(__xludf.DUMMYFUNCTION("""COMPUTED_VALUE"""),3.0)</f>
        <v>3</v>
      </c>
      <c r="D107" s="17" t="str">
        <f>IFERROR(__xludf.DUMMYFUNCTION("""COMPUTED_VALUE"""),"VIATURA")</f>
        <v>VIATURA</v>
      </c>
      <c r="E107" s="18" t="str">
        <f>IFERROR(__xludf.DUMMYFUNCTION("""COMPUTED_VALUE"""),"1 - ABTS5911")</f>
        <v>1 - ABTS5911</v>
      </c>
      <c r="F107" s="18" t="str">
        <f>IFERROR(__xludf.DUMMYFUNCTION("""COMPUTED_VALUE"""),"BOLSA DE RESGATE")</f>
        <v>BOLSA DE RESGATE</v>
      </c>
      <c r="G107" s="19">
        <f>IFERROR(__xludf.DUMMYFUNCTION("""COMPUTED_VALUE"""),45525.0)</f>
        <v>45525</v>
      </c>
      <c r="H107" s="18"/>
      <c r="I107" s="21"/>
    </row>
    <row r="108" ht="22.5" customHeight="1">
      <c r="A108" s="20">
        <f>IFERROR(__xludf.DUMMYFUNCTION("""COMPUTED_VALUE"""),155.0)</f>
        <v>155</v>
      </c>
      <c r="B108" s="60" t="str">
        <f>IFERROR(__xludf.DUMMYFUNCTION("""COMPUTED_VALUE"""),"CÂNULAS DE GUEDEL  Nº 0, 2, 3, 4, 5")</f>
        <v>CÂNULAS DE GUEDEL  Nº 0, 2, 3, 4, 5</v>
      </c>
      <c r="C108" s="16">
        <f>IFERROR(__xludf.DUMMYFUNCTION("""COMPUTED_VALUE"""),5.0)</f>
        <v>5</v>
      </c>
      <c r="D108" s="17" t="str">
        <f>IFERROR(__xludf.DUMMYFUNCTION("""COMPUTED_VALUE"""),"VIATURA")</f>
        <v>VIATURA</v>
      </c>
      <c r="E108" s="18" t="str">
        <f>IFERROR(__xludf.DUMMYFUNCTION("""COMPUTED_VALUE"""),"1 - ABTS5911")</f>
        <v>1 - ABTS5911</v>
      </c>
      <c r="F108" s="18" t="str">
        <f>IFERROR(__xludf.DUMMYFUNCTION("""COMPUTED_VALUE"""),"BOLSA DE RESGATE")</f>
        <v>BOLSA DE RESGATE</v>
      </c>
      <c r="G108" s="19">
        <f>IFERROR(__xludf.DUMMYFUNCTION("""COMPUTED_VALUE"""),45525.0)</f>
        <v>45525</v>
      </c>
      <c r="H108" s="18"/>
      <c r="I108" s="21"/>
    </row>
    <row r="109" ht="22.5" customHeight="1">
      <c r="A109" s="20">
        <f>IFERROR(__xludf.DUMMYFUNCTION("""COMPUTED_VALUE"""),156.0)</f>
        <v>156</v>
      </c>
      <c r="B109" s="60" t="str">
        <f>IFERROR(__xludf.DUMMYFUNCTION("""COMPUTED_VALUE"""),"KIT QUEIMADURA")</f>
        <v>KIT QUEIMADURA</v>
      </c>
      <c r="C109" s="16">
        <f>IFERROR(__xludf.DUMMYFUNCTION("""COMPUTED_VALUE"""),1.0)</f>
        <v>1</v>
      </c>
      <c r="D109" s="17" t="str">
        <f>IFERROR(__xludf.DUMMYFUNCTION("""COMPUTED_VALUE"""),"VIATURA")</f>
        <v>VIATURA</v>
      </c>
      <c r="E109" s="18" t="str">
        <f>IFERROR(__xludf.DUMMYFUNCTION("""COMPUTED_VALUE"""),"1 - ABTS5911")</f>
        <v>1 - ABTS5911</v>
      </c>
      <c r="F109" s="18" t="str">
        <f>IFERROR(__xludf.DUMMYFUNCTION("""COMPUTED_VALUE"""),"BOLSA DE RESGATE")</f>
        <v>BOLSA DE RESGATE</v>
      </c>
      <c r="G109" s="19">
        <f>IFERROR(__xludf.DUMMYFUNCTION("""COMPUTED_VALUE"""),45525.0)</f>
        <v>45525</v>
      </c>
      <c r="H109" s="18"/>
      <c r="I109" s="21"/>
    </row>
    <row r="110" ht="22.5" customHeight="1">
      <c r="A110" s="20">
        <f>IFERROR(__xludf.DUMMYFUNCTION("""COMPUTED_VALUE"""),157.0)</f>
        <v>157</v>
      </c>
      <c r="B110" s="60" t="str">
        <f>IFERROR(__xludf.DUMMYFUNCTION("""COMPUTED_VALUE"""),"KIT PARA PARTO -")</f>
        <v>KIT PARA PARTO -</v>
      </c>
      <c r="C110" s="16">
        <f>IFERROR(__xludf.DUMMYFUNCTION("""COMPUTED_VALUE"""),1.0)</f>
        <v>1</v>
      </c>
      <c r="D110" s="17" t="str">
        <f>IFERROR(__xludf.DUMMYFUNCTION("""COMPUTED_VALUE"""),"VIATURA")</f>
        <v>VIATURA</v>
      </c>
      <c r="E110" s="18" t="str">
        <f>IFERROR(__xludf.DUMMYFUNCTION("""COMPUTED_VALUE"""),"1 - ABTS5911")</f>
        <v>1 - ABTS5911</v>
      </c>
      <c r="F110" s="18" t="str">
        <f>IFERROR(__xludf.DUMMYFUNCTION("""COMPUTED_VALUE"""),"BOLSA DE RESGATE")</f>
        <v>BOLSA DE RESGATE</v>
      </c>
      <c r="G110" s="19">
        <f>IFERROR(__xludf.DUMMYFUNCTION("""COMPUTED_VALUE"""),45525.0)</f>
        <v>45525</v>
      </c>
      <c r="H110" s="18"/>
      <c r="I110" s="21"/>
    </row>
    <row r="111" ht="22.5" customHeight="1">
      <c r="A111" s="20">
        <f>IFERROR(__xludf.DUMMYFUNCTION("""COMPUTED_VALUE"""),158.0)</f>
        <v>158</v>
      </c>
      <c r="B111" s="60" t="str">
        <f>IFERROR(__xludf.DUMMYFUNCTION("""COMPUTED_VALUE"""),"FRASCO DE ÁLCOOL 70% 250ML")</f>
        <v>FRASCO DE ÁLCOOL 70% 250ML</v>
      </c>
      <c r="C111" s="16">
        <f>IFERROR(__xludf.DUMMYFUNCTION("""COMPUTED_VALUE"""),2.0)</f>
        <v>2</v>
      </c>
      <c r="D111" s="17" t="str">
        <f>IFERROR(__xludf.DUMMYFUNCTION("""COMPUTED_VALUE"""),"VIATURA")</f>
        <v>VIATURA</v>
      </c>
      <c r="E111" s="18" t="str">
        <f>IFERROR(__xludf.DUMMYFUNCTION("""COMPUTED_VALUE"""),"1 - ABTS5911")</f>
        <v>1 - ABTS5911</v>
      </c>
      <c r="F111" s="18" t="str">
        <f>IFERROR(__xludf.DUMMYFUNCTION("""COMPUTED_VALUE"""),"BOLSA DE RESGATE")</f>
        <v>BOLSA DE RESGATE</v>
      </c>
      <c r="G111" s="19">
        <f>IFERROR(__xludf.DUMMYFUNCTION("""COMPUTED_VALUE"""),45525.0)</f>
        <v>45525</v>
      </c>
      <c r="H111" s="18"/>
      <c r="I111" s="21"/>
    </row>
    <row r="112" ht="22.5" customHeight="1">
      <c r="A112" s="20">
        <f>IFERROR(__xludf.DUMMYFUNCTION("""COMPUTED_VALUE"""),159.0)</f>
        <v>159</v>
      </c>
      <c r="B112" s="60" t="str">
        <f>IFERROR(__xludf.DUMMYFUNCTION("""COMPUTED_VALUE"""),"CAMPO OPERATÓRIO")</f>
        <v>CAMPO OPERATÓRIO</v>
      </c>
      <c r="C112" s="16">
        <f>IFERROR(__xludf.DUMMYFUNCTION("""COMPUTED_VALUE"""),2.0)</f>
        <v>2</v>
      </c>
      <c r="D112" s="17" t="str">
        <f>IFERROR(__xludf.DUMMYFUNCTION("""COMPUTED_VALUE"""),"VIATURA")</f>
        <v>VIATURA</v>
      </c>
      <c r="E112" s="18" t="str">
        <f>IFERROR(__xludf.DUMMYFUNCTION("""COMPUTED_VALUE"""),"1 - ABTS5911")</f>
        <v>1 - ABTS5911</v>
      </c>
      <c r="F112" s="18" t="str">
        <f>IFERROR(__xludf.DUMMYFUNCTION("""COMPUTED_VALUE"""),"BOLSA DE RESGATE")</f>
        <v>BOLSA DE RESGATE</v>
      </c>
      <c r="G112" s="19">
        <f>IFERROR(__xludf.DUMMYFUNCTION("""COMPUTED_VALUE"""),45525.0)</f>
        <v>45525</v>
      </c>
      <c r="H112" s="18"/>
      <c r="I112" s="21"/>
    </row>
    <row r="113" ht="22.5" customHeight="1">
      <c r="A113" s="20">
        <f>IFERROR(__xludf.DUMMYFUNCTION("""COMPUTED_VALUE"""),160.0)</f>
        <v>160</v>
      </c>
      <c r="B113" s="60" t="str">
        <f>IFERROR(__xludf.DUMMYFUNCTION("""COMPUTED_VALUE"""),"ATADURAS")</f>
        <v>ATADURAS</v>
      </c>
      <c r="C113" s="16">
        <f>IFERROR(__xludf.DUMMYFUNCTION("""COMPUTED_VALUE"""),10.0)</f>
        <v>10</v>
      </c>
      <c r="D113" s="17" t="str">
        <f>IFERROR(__xludf.DUMMYFUNCTION("""COMPUTED_VALUE"""),"VIATURA")</f>
        <v>VIATURA</v>
      </c>
      <c r="E113" s="18" t="str">
        <f>IFERROR(__xludf.DUMMYFUNCTION("""COMPUTED_VALUE"""),"1 - ABTS5911")</f>
        <v>1 - ABTS5911</v>
      </c>
      <c r="F113" s="18" t="str">
        <f>IFERROR(__xludf.DUMMYFUNCTION("""COMPUTED_VALUE"""),"BOLSA DE RESGATE")</f>
        <v>BOLSA DE RESGATE</v>
      </c>
      <c r="G113" s="19">
        <f>IFERROR(__xludf.DUMMYFUNCTION("""COMPUTED_VALUE"""),45525.0)</f>
        <v>45525</v>
      </c>
      <c r="H113" s="18"/>
      <c r="I113" s="21"/>
    </row>
    <row r="114" ht="22.5" customHeight="1">
      <c r="A114" s="20">
        <f>IFERROR(__xludf.DUMMYFUNCTION("""COMPUTED_VALUE"""),161.0)</f>
        <v>161</v>
      </c>
      <c r="B114" s="60" t="str">
        <f>IFERROR(__xludf.DUMMYFUNCTION("""COMPUTED_VALUE"""),"CAIXA DE LUVAS DESCARTÁVEIS G")</f>
        <v>CAIXA DE LUVAS DESCARTÁVEIS G</v>
      </c>
      <c r="C114" s="16">
        <f>IFERROR(__xludf.DUMMYFUNCTION("""COMPUTED_VALUE"""),1.0)</f>
        <v>1</v>
      </c>
      <c r="D114" s="17" t="str">
        <f>IFERROR(__xludf.DUMMYFUNCTION("""COMPUTED_VALUE"""),"VIATURA")</f>
        <v>VIATURA</v>
      </c>
      <c r="E114" s="18" t="str">
        <f>IFERROR(__xludf.DUMMYFUNCTION("""COMPUTED_VALUE"""),"1 - ABTS5911")</f>
        <v>1 - ABTS5911</v>
      </c>
      <c r="F114" s="18" t="str">
        <f>IFERROR(__xludf.DUMMYFUNCTION("""COMPUTED_VALUE"""),"BOLSA DE RESGATE")</f>
        <v>BOLSA DE RESGATE</v>
      </c>
      <c r="G114" s="19">
        <f>IFERROR(__xludf.DUMMYFUNCTION("""COMPUTED_VALUE"""),45525.0)</f>
        <v>45525</v>
      </c>
      <c r="H114" s="18"/>
      <c r="I114" s="21"/>
    </row>
    <row r="115" ht="22.5" customHeight="1">
      <c r="A115" s="20">
        <f>IFERROR(__xludf.DUMMYFUNCTION("""COMPUTED_VALUE"""),162.0)</f>
        <v>162</v>
      </c>
      <c r="B115" s="60" t="str">
        <f>IFERROR(__xludf.DUMMYFUNCTION("""COMPUTED_VALUE"""),"CAIXA DE LUVAS DESCARTÁVEIS M")</f>
        <v>CAIXA DE LUVAS DESCARTÁVEIS M</v>
      </c>
      <c r="C115" s="16">
        <f>IFERROR(__xludf.DUMMYFUNCTION("""COMPUTED_VALUE"""),1.0)</f>
        <v>1</v>
      </c>
      <c r="D115" s="17" t="str">
        <f>IFERROR(__xludf.DUMMYFUNCTION("""COMPUTED_VALUE"""),"VIATURA")</f>
        <v>VIATURA</v>
      </c>
      <c r="E115" s="18" t="str">
        <f>IFERROR(__xludf.DUMMYFUNCTION("""COMPUTED_VALUE"""),"1 - ABTS5911")</f>
        <v>1 - ABTS5911</v>
      </c>
      <c r="F115" s="18" t="str">
        <f>IFERROR(__xludf.DUMMYFUNCTION("""COMPUTED_VALUE"""),"BOLSA DE RESGATE")</f>
        <v>BOLSA DE RESGATE</v>
      </c>
      <c r="G115" s="19">
        <f>IFERROR(__xludf.DUMMYFUNCTION("""COMPUTED_VALUE"""),45525.0)</f>
        <v>45525</v>
      </c>
      <c r="H115" s="18"/>
      <c r="I115" s="21"/>
    </row>
    <row r="116" ht="22.5" customHeight="1">
      <c r="A116" s="20">
        <f>IFERROR(__xludf.DUMMYFUNCTION("""COMPUTED_VALUE"""),163.0)</f>
        <v>163</v>
      </c>
      <c r="B116" s="60" t="str">
        <f>IFERROR(__xludf.DUMMYFUNCTION("""COMPUTED_VALUE"""),"CAIXA DE MASCARAS TRIPLA DESCARTÁVEL")</f>
        <v>CAIXA DE MASCARAS TRIPLA DESCARTÁVEL</v>
      </c>
      <c r="C116" s="16">
        <f>IFERROR(__xludf.DUMMYFUNCTION("""COMPUTED_VALUE"""),1.0)</f>
        <v>1</v>
      </c>
      <c r="D116" s="17" t="str">
        <f>IFERROR(__xludf.DUMMYFUNCTION("""COMPUTED_VALUE"""),"VIATURA")</f>
        <v>VIATURA</v>
      </c>
      <c r="E116" s="18" t="str">
        <f>IFERROR(__xludf.DUMMYFUNCTION("""COMPUTED_VALUE"""),"1 - ABTS5911")</f>
        <v>1 - ABTS5911</v>
      </c>
      <c r="F116" s="18" t="str">
        <f>IFERROR(__xludf.DUMMYFUNCTION("""COMPUTED_VALUE"""),"BOLSA DE RESGATE")</f>
        <v>BOLSA DE RESGATE</v>
      </c>
      <c r="G116" s="19">
        <f>IFERROR(__xludf.DUMMYFUNCTION("""COMPUTED_VALUE"""),45525.0)</f>
        <v>45525</v>
      </c>
      <c r="H116" s="18"/>
      <c r="I116" s="21"/>
    </row>
    <row r="117" ht="22.5" customHeight="1">
      <c r="A117" s="20">
        <f>IFERROR(__xludf.DUMMYFUNCTION("""COMPUTED_VALUE"""),164.0)</f>
        <v>164</v>
      </c>
      <c r="B117" s="60" t="str">
        <f>IFERROR(__xludf.DUMMYFUNCTION("""COMPUTED_VALUE"""),"ESPARADRAPO")</f>
        <v>ESPARADRAPO</v>
      </c>
      <c r="C117" s="16">
        <f>IFERROR(__xludf.DUMMYFUNCTION("""COMPUTED_VALUE"""),1.0)</f>
        <v>1</v>
      </c>
      <c r="D117" s="17" t="str">
        <f>IFERROR(__xludf.DUMMYFUNCTION("""COMPUTED_VALUE"""),"VIATURA")</f>
        <v>VIATURA</v>
      </c>
      <c r="E117" s="18" t="str">
        <f>IFERROR(__xludf.DUMMYFUNCTION("""COMPUTED_VALUE"""),"1 - ABTS5911")</f>
        <v>1 - ABTS5911</v>
      </c>
      <c r="F117" s="18" t="str">
        <f>IFERROR(__xludf.DUMMYFUNCTION("""COMPUTED_VALUE"""),"BOLSA DE RESGATE")</f>
        <v>BOLSA DE RESGATE</v>
      </c>
      <c r="G117" s="19">
        <f>IFERROR(__xludf.DUMMYFUNCTION("""COMPUTED_VALUE"""),45525.0)</f>
        <v>45525</v>
      </c>
      <c r="H117" s="18"/>
      <c r="I117" s="21"/>
    </row>
    <row r="118" ht="22.5" customHeight="1">
      <c r="A118" s="20">
        <f>IFERROR(__xludf.DUMMYFUNCTION("""COMPUTED_VALUE"""),165.0)</f>
        <v>165</v>
      </c>
      <c r="B118" s="60" t="str">
        <f>IFERROR(__xludf.DUMMYFUNCTION("""COMPUTED_VALUE"""),"MANTA ALUMINIZADA")</f>
        <v>MANTA ALUMINIZADA</v>
      </c>
      <c r="C118" s="16">
        <f>IFERROR(__xludf.DUMMYFUNCTION("""COMPUTED_VALUE"""),1.0)</f>
        <v>1</v>
      </c>
      <c r="D118" s="17" t="str">
        <f>IFERROR(__xludf.DUMMYFUNCTION("""COMPUTED_VALUE"""),"VIATURA")</f>
        <v>VIATURA</v>
      </c>
      <c r="E118" s="18" t="str">
        <f>IFERROR(__xludf.DUMMYFUNCTION("""COMPUTED_VALUE"""),"1 - ABTS5911")</f>
        <v>1 - ABTS5911</v>
      </c>
      <c r="F118" s="18" t="str">
        <f>IFERROR(__xludf.DUMMYFUNCTION("""COMPUTED_VALUE"""),"BOLSA DE RESGATE")</f>
        <v>BOLSA DE RESGATE</v>
      </c>
      <c r="G118" s="19">
        <f>IFERROR(__xludf.DUMMYFUNCTION("""COMPUTED_VALUE"""),45525.0)</f>
        <v>45525</v>
      </c>
      <c r="H118" s="18"/>
      <c r="I118" s="21"/>
    </row>
    <row r="119" ht="22.5" customHeight="1">
      <c r="A119" s="20">
        <f>IFERROR(__xludf.DUMMYFUNCTION("""COMPUTED_VALUE"""),166.0)</f>
        <v>166</v>
      </c>
      <c r="B119" s="60" t="str">
        <f>IFERROR(__xludf.DUMMYFUNCTION("""COMPUTED_VALUE"""),"PERA DE SUCÇÃO")</f>
        <v>PERA DE SUCÇÃO</v>
      </c>
      <c r="C119" s="16">
        <f>IFERROR(__xludf.DUMMYFUNCTION("""COMPUTED_VALUE"""),1.0)</f>
        <v>1</v>
      </c>
      <c r="D119" s="17" t="str">
        <f>IFERROR(__xludf.DUMMYFUNCTION("""COMPUTED_VALUE"""),"VIATURA")</f>
        <v>VIATURA</v>
      </c>
      <c r="E119" s="18" t="str">
        <f>IFERROR(__xludf.DUMMYFUNCTION("""COMPUTED_VALUE"""),"1 - ABTS5911")</f>
        <v>1 - ABTS5911</v>
      </c>
      <c r="F119" s="18" t="str">
        <f>IFERROR(__xludf.DUMMYFUNCTION("""COMPUTED_VALUE"""),"BOLSA DE RESGATE")</f>
        <v>BOLSA DE RESGATE</v>
      </c>
      <c r="G119" s="19">
        <f>IFERROR(__xludf.DUMMYFUNCTION("""COMPUTED_VALUE"""),45525.0)</f>
        <v>45525</v>
      </c>
      <c r="H119" s="18"/>
      <c r="I119" s="21"/>
    </row>
    <row r="120" ht="22.5" customHeight="1">
      <c r="A120" s="20">
        <f>IFERROR(__xludf.DUMMYFUNCTION("""COMPUTED_VALUE"""),167.0)</f>
        <v>167</v>
      </c>
      <c r="B120" s="60" t="str">
        <f>IFERROR(__xludf.DUMMYFUNCTION("""COMPUTED_VALUE"""),"COLAR CERVICAL")</f>
        <v>COLAR CERVICAL</v>
      </c>
      <c r="C120" s="16">
        <f>IFERROR(__xludf.DUMMYFUNCTION("""COMPUTED_VALUE"""),3.0)</f>
        <v>3</v>
      </c>
      <c r="D120" s="17" t="str">
        <f>IFERROR(__xludf.DUMMYFUNCTION("""COMPUTED_VALUE"""),"VIATURA")</f>
        <v>VIATURA</v>
      </c>
      <c r="E120" s="18" t="str">
        <f>IFERROR(__xludf.DUMMYFUNCTION("""COMPUTED_VALUE"""),"1 - ABTS5911")</f>
        <v>1 - ABTS5911</v>
      </c>
      <c r="F120" s="18" t="str">
        <f>IFERROR(__xludf.DUMMYFUNCTION("""COMPUTED_VALUE"""),"BOLSA DE RESGATE")</f>
        <v>BOLSA DE RESGATE</v>
      </c>
      <c r="G120" s="19">
        <f>IFERROR(__xludf.DUMMYFUNCTION("""COMPUTED_VALUE"""),45525.0)</f>
        <v>45525</v>
      </c>
      <c r="H120" s="18"/>
      <c r="I120" s="21"/>
    </row>
    <row r="121" ht="22.5" customHeight="1">
      <c r="A121" s="20">
        <f>IFERROR(__xludf.DUMMYFUNCTION("""COMPUTED_VALUE"""),168.0)</f>
        <v>168</v>
      </c>
      <c r="B121" s="60" t="str">
        <f>IFERROR(__xludf.DUMMYFUNCTION("""COMPUTED_VALUE"""),"ABRIDOR DE MANDÍBULA")</f>
        <v>ABRIDOR DE MANDÍBULA</v>
      </c>
      <c r="C121" s="16">
        <f>IFERROR(__xludf.DUMMYFUNCTION("""COMPUTED_VALUE"""),1.0)</f>
        <v>1</v>
      </c>
      <c r="D121" s="17" t="str">
        <f>IFERROR(__xludf.DUMMYFUNCTION("""COMPUTED_VALUE"""),"VIATURA")</f>
        <v>VIATURA</v>
      </c>
      <c r="E121" s="18" t="str">
        <f>IFERROR(__xludf.DUMMYFUNCTION("""COMPUTED_VALUE"""),"1 - ABTS5911")</f>
        <v>1 - ABTS5911</v>
      </c>
      <c r="F121" s="18" t="str">
        <f>IFERROR(__xludf.DUMMYFUNCTION("""COMPUTED_VALUE"""),"BOLSA DE RESGATE")</f>
        <v>BOLSA DE RESGATE</v>
      </c>
      <c r="G121" s="19">
        <f>IFERROR(__xludf.DUMMYFUNCTION("""COMPUTED_VALUE"""),45525.0)</f>
        <v>45525</v>
      </c>
      <c r="H121" s="18"/>
      <c r="I121" s="21"/>
    </row>
    <row r="122" ht="22.5" customHeight="1">
      <c r="A122" s="20">
        <f>IFERROR(__xludf.DUMMYFUNCTION("""COMPUTED_VALUE"""),169.0)</f>
        <v>169</v>
      </c>
      <c r="B122" s="60" t="str">
        <f>IFERROR(__xludf.DUMMYFUNCTION("""COMPUTED_VALUE"""),"PRANCHA LONGA")</f>
        <v>PRANCHA LONGA</v>
      </c>
      <c r="C122" s="16">
        <f>IFERROR(__xludf.DUMMYFUNCTION("""COMPUTED_VALUE"""),1.0)</f>
        <v>1</v>
      </c>
      <c r="D122" s="17" t="str">
        <f>IFERROR(__xludf.DUMMYFUNCTION("""COMPUTED_VALUE"""),"VIATURA")</f>
        <v>VIATURA</v>
      </c>
      <c r="E122" s="18" t="str">
        <f>IFERROR(__xludf.DUMMYFUNCTION("""COMPUTED_VALUE"""),"1 - ABTS5911")</f>
        <v>1 - ABTS5911</v>
      </c>
      <c r="F122" s="18"/>
      <c r="G122" s="19">
        <f>IFERROR(__xludf.DUMMYFUNCTION("""COMPUTED_VALUE"""),45628.0)</f>
        <v>45628</v>
      </c>
      <c r="H122" s="18"/>
      <c r="I122" s="21" t="str">
        <f>IFERROR(__xludf.DUMMYFUNCTION("""COMPUTED_VALUE"""),"PRANCHA LONGA COM TIRANTES E BAIXAL")</f>
        <v>PRANCHA LONGA COM TIRANTES E BAIXAL</v>
      </c>
    </row>
    <row r="123" ht="22.5" customHeight="1">
      <c r="A123" s="20">
        <f>IFERROR(__xludf.DUMMYFUNCTION("""COMPUTED_VALUE"""),170.0)</f>
        <v>170</v>
      </c>
      <c r="B123" s="60" t="str">
        <f>IFERROR(__xludf.DUMMYFUNCTION("""COMPUTED_VALUE"""),"PROTETOR DE QUINA SALV. VEICULAR")</f>
        <v>PROTETOR DE QUINA SALV. VEICULAR</v>
      </c>
      <c r="C123" s="16">
        <f>IFERROR(__xludf.DUMMYFUNCTION("""COMPUTED_VALUE"""),5.0)</f>
        <v>5</v>
      </c>
      <c r="D123" s="17" t="str">
        <f>IFERROR(__xludf.DUMMYFUNCTION("""COMPUTED_VALUE"""),"VIATURA")</f>
        <v>VIATURA</v>
      </c>
      <c r="E123" s="18" t="str">
        <f>IFERROR(__xludf.DUMMYFUNCTION("""COMPUTED_VALUE"""),"1 - ABTS5911")</f>
        <v>1 - ABTS5911</v>
      </c>
      <c r="F123" s="18"/>
      <c r="G123" s="19"/>
      <c r="H123" s="18"/>
      <c r="I123" s="21"/>
    </row>
    <row r="124" ht="22.5" customHeight="1">
      <c r="A124" s="20">
        <f>IFERROR(__xludf.DUMMYFUNCTION("""COMPUTED_VALUE"""),171.0)</f>
        <v>171</v>
      </c>
      <c r="B124" s="60" t="str">
        <f>IFERROR(__xludf.DUMMYFUNCTION("""COMPUTED_VALUE"""),"PROTETOR DE VÍTIMA SAL. VEICULAR")</f>
        <v>PROTETOR DE VÍTIMA SAL. VEICULAR</v>
      </c>
      <c r="C124" s="16">
        <f>IFERROR(__xludf.DUMMYFUNCTION("""COMPUTED_VALUE"""),1.0)</f>
        <v>1</v>
      </c>
      <c r="D124" s="17" t="str">
        <f>IFERROR(__xludf.DUMMYFUNCTION("""COMPUTED_VALUE"""),"VIATURA")</f>
        <v>VIATURA</v>
      </c>
      <c r="E124" s="18" t="str">
        <f>IFERROR(__xludf.DUMMYFUNCTION("""COMPUTED_VALUE"""),"1 - ABTS5911")</f>
        <v>1 - ABTS5911</v>
      </c>
      <c r="F124" s="18"/>
      <c r="G124" s="19"/>
      <c r="H124" s="18"/>
      <c r="I124" s="21"/>
    </row>
    <row r="125" ht="22.5" customHeight="1">
      <c r="A125" s="20">
        <f>IFERROR(__xludf.DUMMYFUNCTION("""COMPUTED_VALUE"""),172.0)</f>
        <v>172</v>
      </c>
      <c r="B125" s="60" t="str">
        <f>IFERROR(__xludf.DUMMYFUNCTION("""COMPUTED_VALUE"""),"CILINDRO RESERVA P.A MSA")</f>
        <v>CILINDRO RESERVA P.A MSA</v>
      </c>
      <c r="C125" s="16">
        <f>IFERROR(__xludf.DUMMYFUNCTION("""COMPUTED_VALUE"""),3.0)</f>
        <v>3</v>
      </c>
      <c r="D125" s="17" t="str">
        <f>IFERROR(__xludf.DUMMYFUNCTION("""COMPUTED_VALUE"""),"VIATURA")</f>
        <v>VIATURA</v>
      </c>
      <c r="E125" s="18" t="str">
        <f>IFERROR(__xludf.DUMMYFUNCTION("""COMPUTED_VALUE"""),"1 - ABTS5911")</f>
        <v>1 - ABTS5911</v>
      </c>
      <c r="F125" s="18"/>
      <c r="G125" s="19"/>
      <c r="H125" s="18"/>
      <c r="I125" s="21"/>
    </row>
    <row r="126" ht="22.5" customHeight="1">
      <c r="A126" s="20">
        <f>IFERROR(__xludf.DUMMYFUNCTION("""COMPUTED_VALUE"""),508.0)</f>
        <v>508</v>
      </c>
      <c r="B126" s="60" t="str">
        <f>IFERROR(__xludf.DUMMYFUNCTION("""COMPUTED_VALUE"""),"MARTELO DE BORRACHA")</f>
        <v>MARTELO DE BORRACHA</v>
      </c>
      <c r="C126" s="16">
        <f>IFERROR(__xludf.DUMMYFUNCTION("""COMPUTED_VALUE"""),1.0)</f>
        <v>1</v>
      </c>
      <c r="D126" s="17" t="str">
        <f>IFERROR(__xludf.DUMMYFUNCTION("""COMPUTED_VALUE"""),"SEÇÃO")</f>
        <v>SEÇÃO</v>
      </c>
      <c r="E126" s="18" t="str">
        <f>IFERROR(__xludf.DUMMYFUNCTION("""COMPUTED_VALUE"""),"1 - ABTS5911")</f>
        <v>1 - ABTS5911</v>
      </c>
      <c r="F126" s="18" t="str">
        <f>IFERROR(__xludf.DUMMYFUNCTION("""COMPUTED_VALUE"""),"BOX 01")</f>
        <v>BOX 01</v>
      </c>
      <c r="G126" s="19"/>
      <c r="H126" s="18"/>
      <c r="I126" s="21"/>
    </row>
    <row r="127" ht="22.5" customHeight="1">
      <c r="A127" s="20">
        <f>IFERROR(__xludf.DUMMYFUNCTION("""COMPUTED_VALUE"""),661.0)</f>
        <v>661</v>
      </c>
      <c r="B127" s="60" t="str">
        <f>IFERROR(__xludf.DUMMYFUNCTION("""COMPUTED_VALUE"""),"CORTA FRIO 36''")</f>
        <v>CORTA FRIO 36''</v>
      </c>
      <c r="C127" s="16">
        <f>IFERROR(__xludf.DUMMYFUNCTION("""COMPUTED_VALUE"""),1.0)</f>
        <v>1</v>
      </c>
      <c r="D127" s="17" t="str">
        <f>IFERROR(__xludf.DUMMYFUNCTION("""COMPUTED_VALUE"""),"VIATURA")</f>
        <v>VIATURA</v>
      </c>
      <c r="E127" s="18" t="str">
        <f>IFERROR(__xludf.DUMMYFUNCTION("""COMPUTED_VALUE"""),"1 - ABTS5911")</f>
        <v>1 - ABTS5911</v>
      </c>
      <c r="F127" s="18"/>
      <c r="G127" s="19"/>
      <c r="H127" s="18"/>
      <c r="I127" s="21"/>
    </row>
    <row r="128" ht="22.5" customHeight="1">
      <c r="A128" s="20">
        <f>IFERROR(__xludf.DUMMYFUNCTION("""COMPUTED_VALUE"""),815.0)</f>
        <v>815</v>
      </c>
      <c r="B128" s="60" t="str">
        <f>IFERROR(__xludf.DUMMYFUNCTION("""COMPUTED_VALUE"""),"MACHADO PARATECH BIEL TOOL")</f>
        <v>MACHADO PARATECH BIEL TOOL</v>
      </c>
      <c r="C128" s="16">
        <f>IFERROR(__xludf.DUMMYFUNCTION("""COMPUTED_VALUE"""),1.0)</f>
        <v>1</v>
      </c>
      <c r="D128" s="17" t="str">
        <f>IFERROR(__xludf.DUMMYFUNCTION("""COMPUTED_VALUE"""),"VIATURA")</f>
        <v>VIATURA</v>
      </c>
      <c r="E128" s="18" t="str">
        <f>IFERROR(__xludf.DUMMYFUNCTION("""COMPUTED_VALUE"""),"1 - ABTS5911")</f>
        <v>1 - ABTS5911</v>
      </c>
      <c r="F128" s="18"/>
      <c r="G128" s="19">
        <f>IFERROR(__xludf.DUMMYFUNCTION("""COMPUTED_VALUE"""),46099.0)</f>
        <v>46099</v>
      </c>
      <c r="H128" s="18"/>
      <c r="I128" s="21"/>
    </row>
    <row r="129" ht="22.5" customHeight="1">
      <c r="A129" s="20"/>
      <c r="B129" s="60"/>
      <c r="C129" s="14"/>
      <c r="D129" s="17"/>
      <c r="E129" s="18"/>
      <c r="F129" s="18"/>
      <c r="G129" s="20"/>
      <c r="H129" s="18"/>
      <c r="I129" s="21"/>
    </row>
    <row r="130" ht="22.5" customHeight="1">
      <c r="A130" s="20"/>
      <c r="B130" s="60"/>
      <c r="C130" s="14"/>
      <c r="D130" s="17"/>
      <c r="E130" s="18"/>
      <c r="F130" s="18"/>
      <c r="G130" s="20"/>
      <c r="H130" s="18"/>
      <c r="I130" s="21"/>
    </row>
    <row r="131" ht="22.5" customHeight="1">
      <c r="A131" s="20"/>
      <c r="B131" s="60"/>
      <c r="C131" s="14"/>
      <c r="D131" s="17"/>
      <c r="E131" s="18"/>
      <c r="F131" s="18"/>
      <c r="G131" s="20"/>
      <c r="H131" s="18"/>
      <c r="I131" s="21"/>
    </row>
    <row r="132" ht="22.5" customHeight="1">
      <c r="A132" s="20"/>
      <c r="B132" s="60"/>
      <c r="C132" s="14"/>
      <c r="D132" s="17"/>
      <c r="E132" s="18"/>
      <c r="F132" s="18"/>
      <c r="G132" s="20"/>
      <c r="H132" s="18"/>
      <c r="I132" s="21"/>
    </row>
    <row r="133" ht="22.5" customHeight="1">
      <c r="A133" s="20"/>
      <c r="B133" s="60"/>
      <c r="C133" s="14"/>
      <c r="D133" s="17"/>
      <c r="E133" s="18"/>
      <c r="F133" s="18"/>
      <c r="G133" s="20"/>
      <c r="H133" s="18"/>
      <c r="I133" s="21"/>
    </row>
    <row r="134" ht="22.5" customHeight="1">
      <c r="A134" s="20"/>
      <c r="B134" s="60"/>
      <c r="C134" s="14"/>
      <c r="D134" s="17"/>
      <c r="E134" s="18"/>
      <c r="F134" s="18"/>
      <c r="G134" s="20"/>
      <c r="H134" s="18"/>
      <c r="I134" s="21"/>
    </row>
    <row r="135" ht="22.5" customHeight="1">
      <c r="A135" s="20"/>
      <c r="B135" s="60"/>
      <c r="C135" s="14"/>
      <c r="D135" s="17"/>
      <c r="E135" s="18"/>
      <c r="F135" s="18"/>
      <c r="G135" s="20"/>
      <c r="H135" s="18"/>
      <c r="I135" s="21"/>
    </row>
    <row r="136" ht="22.5" customHeight="1">
      <c r="A136" s="20"/>
      <c r="B136" s="60"/>
      <c r="C136" s="14"/>
      <c r="D136" s="17"/>
      <c r="E136" s="18"/>
      <c r="F136" s="18"/>
      <c r="G136" s="20"/>
      <c r="H136" s="18"/>
      <c r="I136" s="21"/>
    </row>
    <row r="137" ht="22.5" customHeight="1">
      <c r="A137" s="20"/>
      <c r="B137" s="60"/>
      <c r="C137" s="14"/>
      <c r="D137" s="17"/>
      <c r="E137" s="18"/>
      <c r="F137" s="18"/>
      <c r="G137" s="20"/>
      <c r="H137" s="18"/>
      <c r="I137" s="21"/>
    </row>
    <row r="138" ht="22.5" customHeight="1">
      <c r="A138" s="20"/>
      <c r="B138" s="60"/>
      <c r="C138" s="14"/>
      <c r="D138" s="17"/>
      <c r="E138" s="18"/>
      <c r="F138" s="18"/>
      <c r="G138" s="20"/>
      <c r="H138" s="18"/>
      <c r="I138" s="21"/>
    </row>
    <row r="139" ht="22.5" customHeight="1">
      <c r="A139" s="20"/>
      <c r="B139" s="60"/>
      <c r="C139" s="14"/>
      <c r="D139" s="17"/>
      <c r="E139" s="18"/>
      <c r="F139" s="18"/>
      <c r="G139" s="20"/>
      <c r="H139" s="18"/>
      <c r="I139" s="21"/>
    </row>
    <row r="140" ht="22.5" customHeight="1">
      <c r="A140" s="20"/>
      <c r="B140" s="60"/>
      <c r="C140" s="14"/>
      <c r="D140" s="17"/>
      <c r="E140" s="18"/>
      <c r="F140" s="18"/>
      <c r="G140" s="20"/>
      <c r="H140" s="18"/>
      <c r="I140" s="21"/>
    </row>
    <row r="141" ht="22.5" customHeight="1">
      <c r="A141" s="20"/>
      <c r="B141" s="60"/>
      <c r="C141" s="14"/>
      <c r="D141" s="17"/>
      <c r="E141" s="18"/>
      <c r="F141" s="18"/>
      <c r="G141" s="20"/>
      <c r="H141" s="18"/>
      <c r="I141" s="21"/>
    </row>
    <row r="142" ht="22.5" customHeight="1">
      <c r="A142" s="20"/>
      <c r="B142" s="60"/>
      <c r="C142" s="14"/>
      <c r="D142" s="17"/>
      <c r="E142" s="18"/>
      <c r="F142" s="18"/>
      <c r="G142" s="20"/>
      <c r="H142" s="18"/>
      <c r="I142" s="21"/>
    </row>
    <row r="143" ht="22.5" customHeight="1">
      <c r="A143" s="20"/>
      <c r="B143" s="60"/>
      <c r="C143" s="14"/>
      <c r="D143" s="17"/>
      <c r="E143" s="18"/>
      <c r="F143" s="18"/>
      <c r="G143" s="20"/>
      <c r="H143" s="18"/>
      <c r="I143" s="21"/>
    </row>
    <row r="144" ht="22.5" customHeight="1">
      <c r="A144" s="20"/>
      <c r="B144" s="60"/>
      <c r="C144" s="14"/>
      <c r="D144" s="17"/>
      <c r="E144" s="18"/>
      <c r="F144" s="18"/>
      <c r="G144" s="20"/>
      <c r="H144" s="18"/>
      <c r="I144" s="21"/>
    </row>
    <row r="145" ht="22.5" customHeight="1">
      <c r="A145" s="20"/>
      <c r="B145" s="60"/>
      <c r="C145" s="14"/>
      <c r="D145" s="17"/>
      <c r="E145" s="18"/>
      <c r="F145" s="18"/>
      <c r="G145" s="20"/>
      <c r="H145" s="18"/>
      <c r="I145" s="21"/>
    </row>
    <row r="146" ht="22.5" customHeight="1">
      <c r="A146" s="20"/>
      <c r="B146" s="60"/>
      <c r="C146" s="14"/>
      <c r="D146" s="17"/>
      <c r="E146" s="18"/>
      <c r="F146" s="18"/>
      <c r="G146" s="20"/>
      <c r="H146" s="18"/>
      <c r="I146" s="21"/>
    </row>
    <row r="147" ht="22.5" customHeight="1">
      <c r="A147" s="20"/>
      <c r="B147" s="60"/>
      <c r="C147" s="14"/>
      <c r="D147" s="17"/>
      <c r="E147" s="18"/>
      <c r="F147" s="18"/>
      <c r="G147" s="20"/>
      <c r="H147" s="18"/>
      <c r="I147" s="21"/>
    </row>
    <row r="148" ht="22.5" customHeight="1">
      <c r="A148" s="20"/>
      <c r="B148" s="60"/>
      <c r="C148" s="14"/>
      <c r="D148" s="17"/>
      <c r="E148" s="18"/>
      <c r="F148" s="18"/>
      <c r="G148" s="20"/>
      <c r="H148" s="18"/>
      <c r="I148" s="21"/>
    </row>
    <row r="149" ht="22.5" customHeight="1">
      <c r="A149" s="20"/>
      <c r="B149" s="60"/>
      <c r="C149" s="14"/>
      <c r="D149" s="17"/>
      <c r="E149" s="18"/>
      <c r="F149" s="18"/>
      <c r="G149" s="20"/>
      <c r="H149" s="18"/>
      <c r="I149" s="21"/>
    </row>
    <row r="150" ht="22.5" customHeight="1">
      <c r="A150" s="20"/>
      <c r="B150" s="60"/>
      <c r="C150" s="14"/>
      <c r="D150" s="17"/>
      <c r="E150" s="18"/>
      <c r="F150" s="18"/>
      <c r="G150" s="20"/>
      <c r="H150" s="18"/>
      <c r="I150" s="21"/>
    </row>
    <row r="151" ht="22.5" customHeight="1">
      <c r="A151" s="20"/>
      <c r="B151" s="60"/>
      <c r="C151" s="14"/>
      <c r="D151" s="17"/>
      <c r="E151" s="18"/>
      <c r="F151" s="18"/>
      <c r="G151" s="20"/>
      <c r="H151" s="18"/>
      <c r="I151" s="21"/>
    </row>
    <row r="152" ht="22.5" customHeight="1">
      <c r="A152" s="20"/>
      <c r="B152" s="60"/>
      <c r="C152" s="14"/>
      <c r="D152" s="17"/>
      <c r="E152" s="18"/>
      <c r="F152" s="18"/>
      <c r="G152" s="20"/>
      <c r="H152" s="18"/>
      <c r="I152" s="21"/>
    </row>
    <row r="153" ht="22.5" customHeight="1">
      <c r="A153" s="20"/>
      <c r="B153" s="60"/>
      <c r="C153" s="14"/>
      <c r="D153" s="17"/>
      <c r="E153" s="18"/>
      <c r="F153" s="18"/>
      <c r="G153" s="20"/>
      <c r="H153" s="18"/>
      <c r="I153" s="21"/>
    </row>
    <row r="154" ht="22.5" customHeight="1">
      <c r="A154" s="20"/>
      <c r="B154" s="60"/>
      <c r="C154" s="14"/>
      <c r="D154" s="17"/>
      <c r="E154" s="18"/>
      <c r="F154" s="18"/>
      <c r="G154" s="20"/>
      <c r="H154" s="18"/>
      <c r="I154" s="21"/>
    </row>
    <row r="155" ht="22.5" customHeight="1">
      <c r="A155" s="20"/>
      <c r="B155" s="60"/>
      <c r="C155" s="14"/>
      <c r="D155" s="17"/>
      <c r="E155" s="18"/>
      <c r="F155" s="18"/>
      <c r="G155" s="20"/>
      <c r="H155" s="18"/>
      <c r="I155" s="21"/>
    </row>
    <row r="156" ht="22.5" customHeight="1">
      <c r="A156" s="20"/>
      <c r="B156" s="60"/>
      <c r="C156" s="14"/>
      <c r="D156" s="17"/>
      <c r="E156" s="18"/>
      <c r="F156" s="18"/>
      <c r="G156" s="20"/>
      <c r="H156" s="18"/>
      <c r="I156" s="21"/>
    </row>
    <row r="157" ht="22.5" customHeight="1">
      <c r="A157" s="20"/>
      <c r="B157" s="60"/>
      <c r="C157" s="14"/>
      <c r="D157" s="17"/>
      <c r="E157" s="18"/>
      <c r="F157" s="18"/>
      <c r="G157" s="20"/>
      <c r="H157" s="18"/>
      <c r="I157" s="21"/>
    </row>
    <row r="158" ht="22.5" customHeight="1">
      <c r="A158" s="20"/>
      <c r="B158" s="60"/>
      <c r="C158" s="14"/>
      <c r="D158" s="17"/>
      <c r="E158" s="18"/>
      <c r="F158" s="18"/>
      <c r="G158" s="20"/>
      <c r="H158" s="18"/>
      <c r="I158" s="21"/>
    </row>
    <row r="159" ht="22.5" customHeight="1">
      <c r="A159" s="20"/>
      <c r="B159" s="60"/>
      <c r="C159" s="14"/>
      <c r="D159" s="17"/>
      <c r="E159" s="18"/>
      <c r="F159" s="18"/>
      <c r="G159" s="20"/>
      <c r="H159" s="18"/>
      <c r="I159" s="21"/>
    </row>
    <row r="160" ht="22.5" customHeight="1">
      <c r="A160" s="20"/>
      <c r="B160" s="60"/>
      <c r="C160" s="14"/>
      <c r="D160" s="17"/>
      <c r="E160" s="18"/>
      <c r="F160" s="18"/>
      <c r="G160" s="20"/>
      <c r="H160" s="18"/>
      <c r="I160" s="21"/>
    </row>
    <row r="161" ht="22.5" customHeight="1">
      <c r="A161" s="20"/>
      <c r="B161" s="60"/>
      <c r="C161" s="14"/>
      <c r="D161" s="17"/>
      <c r="E161" s="18"/>
      <c r="F161" s="18"/>
      <c r="G161" s="20"/>
      <c r="H161" s="18"/>
      <c r="I161" s="21"/>
    </row>
    <row r="162" ht="22.5" customHeight="1">
      <c r="A162" s="20"/>
      <c r="B162" s="60"/>
      <c r="C162" s="14"/>
      <c r="D162" s="17"/>
      <c r="E162" s="18"/>
      <c r="F162" s="18"/>
      <c r="G162" s="20"/>
      <c r="H162" s="18"/>
      <c r="I162" s="21"/>
    </row>
    <row r="163" ht="22.5" customHeight="1">
      <c r="A163" s="20"/>
      <c r="B163" s="60"/>
      <c r="C163" s="14"/>
      <c r="D163" s="17"/>
      <c r="E163" s="18"/>
      <c r="F163" s="18"/>
      <c r="G163" s="20"/>
      <c r="H163" s="18"/>
      <c r="I163" s="21"/>
    </row>
    <row r="164" ht="22.5" customHeight="1">
      <c r="A164" s="20"/>
      <c r="B164" s="60"/>
      <c r="C164" s="14"/>
      <c r="D164" s="17"/>
      <c r="E164" s="18"/>
      <c r="F164" s="18"/>
      <c r="G164" s="20"/>
      <c r="H164" s="18"/>
      <c r="I164" s="21"/>
    </row>
    <row r="165" ht="22.5" customHeight="1">
      <c r="A165" s="20"/>
      <c r="B165" s="60"/>
      <c r="C165" s="14"/>
      <c r="D165" s="17"/>
      <c r="E165" s="18"/>
      <c r="F165" s="18"/>
      <c r="G165" s="20"/>
      <c r="H165" s="18"/>
      <c r="I165" s="21"/>
    </row>
    <row r="166" ht="22.5" customHeight="1">
      <c r="A166" s="20"/>
      <c r="B166" s="60"/>
      <c r="C166" s="14"/>
      <c r="D166" s="17"/>
      <c r="E166" s="18"/>
      <c r="F166" s="18"/>
      <c r="G166" s="20"/>
      <c r="H166" s="18"/>
      <c r="I166" s="21"/>
    </row>
    <row r="167" ht="22.5" customHeight="1">
      <c r="A167" s="20"/>
      <c r="B167" s="60"/>
      <c r="C167" s="14"/>
      <c r="D167" s="17"/>
      <c r="E167" s="18"/>
      <c r="F167" s="18"/>
      <c r="G167" s="20"/>
      <c r="H167" s="18"/>
      <c r="I167" s="21"/>
    </row>
    <row r="168" ht="22.5" customHeight="1">
      <c r="A168" s="20"/>
      <c r="B168" s="60"/>
      <c r="C168" s="14"/>
      <c r="D168" s="17"/>
      <c r="E168" s="18"/>
      <c r="F168" s="18"/>
      <c r="G168" s="20"/>
      <c r="H168" s="18"/>
      <c r="I168" s="21"/>
    </row>
    <row r="169" ht="22.5" customHeight="1">
      <c r="A169" s="20"/>
      <c r="B169" s="60"/>
      <c r="C169" s="14"/>
      <c r="D169" s="17"/>
      <c r="E169" s="18"/>
      <c r="F169" s="18"/>
      <c r="G169" s="20"/>
      <c r="H169" s="18"/>
      <c r="I169" s="21"/>
    </row>
    <row r="170" ht="22.5" customHeight="1">
      <c r="A170" s="20"/>
      <c r="B170" s="60"/>
      <c r="C170" s="14"/>
      <c r="D170" s="17"/>
      <c r="E170" s="18"/>
      <c r="F170" s="18"/>
      <c r="G170" s="20"/>
      <c r="H170" s="18"/>
      <c r="I170" s="21"/>
    </row>
    <row r="171" ht="22.5" customHeight="1">
      <c r="A171" s="20"/>
      <c r="B171" s="60"/>
      <c r="C171" s="14"/>
      <c r="D171" s="17"/>
      <c r="E171" s="18"/>
      <c r="F171" s="18"/>
      <c r="G171" s="20"/>
      <c r="H171" s="18"/>
      <c r="I171" s="21"/>
    </row>
    <row r="172" ht="22.5" customHeight="1">
      <c r="A172" s="20"/>
      <c r="B172" s="60"/>
      <c r="C172" s="14"/>
      <c r="D172" s="17"/>
      <c r="E172" s="18"/>
      <c r="F172" s="18"/>
      <c r="G172" s="20"/>
      <c r="H172" s="18"/>
      <c r="I172" s="21"/>
    </row>
    <row r="173" ht="22.5" customHeight="1">
      <c r="A173" s="20"/>
      <c r="B173" s="60"/>
      <c r="C173" s="14"/>
      <c r="D173" s="17"/>
      <c r="E173" s="18"/>
      <c r="F173" s="18"/>
      <c r="G173" s="20"/>
      <c r="H173" s="18"/>
      <c r="I173" s="21"/>
    </row>
    <row r="174" ht="22.5" customHeight="1">
      <c r="A174" s="20"/>
      <c r="B174" s="60"/>
      <c r="C174" s="14"/>
      <c r="D174" s="17"/>
      <c r="E174" s="18"/>
      <c r="F174" s="18"/>
      <c r="G174" s="20"/>
      <c r="H174" s="18"/>
      <c r="I174" s="21"/>
    </row>
    <row r="175" ht="22.5" customHeight="1">
      <c r="A175" s="20"/>
      <c r="B175" s="60"/>
      <c r="C175" s="14"/>
      <c r="D175" s="17"/>
      <c r="E175" s="18"/>
      <c r="F175" s="18"/>
      <c r="G175" s="20"/>
      <c r="H175" s="18"/>
      <c r="I175" s="21"/>
    </row>
    <row r="176" ht="22.5" customHeight="1">
      <c r="A176" s="20"/>
      <c r="B176" s="60"/>
      <c r="C176" s="14"/>
      <c r="D176" s="17"/>
      <c r="E176" s="18"/>
      <c r="F176" s="18"/>
      <c r="G176" s="20"/>
      <c r="H176" s="18"/>
      <c r="I176" s="21"/>
    </row>
    <row r="177" ht="22.5" customHeight="1">
      <c r="A177" s="20"/>
      <c r="B177" s="60"/>
      <c r="C177" s="14"/>
      <c r="D177" s="17"/>
      <c r="E177" s="18"/>
      <c r="F177" s="18"/>
      <c r="G177" s="20"/>
      <c r="H177" s="18"/>
      <c r="I177" s="21"/>
    </row>
    <row r="178" ht="22.5" customHeight="1">
      <c r="A178" s="20"/>
      <c r="B178" s="60"/>
      <c r="C178" s="14"/>
      <c r="D178" s="17"/>
      <c r="E178" s="18"/>
      <c r="F178" s="18"/>
      <c r="G178" s="20"/>
      <c r="H178" s="18"/>
      <c r="I178" s="21"/>
    </row>
    <row r="179" ht="22.5" customHeight="1">
      <c r="A179" s="20"/>
      <c r="B179" s="60"/>
      <c r="C179" s="14"/>
      <c r="D179" s="17"/>
      <c r="E179" s="18"/>
      <c r="F179" s="18"/>
      <c r="G179" s="20"/>
      <c r="H179" s="18"/>
      <c r="I179" s="21"/>
    </row>
    <row r="180" ht="22.5" customHeight="1">
      <c r="A180" s="20"/>
      <c r="B180" s="60"/>
      <c r="C180" s="14"/>
      <c r="D180" s="17"/>
      <c r="E180" s="18"/>
      <c r="F180" s="18"/>
      <c r="G180" s="20"/>
      <c r="H180" s="18"/>
      <c r="I180" s="21"/>
    </row>
    <row r="181" ht="22.5" customHeight="1">
      <c r="A181" s="20"/>
      <c r="B181" s="60"/>
      <c r="C181" s="14"/>
      <c r="D181" s="17"/>
      <c r="E181" s="18"/>
      <c r="F181" s="18"/>
      <c r="G181" s="20"/>
      <c r="H181" s="18"/>
      <c r="I181" s="21"/>
    </row>
    <row r="182" ht="22.5" customHeight="1">
      <c r="A182" s="20"/>
      <c r="B182" s="60"/>
      <c r="C182" s="14"/>
      <c r="D182" s="17"/>
      <c r="E182" s="18"/>
      <c r="F182" s="18"/>
      <c r="G182" s="20"/>
      <c r="H182" s="18"/>
      <c r="I182" s="21"/>
    </row>
    <row r="183" ht="22.5" customHeight="1">
      <c r="A183" s="20"/>
      <c r="B183" s="60"/>
      <c r="C183" s="14"/>
      <c r="D183" s="17"/>
      <c r="E183" s="18"/>
      <c r="F183" s="18"/>
      <c r="G183" s="20"/>
      <c r="H183" s="18"/>
      <c r="I183" s="21"/>
    </row>
    <row r="184" ht="22.5" customHeight="1">
      <c r="A184" s="20"/>
      <c r="B184" s="60"/>
      <c r="C184" s="14"/>
      <c r="D184" s="17"/>
      <c r="E184" s="18"/>
      <c r="F184" s="18"/>
      <c r="G184" s="20"/>
      <c r="H184" s="18"/>
      <c r="I184" s="21"/>
    </row>
    <row r="185" ht="22.5" customHeight="1">
      <c r="A185" s="20"/>
      <c r="B185" s="60"/>
      <c r="C185" s="14"/>
      <c r="D185" s="17"/>
      <c r="E185" s="18"/>
      <c r="F185" s="18"/>
      <c r="G185" s="20"/>
      <c r="H185" s="18"/>
      <c r="I185" s="21"/>
    </row>
    <row r="186" ht="22.5" customHeight="1">
      <c r="A186" s="20"/>
      <c r="B186" s="60"/>
      <c r="C186" s="14"/>
      <c r="D186" s="17"/>
      <c r="E186" s="18"/>
      <c r="F186" s="18"/>
      <c r="G186" s="20"/>
      <c r="H186" s="18"/>
      <c r="I186" s="21"/>
    </row>
    <row r="187" ht="22.5" customHeight="1">
      <c r="A187" s="20"/>
      <c r="B187" s="60"/>
      <c r="C187" s="14"/>
      <c r="D187" s="17"/>
      <c r="E187" s="18"/>
      <c r="F187" s="18"/>
      <c r="G187" s="20"/>
      <c r="H187" s="18"/>
      <c r="I187" s="21"/>
    </row>
    <row r="188" ht="22.5" customHeight="1">
      <c r="A188" s="20"/>
      <c r="B188" s="60"/>
      <c r="C188" s="14"/>
      <c r="D188" s="17"/>
      <c r="E188" s="18"/>
      <c r="F188" s="18"/>
      <c r="G188" s="20"/>
      <c r="H188" s="18"/>
      <c r="I188" s="21"/>
    </row>
    <row r="189" ht="22.5" customHeight="1">
      <c r="A189" s="20"/>
      <c r="B189" s="60"/>
      <c r="C189" s="14"/>
      <c r="D189" s="17"/>
      <c r="E189" s="18"/>
      <c r="F189" s="18"/>
      <c r="G189" s="20"/>
      <c r="H189" s="18"/>
      <c r="I189" s="21"/>
    </row>
    <row r="190" ht="22.5" customHeight="1">
      <c r="A190" s="20"/>
      <c r="B190" s="60"/>
      <c r="C190" s="14"/>
      <c r="D190" s="17"/>
      <c r="E190" s="18"/>
      <c r="F190" s="18"/>
      <c r="G190" s="20"/>
      <c r="H190" s="18"/>
      <c r="I190" s="21"/>
    </row>
    <row r="191" ht="22.5" customHeight="1">
      <c r="A191" s="20"/>
      <c r="B191" s="60"/>
      <c r="C191" s="14"/>
      <c r="D191" s="17"/>
      <c r="E191" s="18"/>
      <c r="F191" s="18"/>
      <c r="G191" s="20"/>
      <c r="H191" s="18"/>
      <c r="I191" s="21"/>
    </row>
    <row r="192" ht="22.5" customHeight="1">
      <c r="A192" s="20"/>
      <c r="B192" s="60"/>
      <c r="C192" s="14"/>
      <c r="D192" s="17"/>
      <c r="E192" s="18"/>
      <c r="F192" s="18"/>
      <c r="G192" s="20"/>
      <c r="H192" s="18"/>
      <c r="I192" s="21"/>
    </row>
    <row r="193" ht="22.5" customHeight="1">
      <c r="A193" s="20"/>
      <c r="B193" s="60"/>
      <c r="C193" s="14"/>
      <c r="D193" s="17"/>
      <c r="E193" s="18"/>
      <c r="F193" s="18"/>
      <c r="G193" s="20"/>
      <c r="H193" s="18"/>
      <c r="I193" s="21"/>
    </row>
    <row r="194" ht="22.5" customHeight="1">
      <c r="A194" s="20"/>
      <c r="B194" s="60"/>
      <c r="C194" s="14"/>
      <c r="D194" s="17"/>
      <c r="E194" s="18"/>
      <c r="F194" s="18"/>
      <c r="G194" s="20"/>
      <c r="H194" s="18"/>
      <c r="I194" s="21"/>
    </row>
    <row r="195" ht="22.5" customHeight="1">
      <c r="A195" s="20"/>
      <c r="B195" s="60"/>
      <c r="C195" s="14"/>
      <c r="D195" s="17"/>
      <c r="E195" s="18"/>
      <c r="F195" s="18"/>
      <c r="G195" s="20"/>
      <c r="H195" s="18"/>
      <c r="I195" s="21"/>
    </row>
    <row r="196" ht="22.5" customHeight="1">
      <c r="A196" s="20"/>
      <c r="B196" s="60"/>
      <c r="C196" s="14"/>
      <c r="D196" s="17"/>
      <c r="E196" s="18"/>
      <c r="F196" s="18"/>
      <c r="G196" s="20"/>
      <c r="H196" s="18"/>
      <c r="I196" s="21"/>
    </row>
    <row r="197" ht="22.5" customHeight="1">
      <c r="A197" s="20"/>
      <c r="B197" s="60"/>
      <c r="C197" s="14"/>
      <c r="D197" s="17"/>
      <c r="E197" s="18"/>
      <c r="F197" s="18"/>
      <c r="G197" s="20"/>
      <c r="H197" s="18"/>
      <c r="I197" s="21"/>
    </row>
    <row r="198" ht="22.5" customHeight="1">
      <c r="A198" s="20"/>
      <c r="B198" s="60"/>
      <c r="C198" s="14"/>
      <c r="D198" s="17"/>
      <c r="E198" s="18"/>
      <c r="F198" s="18"/>
      <c r="G198" s="20"/>
      <c r="H198" s="18"/>
      <c r="I198" s="21"/>
    </row>
    <row r="199" ht="22.5" customHeight="1">
      <c r="A199" s="20"/>
      <c r="B199" s="60"/>
      <c r="C199" s="14"/>
      <c r="D199" s="17"/>
      <c r="E199" s="18"/>
      <c r="F199" s="18"/>
      <c r="G199" s="20"/>
      <c r="H199" s="18"/>
      <c r="I199" s="21"/>
    </row>
    <row r="200" ht="22.5" customHeight="1">
      <c r="A200" s="20"/>
      <c r="B200" s="60"/>
      <c r="C200" s="14"/>
      <c r="D200" s="17"/>
      <c r="E200" s="18"/>
      <c r="F200" s="18"/>
      <c r="G200" s="20"/>
      <c r="H200" s="18"/>
      <c r="I200" s="21"/>
    </row>
    <row r="201" ht="22.5" customHeight="1">
      <c r="A201" s="20"/>
      <c r="B201" s="60"/>
      <c r="C201" s="14"/>
      <c r="D201" s="17"/>
      <c r="E201" s="18"/>
      <c r="F201" s="18"/>
      <c r="G201" s="20"/>
      <c r="H201" s="18"/>
      <c r="I201" s="21"/>
    </row>
    <row r="202" ht="22.5" customHeight="1">
      <c r="A202" s="20"/>
      <c r="B202" s="60"/>
      <c r="C202" s="14"/>
      <c r="D202" s="17"/>
      <c r="E202" s="18"/>
      <c r="F202" s="18"/>
      <c r="G202" s="20"/>
      <c r="H202" s="18"/>
      <c r="I202" s="21"/>
    </row>
    <row r="203" ht="22.5" customHeight="1">
      <c r="A203" s="20"/>
      <c r="B203" s="60"/>
      <c r="C203" s="14"/>
      <c r="D203" s="17"/>
      <c r="E203" s="18"/>
      <c r="F203" s="18"/>
      <c r="G203" s="20"/>
      <c r="H203" s="18"/>
      <c r="I203" s="21"/>
    </row>
    <row r="204" ht="22.5" customHeight="1">
      <c r="A204" s="20"/>
      <c r="B204" s="60"/>
      <c r="C204" s="14"/>
      <c r="D204" s="17"/>
      <c r="E204" s="18"/>
      <c r="F204" s="18"/>
      <c r="G204" s="20"/>
      <c r="H204" s="18"/>
      <c r="I204" s="21"/>
    </row>
    <row r="205" ht="22.5" customHeight="1">
      <c r="A205" s="20"/>
      <c r="B205" s="60"/>
      <c r="C205" s="14"/>
      <c r="D205" s="17"/>
      <c r="E205" s="18"/>
      <c r="F205" s="18"/>
      <c r="G205" s="20"/>
      <c r="H205" s="18"/>
      <c r="I205" s="21"/>
    </row>
    <row r="206" ht="22.5" customHeight="1">
      <c r="A206" s="20"/>
      <c r="B206" s="60"/>
      <c r="C206" s="14"/>
      <c r="D206" s="17"/>
      <c r="E206" s="18"/>
      <c r="F206" s="18"/>
      <c r="G206" s="20"/>
      <c r="H206" s="18"/>
      <c r="I206" s="21"/>
    </row>
    <row r="207" ht="22.5" customHeight="1">
      <c r="A207" s="20"/>
      <c r="B207" s="60"/>
      <c r="C207" s="14"/>
      <c r="D207" s="17"/>
      <c r="E207" s="18"/>
      <c r="F207" s="18"/>
      <c r="G207" s="20"/>
      <c r="H207" s="18"/>
      <c r="I207" s="21"/>
    </row>
    <row r="208" ht="22.5" customHeight="1">
      <c r="A208" s="20"/>
      <c r="B208" s="60"/>
      <c r="C208" s="14"/>
      <c r="D208" s="17"/>
      <c r="E208" s="18"/>
      <c r="F208" s="18"/>
      <c r="G208" s="20"/>
      <c r="H208" s="18"/>
      <c r="I208" s="21"/>
    </row>
    <row r="209" ht="22.5" customHeight="1">
      <c r="A209" s="20"/>
      <c r="B209" s="60"/>
      <c r="C209" s="14"/>
      <c r="D209" s="17"/>
      <c r="E209" s="18"/>
      <c r="F209" s="18"/>
      <c r="G209" s="20"/>
      <c r="H209" s="18"/>
      <c r="I209" s="21"/>
    </row>
    <row r="210" ht="22.5" customHeight="1">
      <c r="A210" s="20"/>
      <c r="B210" s="60"/>
      <c r="C210" s="14"/>
      <c r="D210" s="17"/>
      <c r="E210" s="18"/>
      <c r="F210" s="18"/>
      <c r="G210" s="20"/>
      <c r="H210" s="18"/>
      <c r="I210" s="21"/>
    </row>
    <row r="211" ht="22.5" customHeight="1">
      <c r="A211" s="20"/>
      <c r="B211" s="60"/>
      <c r="C211" s="14"/>
      <c r="D211" s="17"/>
      <c r="E211" s="18"/>
      <c r="F211" s="18"/>
      <c r="G211" s="20"/>
      <c r="H211" s="18"/>
      <c r="I211" s="21"/>
    </row>
    <row r="212" ht="22.5" customHeight="1">
      <c r="A212" s="20"/>
      <c r="B212" s="60"/>
      <c r="C212" s="14"/>
      <c r="D212" s="17"/>
      <c r="E212" s="18"/>
      <c r="F212" s="18"/>
      <c r="G212" s="20"/>
      <c r="H212" s="18"/>
      <c r="I212" s="21"/>
    </row>
    <row r="213" ht="22.5" customHeight="1">
      <c r="A213" s="20"/>
      <c r="B213" s="60"/>
      <c r="C213" s="14"/>
      <c r="D213" s="17"/>
      <c r="E213" s="18"/>
      <c r="F213" s="18"/>
      <c r="G213" s="20"/>
      <c r="H213" s="18"/>
      <c r="I213" s="21"/>
    </row>
    <row r="214" ht="22.5" customHeight="1">
      <c r="A214" s="20"/>
      <c r="B214" s="60"/>
      <c r="C214" s="14"/>
      <c r="D214" s="17"/>
      <c r="E214" s="18"/>
      <c r="F214" s="18"/>
      <c r="G214" s="20"/>
      <c r="H214" s="18"/>
      <c r="I214" s="21"/>
    </row>
    <row r="215" ht="22.5" customHeight="1">
      <c r="A215" s="20"/>
      <c r="B215" s="60"/>
      <c r="C215" s="14"/>
      <c r="D215" s="17"/>
      <c r="E215" s="18"/>
      <c r="F215" s="18"/>
      <c r="G215" s="20"/>
      <c r="H215" s="18"/>
      <c r="I215" s="21"/>
    </row>
    <row r="216" ht="22.5" customHeight="1">
      <c r="A216" s="20"/>
      <c r="B216" s="60"/>
      <c r="C216" s="14"/>
      <c r="D216" s="17"/>
      <c r="E216" s="18"/>
      <c r="F216" s="18"/>
      <c r="G216" s="20"/>
      <c r="H216" s="18"/>
      <c r="I216" s="21"/>
    </row>
    <row r="217" ht="22.5" customHeight="1">
      <c r="A217" s="20"/>
      <c r="B217" s="60"/>
      <c r="C217" s="14"/>
      <c r="D217" s="17"/>
      <c r="E217" s="18"/>
      <c r="F217" s="18"/>
      <c r="G217" s="20"/>
      <c r="H217" s="18"/>
      <c r="I217" s="21"/>
    </row>
    <row r="218" ht="22.5" customHeight="1">
      <c r="A218" s="20"/>
      <c r="B218" s="60"/>
      <c r="C218" s="14"/>
      <c r="D218" s="17"/>
      <c r="E218" s="18"/>
      <c r="F218" s="18"/>
      <c r="G218" s="20"/>
      <c r="H218" s="18"/>
      <c r="I218" s="21"/>
    </row>
    <row r="219" ht="22.5" customHeight="1">
      <c r="A219" s="20"/>
      <c r="B219" s="60"/>
      <c r="C219" s="14"/>
      <c r="D219" s="17"/>
      <c r="E219" s="18"/>
      <c r="F219" s="18"/>
      <c r="G219" s="20"/>
      <c r="H219" s="18"/>
      <c r="I219" s="21"/>
    </row>
    <row r="220" ht="22.5" customHeight="1">
      <c r="A220" s="20"/>
      <c r="B220" s="60"/>
      <c r="C220" s="14"/>
      <c r="D220" s="17"/>
      <c r="E220" s="18"/>
      <c r="F220" s="18"/>
      <c r="G220" s="20"/>
      <c r="H220" s="18"/>
      <c r="I220" s="21"/>
    </row>
    <row r="221" ht="22.5" customHeight="1">
      <c r="A221" s="20"/>
      <c r="B221" s="60"/>
      <c r="C221" s="14"/>
      <c r="D221" s="17"/>
      <c r="E221" s="18"/>
      <c r="F221" s="18"/>
      <c r="G221" s="20"/>
      <c r="H221" s="18"/>
      <c r="I221" s="21"/>
    </row>
    <row r="222" ht="22.5" customHeight="1">
      <c r="A222" s="20"/>
      <c r="B222" s="60"/>
      <c r="C222" s="14"/>
      <c r="D222" s="17"/>
      <c r="E222" s="18"/>
      <c r="F222" s="18"/>
      <c r="G222" s="20"/>
      <c r="H222" s="18"/>
      <c r="I222" s="21"/>
    </row>
    <row r="223" ht="22.5" customHeight="1">
      <c r="A223" s="20"/>
      <c r="B223" s="60"/>
      <c r="C223" s="14"/>
      <c r="D223" s="17"/>
      <c r="E223" s="18"/>
      <c r="F223" s="18"/>
      <c r="G223" s="20"/>
      <c r="H223" s="18"/>
      <c r="I223" s="21"/>
    </row>
    <row r="224" ht="22.5" customHeight="1">
      <c r="A224" s="20"/>
      <c r="B224" s="60"/>
      <c r="C224" s="14"/>
      <c r="D224" s="17"/>
      <c r="E224" s="18"/>
      <c r="F224" s="18"/>
      <c r="G224" s="20"/>
      <c r="H224" s="18"/>
      <c r="I224" s="21"/>
    </row>
    <row r="225" ht="22.5" customHeight="1">
      <c r="A225" s="20"/>
      <c r="B225" s="60"/>
      <c r="C225" s="14"/>
      <c r="D225" s="17"/>
      <c r="E225" s="18"/>
      <c r="F225" s="18"/>
      <c r="G225" s="20"/>
      <c r="H225" s="18"/>
      <c r="I225" s="21"/>
    </row>
    <row r="226" ht="22.5" customHeight="1">
      <c r="A226" s="20"/>
      <c r="B226" s="60"/>
      <c r="C226" s="14"/>
      <c r="D226" s="17"/>
      <c r="E226" s="18"/>
      <c r="F226" s="18"/>
      <c r="G226" s="20"/>
      <c r="H226" s="18"/>
      <c r="I226" s="21"/>
    </row>
    <row r="227" ht="22.5" customHeight="1">
      <c r="A227" s="20"/>
      <c r="B227" s="60"/>
      <c r="C227" s="14"/>
      <c r="D227" s="17"/>
      <c r="E227" s="18"/>
      <c r="F227" s="18"/>
      <c r="G227" s="20"/>
      <c r="H227" s="18"/>
      <c r="I227" s="21"/>
    </row>
    <row r="228" ht="22.5" customHeight="1">
      <c r="A228" s="20"/>
      <c r="B228" s="60"/>
      <c r="C228" s="14"/>
      <c r="D228" s="17"/>
      <c r="E228" s="18"/>
      <c r="F228" s="18"/>
      <c r="G228" s="20"/>
      <c r="H228" s="18"/>
      <c r="I228" s="21"/>
    </row>
    <row r="229" ht="22.5" customHeight="1">
      <c r="A229" s="20"/>
      <c r="B229" s="60"/>
      <c r="C229" s="14"/>
      <c r="D229" s="17"/>
      <c r="E229" s="18"/>
      <c r="F229" s="18"/>
      <c r="G229" s="20"/>
      <c r="H229" s="18"/>
      <c r="I229" s="21"/>
    </row>
    <row r="230" ht="22.5" customHeight="1">
      <c r="A230" s="20"/>
      <c r="B230" s="60"/>
      <c r="C230" s="14"/>
      <c r="D230" s="17"/>
      <c r="E230" s="18"/>
      <c r="F230" s="18"/>
      <c r="G230" s="20"/>
      <c r="H230" s="18"/>
      <c r="I230" s="21"/>
    </row>
    <row r="231" ht="22.5" customHeight="1">
      <c r="A231" s="20"/>
      <c r="B231" s="60"/>
      <c r="C231" s="14"/>
      <c r="D231" s="17"/>
      <c r="E231" s="18"/>
      <c r="F231" s="18"/>
      <c r="G231" s="20"/>
      <c r="H231" s="18"/>
      <c r="I231" s="21"/>
    </row>
    <row r="232" ht="22.5" customHeight="1">
      <c r="A232" s="20"/>
      <c r="B232" s="60"/>
      <c r="C232" s="14"/>
      <c r="D232" s="17"/>
      <c r="E232" s="18"/>
      <c r="F232" s="18"/>
      <c r="G232" s="20"/>
      <c r="H232" s="18"/>
      <c r="I232" s="21"/>
    </row>
    <row r="233" ht="22.5" customHeight="1">
      <c r="A233" s="20"/>
      <c r="B233" s="60"/>
      <c r="C233" s="14"/>
      <c r="D233" s="17"/>
      <c r="E233" s="18"/>
      <c r="F233" s="18"/>
      <c r="G233" s="20"/>
      <c r="H233" s="18"/>
      <c r="I233" s="21"/>
    </row>
    <row r="234" ht="22.5" customHeight="1">
      <c r="A234" s="20"/>
      <c r="B234" s="60"/>
      <c r="C234" s="14"/>
      <c r="D234" s="17"/>
      <c r="E234" s="18"/>
      <c r="F234" s="18"/>
      <c r="G234" s="20"/>
      <c r="H234" s="18"/>
      <c r="I234" s="21"/>
    </row>
    <row r="235" ht="22.5" customHeight="1">
      <c r="A235" s="20"/>
      <c r="B235" s="60"/>
      <c r="C235" s="14"/>
      <c r="D235" s="17"/>
      <c r="E235" s="18"/>
      <c r="F235" s="18"/>
      <c r="G235" s="20"/>
      <c r="H235" s="18"/>
      <c r="I235" s="21"/>
    </row>
    <row r="236" ht="22.5" customHeight="1">
      <c r="A236" s="20"/>
      <c r="B236" s="60"/>
      <c r="C236" s="14"/>
      <c r="D236" s="17"/>
      <c r="E236" s="18"/>
      <c r="F236" s="18"/>
      <c r="G236" s="20"/>
      <c r="H236" s="18"/>
      <c r="I236" s="21"/>
    </row>
    <row r="237" ht="22.5" customHeight="1">
      <c r="A237" s="20"/>
      <c r="B237" s="60"/>
      <c r="C237" s="14"/>
      <c r="D237" s="17"/>
      <c r="E237" s="18"/>
      <c r="F237" s="18"/>
      <c r="G237" s="20"/>
      <c r="H237" s="18"/>
      <c r="I237" s="21"/>
    </row>
    <row r="238" ht="22.5" customHeight="1">
      <c r="A238" s="20"/>
      <c r="B238" s="60"/>
      <c r="C238" s="14"/>
      <c r="D238" s="17"/>
      <c r="E238" s="18"/>
      <c r="F238" s="18"/>
      <c r="G238" s="20"/>
      <c r="H238" s="18"/>
      <c r="I238" s="21"/>
    </row>
    <row r="239" ht="22.5" customHeight="1">
      <c r="A239" s="20"/>
      <c r="B239" s="60"/>
      <c r="C239" s="14"/>
      <c r="D239" s="17"/>
      <c r="E239" s="18"/>
      <c r="F239" s="18"/>
      <c r="G239" s="20"/>
      <c r="H239" s="18"/>
      <c r="I239" s="21"/>
    </row>
    <row r="240" ht="22.5" customHeight="1">
      <c r="A240" s="20"/>
      <c r="B240" s="60"/>
      <c r="C240" s="14"/>
      <c r="D240" s="17"/>
      <c r="E240" s="18"/>
      <c r="F240" s="18"/>
      <c r="G240" s="20"/>
      <c r="H240" s="18"/>
      <c r="I240" s="21"/>
    </row>
    <row r="241" ht="22.5" customHeight="1">
      <c r="A241" s="20"/>
      <c r="B241" s="60"/>
      <c r="C241" s="14"/>
      <c r="D241" s="17"/>
      <c r="E241" s="18"/>
      <c r="F241" s="18"/>
      <c r="G241" s="20"/>
      <c r="H241" s="18"/>
      <c r="I241" s="21"/>
    </row>
    <row r="242" ht="22.5" customHeight="1">
      <c r="A242" s="20"/>
      <c r="B242" s="60"/>
      <c r="C242" s="14"/>
      <c r="D242" s="17"/>
      <c r="E242" s="18"/>
      <c r="F242" s="18"/>
      <c r="G242" s="20"/>
      <c r="H242" s="18"/>
      <c r="I242" s="21"/>
    </row>
    <row r="243" ht="22.5" customHeight="1">
      <c r="A243" s="20"/>
      <c r="B243" s="60"/>
      <c r="C243" s="14"/>
      <c r="D243" s="17"/>
      <c r="E243" s="18"/>
      <c r="F243" s="18"/>
      <c r="G243" s="20"/>
      <c r="H243" s="18"/>
      <c r="I243" s="21"/>
    </row>
    <row r="244" ht="22.5" customHeight="1">
      <c r="A244" s="20"/>
      <c r="B244" s="60"/>
      <c r="C244" s="14"/>
      <c r="D244" s="17"/>
      <c r="E244" s="18"/>
      <c r="F244" s="18"/>
      <c r="G244" s="20"/>
      <c r="H244" s="18"/>
      <c r="I244" s="21"/>
    </row>
    <row r="245" ht="22.5" customHeight="1">
      <c r="A245" s="20"/>
      <c r="B245" s="60"/>
      <c r="C245" s="14"/>
      <c r="D245" s="17"/>
      <c r="E245" s="18"/>
      <c r="F245" s="18"/>
      <c r="G245" s="20"/>
      <c r="H245" s="18"/>
      <c r="I245" s="21"/>
    </row>
    <row r="246" ht="22.5" customHeight="1">
      <c r="A246" s="20"/>
      <c r="B246" s="60"/>
      <c r="C246" s="14"/>
      <c r="D246" s="17"/>
      <c r="E246" s="18"/>
      <c r="F246" s="18"/>
      <c r="G246" s="20"/>
      <c r="H246" s="18"/>
      <c r="I246" s="21"/>
    </row>
    <row r="247" ht="22.5" customHeight="1">
      <c r="A247" s="20"/>
      <c r="B247" s="60"/>
      <c r="C247" s="14"/>
      <c r="D247" s="17"/>
      <c r="E247" s="18"/>
      <c r="F247" s="18"/>
      <c r="G247" s="20"/>
      <c r="H247" s="18"/>
      <c r="I247" s="21"/>
    </row>
    <row r="248" ht="22.5" customHeight="1">
      <c r="A248" s="20"/>
      <c r="B248" s="60"/>
      <c r="C248" s="14"/>
      <c r="D248" s="17"/>
      <c r="E248" s="18"/>
      <c r="F248" s="18"/>
      <c r="G248" s="20"/>
      <c r="H248" s="18"/>
      <c r="I248" s="21"/>
    </row>
    <row r="249" ht="22.5" customHeight="1">
      <c r="A249" s="20"/>
      <c r="B249" s="60"/>
      <c r="C249" s="14"/>
      <c r="D249" s="17"/>
      <c r="E249" s="18"/>
      <c r="F249" s="18"/>
      <c r="G249" s="20"/>
      <c r="H249" s="18"/>
      <c r="I249" s="21"/>
    </row>
    <row r="250" ht="22.5" customHeight="1">
      <c r="A250" s="20"/>
      <c r="B250" s="60"/>
      <c r="C250" s="14"/>
      <c r="D250" s="17"/>
      <c r="E250" s="18"/>
      <c r="F250" s="18"/>
      <c r="G250" s="20"/>
      <c r="H250" s="18"/>
      <c r="I250" s="21"/>
    </row>
    <row r="251" ht="22.5" customHeight="1">
      <c r="A251" s="20"/>
      <c r="B251" s="60"/>
      <c r="C251" s="14"/>
      <c r="D251" s="17"/>
      <c r="E251" s="18"/>
      <c r="F251" s="18"/>
      <c r="G251" s="20"/>
      <c r="H251" s="18"/>
      <c r="I251" s="21"/>
    </row>
    <row r="252" ht="22.5" customHeight="1">
      <c r="A252" s="20"/>
      <c r="B252" s="60"/>
      <c r="C252" s="14"/>
      <c r="D252" s="17"/>
      <c r="E252" s="18"/>
      <c r="F252" s="18"/>
      <c r="G252" s="20"/>
      <c r="H252" s="18"/>
      <c r="I252" s="21"/>
    </row>
    <row r="253" ht="22.5" customHeight="1">
      <c r="A253" s="20"/>
      <c r="B253" s="60"/>
      <c r="C253" s="14"/>
      <c r="D253" s="17"/>
      <c r="E253" s="18"/>
      <c r="F253" s="18"/>
      <c r="G253" s="20"/>
      <c r="H253" s="18"/>
      <c r="I253" s="21"/>
    </row>
    <row r="254" ht="22.5" customHeight="1">
      <c r="A254" s="20"/>
      <c r="B254" s="60"/>
      <c r="C254" s="14"/>
      <c r="D254" s="17"/>
      <c r="E254" s="18"/>
      <c r="F254" s="18"/>
      <c r="G254" s="20"/>
      <c r="H254" s="18"/>
      <c r="I254" s="21"/>
    </row>
    <row r="255" ht="22.5" customHeight="1">
      <c r="A255" s="20"/>
      <c r="B255" s="60"/>
      <c r="C255" s="14"/>
      <c r="D255" s="17"/>
      <c r="E255" s="18"/>
      <c r="F255" s="18"/>
      <c r="G255" s="20"/>
      <c r="H255" s="18"/>
      <c r="I255" s="21"/>
    </row>
    <row r="256" ht="22.5" customHeight="1">
      <c r="A256" s="20"/>
      <c r="B256" s="60"/>
      <c r="C256" s="14"/>
      <c r="D256" s="17"/>
      <c r="E256" s="18"/>
      <c r="F256" s="18"/>
      <c r="G256" s="20"/>
      <c r="H256" s="18"/>
      <c r="I256" s="21"/>
    </row>
    <row r="257" ht="22.5" customHeight="1">
      <c r="A257" s="20"/>
      <c r="B257" s="60"/>
      <c r="C257" s="14"/>
      <c r="D257" s="17"/>
      <c r="E257" s="18"/>
      <c r="F257" s="18"/>
      <c r="G257" s="20"/>
      <c r="H257" s="18"/>
      <c r="I257" s="21"/>
    </row>
    <row r="258" ht="22.5" customHeight="1">
      <c r="A258" s="20"/>
      <c r="B258" s="60"/>
      <c r="C258" s="14"/>
      <c r="D258" s="17"/>
      <c r="E258" s="18"/>
      <c r="F258" s="18"/>
      <c r="G258" s="20"/>
      <c r="H258" s="18"/>
      <c r="I258" s="21"/>
    </row>
    <row r="259" ht="22.5" customHeight="1">
      <c r="A259" s="20"/>
      <c r="B259" s="60"/>
      <c r="C259" s="14"/>
      <c r="D259" s="17"/>
      <c r="E259" s="18"/>
      <c r="F259" s="18"/>
      <c r="G259" s="20"/>
      <c r="H259" s="18"/>
      <c r="I259" s="21"/>
    </row>
    <row r="260" ht="22.5" customHeight="1">
      <c r="A260" s="20"/>
      <c r="B260" s="60"/>
      <c r="C260" s="14"/>
      <c r="D260" s="17"/>
      <c r="E260" s="18"/>
      <c r="F260" s="18"/>
      <c r="G260" s="20"/>
      <c r="H260" s="18"/>
      <c r="I260" s="21"/>
    </row>
    <row r="261" ht="22.5" customHeight="1">
      <c r="A261" s="20"/>
      <c r="B261" s="60"/>
      <c r="C261" s="14"/>
      <c r="D261" s="17"/>
      <c r="E261" s="18"/>
      <c r="F261" s="18"/>
      <c r="G261" s="20"/>
      <c r="H261" s="18"/>
      <c r="I261" s="21"/>
    </row>
    <row r="262" ht="22.5" customHeight="1">
      <c r="A262" s="20"/>
      <c r="B262" s="60"/>
      <c r="C262" s="14"/>
      <c r="D262" s="17"/>
      <c r="E262" s="18"/>
      <c r="F262" s="18"/>
      <c r="G262" s="20"/>
      <c r="H262" s="18"/>
      <c r="I262" s="21"/>
    </row>
    <row r="263" ht="22.5" customHeight="1">
      <c r="A263" s="20"/>
      <c r="B263" s="60"/>
      <c r="C263" s="14"/>
      <c r="D263" s="17"/>
      <c r="E263" s="18"/>
      <c r="F263" s="18"/>
      <c r="G263" s="20"/>
      <c r="H263" s="18"/>
      <c r="I263" s="21"/>
    </row>
    <row r="264" ht="22.5" customHeight="1">
      <c r="A264" s="20"/>
      <c r="B264" s="60"/>
      <c r="C264" s="14"/>
      <c r="D264" s="17"/>
      <c r="E264" s="18"/>
      <c r="F264" s="18"/>
      <c r="G264" s="20"/>
      <c r="H264" s="18"/>
      <c r="I264" s="21"/>
    </row>
    <row r="265" ht="22.5" customHeight="1">
      <c r="A265" s="20"/>
      <c r="B265" s="60"/>
      <c r="C265" s="14"/>
      <c r="D265" s="17"/>
      <c r="E265" s="18"/>
      <c r="F265" s="18"/>
      <c r="G265" s="20"/>
      <c r="H265" s="18"/>
      <c r="I265" s="21"/>
    </row>
    <row r="266" ht="22.5" customHeight="1">
      <c r="A266" s="20"/>
      <c r="B266" s="60"/>
      <c r="C266" s="14"/>
      <c r="D266" s="17"/>
      <c r="E266" s="18"/>
      <c r="F266" s="18"/>
      <c r="G266" s="20"/>
      <c r="H266" s="18"/>
      <c r="I266" s="21"/>
    </row>
    <row r="267" ht="22.5" customHeight="1">
      <c r="A267" s="20"/>
      <c r="B267" s="60"/>
      <c r="C267" s="14"/>
      <c r="D267" s="17"/>
      <c r="E267" s="18"/>
      <c r="F267" s="18"/>
      <c r="G267" s="20"/>
      <c r="H267" s="18"/>
      <c r="I267" s="21"/>
    </row>
    <row r="268" ht="22.5" customHeight="1">
      <c r="A268" s="20"/>
      <c r="B268" s="60"/>
      <c r="C268" s="14"/>
      <c r="D268" s="17"/>
      <c r="E268" s="18"/>
      <c r="F268" s="18"/>
      <c r="G268" s="20"/>
      <c r="H268" s="18"/>
      <c r="I268" s="21"/>
    </row>
    <row r="269" ht="22.5" customHeight="1">
      <c r="A269" s="20"/>
      <c r="B269" s="60"/>
      <c r="C269" s="14"/>
      <c r="D269" s="17"/>
      <c r="E269" s="18"/>
      <c r="F269" s="18"/>
      <c r="G269" s="20"/>
      <c r="H269" s="18"/>
      <c r="I269" s="21"/>
    </row>
    <row r="270" ht="22.5" customHeight="1">
      <c r="A270" s="20"/>
      <c r="B270" s="60"/>
      <c r="C270" s="14"/>
      <c r="D270" s="17"/>
      <c r="E270" s="18"/>
      <c r="F270" s="18"/>
      <c r="G270" s="20"/>
      <c r="H270" s="18"/>
      <c r="I270" s="21"/>
    </row>
    <row r="271" ht="22.5" customHeight="1">
      <c r="A271" s="20"/>
      <c r="B271" s="60"/>
      <c r="C271" s="14"/>
      <c r="D271" s="17"/>
      <c r="E271" s="18"/>
      <c r="F271" s="18"/>
      <c r="G271" s="20"/>
      <c r="H271" s="18"/>
      <c r="I271" s="21"/>
    </row>
    <row r="272" ht="22.5" customHeight="1">
      <c r="A272" s="20"/>
      <c r="B272" s="60"/>
      <c r="C272" s="14"/>
      <c r="D272" s="17"/>
      <c r="E272" s="18"/>
      <c r="F272" s="18"/>
      <c r="G272" s="20"/>
      <c r="H272" s="18"/>
      <c r="I272" s="21"/>
    </row>
    <row r="273" ht="22.5" customHeight="1">
      <c r="A273" s="20"/>
      <c r="B273" s="60"/>
      <c r="C273" s="14"/>
      <c r="D273" s="17"/>
      <c r="E273" s="18"/>
      <c r="F273" s="18"/>
      <c r="G273" s="20"/>
      <c r="H273" s="18"/>
      <c r="I273" s="21"/>
    </row>
    <row r="274" ht="22.5" customHeight="1">
      <c r="A274" s="20"/>
      <c r="B274" s="60"/>
      <c r="C274" s="14"/>
      <c r="D274" s="17"/>
      <c r="E274" s="18"/>
      <c r="F274" s="18"/>
      <c r="G274" s="20"/>
      <c r="H274" s="18"/>
      <c r="I274" s="21"/>
    </row>
    <row r="275" ht="22.5" customHeight="1">
      <c r="A275" s="20"/>
      <c r="B275" s="60"/>
      <c r="C275" s="14"/>
      <c r="D275" s="17"/>
      <c r="E275" s="18"/>
      <c r="F275" s="18"/>
      <c r="G275" s="20"/>
      <c r="H275" s="18"/>
      <c r="I275" s="21"/>
    </row>
    <row r="276" ht="22.5" customHeight="1">
      <c r="A276" s="20"/>
      <c r="B276" s="60"/>
      <c r="C276" s="14"/>
      <c r="D276" s="17"/>
      <c r="E276" s="18"/>
      <c r="F276" s="18"/>
      <c r="G276" s="20"/>
      <c r="H276" s="18"/>
      <c r="I276" s="21"/>
    </row>
    <row r="277" ht="22.5" customHeight="1">
      <c r="A277" s="20"/>
      <c r="B277" s="60"/>
      <c r="C277" s="14"/>
      <c r="D277" s="17"/>
      <c r="E277" s="18"/>
      <c r="F277" s="18"/>
      <c r="G277" s="20"/>
      <c r="H277" s="18"/>
      <c r="I277" s="21"/>
    </row>
    <row r="278" ht="22.5" customHeight="1">
      <c r="A278" s="20"/>
      <c r="B278" s="60"/>
      <c r="C278" s="14"/>
      <c r="D278" s="17"/>
      <c r="E278" s="18"/>
      <c r="F278" s="18"/>
      <c r="G278" s="20"/>
      <c r="H278" s="18"/>
      <c r="I278" s="21"/>
    </row>
    <row r="279" ht="22.5" customHeight="1">
      <c r="A279" s="20"/>
      <c r="B279" s="60"/>
      <c r="C279" s="14"/>
      <c r="D279" s="17"/>
      <c r="E279" s="18"/>
      <c r="F279" s="18"/>
      <c r="G279" s="20"/>
      <c r="H279" s="18"/>
      <c r="I279" s="21"/>
    </row>
    <row r="280" ht="22.5" customHeight="1">
      <c r="A280" s="20"/>
      <c r="B280" s="60"/>
      <c r="C280" s="14"/>
      <c r="D280" s="17"/>
      <c r="E280" s="18"/>
      <c r="F280" s="18"/>
      <c r="G280" s="20"/>
      <c r="H280" s="18"/>
      <c r="I280" s="21"/>
    </row>
    <row r="281" ht="22.5" customHeight="1">
      <c r="A281" s="20"/>
      <c r="B281" s="60"/>
      <c r="C281" s="14"/>
      <c r="D281" s="17"/>
      <c r="E281" s="18"/>
      <c r="F281" s="18"/>
      <c r="G281" s="20"/>
      <c r="H281" s="18"/>
      <c r="I281" s="21"/>
    </row>
    <row r="282" ht="22.5" customHeight="1">
      <c r="A282" s="20"/>
      <c r="B282" s="60"/>
      <c r="C282" s="14"/>
      <c r="D282" s="17"/>
      <c r="E282" s="18"/>
      <c r="F282" s="18"/>
      <c r="G282" s="20"/>
      <c r="H282" s="18"/>
      <c r="I282" s="21"/>
    </row>
    <row r="283" ht="22.5" customHeight="1">
      <c r="A283" s="20"/>
      <c r="B283" s="60"/>
      <c r="C283" s="14"/>
      <c r="D283" s="17"/>
      <c r="E283" s="18"/>
      <c r="F283" s="18"/>
      <c r="G283" s="20"/>
      <c r="H283" s="18"/>
      <c r="I283" s="21"/>
    </row>
    <row r="284" ht="22.5" customHeight="1">
      <c r="A284" s="20"/>
      <c r="B284" s="60"/>
      <c r="C284" s="14"/>
      <c r="D284" s="17"/>
      <c r="E284" s="18"/>
      <c r="F284" s="18"/>
      <c r="G284" s="20"/>
      <c r="H284" s="18"/>
      <c r="I284" s="21"/>
    </row>
    <row r="285" ht="22.5" customHeight="1">
      <c r="A285" s="20"/>
      <c r="B285" s="60"/>
      <c r="C285" s="14"/>
      <c r="D285" s="17"/>
      <c r="E285" s="18"/>
      <c r="F285" s="18"/>
      <c r="G285" s="20"/>
      <c r="H285" s="18"/>
      <c r="I285" s="21"/>
    </row>
    <row r="286" ht="22.5" customHeight="1">
      <c r="A286" s="20"/>
      <c r="B286" s="60"/>
      <c r="C286" s="14"/>
      <c r="D286" s="17"/>
      <c r="E286" s="18"/>
      <c r="F286" s="18"/>
      <c r="G286" s="20"/>
      <c r="H286" s="18"/>
      <c r="I286" s="21"/>
    </row>
    <row r="287" ht="22.5" customHeight="1">
      <c r="A287" s="20"/>
      <c r="B287" s="60"/>
      <c r="C287" s="14"/>
      <c r="D287" s="17"/>
      <c r="E287" s="18"/>
      <c r="F287" s="18"/>
      <c r="G287" s="20"/>
      <c r="H287" s="18"/>
      <c r="I287" s="21"/>
    </row>
    <row r="288" ht="22.5" customHeight="1">
      <c r="A288" s="20"/>
      <c r="B288" s="60"/>
      <c r="C288" s="14"/>
      <c r="D288" s="17"/>
      <c r="E288" s="18"/>
      <c r="F288" s="18"/>
      <c r="G288" s="20"/>
      <c r="H288" s="18"/>
      <c r="I288" s="21"/>
    </row>
    <row r="289" ht="22.5" customHeight="1">
      <c r="A289" s="20"/>
      <c r="B289" s="60"/>
      <c r="C289" s="14"/>
      <c r="D289" s="17"/>
      <c r="E289" s="18"/>
      <c r="F289" s="18"/>
      <c r="G289" s="20"/>
      <c r="H289" s="18"/>
      <c r="I289" s="21"/>
    </row>
    <row r="290" ht="22.5" customHeight="1">
      <c r="A290" s="20"/>
      <c r="B290" s="60"/>
      <c r="C290" s="14"/>
      <c r="D290" s="17"/>
      <c r="E290" s="18"/>
      <c r="F290" s="18"/>
      <c r="G290" s="20"/>
      <c r="H290" s="18"/>
      <c r="I290" s="21"/>
    </row>
    <row r="291" ht="22.5" customHeight="1">
      <c r="A291" s="20"/>
      <c r="B291" s="60"/>
      <c r="C291" s="14"/>
      <c r="D291" s="17"/>
      <c r="E291" s="18"/>
      <c r="F291" s="18"/>
      <c r="G291" s="20"/>
      <c r="H291" s="18"/>
      <c r="I291" s="21"/>
    </row>
    <row r="292" ht="22.5" customHeight="1">
      <c r="A292" s="20"/>
      <c r="B292" s="60"/>
      <c r="C292" s="14"/>
      <c r="D292" s="17"/>
      <c r="E292" s="18"/>
      <c r="F292" s="18"/>
      <c r="G292" s="20"/>
      <c r="H292" s="18"/>
      <c r="I292" s="21"/>
    </row>
    <row r="293" ht="22.5" customHeight="1">
      <c r="A293" s="20"/>
      <c r="B293" s="60"/>
      <c r="C293" s="14"/>
      <c r="D293" s="17"/>
      <c r="E293" s="18"/>
      <c r="F293" s="18"/>
      <c r="G293" s="20"/>
      <c r="H293" s="18"/>
      <c r="I293" s="21"/>
    </row>
    <row r="294" ht="22.5" customHeight="1">
      <c r="A294" s="20"/>
      <c r="B294" s="60"/>
      <c r="C294" s="14"/>
      <c r="D294" s="17"/>
      <c r="E294" s="18"/>
      <c r="F294" s="18"/>
      <c r="G294" s="20"/>
      <c r="H294" s="18"/>
      <c r="I294" s="21"/>
    </row>
    <row r="295" ht="22.5" customHeight="1">
      <c r="A295" s="20"/>
      <c r="B295" s="60"/>
      <c r="C295" s="14"/>
      <c r="D295" s="17"/>
      <c r="E295" s="18"/>
      <c r="F295" s="18"/>
      <c r="G295" s="20"/>
      <c r="H295" s="18"/>
      <c r="I295" s="21"/>
    </row>
    <row r="296" ht="22.5" customHeight="1">
      <c r="A296" s="20"/>
      <c r="B296" s="60"/>
      <c r="C296" s="14"/>
      <c r="D296" s="17"/>
      <c r="E296" s="18"/>
      <c r="F296" s="18"/>
      <c r="G296" s="20"/>
      <c r="H296" s="18"/>
      <c r="I296" s="21"/>
    </row>
    <row r="297" ht="22.5" customHeight="1">
      <c r="A297" s="20"/>
      <c r="B297" s="60"/>
      <c r="C297" s="14"/>
      <c r="D297" s="17"/>
      <c r="E297" s="18"/>
      <c r="F297" s="18"/>
      <c r="G297" s="20"/>
      <c r="H297" s="18"/>
      <c r="I297" s="21"/>
    </row>
    <row r="298" ht="22.5" customHeight="1">
      <c r="A298" s="20"/>
      <c r="B298" s="60"/>
      <c r="C298" s="14"/>
      <c r="D298" s="17"/>
      <c r="E298" s="18"/>
      <c r="F298" s="18"/>
      <c r="G298" s="20"/>
      <c r="H298" s="18"/>
      <c r="I298" s="21"/>
    </row>
    <row r="299" ht="22.5" customHeight="1">
      <c r="A299" s="20"/>
      <c r="B299" s="60"/>
      <c r="C299" s="14"/>
      <c r="D299" s="17"/>
      <c r="E299" s="18"/>
      <c r="F299" s="18"/>
      <c r="G299" s="20"/>
      <c r="H299" s="18"/>
      <c r="I299" s="21"/>
    </row>
    <row r="300" ht="22.5" customHeight="1">
      <c r="A300" s="20"/>
      <c r="B300" s="60"/>
      <c r="C300" s="14"/>
      <c r="D300" s="17"/>
      <c r="E300" s="18"/>
      <c r="F300" s="18"/>
      <c r="G300" s="20"/>
      <c r="H300" s="18"/>
      <c r="I300" s="21"/>
    </row>
    <row r="301" ht="22.5" customHeight="1">
      <c r="A301" s="20"/>
      <c r="B301" s="60"/>
      <c r="C301" s="14"/>
      <c r="D301" s="17"/>
      <c r="E301" s="18"/>
      <c r="F301" s="18"/>
      <c r="G301" s="20"/>
      <c r="H301" s="18"/>
      <c r="I301" s="21"/>
    </row>
    <row r="302" ht="22.5" customHeight="1">
      <c r="A302" s="20"/>
      <c r="B302" s="60"/>
      <c r="C302" s="14"/>
      <c r="D302" s="17"/>
      <c r="E302" s="18"/>
      <c r="F302" s="18"/>
      <c r="G302" s="20"/>
      <c r="H302" s="18"/>
      <c r="I302" s="21"/>
    </row>
    <row r="303" ht="22.5" customHeight="1">
      <c r="A303" s="20"/>
      <c r="B303" s="60"/>
      <c r="C303" s="14"/>
      <c r="D303" s="17"/>
      <c r="E303" s="18"/>
      <c r="F303" s="18"/>
      <c r="G303" s="20"/>
      <c r="H303" s="18"/>
      <c r="I303" s="21"/>
    </row>
    <row r="304" ht="22.5" customHeight="1">
      <c r="A304" s="20"/>
      <c r="B304" s="60"/>
      <c r="C304" s="14"/>
      <c r="D304" s="17"/>
      <c r="E304" s="18"/>
      <c r="F304" s="18"/>
      <c r="G304" s="20"/>
      <c r="H304" s="18"/>
      <c r="I304" s="21"/>
    </row>
    <row r="305" ht="22.5" customHeight="1">
      <c r="A305" s="20"/>
      <c r="B305" s="60"/>
      <c r="C305" s="14"/>
      <c r="D305" s="17"/>
      <c r="E305" s="18"/>
      <c r="F305" s="18"/>
      <c r="G305" s="20"/>
      <c r="H305" s="18"/>
      <c r="I305" s="21"/>
    </row>
    <row r="306" ht="22.5" customHeight="1">
      <c r="A306" s="20"/>
      <c r="B306" s="60"/>
      <c r="C306" s="14"/>
      <c r="D306" s="17"/>
      <c r="E306" s="18"/>
      <c r="F306" s="18"/>
      <c r="G306" s="20"/>
      <c r="H306" s="18"/>
      <c r="I306" s="21"/>
    </row>
    <row r="307" ht="22.5" customHeight="1">
      <c r="A307" s="20"/>
      <c r="B307" s="60"/>
      <c r="C307" s="14"/>
      <c r="D307" s="17"/>
      <c r="E307" s="18"/>
      <c r="F307" s="18"/>
      <c r="G307" s="20"/>
      <c r="H307" s="18"/>
      <c r="I307" s="21"/>
    </row>
    <row r="308" ht="22.5" customHeight="1">
      <c r="A308" s="20"/>
      <c r="B308" s="60"/>
      <c r="C308" s="14"/>
      <c r="D308" s="17"/>
      <c r="E308" s="18"/>
      <c r="F308" s="18"/>
      <c r="G308" s="20"/>
      <c r="H308" s="18"/>
      <c r="I308" s="21"/>
    </row>
    <row r="309" ht="22.5" customHeight="1">
      <c r="A309" s="20"/>
      <c r="B309" s="60"/>
      <c r="C309" s="14"/>
      <c r="D309" s="17"/>
      <c r="E309" s="18"/>
      <c r="F309" s="18"/>
      <c r="G309" s="20"/>
      <c r="H309" s="18"/>
      <c r="I309" s="21"/>
    </row>
    <row r="310" ht="22.5" customHeight="1">
      <c r="A310" s="20"/>
      <c r="B310" s="60"/>
      <c r="C310" s="14"/>
      <c r="D310" s="17"/>
      <c r="E310" s="18"/>
      <c r="F310" s="18"/>
      <c r="G310" s="20"/>
      <c r="H310" s="18"/>
      <c r="I310" s="21"/>
    </row>
    <row r="311" ht="22.5" customHeight="1">
      <c r="A311" s="20"/>
      <c r="B311" s="60"/>
      <c r="C311" s="14"/>
      <c r="D311" s="17"/>
      <c r="E311" s="18"/>
      <c r="F311" s="18"/>
      <c r="G311" s="20"/>
      <c r="H311" s="18"/>
      <c r="I311" s="21"/>
    </row>
    <row r="312" ht="22.5" customHeight="1">
      <c r="A312" s="20"/>
      <c r="B312" s="60"/>
      <c r="C312" s="14"/>
      <c r="D312" s="17"/>
      <c r="E312" s="18"/>
      <c r="F312" s="18"/>
      <c r="G312" s="20"/>
      <c r="H312" s="18"/>
      <c r="I312" s="21"/>
    </row>
    <row r="313" ht="22.5" customHeight="1">
      <c r="A313" s="20"/>
      <c r="B313" s="60"/>
      <c r="C313" s="14"/>
      <c r="D313" s="17"/>
      <c r="E313" s="18"/>
      <c r="F313" s="18"/>
      <c r="G313" s="20"/>
      <c r="H313" s="18"/>
      <c r="I313" s="21"/>
    </row>
    <row r="314" ht="22.5" customHeight="1">
      <c r="A314" s="20"/>
      <c r="B314" s="60"/>
      <c r="C314" s="14"/>
      <c r="D314" s="17"/>
      <c r="E314" s="18"/>
      <c r="F314" s="18"/>
      <c r="G314" s="20"/>
      <c r="H314" s="18"/>
      <c r="I314" s="21"/>
    </row>
    <row r="315" ht="22.5" customHeight="1">
      <c r="A315" s="20"/>
      <c r="B315" s="60"/>
      <c r="C315" s="14"/>
      <c r="D315" s="17"/>
      <c r="E315" s="18"/>
      <c r="F315" s="18"/>
      <c r="G315" s="20"/>
      <c r="H315" s="18"/>
      <c r="I315" s="21"/>
    </row>
    <row r="316" ht="22.5" customHeight="1">
      <c r="A316" s="20"/>
      <c r="B316" s="60"/>
      <c r="C316" s="14"/>
      <c r="D316" s="17"/>
      <c r="E316" s="18"/>
      <c r="F316" s="18"/>
      <c r="G316" s="20"/>
      <c r="H316" s="18"/>
      <c r="I316" s="21"/>
    </row>
    <row r="317" ht="22.5" customHeight="1">
      <c r="A317" s="20"/>
      <c r="B317" s="60"/>
      <c r="C317" s="14"/>
      <c r="D317" s="17"/>
      <c r="E317" s="18"/>
      <c r="F317" s="18"/>
      <c r="G317" s="20"/>
      <c r="H317" s="18"/>
      <c r="I317" s="21"/>
    </row>
    <row r="318" ht="22.5" customHeight="1">
      <c r="A318" s="20"/>
      <c r="B318" s="60"/>
      <c r="C318" s="14"/>
      <c r="D318" s="17"/>
      <c r="E318" s="18"/>
      <c r="F318" s="18"/>
      <c r="G318" s="20"/>
      <c r="H318" s="18"/>
      <c r="I318" s="21"/>
    </row>
    <row r="319" ht="22.5" customHeight="1">
      <c r="A319" s="20"/>
      <c r="B319" s="60"/>
      <c r="C319" s="14"/>
      <c r="D319" s="17"/>
      <c r="E319" s="18"/>
      <c r="F319" s="18"/>
      <c r="G319" s="20"/>
      <c r="H319" s="18"/>
      <c r="I319" s="21"/>
    </row>
    <row r="320" ht="22.5" customHeight="1">
      <c r="A320" s="20"/>
      <c r="B320" s="60"/>
      <c r="C320" s="14"/>
      <c r="D320" s="17"/>
      <c r="E320" s="18"/>
      <c r="F320" s="18"/>
      <c r="G320" s="20"/>
      <c r="H320" s="18"/>
      <c r="I320" s="21"/>
    </row>
    <row r="321" ht="22.5" customHeight="1">
      <c r="A321" s="20"/>
      <c r="B321" s="60"/>
      <c r="C321" s="14"/>
      <c r="D321" s="17"/>
      <c r="E321" s="18"/>
      <c r="F321" s="18"/>
      <c r="G321" s="20"/>
      <c r="H321" s="18"/>
      <c r="I321" s="21"/>
    </row>
    <row r="322" ht="22.5" customHeight="1">
      <c r="A322" s="20"/>
      <c r="B322" s="60"/>
      <c r="C322" s="14"/>
      <c r="D322" s="17"/>
      <c r="E322" s="18"/>
      <c r="F322" s="18"/>
      <c r="G322" s="20"/>
      <c r="H322" s="18"/>
      <c r="I322" s="21"/>
    </row>
    <row r="323" ht="22.5" customHeight="1">
      <c r="A323" s="20"/>
      <c r="B323" s="60"/>
      <c r="C323" s="14"/>
      <c r="D323" s="17"/>
      <c r="E323" s="18"/>
      <c r="F323" s="18"/>
      <c r="G323" s="20"/>
      <c r="H323" s="18"/>
      <c r="I323" s="21"/>
    </row>
    <row r="324" ht="22.5" customHeight="1">
      <c r="A324" s="20"/>
      <c r="B324" s="60"/>
      <c r="C324" s="14"/>
      <c r="D324" s="17"/>
      <c r="E324" s="18"/>
      <c r="F324" s="18"/>
      <c r="G324" s="20"/>
      <c r="H324" s="18"/>
      <c r="I324" s="21"/>
    </row>
    <row r="325" ht="22.5" customHeight="1">
      <c r="A325" s="20"/>
      <c r="B325" s="60"/>
      <c r="C325" s="14"/>
      <c r="D325" s="17"/>
      <c r="E325" s="18"/>
      <c r="F325" s="18"/>
      <c r="G325" s="20"/>
      <c r="H325" s="18"/>
      <c r="I325" s="21"/>
    </row>
    <row r="326" ht="22.5" customHeight="1">
      <c r="A326" s="20"/>
      <c r="B326" s="60"/>
      <c r="C326" s="14"/>
      <c r="D326" s="17"/>
      <c r="E326" s="18"/>
      <c r="F326" s="18"/>
      <c r="G326" s="20"/>
      <c r="H326" s="18"/>
      <c r="I326" s="21"/>
    </row>
    <row r="327" ht="22.5" customHeight="1">
      <c r="A327" s="20"/>
      <c r="B327" s="60"/>
      <c r="C327" s="14"/>
      <c r="D327" s="17"/>
      <c r="E327" s="18"/>
      <c r="F327" s="18"/>
      <c r="G327" s="20"/>
      <c r="H327" s="18"/>
      <c r="I327" s="21"/>
    </row>
    <row r="328" ht="22.5" customHeight="1">
      <c r="A328" s="20"/>
      <c r="B328" s="60"/>
      <c r="C328" s="14"/>
      <c r="D328" s="17"/>
      <c r="E328" s="18"/>
      <c r="F328" s="18"/>
      <c r="G328" s="20"/>
      <c r="H328" s="18"/>
      <c r="I328" s="21"/>
    </row>
    <row r="329" ht="22.5" customHeight="1">
      <c r="A329" s="20"/>
      <c r="B329" s="60"/>
      <c r="C329" s="14"/>
      <c r="D329" s="17"/>
      <c r="E329" s="18"/>
      <c r="F329" s="18"/>
      <c r="G329" s="20"/>
      <c r="H329" s="18"/>
      <c r="I329" s="21"/>
    </row>
    <row r="330" ht="22.5" customHeight="1">
      <c r="A330" s="20"/>
      <c r="B330" s="60"/>
      <c r="C330" s="14"/>
      <c r="D330" s="17"/>
      <c r="E330" s="18"/>
      <c r="F330" s="18"/>
      <c r="G330" s="20"/>
      <c r="H330" s="18"/>
      <c r="I330" s="21"/>
    </row>
    <row r="331" ht="22.5" customHeight="1">
      <c r="A331" s="20"/>
      <c r="B331" s="60"/>
      <c r="C331" s="14"/>
      <c r="D331" s="17"/>
      <c r="E331" s="18"/>
      <c r="F331" s="18"/>
      <c r="G331" s="20"/>
      <c r="H331" s="18"/>
      <c r="I331" s="21"/>
    </row>
    <row r="332" ht="22.5" customHeight="1">
      <c r="A332" s="20"/>
      <c r="B332" s="60"/>
      <c r="C332" s="14"/>
      <c r="D332" s="17"/>
      <c r="E332" s="18"/>
      <c r="F332" s="18"/>
      <c r="G332" s="20"/>
      <c r="H332" s="18"/>
      <c r="I332" s="21"/>
    </row>
    <row r="333" ht="22.5" customHeight="1">
      <c r="A333" s="20"/>
      <c r="B333" s="60"/>
      <c r="C333" s="14"/>
      <c r="D333" s="17"/>
      <c r="E333" s="18"/>
      <c r="F333" s="18"/>
      <c r="G333" s="20"/>
      <c r="H333" s="18"/>
      <c r="I333" s="21"/>
    </row>
    <row r="334" ht="22.5" customHeight="1">
      <c r="A334" s="20"/>
      <c r="B334" s="60"/>
      <c r="C334" s="14"/>
      <c r="D334" s="17"/>
      <c r="E334" s="18"/>
      <c r="F334" s="18"/>
      <c r="G334" s="20"/>
      <c r="H334" s="18"/>
      <c r="I334" s="21"/>
    </row>
    <row r="335" ht="22.5" customHeight="1">
      <c r="A335" s="20"/>
      <c r="B335" s="60"/>
      <c r="C335" s="14"/>
      <c r="D335" s="17"/>
      <c r="E335" s="18"/>
      <c r="F335" s="18"/>
      <c r="G335" s="20"/>
      <c r="H335" s="18"/>
      <c r="I335" s="21"/>
    </row>
    <row r="336" ht="22.5" customHeight="1">
      <c r="A336" s="20"/>
      <c r="B336" s="60"/>
      <c r="C336" s="14"/>
      <c r="D336" s="17"/>
      <c r="E336" s="18"/>
      <c r="F336" s="18"/>
      <c r="G336" s="20"/>
      <c r="H336" s="18"/>
      <c r="I336" s="21"/>
    </row>
    <row r="337" ht="22.5" customHeight="1">
      <c r="A337" s="20"/>
      <c r="B337" s="60"/>
      <c r="C337" s="14"/>
      <c r="D337" s="17"/>
      <c r="E337" s="18"/>
      <c r="F337" s="18"/>
      <c r="G337" s="20"/>
      <c r="H337" s="18"/>
      <c r="I337" s="21"/>
    </row>
    <row r="338" ht="22.5" customHeight="1">
      <c r="A338" s="20"/>
      <c r="B338" s="60"/>
      <c r="C338" s="14"/>
      <c r="D338" s="17"/>
      <c r="E338" s="18"/>
      <c r="F338" s="18"/>
      <c r="G338" s="20"/>
      <c r="H338" s="18"/>
      <c r="I338" s="21"/>
    </row>
    <row r="339" ht="22.5" customHeight="1">
      <c r="A339" s="20"/>
      <c r="B339" s="60"/>
      <c r="C339" s="14"/>
      <c r="D339" s="17"/>
      <c r="E339" s="18"/>
      <c r="F339" s="18"/>
      <c r="G339" s="20"/>
      <c r="H339" s="18"/>
      <c r="I339" s="21"/>
    </row>
    <row r="340" ht="22.5" customHeight="1">
      <c r="A340" s="20"/>
      <c r="B340" s="60"/>
      <c r="C340" s="14"/>
      <c r="D340" s="17"/>
      <c r="E340" s="18"/>
      <c r="F340" s="18"/>
      <c r="G340" s="20"/>
      <c r="H340" s="18"/>
      <c r="I340" s="21"/>
    </row>
    <row r="341" ht="22.5" customHeight="1">
      <c r="A341" s="20"/>
      <c r="B341" s="60"/>
      <c r="C341" s="14"/>
      <c r="D341" s="17"/>
      <c r="E341" s="18"/>
      <c r="F341" s="18"/>
      <c r="G341" s="20"/>
      <c r="H341" s="18"/>
      <c r="I341" s="21"/>
    </row>
    <row r="342" ht="22.5" customHeight="1">
      <c r="A342" s="20"/>
      <c r="B342" s="60"/>
      <c r="C342" s="14"/>
      <c r="D342" s="17"/>
      <c r="E342" s="18"/>
      <c r="F342" s="18"/>
      <c r="G342" s="20"/>
      <c r="H342" s="18"/>
      <c r="I342" s="21"/>
    </row>
    <row r="343" ht="22.5" customHeight="1">
      <c r="A343" s="20"/>
      <c r="B343" s="60"/>
      <c r="C343" s="14"/>
      <c r="D343" s="17"/>
      <c r="E343" s="18"/>
      <c r="F343" s="18"/>
      <c r="G343" s="20"/>
      <c r="H343" s="18"/>
      <c r="I343" s="21"/>
    </row>
    <row r="344" ht="22.5" customHeight="1">
      <c r="A344" s="20"/>
      <c r="B344" s="60"/>
      <c r="C344" s="14"/>
      <c r="D344" s="17"/>
      <c r="E344" s="18"/>
      <c r="F344" s="18"/>
      <c r="G344" s="20"/>
      <c r="H344" s="18"/>
      <c r="I344" s="21"/>
    </row>
    <row r="345" ht="22.5" customHeight="1">
      <c r="A345" s="20"/>
      <c r="B345" s="60"/>
      <c r="C345" s="14"/>
      <c r="D345" s="17"/>
      <c r="E345" s="18"/>
      <c r="F345" s="18"/>
      <c r="G345" s="20"/>
      <c r="H345" s="18"/>
      <c r="I345" s="21"/>
    </row>
    <row r="346" ht="22.5" customHeight="1">
      <c r="A346" s="20"/>
      <c r="B346" s="60"/>
      <c r="C346" s="14"/>
      <c r="D346" s="17"/>
      <c r="E346" s="18"/>
      <c r="F346" s="18"/>
      <c r="G346" s="20"/>
      <c r="H346" s="18"/>
      <c r="I346" s="21"/>
    </row>
    <row r="347" ht="22.5" customHeight="1">
      <c r="A347" s="20"/>
      <c r="B347" s="60"/>
      <c r="C347" s="14"/>
      <c r="D347" s="17"/>
      <c r="E347" s="18"/>
      <c r="F347" s="18"/>
      <c r="G347" s="20"/>
      <c r="H347" s="18"/>
      <c r="I347" s="21"/>
    </row>
    <row r="348" ht="22.5" customHeight="1">
      <c r="A348" s="20"/>
      <c r="B348" s="60"/>
      <c r="C348" s="14"/>
      <c r="D348" s="17"/>
      <c r="E348" s="18"/>
      <c r="F348" s="18"/>
      <c r="G348" s="20"/>
      <c r="H348" s="18"/>
      <c r="I348" s="21"/>
    </row>
    <row r="349" ht="22.5" customHeight="1">
      <c r="A349" s="20"/>
      <c r="B349" s="60"/>
      <c r="C349" s="14"/>
      <c r="D349" s="17"/>
      <c r="E349" s="18"/>
      <c r="F349" s="18"/>
      <c r="G349" s="20"/>
      <c r="H349" s="18"/>
      <c r="I349" s="21"/>
    </row>
    <row r="350" ht="22.5" customHeight="1">
      <c r="A350" s="20"/>
      <c r="B350" s="60"/>
      <c r="C350" s="14"/>
      <c r="D350" s="17"/>
      <c r="E350" s="18"/>
      <c r="F350" s="18"/>
      <c r="G350" s="20"/>
      <c r="H350" s="18"/>
      <c r="I350" s="21"/>
    </row>
    <row r="351" ht="22.5" customHeight="1">
      <c r="A351" s="20"/>
      <c r="B351" s="60"/>
      <c r="C351" s="14"/>
      <c r="D351" s="17"/>
      <c r="E351" s="18"/>
      <c r="F351" s="18"/>
      <c r="G351" s="20"/>
      <c r="H351" s="18"/>
      <c r="I351" s="21"/>
    </row>
    <row r="352" ht="22.5" customHeight="1">
      <c r="A352" s="20"/>
      <c r="B352" s="60"/>
      <c r="C352" s="14"/>
      <c r="D352" s="17"/>
      <c r="E352" s="18"/>
      <c r="F352" s="18"/>
      <c r="G352" s="20"/>
      <c r="H352" s="18"/>
      <c r="I352" s="21"/>
    </row>
    <row r="353" ht="22.5" customHeight="1">
      <c r="A353" s="20"/>
      <c r="B353" s="60"/>
      <c r="C353" s="14"/>
      <c r="D353" s="17"/>
      <c r="E353" s="18"/>
      <c r="F353" s="18"/>
      <c r="G353" s="20"/>
      <c r="H353" s="18"/>
      <c r="I353" s="21"/>
    </row>
    <row r="354" ht="22.5" customHeight="1">
      <c r="A354" s="20"/>
      <c r="B354" s="60"/>
      <c r="C354" s="14"/>
      <c r="D354" s="17"/>
      <c r="E354" s="18"/>
      <c r="F354" s="18"/>
      <c r="G354" s="20"/>
      <c r="H354" s="18"/>
      <c r="I354" s="21"/>
    </row>
    <row r="355" ht="22.5" customHeight="1">
      <c r="A355" s="20"/>
      <c r="B355" s="60"/>
      <c r="C355" s="14"/>
      <c r="D355" s="17"/>
      <c r="E355" s="18"/>
      <c r="F355" s="18"/>
      <c r="G355" s="20"/>
      <c r="H355" s="18"/>
      <c r="I355" s="21"/>
    </row>
    <row r="356" ht="22.5" customHeight="1">
      <c r="A356" s="20"/>
      <c r="B356" s="60"/>
      <c r="C356" s="14"/>
      <c r="D356" s="17"/>
      <c r="E356" s="18"/>
      <c r="F356" s="18"/>
      <c r="G356" s="20"/>
      <c r="H356" s="18"/>
      <c r="I356" s="21"/>
    </row>
    <row r="357" ht="22.5" customHeight="1">
      <c r="A357" s="20"/>
      <c r="B357" s="60"/>
      <c r="C357" s="14"/>
      <c r="D357" s="17"/>
      <c r="E357" s="18"/>
      <c r="F357" s="18"/>
      <c r="G357" s="20"/>
      <c r="H357" s="18"/>
      <c r="I357" s="21"/>
    </row>
    <row r="358" ht="22.5" customHeight="1">
      <c r="A358" s="20"/>
      <c r="B358" s="60"/>
      <c r="C358" s="14"/>
      <c r="D358" s="17"/>
      <c r="E358" s="18"/>
      <c r="F358" s="18"/>
      <c r="G358" s="20"/>
      <c r="H358" s="18"/>
      <c r="I358" s="21"/>
    </row>
    <row r="359" ht="22.5" customHeight="1">
      <c r="A359" s="20"/>
      <c r="B359" s="60"/>
      <c r="C359" s="14"/>
      <c r="D359" s="17"/>
      <c r="E359" s="18"/>
      <c r="F359" s="18"/>
      <c r="G359" s="20"/>
      <c r="H359" s="18"/>
      <c r="I359" s="21"/>
    </row>
    <row r="360" ht="22.5" customHeight="1">
      <c r="A360" s="20"/>
      <c r="B360" s="60"/>
      <c r="C360" s="14"/>
      <c r="D360" s="17"/>
      <c r="E360" s="18"/>
      <c r="F360" s="18"/>
      <c r="G360" s="20"/>
      <c r="H360" s="18"/>
      <c r="I360" s="21"/>
    </row>
    <row r="361" ht="22.5" customHeight="1">
      <c r="A361" s="20"/>
      <c r="B361" s="60"/>
      <c r="C361" s="14"/>
      <c r="D361" s="17"/>
      <c r="E361" s="18"/>
      <c r="F361" s="18"/>
      <c r="G361" s="20"/>
      <c r="H361" s="18"/>
      <c r="I361" s="21"/>
    </row>
    <row r="362" ht="22.5" customHeight="1">
      <c r="A362" s="20"/>
      <c r="B362" s="60"/>
      <c r="C362" s="14"/>
      <c r="D362" s="17"/>
      <c r="E362" s="18"/>
      <c r="F362" s="18"/>
      <c r="G362" s="20"/>
      <c r="H362" s="18"/>
      <c r="I362" s="21"/>
    </row>
    <row r="363" ht="22.5" customHeight="1">
      <c r="A363" s="20"/>
      <c r="B363" s="60"/>
      <c r="C363" s="14"/>
      <c r="D363" s="17"/>
      <c r="E363" s="18"/>
      <c r="F363" s="18"/>
      <c r="G363" s="20"/>
      <c r="H363" s="18"/>
      <c r="I363" s="21"/>
    </row>
    <row r="364" ht="22.5" customHeight="1">
      <c r="A364" s="20"/>
      <c r="B364" s="60"/>
      <c r="C364" s="14"/>
      <c r="D364" s="17"/>
      <c r="E364" s="18"/>
      <c r="F364" s="18"/>
      <c r="G364" s="20"/>
      <c r="H364" s="18"/>
      <c r="I364" s="21"/>
    </row>
    <row r="365" ht="22.5" customHeight="1">
      <c r="A365" s="20"/>
      <c r="B365" s="60"/>
      <c r="C365" s="14"/>
      <c r="D365" s="17"/>
      <c r="E365" s="18"/>
      <c r="F365" s="18"/>
      <c r="G365" s="20"/>
      <c r="H365" s="18"/>
      <c r="I365" s="21"/>
    </row>
    <row r="366" ht="22.5" customHeight="1">
      <c r="A366" s="20"/>
      <c r="B366" s="60"/>
      <c r="C366" s="14"/>
      <c r="D366" s="17"/>
      <c r="E366" s="18"/>
      <c r="F366" s="18"/>
      <c r="G366" s="20"/>
      <c r="H366" s="18"/>
      <c r="I366" s="21"/>
    </row>
    <row r="367" ht="22.5" customHeight="1">
      <c r="A367" s="20"/>
      <c r="B367" s="60"/>
      <c r="C367" s="14"/>
      <c r="D367" s="17"/>
      <c r="E367" s="18"/>
      <c r="F367" s="18"/>
      <c r="G367" s="20"/>
      <c r="H367" s="18"/>
      <c r="I367" s="21"/>
    </row>
    <row r="368" ht="22.5" customHeight="1">
      <c r="A368" s="20"/>
      <c r="B368" s="60"/>
      <c r="C368" s="14"/>
      <c r="D368" s="17"/>
      <c r="E368" s="18"/>
      <c r="F368" s="18"/>
      <c r="G368" s="20"/>
      <c r="H368" s="18"/>
      <c r="I368" s="21"/>
    </row>
    <row r="369" ht="22.5" customHeight="1">
      <c r="A369" s="20"/>
      <c r="B369" s="60"/>
      <c r="C369" s="14"/>
      <c r="D369" s="17"/>
      <c r="E369" s="18"/>
      <c r="F369" s="18"/>
      <c r="G369" s="20"/>
      <c r="H369" s="18"/>
      <c r="I369" s="21"/>
    </row>
    <row r="370" ht="22.5" customHeight="1">
      <c r="A370" s="20"/>
      <c r="B370" s="60"/>
      <c r="C370" s="14"/>
      <c r="D370" s="17"/>
      <c r="E370" s="18"/>
      <c r="F370" s="18"/>
      <c r="G370" s="20"/>
      <c r="H370" s="18"/>
      <c r="I370" s="21"/>
    </row>
    <row r="371" ht="22.5" customHeight="1">
      <c r="A371" s="20"/>
      <c r="B371" s="60"/>
      <c r="C371" s="14"/>
      <c r="D371" s="17"/>
      <c r="E371" s="18"/>
      <c r="F371" s="18"/>
      <c r="G371" s="20"/>
      <c r="H371" s="18"/>
      <c r="I371" s="21"/>
    </row>
    <row r="372" ht="22.5" customHeight="1">
      <c r="A372" s="20"/>
      <c r="B372" s="60"/>
      <c r="C372" s="14"/>
      <c r="D372" s="17"/>
      <c r="E372" s="18"/>
      <c r="F372" s="18"/>
      <c r="G372" s="20"/>
      <c r="H372" s="18"/>
      <c r="I372" s="21"/>
    </row>
    <row r="373" ht="22.5" customHeight="1">
      <c r="A373" s="20"/>
      <c r="B373" s="60"/>
      <c r="C373" s="14"/>
      <c r="D373" s="17"/>
      <c r="E373" s="18"/>
      <c r="F373" s="18"/>
      <c r="G373" s="20"/>
      <c r="H373" s="18"/>
      <c r="I373" s="21"/>
    </row>
    <row r="374" ht="22.5" customHeight="1">
      <c r="A374" s="20"/>
      <c r="B374" s="60"/>
      <c r="C374" s="14"/>
      <c r="D374" s="17"/>
      <c r="E374" s="18"/>
      <c r="F374" s="18"/>
      <c r="G374" s="20"/>
      <c r="H374" s="18"/>
      <c r="I374" s="21"/>
    </row>
    <row r="375" ht="22.5" customHeight="1">
      <c r="A375" s="20"/>
      <c r="B375" s="60"/>
      <c r="C375" s="14"/>
      <c r="D375" s="17"/>
      <c r="E375" s="18"/>
      <c r="F375" s="18"/>
      <c r="G375" s="20"/>
      <c r="H375" s="18"/>
      <c r="I375" s="21"/>
    </row>
    <row r="376" ht="22.5" customHeight="1">
      <c r="A376" s="20"/>
      <c r="B376" s="60"/>
      <c r="C376" s="14"/>
      <c r="D376" s="17"/>
      <c r="E376" s="18"/>
      <c r="F376" s="18"/>
      <c r="G376" s="20"/>
      <c r="H376" s="18"/>
      <c r="I376" s="21"/>
    </row>
    <row r="377" ht="22.5" customHeight="1">
      <c r="A377" s="20"/>
      <c r="B377" s="60"/>
      <c r="C377" s="14"/>
      <c r="D377" s="17"/>
      <c r="E377" s="18"/>
      <c r="F377" s="18"/>
      <c r="G377" s="20"/>
      <c r="H377" s="18"/>
      <c r="I377" s="21"/>
    </row>
    <row r="378" ht="22.5" customHeight="1">
      <c r="A378" s="20"/>
      <c r="B378" s="60"/>
      <c r="C378" s="14"/>
      <c r="D378" s="17"/>
      <c r="E378" s="18"/>
      <c r="F378" s="18"/>
      <c r="G378" s="20"/>
      <c r="H378" s="18"/>
      <c r="I378" s="21"/>
    </row>
    <row r="379" ht="22.5" customHeight="1">
      <c r="A379" s="20"/>
      <c r="B379" s="60"/>
      <c r="C379" s="14"/>
      <c r="D379" s="17"/>
      <c r="E379" s="18"/>
      <c r="F379" s="18"/>
      <c r="G379" s="20"/>
      <c r="H379" s="18"/>
      <c r="I379" s="21"/>
    </row>
    <row r="380" ht="22.5" customHeight="1">
      <c r="A380" s="20"/>
      <c r="B380" s="60"/>
      <c r="C380" s="14"/>
      <c r="D380" s="17"/>
      <c r="E380" s="18"/>
      <c r="F380" s="18"/>
      <c r="G380" s="20"/>
      <c r="H380" s="18"/>
      <c r="I380" s="21"/>
    </row>
    <row r="381" ht="22.5" customHeight="1">
      <c r="A381" s="20"/>
      <c r="B381" s="60"/>
      <c r="C381" s="14"/>
      <c r="D381" s="17"/>
      <c r="E381" s="18"/>
      <c r="F381" s="18"/>
      <c r="G381" s="20"/>
      <c r="H381" s="18"/>
      <c r="I381" s="21"/>
    </row>
    <row r="382" ht="22.5" customHeight="1">
      <c r="A382" s="20"/>
      <c r="B382" s="60"/>
      <c r="C382" s="14"/>
      <c r="D382" s="17"/>
      <c r="E382" s="18"/>
      <c r="F382" s="18"/>
      <c r="G382" s="20"/>
      <c r="H382" s="18"/>
      <c r="I382" s="21"/>
    </row>
    <row r="383" ht="22.5" customHeight="1">
      <c r="A383" s="20"/>
      <c r="B383" s="60"/>
      <c r="C383" s="14"/>
      <c r="D383" s="17"/>
      <c r="E383" s="18"/>
      <c r="F383" s="18"/>
      <c r="G383" s="20"/>
      <c r="H383" s="18"/>
      <c r="I383" s="21"/>
    </row>
    <row r="384" ht="22.5" customHeight="1">
      <c r="A384" s="20"/>
      <c r="B384" s="60"/>
      <c r="C384" s="14"/>
      <c r="D384" s="17"/>
      <c r="E384" s="18"/>
      <c r="F384" s="18"/>
      <c r="G384" s="20"/>
      <c r="H384" s="18"/>
      <c r="I384" s="21"/>
    </row>
    <row r="385" ht="22.5" customHeight="1">
      <c r="A385" s="20"/>
      <c r="B385" s="60"/>
      <c r="C385" s="14"/>
      <c r="D385" s="17"/>
      <c r="E385" s="18"/>
      <c r="F385" s="18"/>
      <c r="G385" s="20"/>
      <c r="H385" s="18"/>
      <c r="I385" s="21"/>
    </row>
    <row r="386" ht="22.5" customHeight="1">
      <c r="A386" s="20"/>
      <c r="B386" s="60"/>
      <c r="C386" s="14"/>
      <c r="D386" s="17"/>
      <c r="E386" s="18"/>
      <c r="F386" s="18"/>
      <c r="G386" s="20"/>
      <c r="H386" s="18"/>
      <c r="I386" s="21"/>
    </row>
    <row r="387" ht="22.5" customHeight="1">
      <c r="A387" s="20"/>
      <c r="B387" s="60"/>
      <c r="C387" s="14"/>
      <c r="D387" s="17"/>
      <c r="E387" s="18"/>
      <c r="F387" s="18"/>
      <c r="G387" s="20"/>
      <c r="H387" s="18"/>
      <c r="I387" s="21"/>
    </row>
    <row r="388" ht="22.5" customHeight="1">
      <c r="A388" s="20"/>
      <c r="B388" s="60"/>
      <c r="C388" s="14"/>
      <c r="D388" s="17"/>
      <c r="E388" s="18"/>
      <c r="F388" s="18"/>
      <c r="G388" s="20"/>
      <c r="H388" s="18"/>
      <c r="I388" s="21"/>
    </row>
    <row r="389" ht="22.5" customHeight="1">
      <c r="A389" s="20"/>
      <c r="B389" s="60"/>
      <c r="C389" s="14"/>
      <c r="D389" s="17"/>
      <c r="E389" s="18"/>
      <c r="F389" s="18"/>
      <c r="G389" s="20"/>
      <c r="H389" s="18"/>
      <c r="I389" s="21"/>
    </row>
    <row r="390" ht="22.5" customHeight="1">
      <c r="A390" s="20"/>
      <c r="B390" s="60"/>
      <c r="C390" s="14"/>
      <c r="D390" s="17"/>
      <c r="E390" s="18"/>
      <c r="F390" s="18"/>
      <c r="G390" s="20"/>
      <c r="H390" s="18"/>
      <c r="I390" s="21"/>
    </row>
    <row r="391" ht="22.5" customHeight="1">
      <c r="A391" s="20"/>
      <c r="B391" s="60"/>
      <c r="C391" s="14"/>
      <c r="D391" s="17"/>
      <c r="E391" s="18"/>
      <c r="F391" s="18"/>
      <c r="G391" s="20"/>
      <c r="H391" s="18"/>
      <c r="I391" s="21"/>
    </row>
    <row r="392" ht="22.5" customHeight="1">
      <c r="A392" s="20"/>
      <c r="B392" s="60"/>
      <c r="C392" s="14"/>
      <c r="D392" s="17"/>
      <c r="E392" s="18"/>
      <c r="F392" s="18"/>
      <c r="G392" s="20"/>
      <c r="H392" s="18"/>
      <c r="I392" s="21"/>
    </row>
    <row r="393" ht="22.5" customHeight="1">
      <c r="A393" s="20"/>
      <c r="B393" s="60"/>
      <c r="C393" s="14"/>
      <c r="D393" s="17"/>
      <c r="E393" s="18"/>
      <c r="F393" s="18"/>
      <c r="G393" s="20"/>
      <c r="H393" s="18"/>
      <c r="I393" s="21"/>
    </row>
    <row r="394" ht="22.5" customHeight="1">
      <c r="A394" s="20"/>
      <c r="B394" s="60"/>
      <c r="C394" s="14"/>
      <c r="D394" s="17"/>
      <c r="E394" s="18"/>
      <c r="F394" s="18"/>
      <c r="G394" s="20"/>
      <c r="H394" s="18"/>
      <c r="I394" s="21"/>
    </row>
    <row r="395" ht="22.5" customHeight="1">
      <c r="A395" s="20"/>
      <c r="B395" s="60"/>
      <c r="C395" s="14"/>
      <c r="D395" s="17"/>
      <c r="E395" s="18"/>
      <c r="F395" s="18"/>
      <c r="G395" s="20"/>
      <c r="H395" s="18"/>
      <c r="I395" s="21"/>
    </row>
    <row r="396" ht="22.5" customHeight="1">
      <c r="A396" s="20"/>
      <c r="B396" s="60"/>
      <c r="C396" s="14"/>
      <c r="D396" s="17"/>
      <c r="E396" s="18"/>
      <c r="F396" s="18"/>
      <c r="G396" s="20"/>
      <c r="H396" s="18"/>
      <c r="I396" s="21"/>
    </row>
    <row r="397" ht="22.5" customHeight="1">
      <c r="A397" s="20"/>
      <c r="B397" s="60"/>
      <c r="C397" s="14"/>
      <c r="D397" s="17"/>
      <c r="E397" s="18"/>
      <c r="F397" s="18"/>
      <c r="G397" s="20"/>
      <c r="H397" s="18"/>
      <c r="I397" s="21"/>
    </row>
    <row r="398" ht="22.5" customHeight="1">
      <c r="A398" s="20"/>
      <c r="B398" s="60"/>
      <c r="C398" s="14"/>
      <c r="D398" s="17"/>
      <c r="E398" s="18"/>
      <c r="F398" s="18"/>
      <c r="G398" s="20"/>
      <c r="H398" s="18"/>
      <c r="I398" s="21"/>
    </row>
    <row r="399" ht="22.5" customHeight="1">
      <c r="A399" s="20"/>
      <c r="B399" s="60"/>
      <c r="C399" s="14"/>
      <c r="D399" s="17"/>
      <c r="E399" s="18"/>
      <c r="F399" s="18"/>
      <c r="G399" s="20"/>
      <c r="H399" s="18"/>
      <c r="I399" s="21"/>
    </row>
    <row r="400" ht="22.5" customHeight="1">
      <c r="A400" s="20"/>
      <c r="B400" s="60"/>
      <c r="C400" s="14"/>
      <c r="D400" s="17"/>
      <c r="E400" s="18"/>
      <c r="F400" s="18"/>
      <c r="G400" s="20"/>
      <c r="H400" s="18"/>
      <c r="I400" s="21"/>
    </row>
    <row r="401" ht="22.5" customHeight="1">
      <c r="A401" s="20"/>
      <c r="B401" s="60"/>
      <c r="C401" s="14"/>
      <c r="D401" s="17"/>
      <c r="E401" s="18"/>
      <c r="F401" s="18"/>
      <c r="G401" s="20"/>
      <c r="H401" s="18"/>
      <c r="I401" s="21"/>
    </row>
    <row r="402" ht="22.5" customHeight="1">
      <c r="A402" s="20"/>
      <c r="B402" s="60"/>
      <c r="C402" s="14"/>
      <c r="D402" s="17"/>
      <c r="E402" s="18"/>
      <c r="F402" s="18"/>
      <c r="G402" s="20"/>
      <c r="H402" s="18"/>
      <c r="I402" s="21"/>
    </row>
    <row r="403" ht="22.5" customHeight="1">
      <c r="A403" s="20"/>
      <c r="B403" s="60"/>
      <c r="C403" s="14"/>
      <c r="D403" s="17"/>
      <c r="E403" s="18"/>
      <c r="F403" s="18"/>
      <c r="G403" s="20"/>
      <c r="H403" s="18"/>
      <c r="I403" s="21"/>
    </row>
    <row r="404" ht="22.5" customHeight="1">
      <c r="A404" s="20"/>
      <c r="B404" s="60"/>
      <c r="C404" s="14"/>
      <c r="D404" s="17"/>
      <c r="E404" s="18"/>
      <c r="F404" s="18"/>
      <c r="G404" s="20"/>
      <c r="H404" s="18"/>
      <c r="I404" s="21"/>
    </row>
    <row r="405" ht="22.5" customHeight="1">
      <c r="A405" s="20"/>
      <c r="B405" s="60"/>
      <c r="C405" s="14"/>
      <c r="D405" s="17"/>
      <c r="E405" s="18"/>
      <c r="F405" s="18"/>
      <c r="G405" s="20"/>
      <c r="H405" s="18"/>
      <c r="I405" s="21"/>
    </row>
    <row r="406" ht="22.5" customHeight="1">
      <c r="A406" s="20"/>
      <c r="B406" s="60"/>
      <c r="C406" s="14"/>
      <c r="D406" s="17"/>
      <c r="E406" s="18"/>
      <c r="F406" s="18"/>
      <c r="G406" s="20"/>
      <c r="H406" s="18"/>
      <c r="I406" s="21"/>
    </row>
    <row r="407" ht="22.5" customHeight="1">
      <c r="A407" s="20"/>
      <c r="B407" s="60"/>
      <c r="C407" s="14"/>
      <c r="D407" s="17"/>
      <c r="E407" s="18"/>
      <c r="F407" s="18"/>
      <c r="G407" s="20"/>
      <c r="H407" s="18"/>
      <c r="I407" s="21"/>
    </row>
    <row r="408" ht="22.5" customHeight="1">
      <c r="A408" s="20"/>
      <c r="B408" s="60"/>
      <c r="C408" s="14"/>
      <c r="D408" s="17"/>
      <c r="E408" s="18"/>
      <c r="F408" s="18"/>
      <c r="G408" s="20"/>
      <c r="H408" s="18"/>
      <c r="I408" s="21"/>
    </row>
    <row r="409" ht="22.5" customHeight="1">
      <c r="A409" s="20"/>
      <c r="B409" s="60"/>
      <c r="C409" s="14"/>
      <c r="D409" s="17"/>
      <c r="E409" s="18"/>
      <c r="F409" s="18"/>
      <c r="G409" s="20"/>
      <c r="H409" s="18"/>
      <c r="I409" s="21"/>
    </row>
    <row r="410" ht="22.5" customHeight="1">
      <c r="A410" s="20"/>
      <c r="B410" s="60"/>
      <c r="C410" s="14"/>
      <c r="D410" s="17"/>
      <c r="E410" s="18"/>
      <c r="F410" s="18"/>
      <c r="G410" s="20"/>
      <c r="H410" s="18"/>
      <c r="I410" s="21"/>
    </row>
    <row r="411" ht="22.5" customHeight="1">
      <c r="A411" s="20"/>
      <c r="B411" s="60"/>
      <c r="C411" s="14"/>
      <c r="D411" s="17"/>
      <c r="E411" s="18"/>
      <c r="F411" s="18"/>
      <c r="G411" s="20"/>
      <c r="H411" s="18"/>
      <c r="I411" s="21"/>
    </row>
    <row r="412" ht="22.5" customHeight="1">
      <c r="A412" s="20"/>
      <c r="B412" s="60"/>
      <c r="C412" s="14"/>
      <c r="D412" s="17"/>
      <c r="E412" s="18"/>
      <c r="F412" s="18"/>
      <c r="G412" s="20"/>
      <c r="H412" s="18"/>
      <c r="I412" s="21"/>
    </row>
    <row r="413" ht="22.5" customHeight="1">
      <c r="A413" s="20"/>
      <c r="B413" s="60"/>
      <c r="C413" s="14"/>
      <c r="D413" s="17"/>
      <c r="E413" s="18"/>
      <c r="F413" s="18"/>
      <c r="G413" s="20"/>
      <c r="H413" s="18"/>
      <c r="I413" s="21"/>
    </row>
    <row r="414" ht="22.5" customHeight="1">
      <c r="A414" s="20"/>
      <c r="B414" s="60"/>
      <c r="C414" s="14"/>
      <c r="D414" s="17"/>
      <c r="E414" s="18"/>
      <c r="F414" s="18"/>
      <c r="G414" s="20"/>
      <c r="H414" s="18"/>
      <c r="I414" s="21"/>
    </row>
    <row r="415" ht="22.5" customHeight="1">
      <c r="A415" s="20"/>
      <c r="B415" s="60"/>
      <c r="C415" s="14"/>
      <c r="D415" s="17"/>
      <c r="E415" s="18"/>
      <c r="F415" s="18"/>
      <c r="G415" s="20"/>
      <c r="H415" s="18"/>
      <c r="I415" s="21"/>
    </row>
    <row r="416" ht="22.5" customHeight="1">
      <c r="A416" s="20"/>
      <c r="B416" s="60"/>
      <c r="C416" s="14"/>
      <c r="D416" s="17"/>
      <c r="E416" s="18"/>
      <c r="F416" s="18"/>
      <c r="G416" s="20"/>
      <c r="H416" s="18"/>
      <c r="I416" s="21"/>
    </row>
    <row r="417" ht="22.5" customHeight="1">
      <c r="A417" s="20"/>
      <c r="B417" s="60"/>
      <c r="C417" s="14"/>
      <c r="D417" s="17"/>
      <c r="E417" s="18"/>
      <c r="F417" s="18"/>
      <c r="G417" s="20"/>
      <c r="H417" s="18"/>
      <c r="I417" s="21"/>
    </row>
    <row r="418" ht="22.5" customHeight="1">
      <c r="A418" s="20"/>
      <c r="B418" s="60"/>
      <c r="C418" s="14"/>
      <c r="D418" s="17"/>
      <c r="E418" s="18"/>
      <c r="F418" s="18"/>
      <c r="G418" s="20"/>
      <c r="H418" s="18"/>
      <c r="I418" s="21"/>
    </row>
    <row r="419" ht="22.5" customHeight="1">
      <c r="A419" s="20"/>
      <c r="B419" s="60"/>
      <c r="C419" s="14"/>
      <c r="D419" s="17"/>
      <c r="E419" s="18"/>
      <c r="F419" s="18"/>
      <c r="G419" s="20"/>
      <c r="H419" s="18"/>
      <c r="I419" s="21"/>
    </row>
    <row r="420" ht="22.5" customHeight="1">
      <c r="A420" s="20"/>
      <c r="B420" s="60"/>
      <c r="C420" s="14"/>
      <c r="D420" s="17"/>
      <c r="E420" s="18"/>
      <c r="F420" s="18"/>
      <c r="G420" s="20"/>
      <c r="H420" s="18"/>
      <c r="I420" s="21"/>
    </row>
    <row r="421" ht="22.5" customHeight="1">
      <c r="A421" s="20"/>
      <c r="B421" s="60"/>
      <c r="C421" s="14"/>
      <c r="D421" s="17"/>
      <c r="E421" s="18"/>
      <c r="F421" s="18"/>
      <c r="G421" s="20"/>
      <c r="H421" s="18"/>
      <c r="I421" s="21"/>
    </row>
    <row r="422" ht="22.5" customHeight="1">
      <c r="A422" s="20"/>
      <c r="B422" s="60"/>
      <c r="C422" s="14"/>
      <c r="D422" s="17"/>
      <c r="E422" s="18"/>
      <c r="F422" s="18"/>
      <c r="G422" s="20"/>
      <c r="H422" s="18"/>
      <c r="I422" s="21"/>
    </row>
    <row r="423" ht="22.5" customHeight="1">
      <c r="A423" s="20"/>
      <c r="B423" s="60"/>
      <c r="C423" s="14"/>
      <c r="D423" s="17"/>
      <c r="E423" s="18"/>
      <c r="F423" s="18"/>
      <c r="G423" s="20"/>
      <c r="H423" s="18"/>
      <c r="I423" s="21"/>
    </row>
    <row r="424" ht="22.5" customHeight="1">
      <c r="A424" s="20"/>
      <c r="B424" s="60"/>
      <c r="C424" s="14"/>
      <c r="D424" s="17"/>
      <c r="E424" s="18"/>
      <c r="F424" s="18"/>
      <c r="G424" s="20"/>
      <c r="H424" s="18"/>
      <c r="I424" s="21"/>
    </row>
    <row r="425" ht="22.5" customHeight="1">
      <c r="A425" s="20"/>
      <c r="B425" s="60"/>
      <c r="C425" s="14"/>
      <c r="D425" s="17"/>
      <c r="E425" s="18"/>
      <c r="F425" s="18"/>
      <c r="G425" s="20"/>
      <c r="H425" s="18"/>
      <c r="I425" s="21"/>
    </row>
    <row r="426" ht="22.5" customHeight="1">
      <c r="A426" s="20"/>
      <c r="B426" s="60"/>
      <c r="C426" s="14"/>
      <c r="D426" s="17"/>
      <c r="E426" s="18"/>
      <c r="F426" s="18"/>
      <c r="G426" s="20"/>
      <c r="H426" s="18"/>
      <c r="I426" s="21"/>
    </row>
    <row r="427" ht="22.5" customHeight="1">
      <c r="A427" s="20"/>
      <c r="B427" s="60"/>
      <c r="C427" s="14"/>
      <c r="D427" s="17"/>
      <c r="E427" s="18"/>
      <c r="F427" s="18"/>
      <c r="G427" s="20"/>
      <c r="H427" s="18"/>
      <c r="I427" s="21"/>
    </row>
    <row r="428" ht="22.5" customHeight="1">
      <c r="A428" s="20"/>
      <c r="B428" s="60"/>
      <c r="C428" s="14"/>
      <c r="D428" s="17"/>
      <c r="E428" s="18"/>
      <c r="F428" s="18"/>
      <c r="G428" s="20"/>
      <c r="H428" s="18"/>
      <c r="I428" s="21"/>
    </row>
    <row r="429" ht="22.5" customHeight="1">
      <c r="A429" s="20"/>
      <c r="B429" s="60"/>
      <c r="C429" s="14"/>
      <c r="D429" s="17"/>
      <c r="E429" s="18"/>
      <c r="F429" s="18"/>
      <c r="G429" s="20"/>
      <c r="H429" s="18"/>
      <c r="I429" s="21"/>
    </row>
    <row r="430" ht="22.5" customHeight="1">
      <c r="A430" s="20"/>
      <c r="B430" s="60"/>
      <c r="C430" s="14"/>
      <c r="D430" s="17"/>
      <c r="E430" s="18"/>
      <c r="F430" s="18"/>
      <c r="G430" s="20"/>
      <c r="H430" s="18"/>
      <c r="I430" s="21"/>
    </row>
    <row r="431" ht="22.5" customHeight="1">
      <c r="A431" s="20"/>
      <c r="B431" s="60"/>
      <c r="C431" s="14"/>
      <c r="D431" s="17"/>
      <c r="E431" s="18"/>
      <c r="F431" s="18"/>
      <c r="G431" s="20"/>
      <c r="H431" s="18"/>
      <c r="I431" s="21"/>
    </row>
    <row r="432" ht="22.5" customHeight="1">
      <c r="A432" s="20"/>
      <c r="B432" s="60"/>
      <c r="C432" s="14"/>
      <c r="D432" s="17"/>
      <c r="E432" s="18"/>
      <c r="F432" s="18"/>
      <c r="G432" s="20"/>
      <c r="H432" s="18"/>
      <c r="I432" s="21"/>
    </row>
    <row r="433" ht="22.5" customHeight="1">
      <c r="A433" s="20"/>
      <c r="B433" s="60"/>
      <c r="C433" s="14"/>
      <c r="D433" s="17"/>
      <c r="E433" s="18"/>
      <c r="F433" s="18"/>
      <c r="G433" s="20"/>
      <c r="H433" s="18"/>
      <c r="I433" s="21"/>
    </row>
    <row r="434" ht="22.5" customHeight="1">
      <c r="A434" s="20"/>
      <c r="B434" s="60"/>
      <c r="C434" s="14"/>
      <c r="D434" s="17"/>
      <c r="E434" s="18"/>
      <c r="F434" s="18"/>
      <c r="G434" s="20"/>
      <c r="H434" s="18"/>
      <c r="I434" s="21"/>
    </row>
    <row r="435" ht="22.5" customHeight="1">
      <c r="A435" s="20"/>
      <c r="B435" s="60"/>
      <c r="C435" s="14"/>
      <c r="D435" s="17"/>
      <c r="E435" s="18"/>
      <c r="F435" s="18"/>
      <c r="G435" s="20"/>
      <c r="H435" s="18"/>
      <c r="I435" s="21"/>
    </row>
    <row r="436" ht="22.5" customHeight="1">
      <c r="A436" s="20"/>
      <c r="B436" s="60"/>
      <c r="C436" s="14"/>
      <c r="D436" s="17"/>
      <c r="E436" s="18"/>
      <c r="F436" s="18"/>
      <c r="G436" s="20"/>
      <c r="H436" s="18"/>
      <c r="I436" s="21"/>
    </row>
    <row r="437" ht="22.5" customHeight="1">
      <c r="A437" s="20"/>
      <c r="B437" s="60"/>
      <c r="C437" s="14"/>
      <c r="D437" s="17"/>
      <c r="E437" s="18"/>
      <c r="F437" s="18"/>
      <c r="G437" s="20"/>
      <c r="H437" s="18"/>
      <c r="I437" s="21"/>
    </row>
    <row r="438" ht="22.5" customHeight="1">
      <c r="A438" s="20"/>
      <c r="B438" s="60"/>
      <c r="C438" s="14"/>
      <c r="D438" s="17"/>
      <c r="E438" s="18"/>
      <c r="F438" s="18"/>
      <c r="G438" s="20"/>
      <c r="H438" s="18"/>
      <c r="I438" s="21"/>
    </row>
    <row r="439" ht="22.5" customHeight="1">
      <c r="A439" s="20"/>
      <c r="B439" s="60"/>
      <c r="C439" s="14"/>
      <c r="D439" s="17"/>
      <c r="E439" s="18"/>
      <c r="F439" s="18"/>
      <c r="G439" s="20"/>
      <c r="H439" s="18"/>
      <c r="I439" s="21"/>
    </row>
    <row r="440" ht="22.5" customHeight="1">
      <c r="A440" s="20"/>
      <c r="B440" s="60"/>
      <c r="C440" s="14"/>
      <c r="D440" s="17"/>
      <c r="E440" s="18"/>
      <c r="F440" s="18"/>
      <c r="G440" s="20"/>
      <c r="H440" s="18"/>
      <c r="I440" s="21"/>
    </row>
    <row r="441" ht="22.5" customHeight="1">
      <c r="A441" s="20"/>
      <c r="B441" s="60"/>
      <c r="C441" s="14"/>
      <c r="D441" s="17"/>
      <c r="E441" s="18"/>
      <c r="F441" s="18"/>
      <c r="G441" s="20"/>
      <c r="H441" s="18"/>
      <c r="I441" s="21"/>
    </row>
    <row r="442" ht="22.5" customHeight="1">
      <c r="A442" s="20"/>
      <c r="B442" s="60"/>
      <c r="C442" s="14"/>
      <c r="D442" s="17"/>
      <c r="E442" s="18"/>
      <c r="F442" s="18"/>
      <c r="G442" s="20"/>
      <c r="H442" s="18"/>
      <c r="I442" s="21"/>
    </row>
    <row r="443" ht="22.5" customHeight="1">
      <c r="A443" s="20"/>
      <c r="B443" s="60"/>
      <c r="C443" s="14"/>
      <c r="D443" s="17"/>
      <c r="E443" s="18"/>
      <c r="F443" s="18"/>
      <c r="G443" s="20"/>
      <c r="H443" s="18"/>
      <c r="I443" s="21"/>
    </row>
    <row r="444" ht="22.5" customHeight="1">
      <c r="A444" s="20"/>
      <c r="B444" s="60"/>
      <c r="C444" s="14"/>
      <c r="D444" s="17"/>
      <c r="E444" s="18"/>
      <c r="F444" s="18"/>
      <c r="G444" s="20"/>
      <c r="H444" s="18"/>
      <c r="I444" s="21"/>
    </row>
    <row r="445" ht="22.5" customHeight="1">
      <c r="A445" s="20"/>
      <c r="B445" s="60"/>
      <c r="C445" s="14"/>
      <c r="D445" s="17"/>
      <c r="E445" s="18"/>
      <c r="F445" s="18"/>
      <c r="G445" s="20"/>
      <c r="H445" s="18"/>
      <c r="I445" s="21"/>
    </row>
    <row r="446" ht="22.5" customHeight="1">
      <c r="A446" s="20"/>
      <c r="B446" s="60"/>
      <c r="C446" s="14"/>
      <c r="D446" s="17"/>
      <c r="E446" s="18"/>
      <c r="F446" s="18"/>
      <c r="G446" s="20"/>
      <c r="H446" s="18"/>
      <c r="I446" s="21"/>
    </row>
    <row r="447" ht="22.5" customHeight="1">
      <c r="A447" s="20"/>
      <c r="B447" s="60"/>
      <c r="C447" s="14"/>
      <c r="D447" s="17"/>
      <c r="E447" s="18"/>
      <c r="F447" s="18"/>
      <c r="G447" s="20"/>
      <c r="H447" s="18"/>
      <c r="I447" s="21"/>
    </row>
    <row r="448" ht="22.5" customHeight="1">
      <c r="A448" s="20"/>
      <c r="B448" s="60"/>
      <c r="C448" s="14"/>
      <c r="D448" s="17"/>
      <c r="E448" s="18"/>
      <c r="F448" s="18"/>
      <c r="G448" s="20"/>
      <c r="H448" s="18"/>
      <c r="I448" s="21"/>
    </row>
    <row r="449" ht="22.5" customHeight="1">
      <c r="A449" s="20"/>
      <c r="B449" s="60"/>
      <c r="C449" s="14"/>
      <c r="D449" s="17"/>
      <c r="E449" s="18"/>
      <c r="F449" s="18"/>
      <c r="G449" s="20"/>
      <c r="H449" s="18"/>
      <c r="I449" s="21"/>
    </row>
    <row r="450" ht="22.5" customHeight="1">
      <c r="A450" s="20"/>
      <c r="B450" s="60"/>
      <c r="C450" s="14"/>
      <c r="D450" s="17"/>
      <c r="E450" s="18"/>
      <c r="F450" s="18"/>
      <c r="G450" s="20"/>
      <c r="H450" s="18"/>
      <c r="I450" s="21"/>
    </row>
    <row r="451" ht="22.5" customHeight="1">
      <c r="A451" s="20"/>
      <c r="B451" s="60"/>
      <c r="C451" s="14"/>
      <c r="D451" s="17"/>
      <c r="E451" s="18"/>
      <c r="F451" s="18"/>
      <c r="G451" s="20"/>
      <c r="H451" s="18"/>
      <c r="I451" s="21"/>
    </row>
    <row r="452" ht="22.5" customHeight="1">
      <c r="A452" s="20"/>
      <c r="B452" s="60"/>
      <c r="C452" s="14"/>
      <c r="D452" s="17"/>
      <c r="E452" s="18"/>
      <c r="F452" s="18"/>
      <c r="G452" s="20"/>
      <c r="H452" s="18"/>
      <c r="I452" s="21"/>
    </row>
    <row r="453" ht="22.5" customHeight="1">
      <c r="A453" s="20"/>
      <c r="B453" s="60"/>
      <c r="C453" s="14"/>
      <c r="D453" s="17"/>
      <c r="E453" s="18"/>
      <c r="F453" s="18"/>
      <c r="G453" s="20"/>
      <c r="H453" s="18"/>
      <c r="I453" s="21"/>
    </row>
    <row r="454" ht="22.5" customHeight="1">
      <c r="A454" s="20"/>
      <c r="B454" s="60"/>
      <c r="C454" s="14"/>
      <c r="D454" s="17"/>
      <c r="E454" s="18"/>
      <c r="F454" s="18"/>
      <c r="G454" s="20"/>
      <c r="H454" s="18"/>
      <c r="I454" s="21"/>
    </row>
    <row r="455" ht="22.5" customHeight="1">
      <c r="A455" s="20"/>
      <c r="B455" s="60"/>
      <c r="C455" s="14"/>
      <c r="D455" s="17"/>
      <c r="E455" s="18"/>
      <c r="F455" s="18"/>
      <c r="G455" s="20"/>
      <c r="H455" s="18"/>
      <c r="I455" s="21"/>
    </row>
    <row r="456" ht="22.5" customHeight="1">
      <c r="A456" s="20"/>
      <c r="B456" s="60"/>
      <c r="C456" s="14"/>
      <c r="D456" s="17"/>
      <c r="E456" s="18"/>
      <c r="F456" s="18"/>
      <c r="G456" s="20"/>
      <c r="H456" s="18"/>
      <c r="I456" s="21"/>
    </row>
    <row r="457" ht="22.5" customHeight="1">
      <c r="A457" s="20"/>
      <c r="B457" s="60"/>
      <c r="C457" s="14"/>
      <c r="D457" s="17"/>
      <c r="E457" s="18"/>
      <c r="F457" s="18"/>
      <c r="G457" s="20"/>
      <c r="H457" s="18"/>
      <c r="I457" s="21"/>
    </row>
    <row r="458" ht="22.5" customHeight="1">
      <c r="A458" s="20"/>
      <c r="B458" s="60"/>
      <c r="C458" s="14"/>
      <c r="D458" s="17"/>
      <c r="E458" s="18"/>
      <c r="F458" s="18"/>
      <c r="G458" s="20"/>
      <c r="H458" s="18"/>
      <c r="I458" s="21"/>
    </row>
    <row r="459" ht="22.5" customHeight="1">
      <c r="A459" s="20"/>
      <c r="B459" s="60"/>
      <c r="C459" s="14"/>
      <c r="D459" s="17"/>
      <c r="E459" s="18"/>
      <c r="F459" s="18"/>
      <c r="G459" s="20"/>
      <c r="H459" s="18"/>
      <c r="I459" s="21"/>
    </row>
    <row r="460" ht="22.5" customHeight="1">
      <c r="A460" s="20"/>
      <c r="B460" s="60"/>
      <c r="C460" s="14"/>
      <c r="D460" s="17"/>
      <c r="E460" s="18"/>
      <c r="F460" s="18"/>
      <c r="G460" s="20"/>
      <c r="H460" s="18"/>
      <c r="I460" s="21"/>
    </row>
    <row r="461" ht="22.5" customHeight="1">
      <c r="A461" s="20"/>
      <c r="B461" s="60"/>
      <c r="C461" s="14"/>
      <c r="D461" s="17"/>
      <c r="E461" s="18"/>
      <c r="F461" s="18"/>
      <c r="G461" s="20"/>
      <c r="H461" s="18"/>
      <c r="I461" s="21"/>
    </row>
    <row r="462" ht="22.5" customHeight="1">
      <c r="A462" s="20"/>
      <c r="B462" s="60"/>
      <c r="C462" s="14"/>
      <c r="D462" s="17"/>
      <c r="E462" s="18"/>
      <c r="F462" s="18"/>
      <c r="G462" s="20"/>
      <c r="H462" s="18"/>
      <c r="I462" s="21"/>
    </row>
    <row r="463" ht="22.5" customHeight="1">
      <c r="A463" s="20"/>
      <c r="B463" s="60"/>
      <c r="C463" s="14"/>
      <c r="D463" s="17"/>
      <c r="E463" s="18"/>
      <c r="F463" s="18"/>
      <c r="G463" s="20"/>
      <c r="H463" s="18"/>
      <c r="I463" s="21"/>
    </row>
    <row r="464" ht="22.5" customHeight="1">
      <c r="A464" s="20"/>
      <c r="B464" s="60"/>
      <c r="C464" s="14"/>
      <c r="D464" s="17"/>
      <c r="E464" s="18"/>
      <c r="F464" s="18"/>
      <c r="G464" s="20"/>
      <c r="H464" s="18"/>
      <c r="I464" s="21"/>
    </row>
    <row r="465" ht="22.5" customHeight="1">
      <c r="A465" s="20"/>
      <c r="B465" s="60"/>
      <c r="C465" s="14"/>
      <c r="D465" s="17"/>
      <c r="E465" s="18"/>
      <c r="F465" s="18"/>
      <c r="G465" s="20"/>
      <c r="H465" s="18"/>
      <c r="I465" s="21"/>
    </row>
    <row r="466" ht="22.5" customHeight="1">
      <c r="A466" s="20"/>
      <c r="B466" s="60"/>
      <c r="C466" s="14"/>
      <c r="D466" s="17"/>
      <c r="E466" s="18"/>
      <c r="F466" s="18"/>
      <c r="G466" s="20"/>
      <c r="H466" s="18"/>
      <c r="I466" s="21"/>
    </row>
    <row r="467" ht="22.5" customHeight="1">
      <c r="A467" s="20"/>
      <c r="B467" s="60"/>
      <c r="C467" s="14"/>
      <c r="D467" s="17"/>
      <c r="E467" s="18"/>
      <c r="F467" s="18"/>
      <c r="G467" s="20"/>
      <c r="H467" s="18"/>
      <c r="I467" s="21"/>
    </row>
    <row r="468" ht="22.5" customHeight="1">
      <c r="A468" s="20"/>
      <c r="B468" s="60"/>
      <c r="C468" s="14"/>
      <c r="D468" s="17"/>
      <c r="E468" s="18"/>
      <c r="F468" s="18"/>
      <c r="G468" s="20"/>
      <c r="H468" s="18"/>
      <c r="I468" s="21"/>
    </row>
    <row r="469" ht="22.5" customHeight="1">
      <c r="A469" s="20"/>
      <c r="B469" s="60"/>
      <c r="C469" s="14"/>
      <c r="D469" s="17"/>
      <c r="E469" s="18"/>
      <c r="F469" s="18"/>
      <c r="G469" s="20"/>
      <c r="H469" s="18"/>
      <c r="I469" s="21"/>
    </row>
    <row r="470" ht="22.5" customHeight="1">
      <c r="A470" s="20"/>
      <c r="B470" s="60"/>
      <c r="C470" s="14"/>
      <c r="D470" s="17"/>
      <c r="E470" s="18"/>
      <c r="F470" s="18"/>
      <c r="G470" s="20"/>
      <c r="H470" s="18"/>
      <c r="I470" s="21"/>
    </row>
    <row r="471" ht="22.5" customHeight="1">
      <c r="A471" s="20"/>
      <c r="B471" s="60"/>
      <c r="C471" s="14"/>
      <c r="D471" s="17"/>
      <c r="E471" s="18"/>
      <c r="F471" s="18"/>
      <c r="G471" s="20"/>
      <c r="H471" s="18"/>
      <c r="I471" s="21"/>
    </row>
    <row r="472" ht="22.5" customHeight="1">
      <c r="A472" s="20"/>
      <c r="B472" s="60"/>
      <c r="C472" s="14"/>
      <c r="D472" s="17"/>
      <c r="E472" s="18"/>
      <c r="F472" s="18"/>
      <c r="G472" s="20"/>
      <c r="H472" s="18"/>
      <c r="I472" s="21"/>
    </row>
    <row r="473" ht="22.5" customHeight="1">
      <c r="A473" s="20"/>
      <c r="B473" s="60"/>
      <c r="C473" s="14"/>
      <c r="D473" s="17"/>
      <c r="E473" s="18"/>
      <c r="F473" s="18"/>
      <c r="G473" s="20"/>
      <c r="H473" s="18"/>
      <c r="I473" s="21"/>
    </row>
    <row r="474" ht="22.5" customHeight="1">
      <c r="A474" s="20"/>
      <c r="B474" s="60"/>
      <c r="C474" s="14"/>
      <c r="D474" s="17"/>
      <c r="E474" s="18"/>
      <c r="F474" s="18"/>
      <c r="G474" s="20"/>
      <c r="H474" s="18"/>
      <c r="I474" s="21"/>
    </row>
    <row r="475" ht="22.5" customHeight="1">
      <c r="A475" s="20"/>
      <c r="B475" s="60"/>
      <c r="C475" s="14"/>
      <c r="D475" s="17"/>
      <c r="E475" s="18"/>
      <c r="F475" s="18"/>
      <c r="G475" s="20"/>
      <c r="H475" s="18"/>
      <c r="I475" s="21"/>
    </row>
    <row r="476" ht="22.5" customHeight="1">
      <c r="A476" s="20"/>
      <c r="B476" s="60"/>
      <c r="C476" s="14"/>
      <c r="D476" s="17"/>
      <c r="E476" s="18"/>
      <c r="F476" s="18"/>
      <c r="G476" s="20"/>
      <c r="H476" s="18"/>
      <c r="I476" s="21"/>
    </row>
    <row r="477" ht="22.5" customHeight="1">
      <c r="A477" s="20"/>
      <c r="B477" s="60"/>
      <c r="C477" s="14"/>
      <c r="D477" s="17"/>
      <c r="E477" s="18"/>
      <c r="F477" s="18"/>
      <c r="G477" s="20"/>
      <c r="H477" s="18"/>
      <c r="I477" s="21"/>
    </row>
    <row r="478" ht="22.5" customHeight="1">
      <c r="A478" s="20"/>
      <c r="B478" s="60"/>
      <c r="C478" s="14"/>
      <c r="D478" s="17"/>
      <c r="E478" s="18"/>
      <c r="F478" s="18"/>
      <c r="G478" s="20"/>
      <c r="H478" s="18"/>
      <c r="I478" s="21"/>
    </row>
    <row r="479" ht="22.5" customHeight="1">
      <c r="A479" s="20"/>
      <c r="B479" s="60"/>
      <c r="C479" s="14"/>
      <c r="D479" s="17"/>
      <c r="E479" s="18"/>
      <c r="F479" s="18"/>
      <c r="G479" s="20"/>
      <c r="H479" s="18"/>
      <c r="I479" s="21"/>
    </row>
    <row r="480" ht="22.5" customHeight="1">
      <c r="A480" s="20"/>
      <c r="B480" s="60"/>
      <c r="C480" s="14"/>
      <c r="D480" s="17"/>
      <c r="E480" s="18"/>
      <c r="F480" s="18"/>
      <c r="G480" s="20"/>
      <c r="H480" s="18"/>
      <c r="I480" s="21"/>
    </row>
    <row r="481" ht="22.5" customHeight="1">
      <c r="A481" s="20"/>
      <c r="B481" s="60"/>
      <c r="C481" s="14"/>
      <c r="D481" s="17"/>
      <c r="E481" s="18"/>
      <c r="F481" s="18"/>
      <c r="G481" s="20"/>
      <c r="H481" s="18"/>
      <c r="I481" s="21"/>
    </row>
    <row r="482" ht="22.5" customHeight="1">
      <c r="A482" s="20"/>
      <c r="B482" s="60"/>
      <c r="C482" s="14"/>
      <c r="D482" s="17"/>
      <c r="E482" s="18"/>
      <c r="F482" s="18"/>
      <c r="G482" s="20"/>
      <c r="H482" s="18"/>
      <c r="I482" s="21"/>
    </row>
    <row r="483" ht="22.5" customHeight="1">
      <c r="A483" s="20"/>
      <c r="B483" s="60"/>
      <c r="C483" s="14"/>
      <c r="D483" s="17"/>
      <c r="E483" s="18"/>
      <c r="F483" s="18"/>
      <c r="G483" s="20"/>
      <c r="H483" s="18"/>
      <c r="I483" s="21"/>
    </row>
    <row r="484" ht="22.5" customHeight="1">
      <c r="A484" s="20"/>
      <c r="B484" s="60"/>
      <c r="C484" s="14"/>
      <c r="D484" s="17"/>
      <c r="E484" s="18"/>
      <c r="F484" s="18"/>
      <c r="G484" s="20"/>
      <c r="H484" s="18"/>
      <c r="I484" s="21"/>
    </row>
    <row r="485" ht="22.5" customHeight="1">
      <c r="A485" s="20"/>
      <c r="B485" s="60"/>
      <c r="C485" s="14"/>
      <c r="D485" s="17"/>
      <c r="E485" s="18"/>
      <c r="F485" s="18"/>
      <c r="G485" s="20"/>
      <c r="H485" s="18"/>
      <c r="I485" s="21"/>
    </row>
    <row r="486" ht="22.5" customHeight="1">
      <c r="A486" s="20"/>
      <c r="B486" s="60"/>
      <c r="C486" s="14"/>
      <c r="D486" s="17"/>
      <c r="E486" s="18"/>
      <c r="F486" s="18"/>
      <c r="G486" s="20"/>
      <c r="H486" s="18"/>
      <c r="I486" s="21"/>
    </row>
    <row r="487" ht="22.5" customHeight="1">
      <c r="A487" s="20"/>
      <c r="B487" s="60"/>
      <c r="C487" s="14"/>
      <c r="D487" s="17"/>
      <c r="E487" s="18"/>
      <c r="F487" s="18"/>
      <c r="G487" s="20"/>
      <c r="H487" s="18"/>
      <c r="I487" s="21"/>
    </row>
    <row r="488" ht="22.5" customHeight="1">
      <c r="A488" s="20"/>
      <c r="B488" s="60"/>
      <c r="C488" s="14"/>
      <c r="D488" s="17"/>
      <c r="E488" s="18"/>
      <c r="F488" s="18"/>
      <c r="G488" s="20"/>
      <c r="H488" s="18"/>
      <c r="I488" s="21"/>
    </row>
    <row r="489" ht="22.5" customHeight="1">
      <c r="A489" s="20"/>
      <c r="B489" s="60"/>
      <c r="C489" s="14"/>
      <c r="D489" s="17"/>
      <c r="E489" s="18"/>
      <c r="F489" s="18"/>
      <c r="G489" s="20"/>
      <c r="H489" s="18"/>
      <c r="I489" s="21"/>
    </row>
    <row r="490" ht="22.5" customHeight="1">
      <c r="A490" s="20"/>
      <c r="B490" s="60"/>
      <c r="C490" s="14"/>
      <c r="D490" s="17"/>
      <c r="E490" s="18"/>
      <c r="F490" s="18"/>
      <c r="G490" s="20"/>
      <c r="H490" s="18"/>
      <c r="I490" s="21"/>
    </row>
    <row r="491" ht="22.5" customHeight="1">
      <c r="A491" s="20"/>
      <c r="B491" s="60"/>
      <c r="C491" s="14"/>
      <c r="D491" s="17"/>
      <c r="E491" s="18"/>
      <c r="F491" s="18"/>
      <c r="G491" s="20"/>
      <c r="H491" s="18"/>
      <c r="I491" s="21"/>
    </row>
    <row r="492" ht="22.5" customHeight="1">
      <c r="A492" s="20"/>
      <c r="B492" s="60"/>
      <c r="C492" s="14"/>
      <c r="D492" s="17"/>
      <c r="E492" s="18"/>
      <c r="F492" s="18"/>
      <c r="G492" s="20"/>
      <c r="H492" s="18"/>
      <c r="I492" s="21"/>
    </row>
    <row r="493" ht="22.5" customHeight="1">
      <c r="A493" s="20"/>
      <c r="B493" s="60"/>
      <c r="C493" s="14"/>
      <c r="D493" s="17"/>
      <c r="E493" s="18"/>
      <c r="F493" s="18"/>
      <c r="G493" s="20"/>
      <c r="H493" s="18"/>
      <c r="I493" s="21"/>
    </row>
    <row r="494" ht="22.5" customHeight="1">
      <c r="A494" s="20"/>
      <c r="B494" s="60"/>
      <c r="C494" s="14"/>
      <c r="D494" s="17"/>
      <c r="E494" s="18"/>
      <c r="F494" s="18"/>
      <c r="G494" s="20"/>
      <c r="H494" s="18"/>
      <c r="I494" s="21"/>
    </row>
    <row r="495" ht="22.5" customHeight="1">
      <c r="A495" s="20"/>
      <c r="B495" s="60"/>
      <c r="C495" s="14"/>
      <c r="D495" s="17"/>
      <c r="E495" s="18"/>
      <c r="F495" s="18"/>
      <c r="G495" s="20"/>
      <c r="H495" s="18"/>
      <c r="I495" s="21"/>
    </row>
    <row r="496" ht="22.5" customHeight="1">
      <c r="A496" s="20"/>
      <c r="B496" s="60"/>
      <c r="C496" s="14"/>
      <c r="D496" s="17"/>
      <c r="E496" s="18"/>
      <c r="F496" s="18"/>
      <c r="G496" s="20"/>
      <c r="H496" s="18"/>
      <c r="I496" s="21"/>
    </row>
    <row r="497" ht="22.5" customHeight="1">
      <c r="A497" s="20"/>
      <c r="B497" s="60"/>
      <c r="C497" s="14"/>
      <c r="D497" s="17"/>
      <c r="E497" s="18"/>
      <c r="F497" s="18"/>
      <c r="G497" s="20"/>
      <c r="H497" s="18"/>
      <c r="I497" s="21"/>
    </row>
    <row r="498" ht="22.5" customHeight="1">
      <c r="A498" s="20"/>
      <c r="B498" s="60"/>
      <c r="C498" s="14"/>
      <c r="D498" s="17"/>
      <c r="E498" s="18"/>
      <c r="F498" s="18"/>
      <c r="G498" s="20"/>
      <c r="H498" s="18"/>
      <c r="I498" s="21"/>
    </row>
    <row r="499" ht="22.5" customHeight="1">
      <c r="A499" s="20"/>
      <c r="B499" s="60"/>
      <c r="C499" s="14"/>
      <c r="D499" s="17"/>
      <c r="E499" s="18"/>
      <c r="F499" s="18"/>
      <c r="G499" s="20"/>
      <c r="H499" s="18"/>
      <c r="I499" s="21"/>
    </row>
    <row r="500" ht="22.5" customHeight="1">
      <c r="A500" s="20"/>
      <c r="B500" s="60"/>
      <c r="C500" s="14"/>
      <c r="D500" s="17"/>
      <c r="E500" s="18"/>
      <c r="F500" s="18"/>
      <c r="G500" s="20"/>
      <c r="H500" s="18"/>
      <c r="I500" s="21"/>
    </row>
    <row r="501" ht="22.5" customHeight="1">
      <c r="A501" s="20"/>
      <c r="B501" s="60"/>
      <c r="C501" s="14"/>
      <c r="D501" s="17"/>
      <c r="E501" s="18"/>
      <c r="F501" s="18"/>
      <c r="G501" s="20"/>
      <c r="H501" s="18"/>
      <c r="I501" s="21"/>
    </row>
    <row r="502" ht="22.5" customHeight="1">
      <c r="A502" s="20"/>
      <c r="B502" s="60"/>
      <c r="C502" s="14"/>
      <c r="D502" s="17"/>
      <c r="E502" s="18"/>
      <c r="F502" s="18"/>
      <c r="G502" s="20"/>
      <c r="H502" s="18"/>
      <c r="I502" s="21"/>
    </row>
    <row r="503" ht="22.5" customHeight="1">
      <c r="A503" s="20"/>
      <c r="B503" s="60"/>
      <c r="C503" s="14"/>
      <c r="D503" s="17"/>
      <c r="E503" s="18"/>
      <c r="F503" s="18"/>
      <c r="G503" s="20"/>
      <c r="H503" s="18"/>
      <c r="I503" s="21"/>
    </row>
    <row r="504" ht="22.5" customHeight="1">
      <c r="A504" s="20"/>
      <c r="B504" s="60"/>
      <c r="C504" s="14"/>
      <c r="D504" s="17"/>
      <c r="E504" s="18"/>
      <c r="F504" s="18"/>
      <c r="G504" s="20"/>
      <c r="H504" s="18"/>
      <c r="I504" s="21"/>
    </row>
    <row r="505" ht="22.5" customHeight="1">
      <c r="A505" s="20"/>
      <c r="B505" s="60"/>
      <c r="C505" s="14"/>
      <c r="D505" s="17"/>
      <c r="E505" s="18"/>
      <c r="F505" s="18"/>
      <c r="G505" s="20"/>
      <c r="H505" s="18"/>
      <c r="I505" s="21"/>
    </row>
    <row r="506" ht="22.5" customHeight="1">
      <c r="A506" s="20"/>
      <c r="B506" s="60"/>
      <c r="C506" s="14"/>
      <c r="D506" s="17"/>
      <c r="E506" s="18"/>
      <c r="F506" s="18"/>
      <c r="G506" s="20"/>
      <c r="H506" s="18"/>
      <c r="I506" s="21"/>
    </row>
    <row r="507" ht="22.5" customHeight="1">
      <c r="A507" s="20"/>
      <c r="B507" s="60"/>
      <c r="C507" s="14"/>
      <c r="D507" s="17"/>
      <c r="E507" s="18"/>
      <c r="F507" s="18"/>
      <c r="G507" s="20"/>
      <c r="H507" s="18"/>
      <c r="I507" s="21"/>
    </row>
    <row r="508" ht="22.5" customHeight="1">
      <c r="A508" s="20"/>
      <c r="B508" s="60"/>
      <c r="C508" s="14"/>
      <c r="D508" s="17"/>
      <c r="E508" s="18"/>
      <c r="F508" s="18"/>
      <c r="G508" s="20"/>
      <c r="H508" s="18"/>
      <c r="I508" s="21"/>
    </row>
    <row r="509" ht="22.5" customHeight="1">
      <c r="A509" s="20"/>
      <c r="B509" s="60"/>
      <c r="C509" s="14"/>
      <c r="D509" s="17"/>
      <c r="E509" s="18"/>
      <c r="F509" s="18"/>
      <c r="G509" s="20"/>
      <c r="H509" s="18"/>
      <c r="I509" s="21"/>
    </row>
    <row r="510" ht="22.5" customHeight="1">
      <c r="A510" s="20"/>
      <c r="B510" s="60"/>
      <c r="C510" s="14"/>
      <c r="D510" s="17"/>
      <c r="E510" s="18"/>
      <c r="F510" s="18"/>
      <c r="G510" s="20"/>
      <c r="H510" s="18"/>
      <c r="I510" s="21"/>
    </row>
    <row r="511" ht="22.5" customHeight="1">
      <c r="A511" s="20"/>
      <c r="B511" s="60"/>
      <c r="C511" s="14"/>
      <c r="D511" s="17"/>
      <c r="E511" s="18"/>
      <c r="F511" s="18"/>
      <c r="G511" s="20"/>
      <c r="H511" s="18"/>
      <c r="I511" s="21"/>
    </row>
    <row r="512" ht="22.5" customHeight="1">
      <c r="A512" s="20"/>
      <c r="B512" s="60"/>
      <c r="C512" s="14"/>
      <c r="D512" s="17"/>
      <c r="E512" s="18"/>
      <c r="F512" s="18"/>
      <c r="G512" s="20"/>
      <c r="H512" s="18"/>
      <c r="I512" s="21"/>
    </row>
    <row r="513" ht="22.5" customHeight="1">
      <c r="A513" s="20"/>
      <c r="B513" s="60"/>
      <c r="C513" s="14"/>
      <c r="D513" s="17"/>
      <c r="E513" s="18"/>
      <c r="F513" s="18"/>
      <c r="G513" s="20"/>
      <c r="H513" s="18"/>
      <c r="I513" s="21"/>
    </row>
    <row r="514" ht="22.5" customHeight="1">
      <c r="A514" s="20"/>
      <c r="B514" s="60"/>
      <c r="C514" s="14"/>
      <c r="D514" s="17"/>
      <c r="E514" s="18"/>
      <c r="F514" s="18"/>
      <c r="G514" s="20"/>
      <c r="H514" s="18"/>
      <c r="I514" s="21"/>
    </row>
    <row r="515" ht="22.5" customHeight="1">
      <c r="A515" s="20"/>
      <c r="B515" s="60"/>
      <c r="C515" s="14"/>
      <c r="D515" s="17"/>
      <c r="E515" s="18"/>
      <c r="F515" s="18"/>
      <c r="G515" s="20"/>
      <c r="H515" s="18"/>
      <c r="I515" s="21"/>
    </row>
    <row r="516" ht="22.5" customHeight="1">
      <c r="A516" s="20"/>
      <c r="B516" s="60"/>
      <c r="C516" s="14"/>
      <c r="D516" s="17"/>
      <c r="E516" s="18"/>
      <c r="F516" s="18"/>
      <c r="G516" s="20"/>
      <c r="H516" s="18"/>
      <c r="I516" s="21"/>
    </row>
    <row r="517" ht="22.5" customHeight="1">
      <c r="A517" s="20"/>
      <c r="B517" s="60"/>
      <c r="C517" s="14"/>
      <c r="D517" s="17"/>
      <c r="E517" s="18"/>
      <c r="F517" s="18"/>
      <c r="G517" s="20"/>
      <c r="H517" s="18"/>
      <c r="I517" s="21"/>
    </row>
    <row r="518" ht="22.5" customHeight="1">
      <c r="A518" s="20"/>
      <c r="B518" s="60"/>
      <c r="C518" s="14"/>
      <c r="D518" s="17"/>
      <c r="E518" s="18"/>
      <c r="F518" s="18"/>
      <c r="G518" s="20"/>
      <c r="H518" s="18"/>
      <c r="I518" s="21"/>
    </row>
    <row r="519" ht="22.5" customHeight="1">
      <c r="A519" s="20"/>
      <c r="B519" s="60"/>
      <c r="C519" s="14"/>
      <c r="D519" s="17"/>
      <c r="E519" s="18"/>
      <c r="F519" s="18"/>
      <c r="G519" s="20"/>
      <c r="H519" s="18"/>
      <c r="I519" s="21"/>
    </row>
    <row r="520" ht="22.5" customHeight="1">
      <c r="A520" s="20"/>
      <c r="B520" s="60"/>
      <c r="C520" s="14"/>
      <c r="D520" s="17"/>
      <c r="E520" s="18"/>
      <c r="F520" s="18"/>
      <c r="G520" s="20"/>
      <c r="H520" s="18"/>
      <c r="I520" s="21"/>
    </row>
    <row r="521" ht="22.5" customHeight="1">
      <c r="A521" s="20"/>
      <c r="B521" s="60"/>
      <c r="C521" s="14"/>
      <c r="D521" s="17"/>
      <c r="E521" s="18"/>
      <c r="F521" s="18"/>
      <c r="G521" s="20"/>
      <c r="H521" s="18"/>
      <c r="I521" s="21"/>
    </row>
    <row r="522" ht="22.5" customHeight="1">
      <c r="A522" s="20"/>
      <c r="B522" s="60"/>
      <c r="C522" s="14"/>
      <c r="D522" s="17"/>
      <c r="E522" s="18"/>
      <c r="F522" s="18"/>
      <c r="G522" s="20"/>
      <c r="H522" s="18"/>
      <c r="I522" s="21"/>
    </row>
    <row r="523" ht="22.5" customHeight="1">
      <c r="A523" s="20"/>
      <c r="B523" s="60"/>
      <c r="C523" s="14"/>
      <c r="D523" s="17"/>
      <c r="E523" s="18"/>
      <c r="F523" s="18"/>
      <c r="G523" s="20"/>
      <c r="H523" s="18"/>
      <c r="I523" s="21"/>
    </row>
    <row r="524" ht="22.5" customHeight="1">
      <c r="A524" s="20"/>
      <c r="B524" s="60"/>
      <c r="C524" s="14"/>
      <c r="D524" s="17"/>
      <c r="E524" s="18"/>
      <c r="F524" s="18"/>
      <c r="G524" s="20"/>
      <c r="H524" s="18"/>
      <c r="I524" s="21"/>
    </row>
    <row r="525" ht="22.5" customHeight="1">
      <c r="A525" s="20"/>
      <c r="B525" s="60"/>
      <c r="C525" s="14"/>
      <c r="D525" s="17"/>
      <c r="E525" s="18"/>
      <c r="F525" s="18"/>
      <c r="G525" s="20"/>
      <c r="H525" s="18"/>
      <c r="I525" s="21"/>
    </row>
    <row r="526" ht="22.5" customHeight="1">
      <c r="A526" s="20"/>
      <c r="B526" s="60"/>
      <c r="C526" s="14"/>
      <c r="D526" s="17"/>
      <c r="E526" s="18"/>
      <c r="F526" s="18"/>
      <c r="G526" s="20"/>
      <c r="H526" s="18"/>
      <c r="I526" s="21"/>
    </row>
    <row r="527" ht="22.5" customHeight="1">
      <c r="A527" s="20"/>
      <c r="B527" s="60"/>
      <c r="C527" s="14"/>
      <c r="D527" s="17"/>
      <c r="E527" s="18"/>
      <c r="F527" s="18"/>
      <c r="G527" s="20"/>
      <c r="H527" s="18"/>
      <c r="I527" s="21"/>
    </row>
    <row r="528" ht="22.5" customHeight="1">
      <c r="A528" s="20"/>
      <c r="B528" s="60"/>
      <c r="C528" s="14"/>
      <c r="D528" s="17"/>
      <c r="E528" s="18"/>
      <c r="F528" s="18"/>
      <c r="G528" s="20"/>
      <c r="H528" s="18"/>
      <c r="I528" s="21"/>
    </row>
    <row r="529" ht="22.5" customHeight="1">
      <c r="A529" s="20"/>
      <c r="B529" s="60"/>
      <c r="C529" s="14"/>
      <c r="D529" s="17"/>
      <c r="E529" s="18"/>
      <c r="F529" s="18"/>
      <c r="G529" s="20"/>
      <c r="H529" s="18"/>
      <c r="I529" s="21"/>
    </row>
    <row r="530" ht="22.5" customHeight="1">
      <c r="A530" s="20"/>
      <c r="B530" s="60"/>
      <c r="C530" s="14"/>
      <c r="D530" s="17"/>
      <c r="E530" s="18"/>
      <c r="F530" s="18"/>
      <c r="G530" s="20"/>
      <c r="H530" s="18"/>
      <c r="I530" s="21"/>
    </row>
    <row r="531" ht="22.5" customHeight="1">
      <c r="A531" s="20"/>
      <c r="B531" s="60"/>
      <c r="C531" s="14"/>
      <c r="D531" s="17"/>
      <c r="E531" s="18"/>
      <c r="F531" s="18"/>
      <c r="G531" s="20"/>
      <c r="H531" s="18"/>
      <c r="I531" s="21"/>
    </row>
    <row r="532" ht="22.5" customHeight="1">
      <c r="A532" s="20"/>
      <c r="B532" s="60"/>
      <c r="C532" s="14"/>
      <c r="D532" s="17"/>
      <c r="E532" s="18"/>
      <c r="F532" s="18"/>
      <c r="G532" s="20"/>
      <c r="H532" s="18"/>
      <c r="I532" s="21"/>
    </row>
    <row r="533" ht="22.5" customHeight="1">
      <c r="A533" s="20"/>
      <c r="B533" s="60"/>
      <c r="C533" s="14"/>
      <c r="D533" s="17"/>
      <c r="E533" s="18"/>
      <c r="F533" s="18"/>
      <c r="G533" s="20"/>
      <c r="H533" s="18"/>
      <c r="I533" s="21"/>
    </row>
    <row r="534" ht="22.5" customHeight="1">
      <c r="A534" s="20"/>
      <c r="B534" s="60"/>
      <c r="C534" s="14"/>
      <c r="D534" s="17"/>
      <c r="E534" s="18"/>
      <c r="F534" s="18"/>
      <c r="G534" s="20"/>
      <c r="H534" s="18"/>
      <c r="I534" s="21"/>
    </row>
    <row r="535" ht="22.5" customHeight="1">
      <c r="A535" s="20"/>
      <c r="B535" s="60"/>
      <c r="C535" s="14"/>
      <c r="D535" s="17"/>
      <c r="E535" s="18"/>
      <c r="F535" s="18"/>
      <c r="G535" s="20"/>
      <c r="H535" s="18"/>
      <c r="I535" s="21"/>
    </row>
    <row r="536" ht="22.5" customHeight="1">
      <c r="A536" s="20"/>
      <c r="B536" s="60"/>
      <c r="C536" s="14"/>
      <c r="D536" s="17"/>
      <c r="E536" s="18"/>
      <c r="F536" s="18"/>
      <c r="G536" s="20"/>
      <c r="H536" s="18"/>
      <c r="I536" s="21"/>
    </row>
    <row r="537" ht="22.5" customHeight="1">
      <c r="A537" s="20"/>
      <c r="B537" s="60"/>
      <c r="C537" s="14"/>
      <c r="D537" s="17"/>
      <c r="E537" s="18"/>
      <c r="F537" s="18"/>
      <c r="G537" s="20"/>
      <c r="H537" s="18"/>
      <c r="I537" s="21"/>
    </row>
    <row r="538" ht="22.5" customHeight="1">
      <c r="A538" s="20"/>
      <c r="B538" s="60"/>
      <c r="C538" s="14"/>
      <c r="D538" s="17"/>
      <c r="E538" s="18"/>
      <c r="F538" s="18"/>
      <c r="G538" s="20"/>
      <c r="H538" s="18"/>
      <c r="I538" s="21"/>
    </row>
    <row r="539" ht="22.5" customHeight="1">
      <c r="A539" s="20"/>
      <c r="B539" s="60"/>
      <c r="C539" s="14"/>
      <c r="D539" s="17"/>
      <c r="E539" s="18"/>
      <c r="F539" s="18"/>
      <c r="G539" s="20"/>
      <c r="H539" s="18"/>
      <c r="I539" s="21"/>
    </row>
    <row r="540" ht="22.5" customHeight="1">
      <c r="A540" s="20"/>
      <c r="B540" s="60"/>
      <c r="C540" s="14"/>
      <c r="D540" s="17"/>
      <c r="E540" s="18"/>
      <c r="F540" s="18"/>
      <c r="G540" s="20"/>
      <c r="H540" s="18"/>
      <c r="I540" s="21"/>
    </row>
    <row r="541" ht="22.5" customHeight="1">
      <c r="A541" s="20"/>
      <c r="B541" s="60"/>
      <c r="C541" s="14"/>
      <c r="D541" s="17"/>
      <c r="E541" s="18"/>
      <c r="F541" s="18"/>
      <c r="G541" s="20"/>
      <c r="H541" s="18"/>
      <c r="I541" s="21"/>
    </row>
    <row r="542" ht="22.5" customHeight="1">
      <c r="A542" s="20"/>
      <c r="B542" s="60"/>
      <c r="C542" s="14"/>
      <c r="D542" s="17"/>
      <c r="E542" s="18"/>
      <c r="F542" s="18"/>
      <c r="G542" s="20"/>
      <c r="H542" s="18"/>
      <c r="I542" s="21"/>
    </row>
    <row r="543" ht="22.5" customHeight="1">
      <c r="A543" s="20"/>
      <c r="B543" s="60"/>
      <c r="C543" s="14"/>
      <c r="D543" s="17"/>
      <c r="E543" s="18"/>
      <c r="F543" s="18"/>
      <c r="G543" s="20"/>
      <c r="H543" s="18"/>
      <c r="I543" s="21"/>
    </row>
    <row r="544" ht="22.5" customHeight="1">
      <c r="A544" s="20"/>
      <c r="B544" s="60"/>
      <c r="C544" s="14"/>
      <c r="D544" s="17"/>
      <c r="E544" s="18"/>
      <c r="F544" s="18"/>
      <c r="G544" s="20"/>
      <c r="H544" s="18"/>
      <c r="I544" s="21"/>
    </row>
    <row r="545" ht="22.5" customHeight="1">
      <c r="A545" s="20"/>
      <c r="B545" s="60"/>
      <c r="C545" s="14"/>
      <c r="D545" s="17"/>
      <c r="E545" s="18"/>
      <c r="F545" s="18"/>
      <c r="G545" s="20"/>
      <c r="H545" s="18"/>
      <c r="I545" s="21"/>
    </row>
    <row r="546" ht="22.5" customHeight="1">
      <c r="A546" s="20"/>
      <c r="B546" s="60"/>
      <c r="C546" s="14"/>
      <c r="D546" s="17"/>
      <c r="E546" s="18"/>
      <c r="F546" s="18"/>
      <c r="G546" s="20"/>
      <c r="H546" s="18"/>
      <c r="I546" s="21"/>
    </row>
    <row r="547" ht="22.5" customHeight="1">
      <c r="A547" s="20"/>
      <c r="B547" s="60"/>
      <c r="C547" s="14"/>
      <c r="D547" s="17"/>
      <c r="E547" s="18"/>
      <c r="F547" s="18"/>
      <c r="G547" s="20"/>
      <c r="H547" s="18"/>
      <c r="I547" s="21"/>
    </row>
    <row r="548" ht="22.5" customHeight="1">
      <c r="A548" s="20"/>
      <c r="B548" s="60"/>
      <c r="C548" s="14"/>
      <c r="D548" s="17"/>
      <c r="E548" s="18"/>
      <c r="F548" s="18"/>
      <c r="G548" s="20"/>
      <c r="H548" s="18"/>
      <c r="I548" s="21"/>
    </row>
    <row r="549" ht="22.5" customHeight="1">
      <c r="A549" s="20"/>
      <c r="B549" s="60"/>
      <c r="C549" s="14"/>
      <c r="D549" s="17"/>
      <c r="E549" s="18"/>
      <c r="F549" s="18"/>
      <c r="G549" s="20"/>
      <c r="H549" s="18"/>
      <c r="I549" s="21"/>
    </row>
    <row r="550" ht="22.5" customHeight="1">
      <c r="A550" s="20"/>
      <c r="B550" s="60"/>
      <c r="C550" s="14"/>
      <c r="D550" s="17"/>
      <c r="E550" s="18"/>
      <c r="F550" s="18"/>
      <c r="G550" s="20"/>
      <c r="H550" s="18"/>
      <c r="I550" s="21"/>
    </row>
    <row r="551" ht="22.5" customHeight="1">
      <c r="A551" s="20"/>
      <c r="B551" s="60"/>
      <c r="C551" s="14"/>
      <c r="D551" s="17"/>
      <c r="E551" s="18"/>
      <c r="F551" s="18"/>
      <c r="G551" s="20"/>
      <c r="H551" s="18"/>
      <c r="I551" s="21"/>
    </row>
    <row r="552" ht="22.5" customHeight="1">
      <c r="A552" s="20"/>
      <c r="B552" s="60"/>
      <c r="C552" s="14"/>
      <c r="D552" s="17"/>
      <c r="E552" s="18"/>
      <c r="F552" s="18"/>
      <c r="G552" s="20"/>
      <c r="H552" s="18"/>
      <c r="I552" s="21"/>
    </row>
    <row r="553" ht="22.5" customHeight="1">
      <c r="A553" s="20"/>
      <c r="B553" s="60"/>
      <c r="C553" s="14"/>
      <c r="D553" s="17"/>
      <c r="E553" s="18"/>
      <c r="F553" s="18"/>
      <c r="G553" s="20"/>
      <c r="H553" s="18"/>
      <c r="I553" s="21"/>
    </row>
    <row r="554" ht="22.5" customHeight="1">
      <c r="A554" s="20"/>
      <c r="B554" s="60"/>
      <c r="C554" s="14"/>
      <c r="D554" s="17"/>
      <c r="E554" s="18"/>
      <c r="F554" s="18"/>
      <c r="G554" s="20"/>
      <c r="H554" s="18"/>
      <c r="I554" s="21"/>
    </row>
    <row r="555" ht="22.5" customHeight="1">
      <c r="A555" s="20"/>
      <c r="B555" s="60"/>
      <c r="C555" s="14"/>
      <c r="D555" s="17"/>
      <c r="E555" s="18"/>
      <c r="F555" s="18"/>
      <c r="G555" s="20"/>
      <c r="H555" s="18"/>
      <c r="I555" s="21"/>
    </row>
    <row r="556" ht="22.5" customHeight="1">
      <c r="A556" s="20"/>
      <c r="B556" s="60"/>
      <c r="C556" s="14"/>
      <c r="D556" s="17"/>
      <c r="E556" s="18"/>
      <c r="F556" s="18"/>
      <c r="G556" s="20"/>
      <c r="H556" s="18"/>
      <c r="I556" s="21"/>
    </row>
    <row r="557" ht="22.5" customHeight="1">
      <c r="A557" s="20"/>
      <c r="B557" s="60"/>
      <c r="C557" s="14"/>
      <c r="D557" s="17"/>
      <c r="E557" s="18"/>
      <c r="F557" s="18"/>
      <c r="G557" s="20"/>
      <c r="H557" s="18"/>
      <c r="I557" s="21"/>
    </row>
    <row r="558" ht="22.5" customHeight="1">
      <c r="A558" s="20"/>
      <c r="B558" s="60"/>
      <c r="C558" s="14"/>
      <c r="D558" s="17"/>
      <c r="E558" s="18"/>
      <c r="F558" s="18"/>
      <c r="G558" s="20"/>
      <c r="H558" s="18"/>
      <c r="I558" s="21"/>
    </row>
    <row r="559" ht="22.5" customHeight="1">
      <c r="A559" s="20"/>
      <c r="B559" s="60"/>
      <c r="C559" s="14"/>
      <c r="D559" s="17"/>
      <c r="E559" s="18"/>
      <c r="F559" s="18"/>
      <c r="G559" s="20"/>
      <c r="H559" s="18"/>
      <c r="I559" s="21"/>
    </row>
    <row r="560" ht="22.5" customHeight="1">
      <c r="A560" s="20"/>
      <c r="B560" s="60"/>
      <c r="C560" s="14"/>
      <c r="D560" s="17"/>
      <c r="E560" s="18"/>
      <c r="F560" s="18"/>
      <c r="G560" s="20"/>
      <c r="H560" s="18"/>
      <c r="I560" s="21"/>
    </row>
    <row r="561" ht="22.5" customHeight="1">
      <c r="A561" s="20"/>
      <c r="B561" s="60"/>
      <c r="C561" s="14"/>
      <c r="D561" s="17"/>
      <c r="E561" s="18"/>
      <c r="F561" s="18"/>
      <c r="G561" s="20"/>
      <c r="H561" s="18"/>
      <c r="I561" s="21"/>
    </row>
    <row r="562" ht="22.5" customHeight="1">
      <c r="A562" s="20"/>
      <c r="B562" s="60"/>
      <c r="C562" s="14"/>
      <c r="D562" s="17"/>
      <c r="E562" s="18"/>
      <c r="F562" s="18"/>
      <c r="G562" s="20"/>
      <c r="H562" s="18"/>
      <c r="I562" s="21"/>
    </row>
    <row r="563" ht="22.5" customHeight="1">
      <c r="A563" s="20"/>
      <c r="B563" s="60"/>
      <c r="C563" s="14"/>
      <c r="D563" s="17"/>
      <c r="E563" s="18"/>
      <c r="F563" s="18"/>
      <c r="G563" s="20"/>
      <c r="H563" s="18"/>
      <c r="I563" s="21"/>
    </row>
    <row r="564" ht="22.5" customHeight="1">
      <c r="A564" s="20"/>
      <c r="B564" s="60"/>
      <c r="C564" s="14"/>
      <c r="D564" s="17"/>
      <c r="E564" s="18"/>
      <c r="F564" s="18"/>
      <c r="G564" s="20"/>
      <c r="H564" s="18"/>
      <c r="I564" s="21"/>
    </row>
    <row r="565" ht="22.5" customHeight="1">
      <c r="A565" s="20"/>
      <c r="B565" s="60"/>
      <c r="C565" s="14"/>
      <c r="D565" s="17"/>
      <c r="E565" s="18"/>
      <c r="F565" s="18"/>
      <c r="G565" s="20"/>
      <c r="H565" s="18"/>
      <c r="I565" s="21"/>
    </row>
    <row r="566" ht="22.5" customHeight="1">
      <c r="A566" s="20"/>
      <c r="B566" s="60"/>
      <c r="C566" s="14"/>
      <c r="D566" s="17"/>
      <c r="E566" s="18"/>
      <c r="F566" s="18"/>
      <c r="G566" s="20"/>
      <c r="H566" s="18"/>
      <c r="I566" s="21"/>
    </row>
    <row r="567" ht="22.5" customHeight="1">
      <c r="A567" s="20"/>
      <c r="B567" s="60"/>
      <c r="C567" s="14"/>
      <c r="D567" s="17"/>
      <c r="E567" s="18"/>
      <c r="F567" s="18"/>
      <c r="G567" s="20"/>
      <c r="H567" s="18"/>
      <c r="I567" s="21"/>
    </row>
    <row r="568" ht="22.5" customHeight="1">
      <c r="A568" s="20"/>
      <c r="B568" s="60"/>
      <c r="C568" s="14"/>
      <c r="D568" s="17"/>
      <c r="E568" s="18"/>
      <c r="F568" s="18"/>
      <c r="G568" s="20"/>
      <c r="H568" s="18"/>
      <c r="I568" s="21"/>
    </row>
    <row r="569" ht="22.5" customHeight="1">
      <c r="A569" s="20"/>
      <c r="B569" s="60"/>
      <c r="C569" s="14"/>
      <c r="D569" s="17"/>
      <c r="E569" s="18"/>
      <c r="F569" s="18"/>
      <c r="G569" s="20"/>
      <c r="H569" s="18"/>
      <c r="I569" s="21"/>
    </row>
    <row r="570" ht="22.5" customHeight="1">
      <c r="A570" s="20"/>
      <c r="B570" s="60"/>
      <c r="C570" s="14"/>
      <c r="D570" s="17"/>
      <c r="E570" s="18"/>
      <c r="F570" s="18"/>
      <c r="G570" s="20"/>
      <c r="H570" s="18"/>
      <c r="I570" s="21"/>
    </row>
    <row r="571" ht="22.5" customHeight="1">
      <c r="A571" s="20"/>
      <c r="B571" s="60"/>
      <c r="C571" s="14"/>
      <c r="D571" s="17"/>
      <c r="E571" s="18"/>
      <c r="F571" s="18"/>
      <c r="G571" s="20"/>
      <c r="H571" s="18"/>
      <c r="I571" s="21"/>
    </row>
    <row r="572" ht="22.5" customHeight="1">
      <c r="A572" s="20"/>
      <c r="B572" s="60"/>
      <c r="C572" s="14"/>
      <c r="D572" s="17"/>
      <c r="E572" s="18"/>
      <c r="F572" s="18"/>
      <c r="G572" s="20"/>
      <c r="H572" s="18"/>
      <c r="I572" s="21"/>
    </row>
    <row r="573" ht="22.5" customHeight="1">
      <c r="A573" s="20"/>
      <c r="B573" s="60"/>
      <c r="C573" s="14"/>
      <c r="D573" s="17"/>
      <c r="E573" s="18"/>
      <c r="F573" s="18"/>
      <c r="G573" s="20"/>
      <c r="H573" s="18"/>
      <c r="I573" s="21"/>
    </row>
    <row r="574" ht="22.5" customHeight="1">
      <c r="A574" s="20"/>
      <c r="B574" s="60"/>
      <c r="C574" s="14"/>
      <c r="D574" s="17"/>
      <c r="E574" s="18"/>
      <c r="F574" s="18"/>
      <c r="G574" s="20"/>
      <c r="H574" s="18"/>
      <c r="I574" s="21"/>
    </row>
    <row r="575" ht="22.5" customHeight="1">
      <c r="A575" s="20"/>
      <c r="B575" s="60"/>
      <c r="C575" s="14"/>
      <c r="D575" s="17"/>
      <c r="E575" s="18"/>
      <c r="F575" s="18"/>
      <c r="G575" s="20"/>
      <c r="H575" s="18"/>
      <c r="I575" s="21"/>
    </row>
    <row r="576" ht="22.5" customHeight="1">
      <c r="A576" s="20"/>
      <c r="B576" s="60"/>
      <c r="C576" s="14"/>
      <c r="D576" s="17"/>
      <c r="E576" s="18"/>
      <c r="F576" s="18"/>
      <c r="G576" s="20"/>
      <c r="H576" s="18"/>
      <c r="I576" s="21"/>
    </row>
    <row r="577" ht="22.5" customHeight="1">
      <c r="A577" s="20"/>
      <c r="B577" s="60"/>
      <c r="C577" s="14"/>
      <c r="D577" s="17"/>
      <c r="E577" s="18"/>
      <c r="F577" s="18"/>
      <c r="G577" s="20"/>
      <c r="H577" s="18"/>
      <c r="I577" s="21"/>
    </row>
    <row r="578" ht="22.5" customHeight="1">
      <c r="A578" s="20"/>
      <c r="B578" s="60"/>
      <c r="C578" s="14"/>
      <c r="D578" s="17"/>
      <c r="E578" s="18"/>
      <c r="F578" s="18"/>
      <c r="G578" s="20"/>
      <c r="H578" s="18"/>
      <c r="I578" s="21"/>
    </row>
    <row r="579" ht="22.5" customHeight="1">
      <c r="A579" s="20"/>
      <c r="B579" s="60"/>
      <c r="C579" s="14"/>
      <c r="D579" s="17"/>
      <c r="E579" s="18"/>
      <c r="F579" s="18"/>
      <c r="G579" s="20"/>
      <c r="H579" s="18"/>
      <c r="I579" s="21"/>
    </row>
    <row r="580" ht="22.5" customHeight="1">
      <c r="A580" s="20"/>
      <c r="B580" s="60"/>
      <c r="C580" s="14"/>
      <c r="D580" s="17"/>
      <c r="E580" s="18"/>
      <c r="F580" s="18"/>
      <c r="G580" s="20"/>
      <c r="H580" s="18"/>
      <c r="I580" s="21"/>
    </row>
    <row r="581" ht="22.5" customHeight="1">
      <c r="A581" s="20"/>
      <c r="B581" s="60"/>
      <c r="C581" s="14"/>
      <c r="D581" s="17"/>
      <c r="E581" s="18"/>
      <c r="F581" s="18"/>
      <c r="G581" s="20"/>
      <c r="H581" s="18"/>
      <c r="I581" s="21"/>
    </row>
    <row r="582" ht="22.5" customHeight="1">
      <c r="A582" s="20"/>
      <c r="B582" s="60"/>
      <c r="C582" s="14"/>
      <c r="D582" s="17"/>
      <c r="E582" s="18"/>
      <c r="F582" s="18"/>
      <c r="G582" s="20"/>
      <c r="H582" s="18"/>
      <c r="I582" s="21"/>
    </row>
    <row r="583" ht="22.5" customHeight="1">
      <c r="A583" s="20"/>
      <c r="B583" s="60"/>
      <c r="C583" s="14"/>
      <c r="D583" s="17"/>
      <c r="E583" s="18"/>
      <c r="F583" s="18"/>
      <c r="G583" s="20"/>
      <c r="H583" s="18"/>
      <c r="I583" s="21"/>
    </row>
    <row r="584" ht="22.5" customHeight="1">
      <c r="A584" s="20"/>
      <c r="B584" s="60"/>
      <c r="C584" s="14"/>
      <c r="D584" s="17"/>
      <c r="E584" s="18"/>
      <c r="F584" s="18"/>
      <c r="G584" s="20"/>
      <c r="H584" s="18"/>
      <c r="I584" s="21"/>
    </row>
    <row r="585" ht="22.5" customHeight="1">
      <c r="A585" s="20"/>
      <c r="B585" s="60"/>
      <c r="C585" s="14"/>
      <c r="D585" s="17"/>
      <c r="E585" s="18"/>
      <c r="F585" s="18"/>
      <c r="G585" s="20"/>
      <c r="H585" s="18"/>
      <c r="I585" s="21"/>
    </row>
    <row r="586" ht="22.5" customHeight="1">
      <c r="A586" s="20"/>
      <c r="B586" s="60"/>
      <c r="C586" s="14"/>
      <c r="D586" s="17"/>
      <c r="E586" s="18"/>
      <c r="F586" s="18"/>
      <c r="G586" s="20"/>
      <c r="H586" s="18"/>
      <c r="I586" s="21"/>
    </row>
    <row r="587" ht="22.5" customHeight="1">
      <c r="A587" s="20"/>
      <c r="B587" s="60"/>
      <c r="C587" s="14"/>
      <c r="D587" s="17"/>
      <c r="E587" s="18"/>
      <c r="F587" s="18"/>
      <c r="G587" s="20"/>
      <c r="H587" s="18"/>
      <c r="I587" s="21"/>
    </row>
    <row r="588" ht="22.5" customHeight="1">
      <c r="A588" s="20"/>
      <c r="B588" s="60"/>
      <c r="C588" s="14"/>
      <c r="D588" s="17"/>
      <c r="E588" s="18"/>
      <c r="F588" s="18"/>
      <c r="G588" s="20"/>
      <c r="H588" s="18"/>
      <c r="I588" s="21"/>
    </row>
    <row r="589" ht="22.5" customHeight="1">
      <c r="A589" s="20"/>
      <c r="B589" s="60"/>
      <c r="C589" s="14"/>
      <c r="D589" s="17"/>
      <c r="E589" s="18"/>
      <c r="F589" s="18"/>
      <c r="G589" s="20"/>
      <c r="H589" s="18"/>
      <c r="I589" s="21"/>
    </row>
    <row r="590" ht="22.5" customHeight="1">
      <c r="A590" s="20"/>
      <c r="B590" s="60"/>
      <c r="C590" s="14"/>
      <c r="D590" s="17"/>
      <c r="E590" s="18"/>
      <c r="F590" s="18"/>
      <c r="G590" s="20"/>
      <c r="H590" s="18"/>
      <c r="I590" s="21"/>
    </row>
    <row r="591" ht="22.5" customHeight="1">
      <c r="A591" s="20"/>
      <c r="B591" s="60"/>
      <c r="C591" s="14"/>
      <c r="D591" s="17"/>
      <c r="E591" s="18"/>
      <c r="F591" s="18"/>
      <c r="G591" s="20"/>
      <c r="H591" s="18"/>
      <c r="I591" s="21"/>
    </row>
    <row r="592" ht="22.5" customHeight="1">
      <c r="A592" s="20"/>
      <c r="B592" s="60"/>
      <c r="C592" s="14"/>
      <c r="D592" s="17"/>
      <c r="E592" s="18"/>
      <c r="F592" s="18"/>
      <c r="G592" s="20"/>
      <c r="H592" s="18"/>
      <c r="I592" s="21"/>
    </row>
    <row r="593" ht="22.5" customHeight="1">
      <c r="A593" s="20"/>
      <c r="B593" s="60"/>
      <c r="C593" s="14"/>
      <c r="D593" s="17"/>
      <c r="E593" s="18"/>
      <c r="F593" s="18"/>
      <c r="G593" s="20"/>
      <c r="H593" s="18"/>
      <c r="I593" s="21"/>
    </row>
    <row r="594" ht="22.5" customHeight="1">
      <c r="A594" s="20"/>
      <c r="B594" s="60"/>
      <c r="C594" s="14"/>
      <c r="D594" s="17"/>
      <c r="E594" s="18"/>
      <c r="F594" s="18"/>
      <c r="G594" s="20"/>
      <c r="H594" s="18"/>
      <c r="I594" s="21"/>
    </row>
    <row r="595" ht="22.5" customHeight="1">
      <c r="A595" s="20"/>
      <c r="B595" s="60"/>
      <c r="C595" s="14"/>
      <c r="D595" s="17"/>
      <c r="E595" s="18"/>
      <c r="F595" s="18"/>
      <c r="G595" s="20"/>
      <c r="H595" s="18"/>
      <c r="I595" s="21"/>
    </row>
    <row r="596" ht="22.5" customHeight="1">
      <c r="A596" s="20"/>
      <c r="B596" s="60"/>
      <c r="C596" s="14"/>
      <c r="D596" s="17"/>
      <c r="E596" s="18"/>
      <c r="F596" s="18"/>
      <c r="G596" s="20"/>
      <c r="H596" s="18"/>
      <c r="I596" s="21"/>
    </row>
    <row r="597" ht="22.5" customHeight="1">
      <c r="A597" s="20"/>
      <c r="B597" s="60"/>
      <c r="C597" s="14"/>
      <c r="D597" s="17"/>
      <c r="E597" s="18"/>
      <c r="F597" s="18"/>
      <c r="G597" s="20"/>
      <c r="H597" s="18"/>
      <c r="I597" s="21"/>
    </row>
    <row r="598" ht="22.5" customHeight="1">
      <c r="A598" s="20"/>
      <c r="B598" s="60"/>
      <c r="C598" s="14"/>
      <c r="D598" s="17"/>
      <c r="E598" s="18"/>
      <c r="F598" s="18"/>
      <c r="G598" s="20"/>
      <c r="H598" s="18"/>
      <c r="I598" s="21"/>
    </row>
    <row r="599" ht="22.5" customHeight="1">
      <c r="A599" s="20"/>
      <c r="B599" s="60"/>
      <c r="C599" s="14"/>
      <c r="D599" s="17"/>
      <c r="E599" s="18"/>
      <c r="F599" s="18"/>
      <c r="G599" s="20"/>
      <c r="H599" s="18"/>
      <c r="I599" s="21"/>
    </row>
    <row r="600" ht="22.5" customHeight="1">
      <c r="A600" s="20"/>
      <c r="B600" s="60"/>
      <c r="C600" s="14"/>
      <c r="D600" s="17"/>
      <c r="E600" s="18"/>
      <c r="F600" s="18"/>
      <c r="G600" s="20"/>
      <c r="H600" s="18"/>
      <c r="I600" s="21"/>
    </row>
    <row r="601" ht="22.5" customHeight="1">
      <c r="A601" s="20"/>
      <c r="B601" s="60"/>
      <c r="C601" s="14"/>
      <c r="D601" s="17"/>
      <c r="E601" s="18"/>
      <c r="F601" s="18"/>
      <c r="G601" s="20"/>
      <c r="H601" s="18"/>
      <c r="I601" s="21"/>
    </row>
    <row r="602" ht="22.5" customHeight="1">
      <c r="A602" s="20"/>
      <c r="B602" s="60"/>
      <c r="C602" s="14"/>
      <c r="D602" s="17"/>
      <c r="E602" s="18"/>
      <c r="F602" s="18"/>
      <c r="G602" s="20"/>
      <c r="H602" s="18"/>
      <c r="I602" s="21"/>
    </row>
    <row r="603" ht="22.5" customHeight="1">
      <c r="A603" s="20"/>
      <c r="B603" s="60"/>
      <c r="C603" s="14"/>
      <c r="D603" s="17"/>
      <c r="E603" s="18"/>
      <c r="F603" s="18"/>
      <c r="G603" s="20"/>
      <c r="H603" s="18"/>
      <c r="I603" s="21"/>
    </row>
    <row r="604" ht="22.5" customHeight="1">
      <c r="A604" s="20"/>
      <c r="B604" s="60"/>
      <c r="C604" s="14"/>
      <c r="D604" s="17"/>
      <c r="E604" s="18"/>
      <c r="F604" s="18"/>
      <c r="G604" s="20"/>
      <c r="H604" s="18"/>
      <c r="I604" s="21"/>
    </row>
    <row r="605" ht="22.5" customHeight="1">
      <c r="A605" s="20"/>
      <c r="B605" s="60"/>
      <c r="C605" s="14"/>
      <c r="D605" s="17"/>
      <c r="E605" s="18"/>
      <c r="F605" s="18"/>
      <c r="G605" s="20"/>
      <c r="H605" s="18"/>
      <c r="I605" s="21"/>
    </row>
    <row r="606" ht="22.5" customHeight="1">
      <c r="A606" s="20"/>
      <c r="B606" s="60"/>
      <c r="C606" s="14"/>
      <c r="D606" s="17"/>
      <c r="E606" s="18"/>
      <c r="F606" s="18"/>
      <c r="G606" s="20"/>
      <c r="H606" s="18"/>
      <c r="I606" s="21"/>
    </row>
    <row r="607" ht="22.5" customHeight="1">
      <c r="A607" s="20"/>
      <c r="B607" s="60"/>
      <c r="C607" s="14"/>
      <c r="D607" s="17"/>
      <c r="E607" s="18"/>
      <c r="F607" s="18"/>
      <c r="G607" s="20"/>
      <c r="H607" s="18"/>
      <c r="I607" s="21"/>
    </row>
    <row r="608" ht="22.5" customHeight="1">
      <c r="A608" s="20"/>
      <c r="B608" s="60"/>
      <c r="C608" s="14"/>
      <c r="D608" s="17"/>
      <c r="E608" s="18"/>
      <c r="F608" s="18"/>
      <c r="G608" s="20"/>
      <c r="H608" s="18"/>
      <c r="I608" s="21"/>
    </row>
    <row r="609" ht="22.5" customHeight="1">
      <c r="A609" s="20"/>
      <c r="B609" s="60"/>
      <c r="C609" s="14"/>
      <c r="D609" s="17"/>
      <c r="E609" s="18"/>
      <c r="F609" s="18"/>
      <c r="G609" s="20"/>
      <c r="H609" s="18"/>
      <c r="I609" s="21"/>
    </row>
    <row r="610" ht="22.5" customHeight="1">
      <c r="A610" s="20"/>
      <c r="B610" s="60"/>
      <c r="C610" s="14"/>
      <c r="D610" s="17"/>
      <c r="E610" s="18"/>
      <c r="F610" s="18"/>
      <c r="G610" s="20"/>
      <c r="H610" s="18"/>
      <c r="I610" s="21"/>
    </row>
    <row r="611" ht="22.5" customHeight="1">
      <c r="A611" s="20"/>
      <c r="B611" s="60"/>
      <c r="C611" s="14"/>
      <c r="D611" s="17"/>
      <c r="E611" s="18"/>
      <c r="F611" s="18"/>
      <c r="G611" s="20"/>
      <c r="H611" s="18"/>
      <c r="I611" s="21"/>
    </row>
    <row r="612" ht="22.5" customHeight="1">
      <c r="A612" s="20"/>
      <c r="B612" s="60"/>
      <c r="C612" s="14"/>
      <c r="D612" s="17"/>
      <c r="E612" s="18"/>
      <c r="F612" s="18"/>
      <c r="G612" s="20"/>
      <c r="H612" s="18"/>
      <c r="I612" s="21"/>
    </row>
    <row r="613" ht="22.5" customHeight="1">
      <c r="A613" s="20"/>
      <c r="B613" s="60"/>
      <c r="C613" s="14"/>
      <c r="D613" s="17"/>
      <c r="E613" s="18"/>
      <c r="F613" s="18"/>
      <c r="G613" s="20"/>
      <c r="H613" s="18"/>
      <c r="I613" s="21"/>
    </row>
    <row r="614" ht="22.5" customHeight="1">
      <c r="A614" s="20"/>
      <c r="B614" s="60"/>
      <c r="C614" s="14"/>
      <c r="D614" s="17"/>
      <c r="E614" s="18"/>
      <c r="F614" s="18"/>
      <c r="G614" s="20"/>
      <c r="H614" s="18"/>
      <c r="I614" s="21"/>
    </row>
    <row r="615" ht="22.5" customHeight="1">
      <c r="A615" s="20"/>
      <c r="B615" s="60"/>
      <c r="C615" s="14"/>
      <c r="D615" s="17"/>
      <c r="E615" s="18"/>
      <c r="F615" s="18"/>
      <c r="G615" s="20"/>
      <c r="H615" s="18"/>
      <c r="I615" s="21"/>
    </row>
    <row r="616" ht="22.5" customHeight="1">
      <c r="A616" s="20"/>
      <c r="B616" s="60"/>
      <c r="C616" s="14"/>
      <c r="D616" s="17"/>
      <c r="E616" s="18"/>
      <c r="F616" s="18"/>
      <c r="G616" s="20"/>
      <c r="H616" s="18"/>
      <c r="I616" s="21"/>
    </row>
    <row r="617" ht="22.5" customHeight="1">
      <c r="A617" s="20"/>
      <c r="B617" s="60"/>
      <c r="C617" s="14"/>
      <c r="D617" s="17"/>
      <c r="E617" s="18"/>
      <c r="F617" s="18"/>
      <c r="G617" s="20"/>
      <c r="H617" s="18"/>
      <c r="I617" s="21"/>
    </row>
    <row r="618" ht="22.5" customHeight="1">
      <c r="A618" s="20"/>
      <c r="B618" s="60"/>
      <c r="C618" s="14"/>
      <c r="D618" s="17"/>
      <c r="E618" s="18"/>
      <c r="F618" s="18"/>
      <c r="G618" s="20"/>
      <c r="H618" s="18"/>
      <c r="I618" s="21"/>
    </row>
    <row r="619" ht="22.5" customHeight="1">
      <c r="A619" s="20"/>
      <c r="B619" s="60"/>
      <c r="C619" s="14"/>
      <c r="D619" s="17"/>
      <c r="E619" s="18"/>
      <c r="F619" s="18"/>
      <c r="G619" s="20"/>
      <c r="H619" s="18"/>
      <c r="I619" s="21"/>
    </row>
    <row r="620" ht="22.5" customHeight="1">
      <c r="A620" s="20"/>
      <c r="B620" s="60"/>
      <c r="C620" s="14"/>
      <c r="D620" s="17"/>
      <c r="E620" s="18"/>
      <c r="F620" s="18"/>
      <c r="G620" s="20"/>
      <c r="H620" s="18"/>
      <c r="I620" s="21"/>
    </row>
    <row r="621" ht="22.5" customHeight="1">
      <c r="A621" s="20"/>
      <c r="B621" s="60"/>
      <c r="C621" s="14"/>
      <c r="D621" s="17"/>
      <c r="E621" s="18"/>
      <c r="F621" s="18"/>
      <c r="G621" s="20"/>
      <c r="H621" s="18"/>
      <c r="I621" s="21"/>
    </row>
    <row r="622" ht="22.5" customHeight="1">
      <c r="A622" s="20"/>
      <c r="B622" s="60"/>
      <c r="C622" s="14"/>
      <c r="D622" s="17"/>
      <c r="E622" s="18"/>
      <c r="F622" s="18"/>
      <c r="G622" s="20"/>
      <c r="H622" s="18"/>
      <c r="I622" s="21"/>
    </row>
    <row r="623" ht="22.5" customHeight="1">
      <c r="A623" s="20"/>
      <c r="B623" s="60"/>
      <c r="C623" s="14"/>
      <c r="D623" s="17"/>
      <c r="E623" s="18"/>
      <c r="F623" s="18"/>
      <c r="G623" s="20"/>
      <c r="H623" s="18"/>
      <c r="I623" s="21"/>
    </row>
    <row r="624" ht="22.5" customHeight="1">
      <c r="A624" s="20"/>
      <c r="B624" s="60"/>
      <c r="C624" s="14"/>
      <c r="D624" s="17"/>
      <c r="E624" s="18"/>
      <c r="F624" s="18"/>
      <c r="G624" s="20"/>
      <c r="H624" s="18"/>
      <c r="I624" s="21"/>
    </row>
    <row r="625" ht="22.5" customHeight="1">
      <c r="A625" s="20"/>
      <c r="B625" s="60"/>
      <c r="C625" s="14"/>
      <c r="D625" s="17"/>
      <c r="E625" s="18"/>
      <c r="F625" s="18"/>
      <c r="G625" s="20"/>
      <c r="H625" s="18"/>
      <c r="I625" s="21"/>
    </row>
    <row r="626" ht="22.5" customHeight="1">
      <c r="A626" s="20"/>
      <c r="B626" s="60"/>
      <c r="C626" s="14"/>
      <c r="D626" s="17"/>
      <c r="E626" s="18"/>
      <c r="F626" s="18"/>
      <c r="G626" s="20"/>
      <c r="H626" s="18"/>
      <c r="I626" s="21"/>
    </row>
    <row r="627" ht="22.5" customHeight="1">
      <c r="A627" s="20"/>
      <c r="B627" s="60"/>
      <c r="C627" s="14"/>
      <c r="D627" s="17"/>
      <c r="E627" s="18"/>
      <c r="F627" s="18"/>
      <c r="G627" s="20"/>
      <c r="H627" s="18"/>
      <c r="I627" s="21"/>
    </row>
    <row r="628" ht="22.5" customHeight="1">
      <c r="A628" s="20"/>
      <c r="B628" s="60"/>
      <c r="C628" s="14"/>
      <c r="D628" s="17"/>
      <c r="E628" s="18"/>
      <c r="F628" s="18"/>
      <c r="G628" s="20"/>
      <c r="H628" s="18"/>
      <c r="I628" s="21"/>
    </row>
    <row r="629" ht="22.5" customHeight="1">
      <c r="A629" s="20"/>
      <c r="B629" s="60"/>
      <c r="C629" s="14"/>
      <c r="D629" s="17"/>
      <c r="E629" s="18"/>
      <c r="F629" s="18"/>
      <c r="G629" s="20"/>
      <c r="H629" s="18"/>
      <c r="I629" s="21"/>
    </row>
    <row r="630" ht="22.5" customHeight="1">
      <c r="A630" s="20"/>
      <c r="B630" s="60"/>
      <c r="C630" s="14"/>
      <c r="D630" s="17"/>
      <c r="E630" s="18"/>
      <c r="F630" s="18"/>
      <c r="G630" s="20"/>
      <c r="H630" s="18"/>
      <c r="I630" s="21"/>
    </row>
    <row r="631" ht="22.5" customHeight="1">
      <c r="A631" s="20"/>
      <c r="B631" s="60"/>
      <c r="C631" s="14"/>
      <c r="D631" s="17"/>
      <c r="E631" s="18"/>
      <c r="F631" s="18"/>
      <c r="G631" s="20"/>
      <c r="H631" s="18"/>
      <c r="I631" s="21"/>
    </row>
    <row r="632" ht="22.5" customHeight="1">
      <c r="A632" s="20"/>
      <c r="B632" s="60"/>
      <c r="C632" s="14"/>
      <c r="D632" s="17"/>
      <c r="E632" s="18"/>
      <c r="F632" s="18"/>
      <c r="G632" s="20"/>
      <c r="H632" s="18"/>
      <c r="I632" s="21"/>
    </row>
    <row r="633" ht="22.5" customHeight="1">
      <c r="A633" s="20"/>
      <c r="B633" s="60"/>
      <c r="C633" s="14"/>
      <c r="D633" s="17"/>
      <c r="E633" s="18"/>
      <c r="F633" s="18"/>
      <c r="G633" s="20"/>
      <c r="H633" s="18"/>
      <c r="I633" s="21"/>
    </row>
    <row r="634" ht="22.5" customHeight="1">
      <c r="A634" s="20"/>
      <c r="B634" s="60"/>
      <c r="C634" s="14"/>
      <c r="D634" s="17"/>
      <c r="E634" s="18"/>
      <c r="F634" s="18"/>
      <c r="G634" s="20"/>
      <c r="H634" s="18"/>
      <c r="I634" s="21"/>
    </row>
    <row r="635" ht="22.5" customHeight="1">
      <c r="A635" s="20"/>
      <c r="B635" s="60"/>
      <c r="C635" s="14"/>
      <c r="D635" s="17"/>
      <c r="E635" s="18"/>
      <c r="F635" s="18"/>
      <c r="G635" s="20"/>
      <c r="H635" s="18"/>
      <c r="I635" s="21"/>
    </row>
    <row r="636" ht="22.5" customHeight="1">
      <c r="A636" s="20"/>
      <c r="B636" s="60"/>
      <c r="C636" s="14"/>
      <c r="D636" s="17"/>
      <c r="E636" s="18"/>
      <c r="F636" s="18"/>
      <c r="G636" s="20"/>
      <c r="H636" s="18"/>
      <c r="I636" s="21"/>
    </row>
    <row r="637" ht="22.5" customHeight="1">
      <c r="A637" s="20"/>
      <c r="B637" s="60"/>
      <c r="C637" s="14"/>
      <c r="D637" s="17"/>
      <c r="E637" s="18"/>
      <c r="F637" s="18"/>
      <c r="G637" s="20"/>
      <c r="H637" s="18"/>
      <c r="I637" s="21"/>
    </row>
    <row r="638" ht="22.5" customHeight="1">
      <c r="A638" s="20"/>
      <c r="B638" s="60"/>
      <c r="C638" s="14"/>
      <c r="D638" s="17"/>
      <c r="E638" s="18"/>
      <c r="F638" s="18"/>
      <c r="G638" s="20"/>
      <c r="H638" s="18"/>
      <c r="I638" s="21"/>
    </row>
    <row r="639" ht="22.5" customHeight="1">
      <c r="A639" s="20"/>
      <c r="B639" s="60"/>
      <c r="C639" s="14"/>
      <c r="D639" s="17"/>
      <c r="E639" s="18"/>
      <c r="F639" s="18"/>
      <c r="G639" s="20"/>
      <c r="H639" s="18"/>
      <c r="I639" s="21"/>
    </row>
    <row r="640" ht="22.5" customHeight="1">
      <c r="A640" s="20"/>
      <c r="B640" s="60"/>
      <c r="C640" s="14"/>
      <c r="D640" s="17"/>
      <c r="E640" s="18"/>
      <c r="F640" s="18"/>
      <c r="G640" s="20"/>
      <c r="H640" s="18"/>
      <c r="I640" s="21"/>
    </row>
    <row r="641" ht="22.5" customHeight="1">
      <c r="A641" s="20"/>
      <c r="B641" s="60"/>
      <c r="C641" s="14"/>
      <c r="D641" s="17"/>
      <c r="E641" s="18"/>
      <c r="F641" s="18"/>
      <c r="G641" s="20"/>
      <c r="H641" s="18"/>
      <c r="I641" s="21"/>
    </row>
    <row r="642" ht="22.5" customHeight="1">
      <c r="A642" s="20"/>
      <c r="B642" s="60"/>
      <c r="C642" s="14"/>
      <c r="D642" s="17"/>
      <c r="E642" s="18"/>
      <c r="F642" s="18"/>
      <c r="G642" s="20"/>
      <c r="H642" s="18"/>
      <c r="I642" s="21"/>
    </row>
    <row r="643" ht="22.5" customHeight="1">
      <c r="A643" s="20"/>
      <c r="B643" s="60"/>
      <c r="C643" s="14"/>
      <c r="D643" s="17"/>
      <c r="E643" s="18"/>
      <c r="F643" s="18"/>
      <c r="G643" s="20"/>
      <c r="H643" s="18"/>
      <c r="I643" s="21"/>
    </row>
    <row r="644" ht="22.5" customHeight="1">
      <c r="A644" s="20"/>
      <c r="B644" s="60"/>
      <c r="C644" s="14"/>
      <c r="D644" s="17"/>
      <c r="E644" s="18"/>
      <c r="F644" s="18"/>
      <c r="G644" s="20"/>
      <c r="H644" s="18"/>
      <c r="I644" s="21"/>
    </row>
    <row r="645" ht="22.5" customHeight="1">
      <c r="A645" s="20"/>
      <c r="B645" s="60"/>
      <c r="C645" s="14"/>
      <c r="D645" s="17"/>
      <c r="E645" s="18"/>
      <c r="F645" s="18"/>
      <c r="G645" s="20"/>
      <c r="H645" s="18"/>
      <c r="I645" s="21"/>
    </row>
    <row r="646" ht="22.5" customHeight="1">
      <c r="A646" s="20"/>
      <c r="B646" s="60"/>
      <c r="C646" s="14"/>
      <c r="D646" s="17"/>
      <c r="E646" s="18"/>
      <c r="F646" s="18"/>
      <c r="G646" s="20"/>
      <c r="H646" s="18"/>
      <c r="I646" s="21"/>
    </row>
    <row r="647" ht="22.5" customHeight="1">
      <c r="A647" s="20"/>
      <c r="B647" s="60"/>
      <c r="C647" s="14"/>
      <c r="D647" s="17"/>
      <c r="E647" s="18"/>
      <c r="F647" s="18"/>
      <c r="G647" s="20"/>
      <c r="H647" s="18"/>
      <c r="I647" s="21"/>
    </row>
    <row r="648" ht="22.5" customHeight="1">
      <c r="A648" s="20"/>
      <c r="B648" s="60"/>
      <c r="C648" s="14"/>
      <c r="D648" s="17"/>
      <c r="E648" s="18"/>
      <c r="F648" s="18"/>
      <c r="G648" s="20"/>
      <c r="H648" s="18"/>
      <c r="I648" s="21"/>
    </row>
    <row r="649" ht="22.5" customHeight="1">
      <c r="A649" s="20"/>
      <c r="B649" s="60"/>
      <c r="C649" s="14"/>
      <c r="D649" s="17"/>
      <c r="E649" s="18"/>
      <c r="F649" s="18"/>
      <c r="G649" s="20"/>
      <c r="H649" s="18"/>
      <c r="I649" s="21"/>
    </row>
    <row r="650" ht="22.5" customHeight="1">
      <c r="A650" s="20"/>
      <c r="B650" s="60"/>
      <c r="C650" s="14"/>
      <c r="D650" s="17"/>
      <c r="E650" s="18"/>
      <c r="F650" s="18"/>
      <c r="G650" s="20"/>
      <c r="H650" s="18"/>
      <c r="I650" s="21"/>
    </row>
    <row r="651" ht="22.5" customHeight="1">
      <c r="A651" s="20"/>
      <c r="B651" s="60"/>
      <c r="C651" s="14"/>
      <c r="D651" s="17"/>
      <c r="E651" s="18"/>
      <c r="F651" s="18"/>
      <c r="G651" s="20"/>
      <c r="H651" s="18"/>
      <c r="I651" s="21"/>
    </row>
    <row r="652" ht="22.5" customHeight="1">
      <c r="A652" s="20"/>
      <c r="B652" s="60"/>
      <c r="C652" s="14"/>
      <c r="D652" s="17"/>
      <c r="E652" s="18"/>
      <c r="F652" s="18"/>
      <c r="G652" s="20"/>
      <c r="H652" s="18"/>
      <c r="I652" s="21"/>
    </row>
    <row r="653" ht="22.5" customHeight="1">
      <c r="A653" s="20"/>
      <c r="B653" s="60"/>
      <c r="C653" s="14"/>
      <c r="D653" s="17"/>
      <c r="E653" s="18"/>
      <c r="F653" s="18"/>
      <c r="G653" s="20"/>
      <c r="H653" s="18"/>
      <c r="I653" s="21"/>
    </row>
    <row r="654" ht="22.5" customHeight="1">
      <c r="A654" s="20"/>
      <c r="B654" s="60"/>
      <c r="C654" s="14"/>
      <c r="D654" s="17"/>
      <c r="E654" s="18"/>
      <c r="F654" s="18"/>
      <c r="G654" s="20"/>
      <c r="H654" s="18"/>
      <c r="I654" s="21"/>
    </row>
    <row r="655" ht="22.5" customHeight="1">
      <c r="A655" s="20"/>
      <c r="B655" s="60"/>
      <c r="C655" s="14"/>
      <c r="D655" s="17"/>
      <c r="E655" s="18"/>
      <c r="F655" s="18"/>
      <c r="G655" s="20"/>
      <c r="H655" s="18"/>
      <c r="I655" s="21"/>
    </row>
    <row r="656" ht="22.5" customHeight="1">
      <c r="A656" s="20"/>
      <c r="B656" s="60"/>
      <c r="C656" s="14"/>
      <c r="D656" s="17"/>
      <c r="E656" s="18"/>
      <c r="F656" s="18"/>
      <c r="G656" s="20"/>
      <c r="H656" s="18"/>
      <c r="I656" s="21"/>
    </row>
    <row r="657" ht="22.5" customHeight="1">
      <c r="A657" s="20"/>
      <c r="B657" s="60"/>
      <c r="C657" s="14"/>
      <c r="D657" s="17"/>
      <c r="E657" s="18"/>
      <c r="F657" s="18"/>
      <c r="G657" s="20"/>
      <c r="H657" s="18"/>
      <c r="I657" s="21"/>
    </row>
    <row r="658" ht="22.5" customHeight="1">
      <c r="A658" s="20"/>
      <c r="B658" s="60"/>
      <c r="C658" s="14"/>
      <c r="D658" s="17"/>
      <c r="E658" s="18"/>
      <c r="F658" s="18"/>
      <c r="G658" s="20"/>
      <c r="H658" s="18"/>
      <c r="I658" s="21"/>
    </row>
    <row r="659" ht="22.5" customHeight="1">
      <c r="A659" s="20"/>
      <c r="B659" s="60"/>
      <c r="C659" s="14"/>
      <c r="D659" s="17"/>
      <c r="E659" s="18"/>
      <c r="F659" s="18"/>
      <c r="G659" s="20"/>
      <c r="H659" s="18"/>
      <c r="I659" s="21"/>
    </row>
    <row r="660" ht="22.5" customHeight="1">
      <c r="A660" s="20"/>
      <c r="B660" s="60"/>
      <c r="C660" s="14"/>
      <c r="D660" s="17"/>
      <c r="E660" s="18"/>
      <c r="F660" s="18"/>
      <c r="G660" s="20"/>
      <c r="H660" s="18"/>
      <c r="I660" s="21"/>
    </row>
    <row r="661" ht="22.5" customHeight="1">
      <c r="A661" s="20"/>
      <c r="B661" s="60"/>
      <c r="C661" s="14"/>
      <c r="D661" s="17"/>
      <c r="E661" s="18"/>
      <c r="F661" s="18"/>
      <c r="G661" s="20"/>
      <c r="H661" s="18"/>
      <c r="I661" s="21"/>
    </row>
    <row r="662" ht="22.5" customHeight="1">
      <c r="A662" s="20"/>
      <c r="B662" s="60"/>
      <c r="C662" s="14"/>
      <c r="D662" s="17"/>
      <c r="E662" s="18"/>
      <c r="F662" s="18"/>
      <c r="G662" s="20"/>
      <c r="H662" s="18"/>
      <c r="I662" s="21"/>
    </row>
    <row r="663" ht="22.5" customHeight="1">
      <c r="A663" s="20"/>
      <c r="B663" s="60"/>
      <c r="C663" s="14"/>
      <c r="D663" s="17"/>
      <c r="E663" s="18"/>
      <c r="F663" s="18"/>
      <c r="G663" s="20"/>
      <c r="H663" s="18"/>
      <c r="I663" s="21"/>
    </row>
    <row r="664" ht="22.5" customHeight="1">
      <c r="A664" s="20"/>
      <c r="B664" s="60"/>
      <c r="C664" s="14"/>
      <c r="D664" s="17"/>
      <c r="E664" s="18"/>
      <c r="F664" s="18"/>
      <c r="G664" s="20"/>
      <c r="H664" s="18"/>
      <c r="I664" s="21"/>
    </row>
    <row r="665" ht="22.5" customHeight="1">
      <c r="A665" s="20"/>
      <c r="B665" s="60"/>
      <c r="C665" s="14"/>
      <c r="D665" s="17"/>
      <c r="E665" s="18"/>
      <c r="F665" s="18"/>
      <c r="G665" s="20"/>
      <c r="H665" s="18"/>
      <c r="I665" s="21"/>
    </row>
    <row r="666" ht="22.5" customHeight="1">
      <c r="A666" s="20"/>
      <c r="B666" s="60"/>
      <c r="C666" s="14"/>
      <c r="D666" s="17"/>
      <c r="E666" s="18"/>
      <c r="F666" s="18"/>
      <c r="G666" s="20"/>
      <c r="H666" s="18"/>
      <c r="I666" s="21"/>
    </row>
    <row r="667" ht="22.5" customHeight="1">
      <c r="A667" s="20"/>
      <c r="B667" s="60"/>
      <c r="C667" s="14"/>
      <c r="D667" s="17"/>
      <c r="E667" s="18"/>
      <c r="F667" s="18"/>
      <c r="G667" s="20"/>
      <c r="H667" s="18"/>
      <c r="I667" s="21"/>
    </row>
    <row r="668" ht="22.5" customHeight="1">
      <c r="A668" s="20"/>
      <c r="B668" s="60"/>
      <c r="C668" s="14"/>
      <c r="D668" s="17"/>
      <c r="E668" s="18"/>
      <c r="F668" s="18"/>
      <c r="G668" s="20"/>
      <c r="H668" s="18"/>
      <c r="I668" s="21"/>
    </row>
    <row r="669" ht="22.5" customHeight="1">
      <c r="A669" s="20"/>
      <c r="B669" s="60"/>
      <c r="C669" s="14"/>
      <c r="D669" s="17"/>
      <c r="E669" s="18"/>
      <c r="F669" s="18"/>
      <c r="G669" s="20"/>
      <c r="H669" s="18"/>
      <c r="I669" s="21"/>
    </row>
    <row r="670" ht="22.5" customHeight="1">
      <c r="A670" s="20"/>
      <c r="B670" s="60"/>
      <c r="C670" s="14"/>
      <c r="D670" s="17"/>
      <c r="E670" s="18"/>
      <c r="F670" s="18"/>
      <c r="G670" s="20"/>
      <c r="H670" s="18"/>
      <c r="I670" s="21"/>
    </row>
    <row r="671" ht="22.5" customHeight="1">
      <c r="A671" s="20"/>
      <c r="B671" s="60"/>
      <c r="C671" s="14"/>
      <c r="D671" s="17"/>
      <c r="E671" s="18"/>
      <c r="F671" s="18"/>
      <c r="G671" s="20"/>
      <c r="H671" s="18"/>
      <c r="I671" s="21"/>
    </row>
    <row r="672" ht="22.5" customHeight="1">
      <c r="A672" s="20"/>
      <c r="B672" s="60"/>
      <c r="C672" s="14"/>
      <c r="D672" s="17"/>
      <c r="E672" s="18"/>
      <c r="F672" s="18"/>
      <c r="G672" s="20"/>
      <c r="H672" s="18"/>
      <c r="I672" s="21"/>
    </row>
    <row r="673" ht="22.5" customHeight="1">
      <c r="A673" s="20"/>
      <c r="B673" s="60"/>
      <c r="C673" s="14"/>
      <c r="D673" s="17"/>
      <c r="E673" s="18"/>
      <c r="F673" s="18"/>
      <c r="G673" s="20"/>
      <c r="H673" s="18"/>
      <c r="I673" s="21"/>
    </row>
    <row r="674" ht="22.5" customHeight="1">
      <c r="A674" s="20"/>
      <c r="B674" s="60"/>
      <c r="C674" s="14"/>
      <c r="D674" s="17"/>
      <c r="E674" s="18"/>
      <c r="F674" s="18"/>
      <c r="G674" s="20"/>
      <c r="H674" s="18"/>
      <c r="I674" s="21"/>
    </row>
    <row r="675" ht="22.5" customHeight="1">
      <c r="A675" s="20"/>
      <c r="B675" s="60"/>
      <c r="C675" s="14"/>
      <c r="D675" s="17"/>
      <c r="E675" s="18"/>
      <c r="F675" s="18"/>
      <c r="G675" s="20"/>
      <c r="H675" s="18"/>
      <c r="I675" s="21"/>
    </row>
    <row r="676" ht="22.5" customHeight="1">
      <c r="A676" s="20"/>
      <c r="B676" s="60"/>
      <c r="C676" s="14"/>
      <c r="D676" s="17"/>
      <c r="E676" s="18"/>
      <c r="F676" s="18"/>
      <c r="G676" s="20"/>
      <c r="H676" s="18"/>
      <c r="I676" s="21"/>
    </row>
    <row r="677" ht="22.5" customHeight="1">
      <c r="A677" s="20"/>
      <c r="B677" s="60"/>
      <c r="C677" s="14"/>
      <c r="D677" s="17"/>
      <c r="E677" s="18"/>
      <c r="F677" s="18"/>
      <c r="G677" s="20"/>
      <c r="H677" s="18"/>
      <c r="I677" s="21"/>
    </row>
    <row r="678" ht="22.5" customHeight="1">
      <c r="A678" s="20"/>
      <c r="B678" s="60"/>
      <c r="C678" s="14"/>
      <c r="D678" s="17"/>
      <c r="E678" s="18"/>
      <c r="F678" s="18"/>
      <c r="G678" s="20"/>
      <c r="H678" s="18"/>
      <c r="I678" s="21"/>
    </row>
    <row r="679" ht="22.5" customHeight="1">
      <c r="A679" s="20"/>
      <c r="B679" s="60"/>
      <c r="C679" s="14"/>
      <c r="D679" s="17"/>
      <c r="E679" s="18"/>
      <c r="F679" s="18"/>
      <c r="G679" s="20"/>
      <c r="H679" s="18"/>
      <c r="I679" s="21"/>
    </row>
    <row r="680" ht="22.5" customHeight="1">
      <c r="A680" s="20"/>
      <c r="B680" s="60"/>
      <c r="C680" s="14"/>
      <c r="D680" s="17"/>
      <c r="E680" s="18"/>
      <c r="F680" s="18"/>
      <c r="G680" s="20"/>
      <c r="H680" s="18"/>
      <c r="I680" s="21"/>
    </row>
    <row r="681" ht="22.5" customHeight="1">
      <c r="A681" s="20"/>
      <c r="B681" s="60"/>
      <c r="C681" s="14"/>
      <c r="D681" s="17"/>
      <c r="E681" s="18"/>
      <c r="F681" s="18"/>
      <c r="G681" s="20"/>
      <c r="H681" s="18"/>
      <c r="I681" s="21"/>
    </row>
    <row r="682" ht="22.5" customHeight="1">
      <c r="A682" s="20"/>
      <c r="B682" s="60"/>
      <c r="C682" s="14"/>
      <c r="D682" s="17"/>
      <c r="E682" s="18"/>
      <c r="F682" s="18"/>
      <c r="G682" s="20"/>
      <c r="H682" s="18"/>
      <c r="I682" s="21"/>
    </row>
    <row r="683" ht="22.5" customHeight="1">
      <c r="A683" s="20"/>
      <c r="B683" s="60"/>
      <c r="C683" s="14"/>
      <c r="D683" s="17"/>
      <c r="E683" s="18"/>
      <c r="F683" s="18"/>
      <c r="G683" s="20"/>
      <c r="H683" s="18"/>
      <c r="I683" s="21"/>
    </row>
    <row r="684" ht="22.5" customHeight="1">
      <c r="A684" s="20"/>
      <c r="B684" s="60"/>
      <c r="C684" s="14"/>
      <c r="D684" s="17"/>
      <c r="E684" s="18"/>
      <c r="F684" s="18"/>
      <c r="G684" s="20"/>
      <c r="H684" s="18"/>
      <c r="I684" s="21"/>
    </row>
    <row r="685" ht="22.5" customHeight="1">
      <c r="A685" s="20"/>
      <c r="B685" s="60"/>
      <c r="C685" s="14"/>
      <c r="D685" s="17"/>
      <c r="E685" s="18"/>
      <c r="F685" s="18"/>
      <c r="G685" s="20"/>
      <c r="H685" s="18"/>
      <c r="I685" s="21"/>
    </row>
    <row r="686" ht="22.5" customHeight="1">
      <c r="A686" s="20"/>
      <c r="B686" s="60"/>
      <c r="C686" s="14"/>
      <c r="D686" s="17"/>
      <c r="E686" s="18"/>
      <c r="F686" s="18"/>
      <c r="G686" s="20"/>
      <c r="H686" s="18"/>
      <c r="I686" s="21"/>
    </row>
    <row r="687" ht="22.5" customHeight="1">
      <c r="A687" s="20"/>
      <c r="B687" s="60"/>
      <c r="C687" s="14"/>
      <c r="D687" s="17"/>
      <c r="E687" s="18"/>
      <c r="F687" s="18"/>
      <c r="G687" s="20"/>
      <c r="H687" s="18"/>
      <c r="I687" s="21"/>
    </row>
    <row r="688" ht="22.5" customHeight="1">
      <c r="A688" s="20"/>
      <c r="B688" s="60"/>
      <c r="C688" s="14"/>
      <c r="D688" s="17"/>
      <c r="E688" s="18"/>
      <c r="F688" s="18"/>
      <c r="G688" s="20"/>
      <c r="H688" s="18"/>
      <c r="I688" s="21"/>
    </row>
    <row r="689" ht="22.5" customHeight="1">
      <c r="A689" s="20"/>
      <c r="B689" s="60"/>
      <c r="C689" s="14"/>
      <c r="D689" s="17"/>
      <c r="E689" s="18"/>
      <c r="F689" s="18"/>
      <c r="G689" s="20"/>
      <c r="H689" s="18"/>
      <c r="I689" s="21"/>
    </row>
    <row r="690" ht="22.5" customHeight="1">
      <c r="A690" s="20"/>
      <c r="B690" s="60"/>
      <c r="C690" s="14"/>
      <c r="D690" s="17"/>
      <c r="E690" s="18"/>
      <c r="F690" s="18"/>
      <c r="G690" s="20"/>
      <c r="H690" s="18"/>
      <c r="I690" s="21"/>
    </row>
    <row r="691" ht="22.5" customHeight="1">
      <c r="A691" s="20"/>
      <c r="B691" s="60"/>
      <c r="C691" s="14"/>
      <c r="D691" s="17"/>
      <c r="E691" s="18"/>
      <c r="F691" s="18"/>
      <c r="G691" s="20"/>
      <c r="H691" s="18"/>
      <c r="I691" s="21"/>
    </row>
    <row r="692" ht="22.5" customHeight="1">
      <c r="A692" s="20"/>
      <c r="B692" s="60"/>
      <c r="C692" s="14"/>
      <c r="D692" s="17"/>
      <c r="E692" s="18"/>
      <c r="F692" s="18"/>
      <c r="G692" s="20"/>
      <c r="H692" s="18"/>
      <c r="I692" s="21"/>
    </row>
    <row r="693" ht="22.5" customHeight="1">
      <c r="A693" s="20"/>
      <c r="B693" s="60"/>
      <c r="C693" s="14"/>
      <c r="D693" s="17"/>
      <c r="E693" s="18"/>
      <c r="F693" s="18"/>
      <c r="G693" s="20"/>
      <c r="H693" s="18"/>
      <c r="I693" s="21"/>
    </row>
    <row r="694" ht="22.5" customHeight="1">
      <c r="A694" s="20"/>
      <c r="B694" s="60"/>
      <c r="C694" s="14"/>
      <c r="D694" s="17"/>
      <c r="E694" s="18"/>
      <c r="F694" s="18"/>
      <c r="G694" s="20"/>
      <c r="H694" s="18"/>
      <c r="I694" s="21"/>
    </row>
    <row r="695" ht="22.5" customHeight="1">
      <c r="A695" s="20"/>
      <c r="B695" s="60"/>
      <c r="C695" s="14"/>
      <c r="D695" s="17"/>
      <c r="E695" s="18"/>
      <c r="F695" s="18"/>
      <c r="G695" s="20"/>
      <c r="H695" s="18"/>
      <c r="I695" s="21"/>
    </row>
    <row r="696" ht="22.5" customHeight="1">
      <c r="A696" s="20"/>
      <c r="B696" s="60"/>
      <c r="C696" s="14"/>
      <c r="D696" s="17"/>
      <c r="E696" s="18"/>
      <c r="F696" s="18"/>
      <c r="G696" s="20"/>
      <c r="H696" s="18"/>
      <c r="I696" s="21"/>
    </row>
    <row r="697" ht="22.5" customHeight="1">
      <c r="A697" s="20"/>
      <c r="B697" s="60"/>
      <c r="C697" s="14"/>
      <c r="D697" s="17"/>
      <c r="E697" s="18"/>
      <c r="F697" s="18"/>
      <c r="G697" s="20"/>
      <c r="H697" s="18"/>
      <c r="I697" s="21"/>
    </row>
    <row r="698" ht="22.5" customHeight="1">
      <c r="A698" s="20"/>
      <c r="B698" s="60"/>
      <c r="C698" s="14"/>
      <c r="D698" s="17"/>
      <c r="E698" s="18"/>
      <c r="F698" s="18"/>
      <c r="G698" s="20"/>
      <c r="H698" s="18"/>
      <c r="I698" s="21"/>
    </row>
    <row r="699" ht="22.5" customHeight="1">
      <c r="A699" s="20"/>
      <c r="B699" s="60"/>
      <c r="C699" s="14"/>
      <c r="D699" s="17"/>
      <c r="E699" s="18"/>
      <c r="F699" s="18"/>
      <c r="G699" s="20"/>
      <c r="H699" s="18"/>
      <c r="I699" s="21"/>
    </row>
    <row r="700" ht="22.5" customHeight="1">
      <c r="A700" s="20"/>
      <c r="B700" s="60"/>
      <c r="C700" s="14"/>
      <c r="D700" s="17"/>
      <c r="E700" s="18"/>
      <c r="F700" s="18"/>
      <c r="G700" s="20"/>
      <c r="H700" s="18"/>
      <c r="I700" s="21"/>
    </row>
    <row r="701" ht="22.5" customHeight="1">
      <c r="A701" s="20"/>
      <c r="B701" s="60"/>
      <c r="C701" s="14"/>
      <c r="D701" s="17"/>
      <c r="E701" s="18"/>
      <c r="F701" s="18"/>
      <c r="G701" s="20"/>
      <c r="H701" s="18"/>
      <c r="I701" s="21"/>
    </row>
    <row r="702" ht="22.5" customHeight="1">
      <c r="A702" s="20"/>
      <c r="B702" s="60"/>
      <c r="C702" s="14"/>
      <c r="D702" s="17"/>
      <c r="E702" s="18"/>
      <c r="F702" s="18"/>
      <c r="G702" s="20"/>
      <c r="H702" s="18"/>
      <c r="I702" s="21"/>
    </row>
    <row r="703" ht="22.5" customHeight="1">
      <c r="A703" s="20"/>
      <c r="B703" s="60"/>
      <c r="C703" s="14"/>
      <c r="D703" s="17"/>
      <c r="E703" s="18"/>
      <c r="F703" s="18"/>
      <c r="G703" s="20"/>
      <c r="H703" s="18"/>
      <c r="I703" s="21"/>
    </row>
    <row r="704" ht="22.5" customHeight="1">
      <c r="A704" s="20"/>
      <c r="B704" s="60"/>
      <c r="C704" s="14"/>
      <c r="D704" s="17"/>
      <c r="E704" s="18"/>
      <c r="F704" s="18"/>
      <c r="G704" s="20"/>
      <c r="H704" s="18"/>
      <c r="I704" s="21"/>
    </row>
    <row r="705" ht="22.5" customHeight="1">
      <c r="A705" s="20"/>
      <c r="B705" s="60"/>
      <c r="C705" s="14"/>
      <c r="D705" s="17"/>
      <c r="E705" s="18"/>
      <c r="F705" s="18"/>
      <c r="G705" s="20"/>
      <c r="H705" s="18"/>
      <c r="I705" s="21"/>
    </row>
    <row r="706" ht="22.5" customHeight="1">
      <c r="A706" s="20"/>
      <c r="B706" s="60"/>
      <c r="C706" s="14"/>
      <c r="D706" s="17"/>
      <c r="E706" s="18"/>
      <c r="F706" s="18"/>
      <c r="G706" s="20"/>
      <c r="H706" s="18"/>
      <c r="I706" s="21"/>
    </row>
    <row r="707" ht="22.5" customHeight="1">
      <c r="A707" s="20"/>
      <c r="B707" s="60"/>
      <c r="C707" s="14"/>
      <c r="D707" s="17"/>
      <c r="E707" s="18"/>
      <c r="F707" s="18"/>
      <c r="G707" s="20"/>
      <c r="H707" s="18"/>
      <c r="I707" s="21"/>
    </row>
    <row r="708" ht="22.5" customHeight="1">
      <c r="A708" s="20"/>
      <c r="B708" s="60"/>
      <c r="C708" s="14"/>
      <c r="D708" s="17"/>
      <c r="E708" s="18"/>
      <c r="F708" s="18"/>
      <c r="G708" s="20"/>
      <c r="H708" s="18"/>
      <c r="I708" s="21"/>
    </row>
    <row r="709" ht="22.5" customHeight="1">
      <c r="A709" s="20"/>
      <c r="B709" s="60"/>
      <c r="C709" s="14"/>
      <c r="D709" s="17"/>
      <c r="E709" s="18"/>
      <c r="F709" s="18"/>
      <c r="G709" s="20"/>
      <c r="H709" s="18"/>
      <c r="I709" s="21"/>
    </row>
    <row r="710" ht="22.5" customHeight="1">
      <c r="A710" s="20"/>
      <c r="B710" s="60"/>
      <c r="C710" s="14"/>
      <c r="D710" s="17"/>
      <c r="E710" s="18"/>
      <c r="F710" s="18"/>
      <c r="G710" s="20"/>
      <c r="H710" s="18"/>
      <c r="I710" s="21"/>
    </row>
    <row r="711" ht="22.5" customHeight="1">
      <c r="A711" s="20"/>
      <c r="B711" s="60"/>
      <c r="C711" s="14"/>
      <c r="D711" s="17"/>
      <c r="E711" s="18"/>
      <c r="F711" s="18"/>
      <c r="G711" s="20"/>
      <c r="H711" s="18"/>
      <c r="I711" s="21"/>
    </row>
    <row r="712" ht="22.5" customHeight="1">
      <c r="A712" s="20"/>
      <c r="B712" s="60"/>
      <c r="C712" s="14"/>
      <c r="D712" s="17"/>
      <c r="E712" s="18"/>
      <c r="F712" s="18"/>
      <c r="G712" s="20"/>
      <c r="H712" s="18"/>
      <c r="I712" s="21"/>
    </row>
    <row r="713" ht="22.5" customHeight="1">
      <c r="A713" s="20"/>
      <c r="B713" s="60"/>
      <c r="C713" s="14"/>
      <c r="D713" s="17"/>
      <c r="E713" s="18"/>
      <c r="F713" s="18"/>
      <c r="G713" s="20"/>
      <c r="H713" s="18"/>
      <c r="I713" s="21"/>
    </row>
    <row r="714" ht="22.5" customHeight="1">
      <c r="A714" s="20"/>
      <c r="B714" s="60"/>
      <c r="C714" s="14"/>
      <c r="D714" s="17"/>
      <c r="E714" s="18"/>
      <c r="F714" s="18"/>
      <c r="G714" s="20"/>
      <c r="H714" s="18"/>
      <c r="I714" s="21"/>
    </row>
    <row r="715" ht="22.5" customHeight="1">
      <c r="A715" s="20"/>
      <c r="B715" s="60"/>
      <c r="C715" s="14"/>
      <c r="D715" s="17"/>
      <c r="E715" s="18"/>
      <c r="F715" s="18"/>
      <c r="G715" s="20"/>
      <c r="H715" s="18"/>
      <c r="I715" s="21"/>
    </row>
    <row r="716" ht="22.5" customHeight="1">
      <c r="A716" s="20"/>
      <c r="B716" s="60"/>
      <c r="C716" s="14"/>
      <c r="D716" s="17"/>
      <c r="E716" s="18"/>
      <c r="F716" s="18"/>
      <c r="G716" s="20"/>
      <c r="H716" s="18"/>
      <c r="I716" s="21"/>
    </row>
    <row r="717" ht="22.5" customHeight="1">
      <c r="A717" s="20"/>
      <c r="B717" s="60"/>
      <c r="C717" s="14"/>
      <c r="D717" s="17"/>
      <c r="E717" s="18"/>
      <c r="F717" s="18"/>
      <c r="G717" s="20"/>
      <c r="H717" s="18"/>
      <c r="I717" s="21"/>
    </row>
    <row r="718" ht="22.5" customHeight="1">
      <c r="A718" s="20"/>
      <c r="B718" s="60"/>
      <c r="C718" s="14"/>
      <c r="D718" s="17"/>
      <c r="E718" s="18"/>
      <c r="F718" s="18"/>
      <c r="G718" s="20"/>
      <c r="H718" s="18"/>
      <c r="I718" s="21"/>
    </row>
    <row r="719" ht="22.5" customHeight="1">
      <c r="A719" s="20"/>
      <c r="B719" s="60"/>
      <c r="C719" s="14"/>
      <c r="D719" s="17"/>
      <c r="E719" s="18"/>
      <c r="F719" s="18"/>
      <c r="G719" s="20"/>
      <c r="H719" s="18"/>
      <c r="I719" s="21"/>
    </row>
    <row r="720" ht="22.5" customHeight="1">
      <c r="A720" s="20"/>
      <c r="B720" s="60"/>
      <c r="C720" s="14"/>
      <c r="D720" s="17"/>
      <c r="E720" s="18"/>
      <c r="F720" s="18"/>
      <c r="G720" s="20"/>
      <c r="H720" s="18"/>
      <c r="I720" s="21"/>
    </row>
    <row r="721" ht="22.5" customHeight="1">
      <c r="A721" s="20"/>
      <c r="B721" s="60"/>
      <c r="C721" s="14"/>
      <c r="D721" s="17"/>
      <c r="E721" s="18"/>
      <c r="F721" s="18"/>
      <c r="G721" s="20"/>
      <c r="H721" s="18"/>
      <c r="I721" s="21"/>
    </row>
    <row r="722" ht="22.5" customHeight="1">
      <c r="A722" s="20"/>
      <c r="B722" s="60"/>
      <c r="C722" s="14"/>
      <c r="D722" s="17"/>
      <c r="E722" s="18"/>
      <c r="F722" s="18"/>
      <c r="G722" s="20"/>
      <c r="H722" s="18"/>
      <c r="I722" s="21"/>
    </row>
    <row r="723" ht="22.5" customHeight="1">
      <c r="A723" s="20"/>
      <c r="B723" s="60"/>
      <c r="C723" s="14"/>
      <c r="D723" s="17"/>
      <c r="E723" s="18"/>
      <c r="F723" s="18"/>
      <c r="G723" s="20"/>
      <c r="H723" s="18"/>
      <c r="I723" s="21"/>
    </row>
    <row r="724" ht="22.5" customHeight="1">
      <c r="A724" s="20"/>
      <c r="B724" s="60"/>
      <c r="C724" s="14"/>
      <c r="D724" s="17"/>
      <c r="E724" s="18"/>
      <c r="F724" s="18"/>
      <c r="G724" s="20"/>
      <c r="H724" s="18"/>
      <c r="I724" s="21"/>
    </row>
    <row r="725" ht="22.5" customHeight="1">
      <c r="A725" s="20"/>
      <c r="B725" s="60"/>
      <c r="C725" s="14"/>
      <c r="D725" s="17"/>
      <c r="E725" s="18"/>
      <c r="F725" s="18"/>
      <c r="G725" s="20"/>
      <c r="H725" s="18"/>
      <c r="I725" s="21"/>
    </row>
    <row r="726" ht="22.5" customHeight="1">
      <c r="A726" s="20"/>
      <c r="B726" s="60"/>
      <c r="C726" s="14"/>
      <c r="D726" s="17"/>
      <c r="E726" s="18"/>
      <c r="F726" s="18"/>
      <c r="G726" s="20"/>
      <c r="H726" s="18"/>
      <c r="I726" s="21"/>
    </row>
    <row r="727" ht="22.5" customHeight="1">
      <c r="A727" s="20"/>
      <c r="B727" s="60"/>
      <c r="C727" s="14"/>
      <c r="D727" s="17"/>
      <c r="E727" s="18"/>
      <c r="F727" s="18"/>
      <c r="G727" s="20"/>
      <c r="H727" s="18"/>
      <c r="I727" s="21"/>
    </row>
    <row r="728" ht="22.5" customHeight="1">
      <c r="A728" s="20"/>
      <c r="B728" s="60"/>
      <c r="C728" s="14"/>
      <c r="D728" s="17"/>
      <c r="E728" s="18"/>
      <c r="F728" s="18"/>
      <c r="G728" s="20"/>
      <c r="H728" s="18"/>
      <c r="I728" s="21"/>
    </row>
    <row r="729" ht="22.5" customHeight="1">
      <c r="A729" s="20"/>
      <c r="B729" s="60"/>
      <c r="C729" s="14"/>
      <c r="D729" s="17"/>
      <c r="E729" s="18"/>
      <c r="F729" s="18"/>
      <c r="G729" s="20"/>
      <c r="H729" s="18"/>
      <c r="I729" s="21"/>
    </row>
    <row r="730" ht="22.5" customHeight="1">
      <c r="A730" s="20"/>
      <c r="B730" s="60"/>
      <c r="C730" s="14"/>
      <c r="D730" s="17"/>
      <c r="E730" s="18"/>
      <c r="F730" s="18"/>
      <c r="G730" s="20"/>
      <c r="H730" s="18"/>
      <c r="I730" s="21"/>
    </row>
    <row r="731" ht="22.5" customHeight="1">
      <c r="A731" s="20"/>
      <c r="B731" s="60"/>
      <c r="C731" s="14"/>
      <c r="D731" s="17"/>
      <c r="E731" s="18"/>
      <c r="F731" s="18"/>
      <c r="G731" s="20"/>
      <c r="H731" s="18"/>
      <c r="I731" s="21"/>
    </row>
    <row r="732" ht="22.5" customHeight="1">
      <c r="A732" s="20"/>
      <c r="B732" s="60"/>
      <c r="C732" s="14"/>
      <c r="D732" s="17"/>
      <c r="E732" s="18"/>
      <c r="F732" s="18"/>
      <c r="G732" s="20"/>
      <c r="H732" s="18"/>
      <c r="I732" s="21"/>
    </row>
    <row r="733" ht="22.5" customHeight="1">
      <c r="A733" s="20"/>
      <c r="B733" s="60"/>
      <c r="C733" s="14"/>
      <c r="D733" s="17"/>
      <c r="E733" s="18"/>
      <c r="F733" s="18"/>
      <c r="G733" s="20"/>
      <c r="H733" s="18"/>
      <c r="I733" s="21"/>
    </row>
    <row r="734" ht="22.5" customHeight="1">
      <c r="A734" s="20"/>
      <c r="B734" s="60"/>
      <c r="C734" s="14"/>
      <c r="D734" s="17"/>
      <c r="E734" s="18"/>
      <c r="F734" s="18"/>
      <c r="G734" s="20"/>
      <c r="H734" s="18"/>
      <c r="I734" s="21"/>
    </row>
    <row r="735" ht="22.5" customHeight="1">
      <c r="A735" s="20"/>
      <c r="B735" s="60"/>
      <c r="C735" s="14"/>
      <c r="D735" s="17"/>
      <c r="E735" s="18"/>
      <c r="F735" s="18"/>
      <c r="G735" s="20"/>
      <c r="H735" s="18"/>
      <c r="I735" s="21"/>
    </row>
    <row r="736" ht="22.5" customHeight="1">
      <c r="A736" s="20"/>
      <c r="B736" s="60"/>
      <c r="C736" s="14"/>
      <c r="D736" s="17"/>
      <c r="E736" s="18"/>
      <c r="F736" s="18"/>
      <c r="G736" s="20"/>
      <c r="H736" s="18"/>
      <c r="I736" s="21"/>
    </row>
    <row r="737" ht="22.5" customHeight="1">
      <c r="A737" s="20"/>
      <c r="B737" s="60"/>
      <c r="C737" s="14"/>
      <c r="D737" s="17"/>
      <c r="E737" s="18"/>
      <c r="F737" s="18"/>
      <c r="G737" s="20"/>
      <c r="H737" s="18"/>
      <c r="I737" s="21"/>
    </row>
    <row r="738" ht="22.5" customHeight="1">
      <c r="A738" s="20"/>
      <c r="B738" s="60"/>
      <c r="C738" s="14"/>
      <c r="D738" s="17"/>
      <c r="E738" s="18"/>
      <c r="F738" s="18"/>
      <c r="G738" s="20"/>
      <c r="H738" s="18"/>
      <c r="I738" s="21"/>
    </row>
    <row r="739" ht="22.5" customHeight="1">
      <c r="A739" s="20"/>
      <c r="B739" s="60"/>
      <c r="C739" s="14"/>
      <c r="D739" s="17"/>
      <c r="E739" s="18"/>
      <c r="F739" s="18"/>
      <c r="G739" s="20"/>
      <c r="H739" s="18"/>
      <c r="I739" s="21"/>
    </row>
    <row r="740" ht="22.5" customHeight="1">
      <c r="A740" s="20"/>
      <c r="B740" s="60"/>
      <c r="C740" s="14"/>
      <c r="D740" s="17"/>
      <c r="E740" s="18"/>
      <c r="F740" s="18"/>
      <c r="G740" s="20"/>
      <c r="H740" s="18"/>
      <c r="I740" s="21"/>
    </row>
    <row r="741" ht="22.5" customHeight="1">
      <c r="A741" s="20"/>
      <c r="B741" s="60"/>
      <c r="C741" s="14"/>
      <c r="D741" s="17"/>
      <c r="E741" s="18"/>
      <c r="F741" s="18"/>
      <c r="G741" s="20"/>
      <c r="H741" s="18"/>
      <c r="I741" s="21"/>
    </row>
    <row r="742" ht="22.5" customHeight="1">
      <c r="A742" s="20"/>
      <c r="B742" s="60"/>
      <c r="C742" s="14"/>
      <c r="D742" s="17"/>
      <c r="E742" s="18"/>
      <c r="F742" s="18"/>
      <c r="G742" s="20"/>
      <c r="H742" s="18"/>
      <c r="I742" s="21"/>
    </row>
    <row r="743" ht="22.5" customHeight="1">
      <c r="A743" s="20"/>
      <c r="B743" s="60"/>
      <c r="C743" s="14"/>
      <c r="D743" s="17"/>
      <c r="E743" s="18"/>
      <c r="F743" s="18"/>
      <c r="G743" s="20"/>
      <c r="H743" s="18"/>
      <c r="I743" s="21"/>
    </row>
    <row r="744" ht="22.5" customHeight="1">
      <c r="A744" s="20"/>
      <c r="B744" s="60"/>
      <c r="C744" s="14"/>
      <c r="D744" s="17"/>
      <c r="E744" s="18"/>
      <c r="F744" s="18"/>
      <c r="G744" s="20"/>
      <c r="H744" s="18"/>
      <c r="I744" s="21"/>
    </row>
    <row r="745" ht="22.5" customHeight="1">
      <c r="A745" s="20"/>
      <c r="B745" s="60"/>
      <c r="C745" s="14"/>
      <c r="D745" s="17"/>
      <c r="E745" s="18"/>
      <c r="F745" s="18"/>
      <c r="G745" s="20"/>
      <c r="H745" s="18"/>
      <c r="I745" s="21"/>
    </row>
    <row r="746" ht="22.5" customHeight="1">
      <c r="A746" s="20"/>
      <c r="B746" s="60"/>
      <c r="C746" s="14"/>
      <c r="D746" s="17"/>
      <c r="E746" s="18"/>
      <c r="F746" s="18"/>
      <c r="G746" s="20"/>
      <c r="H746" s="18"/>
      <c r="I746" s="21"/>
    </row>
    <row r="747" ht="22.5" customHeight="1">
      <c r="A747" s="20"/>
      <c r="B747" s="60"/>
      <c r="C747" s="14"/>
      <c r="D747" s="17"/>
      <c r="E747" s="18"/>
      <c r="F747" s="18"/>
      <c r="G747" s="20"/>
      <c r="H747" s="18"/>
      <c r="I747" s="21"/>
    </row>
    <row r="748" ht="22.5" customHeight="1">
      <c r="A748" s="20"/>
      <c r="B748" s="60"/>
      <c r="C748" s="14"/>
      <c r="D748" s="17"/>
      <c r="E748" s="18"/>
      <c r="F748" s="18"/>
      <c r="G748" s="20"/>
      <c r="H748" s="18"/>
      <c r="I748" s="21"/>
    </row>
    <row r="749" ht="22.5" customHeight="1">
      <c r="A749" s="20"/>
      <c r="B749" s="60"/>
      <c r="C749" s="14"/>
      <c r="D749" s="17"/>
      <c r="E749" s="18"/>
      <c r="F749" s="18"/>
      <c r="G749" s="20"/>
      <c r="H749" s="18"/>
      <c r="I749" s="21"/>
    </row>
    <row r="750" ht="22.5" customHeight="1">
      <c r="A750" s="20"/>
      <c r="B750" s="60"/>
      <c r="C750" s="14"/>
      <c r="D750" s="17"/>
      <c r="E750" s="18"/>
      <c r="F750" s="18"/>
      <c r="G750" s="20"/>
      <c r="H750" s="18"/>
      <c r="I750" s="21"/>
    </row>
    <row r="751" ht="22.5" customHeight="1">
      <c r="A751" s="20"/>
      <c r="B751" s="60"/>
      <c r="C751" s="14"/>
      <c r="D751" s="17"/>
      <c r="E751" s="18"/>
      <c r="F751" s="18"/>
      <c r="G751" s="20"/>
      <c r="H751" s="18"/>
      <c r="I751" s="21"/>
    </row>
    <row r="752" ht="22.5" customHeight="1">
      <c r="A752" s="20"/>
      <c r="B752" s="60"/>
      <c r="C752" s="14"/>
      <c r="D752" s="17"/>
      <c r="E752" s="18"/>
      <c r="F752" s="18"/>
      <c r="G752" s="20"/>
      <c r="H752" s="18"/>
      <c r="I752" s="21"/>
    </row>
    <row r="753" ht="22.5" customHeight="1">
      <c r="A753" s="20"/>
      <c r="B753" s="60"/>
      <c r="C753" s="14"/>
      <c r="D753" s="17"/>
      <c r="E753" s="18"/>
      <c r="F753" s="18"/>
      <c r="G753" s="20"/>
      <c r="H753" s="18"/>
      <c r="I753" s="21"/>
    </row>
    <row r="754" ht="22.5" customHeight="1">
      <c r="A754" s="20"/>
      <c r="B754" s="60"/>
      <c r="C754" s="14"/>
      <c r="D754" s="17"/>
      <c r="E754" s="18"/>
      <c r="F754" s="18"/>
      <c r="G754" s="20"/>
      <c r="H754" s="18"/>
      <c r="I754" s="21"/>
    </row>
    <row r="755" ht="22.5" customHeight="1">
      <c r="A755" s="20"/>
      <c r="B755" s="60"/>
      <c r="C755" s="14"/>
      <c r="D755" s="17"/>
      <c r="E755" s="18"/>
      <c r="F755" s="18"/>
      <c r="G755" s="20"/>
      <c r="H755" s="18"/>
      <c r="I755" s="21"/>
    </row>
    <row r="756" ht="22.5" customHeight="1">
      <c r="A756" s="20"/>
      <c r="B756" s="60"/>
      <c r="C756" s="14"/>
      <c r="D756" s="17"/>
      <c r="E756" s="18"/>
      <c r="F756" s="18"/>
      <c r="G756" s="20"/>
      <c r="H756" s="18"/>
      <c r="I756" s="21"/>
    </row>
    <row r="757" ht="22.5" customHeight="1">
      <c r="A757" s="20"/>
      <c r="B757" s="60"/>
      <c r="C757" s="14"/>
      <c r="D757" s="17"/>
      <c r="E757" s="18"/>
      <c r="F757" s="18"/>
      <c r="G757" s="20"/>
      <c r="H757" s="18"/>
      <c r="I757" s="21"/>
    </row>
    <row r="758" ht="22.5" customHeight="1">
      <c r="A758" s="20"/>
      <c r="B758" s="60"/>
      <c r="C758" s="14"/>
      <c r="D758" s="17"/>
      <c r="E758" s="18"/>
      <c r="F758" s="18"/>
      <c r="G758" s="20"/>
      <c r="H758" s="18"/>
      <c r="I758" s="21"/>
    </row>
    <row r="759" ht="22.5" customHeight="1">
      <c r="A759" s="20"/>
      <c r="B759" s="60"/>
      <c r="C759" s="14"/>
      <c r="D759" s="17"/>
      <c r="E759" s="18"/>
      <c r="F759" s="18"/>
      <c r="G759" s="20"/>
      <c r="H759" s="18"/>
      <c r="I759" s="21"/>
    </row>
    <row r="760" ht="22.5" customHeight="1">
      <c r="A760" s="20"/>
      <c r="B760" s="60"/>
      <c r="C760" s="14"/>
      <c r="D760" s="17"/>
      <c r="E760" s="18"/>
      <c r="F760" s="18"/>
      <c r="G760" s="20"/>
      <c r="H760" s="18"/>
      <c r="I760" s="21"/>
    </row>
    <row r="761" ht="22.5" customHeight="1">
      <c r="A761" s="20"/>
      <c r="B761" s="60"/>
      <c r="C761" s="14"/>
      <c r="D761" s="17"/>
      <c r="E761" s="18"/>
      <c r="F761" s="18"/>
      <c r="G761" s="20"/>
      <c r="H761" s="18"/>
      <c r="I761" s="21"/>
    </row>
    <row r="762" ht="22.5" customHeight="1">
      <c r="A762" s="20"/>
      <c r="B762" s="60"/>
      <c r="C762" s="14"/>
      <c r="D762" s="17"/>
      <c r="E762" s="18"/>
      <c r="F762" s="18"/>
      <c r="G762" s="20"/>
      <c r="H762" s="18"/>
      <c r="I762" s="21"/>
    </row>
    <row r="763" ht="22.5" customHeight="1">
      <c r="A763" s="20"/>
      <c r="B763" s="60"/>
      <c r="C763" s="14"/>
      <c r="D763" s="17"/>
      <c r="E763" s="18"/>
      <c r="F763" s="18"/>
      <c r="G763" s="20"/>
      <c r="H763" s="18"/>
      <c r="I763" s="21"/>
    </row>
    <row r="764" ht="22.5" customHeight="1">
      <c r="A764" s="20"/>
      <c r="B764" s="60"/>
      <c r="C764" s="14"/>
      <c r="D764" s="17"/>
      <c r="E764" s="18"/>
      <c r="F764" s="18"/>
      <c r="G764" s="20"/>
      <c r="H764" s="18"/>
      <c r="I764" s="21"/>
    </row>
    <row r="765" ht="22.5" customHeight="1">
      <c r="A765" s="20"/>
      <c r="B765" s="60"/>
      <c r="C765" s="14"/>
      <c r="D765" s="17"/>
      <c r="E765" s="18"/>
      <c r="F765" s="18"/>
      <c r="G765" s="20"/>
      <c r="H765" s="18"/>
      <c r="I765" s="21"/>
    </row>
    <row r="766" ht="22.5" customHeight="1">
      <c r="A766" s="20"/>
      <c r="B766" s="60"/>
      <c r="C766" s="14"/>
      <c r="D766" s="17"/>
      <c r="E766" s="18"/>
      <c r="F766" s="18"/>
      <c r="G766" s="20"/>
      <c r="H766" s="18"/>
      <c r="I766" s="21"/>
    </row>
    <row r="767" ht="22.5" customHeight="1">
      <c r="A767" s="20"/>
      <c r="B767" s="60"/>
      <c r="C767" s="14"/>
      <c r="D767" s="17"/>
      <c r="E767" s="18"/>
      <c r="F767" s="18"/>
      <c r="G767" s="20"/>
      <c r="H767" s="18"/>
      <c r="I767" s="21"/>
    </row>
    <row r="768" ht="22.5" customHeight="1">
      <c r="A768" s="20"/>
      <c r="B768" s="60"/>
      <c r="C768" s="14"/>
      <c r="D768" s="17"/>
      <c r="E768" s="18"/>
      <c r="F768" s="18"/>
      <c r="G768" s="20"/>
      <c r="H768" s="18"/>
      <c r="I768" s="21"/>
    </row>
    <row r="769" ht="22.5" customHeight="1">
      <c r="A769" s="20"/>
      <c r="B769" s="60"/>
      <c r="C769" s="14"/>
      <c r="D769" s="17"/>
      <c r="E769" s="18"/>
      <c r="F769" s="18"/>
      <c r="G769" s="20"/>
      <c r="H769" s="18"/>
      <c r="I769" s="21"/>
    </row>
    <row r="770" ht="22.5" customHeight="1">
      <c r="A770" s="20"/>
      <c r="B770" s="60"/>
      <c r="C770" s="14"/>
      <c r="D770" s="17"/>
      <c r="E770" s="18"/>
      <c r="F770" s="18"/>
      <c r="G770" s="20"/>
      <c r="H770" s="18"/>
      <c r="I770" s="21"/>
    </row>
    <row r="771" ht="22.5" customHeight="1">
      <c r="A771" s="20"/>
      <c r="B771" s="60"/>
      <c r="C771" s="14"/>
      <c r="D771" s="17"/>
      <c r="E771" s="18"/>
      <c r="F771" s="18"/>
      <c r="G771" s="20"/>
      <c r="H771" s="18"/>
      <c r="I771" s="21"/>
    </row>
    <row r="772" ht="22.5" customHeight="1">
      <c r="A772" s="20"/>
      <c r="B772" s="60"/>
      <c r="C772" s="14"/>
      <c r="D772" s="17"/>
      <c r="E772" s="18"/>
      <c r="F772" s="18"/>
      <c r="G772" s="20"/>
      <c r="H772" s="18"/>
      <c r="I772" s="21"/>
    </row>
    <row r="773" ht="22.5" customHeight="1">
      <c r="A773" s="20"/>
      <c r="B773" s="60"/>
      <c r="C773" s="14"/>
      <c r="D773" s="17"/>
      <c r="E773" s="18"/>
      <c r="F773" s="18"/>
      <c r="G773" s="20"/>
      <c r="H773" s="18"/>
      <c r="I773" s="21"/>
    </row>
    <row r="774" ht="22.5" customHeight="1">
      <c r="A774" s="20"/>
      <c r="B774" s="60"/>
      <c r="C774" s="14"/>
      <c r="D774" s="17"/>
      <c r="E774" s="18"/>
      <c r="F774" s="18"/>
      <c r="G774" s="20"/>
      <c r="H774" s="18"/>
      <c r="I774" s="21"/>
    </row>
    <row r="775" ht="22.5" customHeight="1">
      <c r="A775" s="20"/>
      <c r="B775" s="60"/>
      <c r="C775" s="14"/>
      <c r="D775" s="17"/>
      <c r="E775" s="18"/>
      <c r="F775" s="18"/>
      <c r="G775" s="20"/>
      <c r="H775" s="18"/>
      <c r="I775" s="21"/>
    </row>
    <row r="776" ht="22.5" customHeight="1">
      <c r="A776" s="20"/>
      <c r="B776" s="60"/>
      <c r="C776" s="14"/>
      <c r="D776" s="17"/>
      <c r="E776" s="18"/>
      <c r="F776" s="18"/>
      <c r="G776" s="20"/>
      <c r="H776" s="18"/>
      <c r="I776" s="21"/>
    </row>
    <row r="777" ht="22.5" customHeight="1">
      <c r="A777" s="20"/>
      <c r="B777" s="60"/>
      <c r="C777" s="14"/>
      <c r="D777" s="17"/>
      <c r="E777" s="18"/>
      <c r="F777" s="18"/>
      <c r="G777" s="20"/>
      <c r="H777" s="18"/>
      <c r="I777" s="21"/>
    </row>
    <row r="778" ht="22.5" customHeight="1">
      <c r="A778" s="20"/>
      <c r="B778" s="60"/>
      <c r="C778" s="14"/>
      <c r="D778" s="17"/>
      <c r="E778" s="18"/>
      <c r="F778" s="18"/>
      <c r="G778" s="20"/>
      <c r="H778" s="18"/>
      <c r="I778" s="21"/>
    </row>
    <row r="779" ht="22.5" customHeight="1">
      <c r="A779" s="20"/>
      <c r="B779" s="60"/>
      <c r="C779" s="14"/>
      <c r="D779" s="17"/>
      <c r="E779" s="18"/>
      <c r="F779" s="18"/>
      <c r="G779" s="20"/>
      <c r="H779" s="18"/>
      <c r="I779" s="21"/>
    </row>
    <row r="780" ht="22.5" customHeight="1">
      <c r="A780" s="20"/>
      <c r="B780" s="60"/>
      <c r="C780" s="14"/>
      <c r="D780" s="17"/>
      <c r="E780" s="18"/>
      <c r="F780" s="18"/>
      <c r="G780" s="20"/>
      <c r="H780" s="18"/>
      <c r="I780" s="21"/>
    </row>
    <row r="781" ht="22.5" customHeight="1">
      <c r="A781" s="20"/>
      <c r="B781" s="60"/>
      <c r="C781" s="14"/>
      <c r="D781" s="17"/>
      <c r="E781" s="18"/>
      <c r="F781" s="18"/>
      <c r="G781" s="20"/>
      <c r="H781" s="18"/>
      <c r="I781" s="21"/>
    </row>
    <row r="782" ht="22.5" customHeight="1">
      <c r="A782" s="20"/>
      <c r="B782" s="60"/>
      <c r="C782" s="14"/>
      <c r="D782" s="17"/>
      <c r="E782" s="18"/>
      <c r="F782" s="18"/>
      <c r="G782" s="20"/>
      <c r="H782" s="18"/>
      <c r="I782" s="21"/>
    </row>
    <row r="783" ht="22.5" customHeight="1">
      <c r="A783" s="20"/>
      <c r="B783" s="60"/>
      <c r="C783" s="14"/>
      <c r="D783" s="17"/>
      <c r="E783" s="18"/>
      <c r="F783" s="18"/>
      <c r="G783" s="20"/>
      <c r="H783" s="18"/>
      <c r="I783" s="21"/>
    </row>
    <row r="784" ht="22.5" customHeight="1">
      <c r="A784" s="20"/>
      <c r="B784" s="60"/>
      <c r="C784" s="14"/>
      <c r="D784" s="17"/>
      <c r="E784" s="18"/>
      <c r="F784" s="18"/>
      <c r="G784" s="20"/>
      <c r="H784" s="18"/>
      <c r="I784" s="21"/>
    </row>
    <row r="785" ht="22.5" customHeight="1">
      <c r="A785" s="20"/>
      <c r="B785" s="60"/>
      <c r="C785" s="14"/>
      <c r="D785" s="17"/>
      <c r="E785" s="18"/>
      <c r="F785" s="18"/>
      <c r="G785" s="20"/>
      <c r="H785" s="18"/>
      <c r="I785" s="21"/>
    </row>
    <row r="786" ht="22.5" customHeight="1">
      <c r="A786" s="20"/>
      <c r="B786" s="60"/>
      <c r="C786" s="14"/>
      <c r="D786" s="17"/>
      <c r="E786" s="18"/>
      <c r="F786" s="18"/>
      <c r="G786" s="20"/>
      <c r="H786" s="18"/>
      <c r="I786" s="21"/>
    </row>
    <row r="787" ht="22.5" customHeight="1">
      <c r="A787" s="20"/>
      <c r="B787" s="60"/>
      <c r="C787" s="14"/>
      <c r="D787" s="17"/>
      <c r="E787" s="18"/>
      <c r="F787" s="18"/>
      <c r="G787" s="20"/>
      <c r="H787" s="18"/>
      <c r="I787" s="21"/>
    </row>
    <row r="788" ht="22.5" customHeight="1">
      <c r="A788" s="20"/>
      <c r="B788" s="60"/>
      <c r="C788" s="14"/>
      <c r="D788" s="17"/>
      <c r="E788" s="18"/>
      <c r="F788" s="18"/>
      <c r="G788" s="20"/>
      <c r="H788" s="18"/>
      <c r="I788" s="21"/>
    </row>
    <row r="789" ht="22.5" customHeight="1">
      <c r="A789" s="20"/>
      <c r="B789" s="60"/>
      <c r="C789" s="14"/>
      <c r="D789" s="17"/>
      <c r="E789" s="18"/>
      <c r="F789" s="18"/>
      <c r="G789" s="20"/>
      <c r="H789" s="18"/>
      <c r="I789" s="21"/>
    </row>
    <row r="790" ht="22.5" customHeight="1">
      <c r="A790" s="20"/>
      <c r="B790" s="60"/>
      <c r="C790" s="14"/>
      <c r="D790" s="17"/>
      <c r="E790" s="18"/>
      <c r="F790" s="18"/>
      <c r="G790" s="20"/>
      <c r="H790" s="18"/>
      <c r="I790" s="21"/>
    </row>
    <row r="791" ht="22.5" customHeight="1">
      <c r="A791" s="20"/>
      <c r="B791" s="60"/>
      <c r="C791" s="14"/>
      <c r="D791" s="17"/>
      <c r="E791" s="18"/>
      <c r="F791" s="18"/>
      <c r="G791" s="20"/>
      <c r="H791" s="18"/>
      <c r="I791" s="21"/>
    </row>
    <row r="792" ht="22.5" customHeight="1">
      <c r="A792" s="20"/>
      <c r="B792" s="60"/>
      <c r="C792" s="14"/>
      <c r="D792" s="17"/>
      <c r="E792" s="18"/>
      <c r="F792" s="18"/>
      <c r="G792" s="20"/>
      <c r="H792" s="18"/>
      <c r="I792" s="21"/>
    </row>
    <row r="793" ht="22.5" customHeight="1">
      <c r="A793" s="20"/>
      <c r="B793" s="60"/>
      <c r="C793" s="14"/>
      <c r="D793" s="17"/>
      <c r="E793" s="18"/>
      <c r="F793" s="18"/>
      <c r="G793" s="20"/>
      <c r="H793" s="18"/>
      <c r="I793" s="21"/>
    </row>
    <row r="794" ht="22.5" customHeight="1">
      <c r="A794" s="20"/>
      <c r="B794" s="60"/>
      <c r="C794" s="14"/>
      <c r="D794" s="17"/>
      <c r="E794" s="18"/>
      <c r="F794" s="18"/>
      <c r="G794" s="20"/>
      <c r="H794" s="18"/>
      <c r="I794" s="21"/>
    </row>
    <row r="795" ht="22.5" customHeight="1">
      <c r="A795" s="20"/>
      <c r="B795" s="60"/>
      <c r="C795" s="14"/>
      <c r="D795" s="17"/>
      <c r="E795" s="18"/>
      <c r="F795" s="18"/>
      <c r="G795" s="20"/>
      <c r="H795" s="18"/>
      <c r="I795" s="21"/>
    </row>
    <row r="796" ht="22.5" customHeight="1">
      <c r="A796" s="20"/>
      <c r="B796" s="60"/>
      <c r="C796" s="14"/>
      <c r="D796" s="17"/>
      <c r="E796" s="18"/>
      <c r="F796" s="18"/>
      <c r="G796" s="20"/>
      <c r="H796" s="18"/>
      <c r="I796" s="21"/>
    </row>
    <row r="797" ht="22.5" customHeight="1">
      <c r="A797" s="20"/>
      <c r="B797" s="60"/>
      <c r="C797" s="14"/>
      <c r="D797" s="17"/>
      <c r="E797" s="18"/>
      <c r="F797" s="18"/>
      <c r="G797" s="20"/>
      <c r="H797" s="18"/>
      <c r="I797" s="21"/>
    </row>
    <row r="798" ht="22.5" customHeight="1">
      <c r="A798" s="20"/>
      <c r="B798" s="60"/>
      <c r="C798" s="14"/>
      <c r="D798" s="17"/>
      <c r="E798" s="18"/>
      <c r="F798" s="18"/>
      <c r="G798" s="20"/>
      <c r="H798" s="18"/>
      <c r="I798" s="21"/>
    </row>
    <row r="799" ht="22.5" customHeight="1">
      <c r="A799" s="20"/>
      <c r="B799" s="60"/>
      <c r="C799" s="14"/>
      <c r="D799" s="17"/>
      <c r="E799" s="18"/>
      <c r="F799" s="18"/>
      <c r="G799" s="20"/>
      <c r="H799" s="18"/>
      <c r="I799" s="21"/>
    </row>
    <row r="800" ht="22.5" customHeight="1">
      <c r="A800" s="20"/>
      <c r="B800" s="60"/>
      <c r="C800" s="14"/>
      <c r="D800" s="17"/>
      <c r="E800" s="18"/>
      <c r="F800" s="18"/>
      <c r="G800" s="20"/>
      <c r="H800" s="18"/>
      <c r="I800" s="21"/>
    </row>
    <row r="801" ht="22.5" customHeight="1">
      <c r="A801" s="20"/>
      <c r="B801" s="60"/>
      <c r="C801" s="14"/>
      <c r="D801" s="17"/>
      <c r="E801" s="18"/>
      <c r="F801" s="18"/>
      <c r="G801" s="20"/>
      <c r="H801" s="18"/>
      <c r="I801" s="21"/>
    </row>
    <row r="802" ht="22.5" customHeight="1">
      <c r="A802" s="20"/>
      <c r="B802" s="60"/>
      <c r="C802" s="14"/>
      <c r="D802" s="17"/>
      <c r="E802" s="18"/>
      <c r="F802" s="18"/>
      <c r="G802" s="20"/>
      <c r="H802" s="18"/>
      <c r="I802" s="21"/>
    </row>
    <row r="803" ht="22.5" customHeight="1">
      <c r="A803" s="20"/>
      <c r="B803" s="60"/>
      <c r="C803" s="14"/>
      <c r="D803" s="17"/>
      <c r="E803" s="18"/>
      <c r="F803" s="18"/>
      <c r="G803" s="20"/>
      <c r="H803" s="18"/>
      <c r="I803" s="21"/>
    </row>
    <row r="804" ht="22.5" customHeight="1">
      <c r="A804" s="20"/>
      <c r="B804" s="60"/>
      <c r="C804" s="14"/>
      <c r="D804" s="17"/>
      <c r="E804" s="18"/>
      <c r="F804" s="18"/>
      <c r="G804" s="20"/>
      <c r="H804" s="18"/>
      <c r="I804" s="21"/>
    </row>
    <row r="805" ht="22.5" customHeight="1">
      <c r="A805" s="20"/>
      <c r="B805" s="60"/>
      <c r="C805" s="14"/>
      <c r="D805" s="17"/>
      <c r="E805" s="18"/>
      <c r="F805" s="18"/>
      <c r="G805" s="20"/>
      <c r="H805" s="18"/>
      <c r="I805" s="21"/>
    </row>
    <row r="806" ht="22.5" customHeight="1">
      <c r="A806" s="20"/>
      <c r="B806" s="60"/>
      <c r="C806" s="14"/>
      <c r="D806" s="17"/>
      <c r="E806" s="18"/>
      <c r="F806" s="18"/>
      <c r="G806" s="20"/>
      <c r="H806" s="18"/>
      <c r="I806" s="21"/>
    </row>
    <row r="807" ht="22.5" customHeight="1">
      <c r="A807" s="20"/>
      <c r="B807" s="60"/>
      <c r="C807" s="14"/>
      <c r="D807" s="17"/>
      <c r="E807" s="18"/>
      <c r="F807" s="18"/>
      <c r="G807" s="20"/>
      <c r="H807" s="18"/>
      <c r="I807" s="21"/>
    </row>
    <row r="808" ht="22.5" customHeight="1">
      <c r="A808" s="20"/>
      <c r="B808" s="60"/>
      <c r="C808" s="14"/>
      <c r="D808" s="17"/>
      <c r="E808" s="18"/>
      <c r="F808" s="18"/>
      <c r="G808" s="20"/>
      <c r="H808" s="18"/>
      <c r="I808" s="21"/>
    </row>
    <row r="809" ht="22.5" customHeight="1">
      <c r="A809" s="20"/>
      <c r="B809" s="60"/>
      <c r="C809" s="14"/>
      <c r="D809" s="17"/>
      <c r="E809" s="18"/>
      <c r="F809" s="18"/>
      <c r="G809" s="20"/>
      <c r="H809" s="18"/>
      <c r="I809" s="21"/>
    </row>
    <row r="810" ht="22.5" customHeight="1">
      <c r="A810" s="20"/>
      <c r="B810" s="60"/>
      <c r="C810" s="14"/>
      <c r="D810" s="17"/>
      <c r="E810" s="18"/>
      <c r="F810" s="18"/>
      <c r="G810" s="20"/>
      <c r="H810" s="18"/>
      <c r="I810" s="21"/>
    </row>
    <row r="811" ht="22.5" customHeight="1">
      <c r="A811" s="20"/>
      <c r="B811" s="60"/>
      <c r="C811" s="14"/>
      <c r="D811" s="17"/>
      <c r="E811" s="18"/>
      <c r="F811" s="18"/>
      <c r="G811" s="20"/>
      <c r="H811" s="18"/>
      <c r="I811" s="21"/>
    </row>
    <row r="812" ht="22.5" customHeight="1">
      <c r="A812" s="20"/>
      <c r="B812" s="60"/>
      <c r="C812" s="14"/>
      <c r="D812" s="17"/>
      <c r="E812" s="18"/>
      <c r="F812" s="18"/>
      <c r="G812" s="20"/>
      <c r="H812" s="18"/>
      <c r="I812" s="21"/>
    </row>
    <row r="813" ht="22.5" customHeight="1">
      <c r="A813" s="20"/>
      <c r="B813" s="60"/>
      <c r="C813" s="14"/>
      <c r="D813" s="17"/>
      <c r="E813" s="18"/>
      <c r="F813" s="18"/>
      <c r="G813" s="20"/>
      <c r="H813" s="18"/>
      <c r="I813" s="21"/>
    </row>
    <row r="814" ht="22.5" customHeight="1">
      <c r="A814" s="20"/>
      <c r="B814" s="60"/>
      <c r="C814" s="14"/>
      <c r="D814" s="17"/>
      <c r="E814" s="18"/>
      <c r="F814" s="18"/>
      <c r="G814" s="20"/>
      <c r="H814" s="18"/>
      <c r="I814" s="21"/>
    </row>
    <row r="815" ht="22.5" customHeight="1">
      <c r="A815" s="20"/>
      <c r="B815" s="60"/>
      <c r="C815" s="14"/>
      <c r="D815" s="17"/>
      <c r="E815" s="18"/>
      <c r="F815" s="18"/>
      <c r="G815" s="20"/>
      <c r="H815" s="18"/>
      <c r="I815" s="21"/>
    </row>
    <row r="816" ht="22.5" customHeight="1">
      <c r="A816" s="20"/>
      <c r="B816" s="60"/>
      <c r="C816" s="14"/>
      <c r="D816" s="17"/>
      <c r="E816" s="18"/>
      <c r="F816" s="18"/>
      <c r="G816" s="20"/>
      <c r="H816" s="18"/>
      <c r="I816" s="21"/>
    </row>
    <row r="817" ht="22.5" customHeight="1">
      <c r="A817" s="20"/>
      <c r="B817" s="60"/>
      <c r="C817" s="14"/>
      <c r="D817" s="17"/>
      <c r="E817" s="18"/>
      <c r="F817" s="18"/>
      <c r="G817" s="20"/>
      <c r="H817" s="18"/>
      <c r="I817" s="21"/>
    </row>
    <row r="818" ht="22.5" customHeight="1">
      <c r="A818" s="20"/>
      <c r="B818" s="60"/>
      <c r="C818" s="14"/>
      <c r="D818" s="17"/>
      <c r="E818" s="18"/>
      <c r="F818" s="18"/>
      <c r="G818" s="20"/>
      <c r="H818" s="18"/>
      <c r="I818" s="21"/>
    </row>
    <row r="819" ht="22.5" customHeight="1">
      <c r="A819" s="20"/>
      <c r="B819" s="60"/>
      <c r="C819" s="14"/>
      <c r="D819" s="17"/>
      <c r="E819" s="18"/>
      <c r="F819" s="18"/>
      <c r="G819" s="20"/>
      <c r="H819" s="18"/>
      <c r="I819" s="21"/>
    </row>
    <row r="820" ht="22.5" customHeight="1">
      <c r="A820" s="20"/>
      <c r="B820" s="60"/>
      <c r="C820" s="14"/>
      <c r="D820" s="17"/>
      <c r="E820" s="18"/>
      <c r="F820" s="18"/>
      <c r="G820" s="20"/>
      <c r="H820" s="18"/>
      <c r="I820" s="21"/>
    </row>
    <row r="821" ht="22.5" customHeight="1">
      <c r="A821" s="20"/>
      <c r="B821" s="60"/>
      <c r="C821" s="14"/>
      <c r="D821" s="17"/>
      <c r="E821" s="18"/>
      <c r="F821" s="18"/>
      <c r="G821" s="20"/>
      <c r="H821" s="18"/>
      <c r="I821" s="21"/>
    </row>
    <row r="822" ht="22.5" customHeight="1">
      <c r="A822" s="20"/>
      <c r="B822" s="60"/>
      <c r="C822" s="14"/>
      <c r="D822" s="17"/>
      <c r="E822" s="18"/>
      <c r="F822" s="18"/>
      <c r="G822" s="20"/>
      <c r="H822" s="18"/>
      <c r="I822" s="21"/>
    </row>
    <row r="823" ht="22.5" customHeight="1">
      <c r="A823" s="20"/>
      <c r="B823" s="60"/>
      <c r="C823" s="14"/>
      <c r="D823" s="17"/>
      <c r="E823" s="18"/>
      <c r="F823" s="18"/>
      <c r="G823" s="20"/>
      <c r="H823" s="18"/>
      <c r="I823" s="21"/>
    </row>
    <row r="824" ht="22.5" customHeight="1">
      <c r="A824" s="20"/>
      <c r="B824" s="60"/>
      <c r="C824" s="14"/>
      <c r="D824" s="17"/>
      <c r="E824" s="18"/>
      <c r="F824" s="18"/>
      <c r="G824" s="20"/>
      <c r="H824" s="18"/>
      <c r="I824" s="21"/>
    </row>
    <row r="825" ht="22.5" customHeight="1">
      <c r="A825" s="20"/>
      <c r="B825" s="60"/>
      <c r="C825" s="14"/>
      <c r="D825" s="17"/>
      <c r="E825" s="18"/>
      <c r="F825" s="18"/>
      <c r="G825" s="20"/>
      <c r="H825" s="18"/>
      <c r="I825" s="21"/>
    </row>
    <row r="826" ht="22.5" customHeight="1">
      <c r="A826" s="20"/>
      <c r="B826" s="60"/>
      <c r="C826" s="14"/>
      <c r="D826" s="17"/>
      <c r="E826" s="18"/>
      <c r="F826" s="18"/>
      <c r="G826" s="20"/>
      <c r="H826" s="18"/>
      <c r="I826" s="21"/>
    </row>
    <row r="827" ht="22.5" customHeight="1">
      <c r="A827" s="20"/>
      <c r="B827" s="60"/>
      <c r="C827" s="14"/>
      <c r="D827" s="17"/>
      <c r="E827" s="18"/>
      <c r="F827" s="18"/>
      <c r="G827" s="20"/>
      <c r="H827" s="18"/>
      <c r="I827" s="21"/>
    </row>
    <row r="828" ht="22.5" customHeight="1">
      <c r="A828" s="20"/>
      <c r="B828" s="60"/>
      <c r="C828" s="14"/>
      <c r="D828" s="17"/>
      <c r="E828" s="18"/>
      <c r="F828" s="18"/>
      <c r="G828" s="20"/>
      <c r="H828" s="18"/>
      <c r="I828" s="21"/>
    </row>
    <row r="829" ht="22.5" customHeight="1">
      <c r="A829" s="20"/>
      <c r="B829" s="60"/>
      <c r="C829" s="14"/>
      <c r="D829" s="17"/>
      <c r="E829" s="18"/>
      <c r="F829" s="18"/>
      <c r="G829" s="20"/>
      <c r="H829" s="18"/>
      <c r="I829" s="21"/>
    </row>
    <row r="830" ht="22.5" customHeight="1">
      <c r="A830" s="20"/>
      <c r="B830" s="60"/>
      <c r="C830" s="14"/>
      <c r="D830" s="17"/>
      <c r="E830" s="18"/>
      <c r="F830" s="18"/>
      <c r="G830" s="20"/>
      <c r="H830" s="18"/>
      <c r="I830" s="21"/>
    </row>
    <row r="831" ht="22.5" customHeight="1">
      <c r="A831" s="20"/>
      <c r="B831" s="60"/>
      <c r="C831" s="14"/>
      <c r="D831" s="17"/>
      <c r="E831" s="18"/>
      <c r="F831" s="18"/>
      <c r="G831" s="20"/>
      <c r="H831" s="18"/>
      <c r="I831" s="21"/>
    </row>
    <row r="832" ht="22.5" customHeight="1">
      <c r="A832" s="20"/>
      <c r="B832" s="60"/>
      <c r="C832" s="14"/>
      <c r="D832" s="17"/>
      <c r="E832" s="18"/>
      <c r="F832" s="18"/>
      <c r="G832" s="20"/>
      <c r="H832" s="18"/>
      <c r="I832" s="21"/>
    </row>
    <row r="833" ht="22.5" customHeight="1">
      <c r="A833" s="20"/>
      <c r="B833" s="60"/>
      <c r="C833" s="14"/>
      <c r="D833" s="17"/>
      <c r="E833" s="18"/>
      <c r="F833" s="18"/>
      <c r="G833" s="20"/>
      <c r="H833" s="18"/>
      <c r="I833" s="21"/>
    </row>
    <row r="834" ht="22.5" customHeight="1">
      <c r="A834" s="20"/>
      <c r="B834" s="60"/>
      <c r="C834" s="14"/>
      <c r="D834" s="17"/>
      <c r="E834" s="18"/>
      <c r="F834" s="18"/>
      <c r="G834" s="20"/>
      <c r="H834" s="18"/>
      <c r="I834" s="21"/>
    </row>
    <row r="835" ht="22.5" customHeight="1">
      <c r="A835" s="20"/>
      <c r="B835" s="60"/>
      <c r="C835" s="14"/>
      <c r="D835" s="17"/>
      <c r="E835" s="18"/>
      <c r="F835" s="18"/>
      <c r="G835" s="20"/>
      <c r="H835" s="18"/>
      <c r="I835" s="21"/>
    </row>
    <row r="836" ht="22.5" customHeight="1">
      <c r="A836" s="20"/>
      <c r="B836" s="60"/>
      <c r="C836" s="14"/>
      <c r="D836" s="17"/>
      <c r="E836" s="18"/>
      <c r="F836" s="18"/>
      <c r="G836" s="20"/>
      <c r="H836" s="18"/>
      <c r="I836" s="21"/>
    </row>
    <row r="837" ht="22.5" customHeight="1">
      <c r="A837" s="20"/>
      <c r="B837" s="60"/>
      <c r="C837" s="14"/>
      <c r="D837" s="17"/>
      <c r="E837" s="18"/>
      <c r="F837" s="18"/>
      <c r="G837" s="20"/>
      <c r="H837" s="18"/>
      <c r="I837" s="21"/>
    </row>
    <row r="838" ht="22.5" customHeight="1">
      <c r="A838" s="20"/>
      <c r="B838" s="60"/>
      <c r="C838" s="14"/>
      <c r="D838" s="17"/>
      <c r="E838" s="18"/>
      <c r="F838" s="18"/>
      <c r="G838" s="20"/>
      <c r="H838" s="18"/>
      <c r="I838" s="21"/>
    </row>
    <row r="839" ht="22.5" customHeight="1">
      <c r="A839" s="20"/>
      <c r="B839" s="60"/>
      <c r="C839" s="14"/>
      <c r="D839" s="17"/>
      <c r="E839" s="18"/>
      <c r="F839" s="18"/>
      <c r="G839" s="20"/>
      <c r="H839" s="18"/>
      <c r="I839" s="21"/>
    </row>
    <row r="840" ht="22.5" customHeight="1">
      <c r="A840" s="20"/>
      <c r="B840" s="60"/>
      <c r="C840" s="14"/>
      <c r="D840" s="17"/>
      <c r="E840" s="18"/>
      <c r="F840" s="18"/>
      <c r="G840" s="20"/>
      <c r="H840" s="18"/>
      <c r="I840" s="21"/>
    </row>
    <row r="841" ht="22.5" customHeight="1">
      <c r="A841" s="20"/>
      <c r="B841" s="60"/>
      <c r="C841" s="14"/>
      <c r="D841" s="17"/>
      <c r="E841" s="18"/>
      <c r="F841" s="18"/>
      <c r="G841" s="20"/>
      <c r="H841" s="18"/>
      <c r="I841" s="21"/>
    </row>
    <row r="842" ht="22.5" customHeight="1">
      <c r="A842" s="20"/>
      <c r="B842" s="60"/>
      <c r="C842" s="14"/>
      <c r="D842" s="17"/>
      <c r="E842" s="18"/>
      <c r="F842" s="18"/>
      <c r="G842" s="20"/>
      <c r="H842" s="18"/>
      <c r="I842" s="21"/>
    </row>
    <row r="843" ht="22.5" customHeight="1">
      <c r="A843" s="20"/>
      <c r="B843" s="60"/>
      <c r="C843" s="14"/>
      <c r="D843" s="17"/>
      <c r="E843" s="18"/>
      <c r="F843" s="18"/>
      <c r="G843" s="20"/>
      <c r="H843" s="18"/>
      <c r="I843" s="21"/>
    </row>
    <row r="844" ht="22.5" customHeight="1">
      <c r="A844" s="20"/>
      <c r="B844" s="60"/>
      <c r="C844" s="14"/>
      <c r="D844" s="17"/>
      <c r="E844" s="18"/>
      <c r="F844" s="18"/>
      <c r="G844" s="20"/>
      <c r="H844" s="18"/>
      <c r="I844" s="21"/>
    </row>
    <row r="845" ht="22.5" customHeight="1">
      <c r="A845" s="20"/>
      <c r="B845" s="60"/>
      <c r="C845" s="14"/>
      <c r="D845" s="17"/>
      <c r="E845" s="18"/>
      <c r="F845" s="18"/>
      <c r="G845" s="20"/>
      <c r="H845" s="18"/>
      <c r="I845" s="21"/>
    </row>
    <row r="846" ht="22.5" customHeight="1">
      <c r="A846" s="20"/>
      <c r="B846" s="60"/>
      <c r="C846" s="14"/>
      <c r="D846" s="17"/>
      <c r="E846" s="18"/>
      <c r="F846" s="18"/>
      <c r="G846" s="20"/>
      <c r="H846" s="18"/>
      <c r="I846" s="21"/>
    </row>
    <row r="847" ht="22.5" customHeight="1">
      <c r="A847" s="20"/>
      <c r="B847" s="60"/>
      <c r="C847" s="14"/>
      <c r="D847" s="17"/>
      <c r="E847" s="18"/>
      <c r="F847" s="18"/>
      <c r="G847" s="20"/>
      <c r="H847" s="18"/>
      <c r="I847" s="21"/>
    </row>
    <row r="848" ht="22.5" customHeight="1">
      <c r="A848" s="20"/>
      <c r="B848" s="60"/>
      <c r="C848" s="14"/>
      <c r="D848" s="17"/>
      <c r="E848" s="18"/>
      <c r="F848" s="18"/>
      <c r="G848" s="20"/>
      <c r="H848" s="18"/>
      <c r="I848" s="21"/>
    </row>
    <row r="849" ht="22.5" customHeight="1">
      <c r="A849" s="20"/>
      <c r="B849" s="60"/>
      <c r="C849" s="14"/>
      <c r="D849" s="17"/>
      <c r="E849" s="18"/>
      <c r="F849" s="18"/>
      <c r="G849" s="20"/>
      <c r="H849" s="18"/>
      <c r="I849" s="21"/>
    </row>
    <row r="850" ht="22.5" customHeight="1">
      <c r="A850" s="20"/>
      <c r="B850" s="60"/>
      <c r="C850" s="14"/>
      <c r="D850" s="17"/>
      <c r="E850" s="18"/>
      <c r="F850" s="18"/>
      <c r="G850" s="20"/>
      <c r="H850" s="18"/>
      <c r="I850" s="21"/>
    </row>
    <row r="851" ht="22.5" customHeight="1">
      <c r="A851" s="20"/>
      <c r="B851" s="60"/>
      <c r="C851" s="14"/>
      <c r="D851" s="17"/>
      <c r="E851" s="18"/>
      <c r="F851" s="18"/>
      <c r="G851" s="20"/>
      <c r="H851" s="18"/>
      <c r="I851" s="21"/>
    </row>
    <row r="852" ht="22.5" customHeight="1">
      <c r="A852" s="20"/>
      <c r="B852" s="60"/>
      <c r="C852" s="14"/>
      <c r="D852" s="17"/>
      <c r="E852" s="18"/>
      <c r="F852" s="18"/>
      <c r="G852" s="20"/>
      <c r="H852" s="18"/>
      <c r="I852" s="21"/>
    </row>
    <row r="853" ht="22.5" customHeight="1">
      <c r="A853" s="20"/>
      <c r="B853" s="60"/>
      <c r="C853" s="14"/>
      <c r="D853" s="17"/>
      <c r="E853" s="18"/>
      <c r="F853" s="18"/>
      <c r="G853" s="20"/>
      <c r="H853" s="18"/>
      <c r="I853" s="21"/>
    </row>
    <row r="854" ht="22.5" customHeight="1">
      <c r="A854" s="20"/>
      <c r="B854" s="60"/>
      <c r="C854" s="14"/>
      <c r="D854" s="17"/>
      <c r="E854" s="18"/>
      <c r="F854" s="18"/>
      <c r="G854" s="20"/>
      <c r="H854" s="18"/>
      <c r="I854" s="21"/>
    </row>
    <row r="855" ht="22.5" customHeight="1">
      <c r="A855" s="20"/>
      <c r="B855" s="60"/>
      <c r="C855" s="14"/>
      <c r="D855" s="17"/>
      <c r="E855" s="18"/>
      <c r="F855" s="18"/>
      <c r="G855" s="20"/>
      <c r="H855" s="18"/>
      <c r="I855" s="21"/>
    </row>
    <row r="856" ht="22.5" customHeight="1">
      <c r="A856" s="20"/>
      <c r="B856" s="60"/>
      <c r="C856" s="14"/>
      <c r="D856" s="17"/>
      <c r="E856" s="18"/>
      <c r="F856" s="18"/>
      <c r="G856" s="20"/>
      <c r="H856" s="18"/>
      <c r="I856" s="21"/>
    </row>
    <row r="857" ht="22.5" customHeight="1">
      <c r="A857" s="20"/>
      <c r="B857" s="60"/>
      <c r="C857" s="14"/>
      <c r="D857" s="17"/>
      <c r="E857" s="18"/>
      <c r="F857" s="18"/>
      <c r="G857" s="20"/>
      <c r="H857" s="18"/>
      <c r="I857" s="21"/>
    </row>
    <row r="858" ht="22.5" customHeight="1">
      <c r="A858" s="20"/>
      <c r="B858" s="60"/>
      <c r="C858" s="14"/>
      <c r="D858" s="17"/>
      <c r="E858" s="18"/>
      <c r="F858" s="18"/>
      <c r="G858" s="20"/>
      <c r="H858" s="18"/>
      <c r="I858" s="21"/>
    </row>
    <row r="859" ht="22.5" customHeight="1">
      <c r="A859" s="20"/>
      <c r="B859" s="60"/>
      <c r="C859" s="14"/>
      <c r="D859" s="17"/>
      <c r="E859" s="18"/>
      <c r="F859" s="18"/>
      <c r="G859" s="20"/>
      <c r="H859" s="18"/>
      <c r="I859" s="21"/>
    </row>
    <row r="860" ht="22.5" customHeight="1">
      <c r="A860" s="20"/>
      <c r="B860" s="60"/>
      <c r="C860" s="14"/>
      <c r="D860" s="17"/>
      <c r="E860" s="18"/>
      <c r="F860" s="18"/>
      <c r="G860" s="20"/>
      <c r="H860" s="18"/>
      <c r="I860" s="21"/>
    </row>
    <row r="861" ht="22.5" customHeight="1">
      <c r="A861" s="20"/>
      <c r="B861" s="60"/>
      <c r="C861" s="14"/>
      <c r="D861" s="17"/>
      <c r="E861" s="18"/>
      <c r="F861" s="18"/>
      <c r="G861" s="20"/>
      <c r="H861" s="18"/>
      <c r="I861" s="21"/>
    </row>
    <row r="862" ht="22.5" customHeight="1">
      <c r="A862" s="20"/>
      <c r="B862" s="60"/>
      <c r="C862" s="14"/>
      <c r="D862" s="17"/>
      <c r="E862" s="18"/>
      <c r="F862" s="18"/>
      <c r="G862" s="20"/>
      <c r="H862" s="18"/>
      <c r="I862" s="21"/>
    </row>
    <row r="863" ht="22.5" customHeight="1">
      <c r="A863" s="20"/>
      <c r="B863" s="60"/>
      <c r="C863" s="14"/>
      <c r="D863" s="17"/>
      <c r="E863" s="18"/>
      <c r="F863" s="18"/>
      <c r="G863" s="20"/>
      <c r="H863" s="18"/>
      <c r="I863" s="21"/>
    </row>
    <row r="864" ht="22.5" customHeight="1">
      <c r="A864" s="20"/>
      <c r="B864" s="60"/>
      <c r="C864" s="14"/>
      <c r="D864" s="17"/>
      <c r="E864" s="18"/>
      <c r="F864" s="18"/>
      <c r="G864" s="20"/>
      <c r="H864" s="18"/>
      <c r="I864" s="21"/>
    </row>
    <row r="865" ht="22.5" customHeight="1">
      <c r="A865" s="20"/>
      <c r="B865" s="60"/>
      <c r="C865" s="14"/>
      <c r="D865" s="17"/>
      <c r="E865" s="18"/>
      <c r="F865" s="18"/>
      <c r="G865" s="20"/>
      <c r="H865" s="18"/>
      <c r="I865" s="21"/>
    </row>
    <row r="866" ht="22.5" customHeight="1">
      <c r="A866" s="20"/>
      <c r="B866" s="60"/>
      <c r="C866" s="14"/>
      <c r="D866" s="17"/>
      <c r="E866" s="18"/>
      <c r="F866" s="18"/>
      <c r="G866" s="20"/>
      <c r="H866" s="18"/>
      <c r="I866" s="21"/>
    </row>
    <row r="867" ht="22.5" customHeight="1">
      <c r="A867" s="20"/>
      <c r="B867" s="60"/>
      <c r="C867" s="14"/>
      <c r="D867" s="17"/>
      <c r="E867" s="18"/>
      <c r="F867" s="18"/>
      <c r="G867" s="20"/>
      <c r="H867" s="18"/>
      <c r="I867" s="21"/>
    </row>
    <row r="868" ht="22.5" customHeight="1">
      <c r="A868" s="20"/>
      <c r="B868" s="60"/>
      <c r="C868" s="14"/>
      <c r="D868" s="17"/>
      <c r="E868" s="18"/>
      <c r="F868" s="18"/>
      <c r="G868" s="20"/>
      <c r="H868" s="18"/>
      <c r="I868" s="21"/>
    </row>
    <row r="869" ht="22.5" customHeight="1">
      <c r="A869" s="20"/>
      <c r="B869" s="60"/>
      <c r="C869" s="14"/>
      <c r="D869" s="17"/>
      <c r="E869" s="18"/>
      <c r="F869" s="18"/>
      <c r="G869" s="20"/>
      <c r="H869" s="18"/>
      <c r="I869" s="21"/>
    </row>
    <row r="870" ht="22.5" customHeight="1">
      <c r="A870" s="20"/>
      <c r="B870" s="60"/>
      <c r="C870" s="14"/>
      <c r="D870" s="17"/>
      <c r="E870" s="18"/>
      <c r="F870" s="18"/>
      <c r="G870" s="20"/>
      <c r="H870" s="18"/>
      <c r="I870" s="21"/>
    </row>
    <row r="871" ht="22.5" customHeight="1">
      <c r="A871" s="20"/>
      <c r="B871" s="60"/>
      <c r="C871" s="14"/>
      <c r="D871" s="17"/>
      <c r="E871" s="18"/>
      <c r="F871" s="18"/>
      <c r="G871" s="20"/>
      <c r="H871" s="18"/>
      <c r="I871" s="21"/>
    </row>
    <row r="872" ht="22.5" customHeight="1">
      <c r="A872" s="20"/>
      <c r="B872" s="60"/>
      <c r="C872" s="14"/>
      <c r="D872" s="17"/>
      <c r="E872" s="18"/>
      <c r="F872" s="18"/>
      <c r="G872" s="20"/>
      <c r="H872" s="18"/>
      <c r="I872" s="21"/>
    </row>
    <row r="873" ht="22.5" customHeight="1">
      <c r="A873" s="20"/>
      <c r="B873" s="60"/>
      <c r="C873" s="14"/>
      <c r="D873" s="17"/>
      <c r="E873" s="18"/>
      <c r="F873" s="18"/>
      <c r="G873" s="20"/>
      <c r="H873" s="18"/>
      <c r="I873" s="21"/>
    </row>
    <row r="874" ht="22.5" customHeight="1">
      <c r="A874" s="20"/>
      <c r="B874" s="60"/>
      <c r="C874" s="14"/>
      <c r="D874" s="17"/>
      <c r="E874" s="18"/>
      <c r="F874" s="18"/>
      <c r="G874" s="20"/>
      <c r="H874" s="18"/>
      <c r="I874" s="21"/>
    </row>
    <row r="875" ht="22.5" customHeight="1">
      <c r="A875" s="20"/>
      <c r="B875" s="60"/>
      <c r="C875" s="14"/>
      <c r="D875" s="17"/>
      <c r="E875" s="18"/>
      <c r="F875" s="18"/>
      <c r="G875" s="20"/>
      <c r="H875" s="18"/>
      <c r="I875" s="21"/>
    </row>
    <row r="876" ht="22.5" customHeight="1">
      <c r="A876" s="20"/>
      <c r="B876" s="60"/>
      <c r="C876" s="14"/>
      <c r="D876" s="17"/>
      <c r="E876" s="18"/>
      <c r="F876" s="18"/>
      <c r="G876" s="20"/>
      <c r="H876" s="18"/>
      <c r="I876" s="21"/>
    </row>
    <row r="877" ht="22.5" customHeight="1">
      <c r="A877" s="20"/>
      <c r="B877" s="60"/>
      <c r="C877" s="14"/>
      <c r="D877" s="17"/>
      <c r="E877" s="18"/>
      <c r="F877" s="18"/>
      <c r="G877" s="20"/>
      <c r="H877" s="18"/>
      <c r="I877" s="21"/>
    </row>
    <row r="878" ht="22.5" customHeight="1">
      <c r="A878" s="20"/>
      <c r="B878" s="60"/>
      <c r="C878" s="14"/>
      <c r="D878" s="17"/>
      <c r="E878" s="18"/>
      <c r="F878" s="18"/>
      <c r="G878" s="20"/>
      <c r="H878" s="18"/>
      <c r="I878" s="21"/>
    </row>
    <row r="879" ht="22.5" customHeight="1">
      <c r="A879" s="20"/>
      <c r="B879" s="60"/>
      <c r="C879" s="14"/>
      <c r="D879" s="17"/>
      <c r="E879" s="18"/>
      <c r="F879" s="18"/>
      <c r="G879" s="20"/>
      <c r="H879" s="18"/>
      <c r="I879" s="21"/>
    </row>
    <row r="880" ht="22.5" customHeight="1">
      <c r="A880" s="20"/>
      <c r="B880" s="60"/>
      <c r="C880" s="14"/>
      <c r="D880" s="17"/>
      <c r="E880" s="18"/>
      <c r="F880" s="18"/>
      <c r="G880" s="20"/>
      <c r="H880" s="18"/>
      <c r="I880" s="21"/>
    </row>
    <row r="881" ht="22.5" customHeight="1">
      <c r="A881" s="20"/>
      <c r="B881" s="60"/>
      <c r="C881" s="14"/>
      <c r="D881" s="17"/>
      <c r="E881" s="18"/>
      <c r="F881" s="18"/>
      <c r="G881" s="20"/>
      <c r="H881" s="18"/>
      <c r="I881" s="21"/>
    </row>
    <row r="882" ht="22.5" customHeight="1">
      <c r="A882" s="20"/>
      <c r="B882" s="60"/>
      <c r="C882" s="14"/>
      <c r="D882" s="17"/>
      <c r="E882" s="18"/>
      <c r="F882" s="18"/>
      <c r="G882" s="20"/>
      <c r="H882" s="18"/>
      <c r="I882" s="21"/>
    </row>
    <row r="883" ht="22.5" customHeight="1">
      <c r="A883" s="20"/>
      <c r="B883" s="60"/>
      <c r="C883" s="14"/>
      <c r="D883" s="17"/>
      <c r="E883" s="18"/>
      <c r="F883" s="18"/>
      <c r="G883" s="20"/>
      <c r="H883" s="18"/>
      <c r="I883" s="21"/>
    </row>
    <row r="884" ht="22.5" customHeight="1">
      <c r="A884" s="20"/>
      <c r="B884" s="60"/>
      <c r="C884" s="14"/>
      <c r="D884" s="17"/>
      <c r="E884" s="18"/>
      <c r="F884" s="18"/>
      <c r="G884" s="20"/>
      <c r="H884" s="18"/>
      <c r="I884" s="21"/>
    </row>
    <row r="885" ht="22.5" customHeight="1">
      <c r="A885" s="20"/>
      <c r="B885" s="60"/>
      <c r="C885" s="14"/>
      <c r="D885" s="17"/>
      <c r="E885" s="18"/>
      <c r="F885" s="18"/>
      <c r="G885" s="20"/>
      <c r="H885" s="18"/>
      <c r="I885" s="21"/>
    </row>
    <row r="886" ht="22.5" customHeight="1">
      <c r="A886" s="20"/>
      <c r="B886" s="60"/>
      <c r="C886" s="14"/>
      <c r="D886" s="17"/>
      <c r="E886" s="18"/>
      <c r="F886" s="18"/>
      <c r="G886" s="20"/>
      <c r="H886" s="18"/>
      <c r="I886" s="21"/>
    </row>
    <row r="887" ht="22.5" customHeight="1">
      <c r="A887" s="20"/>
      <c r="B887" s="60"/>
      <c r="C887" s="14"/>
      <c r="D887" s="17"/>
      <c r="E887" s="18"/>
      <c r="F887" s="18"/>
      <c r="G887" s="20"/>
      <c r="H887" s="18"/>
      <c r="I887" s="21"/>
    </row>
    <row r="888" ht="22.5" customHeight="1">
      <c r="A888" s="20"/>
      <c r="B888" s="60"/>
      <c r="C888" s="14"/>
      <c r="D888" s="17"/>
      <c r="E888" s="18"/>
      <c r="F888" s="18"/>
      <c r="G888" s="20"/>
      <c r="H888" s="18"/>
      <c r="I888" s="21"/>
    </row>
    <row r="889" ht="22.5" customHeight="1">
      <c r="A889" s="20"/>
      <c r="B889" s="60"/>
      <c r="C889" s="14"/>
      <c r="D889" s="17"/>
      <c r="E889" s="18"/>
      <c r="F889" s="18"/>
      <c r="G889" s="20"/>
      <c r="H889" s="18"/>
      <c r="I889" s="21"/>
    </row>
    <row r="890" ht="22.5" customHeight="1">
      <c r="A890" s="20"/>
      <c r="B890" s="60"/>
      <c r="C890" s="14"/>
      <c r="D890" s="17"/>
      <c r="E890" s="18"/>
      <c r="F890" s="18"/>
      <c r="G890" s="20"/>
      <c r="H890" s="18"/>
      <c r="I890" s="21"/>
    </row>
    <row r="891" ht="22.5" customHeight="1">
      <c r="A891" s="20"/>
      <c r="B891" s="60"/>
      <c r="C891" s="14"/>
      <c r="D891" s="17"/>
      <c r="E891" s="18"/>
      <c r="F891" s="18"/>
      <c r="G891" s="20"/>
      <c r="H891" s="18"/>
      <c r="I891" s="21"/>
    </row>
    <row r="892" ht="22.5" customHeight="1">
      <c r="A892" s="20"/>
      <c r="B892" s="60"/>
      <c r="C892" s="14"/>
      <c r="D892" s="17"/>
      <c r="E892" s="18"/>
      <c r="F892" s="18"/>
      <c r="G892" s="20"/>
      <c r="H892" s="18"/>
      <c r="I892" s="21"/>
    </row>
    <row r="893" ht="22.5" customHeight="1">
      <c r="A893" s="20"/>
      <c r="B893" s="60"/>
      <c r="C893" s="14"/>
      <c r="D893" s="17"/>
      <c r="E893" s="18"/>
      <c r="F893" s="18"/>
      <c r="G893" s="20"/>
      <c r="H893" s="18"/>
      <c r="I893" s="21"/>
    </row>
    <row r="894" ht="22.5" customHeight="1">
      <c r="A894" s="20"/>
      <c r="B894" s="60"/>
      <c r="C894" s="14"/>
      <c r="D894" s="17"/>
      <c r="E894" s="18"/>
      <c r="F894" s="18"/>
      <c r="G894" s="20"/>
      <c r="H894" s="18"/>
      <c r="I894" s="21"/>
    </row>
    <row r="895" ht="22.5" customHeight="1">
      <c r="A895" s="20"/>
      <c r="B895" s="60"/>
      <c r="C895" s="14"/>
      <c r="D895" s="17"/>
      <c r="E895" s="18"/>
      <c r="F895" s="18"/>
      <c r="G895" s="20"/>
      <c r="H895" s="18"/>
      <c r="I895" s="21"/>
    </row>
    <row r="896" ht="22.5" customHeight="1">
      <c r="A896" s="20"/>
      <c r="B896" s="60"/>
      <c r="C896" s="14"/>
      <c r="D896" s="17"/>
      <c r="E896" s="18"/>
      <c r="F896" s="18"/>
      <c r="G896" s="20"/>
      <c r="H896" s="18"/>
      <c r="I896" s="21"/>
    </row>
    <row r="897" ht="22.5" customHeight="1">
      <c r="A897" s="20"/>
      <c r="B897" s="60"/>
      <c r="C897" s="14"/>
      <c r="D897" s="17"/>
      <c r="E897" s="18"/>
      <c r="F897" s="18"/>
      <c r="G897" s="20"/>
      <c r="H897" s="18"/>
      <c r="I897" s="21"/>
    </row>
    <row r="898" ht="22.5" customHeight="1">
      <c r="A898" s="20"/>
      <c r="B898" s="60"/>
      <c r="C898" s="14"/>
      <c r="D898" s="17"/>
      <c r="E898" s="18"/>
      <c r="F898" s="18"/>
      <c r="G898" s="20"/>
      <c r="H898" s="18"/>
      <c r="I898" s="21"/>
    </row>
    <row r="899" ht="22.5" customHeight="1">
      <c r="A899" s="20"/>
      <c r="B899" s="60"/>
      <c r="C899" s="14"/>
      <c r="D899" s="17"/>
      <c r="E899" s="18"/>
      <c r="F899" s="18"/>
      <c r="G899" s="20"/>
      <c r="H899" s="18"/>
      <c r="I899" s="21"/>
    </row>
    <row r="900" ht="22.5" customHeight="1">
      <c r="A900" s="20"/>
      <c r="B900" s="60"/>
      <c r="C900" s="14"/>
      <c r="D900" s="17"/>
      <c r="E900" s="18"/>
      <c r="F900" s="18"/>
      <c r="G900" s="20"/>
      <c r="H900" s="18"/>
      <c r="I900" s="21"/>
    </row>
    <row r="901" ht="22.5" customHeight="1">
      <c r="A901" s="20"/>
      <c r="B901" s="60"/>
      <c r="C901" s="14"/>
      <c r="D901" s="17"/>
      <c r="E901" s="18"/>
      <c r="F901" s="18"/>
      <c r="G901" s="20"/>
      <c r="H901" s="18"/>
      <c r="I901" s="21"/>
    </row>
    <row r="902" ht="22.5" customHeight="1">
      <c r="A902" s="20"/>
      <c r="B902" s="60"/>
      <c r="C902" s="14"/>
      <c r="D902" s="17"/>
      <c r="E902" s="18"/>
      <c r="F902" s="18"/>
      <c r="G902" s="20"/>
      <c r="H902" s="18"/>
      <c r="I902" s="21"/>
    </row>
    <row r="903" ht="22.5" customHeight="1">
      <c r="A903" s="20"/>
      <c r="B903" s="60"/>
      <c r="C903" s="14"/>
      <c r="D903" s="17"/>
      <c r="E903" s="18"/>
      <c r="F903" s="18"/>
      <c r="G903" s="20"/>
      <c r="H903" s="18"/>
      <c r="I903" s="21"/>
    </row>
    <row r="904" ht="22.5" customHeight="1">
      <c r="A904" s="20"/>
      <c r="B904" s="60"/>
      <c r="C904" s="14"/>
      <c r="D904" s="17"/>
      <c r="E904" s="18"/>
      <c r="F904" s="18"/>
      <c r="G904" s="20"/>
      <c r="H904" s="18"/>
      <c r="I904" s="21"/>
    </row>
    <row r="905" ht="22.5" customHeight="1">
      <c r="A905" s="20"/>
      <c r="B905" s="60"/>
      <c r="C905" s="14"/>
      <c r="D905" s="17"/>
      <c r="E905" s="18"/>
      <c r="F905" s="18"/>
      <c r="G905" s="20"/>
      <c r="H905" s="18"/>
      <c r="I905" s="21"/>
    </row>
    <row r="906" ht="22.5" customHeight="1">
      <c r="A906" s="20"/>
      <c r="B906" s="60"/>
      <c r="C906" s="14"/>
      <c r="D906" s="17"/>
      <c r="E906" s="18"/>
      <c r="F906" s="18"/>
      <c r="G906" s="20"/>
      <c r="H906" s="18"/>
      <c r="I906" s="21"/>
    </row>
    <row r="907" ht="22.5" customHeight="1">
      <c r="A907" s="20"/>
      <c r="B907" s="60"/>
      <c r="C907" s="14"/>
      <c r="D907" s="17"/>
      <c r="E907" s="18"/>
      <c r="F907" s="18"/>
      <c r="G907" s="20"/>
      <c r="H907" s="18"/>
      <c r="I907" s="21"/>
    </row>
    <row r="908" ht="22.5" customHeight="1">
      <c r="A908" s="20"/>
      <c r="B908" s="60"/>
      <c r="C908" s="14"/>
      <c r="D908" s="17"/>
      <c r="E908" s="18"/>
      <c r="F908" s="18"/>
      <c r="G908" s="20"/>
      <c r="H908" s="18"/>
      <c r="I908" s="21"/>
    </row>
    <row r="909" ht="22.5" customHeight="1">
      <c r="A909" s="20"/>
      <c r="B909" s="60"/>
      <c r="C909" s="14"/>
      <c r="D909" s="17"/>
      <c r="E909" s="18"/>
      <c r="F909" s="18"/>
      <c r="G909" s="20"/>
      <c r="H909" s="18"/>
      <c r="I909" s="21"/>
    </row>
    <row r="910" ht="22.5" customHeight="1">
      <c r="A910" s="20"/>
      <c r="B910" s="60"/>
      <c r="C910" s="14"/>
      <c r="D910" s="17"/>
      <c r="E910" s="18"/>
      <c r="F910" s="18"/>
      <c r="G910" s="20"/>
      <c r="H910" s="18"/>
      <c r="I910" s="21"/>
    </row>
    <row r="911" ht="22.5" customHeight="1">
      <c r="A911" s="20"/>
      <c r="B911" s="60"/>
      <c r="C911" s="14"/>
      <c r="D911" s="17"/>
      <c r="E911" s="18"/>
      <c r="F911" s="18"/>
      <c r="G911" s="20"/>
      <c r="H911" s="18"/>
      <c r="I911" s="21"/>
    </row>
    <row r="912" ht="22.5" customHeight="1">
      <c r="A912" s="20"/>
      <c r="B912" s="60"/>
      <c r="C912" s="14"/>
      <c r="D912" s="17"/>
      <c r="E912" s="18"/>
      <c r="F912" s="18"/>
      <c r="G912" s="20"/>
      <c r="H912" s="18"/>
      <c r="I912" s="21"/>
    </row>
    <row r="913" ht="22.5" customHeight="1">
      <c r="A913" s="20"/>
      <c r="B913" s="60"/>
      <c r="C913" s="14"/>
      <c r="D913" s="17"/>
      <c r="E913" s="18"/>
      <c r="F913" s="18"/>
      <c r="G913" s="20"/>
      <c r="H913" s="18"/>
      <c r="I913" s="21"/>
    </row>
    <row r="914" ht="22.5" customHeight="1">
      <c r="A914" s="20"/>
      <c r="B914" s="60"/>
      <c r="C914" s="14"/>
      <c r="D914" s="17"/>
      <c r="E914" s="18"/>
      <c r="F914" s="18"/>
      <c r="G914" s="20"/>
      <c r="H914" s="18"/>
      <c r="I914" s="21"/>
    </row>
    <row r="915" ht="22.5" customHeight="1">
      <c r="A915" s="20"/>
      <c r="B915" s="60"/>
      <c r="C915" s="14"/>
      <c r="D915" s="17"/>
      <c r="E915" s="18"/>
      <c r="F915" s="18"/>
      <c r="G915" s="20"/>
      <c r="H915" s="18"/>
      <c r="I915" s="21"/>
    </row>
    <row r="916" ht="22.5" customHeight="1">
      <c r="A916" s="20"/>
      <c r="B916" s="60"/>
      <c r="C916" s="14"/>
      <c r="D916" s="17"/>
      <c r="E916" s="18"/>
      <c r="F916" s="18"/>
      <c r="G916" s="20"/>
      <c r="H916" s="18"/>
      <c r="I916" s="21"/>
    </row>
    <row r="917" ht="22.5" customHeight="1">
      <c r="A917" s="20"/>
      <c r="B917" s="60"/>
      <c r="C917" s="14"/>
      <c r="D917" s="17"/>
      <c r="E917" s="18"/>
      <c r="F917" s="18"/>
      <c r="G917" s="20"/>
      <c r="H917" s="18"/>
      <c r="I917" s="21"/>
    </row>
    <row r="918" ht="22.5" customHeight="1">
      <c r="A918" s="20"/>
      <c r="B918" s="60"/>
      <c r="C918" s="14"/>
      <c r="D918" s="17"/>
      <c r="E918" s="18"/>
      <c r="F918" s="18"/>
      <c r="G918" s="20"/>
      <c r="H918" s="18"/>
      <c r="I918" s="21"/>
    </row>
    <row r="919" ht="22.5" customHeight="1">
      <c r="A919" s="20"/>
      <c r="B919" s="60"/>
      <c r="C919" s="14"/>
      <c r="D919" s="17"/>
      <c r="E919" s="18"/>
      <c r="F919" s="18"/>
      <c r="G919" s="20"/>
      <c r="H919" s="18"/>
      <c r="I919" s="21"/>
    </row>
    <row r="920" ht="22.5" customHeight="1">
      <c r="A920" s="20"/>
      <c r="B920" s="60"/>
      <c r="C920" s="14"/>
      <c r="D920" s="17"/>
      <c r="E920" s="18"/>
      <c r="F920" s="18"/>
      <c r="G920" s="20"/>
      <c r="H920" s="18"/>
      <c r="I920" s="21"/>
    </row>
    <row r="921" ht="22.5" customHeight="1">
      <c r="A921" s="20"/>
      <c r="B921" s="60"/>
      <c r="C921" s="14"/>
      <c r="D921" s="17"/>
      <c r="E921" s="18"/>
      <c r="F921" s="18"/>
      <c r="G921" s="20"/>
      <c r="H921" s="18"/>
      <c r="I921" s="21"/>
    </row>
    <row r="922" ht="22.5" customHeight="1">
      <c r="A922" s="20"/>
      <c r="B922" s="60"/>
      <c r="C922" s="14"/>
      <c r="D922" s="17"/>
      <c r="E922" s="18"/>
      <c r="F922" s="18"/>
      <c r="G922" s="20"/>
      <c r="H922" s="18"/>
      <c r="I922" s="21"/>
    </row>
    <row r="923" ht="22.5" customHeight="1">
      <c r="A923" s="20"/>
      <c r="B923" s="60"/>
      <c r="C923" s="14"/>
      <c r="D923" s="17"/>
      <c r="E923" s="18"/>
      <c r="F923" s="18"/>
      <c r="G923" s="20"/>
      <c r="H923" s="18"/>
      <c r="I923" s="21"/>
    </row>
    <row r="924" ht="22.5" customHeight="1">
      <c r="A924" s="20"/>
      <c r="B924" s="60"/>
      <c r="C924" s="14"/>
      <c r="D924" s="17"/>
      <c r="E924" s="18"/>
      <c r="F924" s="18"/>
      <c r="G924" s="20"/>
      <c r="H924" s="18"/>
      <c r="I924" s="21"/>
    </row>
    <row r="925" ht="22.5" customHeight="1">
      <c r="A925" s="20"/>
      <c r="B925" s="60"/>
      <c r="C925" s="14"/>
      <c r="D925" s="17"/>
      <c r="E925" s="18"/>
      <c r="F925" s="18"/>
      <c r="G925" s="20"/>
      <c r="H925" s="18"/>
      <c r="I925" s="21"/>
    </row>
    <row r="926" ht="22.5" customHeight="1">
      <c r="A926" s="20"/>
      <c r="B926" s="60"/>
      <c r="C926" s="14"/>
      <c r="D926" s="17"/>
      <c r="E926" s="18"/>
      <c r="F926" s="18"/>
      <c r="G926" s="20"/>
      <c r="H926" s="18"/>
      <c r="I926" s="21"/>
    </row>
    <row r="927" ht="22.5" customHeight="1">
      <c r="A927" s="20"/>
      <c r="B927" s="60"/>
      <c r="C927" s="14"/>
      <c r="D927" s="17"/>
      <c r="E927" s="18"/>
      <c r="F927" s="18"/>
      <c r="G927" s="20"/>
      <c r="H927" s="18"/>
      <c r="I927" s="21"/>
    </row>
    <row r="928" ht="22.5" customHeight="1">
      <c r="A928" s="20"/>
      <c r="B928" s="60"/>
      <c r="C928" s="14"/>
      <c r="D928" s="17"/>
      <c r="E928" s="18"/>
      <c r="F928" s="18"/>
      <c r="G928" s="20"/>
      <c r="H928" s="18"/>
      <c r="I928" s="21"/>
    </row>
    <row r="929" ht="22.5" customHeight="1">
      <c r="A929" s="20"/>
      <c r="B929" s="60"/>
      <c r="C929" s="14"/>
      <c r="D929" s="17"/>
      <c r="E929" s="18"/>
      <c r="F929" s="18"/>
      <c r="G929" s="20"/>
      <c r="H929" s="18"/>
      <c r="I929" s="21"/>
    </row>
    <row r="930" ht="22.5" customHeight="1">
      <c r="A930" s="20"/>
      <c r="B930" s="60"/>
      <c r="C930" s="14"/>
      <c r="D930" s="17"/>
      <c r="E930" s="18"/>
      <c r="F930" s="18"/>
      <c r="G930" s="20"/>
      <c r="H930" s="18"/>
      <c r="I930" s="21"/>
    </row>
    <row r="931" ht="22.5" customHeight="1">
      <c r="A931" s="20"/>
      <c r="B931" s="60"/>
      <c r="C931" s="14"/>
      <c r="D931" s="17"/>
      <c r="E931" s="18"/>
      <c r="F931" s="18"/>
      <c r="G931" s="20"/>
      <c r="H931" s="18"/>
      <c r="I931" s="21"/>
    </row>
    <row r="932" ht="22.5" customHeight="1">
      <c r="A932" s="20"/>
      <c r="B932" s="60"/>
      <c r="C932" s="14"/>
      <c r="D932" s="17"/>
      <c r="E932" s="18"/>
      <c r="F932" s="18"/>
      <c r="G932" s="20"/>
      <c r="H932" s="18"/>
      <c r="I932" s="21"/>
    </row>
    <row r="933" ht="22.5" customHeight="1">
      <c r="A933" s="20"/>
      <c r="B933" s="60"/>
      <c r="C933" s="14"/>
      <c r="D933" s="17"/>
      <c r="E933" s="18"/>
      <c r="F933" s="18"/>
      <c r="G933" s="20"/>
      <c r="H933" s="18"/>
      <c r="I933" s="21"/>
    </row>
    <row r="934" ht="22.5" customHeight="1">
      <c r="A934" s="20"/>
      <c r="B934" s="60"/>
      <c r="C934" s="14"/>
      <c r="D934" s="17"/>
      <c r="E934" s="18"/>
      <c r="F934" s="18"/>
      <c r="G934" s="20"/>
      <c r="H934" s="18"/>
      <c r="I934" s="21"/>
    </row>
    <row r="935" ht="22.5" customHeight="1">
      <c r="A935" s="20"/>
      <c r="B935" s="60"/>
      <c r="C935" s="14"/>
      <c r="D935" s="17"/>
      <c r="E935" s="18"/>
      <c r="F935" s="18"/>
      <c r="G935" s="20"/>
      <c r="H935" s="18"/>
      <c r="I935" s="21"/>
    </row>
    <row r="936" ht="22.5" customHeight="1">
      <c r="A936" s="20"/>
      <c r="B936" s="60"/>
      <c r="C936" s="14"/>
      <c r="D936" s="17"/>
      <c r="E936" s="18"/>
      <c r="F936" s="18"/>
      <c r="G936" s="20"/>
      <c r="H936" s="18"/>
      <c r="I936" s="21"/>
    </row>
    <row r="937" ht="22.5" customHeight="1">
      <c r="A937" s="20"/>
      <c r="B937" s="60"/>
      <c r="C937" s="14"/>
      <c r="D937" s="17"/>
      <c r="E937" s="18"/>
      <c r="F937" s="18"/>
      <c r="G937" s="20"/>
      <c r="H937" s="18"/>
      <c r="I937" s="21"/>
    </row>
    <row r="938" ht="22.5" customHeight="1">
      <c r="A938" s="20"/>
      <c r="B938" s="60"/>
      <c r="C938" s="14"/>
      <c r="D938" s="17"/>
      <c r="E938" s="18"/>
      <c r="F938" s="18"/>
      <c r="G938" s="20"/>
      <c r="H938" s="18"/>
      <c r="I938" s="21"/>
    </row>
    <row r="939" ht="22.5" customHeight="1">
      <c r="A939" s="20"/>
      <c r="B939" s="60"/>
      <c r="C939" s="14"/>
      <c r="D939" s="17"/>
      <c r="E939" s="18"/>
      <c r="F939" s="18"/>
      <c r="G939" s="20"/>
      <c r="H939" s="18"/>
      <c r="I939" s="21"/>
    </row>
    <row r="940" ht="22.5" customHeight="1">
      <c r="A940" s="20"/>
      <c r="B940" s="60"/>
      <c r="C940" s="14"/>
      <c r="D940" s="17"/>
      <c r="E940" s="18"/>
      <c r="F940" s="18"/>
      <c r="G940" s="20"/>
      <c r="H940" s="18"/>
      <c r="I940" s="21"/>
    </row>
    <row r="941" ht="22.5" customHeight="1">
      <c r="A941" s="20"/>
      <c r="B941" s="60"/>
      <c r="C941" s="14"/>
      <c r="D941" s="17"/>
      <c r="E941" s="18"/>
      <c r="F941" s="18"/>
      <c r="G941" s="20"/>
      <c r="H941" s="18"/>
      <c r="I941" s="21"/>
    </row>
    <row r="942" ht="22.5" customHeight="1">
      <c r="A942" s="20"/>
      <c r="B942" s="60"/>
      <c r="C942" s="14"/>
      <c r="D942" s="17"/>
      <c r="E942" s="18"/>
      <c r="F942" s="18"/>
      <c r="G942" s="20"/>
      <c r="H942" s="18"/>
      <c r="I942" s="21"/>
    </row>
    <row r="943" ht="22.5" customHeight="1">
      <c r="A943" s="20"/>
      <c r="B943" s="60"/>
      <c r="C943" s="14"/>
      <c r="D943" s="17"/>
      <c r="E943" s="18"/>
      <c r="F943" s="18"/>
      <c r="G943" s="20"/>
      <c r="H943" s="18"/>
      <c r="I943" s="21"/>
    </row>
    <row r="944" ht="22.5" customHeight="1">
      <c r="A944" s="20"/>
      <c r="B944" s="60"/>
      <c r="C944" s="14"/>
      <c r="D944" s="17"/>
      <c r="E944" s="18"/>
      <c r="F944" s="18"/>
      <c r="G944" s="20"/>
      <c r="H944" s="18"/>
      <c r="I944" s="21"/>
    </row>
    <row r="945" ht="22.5" customHeight="1">
      <c r="A945" s="20"/>
      <c r="B945" s="60"/>
      <c r="C945" s="14"/>
      <c r="D945" s="17"/>
      <c r="E945" s="18"/>
      <c r="F945" s="18"/>
      <c r="G945" s="20"/>
      <c r="H945" s="18"/>
      <c r="I945" s="21"/>
    </row>
    <row r="946" ht="22.5" customHeight="1">
      <c r="A946" s="20"/>
      <c r="B946" s="60"/>
      <c r="C946" s="14"/>
      <c r="D946" s="17"/>
      <c r="E946" s="18"/>
      <c r="F946" s="18"/>
      <c r="G946" s="20"/>
      <c r="H946" s="18"/>
      <c r="I946" s="21"/>
    </row>
    <row r="947" ht="22.5" customHeight="1">
      <c r="A947" s="20"/>
      <c r="B947" s="60"/>
      <c r="C947" s="14"/>
      <c r="D947" s="17"/>
      <c r="E947" s="18"/>
      <c r="F947" s="18"/>
      <c r="G947" s="20"/>
      <c r="H947" s="18"/>
      <c r="I947" s="21"/>
    </row>
    <row r="948" ht="22.5" customHeight="1">
      <c r="A948" s="20"/>
      <c r="B948" s="60"/>
      <c r="C948" s="14"/>
      <c r="D948" s="17"/>
      <c r="E948" s="18"/>
      <c r="F948" s="18"/>
      <c r="G948" s="20"/>
      <c r="H948" s="18"/>
      <c r="I948" s="21"/>
    </row>
    <row r="949" ht="22.5" customHeight="1">
      <c r="A949" s="20"/>
      <c r="B949" s="60"/>
      <c r="C949" s="14"/>
      <c r="D949" s="17"/>
      <c r="E949" s="18"/>
      <c r="F949" s="18"/>
      <c r="G949" s="20"/>
      <c r="H949" s="18"/>
      <c r="I949" s="21"/>
    </row>
    <row r="950" ht="22.5" customHeight="1">
      <c r="A950" s="20"/>
      <c r="B950" s="60"/>
      <c r="C950" s="14"/>
      <c r="D950" s="17"/>
      <c r="E950" s="18"/>
      <c r="F950" s="18"/>
      <c r="G950" s="20"/>
      <c r="H950" s="18"/>
      <c r="I950" s="21"/>
    </row>
    <row r="951" ht="22.5" customHeight="1">
      <c r="A951" s="20"/>
      <c r="B951" s="60"/>
      <c r="C951" s="14"/>
      <c r="D951" s="17"/>
      <c r="E951" s="18"/>
      <c r="F951" s="18"/>
      <c r="G951" s="20"/>
      <c r="H951" s="18"/>
      <c r="I951" s="21"/>
    </row>
    <row r="952" ht="22.5" customHeight="1">
      <c r="A952" s="20"/>
      <c r="B952" s="60"/>
      <c r="C952" s="14"/>
      <c r="D952" s="17"/>
      <c r="E952" s="18"/>
      <c r="F952" s="18"/>
      <c r="G952" s="20"/>
      <c r="H952" s="18"/>
      <c r="I952" s="21"/>
    </row>
    <row r="953" ht="22.5" customHeight="1">
      <c r="A953" s="20"/>
      <c r="B953" s="60"/>
      <c r="C953" s="14"/>
      <c r="D953" s="17"/>
      <c r="E953" s="18"/>
      <c r="F953" s="18"/>
      <c r="G953" s="20"/>
      <c r="H953" s="18"/>
      <c r="I953" s="21"/>
    </row>
    <row r="954" ht="22.5" customHeight="1">
      <c r="A954" s="20"/>
      <c r="B954" s="60"/>
      <c r="C954" s="14"/>
      <c r="D954" s="17"/>
      <c r="E954" s="18"/>
      <c r="F954" s="18"/>
      <c r="G954" s="20"/>
      <c r="H954" s="18"/>
      <c r="I954" s="21"/>
    </row>
    <row r="955" ht="22.5" customHeight="1">
      <c r="A955" s="20"/>
      <c r="B955" s="60"/>
      <c r="C955" s="14"/>
      <c r="D955" s="17"/>
      <c r="E955" s="18"/>
      <c r="F955" s="18"/>
      <c r="G955" s="20"/>
      <c r="H955" s="18"/>
      <c r="I955" s="21"/>
    </row>
    <row r="956" ht="22.5" customHeight="1">
      <c r="A956" s="20"/>
      <c r="B956" s="60"/>
      <c r="C956" s="14"/>
      <c r="D956" s="17"/>
      <c r="E956" s="18"/>
      <c r="F956" s="18"/>
      <c r="G956" s="20"/>
      <c r="H956" s="18"/>
      <c r="I956" s="21"/>
    </row>
    <row r="957" ht="22.5" customHeight="1">
      <c r="A957" s="20"/>
      <c r="B957" s="60"/>
      <c r="C957" s="14"/>
      <c r="D957" s="17"/>
      <c r="E957" s="18"/>
      <c r="F957" s="18"/>
      <c r="G957" s="20"/>
      <c r="H957" s="18"/>
      <c r="I957" s="21"/>
    </row>
    <row r="958" ht="22.5" customHeight="1">
      <c r="A958" s="20"/>
      <c r="B958" s="60"/>
      <c r="C958" s="14"/>
      <c r="D958" s="17"/>
      <c r="E958" s="18"/>
      <c r="F958" s="18"/>
      <c r="G958" s="20"/>
      <c r="H958" s="18"/>
      <c r="I958" s="21"/>
    </row>
    <row r="959" ht="22.5" customHeight="1">
      <c r="A959" s="20"/>
      <c r="B959" s="60"/>
      <c r="C959" s="14"/>
      <c r="D959" s="17"/>
      <c r="E959" s="18"/>
      <c r="F959" s="18"/>
      <c r="G959" s="20"/>
      <c r="H959" s="18"/>
      <c r="I959" s="21"/>
    </row>
    <row r="960" ht="22.5" customHeight="1">
      <c r="A960" s="20"/>
      <c r="B960" s="60"/>
      <c r="C960" s="14"/>
      <c r="D960" s="17"/>
      <c r="E960" s="18"/>
      <c r="F960" s="18"/>
      <c r="G960" s="20"/>
      <c r="H960" s="18"/>
      <c r="I960" s="21"/>
    </row>
    <row r="961" ht="22.5" customHeight="1">
      <c r="A961" s="20"/>
      <c r="B961" s="60"/>
      <c r="C961" s="14"/>
      <c r="D961" s="17"/>
      <c r="E961" s="18"/>
      <c r="F961" s="18"/>
      <c r="G961" s="20"/>
      <c r="H961" s="18"/>
      <c r="I961" s="21"/>
    </row>
    <row r="962" ht="22.5" customHeight="1">
      <c r="A962" s="20"/>
      <c r="B962" s="60"/>
      <c r="C962" s="14"/>
      <c r="D962" s="17"/>
      <c r="E962" s="18"/>
      <c r="F962" s="18"/>
      <c r="G962" s="20"/>
      <c r="H962" s="18"/>
      <c r="I962" s="21"/>
    </row>
    <row r="963" ht="22.5" customHeight="1">
      <c r="A963" s="20"/>
      <c r="B963" s="60"/>
      <c r="C963" s="14"/>
      <c r="D963" s="17"/>
      <c r="E963" s="18"/>
      <c r="F963" s="18"/>
      <c r="G963" s="20"/>
      <c r="H963" s="18"/>
      <c r="I963" s="21"/>
    </row>
    <row r="964" ht="22.5" customHeight="1">
      <c r="A964" s="20"/>
      <c r="B964" s="60"/>
      <c r="C964" s="14"/>
      <c r="D964" s="17"/>
      <c r="E964" s="18"/>
      <c r="F964" s="18"/>
      <c r="G964" s="20"/>
      <c r="H964" s="18"/>
      <c r="I964" s="21"/>
    </row>
    <row r="965" ht="22.5" customHeight="1">
      <c r="A965" s="20"/>
      <c r="B965" s="60"/>
      <c r="C965" s="14"/>
      <c r="D965" s="17"/>
      <c r="E965" s="18"/>
      <c r="F965" s="18"/>
      <c r="G965" s="20"/>
      <c r="H965" s="18"/>
      <c r="I965" s="21"/>
    </row>
    <row r="966" ht="22.5" customHeight="1">
      <c r="A966" s="20"/>
      <c r="B966" s="60"/>
      <c r="C966" s="14"/>
      <c r="D966" s="17"/>
      <c r="E966" s="18"/>
      <c r="F966" s="18"/>
      <c r="G966" s="20"/>
      <c r="H966" s="18"/>
      <c r="I966" s="21"/>
    </row>
    <row r="967" ht="22.5" customHeight="1">
      <c r="A967" s="20"/>
      <c r="B967" s="60"/>
      <c r="C967" s="14"/>
      <c r="D967" s="17"/>
      <c r="E967" s="18"/>
      <c r="F967" s="18"/>
      <c r="G967" s="20"/>
      <c r="H967" s="18"/>
      <c r="I967" s="21"/>
    </row>
    <row r="968" ht="22.5" customHeight="1">
      <c r="A968" s="20"/>
      <c r="B968" s="60"/>
      <c r="C968" s="14"/>
      <c r="D968" s="17"/>
      <c r="E968" s="18"/>
      <c r="F968" s="18"/>
      <c r="G968" s="20"/>
      <c r="H968" s="18"/>
      <c r="I968" s="21"/>
    </row>
    <row r="969" ht="22.5" customHeight="1">
      <c r="A969" s="20"/>
      <c r="B969" s="60"/>
      <c r="C969" s="14"/>
      <c r="D969" s="17"/>
      <c r="E969" s="18"/>
      <c r="F969" s="18"/>
      <c r="G969" s="20"/>
      <c r="H969" s="18"/>
      <c r="I969" s="21"/>
    </row>
    <row r="970" ht="22.5" customHeight="1">
      <c r="A970" s="20"/>
      <c r="B970" s="60"/>
      <c r="C970" s="14"/>
      <c r="D970" s="17"/>
      <c r="E970" s="18"/>
      <c r="F970" s="18"/>
      <c r="G970" s="20"/>
      <c r="H970" s="18"/>
      <c r="I970" s="21"/>
    </row>
    <row r="971" ht="22.5" customHeight="1">
      <c r="A971" s="20"/>
      <c r="B971" s="60"/>
      <c r="C971" s="14"/>
      <c r="D971" s="17"/>
      <c r="E971" s="18"/>
      <c r="F971" s="18"/>
      <c r="G971" s="20"/>
      <c r="H971" s="18"/>
      <c r="I971" s="21"/>
    </row>
    <row r="972" ht="22.5" customHeight="1">
      <c r="A972" s="20"/>
      <c r="B972" s="60"/>
      <c r="C972" s="14"/>
      <c r="D972" s="17"/>
      <c r="E972" s="18"/>
      <c r="F972" s="18"/>
      <c r="G972" s="20"/>
      <c r="H972" s="18"/>
      <c r="I972" s="21"/>
    </row>
    <row r="973" ht="22.5" customHeight="1">
      <c r="A973" s="20"/>
      <c r="B973" s="60"/>
      <c r="C973" s="14"/>
      <c r="D973" s="17"/>
      <c r="E973" s="18"/>
      <c r="F973" s="18"/>
      <c r="G973" s="20"/>
      <c r="H973" s="18"/>
      <c r="I973" s="21"/>
    </row>
    <row r="974" ht="22.5" customHeight="1">
      <c r="A974" s="20"/>
      <c r="B974" s="60"/>
      <c r="C974" s="14"/>
      <c r="D974" s="17"/>
      <c r="E974" s="18"/>
      <c r="F974" s="18"/>
      <c r="G974" s="20"/>
      <c r="H974" s="18"/>
      <c r="I974" s="21"/>
    </row>
    <row r="975" ht="22.5" customHeight="1">
      <c r="A975" s="20"/>
      <c r="B975" s="60"/>
      <c r="C975" s="14"/>
      <c r="D975" s="17"/>
      <c r="E975" s="18"/>
      <c r="F975" s="18"/>
      <c r="G975" s="20"/>
      <c r="H975" s="18"/>
      <c r="I975" s="21"/>
    </row>
    <row r="976" ht="22.5" customHeight="1">
      <c r="A976" s="20"/>
      <c r="B976" s="60"/>
      <c r="C976" s="14"/>
      <c r="D976" s="17"/>
      <c r="E976" s="18"/>
      <c r="F976" s="18"/>
      <c r="G976" s="20"/>
      <c r="H976" s="18"/>
      <c r="I976" s="21"/>
    </row>
    <row r="977" ht="22.5" customHeight="1">
      <c r="A977" s="20"/>
      <c r="B977" s="60"/>
      <c r="C977" s="14"/>
      <c r="D977" s="17"/>
      <c r="E977" s="18"/>
      <c r="F977" s="18"/>
      <c r="G977" s="20"/>
      <c r="H977" s="18"/>
      <c r="I977" s="21"/>
    </row>
    <row r="978" ht="22.5" customHeight="1">
      <c r="A978" s="20"/>
      <c r="B978" s="60"/>
      <c r="C978" s="14"/>
      <c r="D978" s="17"/>
      <c r="E978" s="18"/>
      <c r="F978" s="18"/>
      <c r="G978" s="20"/>
      <c r="H978" s="18"/>
      <c r="I978" s="21"/>
    </row>
    <row r="979" ht="22.5" customHeight="1">
      <c r="A979" s="20"/>
      <c r="B979" s="60"/>
      <c r="C979" s="14"/>
      <c r="D979" s="17"/>
      <c r="E979" s="18"/>
      <c r="F979" s="18"/>
      <c r="G979" s="20"/>
      <c r="H979" s="18"/>
      <c r="I979" s="21"/>
    </row>
    <row r="980" ht="22.5" customHeight="1">
      <c r="A980" s="20"/>
      <c r="B980" s="60"/>
      <c r="C980" s="14"/>
      <c r="D980" s="17"/>
      <c r="E980" s="18"/>
      <c r="F980" s="18"/>
      <c r="G980" s="20"/>
      <c r="H980" s="18"/>
      <c r="I980" s="21"/>
    </row>
    <row r="981" ht="22.5" customHeight="1">
      <c r="A981" s="20"/>
      <c r="B981" s="60"/>
      <c r="C981" s="14"/>
      <c r="D981" s="17"/>
      <c r="E981" s="18"/>
      <c r="F981" s="18"/>
      <c r="G981" s="20"/>
      <c r="H981" s="18"/>
      <c r="I981" s="21"/>
    </row>
    <row r="982" ht="22.5" customHeight="1">
      <c r="A982" s="20"/>
      <c r="B982" s="60"/>
      <c r="C982" s="14"/>
      <c r="D982" s="17"/>
      <c r="E982" s="18"/>
      <c r="F982" s="18"/>
      <c r="G982" s="20"/>
      <c r="H982" s="18"/>
      <c r="I982" s="21"/>
    </row>
    <row r="983" ht="22.5" customHeight="1">
      <c r="A983" s="20"/>
      <c r="B983" s="60"/>
      <c r="C983" s="14"/>
      <c r="D983" s="17"/>
      <c r="E983" s="18"/>
      <c r="F983" s="18"/>
      <c r="G983" s="20"/>
      <c r="H983" s="18"/>
      <c r="I983" s="21"/>
    </row>
    <row r="984" ht="22.5" customHeight="1">
      <c r="A984" s="20"/>
      <c r="B984" s="60"/>
      <c r="C984" s="14"/>
      <c r="D984" s="17"/>
      <c r="E984" s="18"/>
      <c r="F984" s="18"/>
      <c r="G984" s="20"/>
      <c r="H984" s="18"/>
      <c r="I984" s="21"/>
    </row>
    <row r="985" ht="22.5" customHeight="1">
      <c r="A985" s="20"/>
      <c r="B985" s="60"/>
      <c r="C985" s="14"/>
      <c r="D985" s="17"/>
      <c r="E985" s="18"/>
      <c r="F985" s="18"/>
      <c r="G985" s="20"/>
      <c r="H985" s="18"/>
      <c r="I985" s="21"/>
    </row>
    <row r="986" ht="22.5" customHeight="1">
      <c r="A986" s="20"/>
      <c r="B986" s="60"/>
      <c r="C986" s="14"/>
      <c r="D986" s="17"/>
      <c r="E986" s="18"/>
      <c r="F986" s="18"/>
      <c r="G986" s="20"/>
      <c r="H986" s="18"/>
      <c r="I986" s="21"/>
    </row>
    <row r="987" ht="22.5" customHeight="1">
      <c r="A987" s="20"/>
      <c r="B987" s="60"/>
      <c r="C987" s="14"/>
      <c r="D987" s="17"/>
      <c r="E987" s="18"/>
      <c r="F987" s="18"/>
      <c r="G987" s="20"/>
      <c r="H987" s="18"/>
      <c r="I987" s="21"/>
    </row>
    <row r="988" ht="22.5" customHeight="1">
      <c r="A988" s="20"/>
      <c r="B988" s="60"/>
      <c r="C988" s="14"/>
      <c r="D988" s="17"/>
      <c r="E988" s="18"/>
      <c r="F988" s="18"/>
      <c r="G988" s="20"/>
      <c r="H988" s="18"/>
      <c r="I988" s="21"/>
    </row>
    <row r="989" ht="22.5" customHeight="1">
      <c r="A989" s="20"/>
      <c r="B989" s="60"/>
      <c r="C989" s="14"/>
      <c r="D989" s="17"/>
      <c r="E989" s="18"/>
      <c r="F989" s="18"/>
      <c r="G989" s="20"/>
      <c r="H989" s="18"/>
      <c r="I989" s="21"/>
    </row>
    <row r="990" ht="22.5" customHeight="1">
      <c r="A990" s="20"/>
      <c r="B990" s="60"/>
      <c r="C990" s="14"/>
      <c r="D990" s="17"/>
      <c r="E990" s="18"/>
      <c r="F990" s="18"/>
      <c r="G990" s="20"/>
      <c r="H990" s="18"/>
      <c r="I990" s="21"/>
    </row>
    <row r="991" ht="22.5" customHeight="1">
      <c r="A991" s="20"/>
      <c r="B991" s="60"/>
      <c r="C991" s="14"/>
      <c r="D991" s="17"/>
      <c r="E991" s="18"/>
      <c r="F991" s="18"/>
      <c r="G991" s="20"/>
      <c r="H991" s="18"/>
      <c r="I991" s="21"/>
    </row>
    <row r="992" ht="22.5" customHeight="1">
      <c r="A992" s="20"/>
      <c r="B992" s="60"/>
      <c r="C992" s="14"/>
      <c r="D992" s="17"/>
      <c r="E992" s="18"/>
      <c r="F992" s="18"/>
      <c r="G992" s="20"/>
      <c r="H992" s="18"/>
      <c r="I992" s="21"/>
    </row>
    <row r="993" ht="22.5" customHeight="1">
      <c r="A993" s="20"/>
      <c r="B993" s="60"/>
      <c r="C993" s="14"/>
      <c r="D993" s="17"/>
      <c r="E993" s="18"/>
      <c r="F993" s="18"/>
      <c r="G993" s="20"/>
      <c r="H993" s="18"/>
      <c r="I993" s="21"/>
    </row>
    <row r="994" ht="22.5" customHeight="1">
      <c r="A994" s="20"/>
      <c r="B994" s="60"/>
      <c r="C994" s="14"/>
      <c r="D994" s="17"/>
      <c r="E994" s="18"/>
      <c r="F994" s="18"/>
      <c r="G994" s="20"/>
      <c r="H994" s="18"/>
      <c r="I994" s="21"/>
    </row>
    <row r="995" ht="22.5" customHeight="1">
      <c r="A995" s="20"/>
      <c r="B995" s="60"/>
      <c r="C995" s="14"/>
      <c r="D995" s="17"/>
      <c r="E995" s="18"/>
      <c r="F995" s="18"/>
      <c r="G995" s="20"/>
      <c r="H995" s="18"/>
      <c r="I995" s="21"/>
    </row>
    <row r="996" ht="22.5" customHeight="1">
      <c r="A996" s="20"/>
      <c r="B996" s="60"/>
      <c r="C996" s="14"/>
      <c r="D996" s="17"/>
      <c r="E996" s="18"/>
      <c r="F996" s="18"/>
      <c r="G996" s="20"/>
      <c r="H996" s="18"/>
      <c r="I996" s="21"/>
    </row>
    <row r="997" ht="22.5" customHeight="1">
      <c r="A997" s="20"/>
      <c r="B997" s="60"/>
      <c r="C997" s="14"/>
      <c r="D997" s="17"/>
      <c r="E997" s="18"/>
      <c r="F997" s="18"/>
      <c r="G997" s="20"/>
      <c r="H997" s="18"/>
      <c r="I997" s="21"/>
    </row>
    <row r="998" ht="22.5" customHeight="1">
      <c r="A998" s="20"/>
      <c r="B998" s="60"/>
      <c r="C998" s="14"/>
      <c r="D998" s="17"/>
      <c r="E998" s="18"/>
      <c r="F998" s="18"/>
      <c r="G998" s="20"/>
      <c r="H998" s="18"/>
      <c r="I998" s="21"/>
    </row>
    <row r="999" ht="22.5" customHeight="1">
      <c r="A999" s="20"/>
      <c r="B999" s="60"/>
      <c r="C999" s="14"/>
      <c r="D999" s="17"/>
      <c r="E999" s="18"/>
      <c r="F999" s="18"/>
      <c r="G999" s="20"/>
      <c r="H999" s="18"/>
      <c r="I999" s="21"/>
    </row>
    <row r="1000" ht="22.5" customHeight="1">
      <c r="A1000" s="20"/>
      <c r="B1000" s="60"/>
      <c r="C1000" s="14"/>
      <c r="D1000" s="17"/>
      <c r="E1000" s="18"/>
      <c r="F1000" s="18"/>
      <c r="G1000" s="20"/>
      <c r="H1000" s="18"/>
      <c r="I1000" s="21"/>
    </row>
    <row r="1001" ht="22.5" customHeight="1">
      <c r="A1001" s="20"/>
      <c r="B1001" s="60"/>
      <c r="C1001" s="14"/>
      <c r="D1001" s="17"/>
      <c r="E1001" s="18"/>
      <c r="F1001" s="18"/>
      <c r="G1001" s="20"/>
      <c r="H1001" s="18"/>
      <c r="I1001" s="21"/>
    </row>
    <row r="1002" ht="22.5" customHeight="1">
      <c r="A1002" s="20"/>
      <c r="B1002" s="60"/>
      <c r="C1002" s="14"/>
      <c r="D1002" s="17"/>
      <c r="E1002" s="18"/>
      <c r="F1002" s="18"/>
      <c r="G1002" s="20"/>
      <c r="H1002" s="18"/>
      <c r="I1002" s="21"/>
    </row>
    <row r="1003" ht="22.5" customHeight="1">
      <c r="A1003" s="20"/>
      <c r="B1003" s="60"/>
      <c r="C1003" s="14"/>
      <c r="D1003" s="17"/>
      <c r="E1003" s="18"/>
      <c r="F1003" s="18"/>
      <c r="G1003" s="20"/>
      <c r="H1003" s="18"/>
      <c r="I1003" s="21"/>
    </row>
    <row r="1004" ht="22.5" customHeight="1">
      <c r="A1004" s="20"/>
      <c r="B1004" s="60"/>
      <c r="C1004" s="14"/>
      <c r="D1004" s="17"/>
      <c r="E1004" s="18"/>
      <c r="F1004" s="18"/>
      <c r="G1004" s="20"/>
      <c r="H1004" s="18"/>
      <c r="I1004" s="21"/>
    </row>
    <row r="1005" ht="22.5" customHeight="1">
      <c r="A1005" s="20"/>
      <c r="B1005" s="60"/>
      <c r="C1005" s="14"/>
      <c r="D1005" s="17"/>
      <c r="E1005" s="18"/>
      <c r="F1005" s="18"/>
      <c r="G1005" s="20"/>
      <c r="H1005" s="18"/>
      <c r="I1005" s="21"/>
    </row>
    <row r="1006" ht="22.5" customHeight="1">
      <c r="A1006" s="20"/>
      <c r="B1006" s="60"/>
      <c r="C1006" s="14"/>
      <c r="D1006" s="17"/>
      <c r="E1006" s="18"/>
      <c r="F1006" s="18"/>
      <c r="G1006" s="20"/>
      <c r="H1006" s="18"/>
      <c r="I1006" s="21"/>
    </row>
    <row r="1007" ht="22.5" customHeight="1">
      <c r="A1007" s="20"/>
      <c r="B1007" s="60"/>
      <c r="C1007" s="14"/>
      <c r="D1007" s="17"/>
      <c r="E1007" s="18"/>
      <c r="F1007" s="18"/>
      <c r="G1007" s="20"/>
      <c r="H1007" s="18"/>
      <c r="I1007" s="21"/>
    </row>
    <row r="1008" ht="22.5" customHeight="1">
      <c r="A1008" s="20"/>
      <c r="B1008" s="60"/>
      <c r="C1008" s="14"/>
      <c r="D1008" s="17"/>
      <c r="E1008" s="18"/>
      <c r="F1008" s="18"/>
      <c r="G1008" s="20"/>
      <c r="H1008" s="18"/>
      <c r="I1008" s="21"/>
    </row>
    <row r="1009" ht="22.5" customHeight="1">
      <c r="A1009" s="20"/>
      <c r="B1009" s="60"/>
      <c r="C1009" s="14"/>
      <c r="D1009" s="17"/>
      <c r="E1009" s="18"/>
      <c r="F1009" s="18"/>
      <c r="G1009" s="20"/>
      <c r="H1009" s="18"/>
      <c r="I1009" s="21"/>
    </row>
    <row r="1010" ht="22.5" customHeight="1">
      <c r="A1010" s="20"/>
      <c r="B1010" s="60"/>
      <c r="C1010" s="14"/>
      <c r="D1010" s="17"/>
      <c r="E1010" s="18"/>
      <c r="F1010" s="18"/>
      <c r="G1010" s="20"/>
      <c r="H1010" s="18"/>
      <c r="I1010" s="21"/>
    </row>
    <row r="1011" ht="22.5" customHeight="1">
      <c r="A1011" s="20"/>
      <c r="B1011" s="60"/>
      <c r="C1011" s="14"/>
      <c r="D1011" s="17"/>
      <c r="E1011" s="18"/>
      <c r="F1011" s="18"/>
      <c r="G1011" s="20"/>
      <c r="H1011" s="18"/>
      <c r="I1011" s="21"/>
    </row>
    <row r="1012" ht="22.5" customHeight="1">
      <c r="A1012" s="20"/>
      <c r="B1012" s="60"/>
      <c r="C1012" s="14"/>
      <c r="D1012" s="17"/>
      <c r="E1012" s="18"/>
      <c r="F1012" s="18"/>
      <c r="G1012" s="20"/>
      <c r="H1012" s="18"/>
      <c r="I1012" s="21"/>
    </row>
    <row r="1013" ht="22.5" customHeight="1">
      <c r="A1013" s="20"/>
      <c r="B1013" s="60"/>
      <c r="C1013" s="14"/>
      <c r="D1013" s="17"/>
      <c r="E1013" s="18"/>
      <c r="F1013" s="18"/>
      <c r="G1013" s="20"/>
      <c r="H1013" s="18"/>
      <c r="I1013" s="21"/>
    </row>
    <row r="1014" ht="22.5" customHeight="1">
      <c r="A1014" s="20"/>
      <c r="B1014" s="60"/>
      <c r="C1014" s="14"/>
      <c r="D1014" s="17"/>
      <c r="E1014" s="18"/>
      <c r="F1014" s="18"/>
      <c r="G1014" s="20"/>
      <c r="H1014" s="18"/>
      <c r="I1014" s="21"/>
    </row>
    <row r="1015" ht="22.5" customHeight="1">
      <c r="A1015" s="20"/>
      <c r="B1015" s="60"/>
      <c r="C1015" s="14"/>
      <c r="D1015" s="17"/>
      <c r="E1015" s="18"/>
      <c r="F1015" s="18"/>
      <c r="G1015" s="20"/>
      <c r="H1015" s="18"/>
      <c r="I1015" s="21"/>
    </row>
    <row r="1016" ht="22.5" customHeight="1">
      <c r="A1016" s="20"/>
      <c r="B1016" s="60"/>
      <c r="C1016" s="14"/>
      <c r="D1016" s="17"/>
      <c r="E1016" s="18"/>
      <c r="F1016" s="18"/>
      <c r="G1016" s="20"/>
      <c r="H1016" s="18"/>
      <c r="I1016" s="21"/>
    </row>
    <row r="1017" ht="22.5" customHeight="1">
      <c r="A1017" s="20"/>
      <c r="B1017" s="60"/>
      <c r="C1017" s="14"/>
      <c r="D1017" s="17"/>
      <c r="E1017" s="18"/>
      <c r="F1017" s="18"/>
      <c r="G1017" s="20"/>
      <c r="H1017" s="18"/>
      <c r="I1017" s="21"/>
    </row>
    <row r="1018" ht="22.5" customHeight="1">
      <c r="A1018" s="20"/>
      <c r="B1018" s="60"/>
      <c r="C1018" s="14"/>
      <c r="D1018" s="17"/>
      <c r="E1018" s="18"/>
      <c r="F1018" s="18"/>
      <c r="G1018" s="20"/>
      <c r="H1018" s="18"/>
      <c r="I1018" s="21"/>
    </row>
    <row r="1019" ht="22.5" customHeight="1">
      <c r="A1019" s="20"/>
      <c r="B1019" s="60"/>
      <c r="C1019" s="14"/>
      <c r="D1019" s="17"/>
      <c r="E1019" s="18"/>
      <c r="F1019" s="18"/>
      <c r="G1019" s="20"/>
      <c r="H1019" s="18"/>
      <c r="I1019" s="21"/>
    </row>
    <row r="1020" ht="22.5" customHeight="1">
      <c r="A1020" s="20"/>
      <c r="B1020" s="60"/>
      <c r="C1020" s="14"/>
      <c r="D1020" s="17"/>
      <c r="E1020" s="18"/>
      <c r="F1020" s="18"/>
      <c r="G1020" s="20"/>
      <c r="H1020" s="18"/>
      <c r="I1020" s="21"/>
    </row>
    <row r="1021" ht="22.5" customHeight="1">
      <c r="A1021" s="20"/>
      <c r="B1021" s="60"/>
      <c r="C1021" s="14"/>
      <c r="D1021" s="17"/>
      <c r="E1021" s="18"/>
      <c r="F1021" s="18"/>
      <c r="G1021" s="20"/>
      <c r="H1021" s="18"/>
      <c r="I1021" s="21"/>
    </row>
    <row r="1022" ht="22.5" customHeight="1">
      <c r="A1022" s="20"/>
      <c r="B1022" s="60"/>
      <c r="C1022" s="14"/>
      <c r="D1022" s="17"/>
      <c r="E1022" s="18"/>
      <c r="F1022" s="18"/>
      <c r="G1022" s="20"/>
      <c r="H1022" s="18"/>
      <c r="I1022" s="21"/>
    </row>
    <row r="1023" ht="22.5" customHeight="1">
      <c r="A1023" s="20"/>
      <c r="B1023" s="60"/>
      <c r="C1023" s="14"/>
      <c r="D1023" s="17"/>
      <c r="E1023" s="18"/>
      <c r="F1023" s="18"/>
      <c r="G1023" s="20"/>
      <c r="H1023" s="18"/>
      <c r="I1023" s="21"/>
    </row>
    <row r="1024" ht="22.5" customHeight="1">
      <c r="A1024" s="20"/>
      <c r="B1024" s="60"/>
      <c r="C1024" s="14"/>
      <c r="D1024" s="17"/>
      <c r="E1024" s="18"/>
      <c r="F1024" s="18"/>
      <c r="G1024" s="20"/>
      <c r="H1024" s="18"/>
      <c r="I1024" s="21"/>
    </row>
    <row r="1025" ht="22.5" customHeight="1">
      <c r="A1025" s="20"/>
      <c r="B1025" s="60"/>
      <c r="C1025" s="14"/>
      <c r="D1025" s="17"/>
      <c r="E1025" s="18"/>
      <c r="F1025" s="18"/>
      <c r="G1025" s="20"/>
      <c r="H1025" s="18"/>
      <c r="I1025" s="21"/>
    </row>
    <row r="1026" ht="22.5" customHeight="1">
      <c r="A1026" s="20"/>
      <c r="B1026" s="60"/>
      <c r="C1026" s="14"/>
      <c r="D1026" s="17"/>
      <c r="E1026" s="18"/>
      <c r="F1026" s="18"/>
      <c r="G1026" s="20"/>
      <c r="H1026" s="18"/>
      <c r="I1026" s="21"/>
    </row>
    <row r="1027" ht="22.5" customHeight="1">
      <c r="A1027" s="20"/>
      <c r="B1027" s="60"/>
      <c r="C1027" s="14"/>
      <c r="D1027" s="17"/>
      <c r="E1027" s="18"/>
      <c r="F1027" s="18"/>
      <c r="G1027" s="20"/>
      <c r="H1027" s="18"/>
      <c r="I1027" s="21"/>
    </row>
    <row r="1028" ht="22.5" customHeight="1">
      <c r="A1028" s="20"/>
      <c r="B1028" s="60"/>
      <c r="C1028" s="14"/>
      <c r="D1028" s="17"/>
      <c r="E1028" s="18"/>
      <c r="F1028" s="18"/>
      <c r="G1028" s="20"/>
      <c r="H1028" s="18"/>
      <c r="I1028" s="21"/>
    </row>
    <row r="1029" ht="22.5" customHeight="1">
      <c r="A1029" s="20"/>
      <c r="B1029" s="60"/>
      <c r="C1029" s="14"/>
      <c r="D1029" s="17"/>
      <c r="E1029" s="18"/>
      <c r="F1029" s="18"/>
      <c r="G1029" s="20"/>
      <c r="H1029" s="18"/>
      <c r="I1029" s="21"/>
    </row>
    <row r="1030" ht="22.5" customHeight="1">
      <c r="A1030" s="20"/>
      <c r="B1030" s="60"/>
      <c r="C1030" s="14"/>
      <c r="D1030" s="17"/>
      <c r="E1030" s="18"/>
      <c r="F1030" s="18"/>
      <c r="G1030" s="20"/>
      <c r="H1030" s="18"/>
      <c r="I1030" s="21"/>
    </row>
    <row r="1031" ht="22.5" customHeight="1">
      <c r="A1031" s="20"/>
      <c r="B1031" s="60"/>
      <c r="C1031" s="14"/>
      <c r="D1031" s="17"/>
      <c r="E1031" s="18"/>
      <c r="F1031" s="18"/>
      <c r="G1031" s="20"/>
      <c r="H1031" s="18"/>
      <c r="I1031" s="21"/>
    </row>
    <row r="1032" ht="22.5" customHeight="1">
      <c r="A1032" s="20"/>
      <c r="B1032" s="60"/>
      <c r="C1032" s="14"/>
      <c r="D1032" s="17"/>
      <c r="E1032" s="18"/>
      <c r="F1032" s="18"/>
      <c r="G1032" s="20"/>
      <c r="H1032" s="18"/>
      <c r="I1032" s="21"/>
    </row>
    <row r="1033" ht="22.5" customHeight="1">
      <c r="A1033" s="20"/>
      <c r="B1033" s="60"/>
      <c r="C1033" s="14"/>
      <c r="D1033" s="17"/>
      <c r="E1033" s="18"/>
      <c r="F1033" s="18"/>
      <c r="G1033" s="20"/>
      <c r="H1033" s="18"/>
      <c r="I1033" s="21"/>
    </row>
    <row r="1034" ht="22.5" customHeight="1">
      <c r="A1034" s="20"/>
      <c r="B1034" s="60"/>
      <c r="C1034" s="14"/>
      <c r="D1034" s="17"/>
      <c r="E1034" s="18"/>
      <c r="F1034" s="18"/>
      <c r="G1034" s="20"/>
      <c r="H1034" s="18"/>
      <c r="I1034" s="21"/>
    </row>
    <row r="1035" ht="22.5" customHeight="1">
      <c r="A1035" s="20"/>
      <c r="B1035" s="60"/>
      <c r="C1035" s="14"/>
      <c r="D1035" s="17"/>
      <c r="E1035" s="18"/>
      <c r="F1035" s="18"/>
      <c r="G1035" s="20"/>
      <c r="H1035" s="18"/>
      <c r="I1035" s="21"/>
    </row>
    <row r="1036" ht="22.5" customHeight="1">
      <c r="A1036" s="20"/>
      <c r="B1036" s="60"/>
      <c r="C1036" s="14"/>
      <c r="D1036" s="17"/>
      <c r="E1036" s="18"/>
      <c r="F1036" s="18"/>
      <c r="G1036" s="20"/>
      <c r="H1036" s="18"/>
      <c r="I1036" s="21"/>
    </row>
    <row r="1037" ht="22.5" customHeight="1">
      <c r="A1037" s="20"/>
      <c r="B1037" s="60"/>
      <c r="C1037" s="14"/>
      <c r="D1037" s="17"/>
      <c r="E1037" s="18"/>
      <c r="F1037" s="18"/>
      <c r="G1037" s="20"/>
      <c r="H1037" s="18"/>
      <c r="I1037" s="21"/>
    </row>
    <row r="1038" ht="22.5" customHeight="1">
      <c r="A1038" s="20"/>
      <c r="B1038" s="60"/>
      <c r="C1038" s="14"/>
      <c r="D1038" s="17"/>
      <c r="E1038" s="18"/>
      <c r="F1038" s="18"/>
      <c r="G1038" s="20"/>
      <c r="H1038" s="18"/>
      <c r="I1038" s="21"/>
    </row>
    <row r="1039" ht="22.5" customHeight="1">
      <c r="A1039" s="20"/>
      <c r="B1039" s="60"/>
      <c r="C1039" s="14"/>
      <c r="D1039" s="17"/>
      <c r="E1039" s="18"/>
      <c r="F1039" s="18"/>
      <c r="G1039" s="20"/>
      <c r="H1039" s="18"/>
      <c r="I1039" s="21"/>
    </row>
    <row r="1040" ht="22.5" customHeight="1">
      <c r="A1040" s="20"/>
      <c r="B1040" s="60"/>
      <c r="C1040" s="14"/>
      <c r="D1040" s="17"/>
      <c r="E1040" s="18"/>
      <c r="F1040" s="18"/>
      <c r="G1040" s="20"/>
      <c r="H1040" s="18"/>
      <c r="I1040" s="21"/>
    </row>
    <row r="1041" ht="22.5" customHeight="1">
      <c r="A1041" s="20"/>
      <c r="B1041" s="60"/>
      <c r="C1041" s="14"/>
      <c r="D1041" s="17"/>
      <c r="E1041" s="18"/>
      <c r="F1041" s="18"/>
      <c r="G1041" s="20"/>
      <c r="H1041" s="18"/>
      <c r="I1041" s="21"/>
    </row>
    <row r="1042" ht="22.5" customHeight="1">
      <c r="A1042" s="20"/>
      <c r="B1042" s="60"/>
      <c r="C1042" s="14"/>
      <c r="D1042" s="17"/>
      <c r="E1042" s="18"/>
      <c r="F1042" s="18"/>
      <c r="G1042" s="20"/>
      <c r="H1042" s="18"/>
      <c r="I1042" s="21"/>
    </row>
    <row r="1043" ht="22.5" customHeight="1">
      <c r="A1043" s="20"/>
      <c r="B1043" s="60"/>
      <c r="C1043" s="14"/>
      <c r="D1043" s="17"/>
      <c r="E1043" s="18"/>
      <c r="F1043" s="18"/>
      <c r="G1043" s="20"/>
      <c r="H1043" s="18"/>
      <c r="I1043" s="21"/>
    </row>
    <row r="1044" ht="22.5" customHeight="1">
      <c r="A1044" s="20"/>
      <c r="B1044" s="60"/>
      <c r="C1044" s="14"/>
      <c r="D1044" s="17"/>
      <c r="E1044" s="18"/>
      <c r="F1044" s="18"/>
      <c r="G1044" s="20"/>
      <c r="H1044" s="18"/>
      <c r="I1044" s="21"/>
    </row>
    <row r="1045" ht="22.5" customHeight="1">
      <c r="A1045" s="20"/>
      <c r="B1045" s="60"/>
      <c r="C1045" s="14"/>
      <c r="D1045" s="17"/>
      <c r="E1045" s="18"/>
      <c r="F1045" s="18"/>
      <c r="G1045" s="20"/>
      <c r="H1045" s="18"/>
      <c r="I1045" s="21"/>
    </row>
    <row r="1046" ht="22.5" customHeight="1">
      <c r="A1046" s="20"/>
      <c r="B1046" s="60"/>
      <c r="C1046" s="14"/>
      <c r="D1046" s="17"/>
      <c r="E1046" s="18"/>
      <c r="F1046" s="18"/>
      <c r="G1046" s="20"/>
      <c r="H1046" s="18"/>
      <c r="I1046" s="21"/>
    </row>
    <row r="1047" ht="22.5" customHeight="1">
      <c r="A1047" s="20"/>
      <c r="B1047" s="60"/>
      <c r="C1047" s="14"/>
      <c r="D1047" s="17"/>
      <c r="E1047" s="18"/>
      <c r="F1047" s="18"/>
      <c r="G1047" s="20"/>
      <c r="H1047" s="18"/>
      <c r="I1047" s="21"/>
    </row>
    <row r="1048" ht="22.5" customHeight="1">
      <c r="A1048" s="20"/>
      <c r="B1048" s="60"/>
      <c r="C1048" s="14"/>
      <c r="D1048" s="17"/>
      <c r="E1048" s="18"/>
      <c r="F1048" s="18"/>
      <c r="G1048" s="20"/>
      <c r="H1048" s="18"/>
      <c r="I1048" s="21"/>
    </row>
    <row r="1049" ht="22.5" customHeight="1">
      <c r="A1049" s="20"/>
      <c r="B1049" s="60"/>
      <c r="C1049" s="14"/>
      <c r="D1049" s="17"/>
      <c r="E1049" s="18"/>
      <c r="F1049" s="18"/>
      <c r="G1049" s="20"/>
      <c r="H1049" s="18"/>
      <c r="I1049" s="21"/>
    </row>
    <row r="1050" ht="22.5" customHeight="1">
      <c r="A1050" s="20"/>
      <c r="B1050" s="60"/>
      <c r="C1050" s="14"/>
      <c r="D1050" s="17"/>
      <c r="E1050" s="18"/>
      <c r="F1050" s="18"/>
      <c r="G1050" s="20"/>
      <c r="H1050" s="18"/>
      <c r="I1050" s="21"/>
    </row>
    <row r="1051" ht="22.5" customHeight="1">
      <c r="A1051" s="20"/>
      <c r="B1051" s="60"/>
      <c r="C1051" s="14"/>
      <c r="D1051" s="17"/>
      <c r="E1051" s="18"/>
      <c r="F1051" s="18"/>
      <c r="G1051" s="20"/>
      <c r="H1051" s="18"/>
      <c r="I1051" s="21"/>
    </row>
    <row r="1052" ht="22.5" customHeight="1">
      <c r="A1052" s="20"/>
      <c r="B1052" s="60"/>
      <c r="C1052" s="14"/>
      <c r="D1052" s="17"/>
      <c r="E1052" s="18"/>
      <c r="F1052" s="18"/>
      <c r="G1052" s="20"/>
      <c r="H1052" s="18"/>
      <c r="I1052" s="21"/>
    </row>
    <row r="1053" ht="22.5" customHeight="1">
      <c r="A1053" s="20"/>
      <c r="B1053" s="60"/>
      <c r="C1053" s="14"/>
      <c r="D1053" s="17"/>
      <c r="E1053" s="18"/>
      <c r="F1053" s="18"/>
      <c r="G1053" s="20"/>
      <c r="H1053" s="18"/>
      <c r="I1053" s="21"/>
    </row>
    <row r="1054" ht="22.5" customHeight="1">
      <c r="A1054" s="20"/>
      <c r="B1054" s="60"/>
      <c r="C1054" s="14"/>
      <c r="D1054" s="17"/>
      <c r="E1054" s="18"/>
      <c r="F1054" s="18"/>
      <c r="G1054" s="20"/>
      <c r="H1054" s="18"/>
      <c r="I1054" s="21"/>
    </row>
    <row r="1055" ht="22.5" customHeight="1">
      <c r="A1055" s="20"/>
      <c r="B1055" s="60"/>
      <c r="C1055" s="14"/>
      <c r="D1055" s="17"/>
      <c r="E1055" s="18"/>
      <c r="F1055" s="18"/>
      <c r="G1055" s="20"/>
      <c r="H1055" s="18"/>
      <c r="I1055" s="21"/>
    </row>
    <row r="1056" ht="22.5" customHeight="1">
      <c r="A1056" s="20"/>
      <c r="B1056" s="60"/>
      <c r="C1056" s="14"/>
      <c r="D1056" s="17"/>
      <c r="E1056" s="18"/>
      <c r="F1056" s="18"/>
      <c r="G1056" s="20"/>
      <c r="H1056" s="18"/>
      <c r="I1056" s="21"/>
    </row>
    <row r="1057" ht="22.5" customHeight="1">
      <c r="A1057" s="20"/>
      <c r="B1057" s="60"/>
      <c r="C1057" s="14"/>
      <c r="D1057" s="17"/>
      <c r="E1057" s="18"/>
      <c r="F1057" s="18"/>
      <c r="G1057" s="20"/>
      <c r="H1057" s="18"/>
      <c r="I1057" s="21"/>
    </row>
    <row r="1058" ht="22.5" customHeight="1">
      <c r="A1058" s="20"/>
      <c r="B1058" s="60"/>
      <c r="C1058" s="14"/>
      <c r="D1058" s="17"/>
      <c r="E1058" s="18"/>
      <c r="F1058" s="18"/>
      <c r="G1058" s="20"/>
      <c r="H1058" s="18"/>
      <c r="I1058" s="21"/>
    </row>
    <row r="1059" ht="22.5" customHeight="1">
      <c r="A1059" s="20"/>
      <c r="B1059" s="60"/>
      <c r="C1059" s="14"/>
      <c r="D1059" s="17"/>
      <c r="E1059" s="18"/>
      <c r="F1059" s="18"/>
      <c r="G1059" s="20"/>
      <c r="H1059" s="18"/>
      <c r="I1059" s="21"/>
    </row>
    <row r="1060" ht="22.5" customHeight="1">
      <c r="A1060" s="20"/>
      <c r="B1060" s="60"/>
      <c r="C1060" s="14"/>
      <c r="D1060" s="17"/>
      <c r="E1060" s="18"/>
      <c r="F1060" s="18"/>
      <c r="G1060" s="20"/>
      <c r="H1060" s="18"/>
      <c r="I1060" s="21"/>
    </row>
    <row r="1061" ht="22.5" customHeight="1">
      <c r="A1061" s="20"/>
      <c r="B1061" s="60"/>
      <c r="C1061" s="14"/>
      <c r="D1061" s="17"/>
      <c r="E1061" s="18"/>
      <c r="F1061" s="18"/>
      <c r="G1061" s="20"/>
      <c r="H1061" s="18"/>
      <c r="I1061" s="21"/>
    </row>
    <row r="1062" ht="22.5" customHeight="1">
      <c r="A1062" s="20"/>
      <c r="B1062" s="60"/>
      <c r="C1062" s="14"/>
      <c r="D1062" s="17"/>
      <c r="E1062" s="18"/>
      <c r="F1062" s="18"/>
      <c r="G1062" s="20"/>
      <c r="H1062" s="18"/>
      <c r="I1062" s="21"/>
    </row>
    <row r="1063" ht="22.5" customHeight="1">
      <c r="A1063" s="20"/>
      <c r="B1063" s="60"/>
      <c r="C1063" s="14"/>
      <c r="D1063" s="17"/>
      <c r="E1063" s="18"/>
      <c r="F1063" s="18"/>
      <c r="G1063" s="20"/>
      <c r="H1063" s="18"/>
      <c r="I1063" s="21"/>
    </row>
    <row r="1064" ht="22.5" customHeight="1">
      <c r="A1064" s="20"/>
      <c r="B1064" s="60"/>
      <c r="C1064" s="14"/>
      <c r="D1064" s="17"/>
      <c r="E1064" s="18"/>
      <c r="F1064" s="18"/>
      <c r="G1064" s="20"/>
      <c r="H1064" s="18"/>
      <c r="I1064" s="21"/>
    </row>
    <row r="1065" ht="22.5" customHeight="1">
      <c r="A1065" s="20"/>
      <c r="B1065" s="60"/>
      <c r="C1065" s="14"/>
      <c r="D1065" s="17"/>
      <c r="E1065" s="18"/>
      <c r="F1065" s="18"/>
      <c r="G1065" s="20"/>
      <c r="H1065" s="18"/>
      <c r="I1065" s="21"/>
    </row>
    <row r="1066" ht="22.5" customHeight="1">
      <c r="A1066" s="20"/>
      <c r="B1066" s="60"/>
      <c r="C1066" s="14"/>
      <c r="D1066" s="17"/>
      <c r="E1066" s="18"/>
      <c r="F1066" s="18"/>
      <c r="G1066" s="20"/>
      <c r="H1066" s="18"/>
      <c r="I1066" s="21"/>
    </row>
    <row r="1067" ht="22.5" customHeight="1">
      <c r="A1067" s="20"/>
      <c r="B1067" s="60"/>
      <c r="C1067" s="14"/>
      <c r="D1067" s="17"/>
      <c r="E1067" s="18"/>
      <c r="F1067" s="18"/>
      <c r="G1067" s="20"/>
      <c r="H1067" s="18"/>
      <c r="I1067" s="21"/>
    </row>
    <row r="1068" ht="22.5" customHeight="1">
      <c r="A1068" s="20"/>
      <c r="B1068" s="60"/>
      <c r="C1068" s="14"/>
      <c r="D1068" s="17"/>
      <c r="E1068" s="18"/>
      <c r="F1068" s="18"/>
      <c r="G1068" s="20"/>
      <c r="H1068" s="18"/>
      <c r="I1068" s="21"/>
    </row>
    <row r="1069" ht="22.5" customHeight="1">
      <c r="A1069" s="20"/>
      <c r="B1069" s="60"/>
      <c r="C1069" s="14"/>
      <c r="D1069" s="17"/>
      <c r="E1069" s="18"/>
      <c r="F1069" s="18"/>
      <c r="G1069" s="20"/>
      <c r="H1069" s="18"/>
      <c r="I1069" s="21"/>
    </row>
    <row r="1070" ht="22.5" customHeight="1">
      <c r="A1070" s="20"/>
      <c r="B1070" s="60"/>
      <c r="C1070" s="14"/>
      <c r="D1070" s="17"/>
      <c r="E1070" s="18"/>
      <c r="F1070" s="18"/>
      <c r="G1070" s="20"/>
      <c r="H1070" s="18"/>
      <c r="I1070" s="21"/>
    </row>
    <row r="1071" ht="22.5" customHeight="1">
      <c r="A1071" s="20"/>
      <c r="B1071" s="60"/>
      <c r="C1071" s="14"/>
      <c r="D1071" s="17"/>
      <c r="E1071" s="18"/>
      <c r="F1071" s="18"/>
      <c r="G1071" s="20"/>
      <c r="H1071" s="18"/>
      <c r="I1071" s="21"/>
    </row>
    <row r="1072" ht="22.5" customHeight="1">
      <c r="A1072" s="20"/>
      <c r="B1072" s="60"/>
      <c r="C1072" s="14"/>
      <c r="D1072" s="17"/>
      <c r="E1072" s="18"/>
      <c r="F1072" s="18"/>
      <c r="G1072" s="20"/>
      <c r="H1072" s="18"/>
      <c r="I1072" s="21"/>
    </row>
    <row r="1073" ht="22.5" customHeight="1">
      <c r="A1073" s="20"/>
      <c r="B1073" s="60"/>
      <c r="C1073" s="14"/>
      <c r="D1073" s="17"/>
      <c r="E1073" s="18"/>
      <c r="F1073" s="18"/>
      <c r="G1073" s="20"/>
      <c r="H1073" s="18"/>
      <c r="I1073" s="21"/>
    </row>
    <row r="1074" ht="22.5" customHeight="1">
      <c r="A1074" s="20"/>
      <c r="B1074" s="60"/>
      <c r="C1074" s="14"/>
      <c r="D1074" s="17"/>
      <c r="E1074" s="18"/>
      <c r="F1074" s="18"/>
      <c r="G1074" s="20"/>
      <c r="H1074" s="18"/>
      <c r="I1074" s="21"/>
    </row>
    <row r="1075" ht="22.5" customHeight="1">
      <c r="A1075" s="20"/>
      <c r="B1075" s="60"/>
      <c r="C1075" s="14"/>
      <c r="D1075" s="17"/>
      <c r="E1075" s="18"/>
      <c r="F1075" s="18"/>
      <c r="G1075" s="20"/>
      <c r="H1075" s="18"/>
      <c r="I1075" s="21"/>
    </row>
    <row r="1076" ht="22.5" customHeight="1">
      <c r="A1076" s="20"/>
      <c r="B1076" s="60"/>
      <c r="C1076" s="14"/>
      <c r="D1076" s="17"/>
      <c r="E1076" s="18"/>
      <c r="F1076" s="18"/>
      <c r="G1076" s="20"/>
      <c r="H1076" s="18"/>
      <c r="I1076" s="21"/>
    </row>
    <row r="1077" ht="22.5" customHeight="1">
      <c r="A1077" s="20"/>
      <c r="B1077" s="60"/>
      <c r="C1077" s="14"/>
      <c r="D1077" s="17"/>
      <c r="E1077" s="18"/>
      <c r="F1077" s="18"/>
      <c r="G1077" s="20"/>
      <c r="H1077" s="18"/>
      <c r="I1077" s="21"/>
    </row>
    <row r="1078" ht="22.5" customHeight="1">
      <c r="A1078" s="20"/>
      <c r="B1078" s="60"/>
      <c r="C1078" s="14"/>
      <c r="D1078" s="17"/>
      <c r="E1078" s="18"/>
      <c r="F1078" s="18"/>
      <c r="G1078" s="20"/>
      <c r="H1078" s="18"/>
      <c r="I1078" s="21"/>
    </row>
    <row r="1079" ht="22.5" customHeight="1">
      <c r="A1079" s="20"/>
      <c r="B1079" s="60"/>
      <c r="C1079" s="14"/>
      <c r="D1079" s="17"/>
      <c r="E1079" s="18"/>
      <c r="F1079" s="18"/>
      <c r="G1079" s="20"/>
      <c r="H1079" s="18"/>
      <c r="I1079" s="21"/>
    </row>
    <row r="1080" ht="22.5" customHeight="1">
      <c r="A1080" s="20"/>
      <c r="B1080" s="60"/>
      <c r="C1080" s="14"/>
      <c r="D1080" s="17"/>
      <c r="E1080" s="18"/>
      <c r="F1080" s="18"/>
      <c r="G1080" s="20"/>
      <c r="H1080" s="18"/>
      <c r="I1080" s="21"/>
    </row>
    <row r="1081" ht="22.5" customHeight="1">
      <c r="A1081" s="20"/>
      <c r="B1081" s="60"/>
      <c r="C1081" s="14"/>
      <c r="D1081" s="17"/>
      <c r="E1081" s="18"/>
      <c r="F1081" s="18"/>
      <c r="G1081" s="20"/>
      <c r="H1081" s="18"/>
      <c r="I1081" s="21"/>
    </row>
    <row r="1082" ht="22.5" customHeight="1">
      <c r="A1082" s="20"/>
      <c r="B1082" s="60"/>
      <c r="C1082" s="14"/>
      <c r="D1082" s="17"/>
      <c r="E1082" s="18"/>
      <c r="F1082" s="18"/>
      <c r="G1082" s="20"/>
      <c r="H1082" s="18"/>
      <c r="I1082" s="21"/>
    </row>
    <row r="1083" ht="22.5" customHeight="1">
      <c r="A1083" s="20"/>
      <c r="B1083" s="60"/>
      <c r="C1083" s="14"/>
      <c r="D1083" s="17"/>
      <c r="E1083" s="18"/>
      <c r="F1083" s="18"/>
      <c r="G1083" s="20"/>
      <c r="H1083" s="18"/>
      <c r="I1083" s="21"/>
    </row>
    <row r="1084" ht="22.5" customHeight="1">
      <c r="A1084" s="20"/>
      <c r="B1084" s="60"/>
      <c r="C1084" s="14"/>
      <c r="D1084" s="17"/>
      <c r="E1084" s="18"/>
      <c r="F1084" s="18"/>
      <c r="G1084" s="20"/>
      <c r="H1084" s="18"/>
      <c r="I1084" s="21"/>
    </row>
    <row r="1085" ht="22.5" customHeight="1">
      <c r="A1085" s="20"/>
      <c r="B1085" s="60"/>
      <c r="C1085" s="14"/>
      <c r="D1085" s="17"/>
      <c r="E1085" s="18"/>
      <c r="F1085" s="18"/>
      <c r="G1085" s="20"/>
      <c r="H1085" s="18"/>
      <c r="I1085" s="21"/>
    </row>
    <row r="1086" ht="22.5" customHeight="1">
      <c r="A1086" s="20"/>
      <c r="B1086" s="60"/>
      <c r="C1086" s="14"/>
      <c r="D1086" s="17"/>
      <c r="E1086" s="18"/>
      <c r="F1086" s="18"/>
      <c r="G1086" s="20"/>
      <c r="H1086" s="18"/>
      <c r="I1086" s="21"/>
    </row>
    <row r="1087" ht="22.5" customHeight="1">
      <c r="A1087" s="20"/>
      <c r="B1087" s="60"/>
      <c r="C1087" s="14"/>
      <c r="D1087" s="17"/>
      <c r="E1087" s="18"/>
      <c r="F1087" s="18"/>
      <c r="G1087" s="20"/>
      <c r="H1087" s="18"/>
      <c r="I1087" s="21"/>
    </row>
    <row r="1088" ht="22.5" customHeight="1">
      <c r="A1088" s="20"/>
      <c r="B1088" s="60"/>
      <c r="C1088" s="14"/>
      <c r="D1088" s="17"/>
      <c r="E1088" s="18"/>
      <c r="F1088" s="18"/>
      <c r="G1088" s="20"/>
      <c r="H1088" s="18"/>
      <c r="I1088" s="21"/>
    </row>
    <row r="1089" ht="22.5" customHeight="1">
      <c r="A1089" s="20"/>
      <c r="B1089" s="60"/>
      <c r="C1089" s="14"/>
      <c r="D1089" s="17"/>
      <c r="E1089" s="18"/>
      <c r="F1089" s="18"/>
      <c r="G1089" s="20"/>
      <c r="H1089" s="18"/>
      <c r="I1089" s="21"/>
    </row>
    <row r="1090" ht="22.5" customHeight="1">
      <c r="A1090" s="20"/>
      <c r="B1090" s="60"/>
      <c r="C1090" s="14"/>
      <c r="D1090" s="17"/>
      <c r="E1090" s="18"/>
      <c r="F1090" s="18"/>
      <c r="G1090" s="20"/>
      <c r="H1090" s="18"/>
      <c r="I1090" s="21"/>
    </row>
    <row r="1091" ht="22.5" customHeight="1">
      <c r="A1091" s="20"/>
      <c r="B1091" s="60"/>
      <c r="C1091" s="14"/>
      <c r="D1091" s="17"/>
      <c r="E1091" s="18"/>
      <c r="F1091" s="18"/>
      <c r="G1091" s="20"/>
      <c r="H1091" s="18"/>
      <c r="I1091" s="21"/>
    </row>
    <row r="1092" ht="22.5" customHeight="1">
      <c r="A1092" s="20"/>
      <c r="B1092" s="60"/>
      <c r="C1092" s="14"/>
      <c r="D1092" s="17"/>
      <c r="E1092" s="18"/>
      <c r="F1092" s="18"/>
      <c r="G1092" s="20"/>
      <c r="H1092" s="18"/>
      <c r="I1092" s="21"/>
    </row>
    <row r="1093" ht="22.5" customHeight="1">
      <c r="A1093" s="20"/>
      <c r="B1093" s="60"/>
      <c r="C1093" s="14"/>
      <c r="D1093" s="17"/>
      <c r="E1093" s="18"/>
      <c r="F1093" s="18"/>
      <c r="G1093" s="20"/>
      <c r="H1093" s="18"/>
      <c r="I1093" s="21"/>
    </row>
    <row r="1094" ht="22.5" customHeight="1">
      <c r="A1094" s="20"/>
      <c r="B1094" s="60"/>
      <c r="C1094" s="14"/>
      <c r="D1094" s="17"/>
      <c r="E1094" s="18"/>
      <c r="F1094" s="18"/>
      <c r="G1094" s="20"/>
      <c r="H1094" s="18"/>
      <c r="I1094" s="21"/>
    </row>
    <row r="1095" ht="22.5" customHeight="1">
      <c r="A1095" s="20"/>
      <c r="B1095" s="60"/>
      <c r="C1095" s="14"/>
      <c r="D1095" s="17"/>
      <c r="E1095" s="18"/>
      <c r="F1095" s="18"/>
      <c r="G1095" s="20"/>
      <c r="H1095" s="18"/>
      <c r="I1095" s="21"/>
    </row>
    <row r="1096" ht="22.5" customHeight="1">
      <c r="A1096" s="20"/>
      <c r="B1096" s="60"/>
      <c r="C1096" s="14"/>
      <c r="D1096" s="17"/>
      <c r="E1096" s="18"/>
      <c r="F1096" s="18"/>
      <c r="G1096" s="20"/>
      <c r="H1096" s="18"/>
      <c r="I1096" s="21"/>
    </row>
    <row r="1097" ht="22.5" customHeight="1">
      <c r="A1097" s="20"/>
      <c r="B1097" s="60"/>
      <c r="C1097" s="14"/>
      <c r="D1097" s="17"/>
      <c r="E1097" s="18"/>
      <c r="F1097" s="18"/>
      <c r="G1097" s="20"/>
      <c r="H1097" s="18"/>
      <c r="I1097" s="21"/>
    </row>
    <row r="1098" ht="22.5" customHeight="1">
      <c r="A1098" s="20"/>
      <c r="B1098" s="60"/>
      <c r="C1098" s="14"/>
      <c r="D1098" s="17"/>
      <c r="E1098" s="18"/>
      <c r="F1098" s="18"/>
      <c r="G1098" s="20"/>
      <c r="H1098" s="18"/>
      <c r="I1098" s="21"/>
    </row>
    <row r="1099" ht="22.5" customHeight="1">
      <c r="A1099" s="20"/>
      <c r="B1099" s="60"/>
      <c r="C1099" s="14"/>
      <c r="D1099" s="17"/>
      <c r="E1099" s="18"/>
      <c r="F1099" s="18"/>
      <c r="G1099" s="20"/>
      <c r="H1099" s="18"/>
      <c r="I1099" s="21"/>
    </row>
    <row r="1100" ht="22.5" customHeight="1">
      <c r="A1100" s="20"/>
      <c r="B1100" s="60"/>
      <c r="C1100" s="14"/>
      <c r="D1100" s="17"/>
      <c r="E1100" s="18"/>
      <c r="F1100" s="18"/>
      <c r="G1100" s="20"/>
      <c r="H1100" s="18"/>
      <c r="I1100" s="21"/>
    </row>
    <row r="1101" ht="22.5" customHeight="1">
      <c r="A1101" s="20"/>
      <c r="B1101" s="60"/>
      <c r="C1101" s="14"/>
      <c r="D1101" s="17"/>
      <c r="E1101" s="18"/>
      <c r="F1101" s="18"/>
      <c r="G1101" s="20"/>
      <c r="H1101" s="18"/>
      <c r="I1101" s="21"/>
    </row>
    <row r="1102" ht="22.5" customHeight="1">
      <c r="A1102" s="20"/>
      <c r="B1102" s="60"/>
      <c r="C1102" s="14"/>
      <c r="D1102" s="17"/>
      <c r="E1102" s="18"/>
      <c r="F1102" s="18"/>
      <c r="G1102" s="20"/>
      <c r="H1102" s="18"/>
      <c r="I1102" s="21"/>
    </row>
    <row r="1103" ht="22.5" customHeight="1">
      <c r="A1103" s="20"/>
      <c r="B1103" s="60"/>
      <c r="C1103" s="14"/>
      <c r="D1103" s="17"/>
      <c r="E1103" s="18"/>
      <c r="F1103" s="18"/>
      <c r="G1103" s="20"/>
      <c r="H1103" s="18"/>
      <c r="I1103" s="21"/>
    </row>
    <row r="1104" ht="22.5" customHeight="1">
      <c r="A1104" s="20"/>
      <c r="B1104" s="60"/>
      <c r="C1104" s="14"/>
      <c r="D1104" s="17"/>
      <c r="E1104" s="18"/>
      <c r="F1104" s="18"/>
      <c r="G1104" s="20"/>
      <c r="H1104" s="18"/>
      <c r="I1104" s="21"/>
    </row>
    <row r="1105" ht="22.5" customHeight="1">
      <c r="A1105" s="20"/>
      <c r="B1105" s="60"/>
      <c r="C1105" s="14"/>
      <c r="D1105" s="17"/>
      <c r="E1105" s="18"/>
      <c r="F1105" s="18"/>
      <c r="G1105" s="20"/>
      <c r="H1105" s="18"/>
      <c r="I1105" s="21"/>
    </row>
    <row r="1106" ht="22.5" customHeight="1">
      <c r="A1106" s="20"/>
      <c r="B1106" s="60"/>
      <c r="C1106" s="14"/>
      <c r="D1106" s="17"/>
      <c r="E1106" s="18"/>
      <c r="F1106" s="18"/>
      <c r="G1106" s="20"/>
      <c r="H1106" s="18"/>
      <c r="I1106" s="21"/>
    </row>
    <row r="1107" ht="22.5" customHeight="1">
      <c r="A1107" s="20"/>
      <c r="B1107" s="60"/>
      <c r="C1107" s="14"/>
      <c r="D1107" s="17"/>
      <c r="E1107" s="18"/>
      <c r="F1107" s="18"/>
      <c r="G1107" s="20"/>
      <c r="H1107" s="18"/>
      <c r="I1107" s="21"/>
    </row>
    <row r="1108" ht="22.5" customHeight="1">
      <c r="A1108" s="20"/>
      <c r="B1108" s="60"/>
      <c r="C1108" s="14"/>
      <c r="D1108" s="17"/>
      <c r="E1108" s="18"/>
      <c r="F1108" s="18"/>
      <c r="G1108" s="20"/>
      <c r="H1108" s="18"/>
      <c r="I1108" s="21"/>
    </row>
    <row r="1109" ht="22.5" customHeight="1">
      <c r="A1109" s="20"/>
      <c r="B1109" s="60"/>
      <c r="C1109" s="14"/>
      <c r="D1109" s="17"/>
      <c r="E1109" s="18"/>
      <c r="F1109" s="18"/>
      <c r="G1109" s="20"/>
      <c r="H1109" s="18"/>
      <c r="I1109" s="21"/>
    </row>
    <row r="1110" ht="22.5" customHeight="1">
      <c r="A1110" s="20"/>
      <c r="B1110" s="60"/>
      <c r="C1110" s="14"/>
      <c r="D1110" s="17"/>
      <c r="E1110" s="18"/>
      <c r="F1110" s="18"/>
      <c r="G1110" s="20"/>
      <c r="H1110" s="18"/>
      <c r="I1110" s="21"/>
    </row>
    <row r="1111" ht="22.5" customHeight="1">
      <c r="A1111" s="20"/>
      <c r="B1111" s="60"/>
      <c r="C1111" s="14"/>
      <c r="D1111" s="17"/>
      <c r="E1111" s="18"/>
      <c r="F1111" s="18"/>
      <c r="G1111" s="20"/>
      <c r="H1111" s="18"/>
      <c r="I1111" s="21"/>
    </row>
    <row r="1112" ht="22.5" customHeight="1">
      <c r="A1112" s="20"/>
      <c r="B1112" s="60"/>
      <c r="C1112" s="14"/>
      <c r="D1112" s="17"/>
      <c r="E1112" s="18"/>
      <c r="F1112" s="18"/>
      <c r="G1112" s="20"/>
      <c r="H1112" s="18"/>
      <c r="I1112" s="21"/>
    </row>
    <row r="1113" ht="22.5" customHeight="1">
      <c r="A1113" s="20"/>
      <c r="B1113" s="60"/>
      <c r="C1113" s="14"/>
      <c r="D1113" s="17"/>
      <c r="E1113" s="18"/>
      <c r="F1113" s="18"/>
      <c r="G1113" s="20"/>
      <c r="H1113" s="18"/>
      <c r="I1113" s="21"/>
    </row>
    <row r="1114" ht="22.5" customHeight="1">
      <c r="A1114" s="20"/>
      <c r="B1114" s="60"/>
      <c r="C1114" s="14"/>
      <c r="D1114" s="17"/>
      <c r="E1114" s="18"/>
      <c r="F1114" s="18"/>
      <c r="G1114" s="20"/>
      <c r="H1114" s="18"/>
      <c r="I1114" s="21"/>
    </row>
    <row r="1115" ht="22.5" customHeight="1">
      <c r="A1115" s="20"/>
      <c r="B1115" s="60"/>
      <c r="C1115" s="14"/>
      <c r="D1115" s="17"/>
      <c r="E1115" s="18"/>
      <c r="F1115" s="18"/>
      <c r="G1115" s="20"/>
      <c r="H1115" s="18"/>
      <c r="I1115" s="21"/>
    </row>
    <row r="1116" ht="22.5" customHeight="1">
      <c r="A1116" s="20"/>
      <c r="B1116" s="60"/>
      <c r="C1116" s="14"/>
      <c r="D1116" s="17"/>
      <c r="E1116" s="18"/>
      <c r="F1116" s="18"/>
      <c r="G1116" s="20"/>
      <c r="H1116" s="18"/>
      <c r="I1116" s="21"/>
    </row>
    <row r="1117" ht="22.5" customHeight="1">
      <c r="A1117" s="20"/>
      <c r="B1117" s="60"/>
      <c r="C1117" s="14"/>
      <c r="D1117" s="17"/>
      <c r="E1117" s="18"/>
      <c r="F1117" s="18"/>
      <c r="G1117" s="20"/>
      <c r="H1117" s="18"/>
      <c r="I1117" s="21"/>
    </row>
    <row r="1118" ht="22.5" customHeight="1">
      <c r="A1118" s="20"/>
      <c r="B1118" s="60"/>
      <c r="C1118" s="14"/>
      <c r="D1118" s="17"/>
      <c r="E1118" s="18"/>
      <c r="F1118" s="18"/>
      <c r="G1118" s="20"/>
      <c r="H1118" s="18"/>
      <c r="I1118" s="21"/>
    </row>
    <row r="1119" ht="22.5" customHeight="1">
      <c r="A1119" s="20"/>
      <c r="B1119" s="60"/>
      <c r="C1119" s="14"/>
      <c r="D1119" s="17"/>
      <c r="E1119" s="18"/>
      <c r="F1119" s="18"/>
      <c r="G1119" s="20"/>
      <c r="H1119" s="18"/>
      <c r="I1119" s="21"/>
    </row>
    <row r="1120" ht="22.5" customHeight="1">
      <c r="A1120" s="20"/>
      <c r="B1120" s="60"/>
      <c r="C1120" s="14"/>
      <c r="D1120" s="17"/>
      <c r="E1120" s="18"/>
      <c r="F1120" s="18"/>
      <c r="G1120" s="20"/>
      <c r="H1120" s="18"/>
      <c r="I1120" s="21"/>
    </row>
    <row r="1121" ht="22.5" customHeight="1">
      <c r="A1121" s="20"/>
      <c r="B1121" s="60"/>
      <c r="C1121" s="14"/>
      <c r="D1121" s="17"/>
      <c r="E1121" s="18"/>
      <c r="F1121" s="18"/>
      <c r="G1121" s="20"/>
      <c r="H1121" s="18"/>
      <c r="I1121" s="21"/>
    </row>
    <row r="1122" ht="22.5" customHeight="1">
      <c r="A1122" s="20"/>
      <c r="B1122" s="60"/>
      <c r="C1122" s="14"/>
      <c r="D1122" s="17"/>
      <c r="E1122" s="18"/>
      <c r="F1122" s="18"/>
      <c r="G1122" s="20"/>
      <c r="H1122" s="18"/>
      <c r="I1122" s="21"/>
    </row>
    <row r="1123" ht="22.5" customHeight="1">
      <c r="A1123" s="20"/>
      <c r="B1123" s="60"/>
      <c r="C1123" s="14"/>
      <c r="D1123" s="17"/>
      <c r="E1123" s="18"/>
      <c r="F1123" s="18"/>
      <c r="G1123" s="20"/>
      <c r="H1123" s="18"/>
      <c r="I1123" s="21"/>
    </row>
    <row r="1124" ht="22.5" customHeight="1">
      <c r="A1124" s="20"/>
      <c r="B1124" s="60"/>
      <c r="C1124" s="14"/>
      <c r="D1124" s="17"/>
      <c r="E1124" s="18"/>
      <c r="F1124" s="18"/>
      <c r="G1124" s="20"/>
      <c r="H1124" s="18"/>
      <c r="I1124" s="21"/>
    </row>
    <row r="1125" ht="22.5" customHeight="1">
      <c r="A1125" s="20"/>
      <c r="B1125" s="60"/>
      <c r="C1125" s="14"/>
      <c r="D1125" s="17"/>
      <c r="E1125" s="18"/>
      <c r="F1125" s="18"/>
      <c r="G1125" s="20"/>
      <c r="H1125" s="18"/>
      <c r="I1125" s="21"/>
    </row>
    <row r="1126" ht="22.5" customHeight="1">
      <c r="A1126" s="20"/>
      <c r="B1126" s="60"/>
      <c r="C1126" s="14"/>
      <c r="D1126" s="17"/>
      <c r="E1126" s="18"/>
      <c r="F1126" s="18"/>
      <c r="G1126" s="20"/>
      <c r="H1126" s="18"/>
      <c r="I1126" s="21"/>
    </row>
    <row r="1127" ht="22.5" customHeight="1">
      <c r="A1127" s="20"/>
      <c r="B1127" s="60"/>
      <c r="C1127" s="14"/>
      <c r="D1127" s="17"/>
      <c r="E1127" s="18"/>
      <c r="F1127" s="18"/>
      <c r="G1127" s="20"/>
      <c r="H1127" s="18"/>
      <c r="I1127" s="21"/>
    </row>
    <row r="1128" ht="22.5" customHeight="1">
      <c r="A1128" s="20"/>
      <c r="B1128" s="60"/>
      <c r="C1128" s="14"/>
      <c r="D1128" s="17"/>
      <c r="E1128" s="18"/>
      <c r="F1128" s="18"/>
      <c r="G1128" s="20"/>
      <c r="H1128" s="18"/>
      <c r="I1128" s="21"/>
    </row>
    <row r="1129" ht="22.5" customHeight="1">
      <c r="A1129" s="20"/>
      <c r="B1129" s="60"/>
      <c r="C1129" s="14"/>
      <c r="D1129" s="17"/>
      <c r="E1129" s="18"/>
      <c r="F1129" s="18"/>
      <c r="G1129" s="20"/>
      <c r="H1129" s="18"/>
      <c r="I1129" s="21"/>
    </row>
    <row r="1130" ht="22.5" customHeight="1">
      <c r="A1130" s="20"/>
      <c r="B1130" s="60"/>
      <c r="C1130" s="14"/>
      <c r="D1130" s="17"/>
      <c r="E1130" s="18"/>
      <c r="F1130" s="18"/>
      <c r="G1130" s="20"/>
      <c r="H1130" s="18"/>
      <c r="I1130" s="21"/>
    </row>
    <row r="1131" ht="22.5" customHeight="1">
      <c r="A1131" s="20"/>
      <c r="B1131" s="60"/>
      <c r="C1131" s="14"/>
      <c r="D1131" s="17"/>
      <c r="E1131" s="18"/>
      <c r="F1131" s="18"/>
      <c r="G1131" s="20"/>
      <c r="H1131" s="18"/>
      <c r="I1131" s="21"/>
    </row>
    <row r="1132" ht="22.5" customHeight="1">
      <c r="A1132" s="20"/>
      <c r="B1132" s="60"/>
      <c r="C1132" s="14"/>
      <c r="D1132" s="17"/>
      <c r="E1132" s="18"/>
      <c r="F1132" s="18"/>
      <c r="G1132" s="20"/>
      <c r="H1132" s="18"/>
      <c r="I1132" s="21"/>
    </row>
    <row r="1133" ht="22.5" customHeight="1">
      <c r="A1133" s="20"/>
      <c r="B1133" s="60"/>
      <c r="C1133" s="14"/>
      <c r="D1133" s="17"/>
      <c r="E1133" s="18"/>
      <c r="F1133" s="18"/>
      <c r="G1133" s="20"/>
      <c r="H1133" s="18"/>
      <c r="I1133" s="21"/>
    </row>
    <row r="1134" ht="22.5" customHeight="1">
      <c r="A1134" s="20"/>
      <c r="B1134" s="60"/>
      <c r="C1134" s="14"/>
      <c r="D1134" s="17"/>
      <c r="E1134" s="18"/>
      <c r="F1134" s="18"/>
      <c r="G1134" s="20"/>
      <c r="H1134" s="18"/>
      <c r="I1134" s="21"/>
    </row>
    <row r="1135" ht="22.5" customHeight="1">
      <c r="A1135" s="20"/>
      <c r="B1135" s="60"/>
      <c r="C1135" s="14"/>
      <c r="D1135" s="17"/>
      <c r="E1135" s="18"/>
      <c r="F1135" s="18"/>
      <c r="G1135" s="20"/>
      <c r="H1135" s="18"/>
      <c r="I1135" s="21"/>
    </row>
    <row r="1136" ht="22.5" customHeight="1">
      <c r="A1136" s="20"/>
      <c r="B1136" s="60"/>
      <c r="C1136" s="14"/>
      <c r="D1136" s="17"/>
      <c r="E1136" s="18"/>
      <c r="F1136" s="18"/>
      <c r="G1136" s="20"/>
      <c r="H1136" s="18"/>
      <c r="I1136" s="21"/>
    </row>
    <row r="1137" ht="22.5" customHeight="1">
      <c r="A1137" s="20"/>
      <c r="B1137" s="60"/>
      <c r="C1137" s="14"/>
      <c r="D1137" s="17"/>
      <c r="E1137" s="18"/>
      <c r="F1137" s="18"/>
      <c r="G1137" s="20"/>
      <c r="H1137" s="18"/>
      <c r="I1137" s="21"/>
    </row>
    <row r="1138" ht="22.5" customHeight="1">
      <c r="A1138" s="20"/>
      <c r="B1138" s="60"/>
      <c r="C1138" s="14"/>
      <c r="D1138" s="17"/>
      <c r="E1138" s="18"/>
      <c r="F1138" s="18"/>
      <c r="G1138" s="20"/>
      <c r="H1138" s="18"/>
      <c r="I1138" s="21"/>
    </row>
    <row r="1139" ht="22.5" customHeight="1">
      <c r="A1139" s="20"/>
      <c r="B1139" s="60"/>
      <c r="C1139" s="14"/>
      <c r="D1139" s="17"/>
      <c r="E1139" s="18"/>
      <c r="F1139" s="18"/>
      <c r="G1139" s="20"/>
      <c r="H1139" s="18"/>
      <c r="I1139" s="21"/>
    </row>
    <row r="1140" ht="22.5" customHeight="1">
      <c r="A1140" s="20"/>
      <c r="B1140" s="60"/>
      <c r="C1140" s="14"/>
      <c r="D1140" s="17"/>
      <c r="E1140" s="18"/>
      <c r="F1140" s="18"/>
      <c r="G1140" s="20"/>
      <c r="H1140" s="18"/>
      <c r="I1140" s="21"/>
    </row>
    <row r="1141" ht="22.5" customHeight="1">
      <c r="A1141" s="20"/>
      <c r="B1141" s="60"/>
      <c r="C1141" s="14"/>
      <c r="D1141" s="17"/>
      <c r="E1141" s="18"/>
      <c r="F1141" s="18"/>
      <c r="G1141" s="20"/>
      <c r="H1141" s="18"/>
      <c r="I1141" s="21"/>
    </row>
    <row r="1142" ht="22.5" customHeight="1">
      <c r="A1142" s="20"/>
      <c r="B1142" s="60"/>
      <c r="C1142" s="14"/>
      <c r="D1142" s="17"/>
      <c r="E1142" s="18"/>
      <c r="F1142" s="18"/>
      <c r="G1142" s="20"/>
      <c r="H1142" s="18"/>
      <c r="I1142" s="21"/>
    </row>
    <row r="1143" ht="22.5" customHeight="1">
      <c r="A1143" s="20"/>
      <c r="B1143" s="60"/>
      <c r="C1143" s="14"/>
      <c r="D1143" s="17"/>
      <c r="E1143" s="18"/>
      <c r="F1143" s="18"/>
      <c r="G1143" s="20"/>
      <c r="H1143" s="18"/>
      <c r="I1143" s="21"/>
    </row>
    <row r="1144" ht="22.5" customHeight="1">
      <c r="A1144" s="20"/>
      <c r="B1144" s="60"/>
      <c r="C1144" s="14"/>
      <c r="D1144" s="17"/>
      <c r="E1144" s="18"/>
      <c r="F1144" s="18"/>
      <c r="G1144" s="20"/>
      <c r="H1144" s="18"/>
      <c r="I1144" s="21"/>
    </row>
    <row r="1145" ht="22.5" customHeight="1">
      <c r="A1145" s="20"/>
      <c r="B1145" s="60"/>
      <c r="C1145" s="14"/>
      <c r="D1145" s="17"/>
      <c r="E1145" s="18"/>
      <c r="F1145" s="18"/>
      <c r="G1145" s="20"/>
      <c r="H1145" s="18"/>
      <c r="I1145" s="21"/>
    </row>
    <row r="1146" ht="22.5" customHeight="1">
      <c r="A1146" s="20"/>
      <c r="B1146" s="60"/>
      <c r="C1146" s="14"/>
      <c r="D1146" s="17"/>
      <c r="E1146" s="18"/>
      <c r="F1146" s="18"/>
      <c r="G1146" s="20"/>
      <c r="H1146" s="18"/>
      <c r="I1146" s="21"/>
    </row>
    <row r="1147" ht="22.5" customHeight="1">
      <c r="A1147" s="20"/>
      <c r="B1147" s="60"/>
      <c r="C1147" s="14"/>
      <c r="D1147" s="17"/>
      <c r="E1147" s="18"/>
      <c r="F1147" s="18"/>
      <c r="G1147" s="20"/>
      <c r="H1147" s="18"/>
      <c r="I1147" s="21"/>
    </row>
    <row r="1148" ht="22.5" customHeight="1">
      <c r="A1148" s="20"/>
      <c r="B1148" s="60"/>
      <c r="C1148" s="14"/>
      <c r="D1148" s="17"/>
      <c r="E1148" s="18"/>
      <c r="F1148" s="18"/>
      <c r="G1148" s="20"/>
      <c r="H1148" s="18"/>
      <c r="I1148" s="21"/>
    </row>
    <row r="1149" ht="22.5" customHeight="1">
      <c r="A1149" s="20"/>
      <c r="B1149" s="60"/>
      <c r="C1149" s="14"/>
      <c r="D1149" s="17"/>
      <c r="E1149" s="18"/>
      <c r="F1149" s="18"/>
      <c r="G1149" s="20"/>
      <c r="H1149" s="18"/>
      <c r="I1149" s="21"/>
    </row>
    <row r="1150" ht="22.5" customHeight="1">
      <c r="A1150" s="20"/>
      <c r="B1150" s="60"/>
      <c r="C1150" s="14"/>
      <c r="D1150" s="17"/>
      <c r="E1150" s="18"/>
      <c r="F1150" s="18"/>
      <c r="G1150" s="20"/>
      <c r="H1150" s="18"/>
      <c r="I1150" s="21"/>
    </row>
    <row r="1151" ht="22.5" customHeight="1">
      <c r="A1151" s="20"/>
      <c r="B1151" s="60"/>
      <c r="C1151" s="14"/>
      <c r="D1151" s="17"/>
      <c r="E1151" s="18"/>
      <c r="F1151" s="18"/>
      <c r="G1151" s="20"/>
      <c r="H1151" s="18"/>
      <c r="I1151" s="21"/>
    </row>
    <row r="1152" ht="22.5" customHeight="1">
      <c r="A1152" s="20"/>
      <c r="B1152" s="60"/>
      <c r="C1152" s="14"/>
      <c r="D1152" s="17"/>
      <c r="E1152" s="18"/>
      <c r="F1152" s="18"/>
      <c r="G1152" s="20"/>
      <c r="H1152" s="18"/>
      <c r="I1152" s="21"/>
    </row>
    <row r="1153" ht="22.5" customHeight="1">
      <c r="A1153" s="20"/>
      <c r="B1153" s="60"/>
      <c r="C1153" s="14"/>
      <c r="D1153" s="17"/>
      <c r="E1153" s="18"/>
      <c r="F1153" s="18"/>
      <c r="G1153" s="20"/>
      <c r="H1153" s="18"/>
      <c r="I1153" s="21"/>
    </row>
    <row r="1154" ht="22.5" customHeight="1">
      <c r="A1154" s="20"/>
      <c r="B1154" s="60"/>
      <c r="C1154" s="14"/>
      <c r="D1154" s="17"/>
      <c r="E1154" s="18"/>
      <c r="F1154" s="18"/>
      <c r="G1154" s="20"/>
      <c r="H1154" s="18"/>
      <c r="I1154" s="21"/>
    </row>
    <row r="1155" ht="22.5" customHeight="1">
      <c r="A1155" s="20"/>
      <c r="B1155" s="60"/>
      <c r="C1155" s="14"/>
      <c r="D1155" s="17"/>
      <c r="E1155" s="18"/>
      <c r="F1155" s="18"/>
      <c r="G1155" s="20"/>
      <c r="H1155" s="18"/>
      <c r="I1155" s="21"/>
    </row>
    <row r="1156" ht="22.5" customHeight="1">
      <c r="A1156" s="20"/>
      <c r="B1156" s="60"/>
      <c r="C1156" s="14"/>
      <c r="D1156" s="17"/>
      <c r="E1156" s="18"/>
      <c r="F1156" s="18"/>
      <c r="G1156" s="20"/>
      <c r="H1156" s="18"/>
      <c r="I1156" s="21"/>
    </row>
    <row r="1157" ht="22.5" customHeight="1">
      <c r="A1157" s="20"/>
      <c r="B1157" s="60"/>
      <c r="C1157" s="14"/>
      <c r="D1157" s="17"/>
      <c r="E1157" s="18"/>
      <c r="F1157" s="18"/>
      <c r="G1157" s="20"/>
      <c r="H1157" s="18"/>
      <c r="I1157" s="21"/>
    </row>
    <row r="1158" ht="22.5" customHeight="1">
      <c r="A1158" s="20"/>
      <c r="B1158" s="60"/>
      <c r="C1158" s="14"/>
      <c r="D1158" s="17"/>
      <c r="E1158" s="18"/>
      <c r="F1158" s="18"/>
      <c r="G1158" s="20"/>
      <c r="H1158" s="18"/>
      <c r="I1158" s="21"/>
    </row>
    <row r="1159" ht="22.5" customHeight="1">
      <c r="A1159" s="20"/>
      <c r="B1159" s="60"/>
      <c r="C1159" s="14"/>
      <c r="D1159" s="17"/>
      <c r="E1159" s="18"/>
      <c r="F1159" s="18"/>
      <c r="G1159" s="20"/>
      <c r="H1159" s="18"/>
      <c r="I1159" s="21"/>
    </row>
    <row r="1160" ht="22.5" customHeight="1">
      <c r="A1160" s="20"/>
      <c r="B1160" s="60"/>
      <c r="C1160" s="14"/>
      <c r="D1160" s="17"/>
      <c r="E1160" s="18"/>
      <c r="F1160" s="18"/>
      <c r="G1160" s="20"/>
      <c r="H1160" s="18"/>
      <c r="I1160" s="21"/>
    </row>
    <row r="1161" ht="22.5" customHeight="1">
      <c r="A1161" s="20"/>
      <c r="B1161" s="60"/>
      <c r="C1161" s="14"/>
      <c r="D1161" s="17"/>
      <c r="E1161" s="18"/>
      <c r="F1161" s="18"/>
      <c r="G1161" s="20"/>
      <c r="H1161" s="18"/>
      <c r="I1161" s="21"/>
    </row>
    <row r="1162" ht="22.5" customHeight="1">
      <c r="A1162" s="20"/>
      <c r="B1162" s="60"/>
      <c r="C1162" s="14"/>
      <c r="D1162" s="17"/>
      <c r="E1162" s="18"/>
      <c r="F1162" s="18"/>
      <c r="G1162" s="20"/>
      <c r="H1162" s="18"/>
      <c r="I1162" s="21"/>
    </row>
    <row r="1163" ht="22.5" customHeight="1">
      <c r="A1163" s="20"/>
      <c r="B1163" s="60"/>
      <c r="C1163" s="14"/>
      <c r="D1163" s="17"/>
      <c r="E1163" s="18"/>
      <c r="F1163" s="18"/>
      <c r="G1163" s="20"/>
      <c r="H1163" s="18"/>
      <c r="I1163" s="21"/>
    </row>
    <row r="1164" ht="22.5" customHeight="1">
      <c r="A1164" s="20"/>
      <c r="B1164" s="60"/>
      <c r="C1164" s="14"/>
      <c r="D1164" s="17"/>
      <c r="E1164" s="18"/>
      <c r="F1164" s="18"/>
      <c r="G1164" s="20"/>
      <c r="H1164" s="18"/>
      <c r="I1164" s="21"/>
    </row>
    <row r="1165" ht="22.5" customHeight="1">
      <c r="A1165" s="20"/>
      <c r="B1165" s="60"/>
      <c r="C1165" s="14"/>
      <c r="D1165" s="17"/>
      <c r="E1165" s="18"/>
      <c r="F1165" s="18"/>
      <c r="G1165" s="20"/>
      <c r="H1165" s="18"/>
      <c r="I1165" s="21"/>
    </row>
    <row r="1166" ht="22.5" customHeight="1">
      <c r="A1166" s="20"/>
      <c r="B1166" s="60"/>
      <c r="C1166" s="14"/>
      <c r="D1166" s="17"/>
      <c r="E1166" s="18"/>
      <c r="F1166" s="18"/>
      <c r="G1166" s="20"/>
      <c r="H1166" s="18"/>
      <c r="I1166" s="21"/>
    </row>
    <row r="1167" ht="22.5" customHeight="1">
      <c r="A1167" s="20"/>
      <c r="B1167" s="60"/>
      <c r="C1167" s="14"/>
      <c r="D1167" s="17"/>
      <c r="E1167" s="18"/>
      <c r="F1167" s="18"/>
      <c r="G1167" s="20"/>
      <c r="H1167" s="18"/>
      <c r="I1167" s="21"/>
    </row>
    <row r="1168" ht="22.5" customHeight="1">
      <c r="A1168" s="20"/>
      <c r="B1168" s="60"/>
      <c r="C1168" s="14"/>
      <c r="D1168" s="17"/>
      <c r="E1168" s="18"/>
      <c r="F1168" s="18"/>
      <c r="G1168" s="20"/>
      <c r="H1168" s="18"/>
      <c r="I1168" s="21"/>
    </row>
    <row r="1169" ht="22.5" customHeight="1">
      <c r="A1169" s="20"/>
      <c r="B1169" s="60"/>
      <c r="C1169" s="14"/>
      <c r="D1169" s="17"/>
      <c r="E1169" s="18"/>
      <c r="F1169" s="18"/>
      <c r="G1169" s="20"/>
      <c r="H1169" s="18"/>
      <c r="I1169" s="21"/>
    </row>
    <row r="1170" ht="22.5" customHeight="1">
      <c r="A1170" s="20"/>
      <c r="B1170" s="60"/>
      <c r="C1170" s="14"/>
      <c r="D1170" s="17"/>
      <c r="E1170" s="18"/>
      <c r="F1170" s="18"/>
      <c r="G1170" s="20"/>
      <c r="H1170" s="18"/>
      <c r="I1170" s="21"/>
    </row>
    <row r="1171" ht="22.5" customHeight="1">
      <c r="A1171" s="20"/>
      <c r="B1171" s="60"/>
      <c r="C1171" s="14"/>
      <c r="D1171" s="17"/>
      <c r="E1171" s="18"/>
      <c r="F1171" s="18"/>
      <c r="G1171" s="20"/>
      <c r="H1171" s="18"/>
      <c r="I1171" s="21"/>
    </row>
    <row r="1172" ht="22.5" customHeight="1">
      <c r="A1172" s="20"/>
      <c r="B1172" s="60"/>
      <c r="C1172" s="14"/>
      <c r="D1172" s="17"/>
      <c r="E1172" s="18"/>
      <c r="F1172" s="18"/>
      <c r="G1172" s="20"/>
      <c r="H1172" s="18"/>
      <c r="I1172" s="21"/>
    </row>
    <row r="1173" ht="22.5" customHeight="1">
      <c r="A1173" s="20"/>
      <c r="B1173" s="60"/>
      <c r="C1173" s="14"/>
      <c r="D1173" s="17"/>
      <c r="E1173" s="18"/>
      <c r="F1173" s="18"/>
      <c r="G1173" s="20"/>
      <c r="H1173" s="18"/>
      <c r="I1173" s="21"/>
    </row>
    <row r="1174" ht="22.5" customHeight="1">
      <c r="A1174" s="20"/>
      <c r="B1174" s="60"/>
      <c r="C1174" s="14"/>
      <c r="D1174" s="17"/>
      <c r="E1174" s="18"/>
      <c r="F1174" s="18"/>
      <c r="G1174" s="20"/>
      <c r="H1174" s="18"/>
      <c r="I1174" s="21"/>
    </row>
    <row r="1175" ht="22.5" customHeight="1">
      <c r="A1175" s="20"/>
      <c r="B1175" s="60"/>
      <c r="C1175" s="14"/>
      <c r="D1175" s="17"/>
      <c r="E1175" s="18"/>
      <c r="F1175" s="18"/>
      <c r="G1175" s="20"/>
      <c r="H1175" s="18"/>
      <c r="I1175" s="21"/>
    </row>
    <row r="1176" ht="22.5" customHeight="1">
      <c r="A1176" s="20"/>
      <c r="B1176" s="60"/>
      <c r="C1176" s="14"/>
      <c r="D1176" s="17"/>
      <c r="E1176" s="18"/>
      <c r="F1176" s="18"/>
      <c r="G1176" s="20"/>
      <c r="H1176" s="18"/>
      <c r="I1176" s="21"/>
    </row>
    <row r="1177" ht="22.5" customHeight="1">
      <c r="A1177" s="20"/>
      <c r="B1177" s="60"/>
      <c r="C1177" s="14"/>
      <c r="D1177" s="17"/>
      <c r="E1177" s="18"/>
      <c r="F1177" s="18"/>
      <c r="G1177" s="20"/>
      <c r="H1177" s="18"/>
      <c r="I1177" s="21"/>
    </row>
    <row r="1178" ht="22.5" customHeight="1">
      <c r="A1178" s="20"/>
      <c r="B1178" s="60"/>
      <c r="C1178" s="14"/>
      <c r="D1178" s="17"/>
      <c r="E1178" s="18"/>
      <c r="F1178" s="18"/>
      <c r="G1178" s="20"/>
      <c r="H1178" s="18"/>
      <c r="I1178" s="21"/>
    </row>
    <row r="1179" ht="22.5" customHeight="1">
      <c r="A1179" s="20"/>
      <c r="B1179" s="60"/>
      <c r="C1179" s="14"/>
      <c r="D1179" s="17"/>
      <c r="E1179" s="18"/>
      <c r="F1179" s="18"/>
      <c r="G1179" s="20"/>
      <c r="H1179" s="18"/>
      <c r="I1179" s="21"/>
    </row>
    <row r="1180" ht="22.5" customHeight="1">
      <c r="A1180" s="20"/>
      <c r="B1180" s="60"/>
      <c r="C1180" s="14"/>
      <c r="D1180" s="17"/>
      <c r="E1180" s="18"/>
      <c r="F1180" s="18"/>
      <c r="G1180" s="20"/>
      <c r="H1180" s="18"/>
      <c r="I1180" s="21"/>
    </row>
    <row r="1181" ht="22.5" customHeight="1">
      <c r="A1181" s="20"/>
      <c r="B1181" s="60"/>
      <c r="C1181" s="14"/>
      <c r="D1181" s="17"/>
      <c r="E1181" s="18"/>
      <c r="F1181" s="18"/>
      <c r="G1181" s="20"/>
      <c r="H1181" s="18"/>
      <c r="I1181" s="21"/>
    </row>
    <row r="1182" ht="22.5" customHeight="1">
      <c r="A1182" s="20"/>
      <c r="B1182" s="60"/>
      <c r="C1182" s="14"/>
      <c r="D1182" s="17"/>
      <c r="E1182" s="18"/>
      <c r="F1182" s="18"/>
      <c r="G1182" s="20"/>
      <c r="H1182" s="18"/>
      <c r="I1182" s="21"/>
    </row>
    <row r="1183" ht="22.5" customHeight="1">
      <c r="A1183" s="20"/>
      <c r="B1183" s="60"/>
      <c r="C1183" s="14"/>
      <c r="D1183" s="17"/>
      <c r="E1183" s="18"/>
      <c r="F1183" s="18"/>
      <c r="G1183" s="20"/>
      <c r="H1183" s="18"/>
      <c r="I1183" s="21"/>
    </row>
    <row r="1184" ht="22.5" customHeight="1">
      <c r="A1184" s="20"/>
      <c r="B1184" s="60"/>
      <c r="C1184" s="14"/>
      <c r="D1184" s="17"/>
      <c r="E1184" s="18"/>
      <c r="F1184" s="18"/>
      <c r="G1184" s="20"/>
      <c r="H1184" s="18"/>
      <c r="I1184" s="21"/>
    </row>
    <row r="1185" ht="22.5" customHeight="1">
      <c r="A1185" s="20"/>
      <c r="B1185" s="60"/>
      <c r="C1185" s="14"/>
      <c r="D1185" s="17"/>
      <c r="E1185" s="18"/>
      <c r="F1185" s="18"/>
      <c r="G1185" s="20"/>
      <c r="H1185" s="18"/>
      <c r="I1185" s="21"/>
    </row>
    <row r="1186" ht="22.5" customHeight="1">
      <c r="A1186" s="20"/>
      <c r="B1186" s="60"/>
      <c r="C1186" s="14"/>
      <c r="D1186" s="17"/>
      <c r="E1186" s="18"/>
      <c r="F1186" s="18"/>
      <c r="G1186" s="20"/>
      <c r="H1186" s="18"/>
      <c r="I1186" s="21"/>
    </row>
    <row r="1187" ht="22.5" customHeight="1">
      <c r="A1187" s="20"/>
      <c r="B1187" s="60"/>
      <c r="C1187" s="14"/>
      <c r="D1187" s="17"/>
      <c r="E1187" s="18"/>
      <c r="F1187" s="18"/>
      <c r="G1187" s="20"/>
      <c r="H1187" s="18"/>
      <c r="I1187" s="21"/>
    </row>
    <row r="1188" ht="22.5" customHeight="1">
      <c r="A1188" s="20"/>
      <c r="B1188" s="60"/>
      <c r="C1188" s="14"/>
      <c r="D1188" s="17"/>
      <c r="E1188" s="18"/>
      <c r="F1188" s="18"/>
      <c r="G1188" s="20"/>
      <c r="H1188" s="18"/>
      <c r="I1188" s="21"/>
    </row>
    <row r="1189" ht="22.5" customHeight="1">
      <c r="A1189" s="20"/>
      <c r="B1189" s="60"/>
      <c r="C1189" s="14"/>
      <c r="D1189" s="17"/>
      <c r="E1189" s="18"/>
      <c r="F1189" s="18"/>
      <c r="G1189" s="20"/>
      <c r="H1189" s="18"/>
      <c r="I1189" s="21"/>
    </row>
    <row r="1190" ht="22.5" customHeight="1">
      <c r="A1190" s="20"/>
      <c r="B1190" s="60"/>
      <c r="C1190" s="14"/>
      <c r="D1190" s="17"/>
      <c r="E1190" s="18"/>
      <c r="F1190" s="18"/>
      <c r="G1190" s="20"/>
      <c r="H1190" s="18"/>
      <c r="I1190" s="21"/>
    </row>
    <row r="1191" ht="22.5" customHeight="1">
      <c r="A1191" s="20"/>
      <c r="B1191" s="60"/>
      <c r="C1191" s="14"/>
      <c r="D1191" s="17"/>
      <c r="E1191" s="18"/>
      <c r="F1191" s="18"/>
      <c r="G1191" s="20"/>
      <c r="H1191" s="18"/>
      <c r="I1191" s="21"/>
    </row>
    <row r="1192" ht="22.5" customHeight="1">
      <c r="A1192" s="20"/>
      <c r="B1192" s="60"/>
      <c r="C1192" s="14"/>
      <c r="D1192" s="17"/>
      <c r="E1192" s="18"/>
      <c r="F1192" s="18"/>
      <c r="G1192" s="20"/>
      <c r="H1192" s="18"/>
      <c r="I1192" s="21"/>
    </row>
    <row r="1193" ht="22.5" customHeight="1">
      <c r="A1193" s="20"/>
      <c r="B1193" s="60"/>
      <c r="C1193" s="14"/>
      <c r="D1193" s="17"/>
      <c r="E1193" s="18"/>
      <c r="F1193" s="18"/>
      <c r="G1193" s="20"/>
      <c r="H1193" s="18"/>
      <c r="I1193" s="21"/>
    </row>
    <row r="1194" ht="22.5" customHeight="1">
      <c r="A1194" s="20"/>
      <c r="B1194" s="60"/>
      <c r="C1194" s="14"/>
      <c r="D1194" s="17"/>
      <c r="E1194" s="18"/>
      <c r="F1194" s="18"/>
      <c r="G1194" s="20"/>
      <c r="H1194" s="18"/>
      <c r="I1194" s="21"/>
    </row>
    <row r="1195" ht="22.5" customHeight="1">
      <c r="A1195" s="20"/>
      <c r="B1195" s="60"/>
      <c r="C1195" s="14"/>
      <c r="D1195" s="17"/>
      <c r="E1195" s="18"/>
      <c r="F1195" s="18"/>
      <c r="G1195" s="20"/>
      <c r="H1195" s="18"/>
      <c r="I1195" s="21"/>
    </row>
    <row r="1196" ht="22.5" customHeight="1">
      <c r="A1196" s="20"/>
      <c r="B1196" s="60"/>
      <c r="C1196" s="14"/>
      <c r="D1196" s="17"/>
      <c r="E1196" s="18"/>
      <c r="F1196" s="18"/>
      <c r="G1196" s="20"/>
      <c r="H1196" s="18"/>
      <c r="I1196" s="21"/>
    </row>
    <row r="1197" ht="22.5" customHeight="1">
      <c r="A1197" s="20"/>
      <c r="B1197" s="60"/>
      <c r="C1197" s="14"/>
      <c r="D1197" s="17"/>
      <c r="E1197" s="18"/>
      <c r="F1197" s="18"/>
      <c r="G1197" s="20"/>
      <c r="H1197" s="18"/>
      <c r="I1197" s="21"/>
    </row>
    <row r="1198" ht="22.5" customHeight="1">
      <c r="A1198" s="20"/>
      <c r="B1198" s="60"/>
      <c r="C1198" s="14"/>
      <c r="D1198" s="17"/>
      <c r="E1198" s="18"/>
      <c r="F1198" s="18"/>
      <c r="G1198" s="20"/>
      <c r="H1198" s="18"/>
      <c r="I1198" s="21"/>
    </row>
    <row r="1199" ht="22.5" customHeight="1">
      <c r="A1199" s="20"/>
      <c r="B1199" s="60"/>
      <c r="C1199" s="14"/>
      <c r="D1199" s="17"/>
      <c r="E1199" s="18"/>
      <c r="F1199" s="18"/>
      <c r="G1199" s="20"/>
      <c r="H1199" s="18"/>
      <c r="I1199" s="21"/>
    </row>
    <row r="1200" ht="22.5" customHeight="1">
      <c r="A1200" s="20"/>
      <c r="B1200" s="60"/>
      <c r="C1200" s="14"/>
      <c r="D1200" s="17"/>
      <c r="E1200" s="18"/>
      <c r="F1200" s="18"/>
      <c r="G1200" s="20"/>
      <c r="H1200" s="18"/>
      <c r="I1200" s="21"/>
    </row>
    <row r="1201" ht="22.5" customHeight="1">
      <c r="A1201" s="20"/>
      <c r="B1201" s="60"/>
      <c r="C1201" s="14"/>
      <c r="D1201" s="17"/>
      <c r="E1201" s="18"/>
      <c r="F1201" s="18"/>
      <c r="G1201" s="20"/>
      <c r="H1201" s="18"/>
      <c r="I1201" s="21"/>
    </row>
    <row r="1202" ht="22.5" customHeight="1">
      <c r="A1202" s="20"/>
      <c r="B1202" s="60"/>
      <c r="C1202" s="14"/>
      <c r="D1202" s="17"/>
      <c r="E1202" s="18"/>
      <c r="F1202" s="18"/>
      <c r="G1202" s="20"/>
      <c r="H1202" s="18"/>
      <c r="I1202" s="21"/>
    </row>
    <row r="1203" ht="22.5" customHeight="1">
      <c r="A1203" s="20"/>
      <c r="B1203" s="60"/>
      <c r="C1203" s="14"/>
      <c r="D1203" s="17"/>
      <c r="E1203" s="18"/>
      <c r="F1203" s="18"/>
      <c r="G1203" s="20"/>
      <c r="H1203" s="18"/>
      <c r="I1203" s="21"/>
    </row>
    <row r="1204" ht="22.5" customHeight="1">
      <c r="A1204" s="20"/>
      <c r="B1204" s="60"/>
      <c r="C1204" s="14"/>
      <c r="D1204" s="17"/>
      <c r="E1204" s="18"/>
      <c r="F1204" s="18"/>
      <c r="G1204" s="20"/>
      <c r="H1204" s="18"/>
      <c r="I1204" s="21"/>
    </row>
    <row r="1205" ht="22.5" customHeight="1">
      <c r="A1205" s="20"/>
      <c r="B1205" s="60"/>
      <c r="C1205" s="14"/>
      <c r="D1205" s="17"/>
      <c r="E1205" s="18"/>
      <c r="F1205" s="18"/>
      <c r="G1205" s="20"/>
      <c r="H1205" s="18"/>
      <c r="I1205" s="21"/>
    </row>
    <row r="1206" ht="22.5" customHeight="1">
      <c r="A1206" s="20"/>
      <c r="B1206" s="60"/>
      <c r="C1206" s="14"/>
      <c r="D1206" s="17"/>
      <c r="E1206" s="18"/>
      <c r="F1206" s="18"/>
      <c r="G1206" s="20"/>
      <c r="H1206" s="18"/>
      <c r="I1206" s="21"/>
    </row>
    <row r="1207" ht="22.5" customHeight="1">
      <c r="A1207" s="20"/>
      <c r="B1207" s="60"/>
      <c r="C1207" s="14"/>
      <c r="D1207" s="17"/>
      <c r="E1207" s="18"/>
      <c r="F1207" s="18"/>
      <c r="G1207" s="20"/>
      <c r="H1207" s="18"/>
      <c r="I1207" s="21"/>
    </row>
    <row r="1208" ht="22.5" customHeight="1">
      <c r="A1208" s="20"/>
      <c r="B1208" s="60"/>
      <c r="C1208" s="14"/>
      <c r="D1208" s="17"/>
      <c r="E1208" s="18"/>
      <c r="F1208" s="18"/>
      <c r="G1208" s="20"/>
      <c r="H1208" s="18"/>
      <c r="I1208" s="21"/>
    </row>
    <row r="1209" ht="22.5" customHeight="1">
      <c r="A1209" s="20"/>
      <c r="B1209" s="60"/>
      <c r="C1209" s="14"/>
      <c r="D1209" s="17"/>
      <c r="E1209" s="18"/>
      <c r="F1209" s="18"/>
      <c r="G1209" s="20"/>
      <c r="H1209" s="18"/>
      <c r="I1209" s="21"/>
    </row>
    <row r="1210" ht="22.5" customHeight="1">
      <c r="A1210" s="20"/>
      <c r="B1210" s="60"/>
      <c r="C1210" s="14"/>
      <c r="D1210" s="17"/>
      <c r="E1210" s="18"/>
      <c r="F1210" s="18"/>
      <c r="G1210" s="20"/>
      <c r="H1210" s="18"/>
      <c r="I1210" s="21"/>
    </row>
    <row r="1211" ht="22.5" customHeight="1">
      <c r="A1211" s="20"/>
      <c r="B1211" s="60"/>
      <c r="C1211" s="14"/>
      <c r="D1211" s="17"/>
      <c r="E1211" s="18"/>
      <c r="F1211" s="18"/>
      <c r="G1211" s="20"/>
      <c r="H1211" s="18"/>
      <c r="I1211" s="21"/>
    </row>
    <row r="1212" ht="22.5" customHeight="1">
      <c r="A1212" s="20"/>
      <c r="B1212" s="60"/>
      <c r="C1212" s="14"/>
      <c r="D1212" s="17"/>
      <c r="E1212" s="18"/>
      <c r="F1212" s="18"/>
      <c r="G1212" s="20"/>
      <c r="H1212" s="18"/>
      <c r="I1212" s="21"/>
    </row>
    <row r="1213" ht="22.5" customHeight="1">
      <c r="A1213" s="20"/>
      <c r="B1213" s="60"/>
      <c r="C1213" s="14"/>
      <c r="D1213" s="17"/>
      <c r="E1213" s="18"/>
      <c r="F1213" s="18"/>
      <c r="G1213" s="20"/>
      <c r="H1213" s="18"/>
      <c r="I1213" s="21"/>
    </row>
    <row r="1214" ht="22.5" customHeight="1">
      <c r="A1214" s="20"/>
      <c r="B1214" s="60"/>
      <c r="C1214" s="14"/>
      <c r="D1214" s="17"/>
      <c r="E1214" s="18"/>
      <c r="F1214" s="18"/>
      <c r="G1214" s="20"/>
      <c r="H1214" s="18"/>
      <c r="I1214" s="21"/>
    </row>
    <row r="1215" ht="22.5" customHeight="1">
      <c r="A1215" s="20"/>
      <c r="B1215" s="60"/>
      <c r="C1215" s="14"/>
      <c r="D1215" s="17"/>
      <c r="E1215" s="18"/>
      <c r="F1215" s="18"/>
      <c r="G1215" s="20"/>
      <c r="H1215" s="18"/>
      <c r="I1215" s="21"/>
    </row>
    <row r="1216" ht="22.5" customHeight="1">
      <c r="A1216" s="20"/>
      <c r="B1216" s="60"/>
      <c r="C1216" s="14"/>
      <c r="D1216" s="17"/>
      <c r="E1216" s="18"/>
      <c r="F1216" s="18"/>
      <c r="G1216" s="20"/>
      <c r="H1216" s="18"/>
      <c r="I1216" s="21"/>
    </row>
    <row r="1217" ht="22.5" customHeight="1">
      <c r="A1217" s="20"/>
      <c r="B1217" s="60"/>
      <c r="C1217" s="14"/>
      <c r="D1217" s="17"/>
      <c r="E1217" s="18"/>
      <c r="F1217" s="18"/>
      <c r="G1217" s="20"/>
      <c r="H1217" s="18"/>
      <c r="I1217" s="21"/>
    </row>
    <row r="1218" ht="22.5" customHeight="1">
      <c r="A1218" s="20"/>
      <c r="B1218" s="60"/>
      <c r="C1218" s="14"/>
      <c r="D1218" s="17"/>
      <c r="E1218" s="18"/>
      <c r="F1218" s="18"/>
      <c r="G1218" s="20"/>
      <c r="H1218" s="18"/>
      <c r="I1218" s="21"/>
    </row>
    <row r="1219" ht="22.5" customHeight="1">
      <c r="A1219" s="20"/>
      <c r="B1219" s="60"/>
      <c r="C1219" s="14"/>
      <c r="D1219" s="17"/>
      <c r="E1219" s="18"/>
      <c r="F1219" s="18"/>
      <c r="G1219" s="20"/>
      <c r="H1219" s="18"/>
      <c r="I1219" s="21"/>
    </row>
    <row r="1220" ht="22.5" customHeight="1">
      <c r="A1220" s="20"/>
      <c r="B1220" s="60"/>
      <c r="C1220" s="14"/>
      <c r="D1220" s="17"/>
      <c r="E1220" s="18"/>
      <c r="F1220" s="18"/>
      <c r="G1220" s="20"/>
      <c r="H1220" s="18"/>
      <c r="I1220" s="21"/>
    </row>
    <row r="1221" ht="22.5" customHeight="1">
      <c r="A1221" s="20"/>
      <c r="B1221" s="60"/>
      <c r="C1221" s="14"/>
      <c r="D1221" s="17"/>
      <c r="E1221" s="18"/>
      <c r="F1221" s="18"/>
      <c r="G1221" s="20"/>
      <c r="H1221" s="18"/>
      <c r="I1221" s="21"/>
    </row>
    <row r="1222" ht="22.5" customHeight="1">
      <c r="A1222" s="20"/>
      <c r="B1222" s="60"/>
      <c r="C1222" s="14"/>
      <c r="D1222" s="17"/>
      <c r="E1222" s="18"/>
      <c r="F1222" s="18"/>
      <c r="G1222" s="20"/>
      <c r="H1222" s="18"/>
      <c r="I1222" s="21"/>
    </row>
    <row r="1223" ht="22.5" customHeight="1">
      <c r="A1223" s="20"/>
      <c r="B1223" s="60"/>
      <c r="C1223" s="14"/>
      <c r="D1223" s="17"/>
      <c r="E1223" s="18"/>
      <c r="F1223" s="18"/>
      <c r="G1223" s="20"/>
      <c r="H1223" s="18"/>
      <c r="I1223" s="21"/>
    </row>
    <row r="1224" ht="22.5" customHeight="1">
      <c r="A1224" s="20"/>
      <c r="B1224" s="60"/>
      <c r="C1224" s="14"/>
      <c r="D1224" s="17"/>
      <c r="E1224" s="18"/>
      <c r="F1224" s="18"/>
      <c r="G1224" s="20"/>
      <c r="H1224" s="18"/>
      <c r="I1224" s="21"/>
    </row>
    <row r="1225" ht="22.5" customHeight="1">
      <c r="A1225" s="20"/>
      <c r="B1225" s="60"/>
      <c r="C1225" s="14"/>
      <c r="D1225" s="17"/>
      <c r="E1225" s="18"/>
      <c r="F1225" s="18"/>
      <c r="G1225" s="20"/>
      <c r="H1225" s="18"/>
      <c r="I1225" s="21"/>
    </row>
    <row r="1226" ht="22.5" customHeight="1">
      <c r="A1226" s="20"/>
      <c r="B1226" s="60"/>
      <c r="C1226" s="14"/>
      <c r="D1226" s="17"/>
      <c r="E1226" s="18"/>
      <c r="F1226" s="18"/>
      <c r="G1226" s="20"/>
      <c r="H1226" s="18"/>
      <c r="I1226" s="21"/>
    </row>
    <row r="1227" ht="22.5" customHeight="1">
      <c r="A1227" s="20"/>
      <c r="B1227" s="60"/>
      <c r="C1227" s="14"/>
      <c r="D1227" s="17"/>
      <c r="E1227" s="18"/>
      <c r="F1227" s="18"/>
      <c r="G1227" s="20"/>
      <c r="H1227" s="18"/>
      <c r="I1227" s="21"/>
    </row>
    <row r="1228" ht="22.5" customHeight="1">
      <c r="A1228" s="20"/>
      <c r="B1228" s="60"/>
      <c r="C1228" s="14"/>
      <c r="D1228" s="17"/>
      <c r="E1228" s="18"/>
      <c r="F1228" s="18"/>
      <c r="G1228" s="20"/>
      <c r="H1228" s="18"/>
      <c r="I1228" s="21"/>
    </row>
    <row r="1229" ht="22.5" customHeight="1">
      <c r="A1229" s="20"/>
      <c r="B1229" s="60"/>
      <c r="C1229" s="14"/>
      <c r="D1229" s="17"/>
      <c r="E1229" s="18"/>
      <c r="F1229" s="18"/>
      <c r="G1229" s="20"/>
      <c r="H1229" s="18"/>
      <c r="I1229" s="21"/>
    </row>
    <row r="1230" ht="22.5" customHeight="1">
      <c r="A1230" s="20"/>
      <c r="B1230" s="60"/>
      <c r="C1230" s="14"/>
      <c r="D1230" s="17"/>
      <c r="E1230" s="18"/>
      <c r="F1230" s="18"/>
      <c r="G1230" s="20"/>
      <c r="H1230" s="18"/>
      <c r="I1230" s="21"/>
    </row>
    <row r="1231" ht="22.5" customHeight="1">
      <c r="A1231" s="20"/>
      <c r="B1231" s="60"/>
      <c r="C1231" s="14"/>
      <c r="D1231" s="17"/>
      <c r="E1231" s="18"/>
      <c r="F1231" s="18"/>
      <c r="G1231" s="20"/>
      <c r="H1231" s="18"/>
      <c r="I1231" s="21"/>
    </row>
    <row r="1232" ht="22.5" customHeight="1">
      <c r="A1232" s="20"/>
      <c r="B1232" s="60"/>
      <c r="C1232" s="14"/>
      <c r="D1232" s="17"/>
      <c r="E1232" s="18"/>
      <c r="F1232" s="18"/>
      <c r="G1232" s="20"/>
      <c r="H1232" s="18"/>
      <c r="I1232" s="21"/>
    </row>
    <row r="1233" ht="22.5" customHeight="1">
      <c r="A1233" s="20"/>
      <c r="B1233" s="60"/>
      <c r="C1233" s="14"/>
      <c r="D1233" s="17"/>
      <c r="E1233" s="18"/>
      <c r="F1233" s="18"/>
      <c r="G1233" s="20"/>
      <c r="H1233" s="18"/>
      <c r="I1233" s="21"/>
    </row>
    <row r="1234" ht="22.5" customHeight="1">
      <c r="A1234" s="20"/>
      <c r="B1234" s="60"/>
      <c r="C1234" s="14"/>
      <c r="D1234" s="17"/>
      <c r="E1234" s="18"/>
      <c r="F1234" s="18"/>
      <c r="G1234" s="20"/>
      <c r="H1234" s="18"/>
      <c r="I1234" s="21"/>
    </row>
    <row r="1235" ht="22.5" customHeight="1">
      <c r="A1235" s="20"/>
      <c r="B1235" s="60"/>
      <c r="C1235" s="14"/>
      <c r="D1235" s="17"/>
      <c r="E1235" s="18"/>
      <c r="F1235" s="18"/>
      <c r="G1235" s="20"/>
      <c r="H1235" s="18"/>
      <c r="I1235" s="21"/>
    </row>
    <row r="1236" ht="22.5" customHeight="1">
      <c r="A1236" s="20"/>
      <c r="B1236" s="60"/>
      <c r="C1236" s="14"/>
      <c r="D1236" s="17"/>
      <c r="E1236" s="18"/>
      <c r="F1236" s="18"/>
      <c r="G1236" s="20"/>
      <c r="H1236" s="18"/>
      <c r="I1236" s="21"/>
    </row>
    <row r="1237" ht="22.5" customHeight="1">
      <c r="A1237" s="20"/>
      <c r="B1237" s="60"/>
      <c r="C1237" s="14"/>
      <c r="D1237" s="17"/>
      <c r="E1237" s="18"/>
      <c r="F1237" s="18"/>
      <c r="G1237" s="20"/>
      <c r="H1237" s="18"/>
      <c r="I1237" s="21"/>
    </row>
    <row r="1238" ht="22.5" customHeight="1">
      <c r="A1238" s="20"/>
      <c r="B1238" s="60"/>
      <c r="C1238" s="14"/>
      <c r="D1238" s="17"/>
      <c r="E1238" s="18"/>
      <c r="F1238" s="18"/>
      <c r="G1238" s="20"/>
      <c r="H1238" s="18"/>
      <c r="I1238" s="21"/>
    </row>
    <row r="1239" ht="22.5" customHeight="1">
      <c r="A1239" s="20"/>
      <c r="B1239" s="60"/>
      <c r="C1239" s="14"/>
      <c r="D1239" s="17"/>
      <c r="E1239" s="18"/>
      <c r="F1239" s="18"/>
      <c r="G1239" s="20"/>
      <c r="H1239" s="18"/>
      <c r="I1239" s="21"/>
    </row>
    <row r="1240" ht="22.5" customHeight="1">
      <c r="A1240" s="20"/>
      <c r="B1240" s="60"/>
      <c r="C1240" s="14"/>
      <c r="D1240" s="17"/>
      <c r="E1240" s="18"/>
      <c r="F1240" s="18"/>
      <c r="G1240" s="20"/>
      <c r="H1240" s="18"/>
      <c r="I1240" s="21"/>
    </row>
    <row r="1241" ht="22.5" customHeight="1">
      <c r="A1241" s="20"/>
      <c r="B1241" s="60"/>
      <c r="C1241" s="14"/>
      <c r="D1241" s="17"/>
      <c r="E1241" s="18"/>
      <c r="F1241" s="18"/>
      <c r="G1241" s="20"/>
      <c r="H1241" s="18"/>
      <c r="I1241" s="21"/>
    </row>
    <row r="1242" ht="22.5" customHeight="1">
      <c r="A1242" s="20"/>
      <c r="B1242" s="60"/>
      <c r="C1242" s="14"/>
      <c r="D1242" s="17"/>
      <c r="E1242" s="18"/>
      <c r="F1242" s="18"/>
      <c r="G1242" s="20"/>
      <c r="H1242" s="18"/>
      <c r="I1242" s="21"/>
    </row>
    <row r="1243" ht="22.5" customHeight="1">
      <c r="A1243" s="20"/>
      <c r="B1243" s="60"/>
      <c r="C1243" s="14"/>
      <c r="D1243" s="17"/>
      <c r="E1243" s="18"/>
      <c r="F1243" s="18"/>
      <c r="G1243" s="20"/>
      <c r="H1243" s="18"/>
      <c r="I1243" s="21"/>
    </row>
    <row r="1244" ht="22.5" customHeight="1">
      <c r="A1244" s="20"/>
      <c r="B1244" s="60"/>
      <c r="C1244" s="14"/>
      <c r="D1244" s="17"/>
      <c r="E1244" s="18"/>
      <c r="F1244" s="18"/>
      <c r="G1244" s="20"/>
      <c r="H1244" s="18"/>
      <c r="I1244" s="21"/>
    </row>
    <row r="1245" ht="22.5" customHeight="1">
      <c r="A1245" s="20"/>
      <c r="B1245" s="60"/>
      <c r="C1245" s="14"/>
      <c r="D1245" s="17"/>
      <c r="E1245" s="18"/>
      <c r="F1245" s="18"/>
      <c r="G1245" s="20"/>
      <c r="H1245" s="18"/>
      <c r="I1245" s="21"/>
    </row>
    <row r="1246" ht="22.5" customHeight="1">
      <c r="A1246" s="20"/>
      <c r="B1246" s="60"/>
      <c r="C1246" s="14"/>
      <c r="D1246" s="17"/>
      <c r="E1246" s="18"/>
      <c r="F1246" s="18"/>
      <c r="G1246" s="20"/>
      <c r="H1246" s="18"/>
      <c r="I1246" s="21"/>
    </row>
    <row r="1247" ht="22.5" customHeight="1">
      <c r="A1247" s="20"/>
      <c r="B1247" s="60"/>
      <c r="C1247" s="14"/>
      <c r="D1247" s="17"/>
      <c r="E1247" s="18"/>
      <c r="F1247" s="18"/>
      <c r="G1247" s="20"/>
      <c r="H1247" s="18"/>
      <c r="I1247" s="21"/>
    </row>
    <row r="1248" ht="22.5" customHeight="1">
      <c r="A1248" s="20"/>
      <c r="B1248" s="60"/>
      <c r="C1248" s="14"/>
      <c r="D1248" s="17"/>
      <c r="E1248" s="18"/>
      <c r="F1248" s="18"/>
      <c r="G1248" s="20"/>
      <c r="H1248" s="18"/>
      <c r="I1248" s="21"/>
    </row>
    <row r="1249" ht="22.5" customHeight="1">
      <c r="A1249" s="20"/>
      <c r="B1249" s="60"/>
      <c r="C1249" s="14"/>
      <c r="D1249" s="17"/>
      <c r="E1249" s="18"/>
      <c r="F1249" s="18"/>
      <c r="G1249" s="20"/>
      <c r="H1249" s="18"/>
      <c r="I1249" s="21"/>
    </row>
    <row r="1250" ht="22.5" customHeight="1">
      <c r="A1250" s="20"/>
      <c r="B1250" s="60"/>
      <c r="C1250" s="14"/>
      <c r="D1250" s="17"/>
      <c r="E1250" s="18"/>
      <c r="F1250" s="18"/>
      <c r="G1250" s="20"/>
      <c r="H1250" s="18"/>
      <c r="I1250" s="21"/>
    </row>
    <row r="1251" ht="22.5" customHeight="1">
      <c r="A1251" s="20"/>
      <c r="B1251" s="60"/>
      <c r="C1251" s="14"/>
      <c r="D1251" s="17"/>
      <c r="E1251" s="18"/>
      <c r="F1251" s="18"/>
      <c r="G1251" s="20"/>
      <c r="H1251" s="18"/>
      <c r="I1251" s="21"/>
    </row>
    <row r="1252" ht="22.5" customHeight="1">
      <c r="A1252" s="20"/>
      <c r="B1252" s="60"/>
      <c r="C1252" s="14"/>
      <c r="D1252" s="17"/>
      <c r="E1252" s="18"/>
      <c r="F1252" s="18"/>
      <c r="G1252" s="20"/>
      <c r="H1252" s="18"/>
      <c r="I1252" s="21"/>
    </row>
    <row r="1253" ht="22.5" customHeight="1">
      <c r="A1253" s="20"/>
      <c r="B1253" s="60"/>
      <c r="C1253" s="14"/>
      <c r="D1253" s="17"/>
      <c r="E1253" s="18"/>
      <c r="F1253" s="18"/>
      <c r="G1253" s="20"/>
      <c r="H1253" s="18"/>
      <c r="I1253" s="21"/>
    </row>
    <row r="1254" ht="22.5" customHeight="1">
      <c r="A1254" s="20"/>
      <c r="B1254" s="60"/>
      <c r="C1254" s="14"/>
      <c r="D1254" s="17"/>
      <c r="E1254" s="18"/>
      <c r="F1254" s="18"/>
      <c r="G1254" s="20"/>
      <c r="H1254" s="18"/>
      <c r="I1254" s="21"/>
    </row>
    <row r="1255" ht="22.5" customHeight="1">
      <c r="A1255" s="20"/>
      <c r="B1255" s="60"/>
      <c r="C1255" s="14"/>
      <c r="D1255" s="17"/>
      <c r="E1255" s="18"/>
      <c r="F1255" s="18"/>
      <c r="G1255" s="20"/>
      <c r="H1255" s="18"/>
      <c r="I1255" s="21"/>
    </row>
    <row r="1256" ht="22.5" customHeight="1">
      <c r="A1256" s="20"/>
      <c r="B1256" s="60"/>
      <c r="C1256" s="14"/>
      <c r="D1256" s="17"/>
      <c r="E1256" s="18"/>
      <c r="F1256" s="18"/>
      <c r="G1256" s="20"/>
      <c r="H1256" s="18"/>
      <c r="I1256" s="21"/>
    </row>
    <row r="1257" ht="22.5" customHeight="1">
      <c r="A1257" s="20"/>
      <c r="B1257" s="60"/>
      <c r="C1257" s="14"/>
      <c r="D1257" s="17"/>
      <c r="E1257" s="18"/>
      <c r="F1257" s="18"/>
      <c r="G1257" s="20"/>
      <c r="H1257" s="18"/>
      <c r="I1257" s="21"/>
    </row>
    <row r="1258" ht="22.5" customHeight="1">
      <c r="A1258" s="20"/>
      <c r="B1258" s="60"/>
      <c r="C1258" s="14"/>
      <c r="D1258" s="17"/>
      <c r="E1258" s="18"/>
      <c r="F1258" s="18"/>
      <c r="G1258" s="20"/>
      <c r="H1258" s="18"/>
      <c r="I1258" s="21"/>
    </row>
    <row r="1259" ht="22.5" customHeight="1">
      <c r="A1259" s="20"/>
      <c r="B1259" s="60"/>
      <c r="C1259" s="14"/>
      <c r="D1259" s="17"/>
      <c r="E1259" s="18"/>
      <c r="F1259" s="18"/>
      <c r="G1259" s="20"/>
      <c r="H1259" s="18"/>
      <c r="I1259" s="21"/>
    </row>
    <row r="1260" ht="22.5" customHeight="1">
      <c r="A1260" s="20"/>
      <c r="B1260" s="60"/>
      <c r="C1260" s="14"/>
      <c r="D1260" s="17"/>
      <c r="E1260" s="18"/>
      <c r="F1260" s="18"/>
      <c r="G1260" s="20"/>
      <c r="H1260" s="18"/>
      <c r="I1260" s="21"/>
    </row>
    <row r="1261" ht="22.5" customHeight="1">
      <c r="A1261" s="20"/>
      <c r="B1261" s="60"/>
      <c r="C1261" s="14"/>
      <c r="D1261" s="17"/>
      <c r="E1261" s="18"/>
      <c r="F1261" s="18"/>
      <c r="G1261" s="20"/>
      <c r="H1261" s="18"/>
      <c r="I1261" s="21"/>
    </row>
    <row r="1262" ht="22.5" customHeight="1">
      <c r="A1262" s="20"/>
      <c r="B1262" s="60"/>
      <c r="C1262" s="14"/>
      <c r="D1262" s="17"/>
      <c r="E1262" s="18"/>
      <c r="F1262" s="18"/>
      <c r="G1262" s="20"/>
      <c r="H1262" s="18"/>
      <c r="I1262" s="21"/>
    </row>
    <row r="1263" ht="22.5" customHeight="1">
      <c r="A1263" s="20"/>
      <c r="B1263" s="60"/>
      <c r="C1263" s="14"/>
      <c r="D1263" s="17"/>
      <c r="E1263" s="18"/>
      <c r="F1263" s="18"/>
      <c r="G1263" s="20"/>
      <c r="H1263" s="18"/>
      <c r="I1263" s="21"/>
    </row>
    <row r="1264" ht="22.5" customHeight="1">
      <c r="A1264" s="20"/>
      <c r="B1264" s="60"/>
      <c r="C1264" s="14"/>
      <c r="D1264" s="17"/>
      <c r="E1264" s="18"/>
      <c r="F1264" s="18"/>
      <c r="G1264" s="20"/>
      <c r="H1264" s="18"/>
      <c r="I1264" s="21"/>
    </row>
    <row r="1265" ht="22.5" customHeight="1">
      <c r="A1265" s="20"/>
      <c r="B1265" s="60"/>
      <c r="C1265" s="14"/>
      <c r="D1265" s="17"/>
      <c r="E1265" s="18"/>
      <c r="F1265" s="18"/>
      <c r="G1265" s="20"/>
      <c r="H1265" s="18"/>
      <c r="I1265" s="21"/>
    </row>
    <row r="1266" ht="22.5" customHeight="1">
      <c r="A1266" s="20"/>
      <c r="B1266" s="60"/>
      <c r="C1266" s="14"/>
      <c r="D1266" s="17"/>
      <c r="E1266" s="18"/>
      <c r="F1266" s="18"/>
      <c r="G1266" s="20"/>
      <c r="H1266" s="18"/>
      <c r="I1266" s="21"/>
    </row>
    <row r="1267" ht="22.5" customHeight="1">
      <c r="A1267" s="20"/>
      <c r="B1267" s="60"/>
      <c r="C1267" s="14"/>
      <c r="D1267" s="17"/>
      <c r="E1267" s="18"/>
      <c r="F1267" s="18"/>
      <c r="G1267" s="20"/>
      <c r="H1267" s="18"/>
      <c r="I1267" s="21"/>
    </row>
    <row r="1268" ht="22.5" customHeight="1">
      <c r="A1268" s="20"/>
      <c r="B1268" s="60"/>
      <c r="C1268" s="14"/>
      <c r="D1268" s="17"/>
      <c r="E1268" s="18"/>
      <c r="F1268" s="18"/>
      <c r="G1268" s="20"/>
      <c r="H1268" s="18"/>
      <c r="I1268" s="21"/>
    </row>
    <row r="1269" ht="22.5" customHeight="1">
      <c r="A1269" s="20"/>
      <c r="B1269" s="60"/>
      <c r="C1269" s="14"/>
      <c r="D1269" s="17"/>
      <c r="E1269" s="18"/>
      <c r="F1269" s="18"/>
      <c r="G1269" s="20"/>
      <c r="H1269" s="18"/>
      <c r="I1269" s="21"/>
    </row>
    <row r="1270" ht="22.5" customHeight="1">
      <c r="A1270" s="20"/>
      <c r="B1270" s="60"/>
      <c r="C1270" s="14"/>
      <c r="D1270" s="17"/>
      <c r="E1270" s="18"/>
      <c r="F1270" s="18"/>
      <c r="G1270" s="20"/>
      <c r="H1270" s="18"/>
      <c r="I1270" s="21"/>
    </row>
    <row r="1271" ht="22.5" customHeight="1">
      <c r="A1271" s="20"/>
      <c r="B1271" s="60"/>
      <c r="C1271" s="14"/>
      <c r="D1271" s="17"/>
      <c r="E1271" s="18"/>
      <c r="F1271" s="18"/>
      <c r="G1271" s="20"/>
      <c r="H1271" s="18"/>
      <c r="I1271" s="21"/>
    </row>
    <row r="1272" ht="22.5" customHeight="1">
      <c r="A1272" s="20"/>
      <c r="B1272" s="60"/>
      <c r="C1272" s="14"/>
      <c r="D1272" s="17"/>
      <c r="E1272" s="18"/>
      <c r="F1272" s="18"/>
      <c r="G1272" s="20"/>
      <c r="H1272" s="18"/>
      <c r="I1272" s="21"/>
    </row>
    <row r="1273" ht="22.5" customHeight="1">
      <c r="A1273" s="20"/>
      <c r="B1273" s="60"/>
      <c r="C1273" s="14"/>
      <c r="D1273" s="17"/>
      <c r="E1273" s="18"/>
      <c r="F1273" s="18"/>
      <c r="G1273" s="20"/>
      <c r="H1273" s="18"/>
      <c r="I1273" s="21"/>
    </row>
    <row r="1274" ht="22.5" customHeight="1">
      <c r="A1274" s="20"/>
      <c r="B1274" s="60"/>
      <c r="C1274" s="14"/>
      <c r="D1274" s="17"/>
      <c r="E1274" s="18"/>
      <c r="F1274" s="18"/>
      <c r="G1274" s="20"/>
      <c r="H1274" s="18"/>
      <c r="I1274" s="21"/>
    </row>
    <row r="1275" ht="22.5" customHeight="1">
      <c r="A1275" s="20"/>
      <c r="B1275" s="60"/>
      <c r="C1275" s="14"/>
      <c r="D1275" s="17"/>
      <c r="E1275" s="18"/>
      <c r="F1275" s="18"/>
      <c r="G1275" s="20"/>
      <c r="H1275" s="18"/>
      <c r="I1275" s="21"/>
    </row>
    <row r="1276" ht="22.5" customHeight="1">
      <c r="A1276" s="20"/>
      <c r="B1276" s="60"/>
      <c r="C1276" s="14"/>
      <c r="D1276" s="17"/>
      <c r="E1276" s="18"/>
      <c r="F1276" s="18"/>
      <c r="G1276" s="20"/>
      <c r="H1276" s="18"/>
      <c r="I1276" s="21"/>
    </row>
    <row r="1277" ht="22.5" customHeight="1">
      <c r="A1277" s="20"/>
      <c r="B1277" s="60"/>
      <c r="C1277" s="14"/>
      <c r="D1277" s="17"/>
      <c r="E1277" s="18"/>
      <c r="F1277" s="18"/>
      <c r="G1277" s="20"/>
      <c r="H1277" s="18"/>
      <c r="I1277" s="21"/>
    </row>
    <row r="1278" ht="22.5" customHeight="1">
      <c r="A1278" s="20"/>
      <c r="B1278" s="60"/>
      <c r="C1278" s="14"/>
      <c r="D1278" s="17"/>
      <c r="E1278" s="18"/>
      <c r="F1278" s="18"/>
      <c r="G1278" s="20"/>
      <c r="H1278" s="18"/>
      <c r="I1278" s="21"/>
    </row>
    <row r="1279" ht="22.5" customHeight="1">
      <c r="A1279" s="20"/>
      <c r="B1279" s="60"/>
      <c r="C1279" s="14"/>
      <c r="D1279" s="17"/>
      <c r="E1279" s="18"/>
      <c r="F1279" s="18"/>
      <c r="G1279" s="20"/>
      <c r="H1279" s="18"/>
      <c r="I1279" s="21"/>
    </row>
    <row r="1280" ht="22.5" customHeight="1">
      <c r="A1280" s="20"/>
      <c r="B1280" s="60"/>
      <c r="C1280" s="14"/>
      <c r="D1280" s="17"/>
      <c r="E1280" s="18"/>
      <c r="F1280" s="18"/>
      <c r="G1280" s="20"/>
      <c r="H1280" s="18"/>
      <c r="I1280" s="21"/>
    </row>
    <row r="1281" ht="22.5" customHeight="1">
      <c r="A1281" s="20"/>
      <c r="B1281" s="60"/>
      <c r="C1281" s="14"/>
      <c r="D1281" s="17"/>
      <c r="E1281" s="18"/>
      <c r="F1281" s="18"/>
      <c r="G1281" s="20"/>
      <c r="H1281" s="18"/>
      <c r="I1281" s="21"/>
    </row>
    <row r="1282" ht="22.5" customHeight="1">
      <c r="A1282" s="20"/>
      <c r="B1282" s="60"/>
      <c r="C1282" s="14"/>
      <c r="D1282" s="17"/>
      <c r="E1282" s="18"/>
      <c r="F1282" s="18"/>
      <c r="G1282" s="20"/>
      <c r="H1282" s="18"/>
      <c r="I1282" s="21"/>
    </row>
    <row r="1283" ht="22.5" customHeight="1">
      <c r="A1283" s="20"/>
      <c r="B1283" s="60"/>
      <c r="C1283" s="14"/>
      <c r="D1283" s="17"/>
      <c r="E1283" s="18"/>
      <c r="F1283" s="18"/>
      <c r="G1283" s="20"/>
      <c r="H1283" s="18"/>
      <c r="I1283" s="21"/>
    </row>
    <row r="1284" ht="22.5" customHeight="1">
      <c r="A1284" s="20"/>
      <c r="B1284" s="60"/>
      <c r="C1284" s="14"/>
      <c r="D1284" s="17"/>
      <c r="E1284" s="18"/>
      <c r="F1284" s="18"/>
      <c r="G1284" s="20"/>
      <c r="H1284" s="18"/>
      <c r="I1284" s="21"/>
    </row>
    <row r="1285" ht="22.5" customHeight="1">
      <c r="A1285" s="20"/>
      <c r="B1285" s="60"/>
      <c r="C1285" s="14"/>
      <c r="D1285" s="17"/>
      <c r="E1285" s="18"/>
      <c r="F1285" s="18"/>
      <c r="G1285" s="20"/>
      <c r="H1285" s="18"/>
      <c r="I1285" s="21"/>
    </row>
    <row r="1286" ht="22.5" customHeight="1">
      <c r="A1286" s="20"/>
      <c r="B1286" s="60"/>
      <c r="C1286" s="14"/>
      <c r="D1286" s="17"/>
      <c r="E1286" s="18"/>
      <c r="F1286" s="18"/>
      <c r="G1286" s="20"/>
      <c r="H1286" s="18"/>
      <c r="I1286" s="21"/>
    </row>
    <row r="1287" ht="22.5" customHeight="1">
      <c r="A1287" s="20"/>
      <c r="B1287" s="60"/>
      <c r="C1287" s="14"/>
      <c r="D1287" s="17"/>
      <c r="E1287" s="18"/>
      <c r="F1287" s="18"/>
      <c r="G1287" s="20"/>
      <c r="H1287" s="18"/>
      <c r="I1287" s="21"/>
    </row>
    <row r="1288" ht="22.5" customHeight="1">
      <c r="A1288" s="20"/>
      <c r="B1288" s="60"/>
      <c r="C1288" s="14"/>
      <c r="D1288" s="17"/>
      <c r="E1288" s="18"/>
      <c r="F1288" s="18"/>
      <c r="G1288" s="20"/>
      <c r="H1288" s="18"/>
      <c r="I1288" s="21"/>
    </row>
    <row r="1289" ht="22.5" customHeight="1">
      <c r="A1289" s="20"/>
      <c r="B1289" s="60"/>
      <c r="C1289" s="14"/>
      <c r="D1289" s="17"/>
      <c r="E1289" s="18"/>
      <c r="F1289" s="18"/>
      <c r="G1289" s="20"/>
      <c r="H1289" s="18"/>
      <c r="I1289" s="21"/>
    </row>
    <row r="1290" ht="22.5" customHeight="1">
      <c r="A1290" s="20"/>
      <c r="B1290" s="60"/>
      <c r="C1290" s="14"/>
      <c r="D1290" s="17"/>
      <c r="E1290" s="18"/>
      <c r="F1290" s="18"/>
      <c r="G1290" s="20"/>
      <c r="H1290" s="18"/>
      <c r="I1290" s="21"/>
    </row>
    <row r="1291" ht="22.5" customHeight="1">
      <c r="A1291" s="20"/>
      <c r="B1291" s="60"/>
      <c r="C1291" s="14"/>
      <c r="D1291" s="17"/>
      <c r="E1291" s="18"/>
      <c r="F1291" s="18"/>
      <c r="G1291" s="20"/>
      <c r="H1291" s="18"/>
      <c r="I1291" s="21"/>
    </row>
    <row r="1292" ht="22.5" customHeight="1">
      <c r="A1292" s="20"/>
      <c r="B1292" s="60"/>
      <c r="C1292" s="14"/>
      <c r="D1292" s="17"/>
      <c r="E1292" s="18"/>
      <c r="F1292" s="18"/>
      <c r="G1292" s="20"/>
      <c r="H1292" s="18"/>
      <c r="I1292" s="21"/>
    </row>
    <row r="1293" ht="22.5" customHeight="1">
      <c r="A1293" s="20"/>
      <c r="B1293" s="60"/>
      <c r="C1293" s="14"/>
      <c r="D1293" s="17"/>
      <c r="E1293" s="18"/>
      <c r="F1293" s="18"/>
      <c r="G1293" s="20"/>
      <c r="H1293" s="18"/>
      <c r="I1293" s="21"/>
    </row>
    <row r="1294" ht="22.5" customHeight="1">
      <c r="A1294" s="20"/>
      <c r="B1294" s="60"/>
      <c r="C1294" s="14"/>
      <c r="D1294" s="17"/>
      <c r="E1294" s="18"/>
      <c r="F1294" s="18"/>
      <c r="G1294" s="20"/>
      <c r="H1294" s="18"/>
      <c r="I1294" s="21"/>
    </row>
    <row r="1295" ht="22.5" customHeight="1">
      <c r="A1295" s="20"/>
      <c r="B1295" s="60"/>
      <c r="C1295" s="14"/>
      <c r="D1295" s="17"/>
      <c r="E1295" s="18"/>
      <c r="F1295" s="18"/>
      <c r="G1295" s="20"/>
      <c r="H1295" s="18"/>
      <c r="I1295" s="21"/>
    </row>
    <row r="1296" ht="22.5" customHeight="1">
      <c r="A1296" s="20"/>
      <c r="B1296" s="60"/>
      <c r="C1296" s="14"/>
      <c r="D1296" s="17"/>
      <c r="E1296" s="18"/>
      <c r="F1296" s="18"/>
      <c r="G1296" s="20"/>
      <c r="H1296" s="18"/>
      <c r="I1296" s="21"/>
    </row>
    <row r="1297" ht="22.5" customHeight="1">
      <c r="A1297" s="20"/>
      <c r="B1297" s="60"/>
      <c r="C1297" s="14"/>
      <c r="D1297" s="17"/>
      <c r="E1297" s="18"/>
      <c r="F1297" s="18"/>
      <c r="G1297" s="20"/>
      <c r="H1297" s="18"/>
      <c r="I1297" s="21"/>
    </row>
    <row r="1298" ht="22.5" customHeight="1">
      <c r="A1298" s="20"/>
      <c r="B1298" s="60"/>
      <c r="C1298" s="14"/>
      <c r="D1298" s="17"/>
      <c r="E1298" s="18"/>
      <c r="F1298" s="18"/>
      <c r="G1298" s="20"/>
      <c r="H1298" s="18"/>
      <c r="I1298" s="21"/>
    </row>
    <row r="1299" ht="22.5" customHeight="1">
      <c r="A1299" s="20"/>
      <c r="B1299" s="60"/>
      <c r="C1299" s="14"/>
      <c r="D1299" s="17"/>
      <c r="E1299" s="18"/>
      <c r="F1299" s="18"/>
      <c r="G1299" s="20"/>
      <c r="H1299" s="18"/>
      <c r="I1299" s="21"/>
    </row>
    <row r="1300" ht="22.5" customHeight="1">
      <c r="A1300" s="20"/>
      <c r="B1300" s="60"/>
      <c r="C1300" s="14"/>
      <c r="D1300" s="17"/>
      <c r="E1300" s="18"/>
      <c r="F1300" s="18"/>
      <c r="G1300" s="20"/>
      <c r="H1300" s="18"/>
      <c r="I1300" s="21"/>
    </row>
    <row r="1301" ht="22.5" customHeight="1">
      <c r="A1301" s="20"/>
      <c r="B1301" s="60"/>
      <c r="C1301" s="14"/>
      <c r="D1301" s="17"/>
      <c r="E1301" s="18"/>
      <c r="F1301" s="18"/>
      <c r="G1301" s="20"/>
      <c r="H1301" s="18"/>
      <c r="I1301" s="21"/>
    </row>
    <row r="1302" ht="22.5" customHeight="1">
      <c r="A1302" s="20"/>
      <c r="B1302" s="60"/>
      <c r="C1302" s="14"/>
      <c r="D1302" s="17"/>
      <c r="E1302" s="18"/>
      <c r="F1302" s="18"/>
      <c r="G1302" s="20"/>
      <c r="H1302" s="18"/>
      <c r="I1302" s="21"/>
    </row>
    <row r="1303" ht="22.5" customHeight="1">
      <c r="A1303" s="20"/>
      <c r="B1303" s="60"/>
      <c r="C1303" s="14"/>
      <c r="D1303" s="17"/>
      <c r="E1303" s="18"/>
      <c r="F1303" s="18"/>
      <c r="G1303" s="20"/>
      <c r="H1303" s="18"/>
      <c r="I1303" s="21"/>
    </row>
    <row r="1304" ht="22.5" customHeight="1">
      <c r="A1304" s="20"/>
      <c r="B1304" s="60"/>
      <c r="C1304" s="14"/>
      <c r="D1304" s="17"/>
      <c r="E1304" s="18"/>
      <c r="F1304" s="18"/>
      <c r="G1304" s="20"/>
      <c r="H1304" s="18"/>
      <c r="I1304" s="21"/>
    </row>
    <row r="1305" ht="22.5" customHeight="1">
      <c r="A1305" s="20"/>
      <c r="B1305" s="60"/>
      <c r="C1305" s="14"/>
      <c r="D1305" s="17"/>
      <c r="E1305" s="18"/>
      <c r="F1305" s="18"/>
      <c r="G1305" s="20"/>
      <c r="H1305" s="18"/>
      <c r="I1305" s="21"/>
    </row>
    <row r="1306" ht="22.5" customHeight="1">
      <c r="A1306" s="20"/>
      <c r="B1306" s="60"/>
      <c r="C1306" s="14"/>
      <c r="D1306" s="17"/>
      <c r="E1306" s="18"/>
      <c r="F1306" s="18"/>
      <c r="G1306" s="20"/>
      <c r="H1306" s="18"/>
      <c r="I1306" s="21"/>
    </row>
    <row r="1307" ht="22.5" customHeight="1">
      <c r="A1307" s="20"/>
      <c r="B1307" s="60"/>
      <c r="C1307" s="14"/>
      <c r="D1307" s="17"/>
      <c r="E1307" s="18"/>
      <c r="F1307" s="18"/>
      <c r="G1307" s="20"/>
      <c r="H1307" s="18"/>
      <c r="I1307" s="21"/>
    </row>
    <row r="1308" ht="22.5" customHeight="1">
      <c r="A1308" s="20"/>
      <c r="B1308" s="60"/>
      <c r="C1308" s="14"/>
      <c r="D1308" s="17"/>
      <c r="E1308" s="18"/>
      <c r="F1308" s="18"/>
      <c r="G1308" s="20"/>
      <c r="H1308" s="18"/>
      <c r="I1308" s="21"/>
    </row>
    <row r="1309" ht="22.5" customHeight="1">
      <c r="A1309" s="20"/>
      <c r="B1309" s="60"/>
      <c r="C1309" s="14"/>
      <c r="D1309" s="17"/>
      <c r="E1309" s="18"/>
      <c r="F1309" s="18"/>
      <c r="G1309" s="20"/>
      <c r="H1309" s="18"/>
      <c r="I1309" s="21"/>
    </row>
    <row r="1310" ht="22.5" customHeight="1">
      <c r="A1310" s="20"/>
      <c r="B1310" s="60"/>
      <c r="C1310" s="14"/>
      <c r="D1310" s="17"/>
      <c r="E1310" s="18"/>
      <c r="F1310" s="18"/>
      <c r="G1310" s="20"/>
      <c r="H1310" s="18"/>
      <c r="I1310" s="21"/>
    </row>
    <row r="1311" ht="22.5" customHeight="1">
      <c r="A1311" s="20"/>
      <c r="B1311" s="60"/>
      <c r="C1311" s="14"/>
      <c r="D1311" s="17"/>
      <c r="E1311" s="18"/>
      <c r="F1311" s="18"/>
      <c r="G1311" s="20"/>
      <c r="H1311" s="18"/>
      <c r="I1311" s="21"/>
    </row>
    <row r="1312" ht="22.5" customHeight="1">
      <c r="A1312" s="20"/>
      <c r="B1312" s="60"/>
      <c r="C1312" s="14"/>
      <c r="D1312" s="17"/>
      <c r="E1312" s="18"/>
      <c r="F1312" s="18"/>
      <c r="G1312" s="20"/>
      <c r="H1312" s="18"/>
      <c r="I1312" s="21"/>
    </row>
    <row r="1313" ht="22.5" customHeight="1">
      <c r="A1313" s="20"/>
      <c r="B1313" s="60"/>
      <c r="C1313" s="14"/>
      <c r="D1313" s="17"/>
      <c r="E1313" s="18"/>
      <c r="F1313" s="18"/>
      <c r="G1313" s="20"/>
      <c r="H1313" s="18"/>
      <c r="I1313" s="21"/>
    </row>
    <row r="1314" ht="22.5" customHeight="1">
      <c r="A1314" s="20"/>
      <c r="B1314" s="60"/>
      <c r="C1314" s="14"/>
      <c r="D1314" s="17"/>
      <c r="E1314" s="18"/>
      <c r="F1314" s="18"/>
      <c r="G1314" s="20"/>
      <c r="H1314" s="18"/>
      <c r="I1314" s="21"/>
    </row>
    <row r="1315" ht="22.5" customHeight="1">
      <c r="A1315" s="20"/>
      <c r="B1315" s="60"/>
      <c r="C1315" s="14"/>
      <c r="D1315" s="17"/>
      <c r="E1315" s="18"/>
      <c r="F1315" s="18"/>
      <c r="G1315" s="20"/>
      <c r="H1315" s="18"/>
      <c r="I1315" s="21"/>
    </row>
    <row r="1316" ht="22.5" customHeight="1">
      <c r="A1316" s="20"/>
      <c r="B1316" s="60"/>
      <c r="C1316" s="14"/>
      <c r="D1316" s="17"/>
      <c r="E1316" s="18"/>
      <c r="F1316" s="18"/>
      <c r="G1316" s="20"/>
      <c r="H1316" s="18"/>
      <c r="I1316" s="21"/>
    </row>
    <row r="1317" ht="22.5" customHeight="1">
      <c r="A1317" s="20"/>
      <c r="B1317" s="60"/>
      <c r="C1317" s="14"/>
      <c r="D1317" s="17"/>
      <c r="E1317" s="18"/>
      <c r="F1317" s="18"/>
      <c r="G1317" s="20"/>
      <c r="H1317" s="18"/>
      <c r="I1317" s="21"/>
    </row>
    <row r="1318" ht="22.5" customHeight="1">
      <c r="A1318" s="20"/>
      <c r="B1318" s="60"/>
      <c r="C1318" s="14"/>
      <c r="D1318" s="17"/>
      <c r="E1318" s="18"/>
      <c r="F1318" s="18"/>
      <c r="G1318" s="20"/>
      <c r="H1318" s="18"/>
      <c r="I1318" s="21"/>
    </row>
    <row r="1319" ht="22.5" customHeight="1">
      <c r="A1319" s="20"/>
      <c r="B1319" s="60"/>
      <c r="C1319" s="14"/>
      <c r="D1319" s="17"/>
      <c r="E1319" s="18"/>
      <c r="F1319" s="18"/>
      <c r="G1319" s="20"/>
      <c r="H1319" s="18"/>
      <c r="I1319" s="21"/>
    </row>
    <row r="1320" ht="22.5" customHeight="1">
      <c r="A1320" s="20"/>
      <c r="B1320" s="60"/>
      <c r="C1320" s="14"/>
      <c r="D1320" s="17"/>
      <c r="E1320" s="18"/>
      <c r="F1320" s="18"/>
      <c r="G1320" s="20"/>
      <c r="H1320" s="18"/>
      <c r="I1320" s="21"/>
    </row>
    <row r="1321" ht="22.5" customHeight="1">
      <c r="A1321" s="20"/>
      <c r="B1321" s="60"/>
      <c r="C1321" s="14"/>
      <c r="D1321" s="17"/>
      <c r="E1321" s="18"/>
      <c r="F1321" s="18"/>
      <c r="G1321" s="20"/>
      <c r="H1321" s="18"/>
      <c r="I1321" s="21"/>
    </row>
    <row r="1322" ht="22.5" customHeight="1">
      <c r="A1322" s="20"/>
      <c r="B1322" s="60"/>
      <c r="C1322" s="14"/>
      <c r="D1322" s="17"/>
      <c r="E1322" s="18"/>
      <c r="F1322" s="18"/>
      <c r="G1322" s="20"/>
      <c r="H1322" s="18"/>
      <c r="I1322" s="21"/>
    </row>
    <row r="1323" ht="22.5" customHeight="1">
      <c r="A1323" s="20"/>
      <c r="B1323" s="60"/>
      <c r="C1323" s="14"/>
      <c r="D1323" s="17"/>
      <c r="E1323" s="18"/>
      <c r="F1323" s="18"/>
      <c r="G1323" s="20"/>
      <c r="H1323" s="18"/>
      <c r="I1323" s="21"/>
    </row>
    <row r="1324" ht="22.5" customHeight="1">
      <c r="A1324" s="20"/>
      <c r="B1324" s="60"/>
      <c r="C1324" s="14"/>
      <c r="D1324" s="17"/>
      <c r="E1324" s="18"/>
      <c r="F1324" s="18"/>
      <c r="G1324" s="20"/>
      <c r="H1324" s="18"/>
      <c r="I1324" s="21"/>
    </row>
    <row r="1325" ht="22.5" customHeight="1">
      <c r="A1325" s="20"/>
      <c r="B1325" s="60"/>
      <c r="C1325" s="14"/>
      <c r="D1325" s="17"/>
      <c r="E1325" s="18"/>
      <c r="F1325" s="18"/>
      <c r="G1325" s="20"/>
      <c r="H1325" s="18"/>
      <c r="I1325" s="21"/>
    </row>
    <row r="1326" ht="22.5" customHeight="1">
      <c r="A1326" s="20"/>
      <c r="B1326" s="60"/>
      <c r="C1326" s="14"/>
      <c r="D1326" s="17"/>
      <c r="E1326" s="18"/>
      <c r="F1326" s="18"/>
      <c r="G1326" s="20"/>
      <c r="H1326" s="18"/>
      <c r="I1326" s="21"/>
    </row>
    <row r="1327" ht="22.5" customHeight="1">
      <c r="A1327" s="20"/>
      <c r="B1327" s="60"/>
      <c r="C1327" s="14"/>
      <c r="D1327" s="17"/>
      <c r="E1327" s="18"/>
      <c r="F1327" s="18"/>
      <c r="G1327" s="20"/>
      <c r="H1327" s="18"/>
      <c r="I1327" s="21"/>
    </row>
    <row r="1328" ht="22.5" customHeight="1">
      <c r="A1328" s="20"/>
      <c r="B1328" s="60"/>
      <c r="C1328" s="14"/>
      <c r="D1328" s="17"/>
      <c r="E1328" s="18"/>
      <c r="F1328" s="18"/>
      <c r="G1328" s="20"/>
      <c r="H1328" s="18"/>
      <c r="I1328" s="21"/>
    </row>
    <row r="1329" ht="22.5" customHeight="1">
      <c r="A1329" s="20"/>
      <c r="B1329" s="60"/>
      <c r="C1329" s="14"/>
      <c r="D1329" s="17"/>
      <c r="E1329" s="18"/>
      <c r="F1329" s="18"/>
      <c r="G1329" s="20"/>
      <c r="H1329" s="18"/>
      <c r="I1329" s="21"/>
    </row>
    <row r="1330" ht="22.5" customHeight="1">
      <c r="A1330" s="20"/>
      <c r="B1330" s="60"/>
      <c r="C1330" s="14"/>
      <c r="D1330" s="17"/>
      <c r="E1330" s="18"/>
      <c r="F1330" s="18"/>
      <c r="G1330" s="20"/>
      <c r="H1330" s="18"/>
      <c r="I1330" s="21"/>
    </row>
    <row r="1331" ht="22.5" customHeight="1">
      <c r="A1331" s="20"/>
      <c r="B1331" s="60"/>
      <c r="C1331" s="14"/>
      <c r="D1331" s="17"/>
      <c r="E1331" s="18"/>
      <c r="F1331" s="18"/>
      <c r="G1331" s="20"/>
      <c r="H1331" s="18"/>
      <c r="I1331" s="21"/>
    </row>
    <row r="1332" ht="22.5" customHeight="1">
      <c r="A1332" s="20"/>
      <c r="B1332" s="60"/>
      <c r="C1332" s="14"/>
      <c r="D1332" s="17"/>
      <c r="E1332" s="18"/>
      <c r="F1332" s="18"/>
      <c r="G1332" s="20"/>
      <c r="H1332" s="18"/>
      <c r="I1332" s="21"/>
    </row>
    <row r="1333" ht="22.5" customHeight="1">
      <c r="A1333" s="20"/>
      <c r="B1333" s="60"/>
      <c r="C1333" s="14"/>
      <c r="D1333" s="17"/>
      <c r="E1333" s="18"/>
      <c r="F1333" s="18"/>
      <c r="G1333" s="20"/>
      <c r="H1333" s="18"/>
      <c r="I1333" s="21"/>
    </row>
    <row r="1334" ht="22.5" customHeight="1">
      <c r="A1334" s="20"/>
      <c r="B1334" s="60"/>
      <c r="C1334" s="14"/>
      <c r="D1334" s="17"/>
      <c r="E1334" s="18"/>
      <c r="F1334" s="18"/>
      <c r="G1334" s="20"/>
      <c r="H1334" s="18"/>
      <c r="I1334" s="21"/>
    </row>
    <row r="1335" ht="22.5" customHeight="1">
      <c r="A1335" s="20"/>
      <c r="B1335" s="60"/>
      <c r="C1335" s="14"/>
      <c r="D1335" s="17"/>
      <c r="E1335" s="18"/>
      <c r="F1335" s="18"/>
      <c r="G1335" s="20"/>
      <c r="H1335" s="18"/>
      <c r="I1335" s="21"/>
    </row>
    <row r="1336" ht="22.5" customHeight="1">
      <c r="A1336" s="20"/>
      <c r="B1336" s="60"/>
      <c r="C1336" s="14"/>
      <c r="D1336" s="17"/>
      <c r="E1336" s="18"/>
      <c r="F1336" s="18"/>
      <c r="G1336" s="20"/>
      <c r="H1336" s="18"/>
      <c r="I1336" s="21"/>
    </row>
    <row r="1337" ht="22.5" customHeight="1">
      <c r="A1337" s="20"/>
      <c r="B1337" s="60"/>
      <c r="C1337" s="14"/>
      <c r="D1337" s="17"/>
      <c r="E1337" s="18"/>
      <c r="F1337" s="18"/>
      <c r="G1337" s="20"/>
      <c r="H1337" s="18"/>
      <c r="I1337" s="21"/>
    </row>
    <row r="1338" ht="22.5" customHeight="1">
      <c r="A1338" s="20"/>
      <c r="B1338" s="60"/>
      <c r="C1338" s="14"/>
      <c r="D1338" s="17"/>
      <c r="E1338" s="18"/>
      <c r="F1338" s="18"/>
      <c r="G1338" s="20"/>
      <c r="H1338" s="18"/>
      <c r="I1338" s="21"/>
    </row>
    <row r="1339" ht="22.5" customHeight="1">
      <c r="A1339" s="20"/>
      <c r="B1339" s="60"/>
      <c r="C1339" s="14"/>
      <c r="D1339" s="17"/>
      <c r="E1339" s="18"/>
      <c r="F1339" s="18"/>
      <c r="G1339" s="20"/>
      <c r="H1339" s="18"/>
      <c r="I1339" s="21"/>
    </row>
    <row r="1340" ht="22.5" customHeight="1">
      <c r="A1340" s="20"/>
      <c r="B1340" s="60"/>
      <c r="C1340" s="14"/>
      <c r="D1340" s="17"/>
      <c r="E1340" s="18"/>
      <c r="F1340" s="18"/>
      <c r="G1340" s="20"/>
      <c r="H1340" s="18"/>
      <c r="I1340" s="21"/>
    </row>
    <row r="1341" ht="22.5" customHeight="1">
      <c r="A1341" s="20"/>
      <c r="B1341" s="60"/>
      <c r="C1341" s="14"/>
      <c r="D1341" s="17"/>
      <c r="E1341" s="18"/>
      <c r="F1341" s="18"/>
      <c r="G1341" s="20"/>
      <c r="H1341" s="18"/>
      <c r="I1341" s="21"/>
    </row>
    <row r="1342" ht="22.5" customHeight="1">
      <c r="A1342" s="20"/>
      <c r="B1342" s="60"/>
      <c r="C1342" s="14"/>
      <c r="D1342" s="17"/>
      <c r="E1342" s="18"/>
      <c r="F1342" s="18"/>
      <c r="G1342" s="20"/>
      <c r="H1342" s="18"/>
      <c r="I1342" s="21"/>
    </row>
    <row r="1343" ht="22.5" customHeight="1">
      <c r="A1343" s="20"/>
      <c r="B1343" s="60"/>
      <c r="C1343" s="14"/>
      <c r="D1343" s="17"/>
      <c r="E1343" s="18"/>
      <c r="F1343" s="18"/>
      <c r="G1343" s="20"/>
      <c r="H1343" s="18"/>
      <c r="I1343" s="21"/>
    </row>
    <row r="1344" ht="22.5" customHeight="1">
      <c r="A1344" s="20"/>
      <c r="B1344" s="60"/>
      <c r="C1344" s="14"/>
      <c r="D1344" s="17"/>
      <c r="E1344" s="18"/>
      <c r="F1344" s="18"/>
      <c r="G1344" s="20"/>
      <c r="H1344" s="18"/>
      <c r="I1344" s="21"/>
    </row>
    <row r="1345" ht="22.5" customHeight="1">
      <c r="A1345" s="20"/>
      <c r="B1345" s="60"/>
      <c r="C1345" s="14"/>
      <c r="D1345" s="17"/>
      <c r="E1345" s="18"/>
      <c r="F1345" s="18"/>
      <c r="G1345" s="20"/>
      <c r="H1345" s="18"/>
      <c r="I1345" s="21"/>
    </row>
    <row r="1346" ht="22.5" customHeight="1">
      <c r="A1346" s="20"/>
      <c r="B1346" s="60"/>
      <c r="C1346" s="14"/>
      <c r="D1346" s="17"/>
      <c r="E1346" s="18"/>
      <c r="F1346" s="18"/>
      <c r="G1346" s="20"/>
      <c r="H1346" s="18"/>
      <c r="I1346" s="21"/>
    </row>
    <row r="1347" ht="22.5" customHeight="1">
      <c r="A1347" s="20"/>
      <c r="B1347" s="60"/>
      <c r="C1347" s="14"/>
      <c r="D1347" s="17"/>
      <c r="E1347" s="18"/>
      <c r="F1347" s="18"/>
      <c r="G1347" s="20"/>
      <c r="H1347" s="18"/>
      <c r="I1347" s="21"/>
    </row>
    <row r="1348" ht="22.5" customHeight="1">
      <c r="A1348" s="20"/>
      <c r="B1348" s="60"/>
      <c r="C1348" s="14"/>
      <c r="D1348" s="17"/>
      <c r="E1348" s="18"/>
      <c r="F1348" s="18"/>
      <c r="G1348" s="20"/>
      <c r="H1348" s="18"/>
      <c r="I1348" s="21"/>
    </row>
    <row r="1349" ht="22.5" customHeight="1">
      <c r="A1349" s="20"/>
      <c r="B1349" s="60"/>
      <c r="C1349" s="14"/>
      <c r="D1349" s="17"/>
      <c r="E1349" s="18"/>
      <c r="F1349" s="18"/>
      <c r="G1349" s="20"/>
      <c r="H1349" s="18"/>
      <c r="I1349" s="21"/>
    </row>
    <row r="1350" ht="22.5" customHeight="1">
      <c r="A1350" s="20"/>
      <c r="B1350" s="60"/>
      <c r="C1350" s="14"/>
      <c r="D1350" s="17"/>
      <c r="E1350" s="18"/>
      <c r="F1350" s="18"/>
      <c r="G1350" s="20"/>
      <c r="H1350" s="18"/>
      <c r="I1350" s="21"/>
    </row>
    <row r="1351" ht="22.5" customHeight="1">
      <c r="A1351" s="20"/>
      <c r="B1351" s="60"/>
      <c r="C1351" s="14"/>
      <c r="D1351" s="17"/>
      <c r="E1351" s="18"/>
      <c r="F1351" s="18"/>
      <c r="G1351" s="20"/>
      <c r="H1351" s="18"/>
      <c r="I1351" s="21"/>
    </row>
    <row r="1352" ht="22.5" customHeight="1">
      <c r="A1352" s="20"/>
      <c r="B1352" s="60"/>
      <c r="C1352" s="14"/>
      <c r="D1352" s="17"/>
      <c r="E1352" s="18"/>
      <c r="F1352" s="18"/>
      <c r="G1352" s="20"/>
      <c r="H1352" s="18"/>
      <c r="I1352" s="21"/>
    </row>
    <row r="1353" ht="22.5" customHeight="1">
      <c r="A1353" s="20"/>
      <c r="B1353" s="60"/>
      <c r="C1353" s="14"/>
      <c r="D1353" s="17"/>
      <c r="E1353" s="18"/>
      <c r="F1353" s="18"/>
      <c r="G1353" s="20"/>
      <c r="H1353" s="18"/>
      <c r="I1353" s="21"/>
    </row>
    <row r="1354" ht="22.5" customHeight="1">
      <c r="A1354" s="20"/>
      <c r="B1354" s="60"/>
      <c r="C1354" s="14"/>
      <c r="D1354" s="17"/>
      <c r="E1354" s="18"/>
      <c r="F1354" s="18"/>
      <c r="G1354" s="20"/>
      <c r="H1354" s="18"/>
      <c r="I1354" s="21"/>
    </row>
    <row r="1355" ht="22.5" customHeight="1">
      <c r="A1355" s="20"/>
      <c r="B1355" s="60"/>
      <c r="C1355" s="14"/>
      <c r="D1355" s="17"/>
      <c r="E1355" s="18"/>
      <c r="F1355" s="18"/>
      <c r="G1355" s="20"/>
      <c r="H1355" s="18"/>
      <c r="I1355" s="21"/>
    </row>
    <row r="1356" ht="22.5" customHeight="1">
      <c r="A1356" s="20"/>
      <c r="B1356" s="60"/>
      <c r="C1356" s="14"/>
      <c r="D1356" s="17"/>
      <c r="E1356" s="18"/>
      <c r="F1356" s="18"/>
      <c r="G1356" s="20"/>
      <c r="H1356" s="18"/>
      <c r="I1356" s="21"/>
    </row>
    <row r="1357" ht="22.5" customHeight="1">
      <c r="A1357" s="20"/>
      <c r="B1357" s="60"/>
      <c r="C1357" s="14"/>
      <c r="D1357" s="17"/>
      <c r="E1357" s="18"/>
      <c r="F1357" s="18"/>
      <c r="G1357" s="20"/>
      <c r="H1357" s="18"/>
      <c r="I1357" s="21"/>
    </row>
    <row r="1358" ht="22.5" customHeight="1">
      <c r="A1358" s="20"/>
      <c r="B1358" s="60"/>
      <c r="C1358" s="14"/>
      <c r="D1358" s="17"/>
      <c r="E1358" s="18"/>
      <c r="F1358" s="18"/>
      <c r="G1358" s="20"/>
      <c r="H1358" s="18"/>
      <c r="I1358" s="21"/>
    </row>
    <row r="1359" ht="22.5" customHeight="1">
      <c r="A1359" s="20"/>
      <c r="B1359" s="60"/>
      <c r="C1359" s="14"/>
      <c r="D1359" s="17"/>
      <c r="E1359" s="18"/>
      <c r="F1359" s="18"/>
      <c r="G1359" s="20"/>
      <c r="H1359" s="18"/>
      <c r="I1359" s="21"/>
    </row>
    <row r="1360" ht="22.5" customHeight="1">
      <c r="A1360" s="20"/>
      <c r="B1360" s="60"/>
      <c r="C1360" s="14"/>
      <c r="D1360" s="17"/>
      <c r="E1360" s="18"/>
      <c r="F1360" s="18"/>
      <c r="G1360" s="20"/>
      <c r="H1360" s="18"/>
      <c r="I1360" s="21"/>
    </row>
    <row r="1361" ht="22.5" customHeight="1">
      <c r="A1361" s="20"/>
      <c r="B1361" s="60"/>
      <c r="C1361" s="14"/>
      <c r="D1361" s="17"/>
      <c r="E1361" s="18"/>
      <c r="F1361" s="18"/>
      <c r="G1361" s="20"/>
      <c r="H1361" s="18"/>
      <c r="I1361" s="21"/>
    </row>
    <row r="1362" ht="22.5" customHeight="1">
      <c r="A1362" s="20"/>
      <c r="B1362" s="60"/>
      <c r="C1362" s="14"/>
      <c r="D1362" s="17"/>
      <c r="E1362" s="18"/>
      <c r="F1362" s="18"/>
      <c r="G1362" s="20"/>
      <c r="H1362" s="18"/>
      <c r="I1362" s="21"/>
    </row>
    <row r="1363" ht="22.5" customHeight="1">
      <c r="A1363" s="20"/>
      <c r="B1363" s="60"/>
      <c r="C1363" s="14"/>
      <c r="D1363" s="17"/>
      <c r="E1363" s="18"/>
      <c r="F1363" s="18"/>
      <c r="G1363" s="20"/>
      <c r="H1363" s="18"/>
      <c r="I1363" s="21"/>
    </row>
    <row r="1364" ht="22.5" customHeight="1">
      <c r="A1364" s="20"/>
      <c r="B1364" s="60"/>
      <c r="C1364" s="14"/>
      <c r="D1364" s="17"/>
      <c r="E1364" s="18"/>
      <c r="F1364" s="18"/>
      <c r="G1364" s="20"/>
      <c r="H1364" s="18"/>
      <c r="I1364" s="21"/>
    </row>
    <row r="1365" ht="22.5" customHeight="1">
      <c r="A1365" s="20"/>
      <c r="B1365" s="60"/>
      <c r="C1365" s="14"/>
      <c r="D1365" s="17"/>
      <c r="E1365" s="18"/>
      <c r="F1365" s="18"/>
      <c r="G1365" s="20"/>
      <c r="H1365" s="18"/>
      <c r="I1365" s="21"/>
    </row>
    <row r="1366" ht="22.5" customHeight="1">
      <c r="A1366" s="20"/>
      <c r="B1366" s="60"/>
      <c r="C1366" s="14"/>
      <c r="D1366" s="17"/>
      <c r="E1366" s="18"/>
      <c r="F1366" s="18"/>
      <c r="G1366" s="20"/>
      <c r="H1366" s="18"/>
      <c r="I1366" s="21"/>
    </row>
    <row r="1367" ht="22.5" customHeight="1">
      <c r="A1367" s="20"/>
      <c r="B1367" s="60"/>
      <c r="C1367" s="14"/>
      <c r="D1367" s="17"/>
      <c r="E1367" s="18"/>
      <c r="F1367" s="18"/>
      <c r="G1367" s="20"/>
      <c r="H1367" s="18"/>
      <c r="I1367" s="21"/>
    </row>
    <row r="1368" ht="22.5" customHeight="1">
      <c r="A1368" s="20"/>
      <c r="B1368" s="60"/>
      <c r="C1368" s="14"/>
      <c r="D1368" s="17"/>
      <c r="E1368" s="18"/>
      <c r="F1368" s="18"/>
      <c r="G1368" s="20"/>
      <c r="H1368" s="18"/>
      <c r="I1368" s="21"/>
    </row>
    <row r="1369" ht="22.5" customHeight="1">
      <c r="A1369" s="20"/>
      <c r="B1369" s="60"/>
      <c r="C1369" s="14"/>
      <c r="D1369" s="17"/>
      <c r="E1369" s="18"/>
      <c r="F1369" s="18"/>
      <c r="G1369" s="20"/>
      <c r="H1369" s="18"/>
      <c r="I1369" s="21"/>
    </row>
    <row r="1370" ht="22.5" customHeight="1">
      <c r="A1370" s="20"/>
      <c r="B1370" s="60"/>
      <c r="C1370" s="14"/>
      <c r="D1370" s="17"/>
      <c r="E1370" s="18"/>
      <c r="F1370" s="18"/>
      <c r="G1370" s="20"/>
      <c r="H1370" s="18"/>
      <c r="I1370" s="21"/>
    </row>
    <row r="1371" ht="22.5" customHeight="1">
      <c r="A1371" s="20"/>
      <c r="B1371" s="60"/>
      <c r="C1371" s="14"/>
      <c r="D1371" s="17"/>
      <c r="E1371" s="18"/>
      <c r="F1371" s="18"/>
      <c r="G1371" s="20"/>
      <c r="H1371" s="18"/>
      <c r="I1371" s="21"/>
    </row>
    <row r="1372" ht="22.5" customHeight="1">
      <c r="A1372" s="20"/>
      <c r="B1372" s="60"/>
      <c r="C1372" s="14"/>
      <c r="D1372" s="17"/>
      <c r="E1372" s="18"/>
      <c r="F1372" s="18"/>
      <c r="G1372" s="20"/>
      <c r="H1372" s="18"/>
      <c r="I1372" s="21"/>
    </row>
    <row r="1373" ht="22.5" customHeight="1">
      <c r="A1373" s="20"/>
      <c r="B1373" s="60"/>
      <c r="C1373" s="14"/>
      <c r="D1373" s="17"/>
      <c r="E1373" s="18"/>
      <c r="F1373" s="18"/>
      <c r="G1373" s="20"/>
      <c r="H1373" s="18"/>
      <c r="I1373" s="21"/>
    </row>
    <row r="1374" ht="22.5" customHeight="1">
      <c r="A1374" s="20"/>
      <c r="B1374" s="60"/>
      <c r="C1374" s="14"/>
      <c r="D1374" s="17"/>
      <c r="E1374" s="18"/>
      <c r="F1374" s="18"/>
      <c r="G1374" s="20"/>
      <c r="H1374" s="18"/>
      <c r="I1374" s="21"/>
    </row>
    <row r="1375" ht="22.5" customHeight="1">
      <c r="A1375" s="20"/>
      <c r="B1375" s="60"/>
      <c r="C1375" s="14"/>
      <c r="D1375" s="17"/>
      <c r="E1375" s="18"/>
      <c r="F1375" s="18"/>
      <c r="G1375" s="20"/>
      <c r="H1375" s="18"/>
      <c r="I1375" s="21"/>
    </row>
    <row r="1376" ht="22.5" customHeight="1">
      <c r="A1376" s="20"/>
      <c r="B1376" s="60"/>
      <c r="C1376" s="14"/>
      <c r="D1376" s="17"/>
      <c r="E1376" s="18"/>
      <c r="F1376" s="18"/>
      <c r="G1376" s="20"/>
      <c r="H1376" s="18"/>
      <c r="I1376" s="21"/>
    </row>
    <row r="1377" ht="22.5" customHeight="1">
      <c r="A1377" s="20"/>
      <c r="B1377" s="60"/>
      <c r="C1377" s="14"/>
      <c r="D1377" s="17"/>
      <c r="E1377" s="18"/>
      <c r="F1377" s="18"/>
      <c r="G1377" s="20"/>
      <c r="H1377" s="18"/>
      <c r="I1377" s="21"/>
    </row>
    <row r="1378" ht="22.5" customHeight="1">
      <c r="A1378" s="20"/>
      <c r="B1378" s="60"/>
      <c r="C1378" s="14"/>
      <c r="D1378" s="17"/>
      <c r="E1378" s="18"/>
      <c r="F1378" s="18"/>
      <c r="G1378" s="20"/>
      <c r="H1378" s="18"/>
      <c r="I1378" s="21"/>
    </row>
    <row r="1379" ht="22.5" customHeight="1">
      <c r="A1379" s="20"/>
      <c r="B1379" s="60"/>
      <c r="C1379" s="14"/>
      <c r="D1379" s="17"/>
      <c r="E1379" s="18"/>
      <c r="F1379" s="18"/>
      <c r="G1379" s="20"/>
      <c r="H1379" s="18"/>
      <c r="I1379" s="21"/>
    </row>
    <row r="1380" ht="22.5" customHeight="1">
      <c r="A1380" s="20"/>
      <c r="B1380" s="60"/>
      <c r="C1380" s="14"/>
      <c r="D1380" s="17"/>
      <c r="E1380" s="18"/>
      <c r="F1380" s="18"/>
      <c r="G1380" s="20"/>
      <c r="H1380" s="18"/>
      <c r="I1380" s="21"/>
    </row>
    <row r="1381" ht="22.5" customHeight="1">
      <c r="A1381" s="20"/>
      <c r="B1381" s="60"/>
      <c r="C1381" s="14"/>
      <c r="D1381" s="17"/>
      <c r="E1381" s="18"/>
      <c r="F1381" s="18"/>
      <c r="G1381" s="20"/>
      <c r="H1381" s="18"/>
      <c r="I1381" s="21"/>
    </row>
    <row r="1382" ht="22.5" customHeight="1">
      <c r="A1382" s="20"/>
      <c r="B1382" s="60"/>
      <c r="C1382" s="14"/>
      <c r="D1382" s="17"/>
      <c r="E1382" s="18"/>
      <c r="F1382" s="18"/>
      <c r="G1382" s="20"/>
      <c r="H1382" s="18"/>
      <c r="I1382" s="21"/>
    </row>
    <row r="1383" ht="22.5" customHeight="1">
      <c r="A1383" s="20"/>
      <c r="B1383" s="60"/>
      <c r="C1383" s="14"/>
      <c r="D1383" s="17"/>
      <c r="E1383" s="18"/>
      <c r="F1383" s="18"/>
      <c r="G1383" s="20"/>
      <c r="H1383" s="18"/>
      <c r="I1383" s="21"/>
    </row>
    <row r="1384" ht="22.5" customHeight="1">
      <c r="A1384" s="20"/>
      <c r="B1384" s="60"/>
      <c r="C1384" s="14"/>
      <c r="D1384" s="17"/>
      <c r="E1384" s="18"/>
      <c r="F1384" s="18"/>
      <c r="G1384" s="20"/>
      <c r="H1384" s="18"/>
      <c r="I1384" s="21"/>
    </row>
    <row r="1385" ht="22.5" customHeight="1">
      <c r="A1385" s="20"/>
      <c r="B1385" s="60"/>
      <c r="C1385" s="14"/>
      <c r="D1385" s="17"/>
      <c r="E1385" s="18"/>
      <c r="F1385" s="18"/>
      <c r="G1385" s="20"/>
      <c r="H1385" s="18"/>
      <c r="I1385" s="21"/>
    </row>
    <row r="1386" ht="22.5" customHeight="1">
      <c r="A1386" s="20"/>
      <c r="B1386" s="60"/>
      <c r="C1386" s="14"/>
      <c r="D1386" s="17"/>
      <c r="E1386" s="18"/>
      <c r="F1386" s="18"/>
      <c r="G1386" s="20"/>
      <c r="H1386" s="18"/>
      <c r="I1386" s="21"/>
    </row>
    <row r="1387" ht="22.5" customHeight="1">
      <c r="A1387" s="20"/>
      <c r="B1387" s="60"/>
      <c r="C1387" s="14"/>
      <c r="D1387" s="17"/>
      <c r="E1387" s="18"/>
      <c r="F1387" s="18"/>
      <c r="G1387" s="20"/>
      <c r="H1387" s="18"/>
      <c r="I1387" s="21"/>
    </row>
    <row r="1388" ht="22.5" customHeight="1">
      <c r="A1388" s="20"/>
      <c r="B1388" s="60"/>
      <c r="C1388" s="14"/>
      <c r="D1388" s="17"/>
      <c r="E1388" s="18"/>
      <c r="F1388" s="18"/>
      <c r="G1388" s="20"/>
      <c r="H1388" s="18"/>
      <c r="I1388" s="21"/>
    </row>
    <row r="1389" ht="22.5" customHeight="1">
      <c r="A1389" s="20"/>
      <c r="B1389" s="60"/>
      <c r="C1389" s="14"/>
      <c r="D1389" s="17"/>
      <c r="E1389" s="18"/>
      <c r="F1389" s="18"/>
      <c r="G1389" s="20"/>
      <c r="H1389" s="18"/>
      <c r="I1389" s="21"/>
    </row>
    <row r="1390" ht="22.5" customHeight="1">
      <c r="A1390" s="20"/>
      <c r="B1390" s="60"/>
      <c r="C1390" s="14"/>
      <c r="D1390" s="17"/>
      <c r="E1390" s="18"/>
      <c r="F1390" s="18"/>
      <c r="G1390" s="20"/>
      <c r="H1390" s="18"/>
      <c r="I1390" s="21"/>
    </row>
    <row r="1391" ht="22.5" customHeight="1">
      <c r="A1391" s="20"/>
      <c r="B1391" s="60"/>
      <c r="C1391" s="14"/>
      <c r="D1391" s="17"/>
      <c r="E1391" s="18"/>
      <c r="F1391" s="18"/>
      <c r="G1391" s="20"/>
      <c r="H1391" s="18"/>
      <c r="I1391" s="21"/>
    </row>
    <row r="1392" ht="22.5" customHeight="1">
      <c r="A1392" s="20"/>
      <c r="B1392" s="60"/>
      <c r="C1392" s="14"/>
      <c r="D1392" s="17"/>
      <c r="E1392" s="18"/>
      <c r="F1392" s="18"/>
      <c r="G1392" s="20"/>
      <c r="H1392" s="18"/>
      <c r="I1392" s="21"/>
    </row>
    <row r="1393" ht="22.5" customHeight="1">
      <c r="A1393" s="20"/>
      <c r="B1393" s="60"/>
      <c r="C1393" s="14"/>
      <c r="D1393" s="17"/>
      <c r="E1393" s="18"/>
      <c r="F1393" s="18"/>
      <c r="G1393" s="20"/>
      <c r="H1393" s="18"/>
      <c r="I1393" s="21"/>
    </row>
    <row r="1394" ht="22.5" customHeight="1">
      <c r="A1394" s="20"/>
      <c r="B1394" s="60"/>
      <c r="C1394" s="14"/>
      <c r="D1394" s="17"/>
      <c r="E1394" s="18"/>
      <c r="F1394" s="18"/>
      <c r="G1394" s="20"/>
      <c r="H1394" s="18"/>
      <c r="I1394" s="21"/>
    </row>
    <row r="1395" ht="22.5" customHeight="1">
      <c r="A1395" s="20"/>
      <c r="B1395" s="60"/>
      <c r="C1395" s="14"/>
      <c r="D1395" s="17"/>
      <c r="E1395" s="18"/>
      <c r="F1395" s="18"/>
      <c r="G1395" s="20"/>
      <c r="H1395" s="18"/>
      <c r="I1395" s="21"/>
    </row>
    <row r="1396" ht="22.5" customHeight="1">
      <c r="A1396" s="20"/>
      <c r="B1396" s="60"/>
      <c r="C1396" s="14"/>
      <c r="D1396" s="17"/>
      <c r="E1396" s="18"/>
      <c r="F1396" s="18"/>
      <c r="G1396" s="20"/>
      <c r="H1396" s="18"/>
      <c r="I1396" s="21"/>
    </row>
    <row r="1397" ht="22.5" customHeight="1">
      <c r="A1397" s="20"/>
      <c r="B1397" s="60"/>
      <c r="C1397" s="14"/>
      <c r="D1397" s="17"/>
      <c r="E1397" s="18"/>
      <c r="F1397" s="18"/>
      <c r="G1397" s="20"/>
      <c r="H1397" s="18"/>
      <c r="I1397" s="21"/>
    </row>
    <row r="1398" ht="22.5" customHeight="1">
      <c r="A1398" s="20"/>
      <c r="B1398" s="60"/>
      <c r="C1398" s="14"/>
      <c r="D1398" s="17"/>
      <c r="E1398" s="18"/>
      <c r="F1398" s="18"/>
      <c r="G1398" s="20"/>
      <c r="H1398" s="18"/>
      <c r="I1398" s="21"/>
    </row>
    <row r="1399" ht="22.5" customHeight="1">
      <c r="A1399" s="20"/>
      <c r="B1399" s="60"/>
      <c r="C1399" s="14"/>
      <c r="D1399" s="17"/>
      <c r="E1399" s="18"/>
      <c r="F1399" s="18"/>
      <c r="G1399" s="20"/>
      <c r="H1399" s="18"/>
      <c r="I1399" s="21"/>
    </row>
    <row r="1400" ht="22.5" customHeight="1">
      <c r="A1400" s="20"/>
      <c r="B1400" s="60"/>
      <c r="C1400" s="14"/>
      <c r="D1400" s="17"/>
      <c r="E1400" s="18"/>
      <c r="F1400" s="18"/>
      <c r="G1400" s="20"/>
      <c r="H1400" s="18"/>
      <c r="I1400" s="21"/>
    </row>
    <row r="1401" ht="22.5" customHeight="1">
      <c r="A1401" s="20"/>
      <c r="B1401" s="60"/>
      <c r="C1401" s="14"/>
      <c r="D1401" s="17"/>
      <c r="E1401" s="18"/>
      <c r="F1401" s="18"/>
      <c r="G1401" s="20"/>
      <c r="H1401" s="18"/>
      <c r="I1401" s="21"/>
    </row>
    <row r="1402" ht="22.5" customHeight="1">
      <c r="A1402" s="20"/>
      <c r="B1402" s="60"/>
      <c r="C1402" s="14"/>
      <c r="D1402" s="17"/>
      <c r="E1402" s="18"/>
      <c r="F1402" s="18"/>
      <c r="G1402" s="20"/>
      <c r="H1402" s="18"/>
      <c r="I1402" s="21"/>
    </row>
    <row r="1403" ht="22.5" customHeight="1">
      <c r="A1403" s="20"/>
      <c r="B1403" s="60"/>
      <c r="C1403" s="14"/>
      <c r="D1403" s="17"/>
      <c r="E1403" s="18"/>
      <c r="F1403" s="18"/>
      <c r="G1403" s="20"/>
      <c r="H1403" s="18"/>
      <c r="I1403" s="21"/>
    </row>
    <row r="1404" ht="22.5" customHeight="1">
      <c r="A1404" s="20"/>
      <c r="B1404" s="60"/>
      <c r="C1404" s="14"/>
      <c r="D1404" s="17"/>
      <c r="E1404" s="18"/>
      <c r="F1404" s="18"/>
      <c r="G1404" s="20"/>
      <c r="H1404" s="18"/>
      <c r="I1404" s="21"/>
    </row>
    <row r="1405" ht="22.5" customHeight="1">
      <c r="A1405" s="20"/>
      <c r="B1405" s="60"/>
      <c r="C1405" s="14"/>
      <c r="D1405" s="17"/>
      <c r="E1405" s="18"/>
      <c r="F1405" s="18"/>
      <c r="G1405" s="20"/>
      <c r="H1405" s="18"/>
      <c r="I1405" s="21"/>
    </row>
    <row r="1406" ht="22.5" customHeight="1">
      <c r="A1406" s="20"/>
      <c r="B1406" s="60"/>
      <c r="C1406" s="14"/>
      <c r="D1406" s="17"/>
      <c r="E1406" s="18"/>
      <c r="F1406" s="18"/>
      <c r="G1406" s="20"/>
      <c r="H1406" s="18"/>
      <c r="I1406" s="21"/>
    </row>
    <row r="1407" ht="22.5" customHeight="1">
      <c r="A1407" s="20"/>
      <c r="B1407" s="60"/>
      <c r="C1407" s="14"/>
      <c r="D1407" s="17"/>
      <c r="E1407" s="18"/>
      <c r="F1407" s="18"/>
      <c r="G1407" s="20"/>
      <c r="H1407" s="18"/>
      <c r="I1407" s="21"/>
    </row>
    <row r="1408" ht="22.5" customHeight="1">
      <c r="A1408" s="20"/>
      <c r="B1408" s="60"/>
      <c r="C1408" s="14"/>
      <c r="D1408" s="17"/>
      <c r="E1408" s="18"/>
      <c r="F1408" s="18"/>
      <c r="G1408" s="20"/>
      <c r="H1408" s="18"/>
      <c r="I1408" s="21"/>
    </row>
    <row r="1409" ht="22.5" customHeight="1">
      <c r="A1409" s="20"/>
      <c r="B1409" s="60"/>
      <c r="C1409" s="14"/>
      <c r="D1409" s="17"/>
      <c r="E1409" s="18"/>
      <c r="F1409" s="18"/>
      <c r="G1409" s="20"/>
      <c r="H1409" s="18"/>
      <c r="I1409" s="21"/>
    </row>
    <row r="1410" ht="22.5" customHeight="1">
      <c r="A1410" s="20"/>
      <c r="B1410" s="60"/>
      <c r="C1410" s="14"/>
      <c r="D1410" s="17"/>
      <c r="E1410" s="18"/>
      <c r="F1410" s="18"/>
      <c r="G1410" s="20"/>
      <c r="H1410" s="18"/>
      <c r="I1410" s="21"/>
    </row>
    <row r="1411" ht="22.5" customHeight="1">
      <c r="A1411" s="20"/>
      <c r="B1411" s="60"/>
      <c r="C1411" s="14"/>
      <c r="D1411" s="17"/>
      <c r="E1411" s="18"/>
      <c r="F1411" s="18"/>
      <c r="G1411" s="20"/>
      <c r="H1411" s="18"/>
      <c r="I1411" s="21"/>
    </row>
    <row r="1412" ht="22.5" customHeight="1">
      <c r="A1412" s="20"/>
      <c r="B1412" s="60"/>
      <c r="C1412" s="14"/>
      <c r="D1412" s="17"/>
      <c r="E1412" s="18"/>
      <c r="F1412" s="18"/>
      <c r="G1412" s="20"/>
      <c r="H1412" s="18"/>
      <c r="I1412" s="21"/>
    </row>
    <row r="1413" ht="22.5" customHeight="1">
      <c r="A1413" s="20"/>
      <c r="B1413" s="60"/>
      <c r="C1413" s="14"/>
      <c r="D1413" s="17"/>
      <c r="E1413" s="18"/>
      <c r="F1413" s="18"/>
      <c r="G1413" s="20"/>
      <c r="H1413" s="18"/>
      <c r="I1413" s="21"/>
    </row>
    <row r="1414" ht="22.5" customHeight="1">
      <c r="A1414" s="20"/>
      <c r="B1414" s="60"/>
      <c r="C1414" s="14"/>
      <c r="D1414" s="17"/>
      <c r="E1414" s="18"/>
      <c r="F1414" s="18"/>
      <c r="G1414" s="20"/>
      <c r="H1414" s="18"/>
      <c r="I1414" s="21"/>
    </row>
    <row r="1415" ht="22.5" customHeight="1">
      <c r="A1415" s="20"/>
      <c r="B1415" s="60"/>
      <c r="C1415" s="14"/>
      <c r="D1415" s="17"/>
      <c r="E1415" s="18"/>
      <c r="F1415" s="18"/>
      <c r="G1415" s="20"/>
      <c r="H1415" s="18"/>
      <c r="I1415" s="21"/>
    </row>
    <row r="1416" ht="22.5" customHeight="1">
      <c r="A1416" s="20"/>
      <c r="B1416" s="60"/>
      <c r="C1416" s="14"/>
      <c r="D1416" s="17"/>
      <c r="E1416" s="18"/>
      <c r="F1416" s="18"/>
      <c r="G1416" s="20"/>
      <c r="H1416" s="18"/>
      <c r="I1416" s="21"/>
    </row>
    <row r="1417" ht="22.5" customHeight="1">
      <c r="A1417" s="20"/>
      <c r="B1417" s="60"/>
      <c r="C1417" s="14"/>
      <c r="D1417" s="17"/>
      <c r="E1417" s="18"/>
      <c r="F1417" s="18"/>
      <c r="G1417" s="20"/>
      <c r="H1417" s="18"/>
      <c r="I1417" s="21"/>
    </row>
    <row r="1418" ht="22.5" customHeight="1">
      <c r="A1418" s="20"/>
      <c r="B1418" s="60"/>
      <c r="C1418" s="14"/>
      <c r="D1418" s="17"/>
      <c r="E1418" s="18"/>
      <c r="F1418" s="18"/>
      <c r="G1418" s="20"/>
      <c r="H1418" s="18"/>
      <c r="I1418" s="21"/>
    </row>
    <row r="1419" ht="22.5" customHeight="1">
      <c r="A1419" s="20"/>
      <c r="B1419" s="60"/>
      <c r="C1419" s="14"/>
      <c r="D1419" s="17"/>
      <c r="E1419" s="18"/>
      <c r="F1419" s="18"/>
      <c r="G1419" s="20"/>
      <c r="H1419" s="18"/>
      <c r="I1419" s="21"/>
    </row>
    <row r="1420" ht="22.5" customHeight="1">
      <c r="A1420" s="20"/>
      <c r="B1420" s="60"/>
      <c r="C1420" s="14"/>
      <c r="D1420" s="17"/>
      <c r="E1420" s="18"/>
      <c r="F1420" s="18"/>
      <c r="G1420" s="20"/>
      <c r="H1420" s="18"/>
      <c r="I1420" s="21"/>
    </row>
    <row r="1421" ht="22.5" customHeight="1">
      <c r="A1421" s="20"/>
      <c r="B1421" s="60"/>
      <c r="C1421" s="14"/>
      <c r="D1421" s="17"/>
      <c r="E1421" s="18"/>
      <c r="F1421" s="18"/>
      <c r="G1421" s="20"/>
      <c r="H1421" s="18"/>
      <c r="I1421" s="21"/>
    </row>
    <row r="1422" ht="22.5" customHeight="1">
      <c r="A1422" s="20"/>
      <c r="B1422" s="60"/>
      <c r="C1422" s="14"/>
      <c r="D1422" s="17"/>
      <c r="E1422" s="18"/>
      <c r="F1422" s="18"/>
      <c r="G1422" s="20"/>
      <c r="H1422" s="18"/>
      <c r="I1422" s="21"/>
    </row>
    <row r="1423" ht="22.5" customHeight="1">
      <c r="A1423" s="20"/>
      <c r="B1423" s="60"/>
      <c r="C1423" s="14"/>
      <c r="D1423" s="17"/>
      <c r="E1423" s="18"/>
      <c r="F1423" s="18"/>
      <c r="G1423" s="20"/>
      <c r="H1423" s="18"/>
      <c r="I1423" s="21"/>
    </row>
    <row r="1424" ht="22.5" customHeight="1">
      <c r="A1424" s="20"/>
      <c r="B1424" s="60"/>
      <c r="C1424" s="14"/>
      <c r="D1424" s="17"/>
      <c r="E1424" s="18"/>
      <c r="F1424" s="18"/>
      <c r="G1424" s="20"/>
      <c r="H1424" s="18"/>
      <c r="I1424" s="21"/>
    </row>
    <row r="1425" ht="22.5" customHeight="1">
      <c r="A1425" s="20"/>
      <c r="B1425" s="60"/>
      <c r="C1425" s="14"/>
      <c r="D1425" s="17"/>
      <c r="E1425" s="18"/>
      <c r="F1425" s="18"/>
      <c r="G1425" s="20"/>
      <c r="H1425" s="18"/>
      <c r="I1425" s="21"/>
    </row>
    <row r="1426" ht="22.5" customHeight="1">
      <c r="A1426" s="20"/>
      <c r="B1426" s="60"/>
      <c r="C1426" s="14"/>
      <c r="D1426" s="17"/>
      <c r="E1426" s="18"/>
      <c r="F1426" s="18"/>
      <c r="G1426" s="20"/>
      <c r="H1426" s="18"/>
      <c r="I1426" s="21"/>
    </row>
    <row r="1427" ht="22.5" customHeight="1">
      <c r="A1427" s="20"/>
      <c r="B1427" s="60"/>
      <c r="C1427" s="14"/>
      <c r="D1427" s="17"/>
      <c r="E1427" s="18"/>
      <c r="F1427" s="18"/>
      <c r="G1427" s="20"/>
      <c r="H1427" s="18"/>
      <c r="I1427" s="21"/>
    </row>
    <row r="1428" ht="22.5" customHeight="1">
      <c r="A1428" s="20"/>
      <c r="B1428" s="60"/>
      <c r="C1428" s="14"/>
      <c r="D1428" s="17"/>
      <c r="E1428" s="18"/>
      <c r="F1428" s="18"/>
      <c r="G1428" s="20"/>
      <c r="H1428" s="18"/>
      <c r="I1428" s="21"/>
    </row>
    <row r="1429" ht="22.5" customHeight="1">
      <c r="A1429" s="20"/>
      <c r="B1429" s="60"/>
      <c r="C1429" s="14"/>
      <c r="D1429" s="17"/>
      <c r="E1429" s="18"/>
      <c r="F1429" s="18"/>
      <c r="G1429" s="20"/>
      <c r="H1429" s="18"/>
      <c r="I1429" s="21"/>
    </row>
    <row r="1430" ht="22.5" customHeight="1">
      <c r="A1430" s="20"/>
      <c r="B1430" s="60"/>
      <c r="C1430" s="14"/>
      <c r="D1430" s="17"/>
      <c r="E1430" s="18"/>
      <c r="F1430" s="18"/>
      <c r="G1430" s="20"/>
      <c r="H1430" s="18"/>
      <c r="I1430" s="21"/>
    </row>
    <row r="1431" ht="22.5" customHeight="1">
      <c r="A1431" s="20"/>
      <c r="B1431" s="60"/>
      <c r="C1431" s="14"/>
      <c r="D1431" s="17"/>
      <c r="E1431" s="18"/>
      <c r="F1431" s="18"/>
      <c r="G1431" s="20"/>
      <c r="H1431" s="18"/>
      <c r="I1431" s="21"/>
    </row>
    <row r="1432" ht="22.5" customHeight="1">
      <c r="A1432" s="20"/>
      <c r="B1432" s="60"/>
      <c r="C1432" s="14"/>
      <c r="D1432" s="17"/>
      <c r="E1432" s="18"/>
      <c r="F1432" s="18"/>
      <c r="G1432" s="20"/>
      <c r="H1432" s="18"/>
      <c r="I1432" s="21"/>
    </row>
    <row r="1433" ht="22.5" customHeight="1">
      <c r="A1433" s="20"/>
      <c r="B1433" s="60"/>
      <c r="C1433" s="14"/>
      <c r="D1433" s="17"/>
      <c r="E1433" s="18"/>
      <c r="F1433" s="18"/>
      <c r="G1433" s="20"/>
      <c r="H1433" s="18"/>
      <c r="I1433" s="21"/>
    </row>
    <row r="1434" ht="22.5" customHeight="1">
      <c r="A1434" s="20"/>
      <c r="B1434" s="60"/>
      <c r="C1434" s="14"/>
      <c r="D1434" s="17"/>
      <c r="E1434" s="18"/>
      <c r="F1434" s="18"/>
      <c r="G1434" s="20"/>
      <c r="H1434" s="18"/>
      <c r="I1434" s="21"/>
    </row>
    <row r="1435" ht="22.5" customHeight="1">
      <c r="A1435" s="20"/>
      <c r="B1435" s="60"/>
      <c r="C1435" s="14"/>
      <c r="D1435" s="17"/>
      <c r="E1435" s="18"/>
      <c r="F1435" s="18"/>
      <c r="G1435" s="20"/>
      <c r="H1435" s="18"/>
      <c r="I1435" s="21"/>
    </row>
    <row r="1436" ht="22.5" customHeight="1">
      <c r="A1436" s="20"/>
      <c r="B1436" s="60"/>
      <c r="C1436" s="14"/>
      <c r="D1436" s="17"/>
      <c r="E1436" s="18"/>
      <c r="F1436" s="18"/>
      <c r="G1436" s="20"/>
      <c r="H1436" s="18"/>
      <c r="I1436" s="21"/>
    </row>
    <row r="1437" ht="22.5" customHeight="1">
      <c r="A1437" s="20"/>
      <c r="B1437" s="60"/>
      <c r="C1437" s="14"/>
      <c r="D1437" s="17"/>
      <c r="E1437" s="18"/>
      <c r="F1437" s="18"/>
      <c r="G1437" s="20"/>
      <c r="H1437" s="18"/>
      <c r="I1437" s="21"/>
    </row>
    <row r="1438" ht="22.5" customHeight="1">
      <c r="A1438" s="20"/>
      <c r="B1438" s="60"/>
      <c r="C1438" s="14"/>
      <c r="D1438" s="17"/>
      <c r="E1438" s="18"/>
      <c r="F1438" s="18"/>
      <c r="G1438" s="20"/>
      <c r="H1438" s="18"/>
      <c r="I1438" s="21"/>
    </row>
    <row r="1439" ht="22.5" customHeight="1">
      <c r="A1439" s="20"/>
      <c r="B1439" s="60"/>
      <c r="C1439" s="14"/>
      <c r="D1439" s="17"/>
      <c r="E1439" s="18"/>
      <c r="F1439" s="18"/>
      <c r="G1439" s="20"/>
      <c r="H1439" s="18"/>
      <c r="I1439" s="21"/>
    </row>
    <row r="1440" ht="22.5" customHeight="1">
      <c r="A1440" s="20"/>
      <c r="B1440" s="60"/>
      <c r="C1440" s="14"/>
      <c r="D1440" s="17"/>
      <c r="E1440" s="18"/>
      <c r="F1440" s="18"/>
      <c r="G1440" s="20"/>
      <c r="H1440" s="18"/>
      <c r="I1440" s="21"/>
    </row>
    <row r="1441" ht="22.5" customHeight="1">
      <c r="A1441" s="20"/>
      <c r="B1441" s="60"/>
      <c r="C1441" s="14"/>
      <c r="D1441" s="17"/>
      <c r="E1441" s="18"/>
      <c r="F1441" s="18"/>
      <c r="G1441" s="20"/>
      <c r="H1441" s="18"/>
      <c r="I1441" s="21"/>
    </row>
    <row r="1442" ht="22.5" customHeight="1">
      <c r="A1442" s="20"/>
      <c r="B1442" s="60"/>
      <c r="C1442" s="14"/>
      <c r="D1442" s="17"/>
      <c r="E1442" s="18"/>
      <c r="F1442" s="18"/>
      <c r="G1442" s="20"/>
      <c r="H1442" s="18"/>
      <c r="I1442" s="21"/>
    </row>
    <row r="1443" ht="22.5" customHeight="1">
      <c r="A1443" s="20"/>
      <c r="B1443" s="60"/>
      <c r="C1443" s="14"/>
      <c r="D1443" s="17"/>
      <c r="E1443" s="18"/>
      <c r="F1443" s="18"/>
      <c r="G1443" s="20"/>
      <c r="H1443" s="18"/>
      <c r="I1443" s="21"/>
    </row>
    <row r="1444" ht="22.5" customHeight="1">
      <c r="A1444" s="20"/>
      <c r="B1444" s="60"/>
      <c r="C1444" s="14"/>
      <c r="D1444" s="17"/>
      <c r="E1444" s="18"/>
      <c r="F1444" s="18"/>
      <c r="G1444" s="20"/>
      <c r="H1444" s="18"/>
      <c r="I1444" s="21"/>
    </row>
    <row r="1445" ht="22.5" customHeight="1">
      <c r="A1445" s="20"/>
      <c r="B1445" s="60"/>
      <c r="C1445" s="14"/>
      <c r="D1445" s="17"/>
      <c r="E1445" s="18"/>
      <c r="F1445" s="18"/>
      <c r="G1445" s="20"/>
      <c r="H1445" s="18"/>
      <c r="I1445" s="21"/>
    </row>
    <row r="1446" ht="22.5" customHeight="1">
      <c r="A1446" s="20"/>
      <c r="B1446" s="60"/>
      <c r="C1446" s="14"/>
      <c r="D1446" s="17"/>
      <c r="E1446" s="18"/>
      <c r="F1446" s="18"/>
      <c r="G1446" s="20"/>
      <c r="H1446" s="18"/>
      <c r="I1446" s="21"/>
    </row>
    <row r="1447" ht="22.5" customHeight="1">
      <c r="A1447" s="20"/>
      <c r="B1447" s="60"/>
      <c r="C1447" s="14"/>
      <c r="D1447" s="17"/>
      <c r="E1447" s="18"/>
      <c r="F1447" s="18"/>
      <c r="G1447" s="20"/>
      <c r="H1447" s="18"/>
      <c r="I1447" s="21"/>
    </row>
    <row r="1448" ht="22.5" customHeight="1">
      <c r="A1448" s="20"/>
      <c r="B1448" s="60"/>
      <c r="C1448" s="14"/>
      <c r="D1448" s="17"/>
      <c r="E1448" s="18"/>
      <c r="F1448" s="18"/>
      <c r="G1448" s="20"/>
      <c r="H1448" s="18"/>
      <c r="I1448" s="21"/>
    </row>
    <row r="1449" ht="22.5" customHeight="1">
      <c r="A1449" s="20"/>
      <c r="B1449" s="60"/>
      <c r="C1449" s="14"/>
      <c r="D1449" s="17"/>
      <c r="E1449" s="18"/>
      <c r="F1449" s="18"/>
      <c r="G1449" s="20"/>
      <c r="H1449" s="18"/>
      <c r="I1449" s="21"/>
    </row>
    <row r="1450" ht="22.5" customHeight="1">
      <c r="A1450" s="20"/>
      <c r="B1450" s="60"/>
      <c r="C1450" s="14"/>
      <c r="D1450" s="17"/>
      <c r="E1450" s="18"/>
      <c r="F1450" s="18"/>
      <c r="G1450" s="20"/>
      <c r="H1450" s="18"/>
      <c r="I1450" s="21"/>
    </row>
    <row r="1451" ht="22.5" customHeight="1">
      <c r="A1451" s="20"/>
      <c r="B1451" s="60"/>
      <c r="C1451" s="14"/>
      <c r="D1451" s="17"/>
      <c r="E1451" s="18"/>
      <c r="F1451" s="18"/>
      <c r="G1451" s="20"/>
      <c r="H1451" s="18"/>
      <c r="I1451" s="21"/>
    </row>
    <row r="1452" ht="22.5" customHeight="1">
      <c r="A1452" s="20"/>
      <c r="B1452" s="60"/>
      <c r="C1452" s="14"/>
      <c r="D1452" s="17"/>
      <c r="E1452" s="18"/>
      <c r="F1452" s="18"/>
      <c r="G1452" s="20"/>
      <c r="H1452" s="18"/>
      <c r="I1452" s="21"/>
    </row>
    <row r="1453" ht="22.5" customHeight="1">
      <c r="A1453" s="20"/>
      <c r="B1453" s="60"/>
      <c r="C1453" s="14"/>
      <c r="D1453" s="17"/>
      <c r="E1453" s="18"/>
      <c r="F1453" s="18"/>
      <c r="G1453" s="20"/>
      <c r="H1453" s="18"/>
      <c r="I1453" s="21"/>
    </row>
    <row r="1454" ht="22.5" customHeight="1">
      <c r="A1454" s="20"/>
      <c r="B1454" s="60"/>
      <c r="C1454" s="14"/>
      <c r="D1454" s="17"/>
      <c r="E1454" s="18"/>
      <c r="F1454" s="18"/>
      <c r="G1454" s="20"/>
      <c r="H1454" s="18"/>
      <c r="I1454" s="21"/>
    </row>
    <row r="1455" ht="22.5" customHeight="1">
      <c r="A1455" s="20"/>
      <c r="B1455" s="60"/>
      <c r="C1455" s="14"/>
      <c r="D1455" s="17"/>
      <c r="E1455" s="18"/>
      <c r="F1455" s="18"/>
      <c r="G1455" s="20"/>
      <c r="H1455" s="18"/>
      <c r="I1455" s="21"/>
    </row>
    <row r="1456" ht="22.5" customHeight="1">
      <c r="A1456" s="20"/>
      <c r="B1456" s="60"/>
      <c r="C1456" s="14"/>
      <c r="D1456" s="17"/>
      <c r="E1456" s="18"/>
      <c r="F1456" s="18"/>
      <c r="G1456" s="20"/>
      <c r="H1456" s="18"/>
      <c r="I1456" s="21"/>
    </row>
    <row r="1457" ht="22.5" customHeight="1">
      <c r="A1457" s="20"/>
      <c r="B1457" s="60"/>
      <c r="C1457" s="14"/>
      <c r="D1457" s="17"/>
      <c r="E1457" s="18"/>
      <c r="F1457" s="18"/>
      <c r="G1457" s="20"/>
      <c r="H1457" s="18"/>
      <c r="I1457" s="21"/>
    </row>
    <row r="1458" ht="22.5" customHeight="1">
      <c r="A1458" s="20"/>
      <c r="B1458" s="60"/>
      <c r="C1458" s="14"/>
      <c r="D1458" s="17"/>
      <c r="E1458" s="18"/>
      <c r="F1458" s="18"/>
      <c r="G1458" s="20"/>
      <c r="H1458" s="18"/>
      <c r="I1458" s="21"/>
    </row>
    <row r="1459" ht="22.5" customHeight="1">
      <c r="A1459" s="20"/>
      <c r="B1459" s="60"/>
      <c r="C1459" s="14"/>
      <c r="D1459" s="17"/>
      <c r="E1459" s="18"/>
      <c r="F1459" s="18"/>
      <c r="G1459" s="20"/>
      <c r="H1459" s="18"/>
      <c r="I1459" s="21"/>
    </row>
    <row r="1460" ht="22.5" customHeight="1">
      <c r="A1460" s="20"/>
      <c r="B1460" s="60"/>
      <c r="C1460" s="14"/>
      <c r="D1460" s="17"/>
      <c r="E1460" s="18"/>
      <c r="F1460" s="18"/>
      <c r="G1460" s="20"/>
      <c r="H1460" s="18"/>
      <c r="I1460" s="21"/>
    </row>
    <row r="1461" ht="22.5" customHeight="1">
      <c r="A1461" s="20"/>
      <c r="B1461" s="60"/>
      <c r="C1461" s="14"/>
      <c r="D1461" s="17"/>
      <c r="E1461" s="18"/>
      <c r="F1461" s="18"/>
      <c r="G1461" s="20"/>
      <c r="H1461" s="18"/>
      <c r="I1461" s="21"/>
    </row>
    <row r="1462" ht="22.5" customHeight="1">
      <c r="A1462" s="20"/>
      <c r="B1462" s="60"/>
      <c r="C1462" s="14"/>
      <c r="D1462" s="17"/>
      <c r="E1462" s="18"/>
      <c r="F1462" s="18"/>
      <c r="G1462" s="20"/>
      <c r="H1462" s="18"/>
      <c r="I1462" s="21"/>
    </row>
    <row r="1463" ht="22.5" customHeight="1">
      <c r="A1463" s="20"/>
      <c r="B1463" s="60"/>
      <c r="C1463" s="14"/>
      <c r="D1463" s="17"/>
      <c r="E1463" s="18"/>
      <c r="F1463" s="18"/>
      <c r="G1463" s="20"/>
      <c r="H1463" s="18"/>
      <c r="I1463" s="21"/>
    </row>
    <row r="1464" ht="22.5" customHeight="1">
      <c r="A1464" s="20"/>
      <c r="B1464" s="60"/>
      <c r="C1464" s="14"/>
      <c r="D1464" s="17"/>
      <c r="E1464" s="18"/>
      <c r="F1464" s="18"/>
      <c r="G1464" s="20"/>
      <c r="H1464" s="18"/>
      <c r="I1464" s="21"/>
    </row>
    <row r="1465" ht="22.5" customHeight="1">
      <c r="A1465" s="20"/>
      <c r="B1465" s="60"/>
      <c r="C1465" s="14"/>
      <c r="D1465" s="17"/>
      <c r="E1465" s="18"/>
      <c r="F1465" s="18"/>
      <c r="G1465" s="20"/>
      <c r="H1465" s="18"/>
      <c r="I1465" s="21"/>
    </row>
    <row r="1466" ht="22.5" customHeight="1">
      <c r="A1466" s="20"/>
      <c r="B1466" s="60"/>
      <c r="C1466" s="14"/>
      <c r="D1466" s="17"/>
      <c r="E1466" s="18"/>
      <c r="F1466" s="18"/>
      <c r="G1466" s="20"/>
      <c r="H1466" s="18"/>
      <c r="I1466" s="21"/>
    </row>
    <row r="1467" ht="22.5" customHeight="1">
      <c r="A1467" s="20"/>
      <c r="B1467" s="60"/>
      <c r="C1467" s="14"/>
      <c r="D1467" s="17"/>
      <c r="E1467" s="18"/>
      <c r="F1467" s="18"/>
      <c r="G1467" s="20"/>
      <c r="H1467" s="18"/>
      <c r="I1467" s="21"/>
    </row>
    <row r="1468" ht="22.5" customHeight="1">
      <c r="A1468" s="20"/>
      <c r="B1468" s="60"/>
      <c r="C1468" s="14"/>
      <c r="D1468" s="17"/>
      <c r="E1468" s="18"/>
      <c r="F1468" s="18"/>
      <c r="G1468" s="20"/>
      <c r="H1468" s="18"/>
      <c r="I1468" s="21"/>
    </row>
    <row r="1469" ht="22.5" customHeight="1">
      <c r="A1469" s="20"/>
      <c r="B1469" s="60"/>
      <c r="C1469" s="14"/>
      <c r="D1469" s="17"/>
      <c r="E1469" s="18"/>
      <c r="F1469" s="18"/>
      <c r="G1469" s="20"/>
      <c r="H1469" s="18"/>
      <c r="I1469" s="21"/>
    </row>
    <row r="1470" ht="22.5" customHeight="1">
      <c r="A1470" s="20"/>
      <c r="B1470" s="60"/>
      <c r="C1470" s="14"/>
      <c r="D1470" s="17"/>
      <c r="E1470" s="18"/>
      <c r="F1470" s="18"/>
      <c r="G1470" s="20"/>
      <c r="H1470" s="18"/>
      <c r="I1470" s="21"/>
    </row>
    <row r="1471" ht="22.5" customHeight="1">
      <c r="A1471" s="20"/>
      <c r="B1471" s="60"/>
      <c r="C1471" s="14"/>
      <c r="D1471" s="17"/>
      <c r="E1471" s="18"/>
      <c r="F1471" s="18"/>
      <c r="G1471" s="20"/>
      <c r="H1471" s="18"/>
      <c r="I1471" s="21"/>
    </row>
    <row r="1472" ht="22.5" customHeight="1">
      <c r="A1472" s="20"/>
      <c r="B1472" s="60"/>
      <c r="C1472" s="14"/>
      <c r="D1472" s="17"/>
      <c r="E1472" s="18"/>
      <c r="F1472" s="18"/>
      <c r="G1472" s="20"/>
      <c r="H1472" s="18"/>
      <c r="I1472" s="21"/>
    </row>
    <row r="1473" ht="22.5" customHeight="1">
      <c r="A1473" s="20"/>
      <c r="B1473" s="60"/>
      <c r="C1473" s="14"/>
      <c r="D1473" s="17"/>
      <c r="E1473" s="18"/>
      <c r="F1473" s="18"/>
      <c r="G1473" s="20"/>
      <c r="H1473" s="18"/>
      <c r="I1473" s="21"/>
    </row>
    <row r="1474" ht="22.5" customHeight="1">
      <c r="A1474" s="20"/>
      <c r="B1474" s="60"/>
      <c r="C1474" s="14"/>
      <c r="D1474" s="17"/>
      <c r="E1474" s="18"/>
      <c r="F1474" s="18"/>
      <c r="G1474" s="20"/>
      <c r="H1474" s="18"/>
      <c r="I1474" s="21"/>
    </row>
    <row r="1475" ht="22.5" customHeight="1">
      <c r="A1475" s="20"/>
      <c r="B1475" s="60"/>
      <c r="C1475" s="14"/>
      <c r="D1475" s="17"/>
      <c r="E1475" s="18"/>
      <c r="F1475" s="18"/>
      <c r="G1475" s="20"/>
      <c r="H1475" s="18"/>
      <c r="I1475" s="21"/>
    </row>
    <row r="1476" ht="22.5" customHeight="1">
      <c r="A1476" s="20"/>
      <c r="B1476" s="60"/>
      <c r="C1476" s="14"/>
      <c r="D1476" s="17"/>
      <c r="E1476" s="18"/>
      <c r="F1476" s="18"/>
      <c r="G1476" s="20"/>
      <c r="H1476" s="18"/>
      <c r="I1476" s="21"/>
    </row>
    <row r="1477" ht="22.5" customHeight="1">
      <c r="A1477" s="20"/>
      <c r="B1477" s="60"/>
      <c r="C1477" s="14"/>
      <c r="D1477" s="17"/>
      <c r="E1477" s="18"/>
      <c r="F1477" s="18"/>
      <c r="G1477" s="20"/>
      <c r="H1477" s="18"/>
      <c r="I1477" s="21"/>
    </row>
    <row r="1478" ht="22.5" customHeight="1">
      <c r="A1478" s="20"/>
      <c r="B1478" s="60"/>
      <c r="C1478" s="14"/>
      <c r="D1478" s="17"/>
      <c r="E1478" s="18"/>
      <c r="F1478" s="18"/>
      <c r="G1478" s="20"/>
      <c r="H1478" s="18"/>
      <c r="I1478" s="21"/>
    </row>
    <row r="1479" ht="22.5" customHeight="1">
      <c r="A1479" s="20"/>
      <c r="B1479" s="60"/>
      <c r="C1479" s="14"/>
      <c r="D1479" s="17"/>
      <c r="E1479" s="18"/>
      <c r="F1479" s="18"/>
      <c r="G1479" s="20"/>
      <c r="H1479" s="18"/>
      <c r="I1479" s="21"/>
    </row>
    <row r="1480" ht="22.5" customHeight="1">
      <c r="A1480" s="20"/>
      <c r="B1480" s="60"/>
      <c r="C1480" s="14"/>
      <c r="D1480" s="17"/>
      <c r="E1480" s="18"/>
      <c r="F1480" s="18"/>
      <c r="G1480" s="20"/>
      <c r="H1480" s="18"/>
      <c r="I1480" s="21"/>
    </row>
    <row r="1481" ht="22.5" customHeight="1">
      <c r="A1481" s="20"/>
      <c r="B1481" s="60"/>
      <c r="C1481" s="14"/>
      <c r="D1481" s="17"/>
      <c r="E1481" s="18"/>
      <c r="F1481" s="18"/>
      <c r="G1481" s="20"/>
      <c r="H1481" s="18"/>
      <c r="I1481" s="21"/>
    </row>
    <row r="1482" ht="22.5" customHeight="1">
      <c r="A1482" s="20"/>
      <c r="B1482" s="60"/>
      <c r="C1482" s="14"/>
      <c r="D1482" s="17"/>
      <c r="E1482" s="18"/>
      <c r="F1482" s="18"/>
      <c r="G1482" s="20"/>
      <c r="H1482" s="18"/>
      <c r="I1482" s="21"/>
    </row>
    <row r="1483" ht="22.5" customHeight="1">
      <c r="A1483" s="20"/>
      <c r="B1483" s="60"/>
      <c r="C1483" s="14"/>
      <c r="D1483" s="17"/>
      <c r="E1483" s="18"/>
      <c r="F1483" s="18"/>
      <c r="G1483" s="20"/>
      <c r="H1483" s="18"/>
      <c r="I1483" s="21"/>
    </row>
    <row r="1484" ht="22.5" customHeight="1">
      <c r="A1484" s="20"/>
      <c r="B1484" s="60"/>
      <c r="C1484" s="14"/>
      <c r="D1484" s="17"/>
      <c r="E1484" s="18"/>
      <c r="F1484" s="18"/>
      <c r="G1484" s="20"/>
      <c r="H1484" s="18"/>
      <c r="I1484" s="21"/>
    </row>
    <row r="1485" ht="22.5" customHeight="1">
      <c r="A1485" s="20"/>
      <c r="B1485" s="60"/>
      <c r="C1485" s="14"/>
      <c r="D1485" s="17"/>
      <c r="E1485" s="18"/>
      <c r="F1485" s="18"/>
      <c r="G1485" s="20"/>
      <c r="H1485" s="18"/>
      <c r="I1485" s="21"/>
    </row>
    <row r="1486" ht="22.5" customHeight="1">
      <c r="A1486" s="20"/>
      <c r="B1486" s="60"/>
      <c r="C1486" s="14"/>
      <c r="D1486" s="17"/>
      <c r="E1486" s="18"/>
      <c r="F1486" s="18"/>
      <c r="G1486" s="20"/>
      <c r="H1486" s="18"/>
      <c r="I1486" s="21"/>
    </row>
    <row r="1487" ht="22.5" customHeight="1">
      <c r="A1487" s="20"/>
      <c r="B1487" s="60"/>
      <c r="C1487" s="14"/>
      <c r="D1487" s="17"/>
      <c r="E1487" s="18"/>
      <c r="F1487" s="18"/>
      <c r="G1487" s="20"/>
      <c r="H1487" s="18"/>
      <c r="I1487" s="21"/>
    </row>
    <row r="1488" ht="22.5" customHeight="1">
      <c r="A1488" s="20"/>
      <c r="B1488" s="60"/>
      <c r="C1488" s="14"/>
      <c r="D1488" s="17"/>
      <c r="E1488" s="18"/>
      <c r="F1488" s="18"/>
      <c r="G1488" s="20"/>
      <c r="H1488" s="18"/>
      <c r="I1488" s="21"/>
    </row>
    <row r="1489" ht="22.5" customHeight="1">
      <c r="A1489" s="20"/>
      <c r="B1489" s="60"/>
      <c r="C1489" s="14"/>
      <c r="D1489" s="17"/>
      <c r="E1489" s="18"/>
      <c r="F1489" s="18"/>
      <c r="G1489" s="20"/>
      <c r="H1489" s="18"/>
      <c r="I1489" s="21"/>
    </row>
    <row r="1490" ht="22.5" customHeight="1">
      <c r="A1490" s="20"/>
      <c r="B1490" s="60"/>
      <c r="C1490" s="14"/>
      <c r="D1490" s="17"/>
      <c r="E1490" s="18"/>
      <c r="F1490" s="18"/>
      <c r="G1490" s="20"/>
      <c r="H1490" s="18"/>
      <c r="I1490" s="21"/>
    </row>
    <row r="1491" ht="22.5" customHeight="1">
      <c r="A1491" s="20"/>
      <c r="B1491" s="60"/>
      <c r="C1491" s="14"/>
      <c r="D1491" s="17"/>
      <c r="E1491" s="18"/>
      <c r="F1491" s="18"/>
      <c r="G1491" s="20"/>
      <c r="H1491" s="18"/>
      <c r="I1491" s="21"/>
    </row>
    <row r="1492" ht="22.5" customHeight="1">
      <c r="A1492" s="20"/>
      <c r="B1492" s="60"/>
      <c r="C1492" s="14"/>
      <c r="D1492" s="17"/>
      <c r="E1492" s="18"/>
      <c r="F1492" s="18"/>
      <c r="G1492" s="20"/>
      <c r="H1492" s="18"/>
      <c r="I1492" s="21"/>
    </row>
    <row r="1493" ht="22.5" customHeight="1">
      <c r="A1493" s="20"/>
      <c r="B1493" s="60"/>
      <c r="C1493" s="14"/>
      <c r="D1493" s="17"/>
      <c r="E1493" s="18"/>
      <c r="F1493" s="18"/>
      <c r="G1493" s="20"/>
      <c r="H1493" s="18"/>
      <c r="I1493" s="21"/>
    </row>
    <row r="1494" ht="22.5" customHeight="1">
      <c r="A1494" s="20"/>
      <c r="B1494" s="60"/>
      <c r="C1494" s="14"/>
      <c r="D1494" s="17"/>
      <c r="E1494" s="18"/>
      <c r="F1494" s="18"/>
      <c r="G1494" s="20"/>
      <c r="H1494" s="18"/>
      <c r="I1494" s="21"/>
    </row>
    <row r="1495" ht="22.5" customHeight="1">
      <c r="A1495" s="20"/>
      <c r="B1495" s="60"/>
      <c r="C1495" s="14"/>
      <c r="D1495" s="17"/>
      <c r="E1495" s="18"/>
      <c r="F1495" s="18"/>
      <c r="G1495" s="20"/>
      <c r="H1495" s="18"/>
      <c r="I1495" s="21"/>
    </row>
    <row r="1496" ht="22.5" customHeight="1">
      <c r="A1496" s="20"/>
      <c r="B1496" s="60"/>
      <c r="C1496" s="14"/>
      <c r="D1496" s="17"/>
      <c r="E1496" s="18"/>
      <c r="F1496" s="18"/>
      <c r="G1496" s="20"/>
      <c r="H1496" s="18"/>
      <c r="I1496" s="21"/>
    </row>
    <row r="1497" ht="22.5" customHeight="1">
      <c r="A1497" s="20"/>
      <c r="B1497" s="60"/>
      <c r="C1497" s="14"/>
      <c r="D1497" s="17"/>
      <c r="E1497" s="18"/>
      <c r="F1497" s="18"/>
      <c r="G1497" s="20"/>
      <c r="H1497" s="18"/>
      <c r="I1497" s="21"/>
    </row>
    <row r="1498" ht="22.5" customHeight="1">
      <c r="A1498" s="20"/>
      <c r="B1498" s="60"/>
      <c r="C1498" s="14"/>
      <c r="D1498" s="17"/>
      <c r="E1498" s="18"/>
      <c r="F1498" s="18"/>
      <c r="G1498" s="20"/>
      <c r="H1498" s="18"/>
      <c r="I1498" s="21"/>
    </row>
    <row r="1499" ht="22.5" customHeight="1">
      <c r="A1499" s="20"/>
      <c r="B1499" s="60"/>
      <c r="C1499" s="14"/>
      <c r="D1499" s="17"/>
      <c r="E1499" s="18"/>
      <c r="F1499" s="18"/>
      <c r="G1499" s="20"/>
      <c r="H1499" s="18"/>
      <c r="I1499" s="21"/>
    </row>
    <row r="1500" ht="22.5" customHeight="1">
      <c r="A1500" s="20"/>
      <c r="B1500" s="60"/>
      <c r="C1500" s="14"/>
      <c r="D1500" s="17"/>
      <c r="E1500" s="18"/>
      <c r="F1500" s="18"/>
      <c r="G1500" s="20"/>
      <c r="H1500" s="18"/>
      <c r="I1500" s="21"/>
    </row>
    <row r="1501" ht="22.5" customHeight="1">
      <c r="A1501" s="20"/>
      <c r="B1501" s="60"/>
      <c r="C1501" s="14"/>
      <c r="D1501" s="17"/>
      <c r="E1501" s="18"/>
      <c r="F1501" s="18"/>
      <c r="G1501" s="20"/>
      <c r="H1501" s="18"/>
      <c r="I1501" s="21"/>
    </row>
    <row r="1502" ht="22.5" customHeight="1">
      <c r="A1502" s="20"/>
      <c r="B1502" s="60"/>
      <c r="C1502" s="14"/>
      <c r="D1502" s="17"/>
      <c r="E1502" s="18"/>
      <c r="F1502" s="18"/>
      <c r="G1502" s="20"/>
      <c r="H1502" s="18"/>
      <c r="I1502" s="21"/>
    </row>
    <row r="1503" ht="22.5" customHeight="1">
      <c r="A1503" s="20"/>
      <c r="B1503" s="60"/>
      <c r="C1503" s="14"/>
      <c r="D1503" s="17"/>
      <c r="E1503" s="18"/>
      <c r="F1503" s="18"/>
      <c r="G1503" s="20"/>
      <c r="H1503" s="18"/>
      <c r="I1503" s="21"/>
    </row>
    <row r="1504" ht="22.5" customHeight="1">
      <c r="A1504" s="20"/>
      <c r="B1504" s="60"/>
      <c r="C1504" s="14"/>
      <c r="D1504" s="17"/>
      <c r="E1504" s="18"/>
      <c r="F1504" s="18"/>
      <c r="G1504" s="20"/>
      <c r="H1504" s="18"/>
      <c r="I1504" s="21"/>
    </row>
    <row r="1505" ht="22.5" customHeight="1">
      <c r="A1505" s="20"/>
      <c r="B1505" s="60"/>
      <c r="C1505" s="14"/>
      <c r="D1505" s="17"/>
      <c r="E1505" s="18"/>
      <c r="F1505" s="18"/>
      <c r="G1505" s="20"/>
      <c r="H1505" s="18"/>
      <c r="I1505" s="21"/>
    </row>
    <row r="1506" ht="22.5" customHeight="1">
      <c r="A1506" s="20"/>
      <c r="B1506" s="60"/>
      <c r="C1506" s="14"/>
      <c r="D1506" s="17"/>
      <c r="E1506" s="18"/>
      <c r="F1506" s="18"/>
      <c r="G1506" s="20"/>
      <c r="H1506" s="18"/>
      <c r="I1506" s="21"/>
    </row>
    <row r="1507" ht="22.5" customHeight="1">
      <c r="A1507" s="20"/>
      <c r="B1507" s="60"/>
      <c r="C1507" s="14"/>
      <c r="D1507" s="17"/>
      <c r="E1507" s="18"/>
      <c r="F1507" s="18"/>
      <c r="G1507" s="20"/>
      <c r="H1507" s="18"/>
      <c r="I1507" s="21"/>
    </row>
    <row r="1508" ht="22.5" customHeight="1">
      <c r="A1508" s="20"/>
      <c r="B1508" s="60"/>
      <c r="C1508" s="14"/>
      <c r="D1508" s="17"/>
      <c r="E1508" s="18"/>
      <c r="F1508" s="18"/>
      <c r="G1508" s="20"/>
      <c r="H1508" s="18"/>
      <c r="I1508" s="21"/>
    </row>
    <row r="1509" ht="22.5" customHeight="1">
      <c r="A1509" s="20"/>
      <c r="B1509" s="60"/>
      <c r="C1509" s="14"/>
      <c r="D1509" s="17"/>
      <c r="E1509" s="18"/>
      <c r="F1509" s="18"/>
      <c r="G1509" s="20"/>
      <c r="H1509" s="18"/>
      <c r="I1509" s="21"/>
    </row>
    <row r="1510" ht="22.5" customHeight="1">
      <c r="A1510" s="20"/>
      <c r="B1510" s="60"/>
      <c r="C1510" s="14"/>
      <c r="D1510" s="17"/>
      <c r="E1510" s="18"/>
      <c r="F1510" s="18"/>
      <c r="G1510" s="20"/>
      <c r="H1510" s="18"/>
      <c r="I1510" s="21"/>
    </row>
    <row r="1511" ht="22.5" customHeight="1">
      <c r="A1511" s="20"/>
      <c r="B1511" s="60"/>
      <c r="C1511" s="14"/>
      <c r="D1511" s="17"/>
      <c r="E1511" s="18"/>
      <c r="F1511" s="18"/>
      <c r="G1511" s="20"/>
      <c r="H1511" s="18"/>
      <c r="I1511" s="21"/>
    </row>
    <row r="1512" ht="22.5" customHeight="1">
      <c r="A1512" s="20"/>
      <c r="B1512" s="60"/>
      <c r="C1512" s="14"/>
      <c r="D1512" s="17"/>
      <c r="E1512" s="18"/>
      <c r="F1512" s="18"/>
      <c r="G1512" s="20"/>
      <c r="H1512" s="18"/>
      <c r="I1512" s="21"/>
    </row>
    <row r="1513" ht="22.5" customHeight="1">
      <c r="A1513" s="20"/>
      <c r="B1513" s="60"/>
      <c r="C1513" s="14"/>
      <c r="D1513" s="17"/>
      <c r="E1513" s="18"/>
      <c r="F1513" s="18"/>
      <c r="G1513" s="20"/>
      <c r="H1513" s="18"/>
      <c r="I1513" s="21"/>
    </row>
    <row r="1514" ht="22.5" customHeight="1">
      <c r="A1514" s="20"/>
      <c r="B1514" s="60"/>
      <c r="C1514" s="14"/>
      <c r="D1514" s="17"/>
      <c r="E1514" s="18"/>
      <c r="F1514" s="18"/>
      <c r="G1514" s="20"/>
      <c r="H1514" s="18"/>
      <c r="I1514" s="21"/>
    </row>
    <row r="1515" ht="22.5" customHeight="1">
      <c r="A1515" s="20"/>
      <c r="B1515" s="60"/>
      <c r="C1515" s="14"/>
      <c r="D1515" s="17"/>
      <c r="E1515" s="18"/>
      <c r="F1515" s="18"/>
      <c r="G1515" s="20"/>
      <c r="H1515" s="18"/>
      <c r="I1515" s="21"/>
    </row>
    <row r="1516" ht="22.5" customHeight="1">
      <c r="A1516" s="20"/>
      <c r="B1516" s="60"/>
      <c r="C1516" s="14"/>
      <c r="D1516" s="17"/>
      <c r="E1516" s="18"/>
      <c r="F1516" s="18"/>
      <c r="G1516" s="20"/>
      <c r="H1516" s="18"/>
      <c r="I1516" s="21"/>
    </row>
    <row r="1517" ht="22.5" customHeight="1">
      <c r="A1517" s="20"/>
      <c r="B1517" s="60"/>
      <c r="C1517" s="14"/>
      <c r="D1517" s="17"/>
      <c r="E1517" s="18"/>
      <c r="F1517" s="18"/>
      <c r="G1517" s="20"/>
      <c r="H1517" s="18"/>
      <c r="I1517" s="21"/>
    </row>
    <row r="1518" ht="22.5" customHeight="1">
      <c r="A1518" s="20"/>
      <c r="B1518" s="60"/>
      <c r="C1518" s="14"/>
      <c r="D1518" s="17"/>
      <c r="E1518" s="18"/>
      <c r="F1518" s="18"/>
      <c r="G1518" s="20"/>
      <c r="H1518" s="18"/>
      <c r="I1518" s="21"/>
    </row>
    <row r="1519" ht="22.5" customHeight="1">
      <c r="A1519" s="20"/>
      <c r="B1519" s="60"/>
      <c r="C1519" s="14"/>
      <c r="D1519" s="17"/>
      <c r="E1519" s="18"/>
      <c r="F1519" s="18"/>
      <c r="G1519" s="20"/>
      <c r="H1519" s="18"/>
      <c r="I1519" s="21"/>
    </row>
    <row r="1520" ht="22.5" customHeight="1">
      <c r="A1520" s="20"/>
      <c r="B1520" s="60"/>
      <c r="C1520" s="14"/>
      <c r="D1520" s="17"/>
      <c r="E1520" s="18"/>
      <c r="F1520" s="18"/>
      <c r="G1520" s="20"/>
      <c r="H1520" s="18"/>
      <c r="I1520" s="21"/>
    </row>
    <row r="1521" ht="22.5" customHeight="1">
      <c r="A1521" s="20"/>
      <c r="B1521" s="60"/>
      <c r="C1521" s="14"/>
      <c r="D1521" s="17"/>
      <c r="E1521" s="18"/>
      <c r="F1521" s="18"/>
      <c r="G1521" s="20"/>
      <c r="H1521" s="18"/>
      <c r="I1521" s="21"/>
    </row>
    <row r="1522" ht="22.5" customHeight="1">
      <c r="A1522" s="20"/>
      <c r="B1522" s="60"/>
      <c r="C1522" s="14"/>
      <c r="D1522" s="17"/>
      <c r="E1522" s="18"/>
      <c r="F1522" s="18"/>
      <c r="G1522" s="20"/>
      <c r="H1522" s="18"/>
      <c r="I1522" s="21"/>
    </row>
    <row r="1523" ht="22.5" customHeight="1">
      <c r="A1523" s="20"/>
      <c r="B1523" s="60"/>
      <c r="C1523" s="14"/>
      <c r="D1523" s="17"/>
      <c r="E1523" s="18"/>
      <c r="F1523" s="18"/>
      <c r="G1523" s="20"/>
      <c r="H1523" s="18"/>
      <c r="I1523" s="21"/>
    </row>
    <row r="1524" ht="22.5" customHeight="1">
      <c r="A1524" s="20"/>
      <c r="B1524" s="60"/>
      <c r="C1524" s="14"/>
      <c r="D1524" s="17"/>
      <c r="E1524" s="18"/>
      <c r="F1524" s="18"/>
      <c r="G1524" s="20"/>
      <c r="H1524" s="18"/>
      <c r="I1524" s="21"/>
    </row>
    <row r="1525" ht="22.5" customHeight="1">
      <c r="A1525" s="20"/>
      <c r="B1525" s="60"/>
      <c r="C1525" s="14"/>
      <c r="D1525" s="17"/>
      <c r="E1525" s="18"/>
      <c r="F1525" s="18"/>
      <c r="G1525" s="20"/>
      <c r="H1525" s="18"/>
      <c r="I1525" s="21"/>
    </row>
    <row r="1526" ht="22.5" customHeight="1">
      <c r="A1526" s="20"/>
      <c r="B1526" s="60"/>
      <c r="C1526" s="14"/>
      <c r="D1526" s="17"/>
      <c r="E1526" s="18"/>
      <c r="F1526" s="18"/>
      <c r="G1526" s="20"/>
      <c r="H1526" s="18"/>
      <c r="I1526" s="21"/>
    </row>
    <row r="1527" ht="22.5" customHeight="1">
      <c r="A1527" s="20"/>
      <c r="B1527" s="60"/>
      <c r="C1527" s="14"/>
      <c r="D1527" s="17"/>
      <c r="E1527" s="18"/>
      <c r="F1527" s="18"/>
      <c r="G1527" s="20"/>
      <c r="H1527" s="18"/>
      <c r="I1527" s="21"/>
    </row>
    <row r="1528" ht="22.5" customHeight="1">
      <c r="A1528" s="20"/>
      <c r="B1528" s="60"/>
      <c r="C1528" s="14"/>
      <c r="D1528" s="17"/>
      <c r="E1528" s="18"/>
      <c r="F1528" s="18"/>
      <c r="G1528" s="20"/>
      <c r="H1528" s="18"/>
      <c r="I1528" s="21"/>
    </row>
    <row r="1529" ht="22.5" customHeight="1">
      <c r="A1529" s="20"/>
      <c r="B1529" s="60"/>
      <c r="C1529" s="14"/>
      <c r="D1529" s="17"/>
      <c r="E1529" s="18"/>
      <c r="F1529" s="18"/>
      <c r="G1529" s="20"/>
      <c r="H1529" s="18"/>
      <c r="I1529" s="21"/>
    </row>
    <row r="1530" ht="22.5" customHeight="1">
      <c r="A1530" s="20"/>
      <c r="B1530" s="60"/>
      <c r="C1530" s="14"/>
      <c r="D1530" s="17"/>
      <c r="E1530" s="18"/>
      <c r="F1530" s="18"/>
      <c r="G1530" s="20"/>
      <c r="H1530" s="18"/>
      <c r="I1530" s="21"/>
    </row>
    <row r="1531" ht="22.5" customHeight="1">
      <c r="A1531" s="20"/>
      <c r="B1531" s="60"/>
      <c r="C1531" s="14"/>
      <c r="D1531" s="17"/>
      <c r="E1531" s="18"/>
      <c r="F1531" s="18"/>
      <c r="G1531" s="20"/>
      <c r="H1531" s="18"/>
      <c r="I1531" s="21"/>
    </row>
    <row r="1532" ht="22.5" customHeight="1">
      <c r="A1532" s="20"/>
      <c r="B1532" s="60"/>
      <c r="C1532" s="14"/>
      <c r="D1532" s="17"/>
      <c r="E1532" s="18"/>
      <c r="F1532" s="18"/>
      <c r="G1532" s="20"/>
      <c r="H1532" s="18"/>
      <c r="I1532" s="21"/>
    </row>
    <row r="1533" ht="22.5" customHeight="1">
      <c r="A1533" s="20"/>
      <c r="B1533" s="60"/>
      <c r="C1533" s="14"/>
      <c r="D1533" s="17"/>
      <c r="E1533" s="18"/>
      <c r="F1533" s="18"/>
      <c r="G1533" s="20"/>
      <c r="H1533" s="18"/>
      <c r="I1533" s="21"/>
    </row>
    <row r="1534" ht="22.5" customHeight="1">
      <c r="A1534" s="20"/>
      <c r="B1534" s="60"/>
      <c r="C1534" s="14"/>
      <c r="D1534" s="17"/>
      <c r="E1534" s="18"/>
      <c r="F1534" s="18"/>
      <c r="G1534" s="20"/>
      <c r="H1534" s="18"/>
      <c r="I1534" s="21"/>
    </row>
    <row r="1535" ht="22.5" customHeight="1">
      <c r="A1535" s="20"/>
      <c r="B1535" s="60"/>
      <c r="C1535" s="14"/>
      <c r="D1535" s="17"/>
      <c r="E1535" s="18"/>
      <c r="F1535" s="18"/>
      <c r="G1535" s="20"/>
      <c r="H1535" s="18"/>
      <c r="I1535" s="21"/>
    </row>
    <row r="1536" ht="22.5" customHeight="1">
      <c r="A1536" s="20"/>
      <c r="B1536" s="60"/>
      <c r="C1536" s="14"/>
      <c r="D1536" s="17"/>
      <c r="E1536" s="18"/>
      <c r="F1536" s="18"/>
      <c r="G1536" s="20"/>
      <c r="H1536" s="18"/>
      <c r="I1536" s="21"/>
    </row>
    <row r="1537" ht="22.5" customHeight="1">
      <c r="A1537" s="20"/>
      <c r="B1537" s="60"/>
      <c r="C1537" s="14"/>
      <c r="D1537" s="17"/>
      <c r="E1537" s="18"/>
      <c r="F1537" s="18"/>
      <c r="G1537" s="20"/>
      <c r="H1537" s="18"/>
      <c r="I1537" s="21"/>
    </row>
    <row r="1538" ht="22.5" customHeight="1">
      <c r="A1538" s="20"/>
      <c r="B1538" s="60"/>
      <c r="C1538" s="14"/>
      <c r="D1538" s="17"/>
      <c r="E1538" s="18"/>
      <c r="F1538" s="18"/>
      <c r="G1538" s="20"/>
      <c r="H1538" s="18"/>
      <c r="I1538" s="21"/>
    </row>
    <row r="1539" ht="22.5" customHeight="1">
      <c r="A1539" s="20"/>
      <c r="B1539" s="60"/>
      <c r="C1539" s="14"/>
      <c r="D1539" s="17"/>
      <c r="E1539" s="18"/>
      <c r="F1539" s="18"/>
      <c r="G1539" s="20"/>
      <c r="H1539" s="18"/>
      <c r="I1539" s="21"/>
    </row>
    <row r="1540" ht="22.5" customHeight="1">
      <c r="A1540" s="20"/>
      <c r="B1540" s="60"/>
      <c r="C1540" s="14"/>
      <c r="D1540" s="17"/>
      <c r="E1540" s="18"/>
      <c r="F1540" s="18"/>
      <c r="G1540" s="20"/>
      <c r="H1540" s="18"/>
      <c r="I1540" s="21"/>
    </row>
    <row r="1541" ht="22.5" customHeight="1">
      <c r="A1541" s="20"/>
      <c r="B1541" s="60"/>
      <c r="C1541" s="14"/>
      <c r="D1541" s="17"/>
      <c r="E1541" s="18"/>
      <c r="F1541" s="18"/>
      <c r="G1541" s="20"/>
      <c r="H1541" s="18"/>
      <c r="I1541" s="21"/>
    </row>
    <row r="1542" ht="22.5" customHeight="1">
      <c r="A1542" s="20"/>
      <c r="B1542" s="60"/>
      <c r="C1542" s="14"/>
      <c r="D1542" s="17"/>
      <c r="E1542" s="18"/>
      <c r="F1542" s="18"/>
      <c r="G1542" s="20"/>
      <c r="H1542" s="18"/>
      <c r="I1542" s="21"/>
    </row>
    <row r="1543" ht="22.5" customHeight="1">
      <c r="A1543" s="20"/>
      <c r="B1543" s="60"/>
      <c r="C1543" s="14"/>
      <c r="D1543" s="17"/>
      <c r="E1543" s="18"/>
      <c r="F1543" s="18"/>
      <c r="G1543" s="20"/>
      <c r="H1543" s="18"/>
      <c r="I1543" s="21"/>
    </row>
    <row r="1544" ht="22.5" customHeight="1">
      <c r="A1544" s="20"/>
      <c r="B1544" s="60"/>
      <c r="C1544" s="14"/>
      <c r="D1544" s="17"/>
      <c r="E1544" s="18"/>
      <c r="F1544" s="18"/>
      <c r="G1544" s="20"/>
      <c r="H1544" s="18"/>
      <c r="I1544" s="21"/>
    </row>
    <row r="1545" ht="22.5" customHeight="1">
      <c r="A1545" s="20"/>
      <c r="B1545" s="60"/>
      <c r="C1545" s="14"/>
      <c r="D1545" s="17"/>
      <c r="E1545" s="18"/>
      <c r="F1545" s="18"/>
      <c r="G1545" s="20"/>
      <c r="H1545" s="18"/>
      <c r="I1545" s="21"/>
    </row>
    <row r="1546" ht="22.5" customHeight="1">
      <c r="A1546" s="20"/>
      <c r="B1546" s="60"/>
      <c r="C1546" s="14"/>
      <c r="D1546" s="17"/>
      <c r="E1546" s="18"/>
      <c r="F1546" s="18"/>
      <c r="G1546" s="20"/>
      <c r="H1546" s="18"/>
      <c r="I1546" s="21"/>
    </row>
    <row r="1547" ht="22.5" customHeight="1">
      <c r="A1547" s="20"/>
      <c r="B1547" s="60"/>
      <c r="C1547" s="14"/>
      <c r="D1547" s="17"/>
      <c r="E1547" s="18"/>
      <c r="F1547" s="18"/>
      <c r="G1547" s="20"/>
      <c r="H1547" s="18"/>
      <c r="I1547" s="21"/>
    </row>
    <row r="1548" ht="22.5" customHeight="1">
      <c r="A1548" s="20"/>
      <c r="B1548" s="60"/>
      <c r="C1548" s="14"/>
      <c r="D1548" s="17"/>
      <c r="E1548" s="18"/>
      <c r="F1548" s="18"/>
      <c r="G1548" s="20"/>
      <c r="H1548" s="18"/>
      <c r="I1548" s="21"/>
    </row>
    <row r="1549" ht="22.5" customHeight="1">
      <c r="A1549" s="20"/>
      <c r="B1549" s="60"/>
      <c r="C1549" s="14"/>
      <c r="D1549" s="17"/>
      <c r="E1549" s="18"/>
      <c r="F1549" s="18"/>
      <c r="G1549" s="20"/>
      <c r="H1549" s="18"/>
      <c r="I1549" s="21"/>
    </row>
    <row r="1550" ht="22.5" customHeight="1">
      <c r="A1550" s="20"/>
      <c r="B1550" s="60"/>
      <c r="C1550" s="14"/>
      <c r="D1550" s="17"/>
      <c r="E1550" s="18"/>
      <c r="F1550" s="18"/>
      <c r="G1550" s="20"/>
      <c r="H1550" s="18"/>
      <c r="I1550" s="21"/>
    </row>
    <row r="1551" ht="22.5" customHeight="1">
      <c r="A1551" s="20"/>
      <c r="B1551" s="60"/>
      <c r="C1551" s="14"/>
      <c r="D1551" s="17"/>
      <c r="E1551" s="18"/>
      <c r="F1551" s="18"/>
      <c r="G1551" s="20"/>
      <c r="H1551" s="18"/>
      <c r="I1551" s="21"/>
    </row>
    <row r="1552" ht="22.5" customHeight="1">
      <c r="A1552" s="20"/>
      <c r="B1552" s="60"/>
      <c r="C1552" s="14"/>
      <c r="D1552" s="17"/>
      <c r="E1552" s="18"/>
      <c r="F1552" s="18"/>
      <c r="G1552" s="20"/>
      <c r="H1552" s="18"/>
      <c r="I1552" s="21"/>
    </row>
    <row r="1553" ht="22.5" customHeight="1">
      <c r="A1553" s="20"/>
      <c r="B1553" s="60"/>
      <c r="C1553" s="14"/>
      <c r="D1553" s="17"/>
      <c r="E1553" s="18"/>
      <c r="F1553" s="18"/>
      <c r="G1553" s="20"/>
      <c r="H1553" s="18"/>
      <c r="I1553" s="21"/>
    </row>
    <row r="1554" ht="22.5" customHeight="1">
      <c r="A1554" s="20"/>
      <c r="B1554" s="60"/>
      <c r="C1554" s="14"/>
      <c r="D1554" s="17"/>
      <c r="E1554" s="18"/>
      <c r="F1554" s="18"/>
      <c r="G1554" s="20"/>
      <c r="H1554" s="18"/>
      <c r="I1554" s="21"/>
    </row>
    <row r="1555" ht="22.5" customHeight="1">
      <c r="A1555" s="20"/>
      <c r="B1555" s="60"/>
      <c r="C1555" s="14"/>
      <c r="D1555" s="17"/>
      <c r="E1555" s="18"/>
      <c r="F1555" s="18"/>
      <c r="G1555" s="20"/>
      <c r="H1555" s="18"/>
      <c r="I1555" s="21"/>
    </row>
    <row r="1556" ht="22.5" customHeight="1">
      <c r="A1556" s="20"/>
      <c r="B1556" s="60"/>
      <c r="C1556" s="14"/>
      <c r="D1556" s="17"/>
      <c r="E1556" s="18"/>
      <c r="F1556" s="18"/>
      <c r="G1556" s="20"/>
      <c r="H1556" s="18"/>
      <c r="I1556" s="21"/>
    </row>
    <row r="1557" ht="22.5" customHeight="1">
      <c r="A1557" s="20"/>
      <c r="B1557" s="60"/>
      <c r="C1557" s="14"/>
      <c r="D1557" s="17"/>
      <c r="E1557" s="18"/>
      <c r="F1557" s="18"/>
      <c r="G1557" s="20"/>
      <c r="H1557" s="18"/>
      <c r="I1557" s="21"/>
    </row>
    <row r="1558" ht="22.5" customHeight="1">
      <c r="A1558" s="20"/>
      <c r="B1558" s="60"/>
      <c r="C1558" s="14"/>
      <c r="D1558" s="17"/>
      <c r="E1558" s="18"/>
      <c r="F1558" s="18"/>
      <c r="G1558" s="20"/>
      <c r="H1558" s="18"/>
      <c r="I1558" s="21"/>
    </row>
    <row r="1559" ht="22.5" customHeight="1">
      <c r="A1559" s="20"/>
      <c r="B1559" s="60"/>
      <c r="C1559" s="14"/>
      <c r="D1559" s="17"/>
      <c r="E1559" s="18"/>
      <c r="F1559" s="18"/>
      <c r="G1559" s="20"/>
      <c r="H1559" s="18"/>
      <c r="I1559" s="21"/>
    </row>
    <row r="1560" ht="22.5" customHeight="1">
      <c r="A1560" s="20"/>
      <c r="B1560" s="60"/>
      <c r="C1560" s="14"/>
      <c r="D1560" s="17"/>
      <c r="E1560" s="18"/>
      <c r="F1560" s="18"/>
      <c r="G1560" s="20"/>
      <c r="H1560" s="18"/>
      <c r="I1560" s="21"/>
    </row>
    <row r="1561" ht="22.5" customHeight="1">
      <c r="A1561" s="20"/>
      <c r="B1561" s="60"/>
      <c r="C1561" s="14"/>
      <c r="D1561" s="17"/>
      <c r="E1561" s="18"/>
      <c r="F1561" s="18"/>
      <c r="G1561" s="20"/>
      <c r="H1561" s="18"/>
      <c r="I1561" s="21"/>
    </row>
    <row r="1562" ht="22.5" customHeight="1">
      <c r="A1562" s="20"/>
      <c r="B1562" s="60"/>
      <c r="C1562" s="14"/>
      <c r="D1562" s="17"/>
      <c r="E1562" s="18"/>
      <c r="F1562" s="18"/>
      <c r="G1562" s="20"/>
      <c r="H1562" s="18"/>
      <c r="I1562" s="21"/>
    </row>
    <row r="1563" ht="22.5" customHeight="1">
      <c r="A1563" s="20"/>
      <c r="B1563" s="60"/>
      <c r="C1563" s="14"/>
      <c r="D1563" s="17"/>
      <c r="E1563" s="18"/>
      <c r="F1563" s="18"/>
      <c r="G1563" s="20"/>
      <c r="H1563" s="18"/>
      <c r="I1563" s="21"/>
    </row>
    <row r="1564" ht="22.5" customHeight="1">
      <c r="A1564" s="20"/>
      <c r="B1564" s="60"/>
      <c r="C1564" s="14"/>
      <c r="D1564" s="17"/>
      <c r="E1564" s="18"/>
      <c r="F1564" s="18"/>
      <c r="G1564" s="20"/>
      <c r="H1564" s="18"/>
      <c r="I1564" s="21"/>
    </row>
    <row r="1565" ht="22.5" customHeight="1">
      <c r="A1565" s="20"/>
      <c r="B1565" s="60"/>
      <c r="C1565" s="14"/>
      <c r="D1565" s="17"/>
      <c r="E1565" s="18"/>
      <c r="F1565" s="18"/>
      <c r="G1565" s="20"/>
      <c r="H1565" s="18"/>
      <c r="I1565" s="21"/>
    </row>
    <row r="1566" ht="22.5" customHeight="1">
      <c r="A1566" s="20"/>
      <c r="B1566" s="60"/>
      <c r="C1566" s="14"/>
      <c r="D1566" s="17"/>
      <c r="E1566" s="18"/>
      <c r="F1566" s="18"/>
      <c r="G1566" s="20"/>
      <c r="H1566" s="18"/>
      <c r="I1566" s="21"/>
    </row>
    <row r="1567" ht="22.5" customHeight="1">
      <c r="A1567" s="20"/>
      <c r="B1567" s="60"/>
      <c r="C1567" s="14"/>
      <c r="D1567" s="17"/>
      <c r="E1567" s="18"/>
      <c r="F1567" s="18"/>
      <c r="G1567" s="20"/>
      <c r="H1567" s="18"/>
      <c r="I1567" s="21"/>
    </row>
    <row r="1568" ht="22.5" customHeight="1">
      <c r="A1568" s="20"/>
      <c r="B1568" s="60"/>
      <c r="C1568" s="14"/>
      <c r="D1568" s="17"/>
      <c r="E1568" s="18"/>
      <c r="F1568" s="18"/>
      <c r="G1568" s="20"/>
      <c r="H1568" s="18"/>
      <c r="I1568" s="21"/>
    </row>
    <row r="1569" ht="22.5" customHeight="1">
      <c r="A1569" s="20"/>
      <c r="B1569" s="60"/>
      <c r="C1569" s="14"/>
      <c r="D1569" s="17"/>
      <c r="E1569" s="18"/>
      <c r="F1569" s="18"/>
      <c r="G1569" s="20"/>
      <c r="H1569" s="18"/>
      <c r="I1569" s="21"/>
    </row>
    <row r="1570" ht="22.5" customHeight="1">
      <c r="A1570" s="20"/>
      <c r="B1570" s="60"/>
      <c r="C1570" s="14"/>
      <c r="D1570" s="17"/>
      <c r="E1570" s="18"/>
      <c r="F1570" s="18"/>
      <c r="G1570" s="20"/>
      <c r="H1570" s="18"/>
      <c r="I1570" s="21"/>
    </row>
    <row r="1571" ht="22.5" customHeight="1">
      <c r="A1571" s="20"/>
      <c r="B1571" s="60"/>
      <c r="C1571" s="14"/>
      <c r="D1571" s="17"/>
      <c r="E1571" s="18"/>
      <c r="F1571" s="18"/>
      <c r="G1571" s="20"/>
      <c r="H1571" s="18"/>
      <c r="I1571" s="21"/>
    </row>
    <row r="1572" ht="22.5" customHeight="1">
      <c r="A1572" s="20"/>
      <c r="B1572" s="60"/>
      <c r="C1572" s="14"/>
      <c r="D1572" s="17"/>
      <c r="E1572" s="18"/>
      <c r="F1572" s="18"/>
      <c r="G1572" s="20"/>
      <c r="H1572" s="18"/>
      <c r="I1572" s="21"/>
    </row>
    <row r="1573" ht="22.5" customHeight="1">
      <c r="A1573" s="20"/>
      <c r="B1573" s="60"/>
      <c r="C1573" s="14"/>
      <c r="D1573" s="17"/>
      <c r="E1573" s="18"/>
      <c r="F1573" s="18"/>
      <c r="G1573" s="20"/>
      <c r="H1573" s="18"/>
      <c r="I1573" s="21"/>
    </row>
    <row r="1574" ht="22.5" customHeight="1">
      <c r="A1574" s="20"/>
      <c r="B1574" s="60"/>
      <c r="C1574" s="14"/>
      <c r="D1574" s="17"/>
      <c r="E1574" s="18"/>
      <c r="F1574" s="18"/>
      <c r="G1574" s="20"/>
      <c r="H1574" s="18"/>
      <c r="I1574" s="21"/>
    </row>
    <row r="1575" ht="22.5" customHeight="1">
      <c r="A1575" s="20"/>
      <c r="B1575" s="60"/>
      <c r="C1575" s="14"/>
      <c r="D1575" s="17"/>
      <c r="E1575" s="18"/>
      <c r="F1575" s="18"/>
      <c r="G1575" s="20"/>
      <c r="H1575" s="18"/>
      <c r="I1575" s="21"/>
    </row>
    <row r="1576" ht="22.5" customHeight="1">
      <c r="A1576" s="20"/>
      <c r="B1576" s="60"/>
      <c r="C1576" s="14"/>
      <c r="D1576" s="17"/>
      <c r="E1576" s="18"/>
      <c r="F1576" s="18"/>
      <c r="G1576" s="20"/>
      <c r="H1576" s="18"/>
      <c r="I1576" s="21"/>
    </row>
    <row r="1577" ht="22.5" customHeight="1">
      <c r="A1577" s="20"/>
      <c r="B1577" s="60"/>
      <c r="C1577" s="14"/>
      <c r="D1577" s="17"/>
      <c r="E1577" s="18"/>
      <c r="F1577" s="18"/>
      <c r="G1577" s="20"/>
      <c r="H1577" s="18"/>
      <c r="I1577" s="21"/>
    </row>
    <row r="1578" ht="22.5" customHeight="1">
      <c r="A1578" s="20"/>
      <c r="B1578" s="60"/>
      <c r="C1578" s="14"/>
      <c r="D1578" s="17"/>
      <c r="E1578" s="18"/>
      <c r="F1578" s="18"/>
      <c r="G1578" s="20"/>
      <c r="H1578" s="18"/>
      <c r="I1578" s="21"/>
    </row>
    <row r="1579" ht="22.5" customHeight="1">
      <c r="A1579" s="20"/>
      <c r="B1579" s="60"/>
      <c r="C1579" s="14"/>
      <c r="D1579" s="17"/>
      <c r="E1579" s="18"/>
      <c r="F1579" s="18"/>
      <c r="G1579" s="20"/>
      <c r="H1579" s="18"/>
      <c r="I1579" s="21"/>
    </row>
    <row r="1580" ht="22.5" customHeight="1">
      <c r="A1580" s="20"/>
      <c r="B1580" s="60"/>
      <c r="C1580" s="14"/>
      <c r="D1580" s="17"/>
      <c r="E1580" s="18"/>
      <c r="F1580" s="18"/>
      <c r="G1580" s="20"/>
      <c r="H1580" s="18"/>
      <c r="I1580" s="21"/>
    </row>
    <row r="1581" ht="22.5" customHeight="1">
      <c r="A1581" s="20"/>
      <c r="B1581" s="60"/>
      <c r="C1581" s="14"/>
      <c r="D1581" s="17"/>
      <c r="E1581" s="18"/>
      <c r="F1581" s="18"/>
      <c r="G1581" s="20"/>
      <c r="H1581" s="18"/>
      <c r="I1581" s="21"/>
    </row>
    <row r="1582" ht="22.5" customHeight="1">
      <c r="A1582" s="20"/>
      <c r="B1582" s="60"/>
      <c r="C1582" s="14"/>
      <c r="D1582" s="17"/>
      <c r="E1582" s="18"/>
      <c r="F1582" s="18"/>
      <c r="G1582" s="20"/>
      <c r="H1582" s="18"/>
      <c r="I1582" s="21"/>
    </row>
    <row r="1583" ht="22.5" customHeight="1">
      <c r="A1583" s="20"/>
      <c r="B1583" s="60"/>
      <c r="C1583" s="14"/>
      <c r="D1583" s="17"/>
      <c r="E1583" s="18"/>
      <c r="F1583" s="18"/>
      <c r="G1583" s="20"/>
      <c r="H1583" s="18"/>
      <c r="I1583" s="21"/>
    </row>
    <row r="1584" ht="22.5" customHeight="1">
      <c r="A1584" s="20"/>
      <c r="B1584" s="60"/>
      <c r="C1584" s="14"/>
      <c r="D1584" s="17"/>
      <c r="E1584" s="18"/>
      <c r="F1584" s="18"/>
      <c r="G1584" s="20"/>
      <c r="H1584" s="18"/>
      <c r="I1584" s="21"/>
    </row>
    <row r="1585" ht="22.5" customHeight="1">
      <c r="A1585" s="20"/>
      <c r="B1585" s="60"/>
      <c r="C1585" s="14"/>
      <c r="D1585" s="17"/>
      <c r="E1585" s="18"/>
      <c r="F1585" s="18"/>
      <c r="G1585" s="20"/>
      <c r="H1585" s="18"/>
      <c r="I1585" s="21"/>
    </row>
    <row r="1586" ht="22.5" customHeight="1">
      <c r="A1586" s="20"/>
      <c r="B1586" s="60"/>
      <c r="C1586" s="14"/>
      <c r="D1586" s="17"/>
      <c r="E1586" s="18"/>
      <c r="F1586" s="18"/>
      <c r="G1586" s="20"/>
      <c r="H1586" s="18"/>
      <c r="I1586" s="21"/>
    </row>
    <row r="1587" ht="22.5" customHeight="1">
      <c r="A1587" s="20"/>
      <c r="B1587" s="60"/>
      <c r="C1587" s="14"/>
      <c r="D1587" s="17"/>
      <c r="E1587" s="18"/>
      <c r="F1587" s="18"/>
      <c r="G1587" s="20"/>
      <c r="H1587" s="18"/>
      <c r="I1587" s="21"/>
    </row>
    <row r="1588" ht="22.5" customHeight="1">
      <c r="A1588" s="20"/>
      <c r="B1588" s="60"/>
      <c r="C1588" s="14"/>
      <c r="D1588" s="17"/>
      <c r="E1588" s="18"/>
      <c r="F1588" s="18"/>
      <c r="G1588" s="20"/>
      <c r="H1588" s="18"/>
      <c r="I1588" s="21"/>
    </row>
    <row r="1589" ht="22.5" customHeight="1">
      <c r="A1589" s="20"/>
      <c r="B1589" s="60"/>
      <c r="C1589" s="14"/>
      <c r="D1589" s="17"/>
      <c r="E1589" s="18"/>
      <c r="F1589" s="18"/>
      <c r="G1589" s="20"/>
      <c r="H1589" s="18"/>
      <c r="I1589" s="21"/>
    </row>
    <row r="1590" ht="22.5" customHeight="1">
      <c r="A1590" s="20"/>
      <c r="B1590" s="60"/>
      <c r="C1590" s="14"/>
      <c r="D1590" s="17"/>
      <c r="E1590" s="18"/>
      <c r="F1590" s="18"/>
      <c r="G1590" s="20"/>
      <c r="H1590" s="18"/>
      <c r="I1590" s="21"/>
    </row>
    <row r="1591" ht="22.5" customHeight="1">
      <c r="A1591" s="20"/>
      <c r="B1591" s="60"/>
      <c r="C1591" s="14"/>
      <c r="D1591" s="17"/>
      <c r="E1591" s="18"/>
      <c r="F1591" s="18"/>
      <c r="G1591" s="20"/>
      <c r="H1591" s="18"/>
      <c r="I1591" s="21"/>
    </row>
    <row r="1592" ht="22.5" customHeight="1">
      <c r="A1592" s="20"/>
      <c r="B1592" s="60"/>
      <c r="C1592" s="14"/>
      <c r="D1592" s="17"/>
      <c r="E1592" s="18"/>
      <c r="F1592" s="18"/>
      <c r="G1592" s="20"/>
      <c r="H1592" s="18"/>
      <c r="I1592" s="21"/>
    </row>
    <row r="1593" ht="22.5" customHeight="1">
      <c r="A1593" s="20"/>
      <c r="B1593" s="60"/>
      <c r="C1593" s="14"/>
      <c r="D1593" s="17"/>
      <c r="E1593" s="18"/>
      <c r="F1593" s="18"/>
      <c r="G1593" s="20"/>
      <c r="H1593" s="18"/>
      <c r="I1593" s="21"/>
    </row>
    <row r="1594" ht="22.5" customHeight="1">
      <c r="A1594" s="20"/>
      <c r="B1594" s="60"/>
      <c r="C1594" s="14"/>
      <c r="D1594" s="17"/>
      <c r="E1594" s="18"/>
      <c r="F1594" s="18"/>
      <c r="G1594" s="20"/>
      <c r="H1594" s="18"/>
      <c r="I1594" s="21"/>
    </row>
    <row r="1595" ht="22.5" customHeight="1">
      <c r="A1595" s="20"/>
      <c r="B1595" s="60"/>
      <c r="C1595" s="14"/>
      <c r="D1595" s="17"/>
      <c r="E1595" s="18"/>
      <c r="F1595" s="18"/>
      <c r="G1595" s="20"/>
      <c r="H1595" s="18"/>
      <c r="I1595" s="21"/>
    </row>
    <row r="1596" ht="22.5" customHeight="1">
      <c r="A1596" s="20"/>
      <c r="B1596" s="60"/>
      <c r="C1596" s="14"/>
      <c r="D1596" s="17"/>
      <c r="E1596" s="18"/>
      <c r="F1596" s="18"/>
      <c r="G1596" s="20"/>
      <c r="H1596" s="18"/>
      <c r="I1596" s="21"/>
    </row>
    <row r="1597" ht="22.5" customHeight="1">
      <c r="A1597" s="20"/>
      <c r="B1597" s="60"/>
      <c r="C1597" s="14"/>
      <c r="D1597" s="17"/>
      <c r="E1597" s="18"/>
      <c r="F1597" s="18"/>
      <c r="G1597" s="20"/>
      <c r="H1597" s="18"/>
      <c r="I1597" s="21"/>
    </row>
    <row r="1598" ht="22.5" customHeight="1">
      <c r="A1598" s="20"/>
      <c r="B1598" s="60"/>
      <c r="C1598" s="14"/>
      <c r="D1598" s="17"/>
      <c r="E1598" s="18"/>
      <c r="F1598" s="18"/>
      <c r="G1598" s="20"/>
      <c r="H1598" s="18"/>
      <c r="I1598" s="21"/>
    </row>
    <row r="1599" ht="22.5" customHeight="1">
      <c r="A1599" s="20"/>
      <c r="B1599" s="60"/>
      <c r="C1599" s="14"/>
      <c r="D1599" s="17"/>
      <c r="E1599" s="18"/>
      <c r="F1599" s="18"/>
      <c r="G1599" s="20"/>
      <c r="H1599" s="18"/>
      <c r="I1599" s="21"/>
    </row>
    <row r="1600" ht="22.5" customHeight="1">
      <c r="A1600" s="20"/>
      <c r="B1600" s="60"/>
      <c r="C1600" s="14"/>
      <c r="D1600" s="17"/>
      <c r="E1600" s="18"/>
      <c r="F1600" s="18"/>
      <c r="G1600" s="20"/>
      <c r="H1600" s="18"/>
      <c r="I1600" s="21"/>
    </row>
    <row r="1601" ht="22.5" customHeight="1">
      <c r="A1601" s="20"/>
      <c r="B1601" s="60"/>
      <c r="C1601" s="14"/>
      <c r="D1601" s="17"/>
      <c r="E1601" s="18"/>
      <c r="F1601" s="18"/>
      <c r="G1601" s="20"/>
      <c r="H1601" s="18"/>
      <c r="I1601" s="21"/>
    </row>
    <row r="1602" ht="22.5" customHeight="1">
      <c r="A1602" s="20"/>
      <c r="B1602" s="60"/>
      <c r="C1602" s="14"/>
      <c r="D1602" s="17"/>
      <c r="E1602" s="18"/>
      <c r="F1602" s="18"/>
      <c r="G1602" s="20"/>
      <c r="H1602" s="18"/>
      <c r="I1602" s="21"/>
    </row>
    <row r="1603" ht="22.5" customHeight="1">
      <c r="A1603" s="20"/>
      <c r="B1603" s="60"/>
      <c r="C1603" s="14"/>
      <c r="D1603" s="17"/>
      <c r="E1603" s="18"/>
      <c r="F1603" s="18"/>
      <c r="G1603" s="20"/>
      <c r="H1603" s="18"/>
      <c r="I1603" s="21"/>
    </row>
    <row r="1604" ht="22.5" customHeight="1">
      <c r="A1604" s="20"/>
      <c r="B1604" s="60"/>
      <c r="C1604" s="14"/>
      <c r="D1604" s="17"/>
      <c r="E1604" s="18"/>
      <c r="F1604" s="18"/>
      <c r="G1604" s="20"/>
      <c r="H1604" s="18"/>
      <c r="I1604" s="21"/>
    </row>
    <row r="1605" ht="22.5" customHeight="1">
      <c r="A1605" s="20"/>
      <c r="B1605" s="60"/>
      <c r="C1605" s="14"/>
      <c r="D1605" s="17"/>
      <c r="E1605" s="18"/>
      <c r="F1605" s="18"/>
      <c r="G1605" s="20"/>
      <c r="H1605" s="18"/>
      <c r="I1605" s="21"/>
    </row>
    <row r="1606" ht="22.5" customHeight="1">
      <c r="A1606" s="20"/>
      <c r="B1606" s="60"/>
      <c r="C1606" s="14"/>
      <c r="D1606" s="17"/>
      <c r="E1606" s="18"/>
      <c r="F1606" s="18"/>
      <c r="G1606" s="20"/>
      <c r="H1606" s="18"/>
      <c r="I1606" s="21"/>
    </row>
    <row r="1607" ht="22.5" customHeight="1">
      <c r="A1607" s="20"/>
      <c r="B1607" s="60"/>
      <c r="C1607" s="14"/>
      <c r="D1607" s="17"/>
      <c r="E1607" s="18"/>
      <c r="F1607" s="18"/>
      <c r="G1607" s="20"/>
      <c r="H1607" s="18"/>
      <c r="I1607" s="21"/>
    </row>
    <row r="1608" ht="22.5" customHeight="1">
      <c r="A1608" s="20"/>
      <c r="B1608" s="60"/>
      <c r="C1608" s="14"/>
      <c r="D1608" s="17"/>
      <c r="E1608" s="18"/>
      <c r="F1608" s="18"/>
      <c r="G1608" s="20"/>
      <c r="H1608" s="18"/>
      <c r="I1608" s="21"/>
    </row>
    <row r="1609" ht="22.5" customHeight="1">
      <c r="A1609" s="20"/>
      <c r="B1609" s="60"/>
      <c r="C1609" s="14"/>
      <c r="D1609" s="17"/>
      <c r="E1609" s="18"/>
      <c r="F1609" s="18"/>
      <c r="G1609" s="20"/>
      <c r="H1609" s="18"/>
      <c r="I1609" s="21"/>
    </row>
    <row r="1610" ht="22.5" customHeight="1">
      <c r="A1610" s="20"/>
      <c r="B1610" s="60"/>
      <c r="C1610" s="14"/>
      <c r="D1610" s="17"/>
      <c r="E1610" s="18"/>
      <c r="F1610" s="18"/>
      <c r="G1610" s="20"/>
      <c r="H1610" s="18"/>
      <c r="I1610" s="21"/>
    </row>
    <row r="1611" ht="22.5" customHeight="1">
      <c r="A1611" s="20"/>
      <c r="B1611" s="60"/>
      <c r="C1611" s="14"/>
      <c r="D1611" s="17"/>
      <c r="E1611" s="18"/>
      <c r="F1611" s="18"/>
      <c r="G1611" s="20"/>
      <c r="H1611" s="18"/>
      <c r="I1611" s="21"/>
    </row>
    <row r="1612" ht="22.5" customHeight="1">
      <c r="A1612" s="20"/>
      <c r="B1612" s="60"/>
      <c r="C1612" s="14"/>
      <c r="D1612" s="17"/>
      <c r="E1612" s="18"/>
      <c r="F1612" s="18"/>
      <c r="G1612" s="20"/>
      <c r="H1612" s="18"/>
      <c r="I1612" s="21"/>
    </row>
    <row r="1613" ht="22.5" customHeight="1">
      <c r="A1613" s="20"/>
      <c r="B1613" s="60"/>
      <c r="C1613" s="14"/>
      <c r="D1613" s="17"/>
      <c r="E1613" s="18"/>
      <c r="F1613" s="18"/>
      <c r="G1613" s="20"/>
      <c r="H1613" s="18"/>
      <c r="I1613" s="21"/>
    </row>
    <row r="1614" ht="22.5" customHeight="1">
      <c r="A1614" s="20"/>
      <c r="B1614" s="60"/>
      <c r="C1614" s="14"/>
      <c r="D1614" s="17"/>
      <c r="E1614" s="18"/>
      <c r="F1614" s="18"/>
      <c r="G1614" s="20"/>
      <c r="H1614" s="18"/>
      <c r="I1614" s="21"/>
    </row>
    <row r="1615" ht="22.5" customHeight="1">
      <c r="A1615" s="20"/>
      <c r="B1615" s="60"/>
      <c r="C1615" s="14"/>
      <c r="D1615" s="17"/>
      <c r="E1615" s="18"/>
      <c r="F1615" s="18"/>
      <c r="G1615" s="20"/>
      <c r="H1615" s="18"/>
      <c r="I1615" s="21"/>
    </row>
    <row r="1616" ht="22.5" customHeight="1">
      <c r="A1616" s="20"/>
      <c r="B1616" s="60"/>
      <c r="C1616" s="14"/>
      <c r="D1616" s="17"/>
      <c r="E1616" s="18"/>
      <c r="F1616" s="18"/>
      <c r="G1616" s="20"/>
      <c r="H1616" s="18"/>
      <c r="I1616" s="21"/>
    </row>
    <row r="1617" ht="22.5" customHeight="1">
      <c r="A1617" s="20"/>
      <c r="B1617" s="60"/>
      <c r="C1617" s="14"/>
      <c r="D1617" s="17"/>
      <c r="E1617" s="18"/>
      <c r="F1617" s="18"/>
      <c r="G1617" s="20"/>
      <c r="H1617" s="18"/>
      <c r="I1617" s="21"/>
    </row>
    <row r="1618" ht="22.5" customHeight="1">
      <c r="A1618" s="20"/>
      <c r="B1618" s="60"/>
      <c r="C1618" s="14"/>
      <c r="D1618" s="17"/>
      <c r="E1618" s="18"/>
      <c r="F1618" s="18"/>
      <c r="G1618" s="20"/>
      <c r="H1618" s="18"/>
      <c r="I1618" s="21"/>
    </row>
    <row r="1619" ht="22.5" customHeight="1">
      <c r="A1619" s="20"/>
      <c r="B1619" s="60"/>
      <c r="C1619" s="14"/>
      <c r="D1619" s="17"/>
      <c r="E1619" s="18"/>
      <c r="F1619" s="18"/>
      <c r="G1619" s="20"/>
      <c r="H1619" s="18"/>
      <c r="I1619" s="21"/>
    </row>
    <row r="1620" ht="22.5" customHeight="1">
      <c r="A1620" s="20"/>
      <c r="B1620" s="60"/>
      <c r="C1620" s="14"/>
      <c r="D1620" s="17"/>
      <c r="E1620" s="18"/>
      <c r="F1620" s="18"/>
      <c r="G1620" s="20"/>
      <c r="H1620" s="18"/>
      <c r="I1620" s="21"/>
    </row>
    <row r="1621" ht="22.5" customHeight="1">
      <c r="A1621" s="20"/>
      <c r="B1621" s="60"/>
      <c r="C1621" s="14"/>
      <c r="D1621" s="17"/>
      <c r="E1621" s="18"/>
      <c r="F1621" s="18"/>
      <c r="G1621" s="20"/>
      <c r="H1621" s="18"/>
      <c r="I1621" s="21"/>
    </row>
    <row r="1622" ht="22.5" customHeight="1">
      <c r="A1622" s="20"/>
      <c r="B1622" s="60"/>
      <c r="C1622" s="14"/>
      <c r="D1622" s="17"/>
      <c r="E1622" s="18"/>
      <c r="F1622" s="18"/>
      <c r="G1622" s="20"/>
      <c r="H1622" s="18"/>
      <c r="I1622" s="21"/>
    </row>
    <row r="1623" ht="22.5" customHeight="1">
      <c r="A1623" s="20"/>
      <c r="B1623" s="60"/>
      <c r="C1623" s="14"/>
      <c r="D1623" s="17"/>
      <c r="E1623" s="18"/>
      <c r="F1623" s="18"/>
      <c r="G1623" s="20"/>
      <c r="H1623" s="18"/>
      <c r="I1623" s="21"/>
    </row>
    <row r="1624" ht="22.5" customHeight="1">
      <c r="A1624" s="20"/>
      <c r="B1624" s="60"/>
      <c r="C1624" s="14"/>
      <c r="D1624" s="17"/>
      <c r="E1624" s="18"/>
      <c r="F1624" s="18"/>
      <c r="G1624" s="20"/>
      <c r="H1624" s="18"/>
      <c r="I1624" s="21"/>
    </row>
    <row r="1625" ht="22.5" customHeight="1">
      <c r="A1625" s="20"/>
      <c r="B1625" s="60"/>
      <c r="C1625" s="14"/>
      <c r="D1625" s="17"/>
      <c r="E1625" s="18"/>
      <c r="F1625" s="18"/>
      <c r="G1625" s="20"/>
      <c r="H1625" s="18"/>
      <c r="I1625" s="21"/>
    </row>
    <row r="1626" ht="22.5" customHeight="1">
      <c r="A1626" s="20"/>
      <c r="B1626" s="60"/>
      <c r="C1626" s="14"/>
      <c r="D1626" s="17"/>
      <c r="E1626" s="18"/>
      <c r="F1626" s="18"/>
      <c r="G1626" s="20"/>
      <c r="H1626" s="18"/>
      <c r="I1626" s="21"/>
    </row>
    <row r="1627" ht="22.5" customHeight="1">
      <c r="A1627" s="20"/>
      <c r="B1627" s="60"/>
      <c r="C1627" s="14"/>
      <c r="D1627" s="17"/>
      <c r="E1627" s="18"/>
      <c r="F1627" s="18"/>
      <c r="G1627" s="20"/>
      <c r="H1627" s="18"/>
      <c r="I1627" s="21"/>
    </row>
    <row r="1628" ht="22.5" customHeight="1">
      <c r="A1628" s="20"/>
      <c r="B1628" s="60"/>
      <c r="C1628" s="14"/>
      <c r="D1628" s="17"/>
      <c r="E1628" s="18"/>
      <c r="F1628" s="18"/>
      <c r="G1628" s="20"/>
      <c r="H1628" s="18"/>
      <c r="I1628" s="21"/>
    </row>
    <row r="1629" ht="22.5" customHeight="1">
      <c r="A1629" s="20"/>
      <c r="B1629" s="60"/>
      <c r="C1629" s="14"/>
      <c r="D1629" s="17"/>
      <c r="E1629" s="18"/>
      <c r="F1629" s="18"/>
      <c r="G1629" s="20"/>
      <c r="H1629" s="18"/>
      <c r="I1629" s="21"/>
    </row>
    <row r="1630" ht="22.5" customHeight="1">
      <c r="A1630" s="20"/>
      <c r="B1630" s="60"/>
      <c r="C1630" s="14"/>
      <c r="D1630" s="17"/>
      <c r="E1630" s="18"/>
      <c r="F1630" s="18"/>
      <c r="G1630" s="20"/>
      <c r="H1630" s="18"/>
      <c r="I1630" s="21"/>
    </row>
    <row r="1631" ht="22.5" customHeight="1">
      <c r="A1631" s="20"/>
      <c r="B1631" s="60"/>
      <c r="C1631" s="14"/>
      <c r="D1631" s="17"/>
      <c r="E1631" s="18"/>
      <c r="F1631" s="18"/>
      <c r="G1631" s="20"/>
      <c r="H1631" s="18"/>
      <c r="I1631" s="21"/>
    </row>
    <row r="1632" ht="22.5" customHeight="1">
      <c r="A1632" s="20"/>
      <c r="B1632" s="60"/>
      <c r="C1632" s="14"/>
      <c r="D1632" s="17"/>
      <c r="E1632" s="18"/>
      <c r="F1632" s="18"/>
      <c r="G1632" s="20"/>
      <c r="H1632" s="18"/>
      <c r="I1632" s="21"/>
    </row>
    <row r="1633" ht="22.5" customHeight="1">
      <c r="A1633" s="20"/>
      <c r="B1633" s="60"/>
      <c r="C1633" s="14"/>
      <c r="D1633" s="17"/>
      <c r="E1633" s="18"/>
      <c r="F1633" s="18"/>
      <c r="G1633" s="20"/>
      <c r="H1633" s="18"/>
      <c r="I1633" s="21"/>
    </row>
    <row r="1634" ht="22.5" customHeight="1">
      <c r="A1634" s="20"/>
      <c r="B1634" s="60"/>
      <c r="C1634" s="14"/>
      <c r="D1634" s="17"/>
      <c r="E1634" s="18"/>
      <c r="F1634" s="18"/>
      <c r="G1634" s="20"/>
      <c r="H1634" s="18"/>
      <c r="I1634" s="21"/>
    </row>
    <row r="1635" ht="22.5" customHeight="1">
      <c r="A1635" s="20"/>
      <c r="B1635" s="60"/>
      <c r="C1635" s="14"/>
      <c r="D1635" s="17"/>
      <c r="E1635" s="18"/>
      <c r="F1635" s="18"/>
      <c r="G1635" s="20"/>
      <c r="H1635" s="18"/>
      <c r="I1635" s="21"/>
    </row>
    <row r="1636" ht="22.5" customHeight="1">
      <c r="A1636" s="20"/>
      <c r="B1636" s="60"/>
      <c r="C1636" s="14"/>
      <c r="D1636" s="17"/>
      <c r="E1636" s="18"/>
      <c r="F1636" s="18"/>
      <c r="G1636" s="20"/>
      <c r="H1636" s="18"/>
      <c r="I1636" s="21"/>
    </row>
    <row r="1637" ht="22.5" customHeight="1">
      <c r="A1637" s="20"/>
      <c r="B1637" s="60"/>
      <c r="C1637" s="14"/>
      <c r="D1637" s="17"/>
      <c r="E1637" s="18"/>
      <c r="F1637" s="18"/>
      <c r="G1637" s="20"/>
      <c r="H1637" s="18"/>
      <c r="I1637" s="21"/>
    </row>
    <row r="1638" ht="22.5" customHeight="1">
      <c r="A1638" s="20"/>
      <c r="B1638" s="60"/>
      <c r="C1638" s="14"/>
      <c r="D1638" s="17"/>
      <c r="E1638" s="18"/>
      <c r="F1638" s="18"/>
      <c r="G1638" s="20"/>
      <c r="H1638" s="18"/>
      <c r="I1638" s="21"/>
    </row>
    <row r="1639" ht="22.5" customHeight="1">
      <c r="A1639" s="20"/>
      <c r="B1639" s="60"/>
      <c r="C1639" s="14"/>
      <c r="D1639" s="17"/>
      <c r="E1639" s="18"/>
      <c r="F1639" s="18"/>
      <c r="G1639" s="20"/>
      <c r="H1639" s="18"/>
      <c r="I1639" s="21"/>
    </row>
    <row r="1640" ht="22.5" customHeight="1">
      <c r="A1640" s="20"/>
      <c r="B1640" s="60"/>
      <c r="C1640" s="14"/>
      <c r="D1640" s="17"/>
      <c r="E1640" s="18"/>
      <c r="F1640" s="18"/>
      <c r="G1640" s="20"/>
      <c r="H1640" s="18"/>
      <c r="I1640" s="21"/>
    </row>
    <row r="1641" ht="22.5" customHeight="1">
      <c r="A1641" s="20"/>
      <c r="B1641" s="60"/>
      <c r="C1641" s="14"/>
      <c r="D1641" s="17"/>
      <c r="E1641" s="18"/>
      <c r="F1641" s="18"/>
      <c r="G1641" s="20"/>
      <c r="H1641" s="18"/>
      <c r="I1641" s="21"/>
    </row>
    <row r="1642" ht="22.5" customHeight="1">
      <c r="A1642" s="20"/>
      <c r="B1642" s="60"/>
      <c r="C1642" s="14"/>
      <c r="D1642" s="17"/>
      <c r="E1642" s="18"/>
      <c r="F1642" s="18"/>
      <c r="G1642" s="20"/>
      <c r="H1642" s="18"/>
      <c r="I1642" s="21"/>
    </row>
    <row r="1643" ht="22.5" customHeight="1">
      <c r="A1643" s="20"/>
      <c r="B1643" s="60"/>
      <c r="C1643" s="14"/>
      <c r="D1643" s="17"/>
      <c r="E1643" s="18"/>
      <c r="F1643" s="18"/>
      <c r="G1643" s="20"/>
      <c r="H1643" s="18"/>
      <c r="I1643" s="21"/>
    </row>
    <row r="1644" ht="22.5" customHeight="1">
      <c r="A1644" s="20"/>
      <c r="B1644" s="60"/>
      <c r="C1644" s="14"/>
      <c r="D1644" s="17"/>
      <c r="E1644" s="18"/>
      <c r="F1644" s="18"/>
      <c r="G1644" s="20"/>
      <c r="H1644" s="18"/>
      <c r="I1644" s="21"/>
    </row>
    <row r="1645" ht="22.5" customHeight="1">
      <c r="A1645" s="20"/>
      <c r="B1645" s="60"/>
      <c r="C1645" s="14"/>
      <c r="D1645" s="17"/>
      <c r="E1645" s="18"/>
      <c r="F1645" s="18"/>
      <c r="G1645" s="20"/>
      <c r="H1645" s="18"/>
      <c r="I1645" s="21"/>
    </row>
    <row r="1646" ht="22.5" customHeight="1">
      <c r="A1646" s="20"/>
      <c r="B1646" s="60"/>
      <c r="C1646" s="14"/>
      <c r="D1646" s="17"/>
      <c r="E1646" s="18"/>
      <c r="F1646" s="18"/>
      <c r="G1646" s="20"/>
      <c r="H1646" s="18"/>
      <c r="I1646" s="21"/>
    </row>
    <row r="1647" ht="22.5" customHeight="1">
      <c r="A1647" s="20"/>
      <c r="B1647" s="60"/>
      <c r="C1647" s="14"/>
      <c r="D1647" s="17"/>
      <c r="E1647" s="18"/>
      <c r="F1647" s="18"/>
      <c r="G1647" s="20"/>
      <c r="H1647" s="18"/>
      <c r="I1647" s="21"/>
    </row>
    <row r="1648" ht="22.5" customHeight="1">
      <c r="A1648" s="20"/>
      <c r="B1648" s="60"/>
      <c r="C1648" s="14"/>
      <c r="D1648" s="17"/>
      <c r="E1648" s="18"/>
      <c r="F1648" s="18"/>
      <c r="G1648" s="20"/>
      <c r="H1648" s="18"/>
      <c r="I1648" s="21"/>
    </row>
    <row r="1649" ht="22.5" customHeight="1">
      <c r="A1649" s="20"/>
      <c r="B1649" s="60"/>
      <c r="C1649" s="14"/>
      <c r="D1649" s="17"/>
      <c r="E1649" s="18"/>
      <c r="F1649" s="18"/>
      <c r="G1649" s="20"/>
      <c r="H1649" s="18"/>
      <c r="I1649" s="21"/>
    </row>
    <row r="1650" ht="22.5" customHeight="1">
      <c r="A1650" s="20"/>
      <c r="B1650" s="60"/>
      <c r="C1650" s="14"/>
      <c r="D1650" s="17"/>
      <c r="E1650" s="18"/>
      <c r="F1650" s="18"/>
      <c r="G1650" s="20"/>
      <c r="H1650" s="18"/>
      <c r="I1650" s="21"/>
    </row>
    <row r="1651" ht="22.5" customHeight="1">
      <c r="A1651" s="20"/>
      <c r="B1651" s="60"/>
      <c r="C1651" s="14"/>
      <c r="D1651" s="17"/>
      <c r="E1651" s="18"/>
      <c r="F1651" s="18"/>
      <c r="G1651" s="20"/>
      <c r="H1651" s="18"/>
      <c r="I1651" s="21"/>
    </row>
    <row r="1652" ht="22.5" customHeight="1">
      <c r="A1652" s="20"/>
      <c r="B1652" s="60"/>
      <c r="C1652" s="14"/>
      <c r="D1652" s="17"/>
      <c r="E1652" s="18"/>
      <c r="F1652" s="18"/>
      <c r="G1652" s="20"/>
      <c r="H1652" s="18"/>
      <c r="I1652" s="21"/>
    </row>
    <row r="1653" ht="22.5" customHeight="1">
      <c r="A1653" s="20"/>
      <c r="B1653" s="60"/>
      <c r="C1653" s="14"/>
      <c r="D1653" s="17"/>
      <c r="E1653" s="18"/>
      <c r="F1653" s="18"/>
      <c r="G1653" s="20"/>
      <c r="H1653" s="18"/>
      <c r="I1653" s="21"/>
    </row>
    <row r="1654" ht="22.5" customHeight="1">
      <c r="A1654" s="20"/>
      <c r="B1654" s="60"/>
      <c r="C1654" s="14"/>
      <c r="D1654" s="17"/>
      <c r="E1654" s="18"/>
      <c r="F1654" s="18"/>
      <c r="G1654" s="20"/>
      <c r="H1654" s="18"/>
      <c r="I1654" s="21"/>
    </row>
    <row r="1655" ht="22.5" customHeight="1">
      <c r="A1655" s="20"/>
      <c r="B1655" s="60"/>
      <c r="C1655" s="14"/>
      <c r="D1655" s="17"/>
      <c r="E1655" s="18"/>
      <c r="F1655" s="18"/>
      <c r="G1655" s="20"/>
      <c r="H1655" s="18"/>
      <c r="I1655" s="21"/>
    </row>
    <row r="1656" ht="22.5" customHeight="1">
      <c r="A1656" s="20"/>
      <c r="B1656" s="60"/>
      <c r="C1656" s="14"/>
      <c r="D1656" s="17"/>
      <c r="E1656" s="18"/>
      <c r="F1656" s="18"/>
      <c r="G1656" s="20"/>
      <c r="H1656" s="18"/>
      <c r="I1656" s="21"/>
    </row>
    <row r="1657" ht="22.5" customHeight="1">
      <c r="A1657" s="20"/>
      <c r="B1657" s="60"/>
      <c r="C1657" s="14"/>
      <c r="D1657" s="17"/>
      <c r="E1657" s="18"/>
      <c r="F1657" s="18"/>
      <c r="G1657" s="20"/>
      <c r="H1657" s="18"/>
      <c r="I1657" s="21"/>
    </row>
    <row r="1658" ht="22.5" customHeight="1">
      <c r="A1658" s="20"/>
      <c r="B1658" s="60"/>
      <c r="C1658" s="14"/>
      <c r="D1658" s="17"/>
      <c r="E1658" s="18"/>
      <c r="F1658" s="18"/>
      <c r="G1658" s="20"/>
      <c r="H1658" s="18"/>
      <c r="I1658" s="21"/>
    </row>
    <row r="1659" ht="22.5" customHeight="1">
      <c r="A1659" s="20"/>
      <c r="B1659" s="60"/>
      <c r="C1659" s="14"/>
      <c r="D1659" s="17"/>
      <c r="E1659" s="18"/>
      <c r="F1659" s="18"/>
      <c r="G1659" s="20"/>
      <c r="H1659" s="18"/>
      <c r="I1659" s="21"/>
    </row>
    <row r="1660" ht="22.5" customHeight="1">
      <c r="A1660" s="20"/>
      <c r="B1660" s="60"/>
      <c r="C1660" s="14"/>
      <c r="D1660" s="17"/>
      <c r="E1660" s="18"/>
      <c r="F1660" s="18"/>
      <c r="G1660" s="20"/>
      <c r="H1660" s="18"/>
      <c r="I1660" s="21"/>
    </row>
    <row r="1661" ht="22.5" customHeight="1">
      <c r="A1661" s="20"/>
      <c r="B1661" s="60"/>
      <c r="C1661" s="14"/>
      <c r="D1661" s="17"/>
      <c r="E1661" s="18"/>
      <c r="F1661" s="18"/>
      <c r="G1661" s="20"/>
      <c r="H1661" s="18"/>
      <c r="I1661" s="21"/>
    </row>
    <row r="1662" ht="22.5" customHeight="1">
      <c r="A1662" s="20"/>
      <c r="B1662" s="60"/>
      <c r="C1662" s="14"/>
      <c r="D1662" s="17"/>
      <c r="E1662" s="18"/>
      <c r="F1662" s="18"/>
      <c r="G1662" s="20"/>
      <c r="H1662" s="18"/>
      <c r="I1662" s="21"/>
    </row>
    <row r="1663" ht="22.5" customHeight="1">
      <c r="A1663" s="20"/>
      <c r="B1663" s="60"/>
      <c r="C1663" s="14"/>
      <c r="D1663" s="17"/>
      <c r="E1663" s="18"/>
      <c r="F1663" s="18"/>
      <c r="G1663" s="20"/>
      <c r="H1663" s="18"/>
      <c r="I1663" s="21"/>
    </row>
    <row r="1664" ht="22.5" customHeight="1">
      <c r="A1664" s="20"/>
      <c r="B1664" s="60"/>
      <c r="C1664" s="14"/>
      <c r="D1664" s="17"/>
      <c r="E1664" s="18"/>
      <c r="F1664" s="18"/>
      <c r="G1664" s="20"/>
      <c r="H1664" s="18"/>
      <c r="I1664" s="21"/>
    </row>
    <row r="1665" ht="22.5" customHeight="1">
      <c r="A1665" s="20"/>
      <c r="B1665" s="60"/>
      <c r="C1665" s="14"/>
      <c r="D1665" s="17"/>
      <c r="E1665" s="18"/>
      <c r="F1665" s="18"/>
      <c r="G1665" s="20"/>
      <c r="H1665" s="18"/>
      <c r="I1665" s="21"/>
    </row>
    <row r="1666" ht="22.5" customHeight="1">
      <c r="A1666" s="20"/>
      <c r="B1666" s="60"/>
      <c r="C1666" s="14"/>
      <c r="D1666" s="17"/>
      <c r="E1666" s="18"/>
      <c r="F1666" s="18"/>
      <c r="G1666" s="20"/>
      <c r="H1666" s="18"/>
      <c r="I1666" s="21"/>
    </row>
    <row r="1667" ht="22.5" customHeight="1">
      <c r="A1667" s="20"/>
      <c r="B1667" s="60"/>
      <c r="C1667" s="14"/>
      <c r="D1667" s="17"/>
      <c r="E1667" s="18"/>
      <c r="F1667" s="18"/>
      <c r="G1667" s="20"/>
      <c r="H1667" s="18"/>
      <c r="I1667" s="21"/>
    </row>
    <row r="1668" ht="22.5" customHeight="1">
      <c r="A1668" s="20"/>
      <c r="B1668" s="60"/>
      <c r="C1668" s="14"/>
      <c r="D1668" s="17"/>
      <c r="E1668" s="18"/>
      <c r="F1668" s="18"/>
      <c r="G1668" s="20"/>
      <c r="H1668" s="18"/>
      <c r="I1668" s="21"/>
    </row>
    <row r="1669" ht="22.5" customHeight="1">
      <c r="A1669" s="20"/>
      <c r="B1669" s="60"/>
      <c r="C1669" s="14"/>
      <c r="D1669" s="17"/>
      <c r="E1669" s="18"/>
      <c r="F1669" s="18"/>
      <c r="G1669" s="20"/>
      <c r="H1669" s="18"/>
      <c r="I1669" s="21"/>
    </row>
    <row r="1670" ht="22.5" customHeight="1">
      <c r="A1670" s="20"/>
      <c r="B1670" s="60"/>
      <c r="C1670" s="14"/>
      <c r="D1670" s="17"/>
      <c r="E1670" s="18"/>
      <c r="F1670" s="18"/>
      <c r="G1670" s="20"/>
      <c r="H1670" s="18"/>
      <c r="I1670" s="21"/>
    </row>
    <row r="1671" ht="22.5" customHeight="1">
      <c r="A1671" s="20"/>
      <c r="B1671" s="60"/>
      <c r="C1671" s="14"/>
      <c r="D1671" s="17"/>
      <c r="E1671" s="18"/>
      <c r="F1671" s="18"/>
      <c r="G1671" s="20"/>
      <c r="H1671" s="18"/>
      <c r="I1671" s="21"/>
    </row>
    <row r="1672" ht="22.5" customHeight="1">
      <c r="A1672" s="20"/>
      <c r="B1672" s="60"/>
      <c r="C1672" s="14"/>
      <c r="D1672" s="17"/>
      <c r="E1672" s="18"/>
      <c r="F1672" s="18"/>
      <c r="G1672" s="20"/>
      <c r="H1672" s="18"/>
      <c r="I1672" s="21"/>
    </row>
    <row r="1673" ht="22.5" customHeight="1">
      <c r="A1673" s="20"/>
      <c r="B1673" s="60"/>
      <c r="C1673" s="14"/>
      <c r="D1673" s="17"/>
      <c r="E1673" s="18"/>
      <c r="F1673" s="18"/>
      <c r="G1673" s="20"/>
      <c r="H1673" s="18"/>
      <c r="I1673" s="21"/>
    </row>
    <row r="1674" ht="22.5" customHeight="1">
      <c r="A1674" s="20"/>
      <c r="B1674" s="60"/>
      <c r="C1674" s="14"/>
      <c r="D1674" s="17"/>
      <c r="E1674" s="18"/>
      <c r="F1674" s="18"/>
      <c r="G1674" s="20"/>
      <c r="H1674" s="18"/>
      <c r="I1674" s="21"/>
    </row>
    <row r="1675" ht="22.5" customHeight="1">
      <c r="A1675" s="20"/>
      <c r="B1675" s="60"/>
      <c r="C1675" s="14"/>
      <c r="D1675" s="17"/>
      <c r="E1675" s="18"/>
      <c r="F1675" s="18"/>
      <c r="G1675" s="20"/>
      <c r="H1675" s="18"/>
      <c r="I1675" s="21"/>
    </row>
    <row r="1676" ht="22.5" customHeight="1">
      <c r="A1676" s="20"/>
      <c r="B1676" s="60"/>
      <c r="C1676" s="14"/>
      <c r="D1676" s="17"/>
      <c r="E1676" s="18"/>
      <c r="F1676" s="18"/>
      <c r="G1676" s="20"/>
      <c r="H1676" s="18"/>
      <c r="I1676" s="21"/>
    </row>
    <row r="1677" ht="22.5" customHeight="1">
      <c r="A1677" s="20"/>
      <c r="B1677" s="60"/>
      <c r="C1677" s="14"/>
      <c r="D1677" s="17"/>
      <c r="E1677" s="18"/>
      <c r="F1677" s="18"/>
      <c r="G1677" s="20"/>
      <c r="H1677" s="18"/>
      <c r="I1677" s="21"/>
    </row>
    <row r="1678" ht="22.5" customHeight="1">
      <c r="A1678" s="20"/>
      <c r="B1678" s="60"/>
      <c r="C1678" s="14"/>
      <c r="D1678" s="17"/>
      <c r="E1678" s="18"/>
      <c r="F1678" s="18"/>
      <c r="G1678" s="20"/>
      <c r="H1678" s="18"/>
      <c r="I1678" s="21"/>
    </row>
    <row r="1679" ht="22.5" customHeight="1">
      <c r="A1679" s="20"/>
      <c r="B1679" s="60"/>
      <c r="C1679" s="14"/>
      <c r="D1679" s="17"/>
      <c r="E1679" s="18"/>
      <c r="F1679" s="18"/>
      <c r="G1679" s="20"/>
      <c r="H1679" s="18"/>
      <c r="I1679" s="21"/>
    </row>
    <row r="1680" ht="22.5" customHeight="1">
      <c r="A1680" s="20"/>
      <c r="B1680" s="60"/>
      <c r="C1680" s="14"/>
      <c r="D1680" s="17"/>
      <c r="E1680" s="18"/>
      <c r="F1680" s="18"/>
      <c r="G1680" s="20"/>
      <c r="H1680" s="18"/>
      <c r="I1680" s="21"/>
    </row>
    <row r="1681" ht="22.5" customHeight="1">
      <c r="A1681" s="20"/>
      <c r="B1681" s="60"/>
      <c r="C1681" s="14"/>
      <c r="D1681" s="17"/>
      <c r="E1681" s="18"/>
      <c r="F1681" s="18"/>
      <c r="G1681" s="20"/>
      <c r="H1681" s="18"/>
      <c r="I1681" s="21"/>
    </row>
    <row r="1682" ht="22.5" customHeight="1">
      <c r="A1682" s="20"/>
      <c r="B1682" s="60"/>
      <c r="C1682" s="14"/>
      <c r="D1682" s="17"/>
      <c r="E1682" s="18"/>
      <c r="F1682" s="18"/>
      <c r="G1682" s="20"/>
      <c r="H1682" s="18"/>
      <c r="I1682" s="21"/>
    </row>
    <row r="1683" ht="22.5" customHeight="1">
      <c r="A1683" s="20"/>
      <c r="B1683" s="60"/>
      <c r="C1683" s="14"/>
      <c r="D1683" s="17"/>
      <c r="E1683" s="18"/>
      <c r="F1683" s="18"/>
      <c r="G1683" s="20"/>
      <c r="H1683" s="18"/>
      <c r="I1683" s="21"/>
    </row>
    <row r="1684" ht="22.5" customHeight="1">
      <c r="A1684" s="20"/>
      <c r="B1684" s="60"/>
      <c r="C1684" s="14"/>
      <c r="D1684" s="17"/>
      <c r="E1684" s="18"/>
      <c r="F1684" s="18"/>
      <c r="G1684" s="20"/>
      <c r="H1684" s="18"/>
      <c r="I1684" s="21"/>
    </row>
    <row r="1685" ht="22.5" customHeight="1">
      <c r="A1685" s="20"/>
      <c r="B1685" s="60"/>
      <c r="C1685" s="14"/>
      <c r="D1685" s="17"/>
      <c r="E1685" s="18"/>
      <c r="F1685" s="18"/>
      <c r="G1685" s="20"/>
      <c r="H1685" s="18"/>
      <c r="I1685" s="21"/>
    </row>
    <row r="1686" ht="22.5" customHeight="1">
      <c r="A1686" s="20"/>
      <c r="B1686" s="60"/>
      <c r="C1686" s="14"/>
      <c r="D1686" s="17"/>
      <c r="E1686" s="18"/>
      <c r="F1686" s="18"/>
      <c r="G1686" s="20"/>
      <c r="H1686" s="18"/>
      <c r="I1686" s="21"/>
    </row>
    <row r="1687" ht="22.5" customHeight="1">
      <c r="A1687" s="20"/>
      <c r="B1687" s="60"/>
      <c r="C1687" s="14"/>
      <c r="D1687" s="17"/>
      <c r="E1687" s="18"/>
      <c r="F1687" s="18"/>
      <c r="G1687" s="20"/>
      <c r="H1687" s="18"/>
      <c r="I1687" s="21"/>
    </row>
    <row r="1688" ht="22.5" customHeight="1">
      <c r="A1688" s="20"/>
      <c r="B1688" s="60"/>
      <c r="C1688" s="14"/>
      <c r="D1688" s="17"/>
      <c r="E1688" s="18"/>
      <c r="F1688" s="18"/>
      <c r="G1688" s="20"/>
      <c r="H1688" s="18"/>
      <c r="I1688" s="21"/>
    </row>
    <row r="1689" ht="22.5" customHeight="1">
      <c r="A1689" s="20"/>
      <c r="B1689" s="60"/>
      <c r="C1689" s="14"/>
      <c r="D1689" s="17"/>
      <c r="E1689" s="18"/>
      <c r="F1689" s="18"/>
      <c r="G1689" s="20"/>
      <c r="H1689" s="18"/>
      <c r="I1689" s="21"/>
    </row>
    <row r="1690" ht="22.5" customHeight="1">
      <c r="A1690" s="20"/>
      <c r="B1690" s="60"/>
      <c r="C1690" s="14"/>
      <c r="D1690" s="17"/>
      <c r="E1690" s="18"/>
      <c r="F1690" s="18"/>
      <c r="G1690" s="20"/>
      <c r="H1690" s="18"/>
      <c r="I1690" s="21"/>
    </row>
    <row r="1691" ht="22.5" customHeight="1">
      <c r="A1691" s="20"/>
      <c r="B1691" s="60"/>
      <c r="C1691" s="14"/>
      <c r="D1691" s="17"/>
      <c r="E1691" s="18"/>
      <c r="F1691" s="18"/>
      <c r="G1691" s="20"/>
      <c r="H1691" s="18"/>
      <c r="I1691" s="21"/>
    </row>
    <row r="1692" ht="22.5" customHeight="1">
      <c r="A1692" s="20"/>
      <c r="B1692" s="60"/>
      <c r="C1692" s="14"/>
      <c r="D1692" s="17"/>
      <c r="E1692" s="18"/>
      <c r="F1692" s="18"/>
      <c r="G1692" s="20"/>
      <c r="H1692" s="18"/>
      <c r="I1692" s="21"/>
    </row>
    <row r="1693" ht="22.5" customHeight="1">
      <c r="A1693" s="20"/>
      <c r="B1693" s="60"/>
      <c r="C1693" s="14"/>
      <c r="D1693" s="17"/>
      <c r="E1693" s="18"/>
      <c r="F1693" s="18"/>
      <c r="G1693" s="20"/>
      <c r="H1693" s="18"/>
      <c r="I1693" s="21"/>
    </row>
    <row r="1694" ht="22.5" customHeight="1">
      <c r="A1694" s="20"/>
      <c r="B1694" s="60"/>
      <c r="C1694" s="14"/>
      <c r="D1694" s="17"/>
      <c r="E1694" s="18"/>
      <c r="F1694" s="18"/>
      <c r="G1694" s="20"/>
      <c r="H1694" s="18"/>
      <c r="I1694" s="21"/>
    </row>
    <row r="1695" ht="22.5" customHeight="1">
      <c r="A1695" s="20"/>
      <c r="B1695" s="60"/>
      <c r="C1695" s="14"/>
      <c r="D1695" s="17"/>
      <c r="E1695" s="18"/>
      <c r="F1695" s="18"/>
      <c r="G1695" s="20"/>
      <c r="H1695" s="18"/>
      <c r="I1695" s="21"/>
    </row>
    <row r="1696" ht="22.5" customHeight="1">
      <c r="A1696" s="20"/>
      <c r="B1696" s="60"/>
      <c r="C1696" s="14"/>
      <c r="D1696" s="17"/>
      <c r="E1696" s="18"/>
      <c r="F1696" s="18"/>
      <c r="G1696" s="20"/>
      <c r="H1696" s="18"/>
      <c r="I1696" s="21"/>
    </row>
    <row r="1697" ht="22.5" customHeight="1">
      <c r="A1697" s="20"/>
      <c r="B1697" s="60"/>
      <c r="C1697" s="14"/>
      <c r="D1697" s="17"/>
      <c r="E1697" s="18"/>
      <c r="F1697" s="18"/>
      <c r="G1697" s="20"/>
      <c r="H1697" s="18"/>
      <c r="I1697" s="21"/>
    </row>
    <row r="1698" ht="22.5" customHeight="1">
      <c r="A1698" s="20"/>
      <c r="B1698" s="60"/>
      <c r="C1698" s="14"/>
      <c r="D1698" s="17"/>
      <c r="E1698" s="18"/>
      <c r="F1698" s="18"/>
      <c r="G1698" s="20"/>
      <c r="H1698" s="18"/>
      <c r="I1698" s="21"/>
    </row>
    <row r="1699" ht="22.5" customHeight="1">
      <c r="A1699" s="20"/>
      <c r="B1699" s="60"/>
      <c r="C1699" s="14"/>
      <c r="D1699" s="17"/>
      <c r="E1699" s="18"/>
      <c r="F1699" s="18"/>
      <c r="G1699" s="20"/>
      <c r="H1699" s="18"/>
      <c r="I1699" s="21"/>
    </row>
    <row r="1700" ht="22.5" customHeight="1">
      <c r="A1700" s="20"/>
      <c r="B1700" s="60"/>
      <c r="C1700" s="14"/>
      <c r="D1700" s="17"/>
      <c r="E1700" s="18"/>
      <c r="F1700" s="18"/>
      <c r="G1700" s="20"/>
      <c r="H1700" s="18"/>
      <c r="I1700" s="21"/>
    </row>
    <row r="1701" ht="22.5" customHeight="1">
      <c r="A1701" s="20"/>
      <c r="B1701" s="60"/>
      <c r="C1701" s="14"/>
      <c r="D1701" s="17"/>
      <c r="E1701" s="18"/>
      <c r="F1701" s="18"/>
      <c r="G1701" s="20"/>
      <c r="H1701" s="18"/>
      <c r="I1701" s="21"/>
    </row>
    <row r="1702" ht="22.5" customHeight="1">
      <c r="A1702" s="20"/>
      <c r="B1702" s="60"/>
      <c r="C1702" s="14"/>
      <c r="D1702" s="17"/>
      <c r="E1702" s="18"/>
      <c r="F1702" s="18"/>
      <c r="G1702" s="20"/>
      <c r="H1702" s="18"/>
      <c r="I1702" s="21"/>
    </row>
    <row r="1703" ht="22.5" customHeight="1">
      <c r="A1703" s="20"/>
      <c r="B1703" s="60"/>
      <c r="C1703" s="14"/>
      <c r="D1703" s="17"/>
      <c r="E1703" s="18"/>
      <c r="F1703" s="18"/>
      <c r="G1703" s="20"/>
      <c r="H1703" s="18"/>
      <c r="I1703" s="21"/>
    </row>
  </sheetData>
  <dataValidations>
    <dataValidation type="list" allowBlank="1" sqref="B2">
      <formula1>'Cadastro Automático VTRSEÇÃOMIL'!$C$1:$C1703</formula1>
    </dataValidation>
    <dataValidation allowBlank="1" showDropDown="1" sqref="B5:B1703"/>
    <dataValidation type="list" allowBlank="1" sqref="B1">
      <formula1>'Cadastro Automático VTRSEÇÃOMIL'!$B$1:$B1703</formula1>
    </dataValidation>
  </dataValidations>
  <hyperlinks>
    <hyperlink r:id="rId1" ref="H2"/>
  </hyperlinks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2"/>
  <tableParts count="2">
    <tablePart r:id="rId5"/>
    <tablePart r:id="rId6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20.38"/>
    <col customWidth="1" min="2" max="2" width="50.13"/>
    <col customWidth="1" min="3" max="3" width="9.5"/>
    <col customWidth="1" min="4" max="4" width="12.25"/>
    <col customWidth="1" min="5" max="5" width="17.75"/>
    <col customWidth="1" min="6" max="6" width="30.5"/>
    <col customWidth="1" min="7" max="7" width="14.25"/>
    <col customWidth="1" min="8" max="8" width="31.25"/>
    <col customWidth="1" min="9" max="9" width="81.38"/>
  </cols>
  <sheetData>
    <row r="1" ht="21.0" customHeight="1">
      <c r="A1" s="1" t="s">
        <v>0</v>
      </c>
      <c r="B1" s="2" t="s">
        <v>23</v>
      </c>
      <c r="C1" s="3"/>
      <c r="D1" s="3"/>
      <c r="E1" s="3"/>
      <c r="F1" s="3"/>
      <c r="G1" s="4"/>
      <c r="H1" s="61"/>
      <c r="I1" s="5"/>
    </row>
    <row r="2" ht="17.25" customHeight="1">
      <c r="A2" s="1" t="s">
        <v>2</v>
      </c>
      <c r="B2" s="2"/>
      <c r="C2" s="3"/>
      <c r="D2" s="3"/>
      <c r="E2" s="3"/>
      <c r="F2" s="3"/>
      <c r="G2" s="62"/>
      <c r="H2" s="63"/>
      <c r="I2" s="64"/>
    </row>
    <row r="3" ht="30.0" customHeight="1">
      <c r="A3" s="3"/>
      <c r="B3" s="48"/>
      <c r="C3" s="3"/>
      <c r="D3" s="3"/>
      <c r="E3" s="3"/>
      <c r="F3" s="3"/>
      <c r="G3" s="4"/>
      <c r="H3" s="63"/>
      <c r="I3" s="8"/>
    </row>
    <row r="4" ht="37.5" customHeight="1">
      <c r="A4" s="9" t="s">
        <v>14</v>
      </c>
      <c r="B4" s="10" t="s">
        <v>4</v>
      </c>
      <c r="C4" s="11" t="s">
        <v>5</v>
      </c>
      <c r="D4" s="12" t="s">
        <v>6</v>
      </c>
      <c r="E4" s="12" t="s">
        <v>0</v>
      </c>
      <c r="F4" s="12" t="s">
        <v>7</v>
      </c>
      <c r="G4" s="11" t="s">
        <v>8</v>
      </c>
      <c r="H4" s="50" t="s">
        <v>9</v>
      </c>
      <c r="I4" s="59" t="s">
        <v>24</v>
      </c>
    </row>
    <row r="5" ht="22.5" customHeight="1">
      <c r="A5" s="22"/>
      <c r="B5" s="23"/>
      <c r="C5" s="24"/>
      <c r="D5" s="25"/>
      <c r="E5" s="26"/>
      <c r="F5" s="26"/>
      <c r="G5" s="27"/>
      <c r="H5" s="26"/>
      <c r="I5" s="29"/>
    </row>
    <row r="6" ht="25.5" customHeight="1">
      <c r="A6" s="30">
        <f>IFERROR(__xludf.DUMMYFUNCTION("IF(B2&lt;&gt;"""",FILTER('Planilhas compilada ordem alfab'!A2:I1703,'Planilhas compilada ordem alfab'!E2:E1703=B1,'Planilhas compilada ordem alfab'!F2:F1703=B2),FILTER('Planilhas compilada ordem alfab'!A2:I1703,'Planilhas compilada ordem alfab'!E2:E1703=B1))"),722.0)</f>
        <v>722</v>
      </c>
      <c r="B6" s="31" t="str">
        <f>IFERROR(__xludf.DUMMYFUNCTION("""COMPUTED_VALUE"""),"ANTENA ACOPLÁVEL AO RTK")</f>
        <v>ANTENA ACOPLÁVEL AO RTK</v>
      </c>
      <c r="C6" s="32">
        <f>IFERROR(__xludf.DUMMYFUNCTION("""COMPUTED_VALUE"""),1.0)</f>
        <v>1</v>
      </c>
      <c r="D6" s="33" t="str">
        <f>IFERROR(__xludf.DUMMYFUNCTION("""COMPUTED_VALUE"""),"SEÇÃO")</f>
        <v>SEÇÃO</v>
      </c>
      <c r="E6" s="34" t="str">
        <f>IFERROR(__xludf.DUMMYFUNCTION("""COMPUTED_VALUE"""),"3 - SOU")</f>
        <v>3 - SOU</v>
      </c>
      <c r="F6" s="34" t="str">
        <f>IFERROR(__xludf.DUMMYFUNCTION("""COMPUTED_VALUE"""),"CASE DRONE")</f>
        <v>CASE DRONE</v>
      </c>
      <c r="G6" s="35"/>
      <c r="H6" s="34"/>
      <c r="I6" s="37"/>
    </row>
    <row r="7" ht="22.5" customHeight="1">
      <c r="A7" s="30">
        <f>IFERROR(__xludf.DUMMYFUNCTION("""COMPUTED_VALUE"""),721.0)</f>
        <v>721</v>
      </c>
      <c r="B7" s="31" t="str">
        <f>IFERROR(__xludf.DUMMYFUNCTION("""COMPUTED_VALUE"""),"BASE RTK")</f>
        <v>BASE RTK</v>
      </c>
      <c r="C7" s="32">
        <f>IFERROR(__xludf.DUMMYFUNCTION("""COMPUTED_VALUE"""),1.0)</f>
        <v>1</v>
      </c>
      <c r="D7" s="33" t="str">
        <f>IFERROR(__xludf.DUMMYFUNCTION("""COMPUTED_VALUE"""),"SEÇÃO")</f>
        <v>SEÇÃO</v>
      </c>
      <c r="E7" s="34" t="str">
        <f>IFERROR(__xludf.DUMMYFUNCTION("""COMPUTED_VALUE"""),"3 - SOU")</f>
        <v>3 - SOU</v>
      </c>
      <c r="F7" s="34" t="str">
        <f>IFERROR(__xludf.DUMMYFUNCTION("""COMPUTED_VALUE"""),"CASE DRONE")</f>
        <v>CASE DRONE</v>
      </c>
      <c r="G7" s="35"/>
      <c r="H7" s="34"/>
      <c r="I7" s="37"/>
    </row>
    <row r="8" ht="22.5" customHeight="1">
      <c r="A8" s="30">
        <f>IFERROR(__xludf.DUMMYFUNCTION("""COMPUTED_VALUE"""),726.0)</f>
        <v>726</v>
      </c>
      <c r="B8" s="31" t="str">
        <f>IFERROR(__xludf.DUMMYFUNCTION("""COMPUTED_VALUE"""),"BASES PARA CARREGAMENTO DAS BATERIAS")</f>
        <v>BASES PARA CARREGAMENTO DAS BATERIAS</v>
      </c>
      <c r="C8" s="32">
        <f>IFERROR(__xludf.DUMMYFUNCTION("""COMPUTED_VALUE"""),2.0)</f>
        <v>2</v>
      </c>
      <c r="D8" s="33" t="str">
        <f>IFERROR(__xludf.DUMMYFUNCTION("""COMPUTED_VALUE"""),"SEÇÃO")</f>
        <v>SEÇÃO</v>
      </c>
      <c r="E8" s="34" t="str">
        <f>IFERROR(__xludf.DUMMYFUNCTION("""COMPUTED_VALUE"""),"3 - SOU")</f>
        <v>3 - SOU</v>
      </c>
      <c r="F8" s="34" t="str">
        <f>IFERROR(__xludf.DUMMYFUNCTION("""COMPUTED_VALUE"""),"CASE DRONE")</f>
        <v>CASE DRONE</v>
      </c>
      <c r="G8" s="35"/>
      <c r="H8" s="34"/>
      <c r="I8" s="38"/>
    </row>
    <row r="9" ht="22.5" customHeight="1">
      <c r="A9" s="30">
        <f>IFERROR(__xludf.DUMMYFUNCTION("""COMPUTED_VALUE"""),719.0)</f>
        <v>719</v>
      </c>
      <c r="B9" s="39" t="str">
        <f>IFERROR(__xludf.DUMMYFUNCTION("""COMPUTED_VALUE"""),"BATERIAS DA MATRIZ DO DRONE")</f>
        <v>BATERIAS DA MATRIZ DO DRONE</v>
      </c>
      <c r="C9" s="32">
        <f>IFERROR(__xludf.DUMMYFUNCTION("""COMPUTED_VALUE"""),13.0)</f>
        <v>13</v>
      </c>
      <c r="D9" s="33" t="str">
        <f>IFERROR(__xludf.DUMMYFUNCTION("""COMPUTED_VALUE"""),"SEÇÃO")</f>
        <v>SEÇÃO</v>
      </c>
      <c r="E9" s="34" t="str">
        <f>IFERROR(__xludf.DUMMYFUNCTION("""COMPUTED_VALUE"""),"3 - SOU")</f>
        <v>3 - SOU</v>
      </c>
      <c r="F9" s="34" t="str">
        <f>IFERROR(__xludf.DUMMYFUNCTION("""COMPUTED_VALUE"""),"CASE DRONE")</f>
        <v>CASE DRONE</v>
      </c>
      <c r="G9" s="35"/>
      <c r="H9" s="34"/>
      <c r="I9" s="37"/>
    </row>
    <row r="10" ht="22.5" customHeight="1">
      <c r="A10" s="30">
        <f>IFERROR(__xludf.DUMMYFUNCTION("""COMPUTED_VALUE"""),720.0)</f>
        <v>720</v>
      </c>
      <c r="B10" s="31" t="str">
        <f>IFERROR(__xludf.DUMMYFUNCTION("""COMPUTED_VALUE"""),"BATERIAS DO VISOR/CONTROLE")</f>
        <v>BATERIAS DO VISOR/CONTROLE</v>
      </c>
      <c r="C10" s="32">
        <f>IFERROR(__xludf.DUMMYFUNCTION("""COMPUTED_VALUE"""),3.0)</f>
        <v>3</v>
      </c>
      <c r="D10" s="33" t="str">
        <f>IFERROR(__xludf.DUMMYFUNCTION("""COMPUTED_VALUE"""),"SEÇÃO")</f>
        <v>SEÇÃO</v>
      </c>
      <c r="E10" s="34" t="str">
        <f>IFERROR(__xludf.DUMMYFUNCTION("""COMPUTED_VALUE"""),"3 - SOU")</f>
        <v>3 - SOU</v>
      </c>
      <c r="F10" s="34" t="str">
        <f>IFERROR(__xludf.DUMMYFUNCTION("""COMPUTED_VALUE"""),"CASE DRONE")</f>
        <v>CASE DRONE</v>
      </c>
      <c r="G10" s="35"/>
      <c r="H10" s="34"/>
      <c r="I10" s="37"/>
    </row>
    <row r="11" ht="22.5" customHeight="1">
      <c r="A11" s="30">
        <f>IFERROR(__xludf.DUMMYFUNCTION("""COMPUTED_VALUE"""),729.0)</f>
        <v>729</v>
      </c>
      <c r="B11" s="31" t="str">
        <f>IFERROR(__xludf.DUMMYFUNCTION("""COMPUTED_VALUE"""),"CABO DE DADOS")</f>
        <v>CABO DE DADOS</v>
      </c>
      <c r="C11" s="32">
        <f>IFERROR(__xludf.DUMMYFUNCTION("""COMPUTED_VALUE"""),1.0)</f>
        <v>1</v>
      </c>
      <c r="D11" s="33" t="str">
        <f>IFERROR(__xludf.DUMMYFUNCTION("""COMPUTED_VALUE"""),"SEÇÃO")</f>
        <v>SEÇÃO</v>
      </c>
      <c r="E11" s="34" t="str">
        <f>IFERROR(__xludf.DUMMYFUNCTION("""COMPUTED_VALUE"""),"3 - SOU")</f>
        <v>3 - SOU</v>
      </c>
      <c r="F11" s="34" t="str">
        <f>IFERROR(__xludf.DUMMYFUNCTION("""COMPUTED_VALUE"""),"CASE DRONE")</f>
        <v>CASE DRONE</v>
      </c>
      <c r="G11" s="35"/>
      <c r="H11" s="34"/>
      <c r="I11" s="37"/>
    </row>
    <row r="12" ht="22.5" customHeight="1">
      <c r="A12" s="30">
        <f>IFERROR(__xludf.DUMMYFUNCTION("""COMPUTED_VALUE"""),728.0)</f>
        <v>728</v>
      </c>
      <c r="B12" s="31" t="str">
        <f>IFERROR(__xludf.DUMMYFUNCTION("""COMPUTED_VALUE"""),"CABO DE FORÇA DO CARREGADOR DO HUB E DAS BASES DA BATERIA")</f>
        <v>CABO DE FORÇA DO CARREGADOR DO HUB E DAS BASES DA BATERIA</v>
      </c>
      <c r="C12" s="32">
        <f>IFERROR(__xludf.DUMMYFUNCTION("""COMPUTED_VALUE"""),2.0)</f>
        <v>2</v>
      </c>
      <c r="D12" s="33" t="str">
        <f>IFERROR(__xludf.DUMMYFUNCTION("""COMPUTED_VALUE"""),"SEÇÃO")</f>
        <v>SEÇÃO</v>
      </c>
      <c r="E12" s="34" t="str">
        <f>IFERROR(__xludf.DUMMYFUNCTION("""COMPUTED_VALUE"""),"3 - SOU")</f>
        <v>3 - SOU</v>
      </c>
      <c r="F12" s="34" t="str">
        <f>IFERROR(__xludf.DUMMYFUNCTION("""COMPUTED_VALUE"""),"CASE DRONE")</f>
        <v>CASE DRONE</v>
      </c>
      <c r="G12" s="35"/>
      <c r="H12" s="34"/>
      <c r="I12" s="37"/>
    </row>
    <row r="13" ht="22.5" customHeight="1">
      <c r="A13" s="30">
        <f>IFERROR(__xludf.DUMMYFUNCTION("""COMPUTED_VALUE"""),730.0)</f>
        <v>730</v>
      </c>
      <c r="B13" s="39" t="str">
        <f>IFERROR(__xludf.DUMMYFUNCTION("""COMPUTED_VALUE"""),"CASE PARA TRANSPORTE")</f>
        <v>CASE PARA TRANSPORTE</v>
      </c>
      <c r="C13" s="32">
        <f>IFERROR(__xludf.DUMMYFUNCTION("""COMPUTED_VALUE"""),1.0)</f>
        <v>1</v>
      </c>
      <c r="D13" s="33" t="str">
        <f>IFERROR(__xludf.DUMMYFUNCTION("""COMPUTED_VALUE"""),"SEÇÃO")</f>
        <v>SEÇÃO</v>
      </c>
      <c r="E13" s="34" t="str">
        <f>IFERROR(__xludf.DUMMYFUNCTION("""COMPUTED_VALUE"""),"3 - SOU")</f>
        <v>3 - SOU</v>
      </c>
      <c r="F13" s="34" t="str">
        <f>IFERROR(__xludf.DUMMYFUNCTION("""COMPUTED_VALUE"""),"CASE DRONE")</f>
        <v>CASE DRONE</v>
      </c>
      <c r="G13" s="35"/>
      <c r="H13" s="34"/>
      <c r="I13" s="37"/>
    </row>
    <row r="14" ht="22.5" customHeight="1">
      <c r="A14" s="30">
        <f>IFERROR(__xludf.DUMMYFUNCTION("""COMPUTED_VALUE"""),717.0)</f>
        <v>717</v>
      </c>
      <c r="B14" s="31" t="str">
        <f>IFERROR(__xludf.DUMMYFUNCTION("""COMPUTED_VALUE"""),"CONTROLE COM DUAS ANTENAS")</f>
        <v>CONTROLE COM DUAS ANTENAS</v>
      </c>
      <c r="C14" s="32">
        <f>IFERROR(__xludf.DUMMYFUNCTION("""COMPUTED_VALUE"""),1.0)</f>
        <v>1</v>
      </c>
      <c r="D14" s="33" t="str">
        <f>IFERROR(__xludf.DUMMYFUNCTION("""COMPUTED_VALUE"""),"SEÇÃO")</f>
        <v>SEÇÃO</v>
      </c>
      <c r="E14" s="34" t="str">
        <f>IFERROR(__xludf.DUMMYFUNCTION("""COMPUTED_VALUE"""),"3 - SOU")</f>
        <v>3 - SOU</v>
      </c>
      <c r="F14" s="34" t="str">
        <f>IFERROR(__xludf.DUMMYFUNCTION("""COMPUTED_VALUE"""),"CASE DRONE")</f>
        <v>CASE DRONE</v>
      </c>
      <c r="G14" s="35"/>
      <c r="H14" s="34"/>
      <c r="I14" s="37"/>
    </row>
    <row r="15" ht="22.5" customHeight="1">
      <c r="A15" s="30">
        <f>IFERROR(__xludf.DUMMYFUNCTION("""COMPUTED_VALUE"""),727.0)</f>
        <v>727</v>
      </c>
      <c r="B15" s="39" t="str">
        <f>IFERROR(__xludf.DUMMYFUNCTION("""COMPUTED_VALUE"""),"FONTE DO CARREGADOR FO HUB E DAS BASES DA BATERIA")</f>
        <v>FONTE DO CARREGADOR FO HUB E DAS BASES DA BATERIA</v>
      </c>
      <c r="C15" s="32">
        <f>IFERROR(__xludf.DUMMYFUNCTION("""COMPUTED_VALUE"""),2.0)</f>
        <v>2</v>
      </c>
      <c r="D15" s="33" t="str">
        <f>IFERROR(__xludf.DUMMYFUNCTION("""COMPUTED_VALUE"""),"SEÇÃO")</f>
        <v>SEÇÃO</v>
      </c>
      <c r="E15" s="34" t="str">
        <f>IFERROR(__xludf.DUMMYFUNCTION("""COMPUTED_VALUE"""),"3 - SOU")</f>
        <v>3 - SOU</v>
      </c>
      <c r="F15" s="34" t="str">
        <f>IFERROR(__xludf.DUMMYFUNCTION("""COMPUTED_VALUE"""),"CASE DRONE")</f>
        <v>CASE DRONE</v>
      </c>
      <c r="G15" s="35"/>
      <c r="H15" s="34"/>
      <c r="I15" s="37"/>
    </row>
    <row r="16" ht="22.5" customHeight="1">
      <c r="A16" s="30">
        <f>IFERROR(__xludf.DUMMYFUNCTION("""COMPUTED_VALUE"""),724.0)</f>
        <v>724</v>
      </c>
      <c r="B16" s="31" t="str">
        <f>IFERROR(__xludf.DUMMYFUNCTION("""COMPUTED_VALUE"""),"HÉLICES")</f>
        <v>HÉLICES</v>
      </c>
      <c r="C16" s="32">
        <f>IFERROR(__xludf.DUMMYFUNCTION("""COMPUTED_VALUE"""),11.0)</f>
        <v>11</v>
      </c>
      <c r="D16" s="33" t="str">
        <f>IFERROR(__xludf.DUMMYFUNCTION("""COMPUTED_VALUE"""),"SEÇÃO")</f>
        <v>SEÇÃO</v>
      </c>
      <c r="E16" s="34" t="str">
        <f>IFERROR(__xludf.DUMMYFUNCTION("""COMPUTED_VALUE"""),"3 - SOU")</f>
        <v>3 - SOU</v>
      </c>
      <c r="F16" s="34" t="str">
        <f>IFERROR(__xludf.DUMMYFUNCTION("""COMPUTED_VALUE"""),"CASE DRONE")</f>
        <v>CASE DRONE</v>
      </c>
      <c r="G16" s="35"/>
      <c r="H16" s="34"/>
      <c r="I16" s="37"/>
    </row>
    <row r="17" ht="22.5" customHeight="1">
      <c r="A17" s="30">
        <f>IFERROR(__xludf.DUMMYFUNCTION("""COMPUTED_VALUE"""),725.0)</f>
        <v>725</v>
      </c>
      <c r="B17" s="31" t="str">
        <f>IFERROR(__xludf.DUMMYFUNCTION("""COMPUTED_VALUE"""),"HUB COMPLETO DE CARREGAMENTO DAS BATERIAS DA MATRIZ")</f>
        <v>HUB COMPLETO DE CARREGAMENTO DAS BATERIAS DA MATRIZ</v>
      </c>
      <c r="C17" s="32">
        <f>IFERROR(__xludf.DUMMYFUNCTION("""COMPUTED_VALUE"""),2.0)</f>
        <v>2</v>
      </c>
      <c r="D17" s="33" t="str">
        <f>IFERROR(__xludf.DUMMYFUNCTION("""COMPUTED_VALUE"""),"SEÇÃO")</f>
        <v>SEÇÃO</v>
      </c>
      <c r="E17" s="34" t="str">
        <f>IFERROR(__xludf.DUMMYFUNCTION("""COMPUTED_VALUE"""),"3 - SOU")</f>
        <v>3 - SOU</v>
      </c>
      <c r="F17" s="34" t="str">
        <f>IFERROR(__xludf.DUMMYFUNCTION("""COMPUTED_VALUE"""),"CASE DRONE")</f>
        <v>CASE DRONE</v>
      </c>
      <c r="G17" s="35"/>
      <c r="H17" s="34"/>
      <c r="I17" s="37"/>
    </row>
    <row r="18" ht="22.5" customHeight="1">
      <c r="A18" s="30">
        <f>IFERROR(__xludf.DUMMYFUNCTION("""COMPUTED_VALUE"""),723.0)</f>
        <v>723</v>
      </c>
      <c r="B18" s="31" t="str">
        <f>IFERROR(__xludf.DUMMYFUNCTION("""COMPUTED_VALUE"""),"SKI DE POUSO")</f>
        <v>SKI DE POUSO</v>
      </c>
      <c r="C18" s="32">
        <f>IFERROR(__xludf.DUMMYFUNCTION("""COMPUTED_VALUE"""),2.0)</f>
        <v>2</v>
      </c>
      <c r="D18" s="33" t="str">
        <f>IFERROR(__xludf.DUMMYFUNCTION("""COMPUTED_VALUE"""),"SEÇÃO")</f>
        <v>SEÇÃO</v>
      </c>
      <c r="E18" s="34" t="str">
        <f>IFERROR(__xludf.DUMMYFUNCTION("""COMPUTED_VALUE"""),"3 - SOU")</f>
        <v>3 - SOU</v>
      </c>
      <c r="F18" s="34" t="str">
        <f>IFERROR(__xludf.DUMMYFUNCTION("""COMPUTED_VALUE"""),"CASE DRONE")</f>
        <v>CASE DRONE</v>
      </c>
      <c r="G18" s="35"/>
      <c r="H18" s="34"/>
      <c r="I18" s="37"/>
    </row>
    <row r="19" ht="22.5" customHeight="1">
      <c r="A19" s="30">
        <f>IFERROR(__xludf.DUMMYFUNCTION("""COMPUTED_VALUE"""),718.0)</f>
        <v>718</v>
      </c>
      <c r="B19" s="31" t="str">
        <f>IFERROR(__xludf.DUMMYFUNCTION("""COMPUTED_VALUE"""),"VISOR DO CONTROLE")</f>
        <v>VISOR DO CONTROLE</v>
      </c>
      <c r="C19" s="32">
        <f>IFERROR(__xludf.DUMMYFUNCTION("""COMPUTED_VALUE"""),1.0)</f>
        <v>1</v>
      </c>
      <c r="D19" s="33" t="str">
        <f>IFERROR(__xludf.DUMMYFUNCTION("""COMPUTED_VALUE"""),"SEÇÃO")</f>
        <v>SEÇÃO</v>
      </c>
      <c r="E19" s="34" t="str">
        <f>IFERROR(__xludf.DUMMYFUNCTION("""COMPUTED_VALUE"""),"3 - SOU")</f>
        <v>3 - SOU</v>
      </c>
      <c r="F19" s="34" t="str">
        <f>IFERROR(__xludf.DUMMYFUNCTION("""COMPUTED_VALUE"""),"CASE DRONE")</f>
        <v>CASE DRONE</v>
      </c>
      <c r="G19" s="35"/>
      <c r="H19" s="34"/>
      <c r="I19" s="37"/>
    </row>
    <row r="20" ht="22.5" customHeight="1">
      <c r="A20" s="30">
        <f>IFERROR(__xludf.DUMMYFUNCTION("""COMPUTED_VALUE"""),1526.0)</f>
        <v>1526</v>
      </c>
      <c r="B20" s="31" t="str">
        <f>IFERROR(__xludf.DUMMYFUNCTION("""COMPUTED_VALUE"""),"AERONAVE REMOTAMENTE PILOTADA RPA ( DRONE )")</f>
        <v>AERONAVE REMOTAMENTE PILOTADA RPA ( DRONE )</v>
      </c>
      <c r="C20" s="32">
        <f>IFERROR(__xludf.DUMMYFUNCTION("""COMPUTED_VALUE"""),1.0)</f>
        <v>1</v>
      </c>
      <c r="D20" s="33" t="str">
        <f>IFERROR(__xludf.DUMMYFUNCTION("""COMPUTED_VALUE"""),"SEÇÃO")</f>
        <v>SEÇÃO</v>
      </c>
      <c r="E20" s="34" t="str">
        <f>IFERROR(__xludf.DUMMYFUNCTION("""COMPUTED_VALUE"""),"3 - SOU")</f>
        <v>3 - SOU</v>
      </c>
      <c r="F20" s="34" t="str">
        <f>IFERROR(__xludf.DUMMYFUNCTION("""COMPUTED_VALUE"""),"CPD")</f>
        <v>CPD</v>
      </c>
      <c r="G20" s="35">
        <f>IFERROR(__xludf.DUMMYFUNCTION("""COMPUTED_VALUE"""),7.693117E7)</f>
        <v>76931170</v>
      </c>
      <c r="H20" s="34"/>
      <c r="I20" s="37" t="str">
        <f>IFERROR(__xludf.DUMMYFUNCTION("""COMPUTED_VALUE"""),"Matrice 210 RTK Zenmuse XT com cartão de memória 16 GB")</f>
        <v>Matrice 210 RTK Zenmuse XT com cartão de memória 16 GB</v>
      </c>
    </row>
    <row r="21" ht="22.5" customHeight="1">
      <c r="A21" s="30">
        <f>IFERROR(__xludf.DUMMYFUNCTION("""COMPUTED_VALUE"""),1143.0)</f>
        <v>1143</v>
      </c>
      <c r="B21" s="31" t="str">
        <f>IFERROR(__xludf.DUMMYFUNCTION("""COMPUTED_VALUE"""),"AERONAVE REMOTAMENTE PILOTADA RPA ( DRONE ) -")</f>
        <v>AERONAVE REMOTAMENTE PILOTADA RPA ( DRONE ) -</v>
      </c>
      <c r="C21" s="32">
        <f>IFERROR(__xludf.DUMMYFUNCTION("""COMPUTED_VALUE"""),1.0)</f>
        <v>1</v>
      </c>
      <c r="D21" s="33" t="str">
        <f>IFERROR(__xludf.DUMMYFUNCTION("""COMPUTED_VALUE"""),"SEÇÃO")</f>
        <v>SEÇÃO</v>
      </c>
      <c r="E21" s="34" t="str">
        <f>IFERROR(__xludf.DUMMYFUNCTION("""COMPUTED_VALUE"""),"3 - SOU")</f>
        <v>3 - SOU</v>
      </c>
      <c r="F21" s="34" t="str">
        <f>IFERROR(__xludf.DUMMYFUNCTION("""COMPUTED_VALUE"""),"CPD")</f>
        <v>CPD</v>
      </c>
      <c r="G21" s="35">
        <f>IFERROR(__xludf.DUMMYFUNCTION("""COMPUTED_VALUE"""),7.6838005E7)</f>
        <v>76838005</v>
      </c>
      <c r="H21" s="34"/>
      <c r="I21" s="37" t="str">
        <f>IFERROR(__xludf.DUMMYFUNCTION("""COMPUTED_VALUE"""),"Componentes conforme doc 47125670, SEI - 1400.01.0030.404/2022-84 - Drone DJI MavicEnterprise 2")</f>
        <v>Componentes conforme doc 47125670, SEI - 1400.01.0030.404/2022-84 - Drone DJI MavicEnterprise 2</v>
      </c>
    </row>
    <row r="22" ht="22.5" customHeight="1">
      <c r="A22" s="30">
        <f>IFERROR(__xludf.DUMMYFUNCTION("""COMPUTED_VALUE"""),857.0)</f>
        <v>857</v>
      </c>
      <c r="B22" s="31" t="str">
        <f>IFERROR(__xludf.DUMMYFUNCTION("""COMPUTED_VALUE"""),"CAIXA DE FERRAMENTA VONDER PLUS")</f>
        <v>CAIXA DE FERRAMENTA VONDER PLUS</v>
      </c>
      <c r="C22" s="32">
        <f>IFERROR(__xludf.DUMMYFUNCTION("""COMPUTED_VALUE"""),1.0)</f>
        <v>1</v>
      </c>
      <c r="D22" s="33" t="str">
        <f>IFERROR(__xludf.DUMMYFUNCTION("""COMPUTED_VALUE"""),"SEÇÃO")</f>
        <v>SEÇÃO</v>
      </c>
      <c r="E22" s="34" t="str">
        <f>IFERROR(__xludf.DUMMYFUNCTION("""COMPUTED_VALUE"""),"3 - SOU")</f>
        <v>3 - SOU</v>
      </c>
      <c r="F22" s="34" t="str">
        <f>IFERROR(__xludf.DUMMYFUNCTION("""COMPUTED_VALUE"""),"CPD")</f>
        <v>CPD</v>
      </c>
      <c r="G22" s="35"/>
      <c r="H22" s="34"/>
      <c r="I22" s="37" t="str">
        <f>IFERROR(__xludf.DUMMYFUNCTION("""COMPUTED_VALUE"""),"Caixa de acondicionamento das baterias do Drone Matrice")</f>
        <v>Caixa de acondicionamento das baterias do Drone Matrice</v>
      </c>
    </row>
    <row r="23" ht="22.5" customHeight="1">
      <c r="A23" s="30">
        <f>IFERROR(__xludf.DUMMYFUNCTION("""COMPUTED_VALUE"""),1527.0)</f>
        <v>1527</v>
      </c>
      <c r="B23" s="31" t="str">
        <f>IFERROR(__xludf.DUMMYFUNCTION("""COMPUTED_VALUE"""),"CAMERA P/ AERONAVE REMOTAMENTE PILOTADA (DRONE)")</f>
        <v>CAMERA P/ AERONAVE REMOTAMENTE PILOTADA (DRONE)</v>
      </c>
      <c r="C23" s="32">
        <f>IFERROR(__xludf.DUMMYFUNCTION("""COMPUTED_VALUE"""),1.0)</f>
        <v>1</v>
      </c>
      <c r="D23" s="33" t="str">
        <f>IFERROR(__xludf.DUMMYFUNCTION("""COMPUTED_VALUE"""),"SEÇÃO")</f>
        <v>SEÇÃO</v>
      </c>
      <c r="E23" s="34" t="str">
        <f>IFERROR(__xludf.DUMMYFUNCTION("""COMPUTED_VALUE"""),"3 - SOU")</f>
        <v>3 - SOU</v>
      </c>
      <c r="F23" s="34" t="str">
        <f>IFERROR(__xludf.DUMMYFUNCTION("""COMPUTED_VALUE"""),"CPD")</f>
        <v>CPD</v>
      </c>
      <c r="G23" s="35">
        <f>IFERROR(__xludf.DUMMYFUNCTION("""COMPUTED_VALUE"""),7.6931188E7)</f>
        <v>76931188</v>
      </c>
      <c r="H23" s="34"/>
      <c r="I23" s="37" t="str">
        <f>IFERROR(__xludf.DUMMYFUNCTION("""COMPUTED_VALUE"""),"Câmera de Zoom 30x Zenmuse Z30 com cartão de memória 16 GB")</f>
        <v>Câmera de Zoom 30x Zenmuse Z30 com cartão de memória 16 GB</v>
      </c>
    </row>
    <row r="24" ht="22.5" customHeight="1">
      <c r="A24" s="30">
        <f>IFERROR(__xludf.DUMMYFUNCTION("""COMPUTED_VALUE"""),1528.0)</f>
        <v>1528</v>
      </c>
      <c r="B24" s="31" t="str">
        <f>IFERROR(__xludf.DUMMYFUNCTION("""COMPUTED_VALUE"""),"CAMERA P/ AERONAVE REMOTAMENTE PILOTADA (DRONE)")</f>
        <v>CAMERA P/ AERONAVE REMOTAMENTE PILOTADA (DRONE)</v>
      </c>
      <c r="C24" s="32">
        <f>IFERROR(__xludf.DUMMYFUNCTION("""COMPUTED_VALUE"""),1.0)</f>
        <v>1</v>
      </c>
      <c r="D24" s="33" t="str">
        <f>IFERROR(__xludf.DUMMYFUNCTION("""COMPUTED_VALUE"""),"SEÇÃO")</f>
        <v>SEÇÃO</v>
      </c>
      <c r="E24" s="34" t="str">
        <f>IFERROR(__xludf.DUMMYFUNCTION("""COMPUTED_VALUE"""),"3 - SOU")</f>
        <v>3 - SOU</v>
      </c>
      <c r="F24" s="34" t="str">
        <f>IFERROR(__xludf.DUMMYFUNCTION("""COMPUTED_VALUE"""),"CPD")</f>
        <v>CPD</v>
      </c>
      <c r="G24" s="35">
        <f>IFERROR(__xludf.DUMMYFUNCTION("""COMPUTED_VALUE"""),7.6931196E7)</f>
        <v>76931196</v>
      </c>
      <c r="H24" s="34"/>
      <c r="I24" s="37" t="str">
        <f>IFERROR(__xludf.DUMMYFUNCTION("""COMPUTED_VALUE"""),"Câmera Termográfica Zenmuse XT com cartão de memória 16 GB")</f>
        <v>Câmera Termográfica Zenmuse XT com cartão de memória 16 GB</v>
      </c>
    </row>
    <row r="25" ht="22.5" customHeight="1">
      <c r="A25" s="30">
        <f>IFERROR(__xludf.DUMMYFUNCTION("""COMPUTED_VALUE"""),1495.0)</f>
        <v>1495</v>
      </c>
      <c r="B25" s="31" t="str">
        <f>IFERROR(__xludf.DUMMYFUNCTION("""COMPUTED_VALUE"""),"EQUIPAMENTO PARA DETECCAO DE GASES -")</f>
        <v>EQUIPAMENTO PARA DETECCAO DE GASES -</v>
      </c>
      <c r="C25" s="32">
        <f>IFERROR(__xludf.DUMMYFUNCTION("""COMPUTED_VALUE"""),1.0)</f>
        <v>1</v>
      </c>
      <c r="D25" s="33" t="str">
        <f>IFERROR(__xludf.DUMMYFUNCTION("""COMPUTED_VALUE"""),"SEÇÃO")</f>
        <v>SEÇÃO</v>
      </c>
      <c r="E25" s="34" t="str">
        <f>IFERROR(__xludf.DUMMYFUNCTION("""COMPUTED_VALUE"""),"3 - SOU")</f>
        <v>3 - SOU</v>
      </c>
      <c r="F25" s="34" t="str">
        <f>IFERROR(__xludf.DUMMYFUNCTION("""COMPUTED_VALUE"""),"CPD")</f>
        <v>CPD</v>
      </c>
      <c r="G25" s="35">
        <f>IFERROR(__xludf.DUMMYFUNCTION("""COMPUTED_VALUE"""),7.6975614E7)</f>
        <v>76975614</v>
      </c>
      <c r="H25" s="34"/>
      <c r="I25" s="37" t="str">
        <f>IFERROR(__xludf.DUMMYFUNCTION("""COMPUTED_VALUE"""),"COMPONENTES CONFORME SEI 118109804")</f>
        <v>COMPONENTES CONFORME SEI 118109804</v>
      </c>
    </row>
    <row r="26" ht="22.5" customHeight="1">
      <c r="A26" s="30">
        <f>IFERROR(__xludf.DUMMYFUNCTION("""COMPUTED_VALUE"""),1496.0)</f>
        <v>1496</v>
      </c>
      <c r="B26" s="40" t="str">
        <f>IFERROR(__xludf.DUMMYFUNCTION("""COMPUTED_VALUE"""),"KIT CALIBRACAO PARA GAS EXPLOSIVO -")</f>
        <v>KIT CALIBRACAO PARA GAS EXPLOSIVO -</v>
      </c>
      <c r="C26" s="32">
        <f>IFERROR(__xludf.DUMMYFUNCTION("""COMPUTED_VALUE"""),1.0)</f>
        <v>1</v>
      </c>
      <c r="D26" s="33" t="str">
        <f>IFERROR(__xludf.DUMMYFUNCTION("""COMPUTED_VALUE"""),"SEÇÃO")</f>
        <v>SEÇÃO</v>
      </c>
      <c r="E26" s="34" t="str">
        <f>IFERROR(__xludf.DUMMYFUNCTION("""COMPUTED_VALUE"""),"3 - SOU")</f>
        <v>3 - SOU</v>
      </c>
      <c r="F26" s="34" t="str">
        <f>IFERROR(__xludf.DUMMYFUNCTION("""COMPUTED_VALUE"""),"CPD")</f>
        <v>CPD</v>
      </c>
      <c r="G26" s="35">
        <f>IFERROR(__xludf.DUMMYFUNCTION("""COMPUTED_VALUE"""),7.697546E7)</f>
        <v>76975460</v>
      </c>
      <c r="H26" s="34"/>
      <c r="I26" s="37" t="str">
        <f>IFERROR(__xludf.DUMMYFUNCTION("""COMPUTED_VALUE"""),"COMPONENTES CONFORME SEI 118109805")</f>
        <v>COMPONENTES CONFORME SEI 118109805</v>
      </c>
    </row>
    <row r="27" ht="22.5" customHeight="1">
      <c r="A27" s="30">
        <f>IFERROR(__xludf.DUMMYFUNCTION("""COMPUTED_VALUE"""),714.0)</f>
        <v>714</v>
      </c>
      <c r="B27" s="31" t="str">
        <f>IFERROR(__xludf.DUMMYFUNCTION("""COMPUTED_VALUE"""),"ABAFADOR DE PROTEÇAO AUDITIVA")</f>
        <v>ABAFADOR DE PROTEÇAO AUDITIVA</v>
      </c>
      <c r="C27" s="32">
        <f>IFERROR(__xludf.DUMMYFUNCTION("""COMPUTED_VALUE"""),2.0)</f>
        <v>2</v>
      </c>
      <c r="D27" s="33" t="str">
        <f>IFERROR(__xludf.DUMMYFUNCTION("""COMPUTED_VALUE"""),"SEÇÃO")</f>
        <v>SEÇÃO</v>
      </c>
      <c r="E27" s="34" t="str">
        <f>IFERROR(__xludf.DUMMYFUNCTION("""COMPUTED_VALUE"""),"3 - SOU")</f>
        <v>3 - SOU</v>
      </c>
      <c r="F27" s="34" t="str">
        <f>IFERROR(__xludf.DUMMYFUNCTION("""COMPUTED_VALUE"""),"RÁDIO OPERADOR")</f>
        <v>RÁDIO OPERADOR</v>
      </c>
      <c r="G27" s="35">
        <f>IFERROR(__xludf.DUMMYFUNCTION("""COMPUTED_VALUE"""),45596.0)</f>
        <v>45596</v>
      </c>
      <c r="H27" s="34"/>
      <c r="I27" s="37"/>
    </row>
    <row r="28" ht="22.5" customHeight="1">
      <c r="A28" s="30">
        <f>IFERROR(__xludf.DUMMYFUNCTION("""COMPUTED_VALUE"""),1268.0)</f>
        <v>1268</v>
      </c>
      <c r="B28" s="31" t="str">
        <f>IFERROR(__xludf.DUMMYFUNCTION("""COMPUTED_VALUE"""),"AMPLIFICADOR DE VOZ - EPR")</f>
        <v>AMPLIFICADOR DE VOZ - EPR</v>
      </c>
      <c r="C28" s="32">
        <f>IFERROR(__xludf.DUMMYFUNCTION("""COMPUTED_VALUE"""),1.0)</f>
        <v>1</v>
      </c>
      <c r="D28" s="33" t="str">
        <f>IFERROR(__xludf.DUMMYFUNCTION("""COMPUTED_VALUE"""),"SEÇÃO")</f>
        <v>SEÇÃO</v>
      </c>
      <c r="E28" s="34" t="str">
        <f>IFERROR(__xludf.DUMMYFUNCTION("""COMPUTED_VALUE"""),"3 - SOU")</f>
        <v>3 - SOU</v>
      </c>
      <c r="F28" s="34" t="str">
        <f>IFERROR(__xludf.DUMMYFUNCTION("""COMPUTED_VALUE"""),"RÁDIO OPERADOR")</f>
        <v>RÁDIO OPERADOR</v>
      </c>
      <c r="G28" s="35"/>
      <c r="H28" s="34" t="str">
        <f>IFERROR(__xludf.DUMMYFUNCTION("""COMPUTED_VALUE"""),"N.S.115A1931011827")</f>
        <v>N.S.115A1931011827</v>
      </c>
      <c r="I28" s="37" t="str">
        <f>IFERROR(__xludf.DUMMYFUNCTION("""COMPUTED_VALUE"""),"EPIC 3 VOICE AMPLIFIER")</f>
        <v>EPIC 3 VOICE AMPLIFIER</v>
      </c>
    </row>
    <row r="29" ht="22.5" customHeight="1">
      <c r="A29" s="30">
        <f>IFERROR(__xludf.DUMMYFUNCTION("""COMPUTED_VALUE"""),1269.0)</f>
        <v>1269</v>
      </c>
      <c r="B29" s="31" t="str">
        <f>IFERROR(__xludf.DUMMYFUNCTION("""COMPUTED_VALUE"""),"AMPLIFICADOR DE VOZ - EPR")</f>
        <v>AMPLIFICADOR DE VOZ - EPR</v>
      </c>
      <c r="C29" s="32">
        <f>IFERROR(__xludf.DUMMYFUNCTION("""COMPUTED_VALUE"""),1.0)</f>
        <v>1</v>
      </c>
      <c r="D29" s="33" t="str">
        <f>IFERROR(__xludf.DUMMYFUNCTION("""COMPUTED_VALUE"""),"SEÇÃO")</f>
        <v>SEÇÃO</v>
      </c>
      <c r="E29" s="34" t="str">
        <f>IFERROR(__xludf.DUMMYFUNCTION("""COMPUTED_VALUE"""),"3 - SOU")</f>
        <v>3 - SOU</v>
      </c>
      <c r="F29" s="34" t="str">
        <f>IFERROR(__xludf.DUMMYFUNCTION("""COMPUTED_VALUE"""),"RÁDIO OPERADOR")</f>
        <v>RÁDIO OPERADOR</v>
      </c>
      <c r="G29" s="35"/>
      <c r="H29" s="34" t="str">
        <f>IFERROR(__xludf.DUMMYFUNCTION("""COMPUTED_VALUE"""),"N.S.115A1920006007")</f>
        <v>N.S.115A1920006007</v>
      </c>
      <c r="I29" s="37" t="str">
        <f>IFERROR(__xludf.DUMMYFUNCTION("""COMPUTED_VALUE"""),"EPIC 3 VOICE AMPLIFIER")</f>
        <v>EPIC 3 VOICE AMPLIFIER</v>
      </c>
    </row>
    <row r="30" ht="22.5" customHeight="1">
      <c r="A30" s="30">
        <f>IFERROR(__xludf.DUMMYFUNCTION("""COMPUTED_VALUE"""),1270.0)</f>
        <v>1270</v>
      </c>
      <c r="B30" s="31" t="str">
        <f>IFERROR(__xludf.DUMMYFUNCTION("""COMPUTED_VALUE"""),"AMPLIFICADOR DE VOZ - EPR")</f>
        <v>AMPLIFICADOR DE VOZ - EPR</v>
      </c>
      <c r="C30" s="32">
        <f>IFERROR(__xludf.DUMMYFUNCTION("""COMPUTED_VALUE"""),1.0)</f>
        <v>1</v>
      </c>
      <c r="D30" s="33" t="str">
        <f>IFERROR(__xludf.DUMMYFUNCTION("""COMPUTED_VALUE"""),"SEÇÃO")</f>
        <v>SEÇÃO</v>
      </c>
      <c r="E30" s="34" t="str">
        <f>IFERROR(__xludf.DUMMYFUNCTION("""COMPUTED_VALUE"""),"3 - SOU")</f>
        <v>3 - SOU</v>
      </c>
      <c r="F30" s="34" t="str">
        <f>IFERROR(__xludf.DUMMYFUNCTION("""COMPUTED_VALUE"""),"RÁDIO OPERADOR")</f>
        <v>RÁDIO OPERADOR</v>
      </c>
      <c r="G30" s="35"/>
      <c r="H30" s="34" t="str">
        <f>IFERROR(__xludf.DUMMYFUNCTION("""COMPUTED_VALUE"""),"N.S.115A1920006244")</f>
        <v>N.S.115A1920006244</v>
      </c>
      <c r="I30" s="37" t="str">
        <f>IFERROR(__xludf.DUMMYFUNCTION("""COMPUTED_VALUE"""),"EPIC 3 VOICE AMPLIFIER")</f>
        <v>EPIC 3 VOICE AMPLIFIER</v>
      </c>
    </row>
    <row r="31" ht="22.5" customHeight="1">
      <c r="A31" s="30">
        <f>IFERROR(__xludf.DUMMYFUNCTION("""COMPUTED_VALUE"""),705.0)</f>
        <v>705</v>
      </c>
      <c r="B31" s="31" t="str">
        <f>IFERROR(__xludf.DUMMYFUNCTION("""COMPUTED_VALUE"""),"BANDEIRA DO COMANDANTE")</f>
        <v>BANDEIRA DO COMANDANTE</v>
      </c>
      <c r="C31" s="32">
        <f>IFERROR(__xludf.DUMMYFUNCTION("""COMPUTED_VALUE"""),1.0)</f>
        <v>1</v>
      </c>
      <c r="D31" s="33" t="str">
        <f>IFERROR(__xludf.DUMMYFUNCTION("""COMPUTED_VALUE"""),"SEÇÃO")</f>
        <v>SEÇÃO</v>
      </c>
      <c r="E31" s="34" t="str">
        <f>IFERROR(__xludf.DUMMYFUNCTION("""COMPUTED_VALUE"""),"3 - SOU")</f>
        <v>3 - SOU</v>
      </c>
      <c r="F31" s="34" t="str">
        <f>IFERROR(__xludf.DUMMYFUNCTION("""COMPUTED_VALUE"""),"RÁDIO OPERADOR")</f>
        <v>RÁDIO OPERADOR</v>
      </c>
      <c r="G31" s="35">
        <f>IFERROR(__xludf.DUMMYFUNCTION("""COMPUTED_VALUE"""),45558.0)</f>
        <v>45558</v>
      </c>
      <c r="H31" s="34"/>
      <c r="I31" s="37" t="str">
        <f>IFERROR(__xludf.DUMMYFUNCTION("""COMPUTED_VALUE"""),"ENCONTRAM-SE NO MASTRO DAS BANDEIRAS")</f>
        <v>ENCONTRAM-SE NO MASTRO DAS BANDEIRAS</v>
      </c>
    </row>
    <row r="32" ht="22.5" customHeight="1">
      <c r="A32" s="30">
        <f>IFERROR(__xludf.DUMMYFUNCTION("""COMPUTED_VALUE"""),709.0)</f>
        <v>709</v>
      </c>
      <c r="B32" s="31" t="str">
        <f>IFERROR(__xludf.DUMMYFUNCTION("""COMPUTED_VALUE"""),"CADEADO 25MM ")</f>
        <v>CADEADO 25MM </v>
      </c>
      <c r="C32" s="32">
        <f>IFERROR(__xludf.DUMMYFUNCTION("""COMPUTED_VALUE"""),1.0)</f>
        <v>1</v>
      </c>
      <c r="D32" s="33" t="str">
        <f>IFERROR(__xludf.DUMMYFUNCTION("""COMPUTED_VALUE"""),"SEÇÃO")</f>
        <v>SEÇÃO</v>
      </c>
      <c r="E32" s="34" t="str">
        <f>IFERROR(__xludf.DUMMYFUNCTION("""COMPUTED_VALUE"""),"3 - SOU")</f>
        <v>3 - SOU</v>
      </c>
      <c r="F32" s="34" t="str">
        <f>IFERROR(__xludf.DUMMYFUNCTION("""COMPUTED_VALUE"""),"RÁDIO OPERADOR")</f>
        <v>RÁDIO OPERADOR</v>
      </c>
      <c r="G32" s="35">
        <f>IFERROR(__xludf.DUMMYFUNCTION("""COMPUTED_VALUE"""),45558.0)</f>
        <v>45558</v>
      </c>
      <c r="H32" s="34"/>
      <c r="I32" s="37"/>
    </row>
    <row r="33" ht="22.5" customHeight="1">
      <c r="A33" s="30">
        <f>IFERROR(__xludf.DUMMYFUNCTION("""COMPUTED_VALUE"""),708.0)</f>
        <v>708</v>
      </c>
      <c r="B33" s="39" t="str">
        <f>IFERROR(__xludf.DUMMYFUNCTION("""COMPUTED_VALUE"""),"CADEADO HASTE CURTA COM DUAS CHAVES")</f>
        <v>CADEADO HASTE CURTA COM DUAS CHAVES</v>
      </c>
      <c r="C33" s="32">
        <f>IFERROR(__xludf.DUMMYFUNCTION("""COMPUTED_VALUE"""),1.0)</f>
        <v>1</v>
      </c>
      <c r="D33" s="33" t="str">
        <f>IFERROR(__xludf.DUMMYFUNCTION("""COMPUTED_VALUE"""),"SEÇÃO")</f>
        <v>SEÇÃO</v>
      </c>
      <c r="E33" s="34" t="str">
        <f>IFERROR(__xludf.DUMMYFUNCTION("""COMPUTED_VALUE"""),"3 - SOU")</f>
        <v>3 - SOU</v>
      </c>
      <c r="F33" s="34" t="str">
        <f>IFERROR(__xludf.DUMMYFUNCTION("""COMPUTED_VALUE"""),"RÁDIO OPERADOR")</f>
        <v>RÁDIO OPERADOR</v>
      </c>
      <c r="G33" s="35">
        <f>IFERROR(__xludf.DUMMYFUNCTION("""COMPUTED_VALUE"""),45533.0)</f>
        <v>45533</v>
      </c>
      <c r="H33" s="34"/>
      <c r="I33" s="37"/>
    </row>
    <row r="34" ht="22.5" customHeight="1">
      <c r="A34" s="30">
        <f>IFERROR(__xludf.DUMMYFUNCTION("""COMPUTED_VALUE"""),707.0)</f>
        <v>707</v>
      </c>
      <c r="B34" s="39" t="str">
        <f>IFERROR(__xludf.DUMMYFUNCTION("""COMPUTED_VALUE"""),"CADEADO HASTE LONGA COM DUAS CHAVES")</f>
        <v>CADEADO HASTE LONGA COM DUAS CHAVES</v>
      </c>
      <c r="C34" s="32">
        <f>IFERROR(__xludf.DUMMYFUNCTION("""COMPUTED_VALUE"""),2.0)</f>
        <v>2</v>
      </c>
      <c r="D34" s="33" t="str">
        <f>IFERROR(__xludf.DUMMYFUNCTION("""COMPUTED_VALUE"""),"SEÇÃO")</f>
        <v>SEÇÃO</v>
      </c>
      <c r="E34" s="34" t="str">
        <f>IFERROR(__xludf.DUMMYFUNCTION("""COMPUTED_VALUE"""),"3 - SOU")</f>
        <v>3 - SOU</v>
      </c>
      <c r="F34" s="34" t="str">
        <f>IFERROR(__xludf.DUMMYFUNCTION("""COMPUTED_VALUE"""),"RÁDIO OPERADOR")</f>
        <v>RÁDIO OPERADOR</v>
      </c>
      <c r="G34" s="35">
        <f>IFERROR(__xludf.DUMMYFUNCTION("""COMPUTED_VALUE"""),45533.0)</f>
        <v>45533</v>
      </c>
      <c r="H34" s="34"/>
      <c r="I34" s="37"/>
    </row>
    <row r="35" ht="22.5" customHeight="1">
      <c r="A35" s="30">
        <f>IFERROR(__xludf.DUMMYFUNCTION("""COMPUTED_VALUE"""),1259.0)</f>
        <v>1259</v>
      </c>
      <c r="B35" s="39" t="str">
        <f>IFERROR(__xludf.DUMMYFUNCTION("""COMPUTED_VALUE"""),"CADEIRA")</f>
        <v>CADEIRA</v>
      </c>
      <c r="C35" s="32">
        <f>IFERROR(__xludf.DUMMYFUNCTION("""COMPUTED_VALUE"""),3.0)</f>
        <v>3</v>
      </c>
      <c r="D35" s="33" t="str">
        <f>IFERROR(__xludf.DUMMYFUNCTION("""COMPUTED_VALUE"""),"SEÇÃO")</f>
        <v>SEÇÃO</v>
      </c>
      <c r="E35" s="34" t="str">
        <f>IFERROR(__xludf.DUMMYFUNCTION("""COMPUTED_VALUE"""),"3 - SOU")</f>
        <v>3 - SOU</v>
      </c>
      <c r="F35" s="34" t="str">
        <f>IFERROR(__xludf.DUMMYFUNCTION("""COMPUTED_VALUE"""),"RÁDIO OPERADOR")</f>
        <v>RÁDIO OPERADOR</v>
      </c>
      <c r="G35" s="35"/>
      <c r="H35" s="34"/>
      <c r="I35" s="37" t="str">
        <f>IFERROR(__xludf.DUMMYFUNCTION("""COMPUTED_VALUE"""),"cadeira gaming marca: MYMAX MXO Sala de REDS")</f>
        <v>cadeira gaming marca: MYMAX MXO Sala de REDS</v>
      </c>
    </row>
    <row r="36" ht="22.5" customHeight="1">
      <c r="A36" s="30">
        <f>IFERROR(__xludf.DUMMYFUNCTION("""COMPUTED_VALUE"""),1261.0)</f>
        <v>1261</v>
      </c>
      <c r="B36" s="40" t="str">
        <f>IFERROR(__xludf.DUMMYFUNCTION("""COMPUTED_VALUE"""),"CARREGADOR PARA FERRAMENTA HOLMATRO")</f>
        <v>CARREGADOR PARA FERRAMENTA HOLMATRO</v>
      </c>
      <c r="C36" s="32">
        <f>IFERROR(__xludf.DUMMYFUNCTION("""COMPUTED_VALUE"""),1.0)</f>
        <v>1</v>
      </c>
      <c r="D36" s="33" t="str">
        <f>IFERROR(__xludf.DUMMYFUNCTION("""COMPUTED_VALUE"""),"SEÇÃO")</f>
        <v>SEÇÃO</v>
      </c>
      <c r="E36" s="34" t="str">
        <f>IFERROR(__xludf.DUMMYFUNCTION("""COMPUTED_VALUE"""),"3 - SOU")</f>
        <v>3 - SOU</v>
      </c>
      <c r="F36" s="34" t="str">
        <f>IFERROR(__xludf.DUMMYFUNCTION("""COMPUTED_VALUE"""),"RÁDIO OPERADOR")</f>
        <v>RÁDIO OPERADOR</v>
      </c>
      <c r="G36" s="35"/>
      <c r="H36" s="34" t="str">
        <f>IFERROR(__xludf.DUMMYFUNCTION("""COMPUTED_VALUE"""),"FA214417-0053-1322C")</f>
        <v>FA214417-0053-1322C</v>
      </c>
      <c r="I36" s="37" t="str">
        <f>IFERROR(__xludf.DUMMYFUNCTION("""COMPUTED_VALUE"""),"MODELO PBCH1")</f>
        <v>MODELO PBCH1</v>
      </c>
    </row>
    <row r="37" ht="22.5" customHeight="1">
      <c r="A37" s="30">
        <f>IFERROR(__xludf.DUMMYFUNCTION("""COMPUTED_VALUE"""),1262.0)</f>
        <v>1262</v>
      </c>
      <c r="B37" s="31" t="str">
        <f>IFERROR(__xludf.DUMMYFUNCTION("""COMPUTED_VALUE"""),"CARREGADOR PARA FERRAMENTA HOLMATRO")</f>
        <v>CARREGADOR PARA FERRAMENTA HOLMATRO</v>
      </c>
      <c r="C37" s="32">
        <f>IFERROR(__xludf.DUMMYFUNCTION("""COMPUTED_VALUE"""),1.0)</f>
        <v>1</v>
      </c>
      <c r="D37" s="33" t="str">
        <f>IFERROR(__xludf.DUMMYFUNCTION("""COMPUTED_VALUE"""),"SEÇÃO")</f>
        <v>SEÇÃO</v>
      </c>
      <c r="E37" s="34" t="str">
        <f>IFERROR(__xludf.DUMMYFUNCTION("""COMPUTED_VALUE"""),"3 - SOU")</f>
        <v>3 - SOU</v>
      </c>
      <c r="F37" s="34" t="str">
        <f>IFERROR(__xludf.DUMMYFUNCTION("""COMPUTED_VALUE"""),"RÁDIO OPERADOR")</f>
        <v>RÁDIO OPERADOR</v>
      </c>
      <c r="G37" s="35"/>
      <c r="H37" s="34" t="str">
        <f>IFERROR(__xludf.DUMMYFUNCTION("""COMPUTED_VALUE"""),"FA214419-0082-1722C")</f>
        <v>FA214419-0082-1722C</v>
      </c>
      <c r="I37" s="37" t="str">
        <f>IFERROR(__xludf.DUMMYFUNCTION("""COMPUTED_VALUE"""),"MODELO PBCH1")</f>
        <v>MODELO PBCH1</v>
      </c>
    </row>
    <row r="38" ht="22.5" customHeight="1">
      <c r="A38" s="30">
        <f>IFERROR(__xludf.DUMMYFUNCTION("""COMPUTED_VALUE"""),1263.0)</f>
        <v>1263</v>
      </c>
      <c r="B38" s="31" t="str">
        <f>IFERROR(__xludf.DUMMYFUNCTION("""COMPUTED_VALUE"""),"CARREGADOR PARA FERRAMENTA HOLMATRO")</f>
        <v>CARREGADOR PARA FERRAMENTA HOLMATRO</v>
      </c>
      <c r="C38" s="32">
        <f>IFERROR(__xludf.DUMMYFUNCTION("""COMPUTED_VALUE"""),1.0)</f>
        <v>1</v>
      </c>
      <c r="D38" s="33" t="str">
        <f>IFERROR(__xludf.DUMMYFUNCTION("""COMPUTED_VALUE"""),"SEÇÃO")</f>
        <v>SEÇÃO</v>
      </c>
      <c r="E38" s="34" t="str">
        <f>IFERROR(__xludf.DUMMYFUNCTION("""COMPUTED_VALUE"""),"3 - SOU")</f>
        <v>3 - SOU</v>
      </c>
      <c r="F38" s="34" t="str">
        <f>IFERROR(__xludf.DUMMYFUNCTION("""COMPUTED_VALUE"""),"RÁDIO OPERADOR")</f>
        <v>RÁDIO OPERADOR</v>
      </c>
      <c r="G38" s="35"/>
      <c r="H38" s="34" t="str">
        <f>IFERROR(__xludf.DUMMYFUNCTION("""COMPUTED_VALUE"""),"FA214417-0043-1322C")</f>
        <v>FA214417-0043-1322C</v>
      </c>
      <c r="I38" s="37" t="str">
        <f>IFERROR(__xludf.DUMMYFUNCTION("""COMPUTED_VALUE"""),"MODELO PBCH1")</f>
        <v>MODELO PBCH1</v>
      </c>
    </row>
    <row r="39" ht="22.5" customHeight="1">
      <c r="A39" s="30">
        <f>IFERROR(__xludf.DUMMYFUNCTION("""COMPUTED_VALUE"""),1264.0)</f>
        <v>1264</v>
      </c>
      <c r="B39" s="31" t="str">
        <f>IFERROR(__xludf.DUMMYFUNCTION("""COMPUTED_VALUE"""),"CARREGADOR PARA FERRAMENTA HOLMATRO")</f>
        <v>CARREGADOR PARA FERRAMENTA HOLMATRO</v>
      </c>
      <c r="C39" s="32">
        <f>IFERROR(__xludf.DUMMYFUNCTION("""COMPUTED_VALUE"""),1.0)</f>
        <v>1</v>
      </c>
      <c r="D39" s="33" t="str">
        <f>IFERROR(__xludf.DUMMYFUNCTION("""COMPUTED_VALUE"""),"SEÇÃO")</f>
        <v>SEÇÃO</v>
      </c>
      <c r="E39" s="34" t="str">
        <f>IFERROR(__xludf.DUMMYFUNCTION("""COMPUTED_VALUE"""),"3 - SOU")</f>
        <v>3 - SOU</v>
      </c>
      <c r="F39" s="34" t="str">
        <f>IFERROR(__xludf.DUMMYFUNCTION("""COMPUTED_VALUE"""),"RÁDIO OPERADOR")</f>
        <v>RÁDIO OPERADOR</v>
      </c>
      <c r="G39" s="35"/>
      <c r="H39" s="34"/>
      <c r="I39" s="37" t="str">
        <f>IFERROR(__xludf.DUMMYFUNCTION("""COMPUTED_VALUE"""),"MODELO PBCH2")</f>
        <v>MODELO PBCH2</v>
      </c>
    </row>
    <row r="40" ht="22.5" customHeight="1">
      <c r="A40" s="30">
        <f>IFERROR(__xludf.DUMMYFUNCTION("""COMPUTED_VALUE"""),1271.0)</f>
        <v>1271</v>
      </c>
      <c r="B40" s="31" t="str">
        <f>IFERROR(__xludf.DUMMYFUNCTION("""COMPUTED_VALUE"""),"CARREGADOR PARA SERRA SABRE ")</f>
        <v>CARREGADOR PARA SERRA SABRE </v>
      </c>
      <c r="C40" s="32">
        <f>IFERROR(__xludf.DUMMYFUNCTION("""COMPUTED_VALUE"""),1.0)</f>
        <v>1</v>
      </c>
      <c r="D40" s="33" t="str">
        <f>IFERROR(__xludf.DUMMYFUNCTION("""COMPUTED_VALUE"""),"SEÇÃO")</f>
        <v>SEÇÃO</v>
      </c>
      <c r="E40" s="34" t="str">
        <f>IFERROR(__xludf.DUMMYFUNCTION("""COMPUTED_VALUE"""),"3 - SOU")</f>
        <v>3 - SOU</v>
      </c>
      <c r="F40" s="34" t="str">
        <f>IFERROR(__xludf.DUMMYFUNCTION("""COMPUTED_VALUE"""),"RÁDIO OPERADOR")</f>
        <v>RÁDIO OPERADOR</v>
      </c>
      <c r="G40" s="35"/>
      <c r="H40" s="34" t="str">
        <f>IFERROR(__xludf.DUMMYFUNCTION("""COMPUTED_VALUE"""),"2024 27-QX")</f>
        <v>2024 27-QX</v>
      </c>
      <c r="I40" s="37" t="str">
        <f>IFERROR(__xludf.DUMMYFUNCTION("""COMPUTED_VALUE"""),"DEWALT DCB1106 12 - 20V")</f>
        <v>DEWALT DCB1106 12 - 20V</v>
      </c>
    </row>
    <row r="41" ht="22.5" customHeight="1">
      <c r="A41" s="30">
        <f>IFERROR(__xludf.DUMMYFUNCTION("""COMPUTED_VALUE"""),713.0)</f>
        <v>713</v>
      </c>
      <c r="B41" s="31" t="str">
        <f>IFERROR(__xludf.DUMMYFUNCTION("""COMPUTED_VALUE"""),"CASSETETE DE MADEIRA")</f>
        <v>CASSETETE DE MADEIRA</v>
      </c>
      <c r="C41" s="32">
        <f>IFERROR(__xludf.DUMMYFUNCTION("""COMPUTED_VALUE"""),1.0)</f>
        <v>1</v>
      </c>
      <c r="D41" s="33" t="str">
        <f>IFERROR(__xludf.DUMMYFUNCTION("""COMPUTED_VALUE"""),"SEÇÃO")</f>
        <v>SEÇÃO</v>
      </c>
      <c r="E41" s="34" t="str">
        <f>IFERROR(__xludf.DUMMYFUNCTION("""COMPUTED_VALUE"""),"3 - SOU")</f>
        <v>3 - SOU</v>
      </c>
      <c r="F41" s="34" t="str">
        <f>IFERROR(__xludf.DUMMYFUNCTION("""COMPUTED_VALUE"""),"RÁDIO OPERADOR")</f>
        <v>RÁDIO OPERADOR</v>
      </c>
      <c r="G41" s="35">
        <f>IFERROR(__xludf.DUMMYFUNCTION("""COMPUTED_VALUE"""),45561.0)</f>
        <v>45561</v>
      </c>
      <c r="H41" s="34"/>
      <c r="I41" s="37"/>
    </row>
    <row r="42" ht="22.5" customHeight="1">
      <c r="A42" s="30">
        <f>IFERROR(__xludf.DUMMYFUNCTION("""COMPUTED_VALUE"""),711.0)</f>
        <v>711</v>
      </c>
      <c r="B42" s="31" t="str">
        <f>IFERROR(__xludf.DUMMYFUNCTION("""COMPUTED_VALUE"""),"CELOTEX")</f>
        <v>CELOTEX</v>
      </c>
      <c r="C42" s="32">
        <f>IFERROR(__xludf.DUMMYFUNCTION("""COMPUTED_VALUE"""),1.0)</f>
        <v>1</v>
      </c>
      <c r="D42" s="33" t="str">
        <f>IFERROR(__xludf.DUMMYFUNCTION("""COMPUTED_VALUE"""),"SEÇÃO")</f>
        <v>SEÇÃO</v>
      </c>
      <c r="E42" s="34" t="str">
        <f>IFERROR(__xludf.DUMMYFUNCTION("""COMPUTED_VALUE"""),"3 - SOU")</f>
        <v>3 - SOU</v>
      </c>
      <c r="F42" s="34" t="str">
        <f>IFERROR(__xludf.DUMMYFUNCTION("""COMPUTED_VALUE"""),"RÁDIO OPERADOR")</f>
        <v>RÁDIO OPERADOR</v>
      </c>
      <c r="G42" s="35">
        <f>IFERROR(__xludf.DUMMYFUNCTION("""COMPUTED_VALUE"""),45533.0)</f>
        <v>45533</v>
      </c>
      <c r="H42" s="34"/>
      <c r="I42" s="37"/>
    </row>
    <row r="43" ht="22.5" customHeight="1">
      <c r="A43" s="30">
        <f>IFERROR(__xludf.DUMMYFUNCTION("""COMPUTED_VALUE"""),696.0)</f>
        <v>696</v>
      </c>
      <c r="B43" s="31" t="str">
        <f>IFERROR(__xludf.DUMMYFUNCTION("""COMPUTED_VALUE"""),"COLDRE DE COURO")</f>
        <v>COLDRE DE COURO</v>
      </c>
      <c r="C43" s="32">
        <f>IFERROR(__xludf.DUMMYFUNCTION("""COMPUTED_VALUE"""),2.0)</f>
        <v>2</v>
      </c>
      <c r="D43" s="33" t="str">
        <f>IFERROR(__xludf.DUMMYFUNCTION("""COMPUTED_VALUE"""),"SEÇÃO")</f>
        <v>SEÇÃO</v>
      </c>
      <c r="E43" s="34" t="str">
        <f>IFERROR(__xludf.DUMMYFUNCTION("""COMPUTED_VALUE"""),"3 - SOU")</f>
        <v>3 - SOU</v>
      </c>
      <c r="F43" s="34" t="str">
        <f>IFERROR(__xludf.DUMMYFUNCTION("""COMPUTED_VALUE"""),"RÁDIO OPERADOR")</f>
        <v>RÁDIO OPERADOR</v>
      </c>
      <c r="G43" s="35">
        <f>IFERROR(__xludf.DUMMYFUNCTION("""COMPUTED_VALUE"""),45532.0)</f>
        <v>45532</v>
      </c>
      <c r="H43" s="34"/>
      <c r="I43" s="37"/>
    </row>
    <row r="44" ht="22.5" customHeight="1">
      <c r="A44" s="30">
        <f>IFERROR(__xludf.DUMMYFUNCTION("""COMPUTED_VALUE"""),706.0)</f>
        <v>706</v>
      </c>
      <c r="B44" s="31" t="str">
        <f>IFERROR(__xludf.DUMMYFUNCTION("""COMPUTED_VALUE"""),"COLETE ANTIBALISTICO PARA USO POLICIAL -")</f>
        <v>COLETE ANTIBALISTICO PARA USO POLICIAL -</v>
      </c>
      <c r="C44" s="32">
        <f>IFERROR(__xludf.DUMMYFUNCTION("""COMPUTED_VALUE"""),3.0)</f>
        <v>3</v>
      </c>
      <c r="D44" s="33" t="str">
        <f>IFERROR(__xludf.DUMMYFUNCTION("""COMPUTED_VALUE"""),"SEÇÃO")</f>
        <v>SEÇÃO</v>
      </c>
      <c r="E44" s="34" t="str">
        <f>IFERROR(__xludf.DUMMYFUNCTION("""COMPUTED_VALUE"""),"3 - SOU")</f>
        <v>3 - SOU</v>
      </c>
      <c r="F44" s="34" t="str">
        <f>IFERROR(__xludf.DUMMYFUNCTION("""COMPUTED_VALUE"""),"RÁDIO OPERADOR")</f>
        <v>RÁDIO OPERADOR</v>
      </c>
      <c r="G44" s="35">
        <f>IFERROR(__xludf.DUMMYFUNCTION("""COMPUTED_VALUE"""),45533.0)</f>
        <v>45533</v>
      </c>
      <c r="H44" s="34"/>
      <c r="I44" s="37"/>
    </row>
    <row r="45" ht="22.5" customHeight="1">
      <c r="A45" s="30">
        <f>IFERROR(__xludf.DUMMYFUNCTION("""COMPUTED_VALUE"""),1247.0)</f>
        <v>1247</v>
      </c>
      <c r="B45" s="31" t="str">
        <f>IFERROR(__xludf.DUMMYFUNCTION("""COMPUTED_VALUE"""),"COMPUTADOR -")</f>
        <v>COMPUTADOR -</v>
      </c>
      <c r="C45" s="32">
        <f>IFERROR(__xludf.DUMMYFUNCTION("""COMPUTED_VALUE"""),1.0)</f>
        <v>1</v>
      </c>
      <c r="D45" s="33" t="str">
        <f>IFERROR(__xludf.DUMMYFUNCTION("""COMPUTED_VALUE"""),"SEÇÃO")</f>
        <v>SEÇÃO</v>
      </c>
      <c r="E45" s="34" t="str">
        <f>IFERROR(__xludf.DUMMYFUNCTION("""COMPUTED_VALUE"""),"3 - SOU")</f>
        <v>3 - SOU</v>
      </c>
      <c r="F45" s="34" t="str">
        <f>IFERROR(__xludf.DUMMYFUNCTION("""COMPUTED_VALUE"""),"RÁDIO OPERADOR")</f>
        <v>RÁDIO OPERADOR</v>
      </c>
      <c r="G45" s="35">
        <f>IFERROR(__xludf.DUMMYFUNCTION("""COMPUTED_VALUE"""),1.01065124E8)</f>
        <v>101065124</v>
      </c>
      <c r="H45" s="34" t="str">
        <f>IFERROR(__xludf.DUMMYFUNCTION("""COMPUTED_VALUE"""),"N.S. 01044463010008")</f>
        <v>N.S. 01044463010008</v>
      </c>
      <c r="I45" s="37" t="str">
        <f>IFERROR(__xludf.DUMMYFUNCTION("""COMPUTED_VALUE"""),"DATEN Modelo: DC5A-U-R5 PRO (SALA DE REDS),02-Monitor, 01 Mouse, 01 Teclado")</f>
        <v>DATEN Modelo: DC5A-U-R5 PRO (SALA DE REDS),02-Monitor, 01 Mouse, 01 Teclado</v>
      </c>
    </row>
    <row r="46" ht="22.5" customHeight="1">
      <c r="A46" s="30">
        <f>IFERROR(__xludf.DUMMYFUNCTION("""COMPUTED_VALUE"""),710.0)</f>
        <v>710</v>
      </c>
      <c r="B46" s="40" t="str">
        <f>IFERROR(__xludf.DUMMYFUNCTION("""COMPUTED_VALUE"""),"CORRENTE DE FERRO GALVANIZADO")</f>
        <v>CORRENTE DE FERRO GALVANIZADO</v>
      </c>
      <c r="C46" s="32">
        <f>IFERROR(__xludf.DUMMYFUNCTION("""COMPUTED_VALUE"""),1.0)</f>
        <v>1</v>
      </c>
      <c r="D46" s="33" t="str">
        <f>IFERROR(__xludf.DUMMYFUNCTION("""COMPUTED_VALUE"""),"SEÇÃO")</f>
        <v>SEÇÃO</v>
      </c>
      <c r="E46" s="34" t="str">
        <f>IFERROR(__xludf.DUMMYFUNCTION("""COMPUTED_VALUE"""),"3 - SOU")</f>
        <v>3 - SOU</v>
      </c>
      <c r="F46" s="34" t="str">
        <f>IFERROR(__xludf.DUMMYFUNCTION("""COMPUTED_VALUE"""),"RÁDIO OPERADOR")</f>
        <v>RÁDIO OPERADOR</v>
      </c>
      <c r="G46" s="35">
        <f>IFERROR(__xludf.DUMMYFUNCTION("""COMPUTED_VALUE"""),45533.0)</f>
        <v>45533</v>
      </c>
      <c r="H46" s="34"/>
      <c r="I46" s="37"/>
    </row>
    <row r="47" ht="22.5" customHeight="1">
      <c r="A47" s="30">
        <f>IFERROR(__xludf.DUMMYFUNCTION("""COMPUTED_VALUE"""),91.0)</f>
        <v>91</v>
      </c>
      <c r="B47" s="31" t="str">
        <f>IFERROR(__xludf.DUMMYFUNCTION("""COMPUTED_VALUE"""),"GAVETEIRO -")</f>
        <v>GAVETEIRO -</v>
      </c>
      <c r="C47" s="32">
        <f>IFERROR(__xludf.DUMMYFUNCTION("""COMPUTED_VALUE"""),1.0)</f>
        <v>1</v>
      </c>
      <c r="D47" s="33" t="str">
        <f>IFERROR(__xludf.DUMMYFUNCTION("""COMPUTED_VALUE"""),"SEÇÃO")</f>
        <v>SEÇÃO</v>
      </c>
      <c r="E47" s="34" t="str">
        <f>IFERROR(__xludf.DUMMYFUNCTION("""COMPUTED_VALUE"""),"3 - SOU")</f>
        <v>3 - SOU</v>
      </c>
      <c r="F47" s="34" t="str">
        <f>IFERROR(__xludf.DUMMYFUNCTION("""COMPUTED_VALUE"""),"RÁDIO OPERADOR")</f>
        <v>RÁDIO OPERADOR</v>
      </c>
      <c r="G47" s="35">
        <f>IFERROR(__xludf.DUMMYFUNCTION("""COMPUTED_VALUE"""),5.352996E7)</f>
        <v>53529960</v>
      </c>
      <c r="H47" s="34"/>
      <c r="I47" s="37" t="str">
        <f>IFERROR(__xludf.DUMMYFUNCTION("""COMPUTED_VALUE"""),"sala telefones")</f>
        <v>sala telefones</v>
      </c>
    </row>
    <row r="48" ht="22.5" customHeight="1">
      <c r="A48" s="30">
        <f>IFERROR(__xludf.DUMMYFUNCTION("""COMPUTED_VALUE"""),851.0)</f>
        <v>851</v>
      </c>
      <c r="B48" s="31" t="str">
        <f>IFERROR(__xludf.DUMMYFUNCTION("""COMPUTED_VALUE"""),"GAVETEIRO USO ESCRITORIO -")</f>
        <v>GAVETEIRO USO ESCRITORIO -</v>
      </c>
      <c r="C48" s="32">
        <f>IFERROR(__xludf.DUMMYFUNCTION("""COMPUTED_VALUE"""),1.0)</f>
        <v>1</v>
      </c>
      <c r="D48" s="33" t="str">
        <f>IFERROR(__xludf.DUMMYFUNCTION("""COMPUTED_VALUE"""),"SEÇÃO")</f>
        <v>SEÇÃO</v>
      </c>
      <c r="E48" s="34" t="str">
        <f>IFERROR(__xludf.DUMMYFUNCTION("""COMPUTED_VALUE"""),"3 - SOU")</f>
        <v>3 - SOU</v>
      </c>
      <c r="F48" s="34" t="str">
        <f>IFERROR(__xludf.DUMMYFUNCTION("""COMPUTED_VALUE"""),"RÁDIO OPERADOR")</f>
        <v>RÁDIO OPERADOR</v>
      </c>
      <c r="G48" s="35">
        <f>IFERROR(__xludf.DUMMYFUNCTION("""COMPUTED_VALUE"""),4.0148483E7)</f>
        <v>40148483</v>
      </c>
      <c r="H48" s="34"/>
      <c r="I48" s="37"/>
    </row>
    <row r="49" ht="22.5" customHeight="1">
      <c r="A49" s="30">
        <f>IFERROR(__xludf.DUMMYFUNCTION("""COMPUTED_VALUE"""),1258.0)</f>
        <v>1258</v>
      </c>
      <c r="B49" s="31" t="str">
        <f>IFERROR(__xludf.DUMMYFUNCTION("""COMPUTED_VALUE"""),"IMPRESSORA MULTIFUNCIONAL -")</f>
        <v>IMPRESSORA MULTIFUNCIONAL -</v>
      </c>
      <c r="C49" s="32">
        <f>IFERROR(__xludf.DUMMYFUNCTION("""COMPUTED_VALUE"""),1.0)</f>
        <v>1</v>
      </c>
      <c r="D49" s="33" t="str">
        <f>IFERROR(__xludf.DUMMYFUNCTION("""COMPUTED_VALUE"""),"SEÇÃO")</f>
        <v>SEÇÃO</v>
      </c>
      <c r="E49" s="34" t="str">
        <f>IFERROR(__xludf.DUMMYFUNCTION("""COMPUTED_VALUE"""),"3 - SOU")</f>
        <v>3 - SOU</v>
      </c>
      <c r="F49" s="34" t="str">
        <f>IFERROR(__xludf.DUMMYFUNCTION("""COMPUTED_VALUE"""),"RÁDIO OPERADOR")</f>
        <v>RÁDIO OPERADOR</v>
      </c>
      <c r="G49" s="35"/>
      <c r="H49" s="34" t="str">
        <f>IFERROR(__xludf.DUMMYFUNCTION("""COMPUTED_VALUE"""),"SELB-20XR")</f>
        <v>SELB-20XR</v>
      </c>
      <c r="I49" s="37" t="str">
        <f>IFERROR(__xludf.DUMMYFUNCTION("""COMPUTED_VALUE"""),"impressora RICOH IM 430F (SELB-11XP)")</f>
        <v>impressora RICOH IM 430F (SELB-11XP)</v>
      </c>
    </row>
    <row r="50" ht="22.5" customHeight="1">
      <c r="A50" s="30">
        <f>IFERROR(__xludf.DUMMYFUNCTION("""COMPUTED_VALUE"""),715.0)</f>
        <v>715</v>
      </c>
      <c r="B50" s="40" t="str">
        <f>IFERROR(__xludf.DUMMYFUNCTION("""COMPUTED_VALUE"""),"LIVRO PARA ACAUTELAMENTO DE MATERIAIS")</f>
        <v>LIVRO PARA ACAUTELAMENTO DE MATERIAIS</v>
      </c>
      <c r="C50" s="32">
        <f>IFERROR(__xludf.DUMMYFUNCTION("""COMPUTED_VALUE"""),1.0)</f>
        <v>1</v>
      </c>
      <c r="D50" s="33" t="str">
        <f>IFERROR(__xludf.DUMMYFUNCTION("""COMPUTED_VALUE"""),"SEÇÃO")</f>
        <v>SEÇÃO</v>
      </c>
      <c r="E50" s="34" t="str">
        <f>IFERROR(__xludf.DUMMYFUNCTION("""COMPUTED_VALUE"""),"3 - SOU")</f>
        <v>3 - SOU</v>
      </c>
      <c r="F50" s="34" t="str">
        <f>IFERROR(__xludf.DUMMYFUNCTION("""COMPUTED_VALUE"""),"RÁDIO OPERADOR")</f>
        <v>RÁDIO OPERADOR</v>
      </c>
      <c r="G50" s="35">
        <f>IFERROR(__xludf.DUMMYFUNCTION("""COMPUTED_VALUE"""),45980.0)</f>
        <v>45980</v>
      </c>
      <c r="H50" s="34"/>
      <c r="I50" s="37"/>
    </row>
    <row r="51" ht="22.5" customHeight="1">
      <c r="A51" s="30">
        <f>IFERROR(__xludf.DUMMYFUNCTION("""COMPUTED_VALUE"""),1260.0)</f>
        <v>1260</v>
      </c>
      <c r="B51" s="31" t="str">
        <f>IFERROR(__xludf.DUMMYFUNCTION("""COMPUTED_VALUE"""),"MESA DE ESCRITÓRIO ")</f>
        <v>MESA DE ESCRITÓRIO </v>
      </c>
      <c r="C51" s="32">
        <f>IFERROR(__xludf.DUMMYFUNCTION("""COMPUTED_VALUE"""),2.0)</f>
        <v>2</v>
      </c>
      <c r="D51" s="33" t="str">
        <f>IFERROR(__xludf.DUMMYFUNCTION("""COMPUTED_VALUE"""),"SEÇÃO")</f>
        <v>SEÇÃO</v>
      </c>
      <c r="E51" s="34" t="str">
        <f>IFERROR(__xludf.DUMMYFUNCTION("""COMPUTED_VALUE"""),"3 - SOU")</f>
        <v>3 - SOU</v>
      </c>
      <c r="F51" s="34" t="str">
        <f>IFERROR(__xludf.DUMMYFUNCTION("""COMPUTED_VALUE"""),"RÁDIO OPERADOR")</f>
        <v>RÁDIO OPERADOR</v>
      </c>
      <c r="G51" s="35"/>
      <c r="H51" s="34"/>
      <c r="I51" s="37" t="str">
        <f>IFERROR(__xludf.DUMMYFUNCTION("""COMPUTED_VALUE"""),"mesa de escritório reta  (Azul)")</f>
        <v>mesa de escritório reta  (Azul)</v>
      </c>
    </row>
    <row r="52" ht="22.5" customHeight="1">
      <c r="A52" s="30">
        <f>IFERROR(__xludf.DUMMYFUNCTION("""COMPUTED_VALUE"""),837.0)</f>
        <v>837</v>
      </c>
      <c r="B52" s="31" t="str">
        <f>IFERROR(__xludf.DUMMYFUNCTION("""COMPUTED_VALUE"""),"MESA PARA COMPUTADOR -")</f>
        <v>MESA PARA COMPUTADOR -</v>
      </c>
      <c r="C52" s="32">
        <f>IFERROR(__xludf.DUMMYFUNCTION("""COMPUTED_VALUE"""),1.0)</f>
        <v>1</v>
      </c>
      <c r="D52" s="33" t="str">
        <f>IFERROR(__xludf.DUMMYFUNCTION("""COMPUTED_VALUE"""),"SEÇÃO")</f>
        <v>SEÇÃO</v>
      </c>
      <c r="E52" s="34" t="str">
        <f>IFERROR(__xludf.DUMMYFUNCTION("""COMPUTED_VALUE"""),"3 - SOU")</f>
        <v>3 - SOU</v>
      </c>
      <c r="F52" s="34" t="str">
        <f>IFERROR(__xludf.DUMMYFUNCTION("""COMPUTED_VALUE"""),"RÁDIO OPERADOR")</f>
        <v>RÁDIO OPERADOR</v>
      </c>
      <c r="G52" s="35">
        <f>IFERROR(__xludf.DUMMYFUNCTION("""COMPUTED_VALUE"""),1.8933556E7)</f>
        <v>18933556</v>
      </c>
      <c r="H52" s="34"/>
      <c r="I52" s="37" t="str">
        <f>IFERROR(__xludf.DUMMYFUNCTION("""COMPUTED_VALUE"""),"mesa telefones")</f>
        <v>mesa telefones</v>
      </c>
    </row>
    <row r="53" ht="22.5" customHeight="1">
      <c r="A53" s="30">
        <f>IFERROR(__xludf.DUMMYFUNCTION("""COMPUTED_VALUE"""),709.0)</f>
        <v>709</v>
      </c>
      <c r="B53" s="31" t="str">
        <f>IFERROR(__xludf.DUMMYFUNCTION("""COMPUTED_VALUE"""),"MESA PARA ESCRITORIO (II) -")</f>
        <v>MESA PARA ESCRITORIO (II) -</v>
      </c>
      <c r="C53" s="32">
        <f>IFERROR(__xludf.DUMMYFUNCTION("""COMPUTED_VALUE"""),1.0)</f>
        <v>1</v>
      </c>
      <c r="D53" s="33" t="str">
        <f>IFERROR(__xludf.DUMMYFUNCTION("""COMPUTED_VALUE"""),"SEÇÃO")</f>
        <v>SEÇÃO</v>
      </c>
      <c r="E53" s="34" t="str">
        <f>IFERROR(__xludf.DUMMYFUNCTION("""COMPUTED_VALUE"""),"3 - SOU")</f>
        <v>3 - SOU</v>
      </c>
      <c r="F53" s="34" t="str">
        <f>IFERROR(__xludf.DUMMYFUNCTION("""COMPUTED_VALUE"""),"RÁDIO OPERADOR")</f>
        <v>RÁDIO OPERADOR</v>
      </c>
      <c r="G53" s="35">
        <f>IFERROR(__xludf.DUMMYFUNCTION("""COMPUTED_VALUE"""),1.5009912E7)</f>
        <v>15009912</v>
      </c>
      <c r="H53" s="34"/>
      <c r="I53" s="37" t="str">
        <f>IFERROR(__xludf.DUMMYFUNCTION("""COMPUTED_VALUE"""),"mesa dos telefones ")</f>
        <v>mesa dos telefones </v>
      </c>
    </row>
    <row r="54" ht="22.5" customHeight="1">
      <c r="A54" s="30">
        <f>IFERROR(__xludf.DUMMYFUNCTION("""COMPUTED_VALUE"""),45.0)</f>
        <v>45</v>
      </c>
      <c r="B54" s="31" t="str">
        <f>IFERROR(__xludf.DUMMYFUNCTION("""COMPUTED_VALUE"""),"MICRO RETIFICA -")</f>
        <v>MICRO RETIFICA -</v>
      </c>
      <c r="C54" s="32">
        <f>IFERROR(__xludf.DUMMYFUNCTION("""COMPUTED_VALUE"""),1.0)</f>
        <v>1</v>
      </c>
      <c r="D54" s="33" t="str">
        <f>IFERROR(__xludf.DUMMYFUNCTION("""COMPUTED_VALUE"""),"SEÇÃO")</f>
        <v>SEÇÃO</v>
      </c>
      <c r="E54" s="34" t="str">
        <f>IFERROR(__xludf.DUMMYFUNCTION("""COMPUTED_VALUE"""),"3 - SOU")</f>
        <v>3 - SOU</v>
      </c>
      <c r="F54" s="34" t="str">
        <f>IFERROR(__xludf.DUMMYFUNCTION("""COMPUTED_VALUE"""),"RÁDIO OPERADOR")</f>
        <v>RÁDIO OPERADOR</v>
      </c>
      <c r="G54" s="35">
        <f>IFERROR(__xludf.DUMMYFUNCTION("""COMPUTED_VALUE"""),7.6783456E7)</f>
        <v>76783456</v>
      </c>
      <c r="H54" s="34"/>
      <c r="I54" s="37"/>
    </row>
    <row r="55" ht="22.5" customHeight="1">
      <c r="A55" s="30">
        <f>IFERROR(__xludf.DUMMYFUNCTION("""COMPUTED_VALUE"""),712.0)</f>
        <v>712</v>
      </c>
      <c r="B55" s="31" t="str">
        <f>IFERROR(__xludf.DUMMYFUNCTION("""COMPUTED_VALUE"""),"MINI MOSQUETÃO")</f>
        <v>MINI MOSQUETÃO</v>
      </c>
      <c r="C55" s="32">
        <f>IFERROR(__xludf.DUMMYFUNCTION("""COMPUTED_VALUE"""),6.0)</f>
        <v>6</v>
      </c>
      <c r="D55" s="33" t="str">
        <f>IFERROR(__xludf.DUMMYFUNCTION("""COMPUTED_VALUE"""),"SEÇÃO")</f>
        <v>SEÇÃO</v>
      </c>
      <c r="E55" s="34" t="str">
        <f>IFERROR(__xludf.DUMMYFUNCTION("""COMPUTED_VALUE"""),"3 - SOU")</f>
        <v>3 - SOU</v>
      </c>
      <c r="F55" s="34" t="str">
        <f>IFERROR(__xludf.DUMMYFUNCTION("""COMPUTED_VALUE"""),"RÁDIO OPERADOR")</f>
        <v>RÁDIO OPERADOR</v>
      </c>
      <c r="G55" s="35">
        <f>IFERROR(__xludf.DUMMYFUNCTION("""COMPUTED_VALUE"""),45533.0)</f>
        <v>45533</v>
      </c>
      <c r="H55" s="34"/>
      <c r="I55" s="37" t="str">
        <f>IFERROR(__xludf.DUMMYFUNCTION("""COMPUTED_VALUE"""),"ENCONTRAM-SE NO MASTRO DAS BANDEIRAS")</f>
        <v>ENCONTRAM-SE NO MASTRO DAS BANDEIRAS</v>
      </c>
    </row>
    <row r="56" ht="22.5" customHeight="1">
      <c r="A56" s="30">
        <f>IFERROR(__xludf.DUMMYFUNCTION("""COMPUTED_VALUE"""),695.0)</f>
        <v>695</v>
      </c>
      <c r="B56" s="31" t="str">
        <f>IFERROR(__xludf.DUMMYFUNCTION("""COMPUTED_VALUE"""),"MUNICAO PARA ARMAS (USO REAL) -")</f>
        <v>MUNICAO PARA ARMAS (USO REAL) -</v>
      </c>
      <c r="C56" s="32">
        <f>IFERROR(__xludf.DUMMYFUNCTION("""COMPUTED_VALUE"""),12.0)</f>
        <v>12</v>
      </c>
      <c r="D56" s="33" t="str">
        <f>IFERROR(__xludf.DUMMYFUNCTION("""COMPUTED_VALUE"""),"SEÇÃO")</f>
        <v>SEÇÃO</v>
      </c>
      <c r="E56" s="34" t="str">
        <f>IFERROR(__xludf.DUMMYFUNCTION("""COMPUTED_VALUE"""),"3 - SOU")</f>
        <v>3 - SOU</v>
      </c>
      <c r="F56" s="34" t="str">
        <f>IFERROR(__xludf.DUMMYFUNCTION("""COMPUTED_VALUE"""),"RÁDIO OPERADOR")</f>
        <v>RÁDIO OPERADOR</v>
      </c>
      <c r="G56" s="35">
        <f>IFERROR(__xludf.DUMMYFUNCTION("""COMPUTED_VALUE"""),45532.0)</f>
        <v>45532</v>
      </c>
      <c r="H56" s="34"/>
      <c r="I56" s="37"/>
    </row>
    <row r="57" ht="22.5" customHeight="1">
      <c r="A57" s="30">
        <f>IFERROR(__xludf.DUMMYFUNCTION("""COMPUTED_VALUE"""),1050.0)</f>
        <v>1050</v>
      </c>
      <c r="B57" s="31" t="str">
        <f>IFERROR(__xludf.DUMMYFUNCTION("""COMPUTED_VALUE"""),"RADIO TRANSCEPTOR -")</f>
        <v>RADIO TRANSCEPTOR -</v>
      </c>
      <c r="C57" s="32">
        <f>IFERROR(__xludf.DUMMYFUNCTION("""COMPUTED_VALUE"""),1.0)</f>
        <v>1</v>
      </c>
      <c r="D57" s="33" t="str">
        <f>IFERROR(__xludf.DUMMYFUNCTION("""COMPUTED_VALUE"""),"SEÇÃO")</f>
        <v>SEÇÃO</v>
      </c>
      <c r="E57" s="34" t="str">
        <f>IFERROR(__xludf.DUMMYFUNCTION("""COMPUTED_VALUE"""),"3 - SOU")</f>
        <v>3 - SOU</v>
      </c>
      <c r="F57" s="34" t="str">
        <f>IFERROR(__xludf.DUMMYFUNCTION("""COMPUTED_VALUE"""),"RÁDIO OPERADOR")</f>
        <v>RÁDIO OPERADOR</v>
      </c>
      <c r="G57" s="35">
        <f>IFERROR(__xludf.DUMMYFUNCTION("""COMPUTED_VALUE"""),7.679273E7)</f>
        <v>76792730</v>
      </c>
      <c r="H57" s="34"/>
      <c r="I57" s="37" t="str">
        <f>IFERROR(__xludf.DUMMYFUNCTION("""COMPUTED_VALUE"""),"Rádio Sentinela ")</f>
        <v>Rádio Sentinela </v>
      </c>
    </row>
    <row r="58" ht="22.5" customHeight="1">
      <c r="A58" s="30">
        <f>IFERROR(__xludf.DUMMYFUNCTION("""COMPUTED_VALUE"""),693.0)</f>
        <v>693</v>
      </c>
      <c r="B58" s="31" t="str">
        <f>IFERROR(__xludf.DUMMYFUNCTION("""COMPUTED_VALUE"""),"REVOLVER -")</f>
        <v>REVOLVER -</v>
      </c>
      <c r="C58" s="32">
        <f>IFERROR(__xludf.DUMMYFUNCTION("""COMPUTED_VALUE"""),1.0)</f>
        <v>1</v>
      </c>
      <c r="D58" s="33" t="str">
        <f>IFERROR(__xludf.DUMMYFUNCTION("""COMPUTED_VALUE"""),"SEÇÃO")</f>
        <v>SEÇÃO</v>
      </c>
      <c r="E58" s="34" t="str">
        <f>IFERROR(__xludf.DUMMYFUNCTION("""COMPUTED_VALUE"""),"3 - SOU")</f>
        <v>3 - SOU</v>
      </c>
      <c r="F58" s="34" t="str">
        <f>IFERROR(__xludf.DUMMYFUNCTION("""COMPUTED_VALUE"""),"RÁDIO OPERADOR")</f>
        <v>RÁDIO OPERADOR</v>
      </c>
      <c r="G58" s="35">
        <f>IFERROR(__xludf.DUMMYFUNCTION("""COMPUTED_VALUE"""),1.4012944E7)</f>
        <v>14012944</v>
      </c>
      <c r="H58" s="34" t="str">
        <f>IFERROR(__xludf.DUMMYFUNCTION("""COMPUTED_VALUE"""),"ZK433717*")</f>
        <v>ZK433717*</v>
      </c>
      <c r="I58" s="37" t="str">
        <f>IFERROR(__xludf.DUMMYFUNCTION("""COMPUTED_VALUE"""),"38 SPECIAL TAURUS")</f>
        <v>38 SPECIAL TAURUS</v>
      </c>
    </row>
    <row r="59" ht="22.5" customHeight="1">
      <c r="A59" s="30">
        <f>IFERROR(__xludf.DUMMYFUNCTION("""COMPUTED_VALUE"""),694.0)</f>
        <v>694</v>
      </c>
      <c r="B59" s="31" t="str">
        <f>IFERROR(__xludf.DUMMYFUNCTION("""COMPUTED_VALUE"""),"TELEFONE")</f>
        <v>TELEFONE</v>
      </c>
      <c r="C59" s="32">
        <f>IFERROR(__xludf.DUMMYFUNCTION("""COMPUTED_VALUE"""),4.0)</f>
        <v>4</v>
      </c>
      <c r="D59" s="33" t="str">
        <f>IFERROR(__xludf.DUMMYFUNCTION("""COMPUTED_VALUE"""),"SEÇÃO")</f>
        <v>SEÇÃO</v>
      </c>
      <c r="E59" s="34" t="str">
        <f>IFERROR(__xludf.DUMMYFUNCTION("""COMPUTED_VALUE"""),"3 - SOU")</f>
        <v>3 - SOU</v>
      </c>
      <c r="F59" s="34" t="str">
        <f>IFERROR(__xludf.DUMMYFUNCTION("""COMPUTED_VALUE"""),"RÁDIO OPERADOR")</f>
        <v>RÁDIO OPERADOR</v>
      </c>
      <c r="G59" s="35">
        <f>IFERROR(__xludf.DUMMYFUNCTION("""COMPUTED_VALUE"""),45532.0)</f>
        <v>45532</v>
      </c>
      <c r="H59" s="34"/>
      <c r="I59" s="37"/>
    </row>
    <row r="60" ht="22.5" customHeight="1">
      <c r="A60" s="30">
        <f>IFERROR(__xludf.DUMMYFUNCTION("""COMPUTED_VALUE"""),733.0)</f>
        <v>733</v>
      </c>
      <c r="B60" s="31" t="str">
        <f>IFERROR(__xludf.DUMMYFUNCTION("""COMPUTED_VALUE"""),"ALICATE PARA CORTE DE ANEL MD")</f>
        <v>ALICATE PARA CORTE DE ANEL MD</v>
      </c>
      <c r="C60" s="32">
        <f>IFERROR(__xludf.DUMMYFUNCTION("""COMPUTED_VALUE"""),1.0)</f>
        <v>1</v>
      </c>
      <c r="D60" s="33" t="str">
        <f>IFERROR(__xludf.DUMMYFUNCTION("""COMPUTED_VALUE"""),"SEÇÃO")</f>
        <v>SEÇÃO</v>
      </c>
      <c r="E60" s="34" t="str">
        <f>IFERROR(__xludf.DUMMYFUNCTION("""COMPUTED_VALUE"""),"3 - SOU")</f>
        <v>3 - SOU</v>
      </c>
      <c r="F60" s="34" t="str">
        <f>IFERROR(__xludf.DUMMYFUNCTION("""COMPUTED_VALUE"""),"SALA DE REDS")</f>
        <v>SALA DE REDS</v>
      </c>
      <c r="G60" s="35"/>
      <c r="H60" s="34"/>
      <c r="I60" s="37"/>
    </row>
    <row r="61" ht="22.5" customHeight="1">
      <c r="A61" s="30">
        <f>IFERROR(__xludf.DUMMYFUNCTION("""COMPUTED_VALUE"""),699.0)</f>
        <v>699</v>
      </c>
      <c r="B61" s="31" t="str">
        <f>IFERROR(__xludf.DUMMYFUNCTION("""COMPUTED_VALUE"""),"ARMÁRIO ESCANINHO COM DUAS GAVETAS (MADEIRA)")</f>
        <v>ARMÁRIO ESCANINHO COM DUAS GAVETAS (MADEIRA)</v>
      </c>
      <c r="C61" s="32">
        <f>IFERROR(__xludf.DUMMYFUNCTION("""COMPUTED_VALUE"""),1.0)</f>
        <v>1</v>
      </c>
      <c r="D61" s="33" t="str">
        <f>IFERROR(__xludf.DUMMYFUNCTION("""COMPUTED_VALUE"""),"SEÇÃO")</f>
        <v>SEÇÃO</v>
      </c>
      <c r="E61" s="34" t="str">
        <f>IFERROR(__xludf.DUMMYFUNCTION("""COMPUTED_VALUE"""),"3 - SOU")</f>
        <v>3 - SOU</v>
      </c>
      <c r="F61" s="34" t="str">
        <f>IFERROR(__xludf.DUMMYFUNCTION("""COMPUTED_VALUE"""),"SALA DE REDS")</f>
        <v>SALA DE REDS</v>
      </c>
      <c r="G61" s="35">
        <f>IFERROR(__xludf.DUMMYFUNCTION("""COMPUTED_VALUE"""),45533.0)</f>
        <v>45533</v>
      </c>
      <c r="H61" s="34"/>
      <c r="I61" s="37"/>
    </row>
    <row r="62" ht="22.5" customHeight="1">
      <c r="A62" s="30">
        <f>IFERROR(__xludf.DUMMYFUNCTION("""COMPUTED_VALUE"""),702.0)</f>
        <v>702</v>
      </c>
      <c r="B62" s="31" t="str">
        <f>IFERROR(__xludf.DUMMYFUNCTION("""COMPUTED_VALUE"""),"ARMÁRIO ESCANINHO DE METAL")</f>
        <v>ARMÁRIO ESCANINHO DE METAL</v>
      </c>
      <c r="C62" s="32">
        <f>IFERROR(__xludf.DUMMYFUNCTION("""COMPUTED_VALUE"""),1.0)</f>
        <v>1</v>
      </c>
      <c r="D62" s="33" t="str">
        <f>IFERROR(__xludf.DUMMYFUNCTION("""COMPUTED_VALUE"""),"SEÇÃO")</f>
        <v>SEÇÃO</v>
      </c>
      <c r="E62" s="34" t="str">
        <f>IFERROR(__xludf.DUMMYFUNCTION("""COMPUTED_VALUE"""),"3 - SOU")</f>
        <v>3 - SOU</v>
      </c>
      <c r="F62" s="34" t="str">
        <f>IFERROR(__xludf.DUMMYFUNCTION("""COMPUTED_VALUE"""),"SALA DE REDS")</f>
        <v>SALA DE REDS</v>
      </c>
      <c r="G62" s="35">
        <f>IFERROR(__xludf.DUMMYFUNCTION("""COMPUTED_VALUE"""),45533.0)</f>
        <v>45533</v>
      </c>
      <c r="H62" s="34"/>
      <c r="I62" s="37"/>
    </row>
    <row r="63" ht="22.5" customHeight="1">
      <c r="A63" s="30">
        <f>IFERROR(__xludf.DUMMYFUNCTION("""COMPUTED_VALUE"""),824.0)</f>
        <v>824</v>
      </c>
      <c r="B63" s="31" t="str">
        <f>IFERROR(__xludf.DUMMYFUNCTION("""COMPUTED_VALUE"""),"ARMARIO-BALCAO -")</f>
        <v>ARMARIO-BALCAO -</v>
      </c>
      <c r="C63" s="32">
        <f>IFERROR(__xludf.DUMMYFUNCTION("""COMPUTED_VALUE"""),1.0)</f>
        <v>1</v>
      </c>
      <c r="D63" s="33" t="str">
        <f>IFERROR(__xludf.DUMMYFUNCTION("""COMPUTED_VALUE"""),"SEÇÃO")</f>
        <v>SEÇÃO</v>
      </c>
      <c r="E63" s="34" t="str">
        <f>IFERROR(__xludf.DUMMYFUNCTION("""COMPUTED_VALUE"""),"3 - SOU")</f>
        <v>3 - SOU</v>
      </c>
      <c r="F63" s="34" t="str">
        <f>IFERROR(__xludf.DUMMYFUNCTION("""COMPUTED_VALUE"""),"SALA DE REDS")</f>
        <v>SALA DE REDS</v>
      </c>
      <c r="G63" s="35">
        <f>IFERROR(__xludf.DUMMYFUNCTION("""COMPUTED_VALUE"""),1.4094207E7)</f>
        <v>14094207</v>
      </c>
      <c r="H63" s="34"/>
      <c r="I63" s="37"/>
    </row>
    <row r="64" ht="22.5" customHeight="1">
      <c r="A64" s="30">
        <f>IFERROR(__xludf.DUMMYFUNCTION("""COMPUTED_VALUE"""),704.0)</f>
        <v>704</v>
      </c>
      <c r="B64" s="31" t="str">
        <f>IFERROR(__xludf.DUMMYFUNCTION("""COMPUTED_VALUE"""),"BANDEIRA DE MINAS GERAIS ")</f>
        <v>BANDEIRA DE MINAS GERAIS </v>
      </c>
      <c r="C64" s="32">
        <f>IFERROR(__xludf.DUMMYFUNCTION("""COMPUTED_VALUE"""),2.0)</f>
        <v>2</v>
      </c>
      <c r="D64" s="33" t="str">
        <f>IFERROR(__xludf.DUMMYFUNCTION("""COMPUTED_VALUE"""),"SEÇÃO")</f>
        <v>SEÇÃO</v>
      </c>
      <c r="E64" s="34" t="str">
        <f>IFERROR(__xludf.DUMMYFUNCTION("""COMPUTED_VALUE"""),"3 - SOU")</f>
        <v>3 - SOU</v>
      </c>
      <c r="F64" s="34" t="str">
        <f>IFERROR(__xludf.DUMMYFUNCTION("""COMPUTED_VALUE"""),"SALA DE REDS")</f>
        <v>SALA DE REDS</v>
      </c>
      <c r="G64" s="35">
        <f>IFERROR(__xludf.DUMMYFUNCTION("""COMPUTED_VALUE"""),45533.0)</f>
        <v>45533</v>
      </c>
      <c r="H64" s="34"/>
      <c r="I64" s="37"/>
    </row>
    <row r="65" ht="22.5" customHeight="1">
      <c r="A65" s="30">
        <f>IFERROR(__xludf.DUMMYFUNCTION("""COMPUTED_VALUE"""),703.0)</f>
        <v>703</v>
      </c>
      <c r="B65" s="40" t="str">
        <f>IFERROR(__xludf.DUMMYFUNCTION("""COMPUTED_VALUE"""),"BANDEIRA DO BRASIL ")</f>
        <v>BANDEIRA DO BRASIL </v>
      </c>
      <c r="C65" s="32">
        <f>IFERROR(__xludf.DUMMYFUNCTION("""COMPUTED_VALUE"""),2.0)</f>
        <v>2</v>
      </c>
      <c r="D65" s="33" t="str">
        <f>IFERROR(__xludf.DUMMYFUNCTION("""COMPUTED_VALUE"""),"SEÇÃO")</f>
        <v>SEÇÃO</v>
      </c>
      <c r="E65" s="34" t="str">
        <f>IFERROR(__xludf.DUMMYFUNCTION("""COMPUTED_VALUE"""),"3 - SOU")</f>
        <v>3 - SOU</v>
      </c>
      <c r="F65" s="34" t="str">
        <f>IFERROR(__xludf.DUMMYFUNCTION("""COMPUTED_VALUE"""),"SALA DE REDS")</f>
        <v>SALA DE REDS</v>
      </c>
      <c r="G65" s="35">
        <f>IFERROR(__xludf.DUMMYFUNCTION("""COMPUTED_VALUE"""),45533.0)</f>
        <v>45533</v>
      </c>
      <c r="H65" s="34"/>
      <c r="I65" s="37"/>
    </row>
    <row r="66" ht="22.5" customHeight="1">
      <c r="A66" s="30">
        <f>IFERROR(__xludf.DUMMYFUNCTION("""COMPUTED_VALUE"""),535.0)</f>
        <v>535</v>
      </c>
      <c r="B66" s="31" t="str">
        <f>IFERROR(__xludf.DUMMYFUNCTION("""COMPUTED_VALUE"""),"BINOCULO -")</f>
        <v>BINOCULO -</v>
      </c>
      <c r="C66" s="32">
        <f>IFERROR(__xludf.DUMMYFUNCTION("""COMPUTED_VALUE"""),1.0)</f>
        <v>1</v>
      </c>
      <c r="D66" s="33" t="str">
        <f>IFERROR(__xludf.DUMMYFUNCTION("""COMPUTED_VALUE"""),"SEÇÃO")</f>
        <v>SEÇÃO</v>
      </c>
      <c r="E66" s="34" t="str">
        <f>IFERROR(__xludf.DUMMYFUNCTION("""COMPUTED_VALUE"""),"3 - SOU")</f>
        <v>3 - SOU</v>
      </c>
      <c r="F66" s="34" t="str">
        <f>IFERROR(__xludf.DUMMYFUNCTION("""COMPUTED_VALUE"""),"SALA DE REDS")</f>
        <v>SALA DE REDS</v>
      </c>
      <c r="G66" s="35">
        <f>IFERROR(__xludf.DUMMYFUNCTION("""COMPUTED_VALUE"""),1.3954539E7)</f>
        <v>13954539</v>
      </c>
      <c r="H66" s="34"/>
      <c r="I66" s="37" t="str">
        <f>IFERROR(__xludf.DUMMYFUNCTION("""COMPUTED_VALUE"""),"Binóculo TASCO")</f>
        <v>Binóculo TASCO</v>
      </c>
    </row>
    <row r="67" ht="22.5" customHeight="1">
      <c r="A67" s="30">
        <f>IFERROR(__xludf.DUMMYFUNCTION("""COMPUTED_VALUE"""),510.0)</f>
        <v>510</v>
      </c>
      <c r="B67" s="40" t="str">
        <f>IFERROR(__xludf.DUMMYFUNCTION("""COMPUTED_VALUE"""),"BINOCULO USO POLICIAL -")</f>
        <v>BINOCULO USO POLICIAL -</v>
      </c>
      <c r="C67" s="32">
        <f>IFERROR(__xludf.DUMMYFUNCTION("""COMPUTED_VALUE"""),1.0)</f>
        <v>1</v>
      </c>
      <c r="D67" s="33" t="str">
        <f>IFERROR(__xludf.DUMMYFUNCTION("""COMPUTED_VALUE"""),"SEÇÃO")</f>
        <v>SEÇÃO</v>
      </c>
      <c r="E67" s="34" t="str">
        <f>IFERROR(__xludf.DUMMYFUNCTION("""COMPUTED_VALUE"""),"3 - SOU")</f>
        <v>3 - SOU</v>
      </c>
      <c r="F67" s="34" t="str">
        <f>IFERROR(__xludf.DUMMYFUNCTION("""COMPUTED_VALUE"""),"SALA DE REDS")</f>
        <v>SALA DE REDS</v>
      </c>
      <c r="G67" s="35">
        <f>IFERROR(__xludf.DUMMYFUNCTION("""COMPUTED_VALUE"""),1.3857142E7)</f>
        <v>13857142</v>
      </c>
      <c r="H67" s="34"/>
      <c r="I67" s="37" t="str">
        <f>IFERROR(__xludf.DUMMYFUNCTION("""COMPUTED_VALUE"""),"Binóculo ATN Night Scout")</f>
        <v>Binóculo ATN Night Scout</v>
      </c>
    </row>
    <row r="68" ht="22.5" customHeight="1">
      <c r="A68" s="30">
        <f>IFERROR(__xludf.DUMMYFUNCTION("""COMPUTED_VALUE"""),1355.0)</f>
        <v>1355</v>
      </c>
      <c r="B68" s="31" t="str">
        <f>IFERROR(__xludf.DUMMYFUNCTION("""COMPUTED_VALUE"""),"CADEIRA PARA ESCRITÓRIO TIPO DIRETOR")</f>
        <v>CADEIRA PARA ESCRITÓRIO TIPO DIRETOR</v>
      </c>
      <c r="C68" s="32">
        <f>IFERROR(__xludf.DUMMYFUNCTION("""COMPUTED_VALUE"""),1.0)</f>
        <v>1</v>
      </c>
      <c r="D68" s="33" t="str">
        <f>IFERROR(__xludf.DUMMYFUNCTION("""COMPUTED_VALUE"""),"SEÇÃO")</f>
        <v>SEÇÃO</v>
      </c>
      <c r="E68" s="34" t="str">
        <f>IFERROR(__xludf.DUMMYFUNCTION("""COMPUTED_VALUE"""),"3 - SOU")</f>
        <v>3 - SOU</v>
      </c>
      <c r="F68" s="34" t="str">
        <f>IFERROR(__xludf.DUMMYFUNCTION("""COMPUTED_VALUE"""),"SALA DE REDS")</f>
        <v>SALA DE REDS</v>
      </c>
      <c r="G68" s="35">
        <f>IFERROR(__xludf.DUMMYFUNCTION("""COMPUTED_VALUE"""),7.6961494E7)</f>
        <v>76961494</v>
      </c>
      <c r="H68" s="34"/>
      <c r="I68" s="37"/>
    </row>
    <row r="69" ht="22.5" customHeight="1">
      <c r="A69" s="30">
        <f>IFERROR(__xludf.DUMMYFUNCTION("""COMPUTED_VALUE"""),1356.0)</f>
        <v>1356</v>
      </c>
      <c r="B69" s="31" t="str">
        <f>IFERROR(__xludf.DUMMYFUNCTION("""COMPUTED_VALUE"""),"CADEIRA PARA ESCRITÓRIO TIPO DIRETOR")</f>
        <v>CADEIRA PARA ESCRITÓRIO TIPO DIRETOR</v>
      </c>
      <c r="C69" s="32">
        <f>IFERROR(__xludf.DUMMYFUNCTION("""COMPUTED_VALUE"""),1.0)</f>
        <v>1</v>
      </c>
      <c r="D69" s="33" t="str">
        <f>IFERROR(__xludf.DUMMYFUNCTION("""COMPUTED_VALUE"""),"SEÇÃO")</f>
        <v>SEÇÃO</v>
      </c>
      <c r="E69" s="34" t="str">
        <f>IFERROR(__xludf.DUMMYFUNCTION("""COMPUTED_VALUE"""),"3 - SOU")</f>
        <v>3 - SOU</v>
      </c>
      <c r="F69" s="34" t="str">
        <f>IFERROR(__xludf.DUMMYFUNCTION("""COMPUTED_VALUE"""),"SALA DE REDS")</f>
        <v>SALA DE REDS</v>
      </c>
      <c r="G69" s="35">
        <f>IFERROR(__xludf.DUMMYFUNCTION("""COMPUTED_VALUE"""),7.6961508E7)</f>
        <v>76961508</v>
      </c>
      <c r="H69" s="34"/>
      <c r="I69" s="37"/>
    </row>
    <row r="70" ht="22.5" customHeight="1">
      <c r="A70" s="30">
        <f>IFERROR(__xludf.DUMMYFUNCTION("""COMPUTED_VALUE"""),1357.0)</f>
        <v>1357</v>
      </c>
      <c r="B70" s="31" t="str">
        <f>IFERROR(__xludf.DUMMYFUNCTION("""COMPUTED_VALUE"""),"CADEIRA PARA ESCRITÓRIO TIPO DIRETOR")</f>
        <v>CADEIRA PARA ESCRITÓRIO TIPO DIRETOR</v>
      </c>
      <c r="C70" s="32">
        <f>IFERROR(__xludf.DUMMYFUNCTION("""COMPUTED_VALUE"""),1.0)</f>
        <v>1</v>
      </c>
      <c r="D70" s="33" t="str">
        <f>IFERROR(__xludf.DUMMYFUNCTION("""COMPUTED_VALUE"""),"SEÇÃO")</f>
        <v>SEÇÃO</v>
      </c>
      <c r="E70" s="34" t="str">
        <f>IFERROR(__xludf.DUMMYFUNCTION("""COMPUTED_VALUE"""),"3 - SOU")</f>
        <v>3 - SOU</v>
      </c>
      <c r="F70" s="34" t="str">
        <f>IFERROR(__xludf.DUMMYFUNCTION("""COMPUTED_VALUE"""),"SALA DE REDS")</f>
        <v>SALA DE REDS</v>
      </c>
      <c r="G70" s="35">
        <f>IFERROR(__xludf.DUMMYFUNCTION("""COMPUTED_VALUE"""),7.6961516E7)</f>
        <v>76961516</v>
      </c>
      <c r="H70" s="34"/>
      <c r="I70" s="37"/>
    </row>
    <row r="71" ht="22.5" customHeight="1">
      <c r="A71" s="30">
        <f>IFERROR(__xludf.DUMMYFUNCTION("""COMPUTED_VALUE"""),731.0)</f>
        <v>731</v>
      </c>
      <c r="B71" s="31" t="str">
        <f>IFERROR(__xludf.DUMMYFUNCTION("""COMPUTED_VALUE"""),"CAPA PROTETORA  PARA  HT")</f>
        <v>CAPA PROTETORA  PARA  HT</v>
      </c>
      <c r="C71" s="32">
        <f>IFERROR(__xludf.DUMMYFUNCTION("""COMPUTED_VALUE"""),2.0)</f>
        <v>2</v>
      </c>
      <c r="D71" s="33" t="str">
        <f>IFERROR(__xludf.DUMMYFUNCTION("""COMPUTED_VALUE"""),"SEÇÃO")</f>
        <v>SEÇÃO</v>
      </c>
      <c r="E71" s="34" t="str">
        <f>IFERROR(__xludf.DUMMYFUNCTION("""COMPUTED_VALUE"""),"3 - SOU")</f>
        <v>3 - SOU</v>
      </c>
      <c r="F71" s="34" t="str">
        <f>IFERROR(__xludf.DUMMYFUNCTION("""COMPUTED_VALUE"""),"SALA DE REDS")</f>
        <v>SALA DE REDS</v>
      </c>
      <c r="G71" s="35">
        <f>IFERROR(__xludf.DUMMYFUNCTION("""COMPUTED_VALUE"""),45679.0)</f>
        <v>45679</v>
      </c>
      <c r="H71" s="34"/>
      <c r="I71" s="37"/>
    </row>
    <row r="72" ht="22.5" customHeight="1">
      <c r="A72" s="30">
        <f>IFERROR(__xludf.DUMMYFUNCTION("""COMPUTED_VALUE"""),757.0)</f>
        <v>757</v>
      </c>
      <c r="B72" s="40" t="str">
        <f>IFERROR(__xludf.DUMMYFUNCTION("""COMPUTED_VALUE"""),"CARREGADOR COMPLETO LANTERNA NIGHTSTICK ")</f>
        <v>CARREGADOR COMPLETO LANTERNA NIGHTSTICK </v>
      </c>
      <c r="C72" s="32">
        <f>IFERROR(__xludf.DUMMYFUNCTION("""COMPUTED_VALUE"""),2.0)</f>
        <v>2</v>
      </c>
      <c r="D72" s="33" t="str">
        <f>IFERROR(__xludf.DUMMYFUNCTION("""COMPUTED_VALUE"""),"SEÇÃO")</f>
        <v>SEÇÃO</v>
      </c>
      <c r="E72" s="34" t="str">
        <f>IFERROR(__xludf.DUMMYFUNCTION("""COMPUTED_VALUE"""),"3 - SOU")</f>
        <v>3 - SOU</v>
      </c>
      <c r="F72" s="34" t="str">
        <f>IFERROR(__xludf.DUMMYFUNCTION("""COMPUTED_VALUE"""),"SALA DE REDS")</f>
        <v>SALA DE REDS</v>
      </c>
      <c r="G72" s="35"/>
      <c r="H72" s="34"/>
      <c r="I72" s="37" t="str">
        <f>IFERROR(__xludf.DUMMYFUNCTION("""COMPUTED_VALUE"""),"Base para carregamento, fonte e adaptador veicular")</f>
        <v>Base para carregamento, fonte e adaptador veicular</v>
      </c>
    </row>
    <row r="73" ht="22.5" customHeight="1">
      <c r="A73" s="30">
        <f>IFERROR(__xludf.DUMMYFUNCTION("""COMPUTED_VALUE"""),732.0)</f>
        <v>732</v>
      </c>
      <c r="B73" s="31" t="str">
        <f>IFERROR(__xludf.DUMMYFUNCTION("""COMPUTED_VALUE"""),"CARREGADOR DAS BATERIAS DO EPR MSA")</f>
        <v>CARREGADOR DAS BATERIAS DO EPR MSA</v>
      </c>
      <c r="C73" s="32">
        <f>IFERROR(__xludf.DUMMYFUNCTION("""COMPUTED_VALUE"""),1.0)</f>
        <v>1</v>
      </c>
      <c r="D73" s="33" t="str">
        <f>IFERROR(__xludf.DUMMYFUNCTION("""COMPUTED_VALUE"""),"SEÇÃO")</f>
        <v>SEÇÃO</v>
      </c>
      <c r="E73" s="34" t="str">
        <f>IFERROR(__xludf.DUMMYFUNCTION("""COMPUTED_VALUE"""),"3 - SOU")</f>
        <v>3 - SOU</v>
      </c>
      <c r="F73" s="34" t="str">
        <f>IFERROR(__xludf.DUMMYFUNCTION("""COMPUTED_VALUE"""),"SALA DE REDS")</f>
        <v>SALA DE REDS</v>
      </c>
      <c r="G73" s="35"/>
      <c r="H73" s="34"/>
      <c r="I73" s="37"/>
    </row>
    <row r="74" ht="22.5" customHeight="1">
      <c r="A74" s="30">
        <f>IFERROR(__xludf.DUMMYFUNCTION("""COMPUTED_VALUE"""),700.0)</f>
        <v>700</v>
      </c>
      <c r="B74" s="31" t="str">
        <f>IFERROR(__xludf.DUMMYFUNCTION("""COMPUTED_VALUE"""),"CARREGADOR LUZ DE CENA")</f>
        <v>CARREGADOR LUZ DE CENA</v>
      </c>
      <c r="C74" s="32">
        <f>IFERROR(__xludf.DUMMYFUNCTION("""COMPUTED_VALUE"""),1.0)</f>
        <v>1</v>
      </c>
      <c r="D74" s="33" t="str">
        <f>IFERROR(__xludf.DUMMYFUNCTION("""COMPUTED_VALUE"""),"SEÇÃO")</f>
        <v>SEÇÃO</v>
      </c>
      <c r="E74" s="34" t="str">
        <f>IFERROR(__xludf.DUMMYFUNCTION("""COMPUTED_VALUE"""),"3 - SOU")</f>
        <v>3 - SOU</v>
      </c>
      <c r="F74" s="34" t="str">
        <f>IFERROR(__xludf.DUMMYFUNCTION("""COMPUTED_VALUE"""),"SALA DE REDS")</f>
        <v>SALA DE REDS</v>
      </c>
      <c r="G74" s="35">
        <f>IFERROR(__xludf.DUMMYFUNCTION("""COMPUTED_VALUE"""),45579.0)</f>
        <v>45579</v>
      </c>
      <c r="H74" s="34"/>
      <c r="I74" s="37"/>
    </row>
    <row r="75" ht="22.5" customHeight="1">
      <c r="A75" s="30">
        <f>IFERROR(__xludf.DUMMYFUNCTION("""COMPUTED_VALUE"""),698.0)</f>
        <v>698</v>
      </c>
      <c r="B75" s="31" t="str">
        <f>IFERROR(__xludf.DUMMYFUNCTION("""COMPUTED_VALUE"""),"CARREGADOR PARA FERRAMENTA HOLMATRO ")</f>
        <v>CARREGADOR PARA FERRAMENTA HOLMATRO </v>
      </c>
      <c r="C75" s="32">
        <f>IFERROR(__xludf.DUMMYFUNCTION("""COMPUTED_VALUE"""),1.0)</f>
        <v>1</v>
      </c>
      <c r="D75" s="33" t="str">
        <f>IFERROR(__xludf.DUMMYFUNCTION("""COMPUTED_VALUE"""),"SEÇÃO")</f>
        <v>SEÇÃO</v>
      </c>
      <c r="E75" s="34" t="str">
        <f>IFERROR(__xludf.DUMMYFUNCTION("""COMPUTED_VALUE"""),"3 - SOU")</f>
        <v>3 - SOU</v>
      </c>
      <c r="F75" s="34" t="str">
        <f>IFERROR(__xludf.DUMMYFUNCTION("""COMPUTED_VALUE"""),"SALA DE REDS")</f>
        <v>SALA DE REDS</v>
      </c>
      <c r="G75" s="35">
        <f>IFERROR(__xludf.DUMMYFUNCTION("""COMPUTED_VALUE"""),45723.0)</f>
        <v>45723</v>
      </c>
      <c r="H75" s="34"/>
      <c r="I75" s="37" t="str">
        <f>IFERROR(__xludf.DUMMYFUNCTION("""COMPUTED_VALUE"""),"EVO 3")</f>
        <v>EVO 3</v>
      </c>
    </row>
    <row r="76" ht="22.5" customHeight="1">
      <c r="A76" s="30">
        <f>IFERROR(__xludf.DUMMYFUNCTION("""COMPUTED_VALUE"""),697.0)</f>
        <v>697</v>
      </c>
      <c r="B76" s="31" t="str">
        <f>IFERROR(__xludf.DUMMYFUNCTION("""COMPUTED_VALUE"""),"CARREGADOR PARA HT DIGITAL")</f>
        <v>CARREGADOR PARA HT DIGITAL</v>
      </c>
      <c r="C76" s="32">
        <f>IFERROR(__xludf.DUMMYFUNCTION("""COMPUTED_VALUE"""),2.0)</f>
        <v>2</v>
      </c>
      <c r="D76" s="33" t="str">
        <f>IFERROR(__xludf.DUMMYFUNCTION("""COMPUTED_VALUE"""),"SEÇÃO")</f>
        <v>SEÇÃO</v>
      </c>
      <c r="E76" s="34" t="str">
        <f>IFERROR(__xludf.DUMMYFUNCTION("""COMPUTED_VALUE"""),"3 - SOU")</f>
        <v>3 - SOU</v>
      </c>
      <c r="F76" s="34" t="str">
        <f>IFERROR(__xludf.DUMMYFUNCTION("""COMPUTED_VALUE"""),"SALA DE REDS")</f>
        <v>SALA DE REDS</v>
      </c>
      <c r="G76" s="35">
        <f>IFERROR(__xludf.DUMMYFUNCTION("""COMPUTED_VALUE"""),45532.0)</f>
        <v>45532</v>
      </c>
      <c r="H76" s="34"/>
      <c r="I76" s="37"/>
    </row>
    <row r="77" ht="22.5" customHeight="1">
      <c r="A77" s="30">
        <f>IFERROR(__xludf.DUMMYFUNCTION("""COMPUTED_VALUE"""),743.0)</f>
        <v>743</v>
      </c>
      <c r="B77" s="31" t="str">
        <f>IFERROR(__xludf.DUMMYFUNCTION("""COMPUTED_VALUE"""),"COMPUTADOR -")</f>
        <v>COMPUTADOR -</v>
      </c>
      <c r="C77" s="32">
        <f>IFERROR(__xludf.DUMMYFUNCTION("""COMPUTED_VALUE"""),1.0)</f>
        <v>1</v>
      </c>
      <c r="D77" s="33" t="str">
        <f>IFERROR(__xludf.DUMMYFUNCTION("""COMPUTED_VALUE"""),"SEÇÃO")</f>
        <v>SEÇÃO</v>
      </c>
      <c r="E77" s="34" t="str">
        <f>IFERROR(__xludf.DUMMYFUNCTION("""COMPUTED_VALUE"""),"3 - SOU")</f>
        <v>3 - SOU</v>
      </c>
      <c r="F77" s="34" t="str">
        <f>IFERROR(__xludf.DUMMYFUNCTION("""COMPUTED_VALUE"""),"SALA DE REDS")</f>
        <v>SALA DE REDS</v>
      </c>
      <c r="G77" s="35">
        <f>IFERROR(__xludf.DUMMYFUNCTION("""COMPUTED_VALUE"""),7.686921E7)</f>
        <v>76869210</v>
      </c>
      <c r="H77" s="34" t="str">
        <f>IFERROR(__xludf.DUMMYFUNCTION("""COMPUTED_VALUE"""),"00355-61108-55728-AAOEM")</f>
        <v>00355-61108-55728-AAOEM</v>
      </c>
      <c r="I77" s="37" t="str">
        <f>IFERROR(__xludf.DUMMYFUNCTION("""COMPUTED_VALUE"""),"DATEN - DC5A-U 7686921-0, 01 Monitor 26"", 01 Teclado, 01 Mouse")</f>
        <v>DATEN - DC5A-U 7686921-0, 01 Monitor 26", 01 Teclado, 01 Mouse</v>
      </c>
    </row>
    <row r="78" ht="22.5" customHeight="1">
      <c r="A78" s="30">
        <f>IFERROR(__xludf.DUMMYFUNCTION("""COMPUTED_VALUE"""),745.0)</f>
        <v>745</v>
      </c>
      <c r="B78" s="31" t="str">
        <f>IFERROR(__xludf.DUMMYFUNCTION("""COMPUTED_VALUE"""),"COMPUTADOR -")</f>
        <v>COMPUTADOR -</v>
      </c>
      <c r="C78" s="32">
        <f>IFERROR(__xludf.DUMMYFUNCTION("""COMPUTED_VALUE"""),1.0)</f>
        <v>1</v>
      </c>
      <c r="D78" s="33" t="str">
        <f>IFERROR(__xludf.DUMMYFUNCTION("""COMPUTED_VALUE"""),"SEÇÃO")</f>
        <v>SEÇÃO</v>
      </c>
      <c r="E78" s="34" t="str">
        <f>IFERROR(__xludf.DUMMYFUNCTION("""COMPUTED_VALUE"""),"3 - SOU")</f>
        <v>3 - SOU</v>
      </c>
      <c r="F78" s="34" t="str">
        <f>IFERROR(__xludf.DUMMYFUNCTION("""COMPUTED_VALUE"""),"SALA DE REDS")</f>
        <v>SALA DE REDS</v>
      </c>
      <c r="G78" s="35">
        <f>IFERROR(__xludf.DUMMYFUNCTION("""COMPUTED_VALUE"""),7.6869237E7)</f>
        <v>76869237</v>
      </c>
      <c r="H78" s="34" t="str">
        <f>IFERROR(__xludf.DUMMYFUNCTION("""COMPUTED_VALUE"""),"00355-61108-55688-AAOEM")</f>
        <v>00355-61108-55688-AAOEM</v>
      </c>
      <c r="I78" s="37" t="str">
        <f>IFERROR(__xludf.DUMMYFUNCTION("""COMPUTED_VALUE"""),"DATEN - DC5A-U 7686923-7, 01 Monitor 26"", 01 Teclado, 01 Mouse")</f>
        <v>DATEN - DC5A-U 7686923-7, 01 Monitor 26", 01 Teclado, 01 Mouse</v>
      </c>
    </row>
    <row r="79" ht="22.5" customHeight="1">
      <c r="A79" s="30">
        <f>IFERROR(__xludf.DUMMYFUNCTION("""COMPUTED_VALUE"""),1335.0)</f>
        <v>1335</v>
      </c>
      <c r="B79" s="31" t="str">
        <f>IFERROR(__xludf.DUMMYFUNCTION("""COMPUTED_VALUE"""),"LANTERNA LUZ DE CENA -")</f>
        <v>LANTERNA LUZ DE CENA -</v>
      </c>
      <c r="C79" s="32">
        <f>IFERROR(__xludf.DUMMYFUNCTION("""COMPUTED_VALUE"""),1.0)</f>
        <v>1</v>
      </c>
      <c r="D79" s="33" t="str">
        <f>IFERROR(__xludf.DUMMYFUNCTION("""COMPUTED_VALUE"""),"SEÇÃO")</f>
        <v>SEÇÃO</v>
      </c>
      <c r="E79" s="34" t="str">
        <f>IFERROR(__xludf.DUMMYFUNCTION("""COMPUTED_VALUE"""),"3 - SOU")</f>
        <v>3 - SOU</v>
      </c>
      <c r="F79" s="34" t="str">
        <f>IFERROR(__xludf.DUMMYFUNCTION("""COMPUTED_VALUE"""),"SALA DE REDS")</f>
        <v>SALA DE REDS</v>
      </c>
      <c r="G79" s="35">
        <f>IFERROR(__xludf.DUMMYFUNCTION("""COMPUTED_VALUE"""),7.6889629E7)</f>
        <v>76889629</v>
      </c>
      <c r="H79" s="34"/>
      <c r="I79" s="37" t="str">
        <f>IFERROR(__xludf.DUMMYFUNCTION("""COMPUTED_VALUE"""),"COR VERMELHA MARCA  MILWAUKEE. foi pago 2 baterias e um carregador")</f>
        <v>COR VERMELHA MARCA  MILWAUKEE. foi pago 2 baterias e um carregador</v>
      </c>
    </row>
    <row r="80" ht="22.5" customHeight="1">
      <c r="A80" s="30">
        <f>IFERROR(__xludf.DUMMYFUNCTION("""COMPUTED_VALUE"""),1347.0)</f>
        <v>1347</v>
      </c>
      <c r="B80" s="31" t="str">
        <f>IFERROR(__xludf.DUMMYFUNCTION("""COMPUTED_VALUE"""),"RADIO TRANSCEPTOR -")</f>
        <v>RADIO TRANSCEPTOR -</v>
      </c>
      <c r="C80" s="32">
        <f>IFERROR(__xludf.DUMMYFUNCTION("""COMPUTED_VALUE"""),1.0)</f>
        <v>1</v>
      </c>
      <c r="D80" s="33" t="str">
        <f>IFERROR(__xludf.DUMMYFUNCTION("""COMPUTED_VALUE"""),"SEÇÃO")</f>
        <v>SEÇÃO</v>
      </c>
      <c r="E80" s="34" t="str">
        <f>IFERROR(__xludf.DUMMYFUNCTION("""COMPUTED_VALUE"""),"3 - SOU")</f>
        <v>3 - SOU</v>
      </c>
      <c r="F80" s="34" t="str">
        <f>IFERROR(__xludf.DUMMYFUNCTION("""COMPUTED_VALUE"""),"SALA DE REDS")</f>
        <v>SALA DE REDS</v>
      </c>
      <c r="G80" s="35">
        <f>IFERROR(__xludf.DUMMYFUNCTION("""COMPUTED_VALUE"""),7.6849805E7)</f>
        <v>76849805</v>
      </c>
      <c r="H80" s="34" t="str">
        <f>IFERROR(__xludf.DUMMYFUNCTION("""COMPUTED_VALUE"""),"871IYJ0917")</f>
        <v>871IYJ0917</v>
      </c>
      <c r="I80" s="37" t="str">
        <f>IFERROR(__xludf.DUMMYFUNCTION("""COMPUTED_VALUE"""),"MOTOROLA, Modelo: DGP 8550E, HT portátil")</f>
        <v>MOTOROLA, Modelo: DGP 8550E, HT portátil</v>
      </c>
    </row>
    <row r="81" ht="22.5" customHeight="1">
      <c r="A81" s="30">
        <f>IFERROR(__xludf.DUMMYFUNCTION("""COMPUTED_VALUE"""),1348.0)</f>
        <v>1348</v>
      </c>
      <c r="B81" s="31" t="str">
        <f>IFERROR(__xludf.DUMMYFUNCTION("""COMPUTED_VALUE"""),"RADIO TRANSCEPTOR -")</f>
        <v>RADIO TRANSCEPTOR -</v>
      </c>
      <c r="C81" s="32">
        <f>IFERROR(__xludf.DUMMYFUNCTION("""COMPUTED_VALUE"""),1.0)</f>
        <v>1</v>
      </c>
      <c r="D81" s="33" t="str">
        <f>IFERROR(__xludf.DUMMYFUNCTION("""COMPUTED_VALUE"""),"SEÇÃO")</f>
        <v>SEÇÃO</v>
      </c>
      <c r="E81" s="34" t="str">
        <f>IFERROR(__xludf.DUMMYFUNCTION("""COMPUTED_VALUE"""),"3 - SOU")</f>
        <v>3 - SOU</v>
      </c>
      <c r="F81" s="34" t="str">
        <f>IFERROR(__xludf.DUMMYFUNCTION("""COMPUTED_VALUE"""),"SALA DE REDS")</f>
        <v>SALA DE REDS</v>
      </c>
      <c r="G81" s="35">
        <f>IFERROR(__xludf.DUMMYFUNCTION("""COMPUTED_VALUE"""),7.684997E7)</f>
        <v>76849970</v>
      </c>
      <c r="H81" s="34" t="str">
        <f>IFERROR(__xludf.DUMMYFUNCTION("""COMPUTED_VALUE"""),"871IYL3209")</f>
        <v>871IYL3209</v>
      </c>
      <c r="I81" s="37" t="str">
        <f>IFERROR(__xludf.DUMMYFUNCTION("""COMPUTED_VALUE"""),"MOTOROLA, Modelo: DGP 8550E, HT portátil")</f>
        <v>MOTOROLA, Modelo: DGP 8550E, HT portátil</v>
      </c>
    </row>
    <row r="82" ht="22.5" customHeight="1">
      <c r="A82" s="30">
        <f>IFERROR(__xludf.DUMMYFUNCTION("""COMPUTED_VALUE"""),1349.0)</f>
        <v>1349</v>
      </c>
      <c r="B82" s="31" t="str">
        <f>IFERROR(__xludf.DUMMYFUNCTION("""COMPUTED_VALUE"""),"RADIO TRANSCEPTOR -")</f>
        <v>RADIO TRANSCEPTOR -</v>
      </c>
      <c r="C82" s="32">
        <f>IFERROR(__xludf.DUMMYFUNCTION("""COMPUTED_VALUE"""),1.0)</f>
        <v>1</v>
      </c>
      <c r="D82" s="33" t="str">
        <f>IFERROR(__xludf.DUMMYFUNCTION("""COMPUTED_VALUE"""),"SEÇÃO")</f>
        <v>SEÇÃO</v>
      </c>
      <c r="E82" s="34" t="str">
        <f>IFERROR(__xludf.DUMMYFUNCTION("""COMPUTED_VALUE"""),"3 - SOU")</f>
        <v>3 - SOU</v>
      </c>
      <c r="F82" s="34" t="str">
        <f>IFERROR(__xludf.DUMMYFUNCTION("""COMPUTED_VALUE"""),"SALA DE REDS")</f>
        <v>SALA DE REDS</v>
      </c>
      <c r="G82" s="35">
        <f>IFERROR(__xludf.DUMMYFUNCTION("""COMPUTED_VALUE"""),7.6849929E7)</f>
        <v>76849929</v>
      </c>
      <c r="H82" s="34" t="str">
        <f>IFERROR(__xludf.DUMMYFUNCTION("""COMPUTED_VALUE"""),"871IYL3213")</f>
        <v>871IYL3213</v>
      </c>
      <c r="I82" s="37" t="str">
        <f>IFERROR(__xludf.DUMMYFUNCTION("""COMPUTED_VALUE"""),"MOTOROLA, Modelo: DGP 8550E, HT portátil")</f>
        <v>MOTOROLA, Modelo: DGP 8550E, HT portátil</v>
      </c>
    </row>
    <row r="83" ht="22.5" customHeight="1">
      <c r="A83" s="30">
        <f>IFERROR(__xludf.DUMMYFUNCTION("""COMPUTED_VALUE"""),1350.0)</f>
        <v>1350</v>
      </c>
      <c r="B83" s="31" t="str">
        <f>IFERROR(__xludf.DUMMYFUNCTION("""COMPUTED_VALUE"""),"RADIO TRANSCEPTOR -")</f>
        <v>RADIO TRANSCEPTOR -</v>
      </c>
      <c r="C83" s="32">
        <f>IFERROR(__xludf.DUMMYFUNCTION("""COMPUTED_VALUE"""),1.0)</f>
        <v>1</v>
      </c>
      <c r="D83" s="33" t="str">
        <f>IFERROR(__xludf.DUMMYFUNCTION("""COMPUTED_VALUE"""),"SEÇÃO")</f>
        <v>SEÇÃO</v>
      </c>
      <c r="E83" s="34" t="str">
        <f>IFERROR(__xludf.DUMMYFUNCTION("""COMPUTED_VALUE"""),"3 - SOU")</f>
        <v>3 - SOU</v>
      </c>
      <c r="F83" s="34" t="str">
        <f>IFERROR(__xludf.DUMMYFUNCTION("""COMPUTED_VALUE"""),"SALA DE REDS")</f>
        <v>SALA DE REDS</v>
      </c>
      <c r="G83" s="35">
        <f>IFERROR(__xludf.DUMMYFUNCTION("""COMPUTED_VALUE"""),7.6849783E7)</f>
        <v>76849783</v>
      </c>
      <c r="H83" s="34" t="str">
        <f>IFERROR(__xludf.DUMMYFUNCTION("""COMPUTED_VALUE"""),"871IYJ0823")</f>
        <v>871IYJ0823</v>
      </c>
      <c r="I83" s="37" t="str">
        <f>IFERROR(__xludf.DUMMYFUNCTION("""COMPUTED_VALUE"""),"MOTOROLA, Modelo: DGP 8550E, HT portátil")</f>
        <v>MOTOROLA, Modelo: DGP 8550E, HT portátil</v>
      </c>
    </row>
    <row r="84" ht="22.5" customHeight="1">
      <c r="A84" s="30">
        <f>IFERROR(__xludf.DUMMYFUNCTION("""COMPUTED_VALUE"""),1351.0)</f>
        <v>1351</v>
      </c>
      <c r="B84" s="31" t="str">
        <f>IFERROR(__xludf.DUMMYFUNCTION("""COMPUTED_VALUE"""),"RADIO TRANSCEPTOR -")</f>
        <v>RADIO TRANSCEPTOR -</v>
      </c>
      <c r="C84" s="32">
        <f>IFERROR(__xludf.DUMMYFUNCTION("""COMPUTED_VALUE"""),1.0)</f>
        <v>1</v>
      </c>
      <c r="D84" s="33" t="str">
        <f>IFERROR(__xludf.DUMMYFUNCTION("""COMPUTED_VALUE"""),"SEÇÃO")</f>
        <v>SEÇÃO</v>
      </c>
      <c r="E84" s="34" t="str">
        <f>IFERROR(__xludf.DUMMYFUNCTION("""COMPUTED_VALUE"""),"3 - SOU")</f>
        <v>3 - SOU</v>
      </c>
      <c r="F84" s="34" t="str">
        <f>IFERROR(__xludf.DUMMYFUNCTION("""COMPUTED_VALUE"""),"SALA DE REDS")</f>
        <v>SALA DE REDS</v>
      </c>
      <c r="G84" s="35">
        <f>IFERROR(__xludf.DUMMYFUNCTION("""COMPUTED_VALUE"""),7.6849759E7)</f>
        <v>76849759</v>
      </c>
      <c r="H84" s="34" t="str">
        <f>IFERROR(__xludf.DUMMYFUNCTION("""COMPUTED_VALUE"""),"871IYJ0863")</f>
        <v>871IYJ0863</v>
      </c>
      <c r="I84" s="37" t="str">
        <f>IFERROR(__xludf.DUMMYFUNCTION("""COMPUTED_VALUE"""),"MOTOROLA, Modelo: DGP 8550E, HT portátil")</f>
        <v>MOTOROLA, Modelo: DGP 8550E, HT portátil</v>
      </c>
    </row>
    <row r="85" ht="22.5" customHeight="1">
      <c r="A85" s="30">
        <f>IFERROR(__xludf.DUMMYFUNCTION("""COMPUTED_VALUE"""),455.0)</f>
        <v>455</v>
      </c>
      <c r="B85" s="31" t="str">
        <f>IFERROR(__xludf.DUMMYFUNCTION("""COMPUTED_VALUE"""),"ADAPTADOR STORZ 1 ¹/²"" PARA ROSCA 3 FIOS")</f>
        <v>ADAPTADOR STORZ 1 ¹/²" PARA ROSCA 3 FIOS</v>
      </c>
      <c r="C85" s="32">
        <f>IFERROR(__xludf.DUMMYFUNCTION("""COMPUTED_VALUE"""),1.0)</f>
        <v>1</v>
      </c>
      <c r="D85" s="33" t="str">
        <f>IFERROR(__xludf.DUMMYFUNCTION("""COMPUTED_VALUE"""),"SEÇÃO")</f>
        <v>SEÇÃO</v>
      </c>
      <c r="E85" s="34" t="str">
        <f>IFERROR(__xludf.DUMMYFUNCTION("""COMPUTED_VALUE"""),"3 - SOU")</f>
        <v>3 - SOU</v>
      </c>
      <c r="F85" s="34"/>
      <c r="G85" s="35">
        <f>IFERROR(__xludf.DUMMYFUNCTION("""COMPUTED_VALUE"""),45908.0)</f>
        <v>45908</v>
      </c>
      <c r="H85" s="34"/>
      <c r="I85" s="37"/>
    </row>
    <row r="86" ht="22.5" customHeight="1">
      <c r="A86" s="30">
        <f>IFERROR(__xludf.DUMMYFUNCTION("""COMPUTED_VALUE"""),701.0)</f>
        <v>701</v>
      </c>
      <c r="B86" s="31" t="str">
        <f>IFERROR(__xludf.DUMMYFUNCTION("""COMPUTED_VALUE"""),"CARREGADOR LANTERNA")</f>
        <v>CARREGADOR LANTERNA</v>
      </c>
      <c r="C86" s="32">
        <f>IFERROR(__xludf.DUMMYFUNCTION("""COMPUTED_VALUE"""),1.0)</f>
        <v>1</v>
      </c>
      <c r="D86" s="33" t="str">
        <f>IFERROR(__xludf.DUMMYFUNCTION("""COMPUTED_VALUE"""),"SEÇÃO")</f>
        <v>SEÇÃO</v>
      </c>
      <c r="E86" s="34" t="str">
        <f>IFERROR(__xludf.DUMMYFUNCTION("""COMPUTED_VALUE"""),"3 - SOU")</f>
        <v>3 - SOU</v>
      </c>
      <c r="F86" s="34"/>
      <c r="G86" s="35">
        <f>IFERROR(__xludf.DUMMYFUNCTION("""COMPUTED_VALUE"""),45680.0)</f>
        <v>45680</v>
      </c>
      <c r="H86" s="34"/>
      <c r="I86" s="37"/>
    </row>
    <row r="87" ht="22.5" customHeight="1">
      <c r="A87" s="30"/>
      <c r="B87" s="31"/>
      <c r="C87" s="32"/>
      <c r="D87" s="33"/>
      <c r="E87" s="34"/>
      <c r="F87" s="34"/>
      <c r="G87" s="35"/>
      <c r="H87" s="34"/>
      <c r="I87" s="37"/>
    </row>
    <row r="88" ht="22.5" customHeight="1">
      <c r="A88" s="30"/>
      <c r="B88" s="31"/>
      <c r="C88" s="32"/>
      <c r="D88" s="33"/>
      <c r="E88" s="34"/>
      <c r="F88" s="34"/>
      <c r="G88" s="35"/>
      <c r="H88" s="34"/>
      <c r="I88" s="37"/>
    </row>
    <row r="89" ht="22.5" customHeight="1">
      <c r="A89" s="30"/>
      <c r="B89" s="31"/>
      <c r="C89" s="32"/>
      <c r="D89" s="33"/>
      <c r="E89" s="34"/>
      <c r="F89" s="34"/>
      <c r="G89" s="35"/>
      <c r="H89" s="34"/>
      <c r="I89" s="37"/>
    </row>
    <row r="90" ht="22.5" customHeight="1">
      <c r="A90" s="30"/>
      <c r="B90" s="31"/>
      <c r="C90" s="32"/>
      <c r="D90" s="33"/>
      <c r="E90" s="34"/>
      <c r="F90" s="34"/>
      <c r="G90" s="35"/>
      <c r="H90" s="34"/>
      <c r="I90" s="37"/>
    </row>
    <row r="91" ht="22.5" customHeight="1">
      <c r="A91" s="30"/>
      <c r="B91" s="31"/>
      <c r="C91" s="32"/>
      <c r="D91" s="33"/>
      <c r="E91" s="34"/>
      <c r="F91" s="34"/>
      <c r="G91" s="35"/>
      <c r="H91" s="34"/>
      <c r="I91" s="37"/>
    </row>
    <row r="92" ht="22.5" customHeight="1">
      <c r="A92" s="30"/>
      <c r="B92" s="31"/>
      <c r="C92" s="32"/>
      <c r="D92" s="33"/>
      <c r="E92" s="34"/>
      <c r="F92" s="34"/>
      <c r="G92" s="35"/>
      <c r="H92" s="34"/>
      <c r="I92" s="37"/>
    </row>
    <row r="93" ht="22.5" customHeight="1">
      <c r="A93" s="30"/>
      <c r="B93" s="31"/>
      <c r="C93" s="32"/>
      <c r="D93" s="33"/>
      <c r="E93" s="34"/>
      <c r="F93" s="34"/>
      <c r="G93" s="35"/>
      <c r="H93" s="34"/>
      <c r="I93" s="37"/>
    </row>
    <row r="94" ht="22.5" customHeight="1">
      <c r="A94" s="30"/>
      <c r="B94" s="40"/>
      <c r="C94" s="32"/>
      <c r="D94" s="33"/>
      <c r="E94" s="34"/>
      <c r="F94" s="34"/>
      <c r="G94" s="35"/>
      <c r="H94" s="34"/>
      <c r="I94" s="37"/>
    </row>
    <row r="95" ht="22.5" customHeight="1">
      <c r="A95" s="30"/>
      <c r="B95" s="31"/>
      <c r="C95" s="32"/>
      <c r="D95" s="33"/>
      <c r="E95" s="34"/>
      <c r="F95" s="34"/>
      <c r="G95" s="35"/>
      <c r="H95" s="34"/>
      <c r="I95" s="37"/>
    </row>
    <row r="96" ht="22.5" customHeight="1">
      <c r="A96" s="30"/>
      <c r="B96" s="31"/>
      <c r="C96" s="32"/>
      <c r="D96" s="33"/>
      <c r="E96" s="34"/>
      <c r="F96" s="34"/>
      <c r="G96" s="35"/>
      <c r="H96" s="34"/>
      <c r="I96" s="37"/>
    </row>
    <row r="97" ht="22.5" customHeight="1">
      <c r="A97" s="30"/>
      <c r="B97" s="31"/>
      <c r="C97" s="32"/>
      <c r="D97" s="33"/>
      <c r="E97" s="34"/>
      <c r="F97" s="34"/>
      <c r="G97" s="35"/>
      <c r="H97" s="34"/>
      <c r="I97" s="37"/>
    </row>
    <row r="98" ht="22.5" customHeight="1">
      <c r="A98" s="30"/>
      <c r="B98" s="31"/>
      <c r="C98" s="32"/>
      <c r="D98" s="33"/>
      <c r="E98" s="34"/>
      <c r="F98" s="34"/>
      <c r="G98" s="35"/>
      <c r="H98" s="34"/>
      <c r="I98" s="38"/>
    </row>
    <row r="99" ht="22.5" customHeight="1">
      <c r="A99" s="30"/>
      <c r="B99" s="39"/>
      <c r="C99" s="32"/>
      <c r="D99" s="33"/>
      <c r="E99" s="34"/>
      <c r="F99" s="34"/>
      <c r="G99" s="35"/>
      <c r="H99" s="34"/>
      <c r="I99" s="37"/>
    </row>
    <row r="100" ht="22.5" customHeight="1">
      <c r="A100" s="30"/>
      <c r="B100" s="31"/>
      <c r="C100" s="32"/>
      <c r="D100" s="33"/>
      <c r="E100" s="34"/>
      <c r="F100" s="34"/>
      <c r="G100" s="35"/>
      <c r="H100" s="34"/>
      <c r="I100" s="37"/>
    </row>
    <row r="101" ht="22.5" customHeight="1">
      <c r="A101" s="30"/>
      <c r="B101" s="31"/>
      <c r="C101" s="32"/>
      <c r="D101" s="33"/>
      <c r="E101" s="34"/>
      <c r="F101" s="34"/>
      <c r="G101" s="35"/>
      <c r="H101" s="34"/>
      <c r="I101" s="37"/>
    </row>
    <row r="102" ht="22.5" customHeight="1">
      <c r="A102" s="30"/>
      <c r="B102" s="31"/>
      <c r="C102" s="32"/>
      <c r="D102" s="33"/>
      <c r="E102" s="34"/>
      <c r="F102" s="34"/>
      <c r="G102" s="35"/>
      <c r="H102" s="34"/>
      <c r="I102" s="37"/>
    </row>
    <row r="103" ht="22.5" customHeight="1">
      <c r="A103" s="30"/>
      <c r="B103" s="39"/>
      <c r="C103" s="32"/>
      <c r="D103" s="33"/>
      <c r="E103" s="34"/>
      <c r="F103" s="34"/>
      <c r="G103" s="35"/>
      <c r="H103" s="34"/>
      <c r="I103" s="37"/>
    </row>
    <row r="104" ht="22.5" customHeight="1">
      <c r="A104" s="30"/>
      <c r="B104" s="31"/>
      <c r="C104" s="32"/>
      <c r="D104" s="33"/>
      <c r="E104" s="34"/>
      <c r="F104" s="34"/>
      <c r="G104" s="35"/>
      <c r="H104" s="34"/>
      <c r="I104" s="37"/>
    </row>
    <row r="105" ht="22.5" customHeight="1">
      <c r="A105" s="30"/>
      <c r="B105" s="39"/>
      <c r="C105" s="32"/>
      <c r="D105" s="33"/>
      <c r="E105" s="34"/>
      <c r="F105" s="34"/>
      <c r="G105" s="35"/>
      <c r="H105" s="34"/>
      <c r="I105" s="37"/>
    </row>
    <row r="106" ht="22.5" customHeight="1">
      <c r="A106" s="30"/>
      <c r="B106" s="31"/>
      <c r="C106" s="32"/>
      <c r="D106" s="33"/>
      <c r="E106" s="34"/>
      <c r="F106" s="34"/>
      <c r="G106" s="35"/>
      <c r="H106" s="34"/>
      <c r="I106" s="37"/>
    </row>
    <row r="107" ht="22.5" customHeight="1">
      <c r="A107" s="30"/>
      <c r="B107" s="31"/>
      <c r="C107" s="32"/>
      <c r="D107" s="33"/>
      <c r="E107" s="34"/>
      <c r="F107" s="34"/>
      <c r="G107" s="35"/>
      <c r="H107" s="34"/>
      <c r="I107" s="37"/>
    </row>
    <row r="108" ht="22.5" customHeight="1">
      <c r="A108" s="30"/>
      <c r="B108" s="31"/>
      <c r="C108" s="32"/>
      <c r="D108" s="33"/>
      <c r="E108" s="34"/>
      <c r="F108" s="34"/>
      <c r="G108" s="35"/>
      <c r="H108" s="34"/>
      <c r="I108" s="37"/>
    </row>
    <row r="109" ht="22.5" customHeight="1">
      <c r="A109" s="30"/>
      <c r="B109" s="31"/>
      <c r="C109" s="32"/>
      <c r="D109" s="33"/>
      <c r="E109" s="34"/>
      <c r="F109" s="34"/>
      <c r="G109" s="35"/>
      <c r="H109" s="34"/>
      <c r="I109" s="37"/>
    </row>
    <row r="110" ht="22.5" customHeight="1">
      <c r="A110" s="30"/>
      <c r="B110" s="31"/>
      <c r="C110" s="32"/>
      <c r="D110" s="33"/>
      <c r="E110" s="34"/>
      <c r="F110" s="34"/>
      <c r="G110" s="35"/>
      <c r="H110" s="34"/>
      <c r="I110" s="37"/>
    </row>
    <row r="111" ht="22.5" customHeight="1">
      <c r="A111" s="30"/>
      <c r="B111" s="31"/>
      <c r="C111" s="32"/>
      <c r="D111" s="33"/>
      <c r="E111" s="34"/>
      <c r="F111" s="34"/>
      <c r="G111" s="35"/>
      <c r="H111" s="34"/>
      <c r="I111" s="37"/>
    </row>
    <row r="112" ht="22.5" customHeight="1">
      <c r="A112" s="30"/>
      <c r="B112" s="31"/>
      <c r="C112" s="32"/>
      <c r="D112" s="33"/>
      <c r="E112" s="34"/>
      <c r="F112" s="34"/>
      <c r="G112" s="35"/>
      <c r="H112" s="34"/>
      <c r="I112" s="37"/>
    </row>
    <row r="113" ht="22.5" customHeight="1">
      <c r="A113" s="30"/>
      <c r="B113" s="31"/>
      <c r="C113" s="32"/>
      <c r="D113" s="33"/>
      <c r="E113" s="34"/>
      <c r="F113" s="34"/>
      <c r="G113" s="35"/>
      <c r="H113" s="34"/>
      <c r="I113" s="37"/>
    </row>
    <row r="114" ht="22.5" customHeight="1">
      <c r="A114" s="30"/>
      <c r="B114" s="31"/>
      <c r="C114" s="32"/>
      <c r="D114" s="33"/>
      <c r="E114" s="34"/>
      <c r="F114" s="34"/>
      <c r="G114" s="35"/>
      <c r="H114" s="34"/>
      <c r="I114" s="37"/>
    </row>
    <row r="115" ht="22.5" customHeight="1">
      <c r="A115" s="30"/>
      <c r="B115" s="31"/>
      <c r="C115" s="32"/>
      <c r="D115" s="33"/>
      <c r="E115" s="34"/>
      <c r="F115" s="34"/>
      <c r="G115" s="35"/>
      <c r="H115" s="34"/>
      <c r="I115" s="37"/>
    </row>
    <row r="116" ht="22.5" customHeight="1">
      <c r="A116" s="30"/>
      <c r="B116" s="40"/>
      <c r="C116" s="32"/>
      <c r="D116" s="33"/>
      <c r="E116" s="34"/>
      <c r="F116" s="34"/>
      <c r="G116" s="35"/>
      <c r="H116" s="34"/>
      <c r="I116" s="37"/>
    </row>
    <row r="117" ht="22.5" customHeight="1">
      <c r="A117" s="30"/>
      <c r="B117" s="31"/>
      <c r="C117" s="32"/>
      <c r="D117" s="33"/>
      <c r="E117" s="34"/>
      <c r="F117" s="34"/>
      <c r="G117" s="35"/>
      <c r="H117" s="34"/>
      <c r="I117" s="37"/>
    </row>
    <row r="118" ht="22.5" customHeight="1">
      <c r="A118" s="30"/>
      <c r="B118" s="31"/>
      <c r="C118" s="32"/>
      <c r="D118" s="33"/>
      <c r="E118" s="34"/>
      <c r="F118" s="34"/>
      <c r="G118" s="35"/>
      <c r="H118" s="34"/>
      <c r="I118" s="37"/>
    </row>
    <row r="119" ht="22.5" customHeight="1">
      <c r="A119" s="30"/>
      <c r="B119" s="31"/>
      <c r="C119" s="32"/>
      <c r="D119" s="33"/>
      <c r="E119" s="34"/>
      <c r="F119" s="34"/>
      <c r="G119" s="35"/>
      <c r="H119" s="34"/>
      <c r="I119" s="37"/>
    </row>
    <row r="120" ht="22.5" customHeight="1">
      <c r="A120" s="30"/>
      <c r="B120" s="31"/>
      <c r="C120" s="32"/>
      <c r="D120" s="33"/>
      <c r="E120" s="34"/>
      <c r="F120" s="34"/>
      <c r="G120" s="35"/>
      <c r="H120" s="34"/>
      <c r="I120" s="37"/>
    </row>
    <row r="121" ht="22.5" customHeight="1">
      <c r="A121" s="30"/>
      <c r="B121" s="31"/>
      <c r="C121" s="32"/>
      <c r="D121" s="33"/>
      <c r="E121" s="34"/>
      <c r="F121" s="34"/>
      <c r="G121" s="35"/>
      <c r="H121" s="34"/>
      <c r="I121" s="37"/>
    </row>
    <row r="122" ht="22.5" customHeight="1">
      <c r="A122" s="30"/>
      <c r="B122" s="31"/>
      <c r="C122" s="32"/>
      <c r="D122" s="33"/>
      <c r="E122" s="34"/>
      <c r="F122" s="34"/>
      <c r="G122" s="35"/>
      <c r="H122" s="34"/>
      <c r="I122" s="37"/>
    </row>
    <row r="123" ht="22.5" customHeight="1">
      <c r="A123" s="30"/>
      <c r="B123" s="39"/>
      <c r="C123" s="32"/>
      <c r="D123" s="33"/>
      <c r="E123" s="34"/>
      <c r="F123" s="34"/>
      <c r="G123" s="35"/>
      <c r="H123" s="34"/>
      <c r="I123" s="37"/>
    </row>
    <row r="124" ht="22.5" customHeight="1">
      <c r="A124" s="30"/>
      <c r="B124" s="39"/>
      <c r="C124" s="32"/>
      <c r="D124" s="33"/>
      <c r="E124" s="34"/>
      <c r="F124" s="34"/>
      <c r="G124" s="35"/>
      <c r="H124" s="34"/>
      <c r="I124" s="37"/>
    </row>
    <row r="125" ht="22.5" customHeight="1">
      <c r="A125" s="30"/>
      <c r="B125" s="39"/>
      <c r="C125" s="32"/>
      <c r="D125" s="33"/>
      <c r="E125" s="34"/>
      <c r="F125" s="34"/>
      <c r="G125" s="35"/>
      <c r="H125" s="34"/>
      <c r="I125" s="37"/>
    </row>
    <row r="126" ht="22.5" customHeight="1">
      <c r="A126" s="30"/>
      <c r="B126" s="40"/>
      <c r="C126" s="32"/>
      <c r="D126" s="33"/>
      <c r="E126" s="34"/>
      <c r="F126" s="34"/>
      <c r="G126" s="35"/>
      <c r="H126" s="34"/>
      <c r="I126" s="37"/>
    </row>
    <row r="127" ht="22.5" customHeight="1">
      <c r="A127" s="30"/>
      <c r="B127" s="31"/>
      <c r="C127" s="32"/>
      <c r="D127" s="33"/>
      <c r="E127" s="34"/>
      <c r="F127" s="34"/>
      <c r="G127" s="35"/>
      <c r="H127" s="34"/>
      <c r="I127" s="37"/>
    </row>
    <row r="128" ht="22.5" customHeight="1">
      <c r="A128" s="30"/>
      <c r="B128" s="31"/>
      <c r="C128" s="32"/>
      <c r="D128" s="33"/>
      <c r="E128" s="34"/>
      <c r="F128" s="34"/>
      <c r="G128" s="35"/>
      <c r="H128" s="34"/>
      <c r="I128" s="37"/>
    </row>
    <row r="129" ht="22.5" customHeight="1">
      <c r="A129" s="30"/>
      <c r="B129" s="31"/>
      <c r="C129" s="32"/>
      <c r="D129" s="33"/>
      <c r="E129" s="34"/>
      <c r="F129" s="34"/>
      <c r="G129" s="35"/>
      <c r="H129" s="34"/>
      <c r="I129" s="37"/>
    </row>
    <row r="130" ht="22.5" customHeight="1">
      <c r="A130" s="30"/>
      <c r="B130" s="31"/>
      <c r="C130" s="32"/>
      <c r="D130" s="33"/>
      <c r="E130" s="34"/>
      <c r="F130" s="34"/>
      <c r="G130" s="35"/>
      <c r="H130" s="34"/>
      <c r="I130" s="37"/>
    </row>
    <row r="131" ht="22.5" customHeight="1">
      <c r="A131" s="30"/>
      <c r="B131" s="31"/>
      <c r="C131" s="32"/>
      <c r="D131" s="33"/>
      <c r="E131" s="34"/>
      <c r="F131" s="34"/>
      <c r="G131" s="35"/>
      <c r="H131" s="34"/>
      <c r="I131" s="37"/>
    </row>
    <row r="132" ht="22.5" customHeight="1">
      <c r="A132" s="30"/>
      <c r="B132" s="31"/>
      <c r="C132" s="32"/>
      <c r="D132" s="33"/>
      <c r="E132" s="34"/>
      <c r="F132" s="34"/>
      <c r="G132" s="35"/>
      <c r="H132" s="34"/>
      <c r="I132" s="37"/>
    </row>
    <row r="133" ht="22.5" customHeight="1">
      <c r="A133" s="30"/>
      <c r="B133" s="31"/>
      <c r="C133" s="32"/>
      <c r="D133" s="33"/>
      <c r="E133" s="34"/>
      <c r="F133" s="34"/>
      <c r="G133" s="35"/>
      <c r="H133" s="34"/>
      <c r="I133" s="37"/>
    </row>
    <row r="134" ht="22.5" customHeight="1">
      <c r="A134" s="30"/>
      <c r="B134" s="31"/>
      <c r="C134" s="32"/>
      <c r="D134" s="33"/>
      <c r="E134" s="34"/>
      <c r="F134" s="34"/>
      <c r="G134" s="35"/>
      <c r="H134" s="34"/>
      <c r="I134" s="37"/>
    </row>
    <row r="135" ht="22.5" customHeight="1">
      <c r="A135" s="30"/>
      <c r="B135" s="31"/>
      <c r="C135" s="32"/>
      <c r="D135" s="33"/>
      <c r="E135" s="34"/>
      <c r="F135" s="34"/>
      <c r="G135" s="35"/>
      <c r="H135" s="34"/>
      <c r="I135" s="37"/>
    </row>
    <row r="136" ht="22.5" customHeight="1">
      <c r="A136" s="30"/>
      <c r="B136" s="40"/>
      <c r="C136" s="32"/>
      <c r="D136" s="33"/>
      <c r="E136" s="34"/>
      <c r="F136" s="34"/>
      <c r="G136" s="35"/>
      <c r="H136" s="34"/>
      <c r="I136" s="37"/>
    </row>
    <row r="137" ht="22.5" customHeight="1">
      <c r="A137" s="30"/>
      <c r="B137" s="31"/>
      <c r="C137" s="32"/>
      <c r="D137" s="33"/>
      <c r="E137" s="34"/>
      <c r="F137" s="34"/>
      <c r="G137" s="35"/>
      <c r="H137" s="34"/>
      <c r="I137" s="37"/>
    </row>
    <row r="138" ht="22.5" customHeight="1">
      <c r="A138" s="30"/>
      <c r="B138" s="31"/>
      <c r="C138" s="32"/>
      <c r="D138" s="33"/>
      <c r="E138" s="34"/>
      <c r="F138" s="34"/>
      <c r="G138" s="35"/>
      <c r="H138" s="34"/>
      <c r="I138" s="37"/>
    </row>
    <row r="139" ht="22.5" customHeight="1">
      <c r="A139" s="30"/>
      <c r="B139" s="31"/>
      <c r="C139" s="32"/>
      <c r="D139" s="33"/>
      <c r="E139" s="34"/>
      <c r="F139" s="34"/>
      <c r="G139" s="35"/>
      <c r="H139" s="34"/>
      <c r="I139" s="37"/>
    </row>
    <row r="140" ht="22.5" customHeight="1">
      <c r="A140" s="30"/>
      <c r="B140" s="40"/>
      <c r="C140" s="32"/>
      <c r="D140" s="33"/>
      <c r="E140" s="34"/>
      <c r="F140" s="34"/>
      <c r="G140" s="35"/>
      <c r="H140" s="34"/>
      <c r="I140" s="37"/>
    </row>
    <row r="141" ht="22.5" customHeight="1">
      <c r="A141" s="30"/>
      <c r="B141" s="31"/>
      <c r="C141" s="32"/>
      <c r="D141" s="33"/>
      <c r="E141" s="34"/>
      <c r="F141" s="34"/>
      <c r="G141" s="35"/>
      <c r="H141" s="34"/>
      <c r="I141" s="37"/>
    </row>
    <row r="142" ht="22.5" customHeight="1">
      <c r="A142" s="30"/>
      <c r="B142" s="31"/>
      <c r="C142" s="32"/>
      <c r="D142" s="33"/>
      <c r="E142" s="34"/>
      <c r="F142" s="34"/>
      <c r="G142" s="35"/>
      <c r="H142" s="34"/>
      <c r="I142" s="37"/>
    </row>
    <row r="143" ht="22.5" customHeight="1">
      <c r="A143" s="30"/>
      <c r="B143" s="31"/>
      <c r="C143" s="32"/>
      <c r="D143" s="33"/>
      <c r="E143" s="34"/>
      <c r="F143" s="34"/>
      <c r="G143" s="35"/>
      <c r="H143" s="34"/>
      <c r="I143" s="37"/>
    </row>
    <row r="144" ht="22.5" customHeight="1">
      <c r="A144" s="30"/>
      <c r="B144" s="31"/>
      <c r="C144" s="32"/>
      <c r="D144" s="33"/>
      <c r="E144" s="34"/>
      <c r="F144" s="34"/>
      <c r="G144" s="35"/>
      <c r="H144" s="34"/>
      <c r="I144" s="37"/>
    </row>
    <row r="145" ht="22.5" customHeight="1">
      <c r="A145" s="30"/>
      <c r="B145" s="31"/>
      <c r="C145" s="32"/>
      <c r="D145" s="33"/>
      <c r="E145" s="34"/>
      <c r="F145" s="34"/>
      <c r="G145" s="35"/>
      <c r="H145" s="34"/>
      <c r="I145" s="37"/>
    </row>
    <row r="146" ht="22.5" customHeight="1">
      <c r="A146" s="30"/>
      <c r="B146" s="31"/>
      <c r="C146" s="32"/>
      <c r="D146" s="33"/>
      <c r="E146" s="34"/>
      <c r="F146" s="34"/>
      <c r="G146" s="35"/>
      <c r="H146" s="34"/>
      <c r="I146" s="37"/>
    </row>
    <row r="147" ht="22.5" customHeight="1">
      <c r="A147" s="30"/>
      <c r="B147" s="31"/>
      <c r="C147" s="32"/>
      <c r="D147" s="33"/>
      <c r="E147" s="34"/>
      <c r="F147" s="34"/>
      <c r="G147" s="35"/>
      <c r="H147" s="34"/>
      <c r="I147" s="37"/>
    </row>
    <row r="148" ht="22.5" customHeight="1">
      <c r="A148" s="30"/>
      <c r="B148" s="31"/>
      <c r="C148" s="32"/>
      <c r="D148" s="33"/>
      <c r="E148" s="34"/>
      <c r="F148" s="34"/>
      <c r="G148" s="35"/>
      <c r="H148" s="34"/>
      <c r="I148" s="37"/>
    </row>
    <row r="149" ht="22.5" customHeight="1">
      <c r="A149" s="30"/>
      <c r="B149" s="31"/>
      <c r="C149" s="32"/>
      <c r="D149" s="33"/>
      <c r="E149" s="34"/>
      <c r="F149" s="34"/>
      <c r="G149" s="35"/>
      <c r="H149" s="34"/>
      <c r="I149" s="37"/>
    </row>
    <row r="150" ht="22.5" customHeight="1">
      <c r="A150" s="30"/>
      <c r="B150" s="31"/>
      <c r="C150" s="32"/>
      <c r="D150" s="33"/>
      <c r="E150" s="34"/>
      <c r="F150" s="34"/>
      <c r="G150" s="35"/>
      <c r="H150" s="34"/>
      <c r="I150" s="37"/>
    </row>
    <row r="151" ht="22.5" customHeight="1">
      <c r="A151" s="30"/>
      <c r="B151" s="31"/>
      <c r="C151" s="32"/>
      <c r="D151" s="33"/>
      <c r="E151" s="34"/>
      <c r="F151" s="34"/>
      <c r="G151" s="35"/>
      <c r="H151" s="34"/>
      <c r="I151" s="37"/>
    </row>
    <row r="152" ht="22.5" customHeight="1">
      <c r="A152" s="30"/>
      <c r="B152" s="31"/>
      <c r="C152" s="32"/>
      <c r="D152" s="33"/>
      <c r="E152" s="34"/>
      <c r="F152" s="34"/>
      <c r="G152" s="35"/>
      <c r="H152" s="34"/>
      <c r="I152" s="37"/>
    </row>
    <row r="153" ht="22.5" customHeight="1">
      <c r="A153" s="30"/>
      <c r="B153" s="31"/>
      <c r="C153" s="32"/>
      <c r="D153" s="33"/>
      <c r="E153" s="34"/>
      <c r="F153" s="34"/>
      <c r="G153" s="35"/>
      <c r="H153" s="34"/>
      <c r="I153" s="37"/>
    </row>
    <row r="154" ht="22.5" customHeight="1">
      <c r="A154" s="30"/>
      <c r="B154" s="31"/>
      <c r="C154" s="32"/>
      <c r="D154" s="33"/>
      <c r="E154" s="34"/>
      <c r="F154" s="34"/>
      <c r="G154" s="35"/>
      <c r="H154" s="34"/>
      <c r="I154" s="37"/>
    </row>
    <row r="155" ht="22.5" customHeight="1">
      <c r="A155" s="30"/>
      <c r="B155" s="40"/>
      <c r="C155" s="32"/>
      <c r="D155" s="33"/>
      <c r="E155" s="34"/>
      <c r="F155" s="34"/>
      <c r="G155" s="35"/>
      <c r="H155" s="34"/>
      <c r="I155" s="37"/>
    </row>
    <row r="156" ht="22.5" customHeight="1">
      <c r="A156" s="30"/>
      <c r="B156" s="31"/>
      <c r="C156" s="32"/>
      <c r="D156" s="33"/>
      <c r="E156" s="34"/>
      <c r="F156" s="34"/>
      <c r="G156" s="35"/>
      <c r="H156" s="34"/>
      <c r="I156" s="37"/>
    </row>
    <row r="157" ht="22.5" customHeight="1">
      <c r="A157" s="30"/>
      <c r="B157" s="40"/>
      <c r="C157" s="32"/>
      <c r="D157" s="33"/>
      <c r="E157" s="34"/>
      <c r="F157" s="34"/>
      <c r="G157" s="35"/>
      <c r="H157" s="34"/>
      <c r="I157" s="37"/>
    </row>
    <row r="158" ht="22.5" customHeight="1">
      <c r="A158" s="30"/>
      <c r="B158" s="31"/>
      <c r="C158" s="32"/>
      <c r="D158" s="33"/>
      <c r="E158" s="34"/>
      <c r="F158" s="34"/>
      <c r="G158" s="35"/>
      <c r="H158" s="34"/>
      <c r="I158" s="37"/>
    </row>
    <row r="159" ht="22.5" customHeight="1">
      <c r="A159" s="30"/>
      <c r="B159" s="31"/>
      <c r="C159" s="32"/>
      <c r="D159" s="33"/>
      <c r="E159" s="34"/>
      <c r="F159" s="34"/>
      <c r="G159" s="35"/>
      <c r="H159" s="34"/>
      <c r="I159" s="37"/>
    </row>
    <row r="160" ht="22.5" customHeight="1">
      <c r="A160" s="30"/>
      <c r="B160" s="31"/>
      <c r="C160" s="32"/>
      <c r="D160" s="33"/>
      <c r="E160" s="34"/>
      <c r="F160" s="34"/>
      <c r="G160" s="35"/>
      <c r="H160" s="34"/>
      <c r="I160" s="37"/>
    </row>
    <row r="161" ht="22.5" customHeight="1">
      <c r="A161" s="30"/>
      <c r="B161" s="31"/>
      <c r="C161" s="32"/>
      <c r="D161" s="33"/>
      <c r="E161" s="34"/>
      <c r="F161" s="34"/>
      <c r="G161" s="35"/>
      <c r="H161" s="34"/>
      <c r="I161" s="37"/>
    </row>
    <row r="162" ht="22.5" customHeight="1">
      <c r="A162" s="30"/>
      <c r="B162" s="40"/>
      <c r="C162" s="32"/>
      <c r="D162" s="33"/>
      <c r="E162" s="34"/>
      <c r="F162" s="34"/>
      <c r="G162" s="35"/>
      <c r="H162" s="34"/>
      <c r="I162" s="37"/>
    </row>
    <row r="163" ht="22.5" customHeight="1">
      <c r="A163" s="30"/>
      <c r="B163" s="31"/>
      <c r="C163" s="32"/>
      <c r="D163" s="33"/>
      <c r="E163" s="34"/>
      <c r="F163" s="34"/>
      <c r="G163" s="35"/>
      <c r="H163" s="34"/>
      <c r="I163" s="37"/>
    </row>
    <row r="164" ht="22.5" customHeight="1">
      <c r="A164" s="30"/>
      <c r="B164" s="31"/>
      <c r="C164" s="32"/>
      <c r="D164" s="33"/>
      <c r="E164" s="34"/>
      <c r="F164" s="34"/>
      <c r="G164" s="35"/>
      <c r="H164" s="34"/>
      <c r="I164" s="37"/>
    </row>
    <row r="165" ht="22.5" customHeight="1">
      <c r="A165" s="30"/>
      <c r="B165" s="31"/>
      <c r="C165" s="32"/>
      <c r="D165" s="33"/>
      <c r="E165" s="34"/>
      <c r="F165" s="34"/>
      <c r="G165" s="35"/>
      <c r="H165" s="34"/>
      <c r="I165" s="37"/>
    </row>
    <row r="166" ht="22.5" customHeight="1">
      <c r="A166" s="30"/>
      <c r="B166" s="31"/>
      <c r="C166" s="32"/>
      <c r="D166" s="33"/>
      <c r="E166" s="34"/>
      <c r="F166" s="34"/>
      <c r="G166" s="35"/>
      <c r="H166" s="34"/>
      <c r="I166" s="37"/>
    </row>
    <row r="167" ht="22.5" customHeight="1">
      <c r="A167" s="30"/>
      <c r="B167" s="31"/>
      <c r="C167" s="32"/>
      <c r="D167" s="33"/>
      <c r="E167" s="34"/>
      <c r="F167" s="34"/>
      <c r="G167" s="35"/>
      <c r="H167" s="34"/>
      <c r="I167" s="37"/>
    </row>
    <row r="168" ht="22.5" customHeight="1">
      <c r="A168" s="30"/>
      <c r="B168" s="31"/>
      <c r="C168" s="32"/>
      <c r="D168" s="33"/>
      <c r="E168" s="34"/>
      <c r="F168" s="34"/>
      <c r="G168" s="35"/>
      <c r="H168" s="34"/>
      <c r="I168" s="37"/>
    </row>
    <row r="169" ht="22.5" customHeight="1">
      <c r="A169" s="30"/>
      <c r="B169" s="31"/>
      <c r="C169" s="32"/>
      <c r="D169" s="33"/>
      <c r="E169" s="34"/>
      <c r="F169" s="34"/>
      <c r="G169" s="35"/>
      <c r="H169" s="34"/>
      <c r="I169" s="37"/>
    </row>
    <row r="170" ht="22.5" customHeight="1">
      <c r="A170" s="30"/>
      <c r="B170" s="31"/>
      <c r="C170" s="32"/>
      <c r="D170" s="33"/>
      <c r="E170" s="34"/>
      <c r="F170" s="34"/>
      <c r="G170" s="35"/>
      <c r="H170" s="34"/>
      <c r="I170" s="37"/>
    </row>
    <row r="171" ht="22.5" customHeight="1">
      <c r="A171" s="30"/>
      <c r="B171" s="31"/>
      <c r="C171" s="32"/>
      <c r="D171" s="33"/>
      <c r="E171" s="34"/>
      <c r="F171" s="34"/>
      <c r="G171" s="35"/>
      <c r="H171" s="34"/>
      <c r="I171" s="37"/>
    </row>
    <row r="172" ht="22.5" customHeight="1">
      <c r="A172" s="30"/>
      <c r="B172" s="31"/>
      <c r="C172" s="32"/>
      <c r="D172" s="33"/>
      <c r="E172" s="34"/>
      <c r="F172" s="34"/>
      <c r="G172" s="35"/>
      <c r="H172" s="34"/>
      <c r="I172" s="37"/>
    </row>
    <row r="173" ht="22.5" customHeight="1">
      <c r="A173" s="30"/>
      <c r="B173" s="31"/>
      <c r="C173" s="32"/>
      <c r="D173" s="33"/>
      <c r="E173" s="34"/>
      <c r="F173" s="34"/>
      <c r="G173" s="35"/>
      <c r="H173" s="34"/>
      <c r="I173" s="37"/>
    </row>
    <row r="174" ht="22.5" customHeight="1">
      <c r="A174" s="30"/>
      <c r="B174" s="31"/>
      <c r="C174" s="32"/>
      <c r="D174" s="33"/>
      <c r="E174" s="34"/>
      <c r="F174" s="34"/>
      <c r="G174" s="35"/>
      <c r="H174" s="34"/>
      <c r="I174" s="37"/>
    </row>
    <row r="175" ht="22.5" customHeight="1">
      <c r="A175" s="30"/>
      <c r="B175" s="31"/>
      <c r="C175" s="32"/>
      <c r="D175" s="33"/>
      <c r="E175" s="34"/>
      <c r="F175" s="34"/>
      <c r="G175" s="35"/>
      <c r="H175" s="34"/>
      <c r="I175" s="37"/>
    </row>
    <row r="176" ht="22.5" customHeight="1">
      <c r="A176" s="30"/>
      <c r="B176" s="31"/>
      <c r="C176" s="32"/>
      <c r="D176" s="33"/>
      <c r="E176" s="34"/>
      <c r="F176" s="34"/>
      <c r="G176" s="35"/>
      <c r="H176" s="34"/>
      <c r="I176" s="37"/>
    </row>
    <row r="177" ht="22.5" customHeight="1">
      <c r="A177" s="30"/>
      <c r="B177" s="31"/>
      <c r="C177" s="32"/>
      <c r="D177" s="33"/>
      <c r="E177" s="34"/>
      <c r="F177" s="34"/>
      <c r="G177" s="35"/>
      <c r="H177" s="34"/>
      <c r="I177" s="37"/>
    </row>
    <row r="178" ht="22.5" customHeight="1">
      <c r="A178" s="30"/>
      <c r="B178" s="31"/>
      <c r="C178" s="32"/>
      <c r="D178" s="33"/>
      <c r="E178" s="34"/>
      <c r="F178" s="34"/>
      <c r="G178" s="35"/>
      <c r="H178" s="34"/>
      <c r="I178" s="37"/>
    </row>
    <row r="179" ht="22.5" customHeight="1">
      <c r="A179" s="30"/>
      <c r="B179" s="31"/>
      <c r="C179" s="32"/>
      <c r="D179" s="33"/>
      <c r="E179" s="34"/>
      <c r="F179" s="34"/>
      <c r="G179" s="35"/>
      <c r="H179" s="34"/>
      <c r="I179" s="37"/>
    </row>
    <row r="180" ht="22.5" customHeight="1">
      <c r="A180" s="30"/>
      <c r="B180" s="31"/>
      <c r="C180" s="32"/>
      <c r="D180" s="33"/>
      <c r="E180" s="34"/>
      <c r="F180" s="34"/>
      <c r="G180" s="35"/>
      <c r="H180" s="34"/>
      <c r="I180" s="37"/>
    </row>
    <row r="181" ht="22.5" customHeight="1">
      <c r="A181" s="30"/>
      <c r="B181" s="31"/>
      <c r="C181" s="32"/>
      <c r="D181" s="33"/>
      <c r="E181" s="34"/>
      <c r="F181" s="34"/>
      <c r="G181" s="35"/>
      <c r="H181" s="34"/>
      <c r="I181" s="37"/>
    </row>
    <row r="182" ht="22.5" customHeight="1">
      <c r="A182" s="30"/>
      <c r="B182" s="31"/>
      <c r="C182" s="32"/>
      <c r="D182" s="33"/>
      <c r="E182" s="34"/>
      <c r="F182" s="34"/>
      <c r="G182" s="35"/>
      <c r="H182" s="34"/>
      <c r="I182" s="37"/>
    </row>
    <row r="183" ht="22.5" customHeight="1">
      <c r="A183" s="30"/>
      <c r="B183" s="31"/>
      <c r="C183" s="32"/>
      <c r="D183" s="33"/>
      <c r="E183" s="34"/>
      <c r="F183" s="34"/>
      <c r="G183" s="35"/>
      <c r="H183" s="34"/>
      <c r="I183" s="37"/>
    </row>
    <row r="184" ht="22.5" customHeight="1">
      <c r="A184" s="30"/>
      <c r="B184" s="40"/>
      <c r="C184" s="32"/>
      <c r="D184" s="33"/>
      <c r="E184" s="34"/>
      <c r="F184" s="34"/>
      <c r="G184" s="35"/>
      <c r="H184" s="34"/>
      <c r="I184" s="37"/>
    </row>
    <row r="185" ht="22.5" customHeight="1">
      <c r="A185" s="30"/>
      <c r="B185" s="31"/>
      <c r="C185" s="32"/>
      <c r="D185" s="33"/>
      <c r="E185" s="34"/>
      <c r="F185" s="34"/>
      <c r="G185" s="35"/>
      <c r="H185" s="34"/>
      <c r="I185" s="37"/>
    </row>
    <row r="186" ht="22.5" customHeight="1">
      <c r="A186" s="30"/>
      <c r="B186" s="31"/>
      <c r="C186" s="32"/>
      <c r="D186" s="33"/>
      <c r="E186" s="34"/>
      <c r="F186" s="34"/>
      <c r="G186" s="35"/>
      <c r="H186" s="34"/>
      <c r="I186" s="37"/>
    </row>
    <row r="187" ht="22.5" customHeight="1">
      <c r="A187" s="30"/>
      <c r="B187" s="31"/>
      <c r="C187" s="32"/>
      <c r="D187" s="33"/>
      <c r="E187" s="34"/>
      <c r="F187" s="34"/>
      <c r="G187" s="35"/>
      <c r="H187" s="34"/>
      <c r="I187" s="37"/>
    </row>
    <row r="188" ht="22.5" customHeight="1">
      <c r="A188" s="30"/>
      <c r="B188" s="31"/>
      <c r="C188" s="32"/>
      <c r="D188" s="33"/>
      <c r="E188" s="34"/>
      <c r="F188" s="34"/>
      <c r="G188" s="35"/>
      <c r="H188" s="34"/>
      <c r="I188" s="38"/>
    </row>
    <row r="189" ht="22.5" customHeight="1">
      <c r="A189" s="30"/>
      <c r="B189" s="39"/>
      <c r="C189" s="32"/>
      <c r="D189" s="33"/>
      <c r="E189" s="34"/>
      <c r="F189" s="34"/>
      <c r="G189" s="35"/>
      <c r="H189" s="34"/>
      <c r="I189" s="37"/>
    </row>
    <row r="190" ht="22.5" customHeight="1">
      <c r="A190" s="30"/>
      <c r="B190" s="31"/>
      <c r="C190" s="32"/>
      <c r="D190" s="33"/>
      <c r="E190" s="34"/>
      <c r="F190" s="34"/>
      <c r="G190" s="35"/>
      <c r="H190" s="34"/>
      <c r="I190" s="37"/>
    </row>
    <row r="191" ht="22.5" customHeight="1">
      <c r="A191" s="30"/>
      <c r="B191" s="31"/>
      <c r="C191" s="32"/>
      <c r="D191" s="33"/>
      <c r="E191" s="34"/>
      <c r="F191" s="34"/>
      <c r="G191" s="35"/>
      <c r="H191" s="34"/>
      <c r="I191" s="37"/>
    </row>
    <row r="192" ht="22.5" customHeight="1">
      <c r="A192" s="30"/>
      <c r="B192" s="31"/>
      <c r="C192" s="32"/>
      <c r="D192" s="33"/>
      <c r="E192" s="34"/>
      <c r="F192" s="34"/>
      <c r="G192" s="35"/>
      <c r="H192" s="34"/>
      <c r="I192" s="37"/>
    </row>
    <row r="193" ht="22.5" customHeight="1">
      <c r="A193" s="30"/>
      <c r="B193" s="39"/>
      <c r="C193" s="32"/>
      <c r="D193" s="33"/>
      <c r="E193" s="34"/>
      <c r="F193" s="34"/>
      <c r="G193" s="35"/>
      <c r="H193" s="34"/>
      <c r="I193" s="37"/>
    </row>
    <row r="194" ht="22.5" customHeight="1">
      <c r="A194" s="30"/>
      <c r="B194" s="31"/>
      <c r="C194" s="32"/>
      <c r="D194" s="33"/>
      <c r="E194" s="34"/>
      <c r="F194" s="34"/>
      <c r="G194" s="35"/>
      <c r="H194" s="34"/>
      <c r="I194" s="37"/>
    </row>
    <row r="195" ht="22.5" customHeight="1">
      <c r="A195" s="30"/>
      <c r="B195" s="39"/>
      <c r="C195" s="32"/>
      <c r="D195" s="33"/>
      <c r="E195" s="34"/>
      <c r="F195" s="34"/>
      <c r="G195" s="35"/>
      <c r="H195" s="34"/>
      <c r="I195" s="37"/>
    </row>
    <row r="196" ht="22.5" customHeight="1">
      <c r="A196" s="30"/>
      <c r="B196" s="31"/>
      <c r="C196" s="32"/>
      <c r="D196" s="33"/>
      <c r="E196" s="34"/>
      <c r="F196" s="34"/>
      <c r="G196" s="35"/>
      <c r="H196" s="34"/>
      <c r="I196" s="37"/>
    </row>
    <row r="197" ht="22.5" customHeight="1">
      <c r="A197" s="30"/>
      <c r="B197" s="31"/>
      <c r="C197" s="32"/>
      <c r="D197" s="33"/>
      <c r="E197" s="34"/>
      <c r="F197" s="34"/>
      <c r="G197" s="35"/>
      <c r="H197" s="34"/>
      <c r="I197" s="37"/>
    </row>
    <row r="198" ht="22.5" customHeight="1">
      <c r="A198" s="30"/>
      <c r="B198" s="31"/>
      <c r="C198" s="32"/>
      <c r="D198" s="33"/>
      <c r="E198" s="34"/>
      <c r="F198" s="34"/>
      <c r="G198" s="35"/>
      <c r="H198" s="34"/>
      <c r="I198" s="37"/>
    </row>
    <row r="199" ht="22.5" customHeight="1">
      <c r="A199" s="30"/>
      <c r="B199" s="31"/>
      <c r="C199" s="32"/>
      <c r="D199" s="33"/>
      <c r="E199" s="34"/>
      <c r="F199" s="34"/>
      <c r="G199" s="35"/>
      <c r="H199" s="34"/>
      <c r="I199" s="37"/>
    </row>
    <row r="200" ht="22.5" customHeight="1">
      <c r="A200" s="30"/>
      <c r="B200" s="31"/>
      <c r="C200" s="32"/>
      <c r="D200" s="33"/>
      <c r="E200" s="34"/>
      <c r="F200" s="34"/>
      <c r="G200" s="35"/>
      <c r="H200" s="34"/>
      <c r="I200" s="37"/>
    </row>
    <row r="201" ht="22.5" customHeight="1">
      <c r="A201" s="30"/>
      <c r="B201" s="31"/>
      <c r="C201" s="32"/>
      <c r="D201" s="33"/>
      <c r="E201" s="34"/>
      <c r="F201" s="34"/>
      <c r="G201" s="35"/>
      <c r="H201" s="34"/>
      <c r="I201" s="37"/>
    </row>
    <row r="202" ht="22.5" customHeight="1">
      <c r="A202" s="30"/>
      <c r="B202" s="31"/>
      <c r="C202" s="32"/>
      <c r="D202" s="33"/>
      <c r="E202" s="34"/>
      <c r="F202" s="34"/>
      <c r="G202" s="35"/>
      <c r="H202" s="34"/>
      <c r="I202" s="37"/>
    </row>
    <row r="203" ht="22.5" customHeight="1">
      <c r="A203" s="30"/>
      <c r="B203" s="31"/>
      <c r="C203" s="32"/>
      <c r="D203" s="33"/>
      <c r="E203" s="34"/>
      <c r="F203" s="34"/>
      <c r="G203" s="35"/>
      <c r="H203" s="34"/>
      <c r="I203" s="37"/>
    </row>
    <row r="204" ht="22.5" customHeight="1">
      <c r="A204" s="30"/>
      <c r="B204" s="31"/>
      <c r="C204" s="32"/>
      <c r="D204" s="33"/>
      <c r="E204" s="34"/>
      <c r="F204" s="34"/>
      <c r="G204" s="35"/>
      <c r="H204" s="34"/>
      <c r="I204" s="37"/>
    </row>
    <row r="205" ht="22.5" customHeight="1">
      <c r="A205" s="30"/>
      <c r="B205" s="31"/>
      <c r="C205" s="32"/>
      <c r="D205" s="33"/>
      <c r="E205" s="34"/>
      <c r="F205" s="34"/>
      <c r="G205" s="35"/>
      <c r="H205" s="34"/>
      <c r="I205" s="37"/>
    </row>
    <row r="206" ht="22.5" customHeight="1">
      <c r="A206" s="30"/>
      <c r="B206" s="40"/>
      <c r="C206" s="32"/>
      <c r="D206" s="33"/>
      <c r="E206" s="34"/>
      <c r="F206" s="34"/>
      <c r="G206" s="35"/>
      <c r="H206" s="34"/>
      <c r="I206" s="37"/>
    </row>
    <row r="207" ht="22.5" customHeight="1">
      <c r="A207" s="30"/>
      <c r="B207" s="31"/>
      <c r="C207" s="32"/>
      <c r="D207" s="33"/>
      <c r="E207" s="34"/>
      <c r="F207" s="34"/>
      <c r="G207" s="35"/>
      <c r="H207" s="34"/>
      <c r="I207" s="37"/>
    </row>
    <row r="208" ht="22.5" customHeight="1">
      <c r="A208" s="30"/>
      <c r="B208" s="31"/>
      <c r="C208" s="32"/>
      <c r="D208" s="33"/>
      <c r="E208" s="34"/>
      <c r="F208" s="34"/>
      <c r="G208" s="35"/>
      <c r="H208" s="34"/>
      <c r="I208" s="37"/>
    </row>
    <row r="209" ht="22.5" customHeight="1">
      <c r="A209" s="30"/>
      <c r="B209" s="31"/>
      <c r="C209" s="32"/>
      <c r="D209" s="33"/>
      <c r="E209" s="34"/>
      <c r="F209" s="34"/>
      <c r="G209" s="35"/>
      <c r="H209" s="34"/>
      <c r="I209" s="37"/>
    </row>
    <row r="210" ht="22.5" customHeight="1">
      <c r="A210" s="30"/>
      <c r="B210" s="31"/>
      <c r="C210" s="32"/>
      <c r="D210" s="33"/>
      <c r="E210" s="34"/>
      <c r="F210" s="34"/>
      <c r="G210" s="35"/>
      <c r="H210" s="34"/>
      <c r="I210" s="37"/>
    </row>
    <row r="211" ht="22.5" customHeight="1">
      <c r="A211" s="30"/>
      <c r="B211" s="31"/>
      <c r="C211" s="32"/>
      <c r="D211" s="33"/>
      <c r="E211" s="34"/>
      <c r="F211" s="34"/>
      <c r="G211" s="35"/>
      <c r="H211" s="34"/>
      <c r="I211" s="37"/>
    </row>
    <row r="212" ht="22.5" customHeight="1">
      <c r="A212" s="30"/>
      <c r="B212" s="31"/>
      <c r="C212" s="32"/>
      <c r="D212" s="33"/>
      <c r="E212" s="34"/>
      <c r="F212" s="34"/>
      <c r="G212" s="35"/>
      <c r="H212" s="34"/>
      <c r="I212" s="37"/>
    </row>
    <row r="213" ht="22.5" customHeight="1">
      <c r="A213" s="30"/>
      <c r="B213" s="39"/>
      <c r="C213" s="32"/>
      <c r="D213" s="33"/>
      <c r="E213" s="34"/>
      <c r="F213" s="34"/>
      <c r="G213" s="35"/>
      <c r="H213" s="34"/>
      <c r="I213" s="37"/>
    </row>
    <row r="214" ht="22.5" customHeight="1">
      <c r="A214" s="30"/>
      <c r="B214" s="39"/>
      <c r="C214" s="32"/>
      <c r="D214" s="33"/>
      <c r="E214" s="34"/>
      <c r="F214" s="34"/>
      <c r="G214" s="35"/>
      <c r="H214" s="34"/>
      <c r="I214" s="37"/>
    </row>
    <row r="215" ht="22.5" customHeight="1">
      <c r="A215" s="30"/>
      <c r="B215" s="39"/>
      <c r="C215" s="32"/>
      <c r="D215" s="33"/>
      <c r="E215" s="34"/>
      <c r="F215" s="34"/>
      <c r="G215" s="35"/>
      <c r="H215" s="34"/>
      <c r="I215" s="37"/>
    </row>
    <row r="216" ht="22.5" customHeight="1">
      <c r="A216" s="30"/>
      <c r="B216" s="40"/>
      <c r="C216" s="32"/>
      <c r="D216" s="33"/>
      <c r="E216" s="34"/>
      <c r="F216" s="34"/>
      <c r="G216" s="35"/>
      <c r="H216" s="34"/>
      <c r="I216" s="37"/>
    </row>
    <row r="217" ht="22.5" customHeight="1">
      <c r="A217" s="30"/>
      <c r="B217" s="31"/>
      <c r="C217" s="32"/>
      <c r="D217" s="33"/>
      <c r="E217" s="34"/>
      <c r="F217" s="34"/>
      <c r="G217" s="35"/>
      <c r="H217" s="34"/>
      <c r="I217" s="37"/>
    </row>
    <row r="218" ht="22.5" customHeight="1">
      <c r="A218" s="30"/>
      <c r="B218" s="31"/>
      <c r="C218" s="32"/>
      <c r="D218" s="33"/>
      <c r="E218" s="34"/>
      <c r="F218" s="34"/>
      <c r="G218" s="35"/>
      <c r="H218" s="34"/>
      <c r="I218" s="37"/>
    </row>
    <row r="219" ht="22.5" customHeight="1">
      <c r="A219" s="30"/>
      <c r="B219" s="31"/>
      <c r="C219" s="32"/>
      <c r="D219" s="33"/>
      <c r="E219" s="34"/>
      <c r="F219" s="34"/>
      <c r="G219" s="35"/>
      <c r="H219" s="34"/>
      <c r="I219" s="37"/>
    </row>
    <row r="220" ht="22.5" customHeight="1">
      <c r="A220" s="30"/>
      <c r="B220" s="31"/>
      <c r="C220" s="32"/>
      <c r="D220" s="33"/>
      <c r="E220" s="34"/>
      <c r="F220" s="34"/>
      <c r="G220" s="35"/>
      <c r="H220" s="34"/>
      <c r="I220" s="37"/>
    </row>
    <row r="221" ht="22.5" customHeight="1">
      <c r="A221" s="30"/>
      <c r="B221" s="31"/>
      <c r="C221" s="32"/>
      <c r="D221" s="33"/>
      <c r="E221" s="34"/>
      <c r="F221" s="34"/>
      <c r="G221" s="35"/>
      <c r="H221" s="34"/>
      <c r="I221" s="37"/>
    </row>
    <row r="222" ht="22.5" customHeight="1">
      <c r="A222" s="30"/>
      <c r="B222" s="31"/>
      <c r="C222" s="32"/>
      <c r="D222" s="33"/>
      <c r="E222" s="34"/>
      <c r="F222" s="34"/>
      <c r="G222" s="35"/>
      <c r="H222" s="34"/>
      <c r="I222" s="37"/>
    </row>
    <row r="223" ht="22.5" customHeight="1">
      <c r="A223" s="30"/>
      <c r="B223" s="31"/>
      <c r="C223" s="32"/>
      <c r="D223" s="33"/>
      <c r="E223" s="34"/>
      <c r="F223" s="34"/>
      <c r="G223" s="35"/>
      <c r="H223" s="34"/>
      <c r="I223" s="37"/>
    </row>
    <row r="224" ht="22.5" customHeight="1">
      <c r="A224" s="30"/>
      <c r="B224" s="31"/>
      <c r="C224" s="32"/>
      <c r="D224" s="33"/>
      <c r="E224" s="34"/>
      <c r="F224" s="34"/>
      <c r="G224" s="35"/>
      <c r="H224" s="34"/>
      <c r="I224" s="37"/>
    </row>
    <row r="225" ht="22.5" customHeight="1">
      <c r="A225" s="30"/>
      <c r="B225" s="31"/>
      <c r="C225" s="32"/>
      <c r="D225" s="33"/>
      <c r="E225" s="34"/>
      <c r="F225" s="34"/>
      <c r="G225" s="35"/>
      <c r="H225" s="34"/>
      <c r="I225" s="37"/>
    </row>
    <row r="226" ht="22.5" customHeight="1">
      <c r="A226" s="30"/>
      <c r="B226" s="40"/>
      <c r="C226" s="32"/>
      <c r="D226" s="33"/>
      <c r="E226" s="34"/>
      <c r="F226" s="34"/>
      <c r="G226" s="35"/>
      <c r="H226" s="34"/>
      <c r="I226" s="37"/>
    </row>
    <row r="227" ht="22.5" customHeight="1">
      <c r="A227" s="30"/>
      <c r="B227" s="31"/>
      <c r="C227" s="32"/>
      <c r="D227" s="33"/>
      <c r="E227" s="34"/>
      <c r="F227" s="34"/>
      <c r="G227" s="35"/>
      <c r="H227" s="34"/>
      <c r="I227" s="37"/>
    </row>
    <row r="228" ht="22.5" customHeight="1">
      <c r="A228" s="30"/>
      <c r="B228" s="31"/>
      <c r="C228" s="32"/>
      <c r="D228" s="33"/>
      <c r="E228" s="34"/>
      <c r="F228" s="34"/>
      <c r="G228" s="35"/>
      <c r="H228" s="34"/>
      <c r="I228" s="37"/>
    </row>
    <row r="229" ht="22.5" customHeight="1">
      <c r="A229" s="30"/>
      <c r="B229" s="31"/>
      <c r="C229" s="32"/>
      <c r="D229" s="33"/>
      <c r="E229" s="34"/>
      <c r="F229" s="34"/>
      <c r="G229" s="35"/>
      <c r="H229" s="34"/>
      <c r="I229" s="37"/>
    </row>
    <row r="230" ht="22.5" customHeight="1">
      <c r="A230" s="30"/>
      <c r="B230" s="40"/>
      <c r="C230" s="32"/>
      <c r="D230" s="33"/>
      <c r="E230" s="34"/>
      <c r="F230" s="34"/>
      <c r="G230" s="35"/>
      <c r="H230" s="34"/>
      <c r="I230" s="37"/>
    </row>
    <row r="231" ht="22.5" customHeight="1">
      <c r="A231" s="30"/>
      <c r="B231" s="31"/>
      <c r="C231" s="32"/>
      <c r="D231" s="33"/>
      <c r="E231" s="34"/>
      <c r="F231" s="34"/>
      <c r="G231" s="35"/>
      <c r="H231" s="34"/>
      <c r="I231" s="37"/>
    </row>
    <row r="232" ht="22.5" customHeight="1">
      <c r="A232" s="30"/>
      <c r="B232" s="31"/>
      <c r="C232" s="32"/>
      <c r="D232" s="33"/>
      <c r="E232" s="34"/>
      <c r="F232" s="34"/>
      <c r="G232" s="35"/>
      <c r="H232" s="34"/>
      <c r="I232" s="37"/>
    </row>
    <row r="233" ht="22.5" customHeight="1">
      <c r="A233" s="30"/>
      <c r="B233" s="31"/>
      <c r="C233" s="32"/>
      <c r="D233" s="33"/>
      <c r="E233" s="34"/>
      <c r="F233" s="34"/>
      <c r="G233" s="35"/>
      <c r="H233" s="34"/>
      <c r="I233" s="37"/>
    </row>
    <row r="234" ht="22.5" customHeight="1">
      <c r="A234" s="30"/>
      <c r="B234" s="31"/>
      <c r="C234" s="32"/>
      <c r="D234" s="33"/>
      <c r="E234" s="34"/>
      <c r="F234" s="34"/>
      <c r="G234" s="35"/>
      <c r="H234" s="34"/>
      <c r="I234" s="37"/>
    </row>
    <row r="235" ht="22.5" customHeight="1">
      <c r="A235" s="30"/>
      <c r="B235" s="31"/>
      <c r="C235" s="32"/>
      <c r="D235" s="33"/>
      <c r="E235" s="34"/>
      <c r="F235" s="34"/>
      <c r="G235" s="35"/>
      <c r="H235" s="34"/>
      <c r="I235" s="37"/>
    </row>
    <row r="236" ht="22.5" customHeight="1">
      <c r="A236" s="30"/>
      <c r="B236" s="31"/>
      <c r="C236" s="32"/>
      <c r="D236" s="33"/>
      <c r="E236" s="34"/>
      <c r="F236" s="34"/>
      <c r="G236" s="35"/>
      <c r="H236" s="34"/>
      <c r="I236" s="37"/>
    </row>
    <row r="237" ht="22.5" customHeight="1">
      <c r="A237" s="30"/>
      <c r="B237" s="31"/>
      <c r="C237" s="32"/>
      <c r="D237" s="33"/>
      <c r="E237" s="34"/>
      <c r="F237" s="34"/>
      <c r="G237" s="35"/>
      <c r="H237" s="34"/>
      <c r="I237" s="37"/>
    </row>
    <row r="238" ht="22.5" customHeight="1">
      <c r="A238" s="30"/>
      <c r="B238" s="31"/>
      <c r="C238" s="32"/>
      <c r="D238" s="33"/>
      <c r="E238" s="34"/>
      <c r="F238" s="34"/>
      <c r="G238" s="35"/>
      <c r="H238" s="34"/>
      <c r="I238" s="37"/>
    </row>
    <row r="239" ht="22.5" customHeight="1">
      <c r="A239" s="30"/>
      <c r="B239" s="31"/>
      <c r="C239" s="32"/>
      <c r="D239" s="33"/>
      <c r="E239" s="34"/>
      <c r="F239" s="34"/>
      <c r="G239" s="35"/>
      <c r="H239" s="34"/>
      <c r="I239" s="37"/>
    </row>
    <row r="240" ht="22.5" customHeight="1">
      <c r="A240" s="30"/>
      <c r="B240" s="31"/>
      <c r="C240" s="32"/>
      <c r="D240" s="33"/>
      <c r="E240" s="34"/>
      <c r="F240" s="34"/>
      <c r="G240" s="35"/>
      <c r="H240" s="34"/>
      <c r="I240" s="37"/>
    </row>
    <row r="241" ht="22.5" customHeight="1">
      <c r="A241" s="30"/>
      <c r="B241" s="31"/>
      <c r="C241" s="32"/>
      <c r="D241" s="33"/>
      <c r="E241" s="34"/>
      <c r="F241" s="34"/>
      <c r="G241" s="35"/>
      <c r="H241" s="34"/>
      <c r="I241" s="37"/>
    </row>
    <row r="242" ht="22.5" customHeight="1">
      <c r="A242" s="30"/>
      <c r="B242" s="31"/>
      <c r="C242" s="32"/>
      <c r="D242" s="33"/>
      <c r="E242" s="34"/>
      <c r="F242" s="34"/>
      <c r="G242" s="35"/>
      <c r="H242" s="34"/>
      <c r="I242" s="37"/>
    </row>
    <row r="243" ht="22.5" customHeight="1">
      <c r="A243" s="30"/>
      <c r="B243" s="31"/>
      <c r="C243" s="32"/>
      <c r="D243" s="33"/>
      <c r="E243" s="34"/>
      <c r="F243" s="34"/>
      <c r="G243" s="35"/>
      <c r="H243" s="34"/>
      <c r="I243" s="37"/>
    </row>
    <row r="244" ht="22.5" customHeight="1">
      <c r="A244" s="30"/>
      <c r="B244" s="31"/>
      <c r="C244" s="32"/>
      <c r="D244" s="33"/>
      <c r="E244" s="34"/>
      <c r="F244" s="34"/>
      <c r="G244" s="35"/>
      <c r="H244" s="34"/>
      <c r="I244" s="37"/>
    </row>
    <row r="245" ht="22.5" customHeight="1">
      <c r="A245" s="30"/>
      <c r="B245" s="40"/>
      <c r="C245" s="32"/>
      <c r="D245" s="33"/>
      <c r="E245" s="34"/>
      <c r="F245" s="34"/>
      <c r="G245" s="35"/>
      <c r="H245" s="34"/>
      <c r="I245" s="37"/>
    </row>
    <row r="246" ht="22.5" customHeight="1">
      <c r="A246" s="30"/>
      <c r="B246" s="31"/>
      <c r="C246" s="32"/>
      <c r="D246" s="33"/>
      <c r="E246" s="34"/>
      <c r="F246" s="34"/>
      <c r="G246" s="35"/>
      <c r="H246" s="34"/>
      <c r="I246" s="37"/>
    </row>
    <row r="247" ht="22.5" customHeight="1">
      <c r="A247" s="30"/>
      <c r="B247" s="40"/>
      <c r="C247" s="32"/>
      <c r="D247" s="33"/>
      <c r="E247" s="34"/>
      <c r="F247" s="34"/>
      <c r="G247" s="35"/>
      <c r="H247" s="34"/>
      <c r="I247" s="37"/>
    </row>
    <row r="248" ht="22.5" customHeight="1">
      <c r="A248" s="30"/>
      <c r="B248" s="31"/>
      <c r="C248" s="32"/>
      <c r="D248" s="33"/>
      <c r="E248" s="34"/>
      <c r="F248" s="34"/>
      <c r="G248" s="35"/>
      <c r="H248" s="34"/>
      <c r="I248" s="37"/>
    </row>
    <row r="249" ht="22.5" customHeight="1">
      <c r="A249" s="30"/>
      <c r="B249" s="31"/>
      <c r="C249" s="32"/>
      <c r="D249" s="33"/>
      <c r="E249" s="34"/>
      <c r="F249" s="34"/>
      <c r="G249" s="35"/>
      <c r="H249" s="34"/>
      <c r="I249" s="37"/>
    </row>
    <row r="250" ht="22.5" customHeight="1">
      <c r="A250" s="30"/>
      <c r="B250" s="31"/>
      <c r="C250" s="32"/>
      <c r="D250" s="33"/>
      <c r="E250" s="34"/>
      <c r="F250" s="34"/>
      <c r="G250" s="35"/>
      <c r="H250" s="34"/>
      <c r="I250" s="37"/>
    </row>
    <row r="251" ht="22.5" customHeight="1">
      <c r="A251" s="30"/>
      <c r="B251" s="31"/>
      <c r="C251" s="32"/>
      <c r="D251" s="33"/>
      <c r="E251" s="34"/>
      <c r="F251" s="34"/>
      <c r="G251" s="35"/>
      <c r="H251" s="34"/>
      <c r="I251" s="37"/>
    </row>
    <row r="252" ht="22.5" customHeight="1">
      <c r="A252" s="30"/>
      <c r="B252" s="40"/>
      <c r="C252" s="32"/>
      <c r="D252" s="33"/>
      <c r="E252" s="34"/>
      <c r="F252" s="34"/>
      <c r="G252" s="35"/>
      <c r="H252" s="34"/>
      <c r="I252" s="37"/>
    </row>
    <row r="253" ht="22.5" customHeight="1">
      <c r="A253" s="30"/>
      <c r="B253" s="31"/>
      <c r="C253" s="32"/>
      <c r="D253" s="33"/>
      <c r="E253" s="34"/>
      <c r="F253" s="34"/>
      <c r="G253" s="35"/>
      <c r="H253" s="34"/>
      <c r="I253" s="37"/>
    </row>
    <row r="254" ht="22.5" customHeight="1">
      <c r="A254" s="30"/>
      <c r="B254" s="31"/>
      <c r="C254" s="32"/>
      <c r="D254" s="33"/>
      <c r="E254" s="34"/>
      <c r="F254" s="34"/>
      <c r="G254" s="35"/>
      <c r="H254" s="34"/>
      <c r="I254" s="37"/>
    </row>
    <row r="255" ht="22.5" customHeight="1">
      <c r="A255" s="30"/>
      <c r="B255" s="31"/>
      <c r="C255" s="32"/>
      <c r="D255" s="33"/>
      <c r="E255" s="34"/>
      <c r="F255" s="34"/>
      <c r="G255" s="35"/>
      <c r="H255" s="34"/>
      <c r="I255" s="37"/>
    </row>
    <row r="256" ht="22.5" customHeight="1">
      <c r="A256" s="30"/>
      <c r="B256" s="31"/>
      <c r="C256" s="32"/>
      <c r="D256" s="33"/>
      <c r="E256" s="34"/>
      <c r="F256" s="34"/>
      <c r="G256" s="35"/>
      <c r="H256" s="34"/>
      <c r="I256" s="37"/>
    </row>
    <row r="257" ht="22.5" customHeight="1">
      <c r="A257" s="30"/>
      <c r="B257" s="31"/>
      <c r="C257" s="32"/>
      <c r="D257" s="33"/>
      <c r="E257" s="34"/>
      <c r="F257" s="34"/>
      <c r="G257" s="35"/>
      <c r="H257" s="34"/>
      <c r="I257" s="37"/>
    </row>
    <row r="258" ht="22.5" customHeight="1">
      <c r="A258" s="30"/>
      <c r="B258" s="31"/>
      <c r="C258" s="32"/>
      <c r="D258" s="33"/>
      <c r="E258" s="34"/>
      <c r="F258" s="34"/>
      <c r="G258" s="35"/>
      <c r="H258" s="34"/>
      <c r="I258" s="37"/>
    </row>
    <row r="259" ht="22.5" customHeight="1">
      <c r="A259" s="30"/>
      <c r="B259" s="31"/>
      <c r="C259" s="32"/>
      <c r="D259" s="33"/>
      <c r="E259" s="34"/>
      <c r="F259" s="34"/>
      <c r="G259" s="35"/>
      <c r="H259" s="34"/>
      <c r="I259" s="37"/>
    </row>
    <row r="260" ht="22.5" customHeight="1">
      <c r="A260" s="30"/>
      <c r="B260" s="31"/>
      <c r="C260" s="32"/>
      <c r="D260" s="33"/>
      <c r="E260" s="34"/>
      <c r="F260" s="34"/>
      <c r="G260" s="35"/>
      <c r="H260" s="34"/>
      <c r="I260" s="37"/>
    </row>
    <row r="261" ht="22.5" customHeight="1">
      <c r="A261" s="30"/>
      <c r="B261" s="31"/>
      <c r="C261" s="32"/>
      <c r="D261" s="33"/>
      <c r="E261" s="34"/>
      <c r="F261" s="34"/>
      <c r="G261" s="35"/>
      <c r="H261" s="34"/>
      <c r="I261" s="37"/>
    </row>
    <row r="262" ht="22.5" customHeight="1">
      <c r="A262" s="30"/>
      <c r="B262" s="31"/>
      <c r="C262" s="32"/>
      <c r="D262" s="33"/>
      <c r="E262" s="34"/>
      <c r="F262" s="34"/>
      <c r="G262" s="35"/>
      <c r="H262" s="34"/>
      <c r="I262" s="37"/>
    </row>
    <row r="263" ht="22.5" customHeight="1">
      <c r="A263" s="30"/>
      <c r="B263" s="31"/>
      <c r="C263" s="32"/>
      <c r="D263" s="33"/>
      <c r="E263" s="34"/>
      <c r="F263" s="34"/>
      <c r="G263" s="35"/>
      <c r="H263" s="34"/>
      <c r="I263" s="37"/>
    </row>
    <row r="264" ht="22.5" customHeight="1">
      <c r="A264" s="30"/>
      <c r="B264" s="31"/>
      <c r="C264" s="32"/>
      <c r="D264" s="33"/>
      <c r="E264" s="34"/>
      <c r="F264" s="34"/>
      <c r="G264" s="35"/>
      <c r="H264" s="34"/>
      <c r="I264" s="37"/>
    </row>
    <row r="265" ht="22.5" customHeight="1">
      <c r="A265" s="30"/>
      <c r="B265" s="31"/>
      <c r="C265" s="32"/>
      <c r="D265" s="33"/>
      <c r="E265" s="34"/>
      <c r="F265" s="34"/>
      <c r="G265" s="35"/>
      <c r="H265" s="34"/>
      <c r="I265" s="37"/>
    </row>
    <row r="266" ht="22.5" customHeight="1">
      <c r="A266" s="30"/>
      <c r="B266" s="31"/>
      <c r="C266" s="32"/>
      <c r="D266" s="33"/>
      <c r="E266" s="34"/>
      <c r="F266" s="34"/>
      <c r="G266" s="35"/>
      <c r="H266" s="34"/>
      <c r="I266" s="37"/>
    </row>
    <row r="267" ht="22.5" customHeight="1">
      <c r="A267" s="30"/>
      <c r="B267" s="31"/>
      <c r="C267" s="32"/>
      <c r="D267" s="33"/>
      <c r="E267" s="34"/>
      <c r="F267" s="34"/>
      <c r="G267" s="35"/>
      <c r="H267" s="34"/>
      <c r="I267" s="37"/>
    </row>
    <row r="268" ht="22.5" customHeight="1">
      <c r="A268" s="30"/>
      <c r="B268" s="31"/>
      <c r="C268" s="32"/>
      <c r="D268" s="33"/>
      <c r="E268" s="34"/>
      <c r="F268" s="34"/>
      <c r="G268" s="35"/>
      <c r="H268" s="34"/>
      <c r="I268" s="37"/>
    </row>
    <row r="269" ht="22.5" customHeight="1">
      <c r="A269" s="30"/>
      <c r="B269" s="31"/>
      <c r="C269" s="32"/>
      <c r="D269" s="33"/>
      <c r="E269" s="34"/>
      <c r="F269" s="34"/>
      <c r="G269" s="35"/>
      <c r="H269" s="34"/>
      <c r="I269" s="37"/>
    </row>
    <row r="270" ht="22.5" customHeight="1">
      <c r="A270" s="30"/>
      <c r="B270" s="31"/>
      <c r="C270" s="32"/>
      <c r="D270" s="33"/>
      <c r="E270" s="34"/>
      <c r="F270" s="34"/>
      <c r="G270" s="35"/>
      <c r="H270" s="34"/>
      <c r="I270" s="37"/>
    </row>
    <row r="271" ht="22.5" customHeight="1">
      <c r="A271" s="30"/>
      <c r="B271" s="31"/>
      <c r="C271" s="32"/>
      <c r="D271" s="33"/>
      <c r="E271" s="34"/>
      <c r="F271" s="34"/>
      <c r="G271" s="35"/>
      <c r="H271" s="34"/>
      <c r="I271" s="37"/>
    </row>
    <row r="272" ht="22.5" customHeight="1">
      <c r="A272" s="30"/>
      <c r="B272" s="31"/>
      <c r="C272" s="32"/>
      <c r="D272" s="33"/>
      <c r="E272" s="34"/>
      <c r="F272" s="34"/>
      <c r="G272" s="35"/>
      <c r="H272" s="34"/>
      <c r="I272" s="37"/>
    </row>
    <row r="273" ht="22.5" customHeight="1">
      <c r="A273" s="30"/>
      <c r="B273" s="31"/>
      <c r="C273" s="32"/>
      <c r="D273" s="33"/>
      <c r="E273" s="34"/>
      <c r="F273" s="34"/>
      <c r="G273" s="35"/>
      <c r="H273" s="34"/>
      <c r="I273" s="37"/>
    </row>
    <row r="274" ht="22.5" customHeight="1">
      <c r="A274" s="30"/>
      <c r="B274" s="40"/>
      <c r="C274" s="32"/>
      <c r="D274" s="33"/>
      <c r="E274" s="34"/>
      <c r="F274" s="34"/>
      <c r="G274" s="35"/>
      <c r="H274" s="34"/>
      <c r="I274" s="37"/>
    </row>
    <row r="275" ht="22.5" customHeight="1">
      <c r="A275" s="30"/>
      <c r="B275" s="31"/>
      <c r="C275" s="32"/>
      <c r="D275" s="33"/>
      <c r="E275" s="34"/>
      <c r="F275" s="34"/>
      <c r="G275" s="35"/>
      <c r="H275" s="34"/>
      <c r="I275" s="37"/>
    </row>
    <row r="276" ht="22.5" customHeight="1">
      <c r="A276" s="30"/>
      <c r="B276" s="31"/>
      <c r="C276" s="32"/>
      <c r="D276" s="33"/>
      <c r="E276" s="34"/>
      <c r="F276" s="34"/>
      <c r="G276" s="35"/>
      <c r="H276" s="34"/>
      <c r="I276" s="37"/>
    </row>
    <row r="277" ht="22.5" customHeight="1">
      <c r="A277" s="30"/>
      <c r="B277" s="31"/>
      <c r="C277" s="32"/>
      <c r="D277" s="33"/>
      <c r="E277" s="34"/>
      <c r="F277" s="34"/>
      <c r="G277" s="35"/>
      <c r="H277" s="34"/>
      <c r="I277" s="37"/>
    </row>
    <row r="278" ht="22.5" customHeight="1">
      <c r="A278" s="30"/>
      <c r="B278" s="31"/>
      <c r="C278" s="32"/>
      <c r="D278" s="33"/>
      <c r="E278" s="34"/>
      <c r="F278" s="34"/>
      <c r="G278" s="35"/>
      <c r="H278" s="34"/>
      <c r="I278" s="38"/>
    </row>
    <row r="279" ht="22.5" customHeight="1">
      <c r="A279" s="30"/>
      <c r="B279" s="39"/>
      <c r="C279" s="32"/>
      <c r="D279" s="33"/>
      <c r="E279" s="34"/>
      <c r="F279" s="34"/>
      <c r="G279" s="35"/>
      <c r="H279" s="34"/>
      <c r="I279" s="37"/>
    </row>
    <row r="280" ht="22.5" customHeight="1">
      <c r="A280" s="30"/>
      <c r="B280" s="31"/>
      <c r="C280" s="32"/>
      <c r="D280" s="33"/>
      <c r="E280" s="34"/>
      <c r="F280" s="34"/>
      <c r="G280" s="35"/>
      <c r="H280" s="34"/>
      <c r="I280" s="37"/>
    </row>
    <row r="281" ht="22.5" customHeight="1">
      <c r="A281" s="30"/>
      <c r="B281" s="31"/>
      <c r="C281" s="32"/>
      <c r="D281" s="33"/>
      <c r="E281" s="34"/>
      <c r="F281" s="34"/>
      <c r="G281" s="35"/>
      <c r="H281" s="34"/>
      <c r="I281" s="37"/>
    </row>
    <row r="282" ht="22.5" customHeight="1">
      <c r="A282" s="30"/>
      <c r="B282" s="31"/>
      <c r="C282" s="32"/>
      <c r="D282" s="33"/>
      <c r="E282" s="34"/>
      <c r="F282" s="34"/>
      <c r="G282" s="35"/>
      <c r="H282" s="34"/>
      <c r="I282" s="37"/>
    </row>
    <row r="283" ht="22.5" customHeight="1">
      <c r="A283" s="30"/>
      <c r="B283" s="39"/>
      <c r="C283" s="32"/>
      <c r="D283" s="33"/>
      <c r="E283" s="34"/>
      <c r="F283" s="34"/>
      <c r="G283" s="35"/>
      <c r="H283" s="34"/>
      <c r="I283" s="37"/>
    </row>
    <row r="284" ht="22.5" customHeight="1">
      <c r="A284" s="30"/>
      <c r="B284" s="31"/>
      <c r="C284" s="32"/>
      <c r="D284" s="33"/>
      <c r="E284" s="34"/>
      <c r="F284" s="34"/>
      <c r="G284" s="35"/>
      <c r="H284" s="34"/>
      <c r="I284" s="37"/>
    </row>
    <row r="285" ht="22.5" customHeight="1">
      <c r="A285" s="30"/>
      <c r="B285" s="39"/>
      <c r="C285" s="32"/>
      <c r="D285" s="33"/>
      <c r="E285" s="34"/>
      <c r="F285" s="34"/>
      <c r="G285" s="35"/>
      <c r="H285" s="34"/>
      <c r="I285" s="37"/>
    </row>
    <row r="286" ht="22.5" customHeight="1">
      <c r="A286" s="30"/>
      <c r="B286" s="31"/>
      <c r="C286" s="32"/>
      <c r="D286" s="33"/>
      <c r="E286" s="34"/>
      <c r="F286" s="34"/>
      <c r="G286" s="35"/>
      <c r="H286" s="34"/>
      <c r="I286" s="37"/>
    </row>
    <row r="287" ht="22.5" customHeight="1">
      <c r="A287" s="30"/>
      <c r="B287" s="31"/>
      <c r="C287" s="32"/>
      <c r="D287" s="33"/>
      <c r="E287" s="34"/>
      <c r="F287" s="34"/>
      <c r="G287" s="35"/>
      <c r="H287" s="34"/>
      <c r="I287" s="37"/>
    </row>
    <row r="288" ht="22.5" customHeight="1">
      <c r="A288" s="30"/>
      <c r="B288" s="31"/>
      <c r="C288" s="32"/>
      <c r="D288" s="33"/>
      <c r="E288" s="34"/>
      <c r="F288" s="34"/>
      <c r="G288" s="35"/>
      <c r="H288" s="34"/>
      <c r="I288" s="37"/>
    </row>
    <row r="289" ht="22.5" customHeight="1">
      <c r="A289" s="30"/>
      <c r="B289" s="31"/>
      <c r="C289" s="32"/>
      <c r="D289" s="33"/>
      <c r="E289" s="34"/>
      <c r="F289" s="34"/>
      <c r="G289" s="35"/>
      <c r="H289" s="34"/>
      <c r="I289" s="37"/>
    </row>
    <row r="290" ht="22.5" customHeight="1">
      <c r="A290" s="30"/>
      <c r="B290" s="31"/>
      <c r="C290" s="32"/>
      <c r="D290" s="33"/>
      <c r="E290" s="34"/>
      <c r="F290" s="34"/>
      <c r="G290" s="35"/>
      <c r="H290" s="34"/>
      <c r="I290" s="37"/>
    </row>
    <row r="291" ht="22.5" customHeight="1">
      <c r="A291" s="30"/>
      <c r="B291" s="31"/>
      <c r="C291" s="32"/>
      <c r="D291" s="33"/>
      <c r="E291" s="34"/>
      <c r="F291" s="34"/>
      <c r="G291" s="35"/>
      <c r="H291" s="34"/>
      <c r="I291" s="37"/>
    </row>
    <row r="292" ht="22.5" customHeight="1">
      <c r="A292" s="30"/>
      <c r="B292" s="31"/>
      <c r="C292" s="32"/>
      <c r="D292" s="33"/>
      <c r="E292" s="34"/>
      <c r="F292" s="34"/>
      <c r="G292" s="35"/>
      <c r="H292" s="34"/>
      <c r="I292" s="37"/>
    </row>
    <row r="293" ht="22.5" customHeight="1">
      <c r="A293" s="30"/>
      <c r="B293" s="31"/>
      <c r="C293" s="32"/>
      <c r="D293" s="33"/>
      <c r="E293" s="34"/>
      <c r="F293" s="34"/>
      <c r="G293" s="35"/>
      <c r="H293" s="34"/>
      <c r="I293" s="37"/>
    </row>
    <row r="294" ht="22.5" customHeight="1">
      <c r="A294" s="30"/>
      <c r="B294" s="31"/>
      <c r="C294" s="32"/>
      <c r="D294" s="33"/>
      <c r="E294" s="34"/>
      <c r="F294" s="34"/>
      <c r="G294" s="35"/>
      <c r="H294" s="34"/>
      <c r="I294" s="37"/>
    </row>
    <row r="295" ht="22.5" customHeight="1">
      <c r="A295" s="30"/>
      <c r="B295" s="31"/>
      <c r="C295" s="32"/>
      <c r="D295" s="33"/>
      <c r="E295" s="34"/>
      <c r="F295" s="34"/>
      <c r="G295" s="35"/>
      <c r="H295" s="34"/>
      <c r="I295" s="37"/>
    </row>
    <row r="296" ht="22.5" customHeight="1">
      <c r="A296" s="30"/>
      <c r="B296" s="40"/>
      <c r="C296" s="32"/>
      <c r="D296" s="33"/>
      <c r="E296" s="34"/>
      <c r="F296" s="34"/>
      <c r="G296" s="35"/>
      <c r="H296" s="34"/>
      <c r="I296" s="37"/>
    </row>
    <row r="297" ht="22.5" customHeight="1">
      <c r="A297" s="30"/>
      <c r="B297" s="31"/>
      <c r="C297" s="32"/>
      <c r="D297" s="33"/>
      <c r="E297" s="34"/>
      <c r="F297" s="34"/>
      <c r="G297" s="35"/>
      <c r="H297" s="34"/>
      <c r="I297" s="37"/>
    </row>
    <row r="298" ht="22.5" customHeight="1">
      <c r="A298" s="30"/>
      <c r="B298" s="31"/>
      <c r="C298" s="32"/>
      <c r="D298" s="33"/>
      <c r="E298" s="34"/>
      <c r="F298" s="34"/>
      <c r="G298" s="35"/>
      <c r="H298" s="34"/>
      <c r="I298" s="37"/>
    </row>
    <row r="299" ht="22.5" customHeight="1">
      <c r="A299" s="30"/>
      <c r="B299" s="31"/>
      <c r="C299" s="32"/>
      <c r="D299" s="33"/>
      <c r="E299" s="34"/>
      <c r="F299" s="34"/>
      <c r="G299" s="35"/>
      <c r="H299" s="34"/>
      <c r="I299" s="37"/>
    </row>
    <row r="300" ht="22.5" customHeight="1">
      <c r="A300" s="30"/>
      <c r="B300" s="31"/>
      <c r="C300" s="32"/>
      <c r="D300" s="33"/>
      <c r="E300" s="34"/>
      <c r="F300" s="34"/>
      <c r="G300" s="35"/>
      <c r="H300" s="34"/>
      <c r="I300" s="37"/>
    </row>
    <row r="301" ht="22.5" customHeight="1">
      <c r="A301" s="30"/>
      <c r="B301" s="31"/>
      <c r="C301" s="32"/>
      <c r="D301" s="33"/>
      <c r="E301" s="34"/>
      <c r="F301" s="34"/>
      <c r="G301" s="35"/>
      <c r="H301" s="34"/>
      <c r="I301" s="37"/>
    </row>
    <row r="302" ht="22.5" customHeight="1">
      <c r="A302" s="30"/>
      <c r="B302" s="31"/>
      <c r="C302" s="32"/>
      <c r="D302" s="33"/>
      <c r="E302" s="34"/>
      <c r="F302" s="34"/>
      <c r="G302" s="35"/>
      <c r="H302" s="34"/>
      <c r="I302" s="37"/>
    </row>
    <row r="303" ht="22.5" customHeight="1">
      <c r="A303" s="30"/>
      <c r="B303" s="39"/>
      <c r="C303" s="32"/>
      <c r="D303" s="33"/>
      <c r="E303" s="34"/>
      <c r="F303" s="34"/>
      <c r="G303" s="35"/>
      <c r="H303" s="34"/>
      <c r="I303" s="37"/>
    </row>
    <row r="304" ht="22.5" customHeight="1">
      <c r="A304" s="30"/>
      <c r="B304" s="39"/>
      <c r="C304" s="32"/>
      <c r="D304" s="33"/>
      <c r="E304" s="34"/>
      <c r="F304" s="34"/>
      <c r="G304" s="35"/>
      <c r="H304" s="34"/>
      <c r="I304" s="37"/>
    </row>
    <row r="305" ht="22.5" customHeight="1">
      <c r="A305" s="30"/>
      <c r="B305" s="39"/>
      <c r="C305" s="32"/>
      <c r="D305" s="33"/>
      <c r="E305" s="34"/>
      <c r="F305" s="34"/>
      <c r="G305" s="35"/>
      <c r="H305" s="34"/>
      <c r="I305" s="37"/>
    </row>
    <row r="306" ht="22.5" customHeight="1">
      <c r="A306" s="30"/>
      <c r="B306" s="40"/>
      <c r="C306" s="32"/>
      <c r="D306" s="33"/>
      <c r="E306" s="34"/>
      <c r="F306" s="34"/>
      <c r="G306" s="35"/>
      <c r="H306" s="34"/>
      <c r="I306" s="37"/>
    </row>
    <row r="307" ht="22.5" customHeight="1">
      <c r="A307" s="30"/>
      <c r="B307" s="31"/>
      <c r="C307" s="32"/>
      <c r="D307" s="33"/>
      <c r="E307" s="34"/>
      <c r="F307" s="34"/>
      <c r="G307" s="35"/>
      <c r="H307" s="34"/>
      <c r="I307" s="37"/>
    </row>
    <row r="308" ht="22.5" customHeight="1">
      <c r="A308" s="30"/>
      <c r="B308" s="31"/>
      <c r="C308" s="32"/>
      <c r="D308" s="33"/>
      <c r="E308" s="34"/>
      <c r="F308" s="34"/>
      <c r="G308" s="35"/>
      <c r="H308" s="34"/>
      <c r="I308" s="37"/>
    </row>
    <row r="309" ht="22.5" customHeight="1">
      <c r="A309" s="30"/>
      <c r="B309" s="31"/>
      <c r="C309" s="32"/>
      <c r="D309" s="33"/>
      <c r="E309" s="34"/>
      <c r="F309" s="34"/>
      <c r="G309" s="35"/>
      <c r="H309" s="34"/>
      <c r="I309" s="37"/>
    </row>
    <row r="310" ht="22.5" customHeight="1">
      <c r="A310" s="30"/>
      <c r="B310" s="31"/>
      <c r="C310" s="32"/>
      <c r="D310" s="33"/>
      <c r="E310" s="34"/>
      <c r="F310" s="34"/>
      <c r="G310" s="35"/>
      <c r="H310" s="34"/>
      <c r="I310" s="37"/>
    </row>
    <row r="311" ht="22.5" customHeight="1">
      <c r="A311" s="30"/>
      <c r="B311" s="31"/>
      <c r="C311" s="32"/>
      <c r="D311" s="33"/>
      <c r="E311" s="34"/>
      <c r="F311" s="34"/>
      <c r="G311" s="35"/>
      <c r="H311" s="34"/>
      <c r="I311" s="37"/>
    </row>
    <row r="312" ht="22.5" customHeight="1">
      <c r="A312" s="30"/>
      <c r="B312" s="31"/>
      <c r="C312" s="32"/>
      <c r="D312" s="33"/>
      <c r="E312" s="34"/>
      <c r="F312" s="34"/>
      <c r="G312" s="35"/>
      <c r="H312" s="34"/>
      <c r="I312" s="37"/>
    </row>
    <row r="313" ht="22.5" customHeight="1">
      <c r="A313" s="30"/>
      <c r="B313" s="31"/>
      <c r="C313" s="32"/>
      <c r="D313" s="33"/>
      <c r="E313" s="34"/>
      <c r="F313" s="34"/>
      <c r="G313" s="35"/>
      <c r="H313" s="34"/>
      <c r="I313" s="37"/>
    </row>
    <row r="314" ht="22.5" customHeight="1">
      <c r="A314" s="30"/>
      <c r="B314" s="31"/>
      <c r="C314" s="32"/>
      <c r="D314" s="33"/>
      <c r="E314" s="34"/>
      <c r="F314" s="34"/>
      <c r="G314" s="35"/>
      <c r="H314" s="34"/>
      <c r="I314" s="37"/>
    </row>
    <row r="315" ht="22.5" customHeight="1">
      <c r="A315" s="30"/>
      <c r="B315" s="31"/>
      <c r="C315" s="32"/>
      <c r="D315" s="33"/>
      <c r="E315" s="34"/>
      <c r="F315" s="34"/>
      <c r="G315" s="35"/>
      <c r="H315" s="34"/>
      <c r="I315" s="37"/>
    </row>
    <row r="316" ht="22.5" customHeight="1">
      <c r="A316" s="30"/>
      <c r="B316" s="40"/>
      <c r="C316" s="32"/>
      <c r="D316" s="33"/>
      <c r="E316" s="34"/>
      <c r="F316" s="34"/>
      <c r="G316" s="35"/>
      <c r="H316" s="34"/>
      <c r="I316" s="37"/>
    </row>
    <row r="317" ht="22.5" customHeight="1">
      <c r="A317" s="30"/>
      <c r="B317" s="31"/>
      <c r="C317" s="32"/>
      <c r="D317" s="33"/>
      <c r="E317" s="34"/>
      <c r="F317" s="34"/>
      <c r="G317" s="35"/>
      <c r="H317" s="34"/>
      <c r="I317" s="37"/>
    </row>
    <row r="318" ht="22.5" customHeight="1">
      <c r="A318" s="30"/>
      <c r="B318" s="31"/>
      <c r="C318" s="32"/>
      <c r="D318" s="33"/>
      <c r="E318" s="34"/>
      <c r="F318" s="34"/>
      <c r="G318" s="35"/>
      <c r="H318" s="34"/>
      <c r="I318" s="37"/>
    </row>
    <row r="319" ht="22.5" customHeight="1">
      <c r="A319" s="30"/>
      <c r="B319" s="31"/>
      <c r="C319" s="32"/>
      <c r="D319" s="33"/>
      <c r="E319" s="34"/>
      <c r="F319" s="34"/>
      <c r="G319" s="35"/>
      <c r="H319" s="34"/>
      <c r="I319" s="37"/>
    </row>
    <row r="320" ht="22.5" customHeight="1">
      <c r="A320" s="30"/>
      <c r="B320" s="40"/>
      <c r="C320" s="32"/>
      <c r="D320" s="33"/>
      <c r="E320" s="34"/>
      <c r="F320" s="34"/>
      <c r="G320" s="35"/>
      <c r="H320" s="34"/>
      <c r="I320" s="37"/>
    </row>
    <row r="321" ht="22.5" customHeight="1">
      <c r="A321" s="30"/>
      <c r="B321" s="31"/>
      <c r="C321" s="32"/>
      <c r="D321" s="33"/>
      <c r="E321" s="34"/>
      <c r="F321" s="34"/>
      <c r="G321" s="35"/>
      <c r="H321" s="34"/>
      <c r="I321" s="37"/>
    </row>
    <row r="322" ht="22.5" customHeight="1">
      <c r="A322" s="30"/>
      <c r="B322" s="31"/>
      <c r="C322" s="32"/>
      <c r="D322" s="33"/>
      <c r="E322" s="34"/>
      <c r="F322" s="34"/>
      <c r="G322" s="35"/>
      <c r="H322" s="34"/>
      <c r="I322" s="37"/>
    </row>
    <row r="323" ht="22.5" customHeight="1">
      <c r="A323" s="30"/>
      <c r="B323" s="31"/>
      <c r="C323" s="32"/>
      <c r="D323" s="33"/>
      <c r="E323" s="34"/>
      <c r="F323" s="34"/>
      <c r="G323" s="35"/>
      <c r="H323" s="34"/>
      <c r="I323" s="37"/>
    </row>
    <row r="324" ht="22.5" customHeight="1">
      <c r="A324" s="30"/>
      <c r="B324" s="31"/>
      <c r="C324" s="32"/>
      <c r="D324" s="33"/>
      <c r="E324" s="34"/>
      <c r="F324" s="34"/>
      <c r="G324" s="35"/>
      <c r="H324" s="34"/>
      <c r="I324" s="37"/>
    </row>
    <row r="325" ht="22.5" customHeight="1">
      <c r="A325" s="30"/>
      <c r="B325" s="31"/>
      <c r="C325" s="32"/>
      <c r="D325" s="33"/>
      <c r="E325" s="34"/>
      <c r="F325" s="34"/>
      <c r="G325" s="35"/>
      <c r="H325" s="34"/>
      <c r="I325" s="37"/>
    </row>
    <row r="326" ht="22.5" customHeight="1">
      <c r="A326" s="30"/>
      <c r="B326" s="31"/>
      <c r="C326" s="32"/>
      <c r="D326" s="33"/>
      <c r="E326" s="34"/>
      <c r="F326" s="34"/>
      <c r="G326" s="35"/>
      <c r="H326" s="34"/>
      <c r="I326" s="37"/>
    </row>
    <row r="327" ht="22.5" customHeight="1">
      <c r="A327" s="30"/>
      <c r="B327" s="31"/>
      <c r="C327" s="32"/>
      <c r="D327" s="33"/>
      <c r="E327" s="34"/>
      <c r="F327" s="34"/>
      <c r="G327" s="35"/>
      <c r="H327" s="34"/>
      <c r="I327" s="37"/>
    </row>
    <row r="328" ht="22.5" customHeight="1">
      <c r="A328" s="30"/>
      <c r="B328" s="31"/>
      <c r="C328" s="32"/>
      <c r="D328" s="33"/>
      <c r="E328" s="34"/>
      <c r="F328" s="34"/>
      <c r="G328" s="35"/>
      <c r="H328" s="34"/>
      <c r="I328" s="37"/>
    </row>
    <row r="329" ht="22.5" customHeight="1">
      <c r="A329" s="30"/>
      <c r="B329" s="31"/>
      <c r="C329" s="32"/>
      <c r="D329" s="33"/>
      <c r="E329" s="34"/>
      <c r="F329" s="34"/>
      <c r="G329" s="35"/>
      <c r="H329" s="34"/>
      <c r="I329" s="37"/>
    </row>
    <row r="330" ht="22.5" customHeight="1">
      <c r="A330" s="30"/>
      <c r="B330" s="31"/>
      <c r="C330" s="32"/>
      <c r="D330" s="33"/>
      <c r="E330" s="34"/>
      <c r="F330" s="34"/>
      <c r="G330" s="35"/>
      <c r="H330" s="34"/>
      <c r="I330" s="37"/>
    </row>
    <row r="331" ht="22.5" customHeight="1">
      <c r="A331" s="30"/>
      <c r="B331" s="31"/>
      <c r="C331" s="32"/>
      <c r="D331" s="33"/>
      <c r="E331" s="34"/>
      <c r="F331" s="34"/>
      <c r="G331" s="35"/>
      <c r="H331" s="34"/>
      <c r="I331" s="37"/>
    </row>
    <row r="332" ht="22.5" customHeight="1">
      <c r="A332" s="30"/>
      <c r="B332" s="31"/>
      <c r="C332" s="32"/>
      <c r="D332" s="33"/>
      <c r="E332" s="34"/>
      <c r="F332" s="34"/>
      <c r="G332" s="35"/>
      <c r="H332" s="34"/>
      <c r="I332" s="37"/>
    </row>
    <row r="333" ht="22.5" customHeight="1">
      <c r="A333" s="30"/>
      <c r="B333" s="31"/>
      <c r="C333" s="32"/>
      <c r="D333" s="33"/>
      <c r="E333" s="34"/>
      <c r="F333" s="34"/>
      <c r="G333" s="35"/>
      <c r="H333" s="34"/>
      <c r="I333" s="37"/>
    </row>
    <row r="334" ht="22.5" customHeight="1">
      <c r="A334" s="30"/>
      <c r="B334" s="31"/>
      <c r="C334" s="32"/>
      <c r="D334" s="33"/>
      <c r="E334" s="34"/>
      <c r="F334" s="34"/>
      <c r="G334" s="35"/>
      <c r="H334" s="34"/>
      <c r="I334" s="37"/>
    </row>
    <row r="335" ht="22.5" customHeight="1">
      <c r="A335" s="30"/>
      <c r="B335" s="40"/>
      <c r="C335" s="32"/>
      <c r="D335" s="33"/>
      <c r="E335" s="34"/>
      <c r="F335" s="34"/>
      <c r="G335" s="35"/>
      <c r="H335" s="34"/>
      <c r="I335" s="37"/>
    </row>
    <row r="336" ht="22.5" customHeight="1">
      <c r="A336" s="30"/>
      <c r="B336" s="31"/>
      <c r="C336" s="32"/>
      <c r="D336" s="33"/>
      <c r="E336" s="34"/>
      <c r="F336" s="34"/>
      <c r="G336" s="35"/>
      <c r="H336" s="34"/>
      <c r="I336" s="37"/>
    </row>
    <row r="337" ht="22.5" customHeight="1">
      <c r="A337" s="30"/>
      <c r="B337" s="40"/>
      <c r="C337" s="32"/>
      <c r="D337" s="33"/>
      <c r="E337" s="34"/>
      <c r="F337" s="34"/>
      <c r="G337" s="35"/>
      <c r="H337" s="34"/>
      <c r="I337" s="37"/>
    </row>
    <row r="338" ht="22.5" customHeight="1">
      <c r="A338" s="30"/>
      <c r="B338" s="31"/>
      <c r="C338" s="32"/>
      <c r="D338" s="33"/>
      <c r="E338" s="34"/>
      <c r="F338" s="34"/>
      <c r="G338" s="35"/>
      <c r="H338" s="34"/>
      <c r="I338" s="37"/>
    </row>
    <row r="339" ht="22.5" customHeight="1">
      <c r="A339" s="30"/>
      <c r="B339" s="31"/>
      <c r="C339" s="32"/>
      <c r="D339" s="33"/>
      <c r="E339" s="34"/>
      <c r="F339" s="34"/>
      <c r="G339" s="35"/>
      <c r="H339" s="34"/>
      <c r="I339" s="37"/>
    </row>
    <row r="340" ht="22.5" customHeight="1">
      <c r="A340" s="30"/>
      <c r="B340" s="31"/>
      <c r="C340" s="32"/>
      <c r="D340" s="33"/>
      <c r="E340" s="34"/>
      <c r="F340" s="34"/>
      <c r="G340" s="35"/>
      <c r="H340" s="34"/>
      <c r="I340" s="37"/>
    </row>
    <row r="341" ht="22.5" customHeight="1">
      <c r="A341" s="30"/>
      <c r="B341" s="31"/>
      <c r="C341" s="32"/>
      <c r="D341" s="33"/>
      <c r="E341" s="34"/>
      <c r="F341" s="34"/>
      <c r="G341" s="35"/>
      <c r="H341" s="34"/>
      <c r="I341" s="37"/>
    </row>
    <row r="342" ht="22.5" customHeight="1">
      <c r="A342" s="30"/>
      <c r="B342" s="40"/>
      <c r="C342" s="32"/>
      <c r="D342" s="33"/>
      <c r="E342" s="34"/>
      <c r="F342" s="34"/>
      <c r="G342" s="35"/>
      <c r="H342" s="34"/>
      <c r="I342" s="37"/>
    </row>
    <row r="343" ht="22.5" customHeight="1">
      <c r="A343" s="30"/>
      <c r="B343" s="31"/>
      <c r="C343" s="32"/>
      <c r="D343" s="33"/>
      <c r="E343" s="34"/>
      <c r="F343" s="34"/>
      <c r="G343" s="35"/>
      <c r="H343" s="34"/>
      <c r="I343" s="37"/>
    </row>
    <row r="344" ht="22.5" customHeight="1">
      <c r="A344" s="30"/>
      <c r="B344" s="31"/>
      <c r="C344" s="32"/>
      <c r="D344" s="33"/>
      <c r="E344" s="34"/>
      <c r="F344" s="34"/>
      <c r="G344" s="35"/>
      <c r="H344" s="34"/>
      <c r="I344" s="37"/>
    </row>
    <row r="345" ht="22.5" customHeight="1">
      <c r="A345" s="30"/>
      <c r="B345" s="31"/>
      <c r="C345" s="32"/>
      <c r="D345" s="33"/>
      <c r="E345" s="34"/>
      <c r="F345" s="34"/>
      <c r="G345" s="35"/>
      <c r="H345" s="34"/>
      <c r="I345" s="37"/>
    </row>
    <row r="346" ht="22.5" customHeight="1">
      <c r="A346" s="30"/>
      <c r="B346" s="31"/>
      <c r="C346" s="32"/>
      <c r="D346" s="33"/>
      <c r="E346" s="34"/>
      <c r="F346" s="34"/>
      <c r="G346" s="35"/>
      <c r="H346" s="34"/>
      <c r="I346" s="37"/>
    </row>
    <row r="347" ht="22.5" customHeight="1">
      <c r="A347" s="30"/>
      <c r="B347" s="31"/>
      <c r="C347" s="32"/>
      <c r="D347" s="33"/>
      <c r="E347" s="34"/>
      <c r="F347" s="34"/>
      <c r="G347" s="35"/>
      <c r="H347" s="34"/>
      <c r="I347" s="37"/>
    </row>
    <row r="348" ht="22.5" customHeight="1">
      <c r="A348" s="30"/>
      <c r="B348" s="31"/>
      <c r="C348" s="32"/>
      <c r="D348" s="33"/>
      <c r="E348" s="34"/>
      <c r="F348" s="34"/>
      <c r="G348" s="35"/>
      <c r="H348" s="34"/>
      <c r="I348" s="37"/>
    </row>
    <row r="349" ht="22.5" customHeight="1">
      <c r="A349" s="30"/>
      <c r="B349" s="31"/>
      <c r="C349" s="32"/>
      <c r="D349" s="33"/>
      <c r="E349" s="34"/>
      <c r="F349" s="34"/>
      <c r="G349" s="35"/>
      <c r="H349" s="34"/>
      <c r="I349" s="37"/>
    </row>
    <row r="350" ht="22.5" customHeight="1">
      <c r="A350" s="30"/>
      <c r="B350" s="31"/>
      <c r="C350" s="32"/>
      <c r="D350" s="33"/>
      <c r="E350" s="34"/>
      <c r="F350" s="34"/>
      <c r="G350" s="35"/>
      <c r="H350" s="34"/>
      <c r="I350" s="37"/>
    </row>
    <row r="351" ht="22.5" customHeight="1">
      <c r="A351" s="30"/>
      <c r="B351" s="31"/>
      <c r="C351" s="32"/>
      <c r="D351" s="33"/>
      <c r="E351" s="34"/>
      <c r="F351" s="34"/>
      <c r="G351" s="35"/>
      <c r="H351" s="34"/>
      <c r="I351" s="37"/>
    </row>
    <row r="352" ht="22.5" customHeight="1">
      <c r="A352" s="30"/>
      <c r="B352" s="31"/>
      <c r="C352" s="32"/>
      <c r="D352" s="33"/>
      <c r="E352" s="34"/>
      <c r="F352" s="34"/>
      <c r="G352" s="35"/>
      <c r="H352" s="34"/>
      <c r="I352" s="37"/>
    </row>
    <row r="353" ht="22.5" customHeight="1">
      <c r="A353" s="30"/>
      <c r="B353" s="31"/>
      <c r="C353" s="32"/>
      <c r="D353" s="33"/>
      <c r="E353" s="34"/>
      <c r="F353" s="34"/>
      <c r="G353" s="35"/>
      <c r="H353" s="34"/>
      <c r="I353" s="37"/>
    </row>
    <row r="354" ht="22.5" customHeight="1">
      <c r="A354" s="30"/>
      <c r="B354" s="31"/>
      <c r="C354" s="32"/>
      <c r="D354" s="33"/>
      <c r="E354" s="34"/>
      <c r="F354" s="34"/>
      <c r="G354" s="35"/>
      <c r="H354" s="34"/>
      <c r="I354" s="37"/>
    </row>
    <row r="355" ht="22.5" customHeight="1">
      <c r="A355" s="30"/>
      <c r="B355" s="31"/>
      <c r="C355" s="32"/>
      <c r="D355" s="33"/>
      <c r="E355" s="34"/>
      <c r="F355" s="34"/>
      <c r="G355" s="35"/>
      <c r="H355" s="34"/>
      <c r="I355" s="37"/>
    </row>
    <row r="356" ht="22.5" customHeight="1">
      <c r="A356" s="30"/>
      <c r="B356" s="31"/>
      <c r="C356" s="32"/>
      <c r="D356" s="33"/>
      <c r="E356" s="34"/>
      <c r="F356" s="34"/>
      <c r="G356" s="35"/>
      <c r="H356" s="34"/>
      <c r="I356" s="37"/>
    </row>
    <row r="357" ht="22.5" customHeight="1">
      <c r="A357" s="30"/>
      <c r="B357" s="31"/>
      <c r="C357" s="32"/>
      <c r="D357" s="33"/>
      <c r="E357" s="34"/>
      <c r="F357" s="34"/>
      <c r="G357" s="35"/>
      <c r="H357" s="34"/>
      <c r="I357" s="37"/>
    </row>
    <row r="358" ht="22.5" customHeight="1">
      <c r="A358" s="30"/>
      <c r="B358" s="31"/>
      <c r="C358" s="32"/>
      <c r="D358" s="33"/>
      <c r="E358" s="34"/>
      <c r="F358" s="34"/>
      <c r="G358" s="35"/>
      <c r="H358" s="34"/>
      <c r="I358" s="37"/>
    </row>
    <row r="359" ht="22.5" customHeight="1">
      <c r="A359" s="30"/>
      <c r="B359" s="31"/>
      <c r="C359" s="32"/>
      <c r="D359" s="33"/>
      <c r="E359" s="34"/>
      <c r="F359" s="34"/>
      <c r="G359" s="35"/>
      <c r="H359" s="34"/>
      <c r="I359" s="37"/>
    </row>
    <row r="360" ht="22.5" customHeight="1">
      <c r="A360" s="30"/>
      <c r="B360" s="31"/>
      <c r="C360" s="32"/>
      <c r="D360" s="33"/>
      <c r="E360" s="34"/>
      <c r="F360" s="34"/>
      <c r="G360" s="35"/>
      <c r="H360" s="34"/>
      <c r="I360" s="37"/>
    </row>
    <row r="361" ht="22.5" customHeight="1">
      <c r="A361" s="30"/>
      <c r="B361" s="31"/>
      <c r="C361" s="32"/>
      <c r="D361" s="33"/>
      <c r="E361" s="34"/>
      <c r="F361" s="34"/>
      <c r="G361" s="35"/>
      <c r="H361" s="34"/>
      <c r="I361" s="37"/>
    </row>
    <row r="362" ht="22.5" customHeight="1">
      <c r="A362" s="30"/>
      <c r="B362" s="31"/>
      <c r="C362" s="32"/>
      <c r="D362" s="33"/>
      <c r="E362" s="34"/>
      <c r="F362" s="34"/>
      <c r="G362" s="35"/>
      <c r="H362" s="34"/>
      <c r="I362" s="37"/>
    </row>
    <row r="363" ht="22.5" customHeight="1">
      <c r="A363" s="30"/>
      <c r="B363" s="31"/>
      <c r="C363" s="32"/>
      <c r="D363" s="33"/>
      <c r="E363" s="34"/>
      <c r="F363" s="34"/>
      <c r="G363" s="35"/>
      <c r="H363" s="34"/>
      <c r="I363" s="37"/>
    </row>
    <row r="364" ht="22.5" customHeight="1">
      <c r="A364" s="30"/>
      <c r="B364" s="40"/>
      <c r="C364" s="32"/>
      <c r="D364" s="33"/>
      <c r="E364" s="34"/>
      <c r="F364" s="34"/>
      <c r="G364" s="35"/>
      <c r="H364" s="34"/>
      <c r="I364" s="37"/>
    </row>
    <row r="365" ht="22.5" customHeight="1">
      <c r="A365" s="30"/>
      <c r="B365" s="31"/>
      <c r="C365" s="32"/>
      <c r="D365" s="33"/>
      <c r="E365" s="34"/>
      <c r="F365" s="34"/>
      <c r="G365" s="35"/>
      <c r="H365" s="34"/>
      <c r="I365" s="37"/>
    </row>
    <row r="366" ht="22.5" customHeight="1">
      <c r="A366" s="30"/>
      <c r="B366" s="31"/>
      <c r="C366" s="32"/>
      <c r="D366" s="33"/>
      <c r="E366" s="34"/>
      <c r="F366" s="34"/>
      <c r="G366" s="35"/>
      <c r="H366" s="34"/>
      <c r="I366" s="37"/>
    </row>
    <row r="367" ht="22.5" customHeight="1">
      <c r="A367" s="30"/>
      <c r="B367" s="31"/>
      <c r="C367" s="32"/>
      <c r="D367" s="33"/>
      <c r="E367" s="34"/>
      <c r="F367" s="34"/>
      <c r="G367" s="35"/>
      <c r="H367" s="34"/>
      <c r="I367" s="37"/>
    </row>
    <row r="368" ht="22.5" customHeight="1">
      <c r="A368" s="30"/>
      <c r="B368" s="31"/>
      <c r="C368" s="32"/>
      <c r="D368" s="33"/>
      <c r="E368" s="34"/>
      <c r="F368" s="34"/>
      <c r="G368" s="35"/>
      <c r="H368" s="34"/>
      <c r="I368" s="38"/>
    </row>
    <row r="369" ht="22.5" customHeight="1">
      <c r="A369" s="30"/>
      <c r="B369" s="39"/>
      <c r="C369" s="32"/>
      <c r="D369" s="33"/>
      <c r="E369" s="34"/>
      <c r="F369" s="34"/>
      <c r="G369" s="35"/>
      <c r="H369" s="34"/>
      <c r="I369" s="37"/>
    </row>
    <row r="370" ht="22.5" customHeight="1">
      <c r="A370" s="30"/>
      <c r="B370" s="31"/>
      <c r="C370" s="32"/>
      <c r="D370" s="33"/>
      <c r="E370" s="34"/>
      <c r="F370" s="34"/>
      <c r="G370" s="35"/>
      <c r="H370" s="34"/>
      <c r="I370" s="37"/>
    </row>
    <row r="371" ht="22.5" customHeight="1">
      <c r="A371" s="30"/>
      <c r="B371" s="31"/>
      <c r="C371" s="32"/>
      <c r="D371" s="33"/>
      <c r="E371" s="34"/>
      <c r="F371" s="34"/>
      <c r="G371" s="35"/>
      <c r="H371" s="34"/>
      <c r="I371" s="37"/>
    </row>
    <row r="372" ht="22.5" customHeight="1">
      <c r="A372" s="30"/>
      <c r="B372" s="31"/>
      <c r="C372" s="32"/>
      <c r="D372" s="33"/>
      <c r="E372" s="34"/>
      <c r="F372" s="34"/>
      <c r="G372" s="35"/>
      <c r="H372" s="34"/>
      <c r="I372" s="37"/>
    </row>
    <row r="373" ht="22.5" customHeight="1">
      <c r="A373" s="30"/>
      <c r="B373" s="39"/>
      <c r="C373" s="32"/>
      <c r="D373" s="33"/>
      <c r="E373" s="34"/>
      <c r="F373" s="34"/>
      <c r="G373" s="35"/>
      <c r="H373" s="34"/>
      <c r="I373" s="37"/>
    </row>
    <row r="374" ht="22.5" customHeight="1">
      <c r="A374" s="30"/>
      <c r="B374" s="31"/>
      <c r="C374" s="32"/>
      <c r="D374" s="33"/>
      <c r="E374" s="34"/>
      <c r="F374" s="34"/>
      <c r="G374" s="35"/>
      <c r="H374" s="34"/>
      <c r="I374" s="37"/>
    </row>
    <row r="375" ht="22.5" customHeight="1">
      <c r="A375" s="30"/>
      <c r="B375" s="39"/>
      <c r="C375" s="32"/>
      <c r="D375" s="33"/>
      <c r="E375" s="34"/>
      <c r="F375" s="34"/>
      <c r="G375" s="35"/>
      <c r="H375" s="34"/>
      <c r="I375" s="37"/>
    </row>
    <row r="376" ht="22.5" customHeight="1">
      <c r="A376" s="30"/>
      <c r="B376" s="31"/>
      <c r="C376" s="32"/>
      <c r="D376" s="33"/>
      <c r="E376" s="34"/>
      <c r="F376" s="34"/>
      <c r="G376" s="35"/>
      <c r="H376" s="34"/>
      <c r="I376" s="37"/>
    </row>
    <row r="377" ht="22.5" customHeight="1">
      <c r="A377" s="30"/>
      <c r="B377" s="31"/>
      <c r="C377" s="32"/>
      <c r="D377" s="33"/>
      <c r="E377" s="34"/>
      <c r="F377" s="34"/>
      <c r="G377" s="35"/>
      <c r="H377" s="34"/>
      <c r="I377" s="37"/>
    </row>
    <row r="378" ht="22.5" customHeight="1">
      <c r="A378" s="30"/>
      <c r="B378" s="31"/>
      <c r="C378" s="32"/>
      <c r="D378" s="33"/>
      <c r="E378" s="34"/>
      <c r="F378" s="34"/>
      <c r="G378" s="35"/>
      <c r="H378" s="34"/>
      <c r="I378" s="37"/>
    </row>
    <row r="379" ht="22.5" customHeight="1">
      <c r="A379" s="30"/>
      <c r="B379" s="31"/>
      <c r="C379" s="32"/>
      <c r="D379" s="33"/>
      <c r="E379" s="34"/>
      <c r="F379" s="34"/>
      <c r="G379" s="35"/>
      <c r="H379" s="34"/>
      <c r="I379" s="37"/>
    </row>
    <row r="380" ht="22.5" customHeight="1">
      <c r="A380" s="30"/>
      <c r="B380" s="31"/>
      <c r="C380" s="32"/>
      <c r="D380" s="33"/>
      <c r="E380" s="34"/>
      <c r="F380" s="34"/>
      <c r="G380" s="35"/>
      <c r="H380" s="34"/>
      <c r="I380" s="37"/>
    </row>
    <row r="381" ht="22.5" customHeight="1">
      <c r="A381" s="30"/>
      <c r="B381" s="31"/>
      <c r="C381" s="32"/>
      <c r="D381" s="33"/>
      <c r="E381" s="34"/>
      <c r="F381" s="34"/>
      <c r="G381" s="35"/>
      <c r="H381" s="34"/>
      <c r="I381" s="37"/>
    </row>
    <row r="382" ht="22.5" customHeight="1">
      <c r="A382" s="30"/>
      <c r="B382" s="31"/>
      <c r="C382" s="32"/>
      <c r="D382" s="33"/>
      <c r="E382" s="34"/>
      <c r="F382" s="34"/>
      <c r="G382" s="35"/>
      <c r="H382" s="34"/>
      <c r="I382" s="37"/>
    </row>
    <row r="383" ht="22.5" customHeight="1">
      <c r="A383" s="30"/>
      <c r="B383" s="31"/>
      <c r="C383" s="32"/>
      <c r="D383" s="33"/>
      <c r="E383" s="34"/>
      <c r="F383" s="34"/>
      <c r="G383" s="35"/>
      <c r="H383" s="34"/>
      <c r="I383" s="37"/>
    </row>
    <row r="384" ht="22.5" customHeight="1">
      <c r="A384" s="30"/>
      <c r="B384" s="31"/>
      <c r="C384" s="32"/>
      <c r="D384" s="33"/>
      <c r="E384" s="34"/>
      <c r="F384" s="34"/>
      <c r="G384" s="35"/>
      <c r="H384" s="34"/>
      <c r="I384" s="37"/>
    </row>
    <row r="385" ht="22.5" customHeight="1">
      <c r="A385" s="30"/>
      <c r="B385" s="31"/>
      <c r="C385" s="32"/>
      <c r="D385" s="33"/>
      <c r="E385" s="34"/>
      <c r="F385" s="34"/>
      <c r="G385" s="35"/>
      <c r="H385" s="34"/>
      <c r="I385" s="37"/>
    </row>
    <row r="386" ht="22.5" customHeight="1">
      <c r="A386" s="30"/>
      <c r="B386" s="40"/>
      <c r="C386" s="32"/>
      <c r="D386" s="33"/>
      <c r="E386" s="34"/>
      <c r="F386" s="34"/>
      <c r="G386" s="35"/>
      <c r="H386" s="34"/>
      <c r="I386" s="37"/>
    </row>
    <row r="387" ht="22.5" customHeight="1">
      <c r="A387" s="30"/>
      <c r="B387" s="31"/>
      <c r="C387" s="32"/>
      <c r="D387" s="33"/>
      <c r="E387" s="34"/>
      <c r="F387" s="34"/>
      <c r="G387" s="35"/>
      <c r="H387" s="34"/>
      <c r="I387" s="37"/>
    </row>
    <row r="388" ht="22.5" customHeight="1">
      <c r="A388" s="30"/>
      <c r="B388" s="31"/>
      <c r="C388" s="32"/>
      <c r="D388" s="33"/>
      <c r="E388" s="34"/>
      <c r="F388" s="34"/>
      <c r="G388" s="35"/>
      <c r="H388" s="34"/>
      <c r="I388" s="37"/>
    </row>
    <row r="389" ht="22.5" customHeight="1">
      <c r="A389" s="30"/>
      <c r="B389" s="31"/>
      <c r="C389" s="32"/>
      <c r="D389" s="33"/>
      <c r="E389" s="34"/>
      <c r="F389" s="34"/>
      <c r="G389" s="35"/>
      <c r="H389" s="34"/>
      <c r="I389" s="37"/>
    </row>
    <row r="390" ht="22.5" customHeight="1">
      <c r="A390" s="30"/>
      <c r="B390" s="31"/>
      <c r="C390" s="32"/>
      <c r="D390" s="33"/>
      <c r="E390" s="34"/>
      <c r="F390" s="34"/>
      <c r="G390" s="35"/>
      <c r="H390" s="34"/>
      <c r="I390" s="37"/>
    </row>
    <row r="391" ht="22.5" customHeight="1">
      <c r="A391" s="30"/>
      <c r="B391" s="31"/>
      <c r="C391" s="32"/>
      <c r="D391" s="33"/>
      <c r="E391" s="34"/>
      <c r="F391" s="34"/>
      <c r="G391" s="35"/>
      <c r="H391" s="34"/>
      <c r="I391" s="37"/>
    </row>
    <row r="392" ht="22.5" customHeight="1">
      <c r="A392" s="30"/>
      <c r="B392" s="31"/>
      <c r="C392" s="32"/>
      <c r="D392" s="33"/>
      <c r="E392" s="34"/>
      <c r="F392" s="34"/>
      <c r="G392" s="35"/>
      <c r="H392" s="34"/>
      <c r="I392" s="37"/>
    </row>
    <row r="393" ht="22.5" customHeight="1">
      <c r="A393" s="30"/>
      <c r="B393" s="39"/>
      <c r="C393" s="32"/>
      <c r="D393" s="33"/>
      <c r="E393" s="34"/>
      <c r="F393" s="34"/>
      <c r="G393" s="35"/>
      <c r="H393" s="34"/>
      <c r="I393" s="37"/>
    </row>
    <row r="394" ht="22.5" customHeight="1">
      <c r="A394" s="30"/>
      <c r="B394" s="39"/>
      <c r="C394" s="32"/>
      <c r="D394" s="33"/>
      <c r="E394" s="34"/>
      <c r="F394" s="34"/>
      <c r="G394" s="35"/>
      <c r="H394" s="34"/>
      <c r="I394" s="37"/>
    </row>
    <row r="395" ht="22.5" customHeight="1">
      <c r="A395" s="30"/>
      <c r="B395" s="39"/>
      <c r="C395" s="32"/>
      <c r="D395" s="33"/>
      <c r="E395" s="34"/>
      <c r="F395" s="34"/>
      <c r="G395" s="35"/>
      <c r="H395" s="34"/>
      <c r="I395" s="37"/>
    </row>
    <row r="396" ht="22.5" customHeight="1">
      <c r="A396" s="30"/>
      <c r="B396" s="40"/>
      <c r="C396" s="32"/>
      <c r="D396" s="33"/>
      <c r="E396" s="34"/>
      <c r="F396" s="34"/>
      <c r="G396" s="35"/>
      <c r="H396" s="34"/>
      <c r="I396" s="37"/>
    </row>
    <row r="397" ht="22.5" customHeight="1">
      <c r="A397" s="30"/>
      <c r="B397" s="31"/>
      <c r="C397" s="32"/>
      <c r="D397" s="33"/>
      <c r="E397" s="34"/>
      <c r="F397" s="34"/>
      <c r="G397" s="35"/>
      <c r="H397" s="34"/>
      <c r="I397" s="37"/>
    </row>
    <row r="398" ht="22.5" customHeight="1">
      <c r="A398" s="30"/>
      <c r="B398" s="31"/>
      <c r="C398" s="32"/>
      <c r="D398" s="33"/>
      <c r="E398" s="34"/>
      <c r="F398" s="34"/>
      <c r="G398" s="35"/>
      <c r="H398" s="34"/>
      <c r="I398" s="37"/>
    </row>
    <row r="399" ht="22.5" customHeight="1">
      <c r="A399" s="30"/>
      <c r="B399" s="31"/>
      <c r="C399" s="32"/>
      <c r="D399" s="33"/>
      <c r="E399" s="34"/>
      <c r="F399" s="34"/>
      <c r="G399" s="35"/>
      <c r="H399" s="34"/>
      <c r="I399" s="37"/>
    </row>
    <row r="400" ht="22.5" customHeight="1">
      <c r="A400" s="30"/>
      <c r="B400" s="31"/>
      <c r="C400" s="32"/>
      <c r="D400" s="33"/>
      <c r="E400" s="34"/>
      <c r="F400" s="34"/>
      <c r="G400" s="35"/>
      <c r="H400" s="34"/>
      <c r="I400" s="37"/>
    </row>
    <row r="401" ht="22.5" customHeight="1">
      <c r="A401" s="30"/>
      <c r="B401" s="31"/>
      <c r="C401" s="32"/>
      <c r="D401" s="33"/>
      <c r="E401" s="34"/>
      <c r="F401" s="34"/>
      <c r="G401" s="35"/>
      <c r="H401" s="34"/>
      <c r="I401" s="37"/>
    </row>
    <row r="402" ht="22.5" customHeight="1">
      <c r="A402" s="30"/>
      <c r="B402" s="31"/>
      <c r="C402" s="32"/>
      <c r="D402" s="33"/>
      <c r="E402" s="34"/>
      <c r="F402" s="34"/>
      <c r="G402" s="35"/>
      <c r="H402" s="34"/>
      <c r="I402" s="37"/>
    </row>
    <row r="403" ht="22.5" customHeight="1">
      <c r="A403" s="30"/>
      <c r="B403" s="31"/>
      <c r="C403" s="32"/>
      <c r="D403" s="33"/>
      <c r="E403" s="34"/>
      <c r="F403" s="34"/>
      <c r="G403" s="35"/>
      <c r="H403" s="34"/>
      <c r="I403" s="37"/>
    </row>
    <row r="404" ht="22.5" customHeight="1">
      <c r="A404" s="30"/>
      <c r="B404" s="31"/>
      <c r="C404" s="32"/>
      <c r="D404" s="33"/>
      <c r="E404" s="34"/>
      <c r="F404" s="34"/>
      <c r="G404" s="35"/>
      <c r="H404" s="34"/>
      <c r="I404" s="37"/>
    </row>
    <row r="405" ht="22.5" customHeight="1">
      <c r="A405" s="30"/>
      <c r="B405" s="31"/>
      <c r="C405" s="32"/>
      <c r="D405" s="33"/>
      <c r="E405" s="34"/>
      <c r="F405" s="34"/>
      <c r="G405" s="35"/>
      <c r="H405" s="34"/>
      <c r="I405" s="37"/>
    </row>
    <row r="406" ht="22.5" customHeight="1">
      <c r="A406" s="30"/>
      <c r="B406" s="40"/>
      <c r="C406" s="32"/>
      <c r="D406" s="33"/>
      <c r="E406" s="34"/>
      <c r="F406" s="34"/>
      <c r="G406" s="35"/>
      <c r="H406" s="34"/>
      <c r="I406" s="37"/>
    </row>
    <row r="407" ht="22.5" customHeight="1">
      <c r="A407" s="30"/>
      <c r="B407" s="31"/>
      <c r="C407" s="32"/>
      <c r="D407" s="33"/>
      <c r="E407" s="34"/>
      <c r="F407" s="34"/>
      <c r="G407" s="35"/>
      <c r="H407" s="34"/>
      <c r="I407" s="37"/>
    </row>
    <row r="408" ht="22.5" customHeight="1">
      <c r="A408" s="30"/>
      <c r="B408" s="31"/>
      <c r="C408" s="32"/>
      <c r="D408" s="33"/>
      <c r="E408" s="34"/>
      <c r="F408" s="34"/>
      <c r="G408" s="35"/>
      <c r="H408" s="34"/>
      <c r="I408" s="37"/>
    </row>
    <row r="409" ht="22.5" customHeight="1">
      <c r="A409" s="30"/>
      <c r="B409" s="31"/>
      <c r="C409" s="32"/>
      <c r="D409" s="33"/>
      <c r="E409" s="34"/>
      <c r="F409" s="34"/>
      <c r="G409" s="35"/>
      <c r="H409" s="34"/>
      <c r="I409" s="37"/>
    </row>
    <row r="410" ht="22.5" customHeight="1">
      <c r="A410" s="30"/>
      <c r="B410" s="40"/>
      <c r="C410" s="32"/>
      <c r="D410" s="33"/>
      <c r="E410" s="34"/>
      <c r="F410" s="34"/>
      <c r="G410" s="35"/>
      <c r="H410" s="34"/>
      <c r="I410" s="37"/>
    </row>
    <row r="411" ht="22.5" customHeight="1">
      <c r="A411" s="30"/>
      <c r="B411" s="31"/>
      <c r="C411" s="32"/>
      <c r="D411" s="33"/>
      <c r="E411" s="34"/>
      <c r="F411" s="34"/>
      <c r="G411" s="35"/>
      <c r="H411" s="34"/>
      <c r="I411" s="37"/>
    </row>
    <row r="412" ht="22.5" customHeight="1">
      <c r="A412" s="30"/>
      <c r="B412" s="31"/>
      <c r="C412" s="32"/>
      <c r="D412" s="33"/>
      <c r="E412" s="34"/>
      <c r="F412" s="34"/>
      <c r="G412" s="35"/>
      <c r="H412" s="34"/>
      <c r="I412" s="37"/>
    </row>
    <row r="413" ht="22.5" customHeight="1">
      <c r="A413" s="30"/>
      <c r="B413" s="31"/>
      <c r="C413" s="32"/>
      <c r="D413" s="33"/>
      <c r="E413" s="34"/>
      <c r="F413" s="34"/>
      <c r="G413" s="35"/>
      <c r="H413" s="34"/>
      <c r="I413" s="37"/>
    </row>
    <row r="414" ht="22.5" customHeight="1">
      <c r="A414" s="30"/>
      <c r="B414" s="31"/>
      <c r="C414" s="32"/>
      <c r="D414" s="33"/>
      <c r="E414" s="34"/>
      <c r="F414" s="34"/>
      <c r="G414" s="35"/>
      <c r="H414" s="34"/>
      <c r="I414" s="37"/>
    </row>
    <row r="415" ht="22.5" customHeight="1">
      <c r="A415" s="30"/>
      <c r="B415" s="31"/>
      <c r="C415" s="32"/>
      <c r="D415" s="33"/>
      <c r="E415" s="34"/>
      <c r="F415" s="34"/>
      <c r="G415" s="35"/>
      <c r="H415" s="34"/>
      <c r="I415" s="37"/>
    </row>
    <row r="416" ht="22.5" customHeight="1">
      <c r="A416" s="30"/>
      <c r="B416" s="31"/>
      <c r="C416" s="32"/>
      <c r="D416" s="33"/>
      <c r="E416" s="34"/>
      <c r="F416" s="34"/>
      <c r="G416" s="35"/>
      <c r="H416" s="34"/>
      <c r="I416" s="37"/>
    </row>
    <row r="417" ht="22.5" customHeight="1">
      <c r="A417" s="30"/>
      <c r="B417" s="31"/>
      <c r="C417" s="32"/>
      <c r="D417" s="33"/>
      <c r="E417" s="34"/>
      <c r="F417" s="34"/>
      <c r="G417" s="35"/>
      <c r="H417" s="34"/>
      <c r="I417" s="37"/>
    </row>
    <row r="418" ht="22.5" customHeight="1">
      <c r="A418" s="30"/>
      <c r="B418" s="31"/>
      <c r="C418" s="32"/>
      <c r="D418" s="33"/>
      <c r="E418" s="34"/>
      <c r="F418" s="34"/>
      <c r="G418" s="35"/>
      <c r="H418" s="34"/>
      <c r="I418" s="37"/>
    </row>
    <row r="419" ht="22.5" customHeight="1">
      <c r="A419" s="30"/>
      <c r="B419" s="31"/>
      <c r="C419" s="32"/>
      <c r="D419" s="33"/>
      <c r="E419" s="34"/>
      <c r="F419" s="34"/>
      <c r="G419" s="35"/>
      <c r="H419" s="34"/>
      <c r="I419" s="37"/>
    </row>
    <row r="420" ht="22.5" customHeight="1">
      <c r="A420" s="30"/>
      <c r="B420" s="31"/>
      <c r="C420" s="32"/>
      <c r="D420" s="33"/>
      <c r="E420" s="34"/>
      <c r="F420" s="34"/>
      <c r="G420" s="35"/>
      <c r="H420" s="34"/>
      <c r="I420" s="37"/>
    </row>
    <row r="421" ht="22.5" customHeight="1">
      <c r="A421" s="30"/>
      <c r="B421" s="31"/>
      <c r="C421" s="32"/>
      <c r="D421" s="33"/>
      <c r="E421" s="34"/>
      <c r="F421" s="34"/>
      <c r="G421" s="35"/>
      <c r="H421" s="34"/>
      <c r="I421" s="37"/>
    </row>
    <row r="422" ht="22.5" customHeight="1">
      <c r="A422" s="30"/>
      <c r="B422" s="31"/>
      <c r="C422" s="32"/>
      <c r="D422" s="33"/>
      <c r="E422" s="34"/>
      <c r="F422" s="34"/>
      <c r="G422" s="35"/>
      <c r="H422" s="34"/>
      <c r="I422" s="37"/>
    </row>
    <row r="423" ht="22.5" customHeight="1">
      <c r="A423" s="30"/>
      <c r="B423" s="31"/>
      <c r="C423" s="32"/>
      <c r="D423" s="33"/>
      <c r="E423" s="34"/>
      <c r="F423" s="34"/>
      <c r="G423" s="35"/>
      <c r="H423" s="34"/>
      <c r="I423" s="37"/>
    </row>
    <row r="424" ht="22.5" customHeight="1">
      <c r="A424" s="30"/>
      <c r="B424" s="31"/>
      <c r="C424" s="32"/>
      <c r="D424" s="33"/>
      <c r="E424" s="34"/>
      <c r="F424" s="34"/>
      <c r="G424" s="35"/>
      <c r="H424" s="34"/>
      <c r="I424" s="37"/>
    </row>
    <row r="425" ht="22.5" customHeight="1">
      <c r="A425" s="30"/>
      <c r="B425" s="40"/>
      <c r="C425" s="32"/>
      <c r="D425" s="33"/>
      <c r="E425" s="34"/>
      <c r="F425" s="34"/>
      <c r="G425" s="35"/>
      <c r="H425" s="34"/>
      <c r="I425" s="37"/>
    </row>
    <row r="426" ht="22.5" customHeight="1">
      <c r="A426" s="30"/>
      <c r="B426" s="31"/>
      <c r="C426" s="32"/>
      <c r="D426" s="33"/>
      <c r="E426" s="34"/>
      <c r="F426" s="34"/>
      <c r="G426" s="35"/>
      <c r="H426" s="34"/>
      <c r="I426" s="37"/>
    </row>
    <row r="427" ht="22.5" customHeight="1">
      <c r="A427" s="30"/>
      <c r="B427" s="40"/>
      <c r="C427" s="32"/>
      <c r="D427" s="33"/>
      <c r="E427" s="34"/>
      <c r="F427" s="34"/>
      <c r="G427" s="35"/>
      <c r="H427" s="34"/>
      <c r="I427" s="37"/>
    </row>
    <row r="428" ht="22.5" customHeight="1">
      <c r="A428" s="30"/>
      <c r="B428" s="31"/>
      <c r="C428" s="32"/>
      <c r="D428" s="33"/>
      <c r="E428" s="34"/>
      <c r="F428" s="34"/>
      <c r="G428" s="35"/>
      <c r="H428" s="34"/>
      <c r="I428" s="37"/>
    </row>
    <row r="429" ht="22.5" customHeight="1">
      <c r="A429" s="30"/>
      <c r="B429" s="31"/>
      <c r="C429" s="32"/>
      <c r="D429" s="33"/>
      <c r="E429" s="34"/>
      <c r="F429" s="34"/>
      <c r="G429" s="35"/>
      <c r="H429" s="34"/>
      <c r="I429" s="37"/>
    </row>
    <row r="430" ht="22.5" customHeight="1">
      <c r="A430" s="30"/>
      <c r="B430" s="31"/>
      <c r="C430" s="32"/>
      <c r="D430" s="33"/>
      <c r="E430" s="34"/>
      <c r="F430" s="34"/>
      <c r="G430" s="35"/>
      <c r="H430" s="34"/>
      <c r="I430" s="37"/>
    </row>
    <row r="431" ht="22.5" customHeight="1">
      <c r="A431" s="30"/>
      <c r="B431" s="31"/>
      <c r="C431" s="32"/>
      <c r="D431" s="33"/>
      <c r="E431" s="34"/>
      <c r="F431" s="34"/>
      <c r="G431" s="35"/>
      <c r="H431" s="34"/>
      <c r="I431" s="37"/>
    </row>
    <row r="432" ht="22.5" customHeight="1">
      <c r="A432" s="30"/>
      <c r="B432" s="40"/>
      <c r="C432" s="32"/>
      <c r="D432" s="33"/>
      <c r="E432" s="34"/>
      <c r="F432" s="34"/>
      <c r="G432" s="35"/>
      <c r="H432" s="34"/>
      <c r="I432" s="37"/>
    </row>
    <row r="433" ht="22.5" customHeight="1">
      <c r="A433" s="30"/>
      <c r="B433" s="31"/>
      <c r="C433" s="32"/>
      <c r="D433" s="33"/>
      <c r="E433" s="34"/>
      <c r="F433" s="34"/>
      <c r="G433" s="35"/>
      <c r="H433" s="34"/>
      <c r="I433" s="37"/>
    </row>
    <row r="434" ht="22.5" customHeight="1">
      <c r="A434" s="30"/>
      <c r="B434" s="31"/>
      <c r="C434" s="32"/>
      <c r="D434" s="33"/>
      <c r="E434" s="34"/>
      <c r="F434" s="34"/>
      <c r="G434" s="35"/>
      <c r="H434" s="34"/>
      <c r="I434" s="37"/>
    </row>
    <row r="435" ht="22.5" customHeight="1">
      <c r="A435" s="30"/>
      <c r="B435" s="31"/>
      <c r="C435" s="32"/>
      <c r="D435" s="33"/>
      <c r="E435" s="34"/>
      <c r="F435" s="34"/>
      <c r="G435" s="35"/>
      <c r="H435" s="34"/>
      <c r="I435" s="37"/>
    </row>
    <row r="436" ht="22.5" customHeight="1">
      <c r="A436" s="30"/>
      <c r="B436" s="31"/>
      <c r="C436" s="32"/>
      <c r="D436" s="33"/>
      <c r="E436" s="34"/>
      <c r="F436" s="34"/>
      <c r="G436" s="35"/>
      <c r="H436" s="34"/>
      <c r="I436" s="37"/>
    </row>
    <row r="437" ht="22.5" customHeight="1">
      <c r="A437" s="30"/>
      <c r="B437" s="31"/>
      <c r="C437" s="32"/>
      <c r="D437" s="33"/>
      <c r="E437" s="34"/>
      <c r="F437" s="34"/>
      <c r="G437" s="35"/>
      <c r="H437" s="34"/>
      <c r="I437" s="37"/>
    </row>
    <row r="438" ht="22.5" customHeight="1">
      <c r="A438" s="30"/>
      <c r="B438" s="31"/>
      <c r="C438" s="32"/>
      <c r="D438" s="33"/>
      <c r="E438" s="34"/>
      <c r="F438" s="34"/>
      <c r="G438" s="35"/>
      <c r="H438" s="34"/>
      <c r="I438" s="37"/>
    </row>
    <row r="439" ht="22.5" customHeight="1">
      <c r="A439" s="30"/>
      <c r="B439" s="31"/>
      <c r="C439" s="32"/>
      <c r="D439" s="33"/>
      <c r="E439" s="34"/>
      <c r="F439" s="34"/>
      <c r="G439" s="35"/>
      <c r="H439" s="34"/>
      <c r="I439" s="37"/>
    </row>
    <row r="440" ht="22.5" customHeight="1">
      <c r="A440" s="30"/>
      <c r="B440" s="31"/>
      <c r="C440" s="32"/>
      <c r="D440" s="33"/>
      <c r="E440" s="34"/>
      <c r="F440" s="34"/>
      <c r="G440" s="35"/>
      <c r="H440" s="34"/>
      <c r="I440" s="37"/>
    </row>
    <row r="441" ht="22.5" customHeight="1">
      <c r="A441" s="30"/>
      <c r="B441" s="31"/>
      <c r="C441" s="32"/>
      <c r="D441" s="33"/>
      <c r="E441" s="34"/>
      <c r="F441" s="34"/>
      <c r="G441" s="35"/>
      <c r="H441" s="34"/>
      <c r="I441" s="37"/>
    </row>
    <row r="442" ht="22.5" customHeight="1">
      <c r="A442" s="30"/>
      <c r="B442" s="31"/>
      <c r="C442" s="32"/>
      <c r="D442" s="33"/>
      <c r="E442" s="34"/>
      <c r="F442" s="34"/>
      <c r="G442" s="35"/>
      <c r="H442" s="34"/>
      <c r="I442" s="37"/>
    </row>
    <row r="443" ht="22.5" customHeight="1">
      <c r="A443" s="30"/>
      <c r="B443" s="31"/>
      <c r="C443" s="32"/>
      <c r="D443" s="33"/>
      <c r="E443" s="34"/>
      <c r="F443" s="34"/>
      <c r="G443" s="35"/>
      <c r="H443" s="34"/>
      <c r="I443" s="37"/>
    </row>
    <row r="444" ht="22.5" customHeight="1">
      <c r="A444" s="30"/>
      <c r="B444" s="31"/>
      <c r="C444" s="32"/>
      <c r="D444" s="33"/>
      <c r="E444" s="34"/>
      <c r="F444" s="34"/>
      <c r="G444" s="35"/>
      <c r="H444" s="34"/>
      <c r="I444" s="37"/>
    </row>
    <row r="445" ht="22.5" customHeight="1">
      <c r="A445" s="30"/>
      <c r="B445" s="31"/>
      <c r="C445" s="32"/>
      <c r="D445" s="33"/>
      <c r="E445" s="34"/>
      <c r="F445" s="34"/>
      <c r="G445" s="35"/>
      <c r="H445" s="34"/>
      <c r="I445" s="37"/>
    </row>
    <row r="446" ht="22.5" customHeight="1">
      <c r="A446" s="30"/>
      <c r="B446" s="31"/>
      <c r="C446" s="32"/>
      <c r="D446" s="33"/>
      <c r="E446" s="34"/>
      <c r="F446" s="34"/>
      <c r="G446" s="35"/>
      <c r="H446" s="34"/>
      <c r="I446" s="37"/>
    </row>
    <row r="447" ht="22.5" customHeight="1">
      <c r="A447" s="30"/>
      <c r="B447" s="31"/>
      <c r="C447" s="32"/>
      <c r="D447" s="33"/>
      <c r="E447" s="34"/>
      <c r="F447" s="34"/>
      <c r="G447" s="35"/>
      <c r="H447" s="34"/>
      <c r="I447" s="37"/>
    </row>
    <row r="448" ht="22.5" customHeight="1">
      <c r="A448" s="30"/>
      <c r="B448" s="31"/>
      <c r="C448" s="32"/>
      <c r="D448" s="33"/>
      <c r="E448" s="34"/>
      <c r="F448" s="34"/>
      <c r="G448" s="35"/>
      <c r="H448" s="34"/>
      <c r="I448" s="37"/>
    </row>
    <row r="449" ht="22.5" customHeight="1">
      <c r="A449" s="30"/>
      <c r="B449" s="31"/>
      <c r="C449" s="32"/>
      <c r="D449" s="33"/>
      <c r="E449" s="34"/>
      <c r="F449" s="34"/>
      <c r="G449" s="35"/>
      <c r="H449" s="34"/>
      <c r="I449" s="37"/>
    </row>
    <row r="450" ht="22.5" customHeight="1">
      <c r="A450" s="30"/>
      <c r="B450" s="31"/>
      <c r="C450" s="32"/>
      <c r="D450" s="33"/>
      <c r="E450" s="34"/>
      <c r="F450" s="34"/>
      <c r="G450" s="35"/>
      <c r="H450" s="34"/>
      <c r="I450" s="37"/>
    </row>
    <row r="451" ht="22.5" customHeight="1">
      <c r="A451" s="30"/>
      <c r="B451" s="31"/>
      <c r="C451" s="32"/>
      <c r="D451" s="33"/>
      <c r="E451" s="34"/>
      <c r="F451" s="34"/>
      <c r="G451" s="35"/>
      <c r="H451" s="34"/>
      <c r="I451" s="37"/>
    </row>
    <row r="452" ht="22.5" customHeight="1">
      <c r="A452" s="30"/>
      <c r="B452" s="31"/>
      <c r="C452" s="32"/>
      <c r="D452" s="33"/>
      <c r="E452" s="34"/>
      <c r="F452" s="34"/>
      <c r="G452" s="35"/>
      <c r="H452" s="34"/>
      <c r="I452" s="37"/>
    </row>
    <row r="453" ht="22.5" customHeight="1">
      <c r="A453" s="30"/>
      <c r="B453" s="31"/>
      <c r="C453" s="32"/>
      <c r="D453" s="33"/>
      <c r="E453" s="34"/>
      <c r="F453" s="34"/>
      <c r="G453" s="35"/>
      <c r="H453" s="34"/>
      <c r="I453" s="37"/>
    </row>
    <row r="454" ht="22.5" customHeight="1">
      <c r="A454" s="30"/>
      <c r="B454" s="40"/>
      <c r="C454" s="32"/>
      <c r="D454" s="33"/>
      <c r="E454" s="34"/>
      <c r="F454" s="34"/>
      <c r="G454" s="35"/>
      <c r="H454" s="34"/>
      <c r="I454" s="37"/>
    </row>
    <row r="455" ht="22.5" customHeight="1">
      <c r="A455" s="30"/>
      <c r="B455" s="31"/>
      <c r="C455" s="32"/>
      <c r="D455" s="33"/>
      <c r="E455" s="34"/>
      <c r="F455" s="34"/>
      <c r="G455" s="35"/>
      <c r="H455" s="34"/>
      <c r="I455" s="37"/>
    </row>
    <row r="456" ht="22.5" customHeight="1">
      <c r="A456" s="30"/>
      <c r="B456" s="31"/>
      <c r="C456" s="32"/>
      <c r="D456" s="33"/>
      <c r="E456" s="34"/>
      <c r="F456" s="34"/>
      <c r="G456" s="35"/>
      <c r="H456" s="34"/>
      <c r="I456" s="37"/>
    </row>
    <row r="457" ht="22.5" customHeight="1">
      <c r="A457" s="30"/>
      <c r="B457" s="31"/>
      <c r="C457" s="32"/>
      <c r="D457" s="33"/>
      <c r="E457" s="34"/>
      <c r="F457" s="34"/>
      <c r="G457" s="35"/>
      <c r="H457" s="34"/>
      <c r="I457" s="37"/>
    </row>
    <row r="458" ht="22.5" customHeight="1">
      <c r="A458" s="30"/>
      <c r="B458" s="31"/>
      <c r="C458" s="32"/>
      <c r="D458" s="33"/>
      <c r="E458" s="34"/>
      <c r="F458" s="34"/>
      <c r="G458" s="35"/>
      <c r="H458" s="34"/>
      <c r="I458" s="38"/>
    </row>
    <row r="459" ht="22.5" customHeight="1">
      <c r="A459" s="30"/>
      <c r="B459" s="39"/>
      <c r="C459" s="32"/>
      <c r="D459" s="33"/>
      <c r="E459" s="34"/>
      <c r="F459" s="34"/>
      <c r="G459" s="35"/>
      <c r="H459" s="34"/>
      <c r="I459" s="37"/>
    </row>
    <row r="460" ht="22.5" customHeight="1">
      <c r="A460" s="30"/>
      <c r="B460" s="31"/>
      <c r="C460" s="32"/>
      <c r="D460" s="33"/>
      <c r="E460" s="34"/>
      <c r="F460" s="34"/>
      <c r="G460" s="35"/>
      <c r="H460" s="34"/>
      <c r="I460" s="37"/>
    </row>
    <row r="461" ht="22.5" customHeight="1">
      <c r="A461" s="30"/>
      <c r="B461" s="31"/>
      <c r="C461" s="32"/>
      <c r="D461" s="33"/>
      <c r="E461" s="34"/>
      <c r="F461" s="34"/>
      <c r="G461" s="35"/>
      <c r="H461" s="34"/>
      <c r="I461" s="37"/>
    </row>
    <row r="462" ht="22.5" customHeight="1">
      <c r="A462" s="30"/>
      <c r="B462" s="31"/>
      <c r="C462" s="32"/>
      <c r="D462" s="33"/>
      <c r="E462" s="34"/>
      <c r="F462" s="34"/>
      <c r="G462" s="35"/>
      <c r="H462" s="34"/>
      <c r="I462" s="37"/>
    </row>
    <row r="463" ht="22.5" customHeight="1">
      <c r="A463" s="30"/>
      <c r="B463" s="39"/>
      <c r="C463" s="32"/>
      <c r="D463" s="33"/>
      <c r="E463" s="34"/>
      <c r="F463" s="34"/>
      <c r="G463" s="35"/>
      <c r="H463" s="34"/>
      <c r="I463" s="37"/>
    </row>
    <row r="464" ht="22.5" customHeight="1">
      <c r="A464" s="30"/>
      <c r="B464" s="31"/>
      <c r="C464" s="32"/>
      <c r="D464" s="33"/>
      <c r="E464" s="34"/>
      <c r="F464" s="34"/>
      <c r="G464" s="35"/>
      <c r="H464" s="34"/>
      <c r="I464" s="37"/>
    </row>
    <row r="465" ht="22.5" customHeight="1">
      <c r="A465" s="30"/>
      <c r="B465" s="39"/>
      <c r="C465" s="32"/>
      <c r="D465" s="33"/>
      <c r="E465" s="34"/>
      <c r="F465" s="34"/>
      <c r="G465" s="35"/>
      <c r="H465" s="34"/>
      <c r="I465" s="37"/>
    </row>
    <row r="466" ht="22.5" customHeight="1">
      <c r="A466" s="30"/>
      <c r="B466" s="31"/>
      <c r="C466" s="32"/>
      <c r="D466" s="33"/>
      <c r="E466" s="34"/>
      <c r="F466" s="34"/>
      <c r="G466" s="35"/>
      <c r="H466" s="34"/>
      <c r="I466" s="37"/>
    </row>
    <row r="467" ht="22.5" customHeight="1">
      <c r="A467" s="30"/>
      <c r="B467" s="31"/>
      <c r="C467" s="32"/>
      <c r="D467" s="33"/>
      <c r="E467" s="34"/>
      <c r="F467" s="34"/>
      <c r="G467" s="35"/>
      <c r="H467" s="34"/>
      <c r="I467" s="37"/>
    </row>
    <row r="468" ht="22.5" customHeight="1">
      <c r="A468" s="30"/>
      <c r="B468" s="31"/>
      <c r="C468" s="32"/>
      <c r="D468" s="33"/>
      <c r="E468" s="34"/>
      <c r="F468" s="34"/>
      <c r="G468" s="35"/>
      <c r="H468" s="34"/>
      <c r="I468" s="37"/>
    </row>
    <row r="469" ht="22.5" customHeight="1">
      <c r="A469" s="30"/>
      <c r="B469" s="31"/>
      <c r="C469" s="32"/>
      <c r="D469" s="33"/>
      <c r="E469" s="34"/>
      <c r="F469" s="34"/>
      <c r="G469" s="35"/>
      <c r="H469" s="34"/>
      <c r="I469" s="37"/>
    </row>
    <row r="470" ht="22.5" customHeight="1">
      <c r="A470" s="30"/>
      <c r="B470" s="31"/>
      <c r="C470" s="32"/>
      <c r="D470" s="33"/>
      <c r="E470" s="34"/>
      <c r="F470" s="34"/>
      <c r="G470" s="35"/>
      <c r="H470" s="34"/>
      <c r="I470" s="37"/>
    </row>
    <row r="471" ht="22.5" customHeight="1">
      <c r="A471" s="30"/>
      <c r="B471" s="31"/>
      <c r="C471" s="32"/>
      <c r="D471" s="33"/>
      <c r="E471" s="34"/>
      <c r="F471" s="34"/>
      <c r="G471" s="35"/>
      <c r="H471" s="34"/>
      <c r="I471" s="37"/>
    </row>
    <row r="472" ht="22.5" customHeight="1">
      <c r="A472" s="30"/>
      <c r="B472" s="31"/>
      <c r="C472" s="32"/>
      <c r="D472" s="33"/>
      <c r="E472" s="34"/>
      <c r="F472" s="34"/>
      <c r="G472" s="35"/>
      <c r="H472" s="34"/>
      <c r="I472" s="37"/>
    </row>
    <row r="473" ht="22.5" customHeight="1">
      <c r="A473" s="30"/>
      <c r="B473" s="31"/>
      <c r="C473" s="32"/>
      <c r="D473" s="33"/>
      <c r="E473" s="34"/>
      <c r="F473" s="34"/>
      <c r="G473" s="35"/>
      <c r="H473" s="34"/>
      <c r="I473" s="37"/>
    </row>
    <row r="474" ht="22.5" customHeight="1">
      <c r="A474" s="30"/>
      <c r="B474" s="31"/>
      <c r="C474" s="32"/>
      <c r="D474" s="33"/>
      <c r="E474" s="34"/>
      <c r="F474" s="34"/>
      <c r="G474" s="35"/>
      <c r="H474" s="34"/>
      <c r="I474" s="37"/>
    </row>
    <row r="475" ht="22.5" customHeight="1">
      <c r="A475" s="30"/>
      <c r="B475" s="31"/>
      <c r="C475" s="32"/>
      <c r="D475" s="33"/>
      <c r="E475" s="34"/>
      <c r="F475" s="34"/>
      <c r="G475" s="35"/>
      <c r="H475" s="34"/>
      <c r="I475" s="37"/>
    </row>
    <row r="476" ht="22.5" customHeight="1">
      <c r="A476" s="30"/>
      <c r="B476" s="40"/>
      <c r="C476" s="32"/>
      <c r="D476" s="33"/>
      <c r="E476" s="34"/>
      <c r="F476" s="34"/>
      <c r="G476" s="35"/>
      <c r="H476" s="34"/>
      <c r="I476" s="37"/>
    </row>
    <row r="477" ht="22.5" customHeight="1">
      <c r="A477" s="30"/>
      <c r="B477" s="31"/>
      <c r="C477" s="32"/>
      <c r="D477" s="33"/>
      <c r="E477" s="34"/>
      <c r="F477" s="34"/>
      <c r="G477" s="35"/>
      <c r="H477" s="34"/>
      <c r="I477" s="37"/>
    </row>
    <row r="478" ht="22.5" customHeight="1">
      <c r="A478" s="30"/>
      <c r="B478" s="31"/>
      <c r="C478" s="32"/>
      <c r="D478" s="33"/>
      <c r="E478" s="34"/>
      <c r="F478" s="34"/>
      <c r="G478" s="35"/>
      <c r="H478" s="34"/>
      <c r="I478" s="37"/>
    </row>
    <row r="479" ht="22.5" customHeight="1">
      <c r="A479" s="30"/>
      <c r="B479" s="31"/>
      <c r="C479" s="32"/>
      <c r="D479" s="33"/>
      <c r="E479" s="34"/>
      <c r="F479" s="34"/>
      <c r="G479" s="35"/>
      <c r="H479" s="34"/>
      <c r="I479" s="37"/>
    </row>
    <row r="480" ht="22.5" customHeight="1">
      <c r="A480" s="30"/>
      <c r="B480" s="31"/>
      <c r="C480" s="32"/>
      <c r="D480" s="33"/>
      <c r="E480" s="34"/>
      <c r="F480" s="34"/>
      <c r="G480" s="35"/>
      <c r="H480" s="34"/>
      <c r="I480" s="37"/>
    </row>
    <row r="481" ht="22.5" customHeight="1">
      <c r="A481" s="30"/>
      <c r="B481" s="31"/>
      <c r="C481" s="32"/>
      <c r="D481" s="33"/>
      <c r="E481" s="34"/>
      <c r="F481" s="34"/>
      <c r="G481" s="35"/>
      <c r="H481" s="34"/>
      <c r="I481" s="37"/>
    </row>
    <row r="482" ht="22.5" customHeight="1">
      <c r="A482" s="30"/>
      <c r="B482" s="31"/>
      <c r="C482" s="32"/>
      <c r="D482" s="33"/>
      <c r="E482" s="34"/>
      <c r="F482" s="34"/>
      <c r="G482" s="35"/>
      <c r="H482" s="34"/>
      <c r="I482" s="37"/>
    </row>
    <row r="483" ht="22.5" customHeight="1">
      <c r="A483" s="30"/>
      <c r="B483" s="39"/>
      <c r="C483" s="32"/>
      <c r="D483" s="33"/>
      <c r="E483" s="34"/>
      <c r="F483" s="34"/>
      <c r="G483" s="35"/>
      <c r="H483" s="34"/>
      <c r="I483" s="37"/>
    </row>
    <row r="484" ht="22.5" customHeight="1">
      <c r="A484" s="30"/>
      <c r="B484" s="39"/>
      <c r="C484" s="32"/>
      <c r="D484" s="33"/>
      <c r="E484" s="34"/>
      <c r="F484" s="34"/>
      <c r="G484" s="35"/>
      <c r="H484" s="34"/>
      <c r="I484" s="37"/>
    </row>
    <row r="485" ht="22.5" customHeight="1">
      <c r="A485" s="30"/>
      <c r="B485" s="39"/>
      <c r="C485" s="32"/>
      <c r="D485" s="33"/>
      <c r="E485" s="34"/>
      <c r="F485" s="34"/>
      <c r="G485" s="35"/>
      <c r="H485" s="34"/>
      <c r="I485" s="37"/>
    </row>
    <row r="486" ht="22.5" customHeight="1">
      <c r="A486" s="30"/>
      <c r="B486" s="40"/>
      <c r="C486" s="32"/>
      <c r="D486" s="33"/>
      <c r="E486" s="34"/>
      <c r="F486" s="34"/>
      <c r="G486" s="35"/>
      <c r="H486" s="34"/>
      <c r="I486" s="37"/>
    </row>
    <row r="487" ht="22.5" customHeight="1">
      <c r="A487" s="30"/>
      <c r="B487" s="31"/>
      <c r="C487" s="32"/>
      <c r="D487" s="33"/>
      <c r="E487" s="34"/>
      <c r="F487" s="34"/>
      <c r="G487" s="35"/>
      <c r="H487" s="34"/>
      <c r="I487" s="37"/>
    </row>
    <row r="488" ht="22.5" customHeight="1">
      <c r="A488" s="30"/>
      <c r="B488" s="31"/>
      <c r="C488" s="32"/>
      <c r="D488" s="33"/>
      <c r="E488" s="34"/>
      <c r="F488" s="34"/>
      <c r="G488" s="35"/>
      <c r="H488" s="34"/>
      <c r="I488" s="37"/>
    </row>
    <row r="489" ht="22.5" customHeight="1">
      <c r="A489" s="30"/>
      <c r="B489" s="31"/>
      <c r="C489" s="32"/>
      <c r="D489" s="33"/>
      <c r="E489" s="34"/>
      <c r="F489" s="34"/>
      <c r="G489" s="35"/>
      <c r="H489" s="34"/>
      <c r="I489" s="37"/>
    </row>
    <row r="490" ht="22.5" customHeight="1">
      <c r="A490" s="30"/>
      <c r="B490" s="31"/>
      <c r="C490" s="32"/>
      <c r="D490" s="33"/>
      <c r="E490" s="34"/>
      <c r="F490" s="34"/>
      <c r="G490" s="35"/>
      <c r="H490" s="34"/>
      <c r="I490" s="37"/>
    </row>
    <row r="491" ht="22.5" customHeight="1">
      <c r="A491" s="30"/>
      <c r="B491" s="31"/>
      <c r="C491" s="32"/>
      <c r="D491" s="33"/>
      <c r="E491" s="34"/>
      <c r="F491" s="34"/>
      <c r="G491" s="35"/>
      <c r="H491" s="34"/>
      <c r="I491" s="37"/>
    </row>
    <row r="492" ht="22.5" customHeight="1">
      <c r="A492" s="30"/>
      <c r="B492" s="31"/>
      <c r="C492" s="32"/>
      <c r="D492" s="33"/>
      <c r="E492" s="34"/>
      <c r="F492" s="34"/>
      <c r="G492" s="35"/>
      <c r="H492" s="34"/>
      <c r="I492" s="37"/>
    </row>
    <row r="493" ht="22.5" customHeight="1">
      <c r="A493" s="30"/>
      <c r="B493" s="31"/>
      <c r="C493" s="32"/>
      <c r="D493" s="33"/>
      <c r="E493" s="34"/>
      <c r="F493" s="34"/>
      <c r="G493" s="35"/>
      <c r="H493" s="34"/>
      <c r="I493" s="37"/>
    </row>
    <row r="494" ht="22.5" customHeight="1">
      <c r="A494" s="30"/>
      <c r="B494" s="31"/>
      <c r="C494" s="32"/>
      <c r="D494" s="33"/>
      <c r="E494" s="34"/>
      <c r="F494" s="34"/>
      <c r="G494" s="35"/>
      <c r="H494" s="34"/>
      <c r="I494" s="37"/>
    </row>
    <row r="495" ht="22.5" customHeight="1">
      <c r="A495" s="30"/>
      <c r="B495" s="31"/>
      <c r="C495" s="32"/>
      <c r="D495" s="33"/>
      <c r="E495" s="34"/>
      <c r="F495" s="34"/>
      <c r="G495" s="35"/>
      <c r="H495" s="34"/>
      <c r="I495" s="37"/>
    </row>
    <row r="496" ht="22.5" customHeight="1">
      <c r="A496" s="30"/>
      <c r="B496" s="40"/>
      <c r="C496" s="32"/>
      <c r="D496" s="33"/>
      <c r="E496" s="34"/>
      <c r="F496" s="34"/>
      <c r="G496" s="35"/>
      <c r="H496" s="34"/>
      <c r="I496" s="37"/>
    </row>
    <row r="497" ht="22.5" customHeight="1">
      <c r="A497" s="30"/>
      <c r="B497" s="31"/>
      <c r="C497" s="32"/>
      <c r="D497" s="33"/>
      <c r="E497" s="34"/>
      <c r="F497" s="34"/>
      <c r="G497" s="35"/>
      <c r="H497" s="34"/>
      <c r="I497" s="37"/>
    </row>
    <row r="498" ht="22.5" customHeight="1">
      <c r="A498" s="30"/>
      <c r="B498" s="31"/>
      <c r="C498" s="32"/>
      <c r="D498" s="33"/>
      <c r="E498" s="34"/>
      <c r="F498" s="34"/>
      <c r="G498" s="35"/>
      <c r="H498" s="34"/>
      <c r="I498" s="37"/>
    </row>
    <row r="499" ht="22.5" customHeight="1">
      <c r="A499" s="30"/>
      <c r="B499" s="31"/>
      <c r="C499" s="32"/>
      <c r="D499" s="33"/>
      <c r="E499" s="34"/>
      <c r="F499" s="34"/>
      <c r="G499" s="35"/>
      <c r="H499" s="34"/>
      <c r="I499" s="37"/>
    </row>
    <row r="500" ht="22.5" customHeight="1">
      <c r="A500" s="30"/>
      <c r="B500" s="40"/>
      <c r="C500" s="32"/>
      <c r="D500" s="33"/>
      <c r="E500" s="34"/>
      <c r="F500" s="34"/>
      <c r="G500" s="35"/>
      <c r="H500" s="34"/>
      <c r="I500" s="37"/>
    </row>
    <row r="501" ht="22.5" customHeight="1">
      <c r="A501" s="30"/>
      <c r="B501" s="31"/>
      <c r="C501" s="32"/>
      <c r="D501" s="33"/>
      <c r="E501" s="34"/>
      <c r="F501" s="34"/>
      <c r="G501" s="35"/>
      <c r="H501" s="34"/>
      <c r="I501" s="37"/>
    </row>
    <row r="502" ht="22.5" customHeight="1">
      <c r="A502" s="30"/>
      <c r="B502" s="31"/>
      <c r="C502" s="32"/>
      <c r="D502" s="33"/>
      <c r="E502" s="34"/>
      <c r="F502" s="34"/>
      <c r="G502" s="35"/>
      <c r="H502" s="34"/>
      <c r="I502" s="37"/>
    </row>
    <row r="503" ht="22.5" customHeight="1">
      <c r="A503" s="30"/>
      <c r="B503" s="31"/>
      <c r="C503" s="32"/>
      <c r="D503" s="33"/>
      <c r="E503" s="34"/>
      <c r="F503" s="34"/>
      <c r="G503" s="35"/>
      <c r="H503" s="34"/>
      <c r="I503" s="37"/>
    </row>
    <row r="504" ht="22.5" customHeight="1">
      <c r="A504" s="30"/>
      <c r="B504" s="31"/>
      <c r="C504" s="32"/>
      <c r="D504" s="33"/>
      <c r="E504" s="34"/>
      <c r="F504" s="34"/>
      <c r="G504" s="35"/>
      <c r="H504" s="34"/>
      <c r="I504" s="37"/>
    </row>
    <row r="505" ht="22.5" customHeight="1">
      <c r="A505" s="30"/>
      <c r="B505" s="31"/>
      <c r="C505" s="32"/>
      <c r="D505" s="33"/>
      <c r="E505" s="34"/>
      <c r="F505" s="34"/>
      <c r="G505" s="35"/>
      <c r="H505" s="34"/>
      <c r="I505" s="37"/>
    </row>
    <row r="506" ht="22.5" customHeight="1">
      <c r="A506" s="30"/>
      <c r="B506" s="31"/>
      <c r="C506" s="32"/>
      <c r="D506" s="33"/>
      <c r="E506" s="34"/>
      <c r="F506" s="34"/>
      <c r="G506" s="35"/>
      <c r="H506" s="34"/>
      <c r="I506" s="37"/>
    </row>
    <row r="507" ht="22.5" customHeight="1">
      <c r="A507" s="30"/>
      <c r="B507" s="31"/>
      <c r="C507" s="32"/>
      <c r="D507" s="33"/>
      <c r="E507" s="34"/>
      <c r="F507" s="34"/>
      <c r="G507" s="35"/>
      <c r="H507" s="34"/>
      <c r="I507" s="37"/>
    </row>
    <row r="508" ht="22.5" customHeight="1">
      <c r="A508" s="30"/>
      <c r="B508" s="31"/>
      <c r="C508" s="32"/>
      <c r="D508" s="33"/>
      <c r="E508" s="34"/>
      <c r="F508" s="34"/>
      <c r="G508" s="35"/>
      <c r="H508" s="34"/>
      <c r="I508" s="37"/>
    </row>
    <row r="509" ht="22.5" customHeight="1">
      <c r="A509" s="30"/>
      <c r="B509" s="31"/>
      <c r="C509" s="32"/>
      <c r="D509" s="33"/>
      <c r="E509" s="34"/>
      <c r="F509" s="34"/>
      <c r="G509" s="35"/>
      <c r="H509" s="34"/>
      <c r="I509" s="37"/>
    </row>
    <row r="510" ht="22.5" customHeight="1">
      <c r="A510" s="30"/>
      <c r="B510" s="31"/>
      <c r="C510" s="32"/>
      <c r="D510" s="33"/>
      <c r="E510" s="34"/>
      <c r="F510" s="34"/>
      <c r="G510" s="35"/>
      <c r="H510" s="34"/>
      <c r="I510" s="37"/>
    </row>
    <row r="511" ht="22.5" customHeight="1">
      <c r="A511" s="30"/>
      <c r="B511" s="31"/>
      <c r="C511" s="32"/>
      <c r="D511" s="33"/>
      <c r="E511" s="34"/>
      <c r="F511" s="34"/>
      <c r="G511" s="35"/>
      <c r="H511" s="34"/>
      <c r="I511" s="37"/>
    </row>
    <row r="512" ht="22.5" customHeight="1">
      <c r="A512" s="30"/>
      <c r="B512" s="31"/>
      <c r="C512" s="32"/>
      <c r="D512" s="33"/>
      <c r="E512" s="34"/>
      <c r="F512" s="34"/>
      <c r="G512" s="35"/>
      <c r="H512" s="34"/>
      <c r="I512" s="37"/>
    </row>
    <row r="513" ht="22.5" customHeight="1">
      <c r="A513" s="30"/>
      <c r="B513" s="31"/>
      <c r="C513" s="32"/>
      <c r="D513" s="33"/>
      <c r="E513" s="34"/>
      <c r="F513" s="34"/>
      <c r="G513" s="35"/>
      <c r="H513" s="34"/>
      <c r="I513" s="37"/>
    </row>
    <row r="514" ht="22.5" customHeight="1">
      <c r="A514" s="30"/>
      <c r="B514" s="31"/>
      <c r="C514" s="32"/>
      <c r="D514" s="33"/>
      <c r="E514" s="34"/>
      <c r="F514" s="34"/>
      <c r="G514" s="35"/>
      <c r="H514" s="34"/>
      <c r="I514" s="37"/>
    </row>
    <row r="515" ht="22.5" customHeight="1">
      <c r="A515" s="30"/>
      <c r="B515" s="40"/>
      <c r="C515" s="32"/>
      <c r="D515" s="33"/>
      <c r="E515" s="34"/>
      <c r="F515" s="34"/>
      <c r="G515" s="35"/>
      <c r="H515" s="34"/>
      <c r="I515" s="37"/>
    </row>
    <row r="516" ht="22.5" customHeight="1">
      <c r="A516" s="30"/>
      <c r="B516" s="31"/>
      <c r="C516" s="32"/>
      <c r="D516" s="33"/>
      <c r="E516" s="34"/>
      <c r="F516" s="34"/>
      <c r="G516" s="35"/>
      <c r="H516" s="34"/>
      <c r="I516" s="37"/>
    </row>
    <row r="517" ht="22.5" customHeight="1">
      <c r="A517" s="30"/>
      <c r="B517" s="40"/>
      <c r="C517" s="32"/>
      <c r="D517" s="33"/>
      <c r="E517" s="34"/>
      <c r="F517" s="34"/>
      <c r="G517" s="35"/>
      <c r="H517" s="34"/>
      <c r="I517" s="37"/>
    </row>
    <row r="518" ht="22.5" customHeight="1">
      <c r="A518" s="30"/>
      <c r="B518" s="31"/>
      <c r="C518" s="32"/>
      <c r="D518" s="33"/>
      <c r="E518" s="34"/>
      <c r="F518" s="34"/>
      <c r="G518" s="35"/>
      <c r="H518" s="34"/>
      <c r="I518" s="37"/>
    </row>
    <row r="519" ht="22.5" customHeight="1">
      <c r="A519" s="30"/>
      <c r="B519" s="31"/>
      <c r="C519" s="32"/>
      <c r="D519" s="33"/>
      <c r="E519" s="34"/>
      <c r="F519" s="34"/>
      <c r="G519" s="35"/>
      <c r="H519" s="34"/>
      <c r="I519" s="37"/>
    </row>
    <row r="520" ht="22.5" customHeight="1">
      <c r="A520" s="30"/>
      <c r="B520" s="31"/>
      <c r="C520" s="32"/>
      <c r="D520" s="33"/>
      <c r="E520" s="34"/>
      <c r="F520" s="34"/>
      <c r="G520" s="35"/>
      <c r="H520" s="34"/>
      <c r="I520" s="37"/>
    </row>
    <row r="521" ht="22.5" customHeight="1">
      <c r="A521" s="30"/>
      <c r="B521" s="31"/>
      <c r="C521" s="32"/>
      <c r="D521" s="33"/>
      <c r="E521" s="34"/>
      <c r="F521" s="34"/>
      <c r="G521" s="35"/>
      <c r="H521" s="34"/>
      <c r="I521" s="37"/>
    </row>
    <row r="522" ht="22.5" customHeight="1">
      <c r="A522" s="30"/>
      <c r="B522" s="40"/>
      <c r="C522" s="32"/>
      <c r="D522" s="33"/>
      <c r="E522" s="34"/>
      <c r="F522" s="34"/>
      <c r="G522" s="35"/>
      <c r="H522" s="34"/>
      <c r="I522" s="37"/>
    </row>
    <row r="523" ht="22.5" customHeight="1">
      <c r="A523" s="30"/>
      <c r="B523" s="31"/>
      <c r="C523" s="32"/>
      <c r="D523" s="33"/>
      <c r="E523" s="34"/>
      <c r="F523" s="34"/>
      <c r="G523" s="35"/>
      <c r="H523" s="34"/>
      <c r="I523" s="37"/>
    </row>
    <row r="524" ht="22.5" customHeight="1">
      <c r="A524" s="30"/>
      <c r="B524" s="31"/>
      <c r="C524" s="32"/>
      <c r="D524" s="33"/>
      <c r="E524" s="34"/>
      <c r="F524" s="34"/>
      <c r="G524" s="35"/>
      <c r="H524" s="34"/>
      <c r="I524" s="37"/>
    </row>
    <row r="525" ht="22.5" customHeight="1">
      <c r="A525" s="30"/>
      <c r="B525" s="31"/>
      <c r="C525" s="32"/>
      <c r="D525" s="33"/>
      <c r="E525" s="34"/>
      <c r="F525" s="34"/>
      <c r="G525" s="35"/>
      <c r="H525" s="34"/>
      <c r="I525" s="37"/>
    </row>
    <row r="526" ht="22.5" customHeight="1">
      <c r="A526" s="30"/>
      <c r="B526" s="31"/>
      <c r="C526" s="32"/>
      <c r="D526" s="33"/>
      <c r="E526" s="34"/>
      <c r="F526" s="34"/>
      <c r="G526" s="35"/>
      <c r="H526" s="34"/>
      <c r="I526" s="37"/>
    </row>
    <row r="527" ht="22.5" customHeight="1">
      <c r="A527" s="30"/>
      <c r="B527" s="31"/>
      <c r="C527" s="32"/>
      <c r="D527" s="33"/>
      <c r="E527" s="34"/>
      <c r="F527" s="34"/>
      <c r="G527" s="35"/>
      <c r="H527" s="34"/>
      <c r="I527" s="37"/>
    </row>
    <row r="528" ht="22.5" customHeight="1">
      <c r="A528" s="30"/>
      <c r="B528" s="31"/>
      <c r="C528" s="32"/>
      <c r="D528" s="33"/>
      <c r="E528" s="34"/>
      <c r="F528" s="34"/>
      <c r="G528" s="35"/>
      <c r="H528" s="34"/>
      <c r="I528" s="37"/>
    </row>
    <row r="529" ht="22.5" customHeight="1">
      <c r="A529" s="30"/>
      <c r="B529" s="31"/>
      <c r="C529" s="32"/>
      <c r="D529" s="33"/>
      <c r="E529" s="34"/>
      <c r="F529" s="34"/>
      <c r="G529" s="35"/>
      <c r="H529" s="34"/>
      <c r="I529" s="37"/>
    </row>
    <row r="530" ht="22.5" customHeight="1">
      <c r="A530" s="30"/>
      <c r="B530" s="31"/>
      <c r="C530" s="32"/>
      <c r="D530" s="33"/>
      <c r="E530" s="34"/>
      <c r="F530" s="34"/>
      <c r="G530" s="35"/>
      <c r="H530" s="34"/>
      <c r="I530" s="37"/>
    </row>
    <row r="531" ht="22.5" customHeight="1">
      <c r="A531" s="30"/>
      <c r="B531" s="31"/>
      <c r="C531" s="32"/>
      <c r="D531" s="33"/>
      <c r="E531" s="34"/>
      <c r="F531" s="34"/>
      <c r="G531" s="35"/>
      <c r="H531" s="34"/>
      <c r="I531" s="37"/>
    </row>
    <row r="532" ht="22.5" customHeight="1">
      <c r="A532" s="30"/>
      <c r="B532" s="31"/>
      <c r="C532" s="32"/>
      <c r="D532" s="33"/>
      <c r="E532" s="34"/>
      <c r="F532" s="34"/>
      <c r="G532" s="35"/>
      <c r="H532" s="34"/>
      <c r="I532" s="37"/>
    </row>
    <row r="533" ht="22.5" customHeight="1">
      <c r="A533" s="30"/>
      <c r="B533" s="31"/>
      <c r="C533" s="32"/>
      <c r="D533" s="33"/>
      <c r="E533" s="34"/>
      <c r="F533" s="34"/>
      <c r="G533" s="35"/>
      <c r="H533" s="34"/>
      <c r="I533" s="37"/>
    </row>
    <row r="534" ht="22.5" customHeight="1">
      <c r="A534" s="30"/>
      <c r="B534" s="31"/>
      <c r="C534" s="32"/>
      <c r="D534" s="33"/>
      <c r="E534" s="34"/>
      <c r="F534" s="34"/>
      <c r="G534" s="35"/>
      <c r="H534" s="34"/>
      <c r="I534" s="37"/>
    </row>
    <row r="535" ht="22.5" customHeight="1">
      <c r="A535" s="30"/>
      <c r="B535" s="31"/>
      <c r="C535" s="32"/>
      <c r="D535" s="33"/>
      <c r="E535" s="34"/>
      <c r="F535" s="34"/>
      <c r="G535" s="35"/>
      <c r="H535" s="34"/>
      <c r="I535" s="37"/>
    </row>
    <row r="536" ht="22.5" customHeight="1">
      <c r="A536" s="30"/>
      <c r="B536" s="31"/>
      <c r="C536" s="32"/>
      <c r="D536" s="33"/>
      <c r="E536" s="34"/>
      <c r="F536" s="34"/>
      <c r="G536" s="35"/>
      <c r="H536" s="34"/>
      <c r="I536" s="37"/>
    </row>
    <row r="537" ht="22.5" customHeight="1">
      <c r="A537" s="30"/>
      <c r="B537" s="31"/>
      <c r="C537" s="32"/>
      <c r="D537" s="33"/>
      <c r="E537" s="34"/>
      <c r="F537" s="34"/>
      <c r="G537" s="35"/>
      <c r="H537" s="34"/>
      <c r="I537" s="37"/>
    </row>
    <row r="538" ht="22.5" customHeight="1">
      <c r="A538" s="30"/>
      <c r="B538" s="31"/>
      <c r="C538" s="32"/>
      <c r="D538" s="33"/>
      <c r="E538" s="34"/>
      <c r="F538" s="34"/>
      <c r="G538" s="35"/>
      <c r="H538" s="34"/>
      <c r="I538" s="37"/>
    </row>
    <row r="539" ht="22.5" customHeight="1">
      <c r="A539" s="30"/>
      <c r="B539" s="31"/>
      <c r="C539" s="32"/>
      <c r="D539" s="33"/>
      <c r="E539" s="34"/>
      <c r="F539" s="34"/>
      <c r="G539" s="35"/>
      <c r="H539" s="34"/>
      <c r="I539" s="37"/>
    </row>
    <row r="540" ht="22.5" customHeight="1">
      <c r="A540" s="30"/>
      <c r="B540" s="31"/>
      <c r="C540" s="32"/>
      <c r="D540" s="33"/>
      <c r="E540" s="34"/>
      <c r="F540" s="34"/>
      <c r="G540" s="35"/>
      <c r="H540" s="34"/>
      <c r="I540" s="37"/>
    </row>
    <row r="541" ht="22.5" customHeight="1">
      <c r="A541" s="30"/>
      <c r="B541" s="31"/>
      <c r="C541" s="32"/>
      <c r="D541" s="33"/>
      <c r="E541" s="34"/>
      <c r="F541" s="34"/>
      <c r="G541" s="35"/>
      <c r="H541" s="34"/>
      <c r="I541" s="37"/>
    </row>
    <row r="542" ht="22.5" customHeight="1">
      <c r="A542" s="30"/>
      <c r="B542" s="31"/>
      <c r="C542" s="32"/>
      <c r="D542" s="33"/>
      <c r="E542" s="34"/>
      <c r="F542" s="34"/>
      <c r="G542" s="35"/>
      <c r="H542" s="34"/>
      <c r="I542" s="37"/>
    </row>
    <row r="543" ht="22.5" customHeight="1">
      <c r="A543" s="30"/>
      <c r="B543" s="31"/>
      <c r="C543" s="32"/>
      <c r="D543" s="33"/>
      <c r="E543" s="34"/>
      <c r="F543" s="34"/>
      <c r="G543" s="35"/>
      <c r="H543" s="34"/>
      <c r="I543" s="37"/>
    </row>
    <row r="544" ht="22.5" customHeight="1">
      <c r="A544" s="30"/>
      <c r="B544" s="40"/>
      <c r="C544" s="32"/>
      <c r="D544" s="33"/>
      <c r="E544" s="34"/>
      <c r="F544" s="34"/>
      <c r="G544" s="35"/>
      <c r="H544" s="34"/>
      <c r="I544" s="37"/>
    </row>
    <row r="545" ht="22.5" customHeight="1">
      <c r="A545" s="30"/>
      <c r="B545" s="31"/>
      <c r="C545" s="32"/>
      <c r="D545" s="33"/>
      <c r="E545" s="34"/>
      <c r="F545" s="34"/>
      <c r="G545" s="35"/>
      <c r="H545" s="34"/>
      <c r="I545" s="37"/>
    </row>
    <row r="546" ht="22.5" customHeight="1">
      <c r="A546" s="30"/>
      <c r="B546" s="31"/>
      <c r="C546" s="32"/>
      <c r="D546" s="33"/>
      <c r="E546" s="34"/>
      <c r="F546" s="34"/>
      <c r="G546" s="35"/>
      <c r="H546" s="34"/>
      <c r="I546" s="37"/>
    </row>
    <row r="547" ht="22.5" customHeight="1">
      <c r="A547" s="30"/>
      <c r="B547" s="31"/>
      <c r="C547" s="32"/>
      <c r="D547" s="33"/>
      <c r="E547" s="34"/>
      <c r="F547" s="34"/>
      <c r="G547" s="35"/>
      <c r="H547" s="34"/>
      <c r="I547" s="37"/>
    </row>
    <row r="548" ht="22.5" customHeight="1">
      <c r="A548" s="30"/>
      <c r="B548" s="31"/>
      <c r="C548" s="32"/>
      <c r="D548" s="33"/>
      <c r="E548" s="34"/>
      <c r="F548" s="34"/>
      <c r="G548" s="35"/>
      <c r="H548" s="34"/>
      <c r="I548" s="38"/>
    </row>
    <row r="549" ht="22.5" customHeight="1">
      <c r="A549" s="30"/>
      <c r="B549" s="39"/>
      <c r="C549" s="32"/>
      <c r="D549" s="33"/>
      <c r="E549" s="34"/>
      <c r="F549" s="34"/>
      <c r="G549" s="35"/>
      <c r="H549" s="34"/>
      <c r="I549" s="37"/>
    </row>
    <row r="550" ht="22.5" customHeight="1">
      <c r="A550" s="30"/>
      <c r="B550" s="31"/>
      <c r="C550" s="32"/>
      <c r="D550" s="33"/>
      <c r="E550" s="34"/>
      <c r="F550" s="34"/>
      <c r="G550" s="35"/>
      <c r="H550" s="34"/>
      <c r="I550" s="37"/>
    </row>
    <row r="551" ht="22.5" customHeight="1">
      <c r="A551" s="30"/>
      <c r="B551" s="31"/>
      <c r="C551" s="32"/>
      <c r="D551" s="33"/>
      <c r="E551" s="34"/>
      <c r="F551" s="34"/>
      <c r="G551" s="35"/>
      <c r="H551" s="34"/>
      <c r="I551" s="37"/>
    </row>
    <row r="552" ht="22.5" customHeight="1">
      <c r="A552" s="30"/>
      <c r="B552" s="31"/>
      <c r="C552" s="32"/>
      <c r="D552" s="33"/>
      <c r="E552" s="34"/>
      <c r="F552" s="34"/>
      <c r="G552" s="35"/>
      <c r="H552" s="34"/>
      <c r="I552" s="37"/>
    </row>
    <row r="553" ht="22.5" customHeight="1">
      <c r="A553" s="30"/>
      <c r="B553" s="39"/>
      <c r="C553" s="32"/>
      <c r="D553" s="33"/>
      <c r="E553" s="34"/>
      <c r="F553" s="34"/>
      <c r="G553" s="35"/>
      <c r="H553" s="34"/>
      <c r="I553" s="37"/>
    </row>
    <row r="554" ht="22.5" customHeight="1">
      <c r="A554" s="30"/>
      <c r="B554" s="31"/>
      <c r="C554" s="32"/>
      <c r="D554" s="33"/>
      <c r="E554" s="34"/>
      <c r="F554" s="34"/>
      <c r="G554" s="35"/>
      <c r="H554" s="34"/>
      <c r="I554" s="37"/>
    </row>
    <row r="555" ht="22.5" customHeight="1">
      <c r="A555" s="30"/>
      <c r="B555" s="39"/>
      <c r="C555" s="32"/>
      <c r="D555" s="33"/>
      <c r="E555" s="34"/>
      <c r="F555" s="34"/>
      <c r="G555" s="35"/>
      <c r="H555" s="34"/>
      <c r="I555" s="37"/>
    </row>
    <row r="556" ht="22.5" customHeight="1">
      <c r="A556" s="30"/>
      <c r="B556" s="31"/>
      <c r="C556" s="32"/>
      <c r="D556" s="33"/>
      <c r="E556" s="34"/>
      <c r="F556" s="34"/>
      <c r="G556" s="35"/>
      <c r="H556" s="34"/>
      <c r="I556" s="37"/>
    </row>
    <row r="557" ht="22.5" customHeight="1">
      <c r="A557" s="30"/>
      <c r="B557" s="31"/>
      <c r="C557" s="32"/>
      <c r="D557" s="33"/>
      <c r="E557" s="34"/>
      <c r="F557" s="34"/>
      <c r="G557" s="35"/>
      <c r="H557" s="34"/>
      <c r="I557" s="37"/>
    </row>
    <row r="558" ht="22.5" customHeight="1">
      <c r="A558" s="30"/>
      <c r="B558" s="31"/>
      <c r="C558" s="32"/>
      <c r="D558" s="33"/>
      <c r="E558" s="34"/>
      <c r="F558" s="34"/>
      <c r="G558" s="35"/>
      <c r="H558" s="34"/>
      <c r="I558" s="37"/>
    </row>
    <row r="559" ht="22.5" customHeight="1">
      <c r="A559" s="30"/>
      <c r="B559" s="31"/>
      <c r="C559" s="32"/>
      <c r="D559" s="33"/>
      <c r="E559" s="34"/>
      <c r="F559" s="34"/>
      <c r="G559" s="35"/>
      <c r="H559" s="34"/>
      <c r="I559" s="37"/>
    </row>
    <row r="560" ht="22.5" customHeight="1">
      <c r="A560" s="30"/>
      <c r="B560" s="31"/>
      <c r="C560" s="32"/>
      <c r="D560" s="33"/>
      <c r="E560" s="34"/>
      <c r="F560" s="34"/>
      <c r="G560" s="35"/>
      <c r="H560" s="34"/>
      <c r="I560" s="37"/>
    </row>
    <row r="561" ht="22.5" customHeight="1">
      <c r="A561" s="30"/>
      <c r="B561" s="31"/>
      <c r="C561" s="32"/>
      <c r="D561" s="33"/>
      <c r="E561" s="34"/>
      <c r="F561" s="34"/>
      <c r="G561" s="35"/>
      <c r="H561" s="34"/>
      <c r="I561" s="37"/>
    </row>
    <row r="562" ht="22.5" customHeight="1">
      <c r="A562" s="30"/>
      <c r="B562" s="31"/>
      <c r="C562" s="32"/>
      <c r="D562" s="33"/>
      <c r="E562" s="34"/>
      <c r="F562" s="34"/>
      <c r="G562" s="35"/>
      <c r="H562" s="34"/>
      <c r="I562" s="37"/>
    </row>
    <row r="563" ht="22.5" customHeight="1">
      <c r="A563" s="30"/>
      <c r="B563" s="31"/>
      <c r="C563" s="32"/>
      <c r="D563" s="33"/>
      <c r="E563" s="34"/>
      <c r="F563" s="34"/>
      <c r="G563" s="35"/>
      <c r="H563" s="34"/>
      <c r="I563" s="37"/>
    </row>
    <row r="564" ht="22.5" customHeight="1">
      <c r="A564" s="30"/>
      <c r="B564" s="31"/>
      <c r="C564" s="32"/>
      <c r="D564" s="33"/>
      <c r="E564" s="34"/>
      <c r="F564" s="34"/>
      <c r="G564" s="35"/>
      <c r="H564" s="34"/>
      <c r="I564" s="37"/>
    </row>
    <row r="565" ht="22.5" customHeight="1">
      <c r="A565" s="30"/>
      <c r="B565" s="31"/>
      <c r="C565" s="32"/>
      <c r="D565" s="33"/>
      <c r="E565" s="34"/>
      <c r="F565" s="34"/>
      <c r="G565" s="35"/>
      <c r="H565" s="34"/>
      <c r="I565" s="37"/>
    </row>
    <row r="566" ht="22.5" customHeight="1">
      <c r="A566" s="30"/>
      <c r="B566" s="40"/>
      <c r="C566" s="32"/>
      <c r="D566" s="33"/>
      <c r="E566" s="34"/>
      <c r="F566" s="34"/>
      <c r="G566" s="35"/>
      <c r="H566" s="34"/>
      <c r="I566" s="37"/>
    </row>
    <row r="567" ht="22.5" customHeight="1">
      <c r="A567" s="30"/>
      <c r="B567" s="31"/>
      <c r="C567" s="32"/>
      <c r="D567" s="33"/>
      <c r="E567" s="34"/>
      <c r="F567" s="34"/>
      <c r="G567" s="35"/>
      <c r="H567" s="34"/>
      <c r="I567" s="37"/>
    </row>
    <row r="568" ht="22.5" customHeight="1">
      <c r="A568" s="30"/>
      <c r="B568" s="31"/>
      <c r="C568" s="32"/>
      <c r="D568" s="33"/>
      <c r="E568" s="34"/>
      <c r="F568" s="34"/>
      <c r="G568" s="35"/>
      <c r="H568" s="34"/>
      <c r="I568" s="37"/>
    </row>
    <row r="569" ht="22.5" customHeight="1">
      <c r="A569" s="30"/>
      <c r="B569" s="31"/>
      <c r="C569" s="32"/>
      <c r="D569" s="33"/>
      <c r="E569" s="34"/>
      <c r="F569" s="34"/>
      <c r="G569" s="35"/>
      <c r="H569" s="34"/>
      <c r="I569" s="37"/>
    </row>
    <row r="570" ht="22.5" customHeight="1">
      <c r="A570" s="30"/>
      <c r="B570" s="31"/>
      <c r="C570" s="32"/>
      <c r="D570" s="33"/>
      <c r="E570" s="34"/>
      <c r="F570" s="34"/>
      <c r="G570" s="35"/>
      <c r="H570" s="34"/>
      <c r="I570" s="37"/>
    </row>
    <row r="571" ht="22.5" customHeight="1">
      <c r="A571" s="30"/>
      <c r="B571" s="31"/>
      <c r="C571" s="32"/>
      <c r="D571" s="33"/>
      <c r="E571" s="34"/>
      <c r="F571" s="34"/>
      <c r="G571" s="35"/>
      <c r="H571" s="34"/>
      <c r="I571" s="37"/>
    </row>
    <row r="572" ht="22.5" customHeight="1">
      <c r="A572" s="30"/>
      <c r="B572" s="31"/>
      <c r="C572" s="32"/>
      <c r="D572" s="33"/>
      <c r="E572" s="34"/>
      <c r="F572" s="34"/>
      <c r="G572" s="35"/>
      <c r="H572" s="34"/>
      <c r="I572" s="37"/>
    </row>
    <row r="573" ht="22.5" customHeight="1">
      <c r="A573" s="30"/>
      <c r="B573" s="39"/>
      <c r="C573" s="32"/>
      <c r="D573" s="33"/>
      <c r="E573" s="34"/>
      <c r="F573" s="34"/>
      <c r="G573" s="35"/>
      <c r="H573" s="34"/>
      <c r="I573" s="37"/>
    </row>
    <row r="574" ht="22.5" customHeight="1">
      <c r="A574" s="30"/>
      <c r="B574" s="39"/>
      <c r="C574" s="32"/>
      <c r="D574" s="33"/>
      <c r="E574" s="34"/>
      <c r="F574" s="34"/>
      <c r="G574" s="35"/>
      <c r="H574" s="34"/>
      <c r="I574" s="37"/>
    </row>
    <row r="575" ht="22.5" customHeight="1">
      <c r="A575" s="30"/>
      <c r="B575" s="39"/>
      <c r="C575" s="32"/>
      <c r="D575" s="33"/>
      <c r="E575" s="34"/>
      <c r="F575" s="34"/>
      <c r="G575" s="35"/>
      <c r="H575" s="34"/>
      <c r="I575" s="37"/>
    </row>
    <row r="576" ht="22.5" customHeight="1">
      <c r="A576" s="30"/>
      <c r="B576" s="40"/>
      <c r="C576" s="32"/>
      <c r="D576" s="33"/>
      <c r="E576" s="34"/>
      <c r="F576" s="34"/>
      <c r="G576" s="35"/>
      <c r="H576" s="34"/>
      <c r="I576" s="37"/>
    </row>
    <row r="577" ht="22.5" customHeight="1">
      <c r="A577" s="30"/>
      <c r="B577" s="31"/>
      <c r="C577" s="32"/>
      <c r="D577" s="33"/>
      <c r="E577" s="34"/>
      <c r="F577" s="34"/>
      <c r="G577" s="35"/>
      <c r="H577" s="34"/>
      <c r="I577" s="37"/>
    </row>
    <row r="578" ht="22.5" customHeight="1">
      <c r="A578" s="30"/>
      <c r="B578" s="31"/>
      <c r="C578" s="32"/>
      <c r="D578" s="33"/>
      <c r="E578" s="34"/>
      <c r="F578" s="34"/>
      <c r="G578" s="35"/>
      <c r="H578" s="34"/>
      <c r="I578" s="37"/>
    </row>
    <row r="579" ht="22.5" customHeight="1">
      <c r="A579" s="30"/>
      <c r="B579" s="31"/>
      <c r="C579" s="32"/>
      <c r="D579" s="33"/>
      <c r="E579" s="34"/>
      <c r="F579" s="34"/>
      <c r="G579" s="35"/>
      <c r="H579" s="34"/>
      <c r="I579" s="37"/>
    </row>
    <row r="580" ht="22.5" customHeight="1">
      <c r="A580" s="30"/>
      <c r="B580" s="31"/>
      <c r="C580" s="32"/>
      <c r="D580" s="33"/>
      <c r="E580" s="34"/>
      <c r="F580" s="34"/>
      <c r="G580" s="35"/>
      <c r="H580" s="34"/>
      <c r="I580" s="37"/>
    </row>
    <row r="581" ht="22.5" customHeight="1">
      <c r="A581" s="30"/>
      <c r="B581" s="31"/>
      <c r="C581" s="32"/>
      <c r="D581" s="33"/>
      <c r="E581" s="34"/>
      <c r="F581" s="34"/>
      <c r="G581" s="35"/>
      <c r="H581" s="34"/>
      <c r="I581" s="37"/>
    </row>
    <row r="582" ht="22.5" customHeight="1">
      <c r="A582" s="30"/>
      <c r="B582" s="31"/>
      <c r="C582" s="32"/>
      <c r="D582" s="33"/>
      <c r="E582" s="34"/>
      <c r="F582" s="34"/>
      <c r="G582" s="35"/>
      <c r="H582" s="34"/>
      <c r="I582" s="37"/>
    </row>
    <row r="583" ht="22.5" customHeight="1">
      <c r="A583" s="30"/>
      <c r="B583" s="31"/>
      <c r="C583" s="32"/>
      <c r="D583" s="33"/>
      <c r="E583" s="34"/>
      <c r="F583" s="34"/>
      <c r="G583" s="35"/>
      <c r="H583" s="34"/>
      <c r="I583" s="37"/>
    </row>
    <row r="584" ht="22.5" customHeight="1">
      <c r="A584" s="30"/>
      <c r="B584" s="31"/>
      <c r="C584" s="32"/>
      <c r="D584" s="33"/>
      <c r="E584" s="34"/>
      <c r="F584" s="34"/>
      <c r="G584" s="35"/>
      <c r="H584" s="34"/>
      <c r="I584" s="37"/>
    </row>
    <row r="585" ht="22.5" customHeight="1">
      <c r="A585" s="30"/>
      <c r="B585" s="31"/>
      <c r="C585" s="32"/>
      <c r="D585" s="33"/>
      <c r="E585" s="34"/>
      <c r="F585" s="34"/>
      <c r="G585" s="35"/>
      <c r="H585" s="34"/>
      <c r="I585" s="37"/>
    </row>
    <row r="586" ht="22.5" customHeight="1">
      <c r="A586" s="30"/>
      <c r="B586" s="40"/>
      <c r="C586" s="32"/>
      <c r="D586" s="33"/>
      <c r="E586" s="34"/>
      <c r="F586" s="34"/>
      <c r="G586" s="35"/>
      <c r="H586" s="34"/>
      <c r="I586" s="37"/>
    </row>
    <row r="587" ht="22.5" customHeight="1">
      <c r="A587" s="30"/>
      <c r="B587" s="31"/>
      <c r="C587" s="32"/>
      <c r="D587" s="33"/>
      <c r="E587" s="34"/>
      <c r="F587" s="34"/>
      <c r="G587" s="35"/>
      <c r="H587" s="34"/>
      <c r="I587" s="37"/>
    </row>
    <row r="588" ht="22.5" customHeight="1">
      <c r="A588" s="30"/>
      <c r="B588" s="31"/>
      <c r="C588" s="32"/>
      <c r="D588" s="33"/>
      <c r="E588" s="34"/>
      <c r="F588" s="34"/>
      <c r="G588" s="35"/>
      <c r="H588" s="34"/>
      <c r="I588" s="37"/>
    </row>
    <row r="589" ht="22.5" customHeight="1">
      <c r="A589" s="30"/>
      <c r="B589" s="31"/>
      <c r="C589" s="32"/>
      <c r="D589" s="33"/>
      <c r="E589" s="34"/>
      <c r="F589" s="34"/>
      <c r="G589" s="35"/>
      <c r="H589" s="34"/>
      <c r="I589" s="37"/>
    </row>
    <row r="590" ht="22.5" customHeight="1">
      <c r="A590" s="30"/>
      <c r="B590" s="40"/>
      <c r="C590" s="32"/>
      <c r="D590" s="33"/>
      <c r="E590" s="34"/>
      <c r="F590" s="34"/>
      <c r="G590" s="35"/>
      <c r="H590" s="34"/>
      <c r="I590" s="37"/>
    </row>
    <row r="591" ht="22.5" customHeight="1">
      <c r="A591" s="30"/>
      <c r="B591" s="31"/>
      <c r="C591" s="32"/>
      <c r="D591" s="33"/>
      <c r="E591" s="34"/>
      <c r="F591" s="34"/>
      <c r="G591" s="35"/>
      <c r="H591" s="34"/>
      <c r="I591" s="37"/>
    </row>
    <row r="592" ht="22.5" customHeight="1">
      <c r="A592" s="30"/>
      <c r="B592" s="31"/>
      <c r="C592" s="32"/>
      <c r="D592" s="33"/>
      <c r="E592" s="34"/>
      <c r="F592" s="34"/>
      <c r="G592" s="35"/>
      <c r="H592" s="34"/>
      <c r="I592" s="37"/>
    </row>
    <row r="593" ht="22.5" customHeight="1">
      <c r="A593" s="30"/>
      <c r="B593" s="31"/>
      <c r="C593" s="32"/>
      <c r="D593" s="33"/>
      <c r="E593" s="34"/>
      <c r="F593" s="34"/>
      <c r="G593" s="35"/>
      <c r="H593" s="34"/>
      <c r="I593" s="37"/>
    </row>
    <row r="594" ht="22.5" customHeight="1">
      <c r="A594" s="30"/>
      <c r="B594" s="31"/>
      <c r="C594" s="32"/>
      <c r="D594" s="33"/>
      <c r="E594" s="34"/>
      <c r="F594" s="34"/>
      <c r="G594" s="35"/>
      <c r="H594" s="34"/>
      <c r="I594" s="37"/>
    </row>
    <row r="595" ht="22.5" customHeight="1">
      <c r="A595" s="30"/>
      <c r="B595" s="31"/>
      <c r="C595" s="32"/>
      <c r="D595" s="33"/>
      <c r="E595" s="34"/>
      <c r="F595" s="34"/>
      <c r="G595" s="35"/>
      <c r="H595" s="34"/>
      <c r="I595" s="37"/>
    </row>
    <row r="596" ht="22.5" customHeight="1">
      <c r="A596" s="30"/>
      <c r="B596" s="31"/>
      <c r="C596" s="32"/>
      <c r="D596" s="33"/>
      <c r="E596" s="34"/>
      <c r="F596" s="34"/>
      <c r="G596" s="35"/>
      <c r="H596" s="34"/>
      <c r="I596" s="37"/>
    </row>
    <row r="597" ht="22.5" customHeight="1">
      <c r="A597" s="30"/>
      <c r="B597" s="31"/>
      <c r="C597" s="32"/>
      <c r="D597" s="33"/>
      <c r="E597" s="34"/>
      <c r="F597" s="34"/>
      <c r="G597" s="35"/>
      <c r="H597" s="34"/>
      <c r="I597" s="37"/>
    </row>
    <row r="598" ht="22.5" customHeight="1">
      <c r="A598" s="30"/>
      <c r="B598" s="31"/>
      <c r="C598" s="32"/>
      <c r="D598" s="33"/>
      <c r="E598" s="34"/>
      <c r="F598" s="34"/>
      <c r="G598" s="35"/>
      <c r="H598" s="34"/>
      <c r="I598" s="37"/>
    </row>
    <row r="599" ht="22.5" customHeight="1">
      <c r="A599" s="30"/>
      <c r="B599" s="31"/>
      <c r="C599" s="32"/>
      <c r="D599" s="33"/>
      <c r="E599" s="34"/>
      <c r="F599" s="34"/>
      <c r="G599" s="35"/>
      <c r="H599" s="34"/>
      <c r="I599" s="37"/>
    </row>
    <row r="600" ht="22.5" customHeight="1">
      <c r="A600" s="30"/>
      <c r="B600" s="31"/>
      <c r="C600" s="32"/>
      <c r="D600" s="33"/>
      <c r="E600" s="34"/>
      <c r="F600" s="34"/>
      <c r="G600" s="35"/>
      <c r="H600" s="34"/>
      <c r="I600" s="37"/>
    </row>
    <row r="601" ht="22.5" customHeight="1">
      <c r="A601" s="30"/>
      <c r="B601" s="31"/>
      <c r="C601" s="32"/>
      <c r="D601" s="33"/>
      <c r="E601" s="34"/>
      <c r="F601" s="34"/>
      <c r="G601" s="35"/>
      <c r="H601" s="34"/>
      <c r="I601" s="37"/>
    </row>
    <row r="602" ht="22.5" customHeight="1">
      <c r="A602" s="30"/>
      <c r="B602" s="31"/>
      <c r="C602" s="32"/>
      <c r="D602" s="33"/>
      <c r="E602" s="34"/>
      <c r="F602" s="34"/>
      <c r="G602" s="35"/>
      <c r="H602" s="34"/>
      <c r="I602" s="37"/>
    </row>
    <row r="603" ht="22.5" customHeight="1">
      <c r="A603" s="30"/>
      <c r="B603" s="31"/>
      <c r="C603" s="32"/>
      <c r="D603" s="33"/>
      <c r="E603" s="34"/>
      <c r="F603" s="34"/>
      <c r="G603" s="35"/>
      <c r="H603" s="34"/>
      <c r="I603" s="37"/>
    </row>
    <row r="604" ht="22.5" customHeight="1">
      <c r="A604" s="30"/>
      <c r="B604" s="31"/>
      <c r="C604" s="32"/>
      <c r="D604" s="33"/>
      <c r="E604" s="34"/>
      <c r="F604" s="34"/>
      <c r="G604" s="35"/>
      <c r="H604" s="34"/>
      <c r="I604" s="37"/>
    </row>
    <row r="605" ht="22.5" customHeight="1">
      <c r="A605" s="30"/>
      <c r="B605" s="40"/>
      <c r="C605" s="32"/>
      <c r="D605" s="33"/>
      <c r="E605" s="34"/>
      <c r="F605" s="34"/>
      <c r="G605" s="35"/>
      <c r="H605" s="34"/>
      <c r="I605" s="37"/>
    </row>
    <row r="606" ht="22.5" customHeight="1">
      <c r="A606" s="30"/>
      <c r="B606" s="31"/>
      <c r="C606" s="32"/>
      <c r="D606" s="33"/>
      <c r="E606" s="34"/>
      <c r="F606" s="34"/>
      <c r="G606" s="35"/>
      <c r="H606" s="34"/>
      <c r="I606" s="37"/>
    </row>
    <row r="607" ht="22.5" customHeight="1">
      <c r="A607" s="30"/>
      <c r="B607" s="40"/>
      <c r="C607" s="32"/>
      <c r="D607" s="33"/>
      <c r="E607" s="34"/>
      <c r="F607" s="34"/>
      <c r="G607" s="35"/>
      <c r="H607" s="34"/>
      <c r="I607" s="37"/>
    </row>
    <row r="608" ht="22.5" customHeight="1">
      <c r="A608" s="30"/>
      <c r="B608" s="31"/>
      <c r="C608" s="32"/>
      <c r="D608" s="33"/>
      <c r="E608" s="34"/>
      <c r="F608" s="34"/>
      <c r="G608" s="35"/>
      <c r="H608" s="34"/>
      <c r="I608" s="37"/>
    </row>
    <row r="609" ht="22.5" customHeight="1">
      <c r="A609" s="30"/>
      <c r="B609" s="31"/>
      <c r="C609" s="32"/>
      <c r="D609" s="33"/>
      <c r="E609" s="34"/>
      <c r="F609" s="34"/>
      <c r="G609" s="35"/>
      <c r="H609" s="34"/>
      <c r="I609" s="37"/>
    </row>
    <row r="610" ht="22.5" customHeight="1">
      <c r="A610" s="30"/>
      <c r="B610" s="31"/>
      <c r="C610" s="32"/>
      <c r="D610" s="33"/>
      <c r="E610" s="34"/>
      <c r="F610" s="34"/>
      <c r="G610" s="35"/>
      <c r="H610" s="34"/>
      <c r="I610" s="37"/>
    </row>
    <row r="611" ht="22.5" customHeight="1">
      <c r="A611" s="30"/>
      <c r="B611" s="31"/>
      <c r="C611" s="32"/>
      <c r="D611" s="33"/>
      <c r="E611" s="34"/>
      <c r="F611" s="34"/>
      <c r="G611" s="35"/>
      <c r="H611" s="34"/>
      <c r="I611" s="37"/>
    </row>
    <row r="612" ht="22.5" customHeight="1">
      <c r="A612" s="30"/>
      <c r="B612" s="40"/>
      <c r="C612" s="32"/>
      <c r="D612" s="33"/>
      <c r="E612" s="34"/>
      <c r="F612" s="34"/>
      <c r="G612" s="35"/>
      <c r="H612" s="34"/>
      <c r="I612" s="37"/>
    </row>
    <row r="613" ht="22.5" customHeight="1">
      <c r="A613" s="30"/>
      <c r="B613" s="31"/>
      <c r="C613" s="32"/>
      <c r="D613" s="33"/>
      <c r="E613" s="34"/>
      <c r="F613" s="34"/>
      <c r="G613" s="35"/>
      <c r="H613" s="34"/>
      <c r="I613" s="37"/>
    </row>
    <row r="614" ht="22.5" customHeight="1">
      <c r="A614" s="30"/>
      <c r="B614" s="31"/>
      <c r="C614" s="32"/>
      <c r="D614" s="33"/>
      <c r="E614" s="34"/>
      <c r="F614" s="34"/>
      <c r="G614" s="35"/>
      <c r="H614" s="34"/>
      <c r="I614" s="37"/>
    </row>
    <row r="615" ht="22.5" customHeight="1">
      <c r="A615" s="30"/>
      <c r="B615" s="31"/>
      <c r="C615" s="32"/>
      <c r="D615" s="33"/>
      <c r="E615" s="34"/>
      <c r="F615" s="34"/>
      <c r="G615" s="35"/>
      <c r="H615" s="34"/>
      <c r="I615" s="37"/>
    </row>
    <row r="616" ht="22.5" customHeight="1">
      <c r="A616" s="30"/>
      <c r="B616" s="31"/>
      <c r="C616" s="32"/>
      <c r="D616" s="33"/>
      <c r="E616" s="34"/>
      <c r="F616" s="34"/>
      <c r="G616" s="35"/>
      <c r="H616" s="34"/>
      <c r="I616" s="37"/>
    </row>
    <row r="617" ht="22.5" customHeight="1">
      <c r="A617" s="30"/>
      <c r="B617" s="31"/>
      <c r="C617" s="32"/>
      <c r="D617" s="33"/>
      <c r="E617" s="34"/>
      <c r="F617" s="34"/>
      <c r="G617" s="35"/>
      <c r="H617" s="34"/>
      <c r="I617" s="37"/>
    </row>
    <row r="618" ht="22.5" customHeight="1">
      <c r="A618" s="30"/>
      <c r="B618" s="31"/>
      <c r="C618" s="32"/>
      <c r="D618" s="33"/>
      <c r="E618" s="34"/>
      <c r="F618" s="34"/>
      <c r="G618" s="35"/>
      <c r="H618" s="34"/>
      <c r="I618" s="37"/>
    </row>
    <row r="619" ht="22.5" customHeight="1">
      <c r="A619" s="30"/>
      <c r="B619" s="31"/>
      <c r="C619" s="32"/>
      <c r="D619" s="33"/>
      <c r="E619" s="34"/>
      <c r="F619" s="34"/>
      <c r="G619" s="35"/>
      <c r="H619" s="34"/>
      <c r="I619" s="37"/>
    </row>
    <row r="620" ht="22.5" customHeight="1">
      <c r="A620" s="30"/>
      <c r="B620" s="31"/>
      <c r="C620" s="32"/>
      <c r="D620" s="33"/>
      <c r="E620" s="34"/>
      <c r="F620" s="34"/>
      <c r="G620" s="35"/>
      <c r="H620" s="34"/>
      <c r="I620" s="37"/>
    </row>
    <row r="621" ht="22.5" customHeight="1">
      <c r="A621" s="30"/>
      <c r="B621" s="31"/>
      <c r="C621" s="32"/>
      <c r="D621" s="33"/>
      <c r="E621" s="34"/>
      <c r="F621" s="34"/>
      <c r="G621" s="35"/>
      <c r="H621" s="34"/>
      <c r="I621" s="37"/>
    </row>
    <row r="622" ht="22.5" customHeight="1">
      <c r="A622" s="30"/>
      <c r="B622" s="31"/>
      <c r="C622" s="32"/>
      <c r="D622" s="33"/>
      <c r="E622" s="34"/>
      <c r="F622" s="34"/>
      <c r="G622" s="35"/>
      <c r="H622" s="34"/>
      <c r="I622" s="37"/>
    </row>
    <row r="623" ht="22.5" customHeight="1">
      <c r="A623" s="30"/>
      <c r="B623" s="31"/>
      <c r="C623" s="32"/>
      <c r="D623" s="33"/>
      <c r="E623" s="34"/>
      <c r="F623" s="34"/>
      <c r="G623" s="35"/>
      <c r="H623" s="34"/>
      <c r="I623" s="37"/>
    </row>
    <row r="624" ht="22.5" customHeight="1">
      <c r="A624" s="30"/>
      <c r="B624" s="31"/>
      <c r="C624" s="32"/>
      <c r="D624" s="33"/>
      <c r="E624" s="34"/>
      <c r="F624" s="34"/>
      <c r="G624" s="35"/>
      <c r="H624" s="34"/>
      <c r="I624" s="37"/>
    </row>
    <row r="625" ht="22.5" customHeight="1">
      <c r="A625" s="30"/>
      <c r="B625" s="31"/>
      <c r="C625" s="32"/>
      <c r="D625" s="33"/>
      <c r="E625" s="34"/>
      <c r="F625" s="34"/>
      <c r="G625" s="35"/>
      <c r="H625" s="34"/>
      <c r="I625" s="37"/>
    </row>
    <row r="626" ht="22.5" customHeight="1">
      <c r="A626" s="30"/>
      <c r="B626" s="31"/>
      <c r="C626" s="32"/>
      <c r="D626" s="33"/>
      <c r="E626" s="34"/>
      <c r="F626" s="34"/>
      <c r="G626" s="35"/>
      <c r="H626" s="34"/>
      <c r="I626" s="37"/>
    </row>
    <row r="627" ht="22.5" customHeight="1">
      <c r="A627" s="30"/>
      <c r="B627" s="31"/>
      <c r="C627" s="32"/>
      <c r="D627" s="33"/>
      <c r="E627" s="34"/>
      <c r="F627" s="34"/>
      <c r="G627" s="35"/>
      <c r="H627" s="34"/>
      <c r="I627" s="37"/>
    </row>
    <row r="628" ht="22.5" customHeight="1">
      <c r="A628" s="30"/>
      <c r="B628" s="31"/>
      <c r="C628" s="32"/>
      <c r="D628" s="33"/>
      <c r="E628" s="34"/>
      <c r="F628" s="34"/>
      <c r="G628" s="35"/>
      <c r="H628" s="34"/>
      <c r="I628" s="37"/>
    </row>
    <row r="629" ht="22.5" customHeight="1">
      <c r="A629" s="30"/>
      <c r="B629" s="31"/>
      <c r="C629" s="32"/>
      <c r="D629" s="33"/>
      <c r="E629" s="34"/>
      <c r="F629" s="34"/>
      <c r="G629" s="35"/>
      <c r="H629" s="34"/>
      <c r="I629" s="37"/>
    </row>
    <row r="630" ht="22.5" customHeight="1">
      <c r="A630" s="30"/>
      <c r="B630" s="31"/>
      <c r="C630" s="32"/>
      <c r="D630" s="33"/>
      <c r="E630" s="34"/>
      <c r="F630" s="34"/>
      <c r="G630" s="35"/>
      <c r="H630" s="34"/>
      <c r="I630" s="37"/>
    </row>
    <row r="631" ht="22.5" customHeight="1">
      <c r="A631" s="30"/>
      <c r="B631" s="31"/>
      <c r="C631" s="32"/>
      <c r="D631" s="33"/>
      <c r="E631" s="34"/>
      <c r="F631" s="34"/>
      <c r="G631" s="35"/>
      <c r="H631" s="34"/>
      <c r="I631" s="37"/>
    </row>
    <row r="632" ht="22.5" customHeight="1">
      <c r="A632" s="30"/>
      <c r="B632" s="31"/>
      <c r="C632" s="32"/>
      <c r="D632" s="33"/>
      <c r="E632" s="34"/>
      <c r="F632" s="34"/>
      <c r="G632" s="35"/>
      <c r="H632" s="34"/>
      <c r="I632" s="37"/>
    </row>
    <row r="633" ht="22.5" customHeight="1">
      <c r="A633" s="30"/>
      <c r="B633" s="31"/>
      <c r="C633" s="32"/>
      <c r="D633" s="33"/>
      <c r="E633" s="34"/>
      <c r="F633" s="34"/>
      <c r="G633" s="35"/>
      <c r="H633" s="34"/>
      <c r="I633" s="37"/>
    </row>
    <row r="634" ht="22.5" customHeight="1">
      <c r="A634" s="30"/>
      <c r="B634" s="40"/>
      <c r="C634" s="32"/>
      <c r="D634" s="33"/>
      <c r="E634" s="34"/>
      <c r="F634" s="34"/>
      <c r="G634" s="35"/>
      <c r="H634" s="34"/>
      <c r="I634" s="37"/>
    </row>
    <row r="635" ht="22.5" customHeight="1">
      <c r="A635" s="30"/>
      <c r="B635" s="31"/>
      <c r="C635" s="32"/>
      <c r="D635" s="33"/>
      <c r="E635" s="34"/>
      <c r="F635" s="34"/>
      <c r="G635" s="35"/>
      <c r="H635" s="34"/>
      <c r="I635" s="37"/>
    </row>
    <row r="636" ht="22.5" customHeight="1">
      <c r="A636" s="30"/>
      <c r="B636" s="31"/>
      <c r="C636" s="32"/>
      <c r="D636" s="33"/>
      <c r="E636" s="34"/>
      <c r="F636" s="34"/>
      <c r="G636" s="35"/>
      <c r="H636" s="34"/>
      <c r="I636" s="37"/>
    </row>
    <row r="637" ht="22.5" customHeight="1">
      <c r="A637" s="30"/>
      <c r="B637" s="31"/>
      <c r="C637" s="32"/>
      <c r="D637" s="33"/>
      <c r="E637" s="34"/>
      <c r="F637" s="34"/>
      <c r="G637" s="35"/>
      <c r="H637" s="34"/>
      <c r="I637" s="37"/>
    </row>
    <row r="638" ht="22.5" customHeight="1">
      <c r="A638" s="30"/>
      <c r="B638" s="31"/>
      <c r="C638" s="32"/>
      <c r="D638" s="33"/>
      <c r="E638" s="34"/>
      <c r="F638" s="34"/>
      <c r="G638" s="35"/>
      <c r="H638" s="34"/>
      <c r="I638" s="38"/>
    </row>
    <row r="639" ht="22.5" customHeight="1">
      <c r="A639" s="30"/>
      <c r="B639" s="39"/>
      <c r="C639" s="32"/>
      <c r="D639" s="33"/>
      <c r="E639" s="34"/>
      <c r="F639" s="34"/>
      <c r="G639" s="35"/>
      <c r="H639" s="34"/>
      <c r="I639" s="37"/>
    </row>
    <row r="640" ht="22.5" customHeight="1">
      <c r="A640" s="30"/>
      <c r="B640" s="31"/>
      <c r="C640" s="32"/>
      <c r="D640" s="33"/>
      <c r="E640" s="34"/>
      <c r="F640" s="34"/>
      <c r="G640" s="35"/>
      <c r="H640" s="34"/>
      <c r="I640" s="37"/>
    </row>
    <row r="641" ht="22.5" customHeight="1">
      <c r="A641" s="30"/>
      <c r="B641" s="31"/>
      <c r="C641" s="32"/>
      <c r="D641" s="33"/>
      <c r="E641" s="34"/>
      <c r="F641" s="34"/>
      <c r="G641" s="35"/>
      <c r="H641" s="34"/>
      <c r="I641" s="37"/>
    </row>
    <row r="642" ht="22.5" customHeight="1">
      <c r="A642" s="30"/>
      <c r="B642" s="31"/>
      <c r="C642" s="32"/>
      <c r="D642" s="33"/>
      <c r="E642" s="34"/>
      <c r="F642" s="34"/>
      <c r="G642" s="35"/>
      <c r="H642" s="34"/>
      <c r="I642" s="37"/>
    </row>
    <row r="643" ht="22.5" customHeight="1">
      <c r="A643" s="30"/>
      <c r="B643" s="39"/>
      <c r="C643" s="32"/>
      <c r="D643" s="33"/>
      <c r="E643" s="34"/>
      <c r="F643" s="34"/>
      <c r="G643" s="35"/>
      <c r="H643" s="34"/>
      <c r="I643" s="37"/>
    </row>
    <row r="644" ht="22.5" customHeight="1">
      <c r="A644" s="30"/>
      <c r="B644" s="31"/>
      <c r="C644" s="32"/>
      <c r="D644" s="33"/>
      <c r="E644" s="34"/>
      <c r="F644" s="34"/>
      <c r="G644" s="35"/>
      <c r="H644" s="34"/>
      <c r="I644" s="37"/>
    </row>
    <row r="645" ht="22.5" customHeight="1">
      <c r="A645" s="30"/>
      <c r="B645" s="39"/>
      <c r="C645" s="32"/>
      <c r="D645" s="33"/>
      <c r="E645" s="34"/>
      <c r="F645" s="34"/>
      <c r="G645" s="35"/>
      <c r="H645" s="34"/>
      <c r="I645" s="37"/>
    </row>
    <row r="646" ht="22.5" customHeight="1">
      <c r="A646" s="30"/>
      <c r="B646" s="31"/>
      <c r="C646" s="32"/>
      <c r="D646" s="33"/>
      <c r="E646" s="34"/>
      <c r="F646" s="34"/>
      <c r="G646" s="35"/>
      <c r="H646" s="34"/>
      <c r="I646" s="37"/>
    </row>
    <row r="647" ht="22.5" customHeight="1">
      <c r="A647" s="30"/>
      <c r="B647" s="31"/>
      <c r="C647" s="32"/>
      <c r="D647" s="33"/>
      <c r="E647" s="34"/>
      <c r="F647" s="34"/>
      <c r="G647" s="35"/>
      <c r="H647" s="34"/>
      <c r="I647" s="37"/>
    </row>
    <row r="648" ht="22.5" customHeight="1">
      <c r="A648" s="30"/>
      <c r="B648" s="31"/>
      <c r="C648" s="32"/>
      <c r="D648" s="33"/>
      <c r="E648" s="34"/>
      <c r="F648" s="34"/>
      <c r="G648" s="35"/>
      <c r="H648" s="34"/>
      <c r="I648" s="37"/>
    </row>
    <row r="649" ht="22.5" customHeight="1">
      <c r="A649" s="30"/>
      <c r="B649" s="31"/>
      <c r="C649" s="32"/>
      <c r="D649" s="33"/>
      <c r="E649" s="34"/>
      <c r="F649" s="34"/>
      <c r="G649" s="35"/>
      <c r="H649" s="34"/>
      <c r="I649" s="37"/>
    </row>
    <row r="650" ht="22.5" customHeight="1">
      <c r="A650" s="30"/>
      <c r="B650" s="31"/>
      <c r="C650" s="32"/>
      <c r="D650" s="33"/>
      <c r="E650" s="34"/>
      <c r="F650" s="34"/>
      <c r="G650" s="35"/>
      <c r="H650" s="34"/>
      <c r="I650" s="37"/>
    </row>
    <row r="651" ht="22.5" customHeight="1">
      <c r="A651" s="30"/>
      <c r="B651" s="31"/>
      <c r="C651" s="32"/>
      <c r="D651" s="33"/>
      <c r="E651" s="34"/>
      <c r="F651" s="34"/>
      <c r="G651" s="35"/>
      <c r="H651" s="34"/>
      <c r="I651" s="37"/>
    </row>
    <row r="652" ht="22.5" customHeight="1">
      <c r="A652" s="30"/>
      <c r="B652" s="31"/>
      <c r="C652" s="32"/>
      <c r="D652" s="33"/>
      <c r="E652" s="34"/>
      <c r="F652" s="34"/>
      <c r="G652" s="35"/>
      <c r="H652" s="34"/>
      <c r="I652" s="37"/>
    </row>
    <row r="653" ht="22.5" customHeight="1">
      <c r="A653" s="30"/>
      <c r="B653" s="31"/>
      <c r="C653" s="32"/>
      <c r="D653" s="33"/>
      <c r="E653" s="34"/>
      <c r="F653" s="34"/>
      <c r="G653" s="35"/>
      <c r="H653" s="34"/>
      <c r="I653" s="37"/>
    </row>
    <row r="654" ht="22.5" customHeight="1">
      <c r="A654" s="30"/>
      <c r="B654" s="31"/>
      <c r="C654" s="32"/>
      <c r="D654" s="33"/>
      <c r="E654" s="34"/>
      <c r="F654" s="34"/>
      <c r="G654" s="35"/>
      <c r="H654" s="34"/>
      <c r="I654" s="37"/>
    </row>
    <row r="655" ht="22.5" customHeight="1">
      <c r="A655" s="30"/>
      <c r="B655" s="31"/>
      <c r="C655" s="32"/>
      <c r="D655" s="33"/>
      <c r="E655" s="34"/>
      <c r="F655" s="34"/>
      <c r="G655" s="35"/>
      <c r="H655" s="34"/>
      <c r="I655" s="37"/>
    </row>
    <row r="656" ht="22.5" customHeight="1">
      <c r="A656" s="30"/>
      <c r="B656" s="40"/>
      <c r="C656" s="32"/>
      <c r="D656" s="33"/>
      <c r="E656" s="34"/>
      <c r="F656" s="34"/>
      <c r="G656" s="35"/>
      <c r="H656" s="34"/>
      <c r="I656" s="37"/>
    </row>
    <row r="657" ht="22.5" customHeight="1">
      <c r="A657" s="30"/>
      <c r="B657" s="31"/>
      <c r="C657" s="32"/>
      <c r="D657" s="33"/>
      <c r="E657" s="34"/>
      <c r="F657" s="34"/>
      <c r="G657" s="35"/>
      <c r="H657" s="34"/>
      <c r="I657" s="37"/>
    </row>
    <row r="658" ht="22.5" customHeight="1">
      <c r="A658" s="30"/>
      <c r="B658" s="31"/>
      <c r="C658" s="32"/>
      <c r="D658" s="33"/>
      <c r="E658" s="34"/>
      <c r="F658" s="34"/>
      <c r="G658" s="35"/>
      <c r="H658" s="34"/>
      <c r="I658" s="37"/>
    </row>
    <row r="659" ht="22.5" customHeight="1">
      <c r="A659" s="30"/>
      <c r="B659" s="31"/>
      <c r="C659" s="32"/>
      <c r="D659" s="33"/>
      <c r="E659" s="34"/>
      <c r="F659" s="34"/>
      <c r="G659" s="35"/>
      <c r="H659" s="34"/>
      <c r="I659" s="37"/>
    </row>
    <row r="660" ht="22.5" customHeight="1">
      <c r="A660" s="30"/>
      <c r="B660" s="31"/>
      <c r="C660" s="32"/>
      <c r="D660" s="33"/>
      <c r="E660" s="34"/>
      <c r="F660" s="34"/>
      <c r="G660" s="35"/>
      <c r="H660" s="34"/>
      <c r="I660" s="37"/>
    </row>
    <row r="661" ht="22.5" customHeight="1">
      <c r="A661" s="30"/>
      <c r="B661" s="31"/>
      <c r="C661" s="32"/>
      <c r="D661" s="33"/>
      <c r="E661" s="34"/>
      <c r="F661" s="34"/>
      <c r="G661" s="35"/>
      <c r="H661" s="34"/>
      <c r="I661" s="37"/>
    </row>
    <row r="662" ht="22.5" customHeight="1">
      <c r="A662" s="30"/>
      <c r="B662" s="31"/>
      <c r="C662" s="32"/>
      <c r="D662" s="33"/>
      <c r="E662" s="34"/>
      <c r="F662" s="34"/>
      <c r="G662" s="35"/>
      <c r="H662" s="34"/>
      <c r="I662" s="37"/>
    </row>
    <row r="663" ht="22.5" customHeight="1">
      <c r="A663" s="30"/>
      <c r="B663" s="39"/>
      <c r="C663" s="32"/>
      <c r="D663" s="33"/>
      <c r="E663" s="34"/>
      <c r="F663" s="34"/>
      <c r="G663" s="35"/>
      <c r="H663" s="34"/>
      <c r="I663" s="37"/>
    </row>
    <row r="664" ht="22.5" customHeight="1">
      <c r="A664" s="30"/>
      <c r="B664" s="39"/>
      <c r="C664" s="32"/>
      <c r="D664" s="33"/>
      <c r="E664" s="34"/>
      <c r="F664" s="34"/>
      <c r="G664" s="35"/>
      <c r="H664" s="34"/>
      <c r="I664" s="37"/>
    </row>
    <row r="665" ht="22.5" customHeight="1">
      <c r="A665" s="30"/>
      <c r="B665" s="39"/>
      <c r="C665" s="32"/>
      <c r="D665" s="33"/>
      <c r="E665" s="34"/>
      <c r="F665" s="34"/>
      <c r="G665" s="35"/>
      <c r="H665" s="34"/>
      <c r="I665" s="37"/>
    </row>
    <row r="666" ht="22.5" customHeight="1">
      <c r="A666" s="30"/>
      <c r="B666" s="40"/>
      <c r="C666" s="32"/>
      <c r="D666" s="33"/>
      <c r="E666" s="34"/>
      <c r="F666" s="34"/>
      <c r="G666" s="35"/>
      <c r="H666" s="34"/>
      <c r="I666" s="37"/>
    </row>
    <row r="667" ht="22.5" customHeight="1">
      <c r="A667" s="30"/>
      <c r="B667" s="31"/>
      <c r="C667" s="32"/>
      <c r="D667" s="33"/>
      <c r="E667" s="34"/>
      <c r="F667" s="34"/>
      <c r="G667" s="35"/>
      <c r="H667" s="34"/>
      <c r="I667" s="37"/>
    </row>
    <row r="668" ht="22.5" customHeight="1">
      <c r="A668" s="30"/>
      <c r="B668" s="31"/>
      <c r="C668" s="32"/>
      <c r="D668" s="33"/>
      <c r="E668" s="34"/>
      <c r="F668" s="34"/>
      <c r="G668" s="35"/>
      <c r="H668" s="34"/>
      <c r="I668" s="37"/>
    </row>
    <row r="669" ht="22.5" customHeight="1">
      <c r="A669" s="30"/>
      <c r="B669" s="31"/>
      <c r="C669" s="32"/>
      <c r="D669" s="33"/>
      <c r="E669" s="34"/>
      <c r="F669" s="34"/>
      <c r="G669" s="35"/>
      <c r="H669" s="34"/>
      <c r="I669" s="37"/>
    </row>
    <row r="670" ht="22.5" customHeight="1">
      <c r="A670" s="30"/>
      <c r="B670" s="31"/>
      <c r="C670" s="32"/>
      <c r="D670" s="33"/>
      <c r="E670" s="34"/>
      <c r="F670" s="34"/>
      <c r="G670" s="35"/>
      <c r="H670" s="34"/>
      <c r="I670" s="37"/>
    </row>
    <row r="671" ht="22.5" customHeight="1">
      <c r="A671" s="30"/>
      <c r="B671" s="31"/>
      <c r="C671" s="32"/>
      <c r="D671" s="33"/>
      <c r="E671" s="34"/>
      <c r="F671" s="34"/>
      <c r="G671" s="35"/>
      <c r="H671" s="34"/>
      <c r="I671" s="37"/>
    </row>
    <row r="672" ht="22.5" customHeight="1">
      <c r="A672" s="30"/>
      <c r="B672" s="31"/>
      <c r="C672" s="32"/>
      <c r="D672" s="33"/>
      <c r="E672" s="34"/>
      <c r="F672" s="34"/>
      <c r="G672" s="35"/>
      <c r="H672" s="34"/>
      <c r="I672" s="37"/>
    </row>
    <row r="673" ht="22.5" customHeight="1">
      <c r="A673" s="30"/>
      <c r="B673" s="31"/>
      <c r="C673" s="32"/>
      <c r="D673" s="33"/>
      <c r="E673" s="34"/>
      <c r="F673" s="34"/>
      <c r="G673" s="35"/>
      <c r="H673" s="34"/>
      <c r="I673" s="37"/>
    </row>
    <row r="674" ht="22.5" customHeight="1">
      <c r="A674" s="30"/>
      <c r="B674" s="31"/>
      <c r="C674" s="32"/>
      <c r="D674" s="33"/>
      <c r="E674" s="34"/>
      <c r="F674" s="34"/>
      <c r="G674" s="35"/>
      <c r="H674" s="34"/>
      <c r="I674" s="37"/>
    </row>
    <row r="675" ht="22.5" customHeight="1">
      <c r="A675" s="30"/>
      <c r="B675" s="31"/>
      <c r="C675" s="32"/>
      <c r="D675" s="33"/>
      <c r="E675" s="34"/>
      <c r="F675" s="34"/>
      <c r="G675" s="35"/>
      <c r="H675" s="34"/>
      <c r="I675" s="37"/>
    </row>
    <row r="676" ht="22.5" customHeight="1">
      <c r="A676" s="30"/>
      <c r="B676" s="40"/>
      <c r="C676" s="32"/>
      <c r="D676" s="33"/>
      <c r="E676" s="34"/>
      <c r="F676" s="34"/>
      <c r="G676" s="35"/>
      <c r="H676" s="34"/>
      <c r="I676" s="37"/>
    </row>
    <row r="677" ht="22.5" customHeight="1">
      <c r="A677" s="30"/>
      <c r="B677" s="31"/>
      <c r="C677" s="32"/>
      <c r="D677" s="33"/>
      <c r="E677" s="34"/>
      <c r="F677" s="34"/>
      <c r="G677" s="35"/>
      <c r="H677" s="34"/>
      <c r="I677" s="37"/>
    </row>
    <row r="678" ht="22.5" customHeight="1">
      <c r="A678" s="30"/>
      <c r="B678" s="31"/>
      <c r="C678" s="32"/>
      <c r="D678" s="33"/>
      <c r="E678" s="34"/>
      <c r="F678" s="34"/>
      <c r="G678" s="35"/>
      <c r="H678" s="34"/>
      <c r="I678" s="37"/>
    </row>
    <row r="679" ht="22.5" customHeight="1">
      <c r="A679" s="30"/>
      <c r="B679" s="31"/>
      <c r="C679" s="32"/>
      <c r="D679" s="33"/>
      <c r="E679" s="34"/>
      <c r="F679" s="34"/>
      <c r="G679" s="35"/>
      <c r="H679" s="34"/>
      <c r="I679" s="37"/>
    </row>
    <row r="680" ht="22.5" customHeight="1">
      <c r="A680" s="30"/>
      <c r="B680" s="40"/>
      <c r="C680" s="32"/>
      <c r="D680" s="33"/>
      <c r="E680" s="34"/>
      <c r="F680" s="34"/>
      <c r="G680" s="35"/>
      <c r="H680" s="34"/>
      <c r="I680" s="37"/>
    </row>
    <row r="681" ht="22.5" customHeight="1">
      <c r="A681" s="30"/>
      <c r="B681" s="31"/>
      <c r="C681" s="32"/>
      <c r="D681" s="33"/>
      <c r="E681" s="34"/>
      <c r="F681" s="34"/>
      <c r="G681" s="35"/>
      <c r="H681" s="34"/>
      <c r="I681" s="37"/>
    </row>
    <row r="682" ht="22.5" customHeight="1">
      <c r="A682" s="30"/>
      <c r="B682" s="31"/>
      <c r="C682" s="32"/>
      <c r="D682" s="33"/>
      <c r="E682" s="34"/>
      <c r="F682" s="34"/>
      <c r="G682" s="35"/>
      <c r="H682" s="34"/>
      <c r="I682" s="37"/>
    </row>
    <row r="683" ht="22.5" customHeight="1">
      <c r="A683" s="30"/>
      <c r="B683" s="31"/>
      <c r="C683" s="32"/>
      <c r="D683" s="33"/>
      <c r="E683" s="34"/>
      <c r="F683" s="34"/>
      <c r="G683" s="35"/>
      <c r="H683" s="34"/>
      <c r="I683" s="37"/>
    </row>
    <row r="684" ht="22.5" customHeight="1">
      <c r="A684" s="30"/>
      <c r="B684" s="31"/>
      <c r="C684" s="32"/>
      <c r="D684" s="33"/>
      <c r="E684" s="34"/>
      <c r="F684" s="34"/>
      <c r="G684" s="35"/>
      <c r="H684" s="34"/>
      <c r="I684" s="37"/>
    </row>
    <row r="685" ht="22.5" customHeight="1">
      <c r="A685" s="30"/>
      <c r="B685" s="31"/>
      <c r="C685" s="32"/>
      <c r="D685" s="33"/>
      <c r="E685" s="34"/>
      <c r="F685" s="34"/>
      <c r="G685" s="35"/>
      <c r="H685" s="34"/>
      <c r="I685" s="37"/>
    </row>
    <row r="686" ht="22.5" customHeight="1">
      <c r="A686" s="30"/>
      <c r="B686" s="31"/>
      <c r="C686" s="32"/>
      <c r="D686" s="33"/>
      <c r="E686" s="34"/>
      <c r="F686" s="34"/>
      <c r="G686" s="35"/>
      <c r="H686" s="34"/>
      <c r="I686" s="37"/>
    </row>
    <row r="687" ht="22.5" customHeight="1">
      <c r="A687" s="30"/>
      <c r="B687" s="31"/>
      <c r="C687" s="32"/>
      <c r="D687" s="33"/>
      <c r="E687" s="34"/>
      <c r="F687" s="34"/>
      <c r="G687" s="35"/>
      <c r="H687" s="34"/>
      <c r="I687" s="37"/>
    </row>
    <row r="688" ht="22.5" customHeight="1">
      <c r="A688" s="30"/>
      <c r="B688" s="31"/>
      <c r="C688" s="32"/>
      <c r="D688" s="33"/>
      <c r="E688" s="34"/>
      <c r="F688" s="34"/>
      <c r="G688" s="35"/>
      <c r="H688" s="34"/>
      <c r="I688" s="37"/>
    </row>
    <row r="689" ht="22.5" customHeight="1">
      <c r="A689" s="30"/>
      <c r="B689" s="31"/>
      <c r="C689" s="32"/>
      <c r="D689" s="33"/>
      <c r="E689" s="34"/>
      <c r="F689" s="34"/>
      <c r="G689" s="35"/>
      <c r="H689" s="34"/>
      <c r="I689" s="37"/>
    </row>
    <row r="690" ht="22.5" customHeight="1">
      <c r="A690" s="30"/>
      <c r="B690" s="31"/>
      <c r="C690" s="32"/>
      <c r="D690" s="33"/>
      <c r="E690" s="34"/>
      <c r="F690" s="34"/>
      <c r="G690" s="35"/>
      <c r="H690" s="34"/>
      <c r="I690" s="37"/>
    </row>
    <row r="691" ht="22.5" customHeight="1">
      <c r="A691" s="30"/>
      <c r="B691" s="31"/>
      <c r="C691" s="32"/>
      <c r="D691" s="33"/>
      <c r="E691" s="34"/>
      <c r="F691" s="34"/>
      <c r="G691" s="35"/>
      <c r="H691" s="34"/>
      <c r="I691" s="37"/>
    </row>
    <row r="692" ht="22.5" customHeight="1">
      <c r="A692" s="30"/>
      <c r="B692" s="31"/>
      <c r="C692" s="32"/>
      <c r="D692" s="33"/>
      <c r="E692" s="34"/>
      <c r="F692" s="34"/>
      <c r="G692" s="35"/>
      <c r="H692" s="34"/>
      <c r="I692" s="37"/>
    </row>
    <row r="693" ht="22.5" customHeight="1">
      <c r="A693" s="30"/>
      <c r="B693" s="31"/>
      <c r="C693" s="32"/>
      <c r="D693" s="33"/>
      <c r="E693" s="34"/>
      <c r="F693" s="34"/>
      <c r="G693" s="35"/>
      <c r="H693" s="34"/>
      <c r="I693" s="37"/>
    </row>
    <row r="694" ht="22.5" customHeight="1">
      <c r="A694" s="30"/>
      <c r="B694" s="31"/>
      <c r="C694" s="32"/>
      <c r="D694" s="33"/>
      <c r="E694" s="34"/>
      <c r="F694" s="34"/>
      <c r="G694" s="35"/>
      <c r="H694" s="34"/>
      <c r="I694" s="37"/>
    </row>
    <row r="695" ht="22.5" customHeight="1">
      <c r="A695" s="30"/>
      <c r="B695" s="40"/>
      <c r="C695" s="32"/>
      <c r="D695" s="33"/>
      <c r="E695" s="34"/>
      <c r="F695" s="34"/>
      <c r="G695" s="35"/>
      <c r="H695" s="34"/>
      <c r="I695" s="37"/>
    </row>
    <row r="696" ht="22.5" customHeight="1">
      <c r="A696" s="30"/>
      <c r="B696" s="31"/>
      <c r="C696" s="32"/>
      <c r="D696" s="33"/>
      <c r="E696" s="34"/>
      <c r="F696" s="34"/>
      <c r="G696" s="35"/>
      <c r="H696" s="34"/>
      <c r="I696" s="37"/>
    </row>
    <row r="697" ht="22.5" customHeight="1">
      <c r="A697" s="30"/>
      <c r="B697" s="40"/>
      <c r="C697" s="32"/>
      <c r="D697" s="33"/>
      <c r="E697" s="34"/>
      <c r="F697" s="34"/>
      <c r="G697" s="35"/>
      <c r="H697" s="34"/>
      <c r="I697" s="37"/>
    </row>
    <row r="698" ht="22.5" customHeight="1">
      <c r="A698" s="30"/>
      <c r="B698" s="31"/>
      <c r="C698" s="32"/>
      <c r="D698" s="33"/>
      <c r="E698" s="34"/>
      <c r="F698" s="34"/>
      <c r="G698" s="35"/>
      <c r="H698" s="34"/>
      <c r="I698" s="37"/>
    </row>
    <row r="699" ht="22.5" customHeight="1">
      <c r="A699" s="30"/>
      <c r="B699" s="31"/>
      <c r="C699" s="32"/>
      <c r="D699" s="33"/>
      <c r="E699" s="34"/>
      <c r="F699" s="34"/>
      <c r="G699" s="35"/>
      <c r="H699" s="34"/>
      <c r="I699" s="37"/>
    </row>
    <row r="700" ht="22.5" customHeight="1">
      <c r="A700" s="30"/>
      <c r="B700" s="31"/>
      <c r="C700" s="32"/>
      <c r="D700" s="33"/>
      <c r="E700" s="34"/>
      <c r="F700" s="34"/>
      <c r="G700" s="35"/>
      <c r="H700" s="34"/>
      <c r="I700" s="37"/>
    </row>
    <row r="701" ht="22.5" customHeight="1">
      <c r="A701" s="30"/>
      <c r="B701" s="31"/>
      <c r="C701" s="32"/>
      <c r="D701" s="33"/>
      <c r="E701" s="34"/>
      <c r="F701" s="34"/>
      <c r="G701" s="35"/>
      <c r="H701" s="34"/>
      <c r="I701" s="37"/>
    </row>
    <row r="702" ht="22.5" customHeight="1">
      <c r="A702" s="30"/>
      <c r="B702" s="40"/>
      <c r="C702" s="32"/>
      <c r="D702" s="33"/>
      <c r="E702" s="34"/>
      <c r="F702" s="34"/>
      <c r="G702" s="35"/>
      <c r="H702" s="34"/>
      <c r="I702" s="37"/>
    </row>
    <row r="703" ht="22.5" customHeight="1">
      <c r="A703" s="30"/>
      <c r="B703" s="31"/>
      <c r="C703" s="32"/>
      <c r="D703" s="33"/>
      <c r="E703" s="34"/>
      <c r="F703" s="34"/>
      <c r="G703" s="35"/>
      <c r="H703" s="34"/>
      <c r="I703" s="37"/>
    </row>
    <row r="704" ht="22.5" customHeight="1">
      <c r="A704" s="30"/>
      <c r="B704" s="31"/>
      <c r="C704" s="32"/>
      <c r="D704" s="33"/>
      <c r="E704" s="34"/>
      <c r="F704" s="34"/>
      <c r="G704" s="35"/>
      <c r="H704" s="34"/>
      <c r="I704" s="37"/>
    </row>
    <row r="705" ht="22.5" customHeight="1">
      <c r="A705" s="30"/>
      <c r="B705" s="31"/>
      <c r="C705" s="32"/>
      <c r="D705" s="33"/>
      <c r="E705" s="34"/>
      <c r="F705" s="34"/>
      <c r="G705" s="35"/>
      <c r="H705" s="34"/>
      <c r="I705" s="37"/>
    </row>
    <row r="706" ht="22.5" customHeight="1">
      <c r="A706" s="30"/>
      <c r="B706" s="31"/>
      <c r="C706" s="32"/>
      <c r="D706" s="33"/>
      <c r="E706" s="34"/>
      <c r="F706" s="34"/>
      <c r="G706" s="35"/>
      <c r="H706" s="34"/>
      <c r="I706" s="37"/>
    </row>
    <row r="707" ht="22.5" customHeight="1">
      <c r="A707" s="30"/>
      <c r="B707" s="31"/>
      <c r="C707" s="32"/>
      <c r="D707" s="33"/>
      <c r="E707" s="34"/>
      <c r="F707" s="34"/>
      <c r="G707" s="35"/>
      <c r="H707" s="34"/>
      <c r="I707" s="37"/>
    </row>
    <row r="708" ht="22.5" customHeight="1">
      <c r="A708" s="30"/>
      <c r="B708" s="31"/>
      <c r="C708" s="32"/>
      <c r="D708" s="33"/>
      <c r="E708" s="34"/>
      <c r="F708" s="34"/>
      <c r="G708" s="35"/>
      <c r="H708" s="34"/>
      <c r="I708" s="37"/>
    </row>
    <row r="709" ht="22.5" customHeight="1">
      <c r="A709" s="30"/>
      <c r="B709" s="31"/>
      <c r="C709" s="32"/>
      <c r="D709" s="33"/>
      <c r="E709" s="34"/>
      <c r="F709" s="34"/>
      <c r="G709" s="35"/>
      <c r="H709" s="34"/>
      <c r="I709" s="37"/>
    </row>
    <row r="710" ht="22.5" customHeight="1">
      <c r="A710" s="30"/>
      <c r="B710" s="31"/>
      <c r="C710" s="32"/>
      <c r="D710" s="33"/>
      <c r="E710" s="34"/>
      <c r="F710" s="34"/>
      <c r="G710" s="35"/>
      <c r="H710" s="34"/>
      <c r="I710" s="37"/>
    </row>
    <row r="711" ht="22.5" customHeight="1">
      <c r="A711" s="30"/>
      <c r="B711" s="31"/>
      <c r="C711" s="32"/>
      <c r="D711" s="33"/>
      <c r="E711" s="34"/>
      <c r="F711" s="34"/>
      <c r="G711" s="35"/>
      <c r="H711" s="34"/>
      <c r="I711" s="37"/>
    </row>
    <row r="712" ht="22.5" customHeight="1">
      <c r="A712" s="30"/>
      <c r="B712" s="31"/>
      <c r="C712" s="32"/>
      <c r="D712" s="33"/>
      <c r="E712" s="34"/>
      <c r="F712" s="34"/>
      <c r="G712" s="35"/>
      <c r="H712" s="34"/>
      <c r="I712" s="37"/>
    </row>
    <row r="713" ht="22.5" customHeight="1">
      <c r="A713" s="30"/>
      <c r="B713" s="31"/>
      <c r="C713" s="32"/>
      <c r="D713" s="33"/>
      <c r="E713" s="34"/>
      <c r="F713" s="34"/>
      <c r="G713" s="35"/>
      <c r="H713" s="34"/>
      <c r="I713" s="37"/>
    </row>
    <row r="714" ht="22.5" customHeight="1">
      <c r="A714" s="30"/>
      <c r="B714" s="31"/>
      <c r="C714" s="32"/>
      <c r="D714" s="33"/>
      <c r="E714" s="34"/>
      <c r="F714" s="34"/>
      <c r="G714" s="35"/>
      <c r="H714" s="34"/>
      <c r="I714" s="37"/>
    </row>
    <row r="715" ht="22.5" customHeight="1">
      <c r="A715" s="30"/>
      <c r="B715" s="31"/>
      <c r="C715" s="32"/>
      <c r="D715" s="33"/>
      <c r="E715" s="34"/>
      <c r="F715" s="34"/>
      <c r="G715" s="35"/>
      <c r="H715" s="34"/>
      <c r="I715" s="37"/>
    </row>
    <row r="716" ht="22.5" customHeight="1">
      <c r="A716" s="30"/>
      <c r="B716" s="31"/>
      <c r="C716" s="32"/>
      <c r="D716" s="33"/>
      <c r="E716" s="34"/>
      <c r="F716" s="34"/>
      <c r="G716" s="35"/>
      <c r="H716" s="34"/>
      <c r="I716" s="37"/>
    </row>
    <row r="717" ht="22.5" customHeight="1">
      <c r="A717" s="30"/>
      <c r="B717" s="31"/>
      <c r="C717" s="32"/>
      <c r="D717" s="33"/>
      <c r="E717" s="34"/>
      <c r="F717" s="34"/>
      <c r="G717" s="35"/>
      <c r="H717" s="34"/>
      <c r="I717" s="37"/>
    </row>
    <row r="718" ht="22.5" customHeight="1">
      <c r="A718" s="30"/>
      <c r="B718" s="31"/>
      <c r="C718" s="32"/>
      <c r="D718" s="33"/>
      <c r="E718" s="34"/>
      <c r="F718" s="34"/>
      <c r="G718" s="35"/>
      <c r="H718" s="34"/>
      <c r="I718" s="37"/>
    </row>
    <row r="719" ht="22.5" customHeight="1">
      <c r="A719" s="30"/>
      <c r="B719" s="31"/>
      <c r="C719" s="32"/>
      <c r="D719" s="33"/>
      <c r="E719" s="34"/>
      <c r="F719" s="34"/>
      <c r="G719" s="35"/>
      <c r="H719" s="34"/>
      <c r="I719" s="37"/>
    </row>
    <row r="720" ht="22.5" customHeight="1">
      <c r="A720" s="30"/>
      <c r="B720" s="31"/>
      <c r="C720" s="32"/>
      <c r="D720" s="33"/>
      <c r="E720" s="34"/>
      <c r="F720" s="34"/>
      <c r="G720" s="35"/>
      <c r="H720" s="34"/>
      <c r="I720" s="37"/>
    </row>
    <row r="721" ht="22.5" customHeight="1">
      <c r="A721" s="30"/>
      <c r="B721" s="31"/>
      <c r="C721" s="32"/>
      <c r="D721" s="33"/>
      <c r="E721" s="34"/>
      <c r="F721" s="34"/>
      <c r="G721" s="35"/>
      <c r="H721" s="34"/>
      <c r="I721" s="37"/>
    </row>
    <row r="722" ht="22.5" customHeight="1">
      <c r="A722" s="30"/>
      <c r="B722" s="31"/>
      <c r="C722" s="32"/>
      <c r="D722" s="33"/>
      <c r="E722" s="34"/>
      <c r="F722" s="34"/>
      <c r="G722" s="35"/>
      <c r="H722" s="34"/>
      <c r="I722" s="37"/>
    </row>
    <row r="723" ht="22.5" customHeight="1">
      <c r="A723" s="30"/>
      <c r="B723" s="31"/>
      <c r="C723" s="32"/>
      <c r="D723" s="33"/>
      <c r="E723" s="34"/>
      <c r="F723" s="34"/>
      <c r="G723" s="35"/>
      <c r="H723" s="34"/>
      <c r="I723" s="37"/>
    </row>
    <row r="724" ht="22.5" customHeight="1">
      <c r="A724" s="30"/>
      <c r="B724" s="40"/>
      <c r="C724" s="32"/>
      <c r="D724" s="33"/>
      <c r="E724" s="34"/>
      <c r="F724" s="34"/>
      <c r="G724" s="35"/>
      <c r="H724" s="34"/>
      <c r="I724" s="37"/>
    </row>
    <row r="725" ht="22.5" customHeight="1">
      <c r="A725" s="30"/>
      <c r="B725" s="31"/>
      <c r="C725" s="32"/>
      <c r="D725" s="33"/>
      <c r="E725" s="34"/>
      <c r="F725" s="34"/>
      <c r="G725" s="35"/>
      <c r="H725" s="34"/>
      <c r="I725" s="37"/>
    </row>
    <row r="726" ht="22.5" customHeight="1">
      <c r="A726" s="30"/>
      <c r="B726" s="31"/>
      <c r="C726" s="32"/>
      <c r="D726" s="33"/>
      <c r="E726" s="34"/>
      <c r="F726" s="34"/>
      <c r="G726" s="35"/>
      <c r="H726" s="34"/>
      <c r="I726" s="37"/>
    </row>
    <row r="727" ht="22.5" customHeight="1">
      <c r="A727" s="30"/>
      <c r="B727" s="31"/>
      <c r="C727" s="32"/>
      <c r="D727" s="33"/>
      <c r="E727" s="34"/>
      <c r="F727" s="34"/>
      <c r="G727" s="35"/>
      <c r="H727" s="34"/>
      <c r="I727" s="37"/>
    </row>
    <row r="728" ht="22.5" customHeight="1">
      <c r="A728" s="30"/>
      <c r="B728" s="31"/>
      <c r="C728" s="32"/>
      <c r="D728" s="33"/>
      <c r="E728" s="34"/>
      <c r="F728" s="34"/>
      <c r="G728" s="35"/>
      <c r="H728" s="34"/>
      <c r="I728" s="38"/>
    </row>
    <row r="729" ht="22.5" customHeight="1">
      <c r="A729" s="30"/>
      <c r="B729" s="39"/>
      <c r="C729" s="32"/>
      <c r="D729" s="33"/>
      <c r="E729" s="34"/>
      <c r="F729" s="34"/>
      <c r="G729" s="35"/>
      <c r="H729" s="34"/>
      <c r="I729" s="37"/>
    </row>
    <row r="730" ht="22.5" customHeight="1">
      <c r="A730" s="30"/>
      <c r="B730" s="31"/>
      <c r="C730" s="32"/>
      <c r="D730" s="33"/>
      <c r="E730" s="34"/>
      <c r="F730" s="34"/>
      <c r="G730" s="35"/>
      <c r="H730" s="34"/>
      <c r="I730" s="37"/>
    </row>
    <row r="731" ht="22.5" customHeight="1">
      <c r="A731" s="30"/>
      <c r="B731" s="31"/>
      <c r="C731" s="32"/>
      <c r="D731" s="33"/>
      <c r="E731" s="34"/>
      <c r="F731" s="34"/>
      <c r="G731" s="35"/>
      <c r="H731" s="34"/>
      <c r="I731" s="37"/>
    </row>
    <row r="732" ht="22.5" customHeight="1">
      <c r="A732" s="30"/>
      <c r="B732" s="31"/>
      <c r="C732" s="32"/>
      <c r="D732" s="33"/>
      <c r="E732" s="34"/>
      <c r="F732" s="34"/>
      <c r="G732" s="35"/>
      <c r="H732" s="34"/>
      <c r="I732" s="37"/>
    </row>
    <row r="733" ht="22.5" customHeight="1">
      <c r="A733" s="30"/>
      <c r="B733" s="39"/>
      <c r="C733" s="32"/>
      <c r="D733" s="33"/>
      <c r="E733" s="34"/>
      <c r="F733" s="34"/>
      <c r="G733" s="35"/>
      <c r="H733" s="34"/>
      <c r="I733" s="37"/>
    </row>
    <row r="734" ht="22.5" customHeight="1">
      <c r="A734" s="30"/>
      <c r="B734" s="31"/>
      <c r="C734" s="32"/>
      <c r="D734" s="33"/>
      <c r="E734" s="34"/>
      <c r="F734" s="34"/>
      <c r="G734" s="35"/>
      <c r="H734" s="34"/>
      <c r="I734" s="37"/>
    </row>
    <row r="735" ht="22.5" customHeight="1">
      <c r="A735" s="30"/>
      <c r="B735" s="39"/>
      <c r="C735" s="32"/>
      <c r="D735" s="33"/>
      <c r="E735" s="34"/>
      <c r="F735" s="34"/>
      <c r="G735" s="35"/>
      <c r="H735" s="34"/>
      <c r="I735" s="37"/>
    </row>
    <row r="736" ht="22.5" customHeight="1">
      <c r="A736" s="30"/>
      <c r="B736" s="31"/>
      <c r="C736" s="32"/>
      <c r="D736" s="33"/>
      <c r="E736" s="34"/>
      <c r="F736" s="34"/>
      <c r="G736" s="35"/>
      <c r="H736" s="34"/>
      <c r="I736" s="37"/>
    </row>
    <row r="737" ht="22.5" customHeight="1">
      <c r="A737" s="30"/>
      <c r="B737" s="31"/>
      <c r="C737" s="32"/>
      <c r="D737" s="33"/>
      <c r="E737" s="34"/>
      <c r="F737" s="34"/>
      <c r="G737" s="35"/>
      <c r="H737" s="34"/>
      <c r="I737" s="37"/>
    </row>
    <row r="738" ht="22.5" customHeight="1">
      <c r="A738" s="30"/>
      <c r="B738" s="31"/>
      <c r="C738" s="32"/>
      <c r="D738" s="33"/>
      <c r="E738" s="34"/>
      <c r="F738" s="34"/>
      <c r="G738" s="35"/>
      <c r="H738" s="34"/>
      <c r="I738" s="37"/>
    </row>
    <row r="739" ht="22.5" customHeight="1">
      <c r="A739" s="30"/>
      <c r="B739" s="31"/>
      <c r="C739" s="32"/>
      <c r="D739" s="33"/>
      <c r="E739" s="34"/>
      <c r="F739" s="34"/>
      <c r="G739" s="35"/>
      <c r="H739" s="34"/>
      <c r="I739" s="37"/>
    </row>
    <row r="740" ht="22.5" customHeight="1">
      <c r="A740" s="30"/>
      <c r="B740" s="31"/>
      <c r="C740" s="32"/>
      <c r="D740" s="33"/>
      <c r="E740" s="34"/>
      <c r="F740" s="34"/>
      <c r="G740" s="35"/>
      <c r="H740" s="34"/>
      <c r="I740" s="37"/>
    </row>
    <row r="741" ht="22.5" customHeight="1">
      <c r="A741" s="30"/>
      <c r="B741" s="31"/>
      <c r="C741" s="32"/>
      <c r="D741" s="33"/>
      <c r="E741" s="34"/>
      <c r="F741" s="34"/>
      <c r="G741" s="35"/>
      <c r="H741" s="34"/>
      <c r="I741" s="37"/>
    </row>
    <row r="742" ht="22.5" customHeight="1">
      <c r="A742" s="30"/>
      <c r="B742" s="31"/>
      <c r="C742" s="32"/>
      <c r="D742" s="33"/>
      <c r="E742" s="34"/>
      <c r="F742" s="34"/>
      <c r="G742" s="35"/>
      <c r="H742" s="34"/>
      <c r="I742" s="37"/>
    </row>
    <row r="743" ht="22.5" customHeight="1">
      <c r="A743" s="30"/>
      <c r="B743" s="31"/>
      <c r="C743" s="32"/>
      <c r="D743" s="33"/>
      <c r="E743" s="34"/>
      <c r="F743" s="34"/>
      <c r="G743" s="35"/>
      <c r="H743" s="34"/>
      <c r="I743" s="37"/>
    </row>
    <row r="744" ht="22.5" customHeight="1">
      <c r="A744" s="30"/>
      <c r="B744" s="31"/>
      <c r="C744" s="32"/>
      <c r="D744" s="33"/>
      <c r="E744" s="34"/>
      <c r="F744" s="34"/>
      <c r="G744" s="35"/>
      <c r="H744" s="34"/>
      <c r="I744" s="37"/>
    </row>
    <row r="745" ht="22.5" customHeight="1">
      <c r="A745" s="30"/>
      <c r="B745" s="31"/>
      <c r="C745" s="32"/>
      <c r="D745" s="33"/>
      <c r="E745" s="34"/>
      <c r="F745" s="34"/>
      <c r="G745" s="35"/>
      <c r="H745" s="34"/>
      <c r="I745" s="37"/>
    </row>
    <row r="746" ht="22.5" customHeight="1">
      <c r="A746" s="30"/>
      <c r="B746" s="40"/>
      <c r="C746" s="32"/>
      <c r="D746" s="33"/>
      <c r="E746" s="34"/>
      <c r="F746" s="34"/>
      <c r="G746" s="35"/>
      <c r="H746" s="34"/>
      <c r="I746" s="37"/>
    </row>
    <row r="747" ht="22.5" customHeight="1">
      <c r="A747" s="30"/>
      <c r="B747" s="31"/>
      <c r="C747" s="32"/>
      <c r="D747" s="33"/>
      <c r="E747" s="34"/>
      <c r="F747" s="34"/>
      <c r="G747" s="35"/>
      <c r="H747" s="34"/>
      <c r="I747" s="37"/>
    </row>
    <row r="748" ht="22.5" customHeight="1">
      <c r="A748" s="30"/>
      <c r="B748" s="31"/>
      <c r="C748" s="32"/>
      <c r="D748" s="33"/>
      <c r="E748" s="34"/>
      <c r="F748" s="34"/>
      <c r="G748" s="35"/>
      <c r="H748" s="34"/>
      <c r="I748" s="37"/>
    </row>
    <row r="749" ht="22.5" customHeight="1">
      <c r="A749" s="30"/>
      <c r="B749" s="31"/>
      <c r="C749" s="32"/>
      <c r="D749" s="33"/>
      <c r="E749" s="34"/>
      <c r="F749" s="34"/>
      <c r="G749" s="35"/>
      <c r="H749" s="34"/>
      <c r="I749" s="37"/>
    </row>
    <row r="750" ht="22.5" customHeight="1">
      <c r="A750" s="30"/>
      <c r="B750" s="31"/>
      <c r="C750" s="32"/>
      <c r="D750" s="33"/>
      <c r="E750" s="34"/>
      <c r="F750" s="34"/>
      <c r="G750" s="35"/>
      <c r="H750" s="34"/>
      <c r="I750" s="37"/>
    </row>
    <row r="751" ht="22.5" customHeight="1">
      <c r="A751" s="30"/>
      <c r="B751" s="31"/>
      <c r="C751" s="32"/>
      <c r="D751" s="33"/>
      <c r="E751" s="34"/>
      <c r="F751" s="34"/>
      <c r="G751" s="35"/>
      <c r="H751" s="34"/>
      <c r="I751" s="37"/>
    </row>
    <row r="752" ht="22.5" customHeight="1">
      <c r="A752" s="30"/>
      <c r="B752" s="31"/>
      <c r="C752" s="32"/>
      <c r="D752" s="33"/>
      <c r="E752" s="34"/>
      <c r="F752" s="34"/>
      <c r="G752" s="35"/>
      <c r="H752" s="34"/>
      <c r="I752" s="37"/>
    </row>
    <row r="753" ht="22.5" customHeight="1">
      <c r="A753" s="30"/>
      <c r="B753" s="39"/>
      <c r="C753" s="32"/>
      <c r="D753" s="33"/>
      <c r="E753" s="34"/>
      <c r="F753" s="34"/>
      <c r="G753" s="35"/>
      <c r="H753" s="34"/>
      <c r="I753" s="37"/>
    </row>
    <row r="754" ht="22.5" customHeight="1">
      <c r="A754" s="30"/>
      <c r="B754" s="39"/>
      <c r="C754" s="32"/>
      <c r="D754" s="33"/>
      <c r="E754" s="34"/>
      <c r="F754" s="34"/>
      <c r="G754" s="35"/>
      <c r="H754" s="34"/>
      <c r="I754" s="37"/>
    </row>
    <row r="755" ht="22.5" customHeight="1">
      <c r="A755" s="30"/>
      <c r="B755" s="39"/>
      <c r="C755" s="32"/>
      <c r="D755" s="33"/>
      <c r="E755" s="34"/>
      <c r="F755" s="34"/>
      <c r="G755" s="35"/>
      <c r="H755" s="34"/>
      <c r="I755" s="37"/>
    </row>
    <row r="756" ht="22.5" customHeight="1">
      <c r="A756" s="30"/>
      <c r="B756" s="40"/>
      <c r="C756" s="32"/>
      <c r="D756" s="33"/>
      <c r="E756" s="34"/>
      <c r="F756" s="34"/>
      <c r="G756" s="35"/>
      <c r="H756" s="34"/>
      <c r="I756" s="37"/>
    </row>
    <row r="757" ht="22.5" customHeight="1">
      <c r="A757" s="30"/>
      <c r="B757" s="31"/>
      <c r="C757" s="32"/>
      <c r="D757" s="33"/>
      <c r="E757" s="34"/>
      <c r="F757" s="34"/>
      <c r="G757" s="35"/>
      <c r="H757" s="34"/>
      <c r="I757" s="37"/>
    </row>
    <row r="758" ht="22.5" customHeight="1">
      <c r="A758" s="30"/>
      <c r="B758" s="31"/>
      <c r="C758" s="32"/>
      <c r="D758" s="33"/>
      <c r="E758" s="34"/>
      <c r="F758" s="34"/>
      <c r="G758" s="35"/>
      <c r="H758" s="34"/>
      <c r="I758" s="37"/>
    </row>
    <row r="759" ht="22.5" customHeight="1">
      <c r="A759" s="30"/>
      <c r="B759" s="31"/>
      <c r="C759" s="32"/>
      <c r="D759" s="33"/>
      <c r="E759" s="34"/>
      <c r="F759" s="34"/>
      <c r="G759" s="35"/>
      <c r="H759" s="34"/>
      <c r="I759" s="37"/>
    </row>
    <row r="760" ht="22.5" customHeight="1">
      <c r="A760" s="30"/>
      <c r="B760" s="31"/>
      <c r="C760" s="32"/>
      <c r="D760" s="33"/>
      <c r="E760" s="34"/>
      <c r="F760" s="34"/>
      <c r="G760" s="35"/>
      <c r="H760" s="34"/>
      <c r="I760" s="37"/>
    </row>
    <row r="761" ht="22.5" customHeight="1">
      <c r="A761" s="30"/>
      <c r="B761" s="31"/>
      <c r="C761" s="32"/>
      <c r="D761" s="33"/>
      <c r="E761" s="34"/>
      <c r="F761" s="34"/>
      <c r="G761" s="35"/>
      <c r="H761" s="34"/>
      <c r="I761" s="37"/>
    </row>
    <row r="762" ht="22.5" customHeight="1">
      <c r="A762" s="30"/>
      <c r="B762" s="31"/>
      <c r="C762" s="32"/>
      <c r="D762" s="33"/>
      <c r="E762" s="34"/>
      <c r="F762" s="34"/>
      <c r="G762" s="35"/>
      <c r="H762" s="34"/>
      <c r="I762" s="37"/>
    </row>
    <row r="763" ht="22.5" customHeight="1">
      <c r="A763" s="30"/>
      <c r="B763" s="31"/>
      <c r="C763" s="32"/>
      <c r="D763" s="33"/>
      <c r="E763" s="34"/>
      <c r="F763" s="34"/>
      <c r="G763" s="35"/>
      <c r="H763" s="34"/>
      <c r="I763" s="37"/>
    </row>
    <row r="764" ht="22.5" customHeight="1">
      <c r="A764" s="30"/>
      <c r="B764" s="31"/>
      <c r="C764" s="32"/>
      <c r="D764" s="33"/>
      <c r="E764" s="34"/>
      <c r="F764" s="34"/>
      <c r="G764" s="35"/>
      <c r="H764" s="34"/>
      <c r="I764" s="37"/>
    </row>
    <row r="765" ht="22.5" customHeight="1">
      <c r="A765" s="30"/>
      <c r="B765" s="31"/>
      <c r="C765" s="32"/>
      <c r="D765" s="33"/>
      <c r="E765" s="34"/>
      <c r="F765" s="34"/>
      <c r="G765" s="35"/>
      <c r="H765" s="34"/>
      <c r="I765" s="37"/>
    </row>
    <row r="766" ht="22.5" customHeight="1">
      <c r="A766" s="30"/>
      <c r="B766" s="40"/>
      <c r="C766" s="32"/>
      <c r="D766" s="33"/>
      <c r="E766" s="34"/>
      <c r="F766" s="34"/>
      <c r="G766" s="35"/>
      <c r="H766" s="34"/>
      <c r="I766" s="37"/>
    </row>
    <row r="767" ht="22.5" customHeight="1">
      <c r="A767" s="30"/>
      <c r="B767" s="31"/>
      <c r="C767" s="32"/>
      <c r="D767" s="33"/>
      <c r="E767" s="34"/>
      <c r="F767" s="34"/>
      <c r="G767" s="35"/>
      <c r="H767" s="34"/>
      <c r="I767" s="37"/>
    </row>
    <row r="768" ht="22.5" customHeight="1">
      <c r="A768" s="30"/>
      <c r="B768" s="31"/>
      <c r="C768" s="32"/>
      <c r="D768" s="33"/>
      <c r="E768" s="34"/>
      <c r="F768" s="34"/>
      <c r="G768" s="35"/>
      <c r="H768" s="34"/>
      <c r="I768" s="37"/>
    </row>
    <row r="769" ht="22.5" customHeight="1">
      <c r="A769" s="30"/>
      <c r="B769" s="31"/>
      <c r="C769" s="32"/>
      <c r="D769" s="33"/>
      <c r="E769" s="34"/>
      <c r="F769" s="34"/>
      <c r="G769" s="35"/>
      <c r="H769" s="34"/>
      <c r="I769" s="37"/>
    </row>
    <row r="770" ht="22.5" customHeight="1">
      <c r="A770" s="30"/>
      <c r="B770" s="40"/>
      <c r="C770" s="32"/>
      <c r="D770" s="33"/>
      <c r="E770" s="34"/>
      <c r="F770" s="34"/>
      <c r="G770" s="35"/>
      <c r="H770" s="34"/>
      <c r="I770" s="37"/>
    </row>
    <row r="771" ht="22.5" customHeight="1">
      <c r="A771" s="30"/>
      <c r="B771" s="31"/>
      <c r="C771" s="32"/>
      <c r="D771" s="33"/>
      <c r="E771" s="34"/>
      <c r="F771" s="34"/>
      <c r="G771" s="35"/>
      <c r="H771" s="34"/>
      <c r="I771" s="37"/>
    </row>
    <row r="772" ht="22.5" customHeight="1">
      <c r="A772" s="30"/>
      <c r="B772" s="31"/>
      <c r="C772" s="32"/>
      <c r="D772" s="33"/>
      <c r="E772" s="34"/>
      <c r="F772" s="34"/>
      <c r="G772" s="35"/>
      <c r="H772" s="34"/>
      <c r="I772" s="37"/>
    </row>
    <row r="773" ht="22.5" customHeight="1">
      <c r="A773" s="30"/>
      <c r="B773" s="31"/>
      <c r="C773" s="32"/>
      <c r="D773" s="33"/>
      <c r="E773" s="34"/>
      <c r="F773" s="34"/>
      <c r="G773" s="35"/>
      <c r="H773" s="34"/>
      <c r="I773" s="37"/>
    </row>
    <row r="774" ht="22.5" customHeight="1">
      <c r="A774" s="30"/>
      <c r="B774" s="31"/>
      <c r="C774" s="32"/>
      <c r="D774" s="33"/>
      <c r="E774" s="34"/>
      <c r="F774" s="34"/>
      <c r="G774" s="35"/>
      <c r="H774" s="34"/>
      <c r="I774" s="37"/>
    </row>
    <row r="775" ht="22.5" customHeight="1">
      <c r="A775" s="30"/>
      <c r="B775" s="31"/>
      <c r="C775" s="32"/>
      <c r="D775" s="33"/>
      <c r="E775" s="34"/>
      <c r="F775" s="34"/>
      <c r="G775" s="35"/>
      <c r="H775" s="34"/>
      <c r="I775" s="37"/>
    </row>
    <row r="776" ht="22.5" customHeight="1">
      <c r="A776" s="30"/>
      <c r="B776" s="31"/>
      <c r="C776" s="32"/>
      <c r="D776" s="33"/>
      <c r="E776" s="34"/>
      <c r="F776" s="34"/>
      <c r="G776" s="35"/>
      <c r="H776" s="34"/>
      <c r="I776" s="37"/>
    </row>
    <row r="777" ht="22.5" customHeight="1">
      <c r="A777" s="30"/>
      <c r="B777" s="31"/>
      <c r="C777" s="32"/>
      <c r="D777" s="33"/>
      <c r="E777" s="34"/>
      <c r="F777" s="34"/>
      <c r="G777" s="35"/>
      <c r="H777" s="34"/>
      <c r="I777" s="37"/>
    </row>
    <row r="778" ht="22.5" customHeight="1">
      <c r="A778" s="30"/>
      <c r="B778" s="31"/>
      <c r="C778" s="32"/>
      <c r="D778" s="33"/>
      <c r="E778" s="34"/>
      <c r="F778" s="34"/>
      <c r="G778" s="35"/>
      <c r="H778" s="34"/>
      <c r="I778" s="37"/>
    </row>
    <row r="779" ht="22.5" customHeight="1">
      <c r="A779" s="30"/>
      <c r="B779" s="31"/>
      <c r="C779" s="32"/>
      <c r="D779" s="33"/>
      <c r="E779" s="34"/>
      <c r="F779" s="34"/>
      <c r="G779" s="35"/>
      <c r="H779" s="34"/>
      <c r="I779" s="37"/>
    </row>
    <row r="780" ht="22.5" customHeight="1">
      <c r="A780" s="30"/>
      <c r="B780" s="31"/>
      <c r="C780" s="32"/>
      <c r="D780" s="33"/>
      <c r="E780" s="34"/>
      <c r="F780" s="34"/>
      <c r="G780" s="35"/>
      <c r="H780" s="34"/>
      <c r="I780" s="37"/>
    </row>
    <row r="781" ht="22.5" customHeight="1">
      <c r="A781" s="30"/>
      <c r="B781" s="31"/>
      <c r="C781" s="32"/>
      <c r="D781" s="33"/>
      <c r="E781" s="34"/>
      <c r="F781" s="34"/>
      <c r="G781" s="35"/>
      <c r="H781" s="34"/>
      <c r="I781" s="37"/>
    </row>
    <row r="782" ht="22.5" customHeight="1">
      <c r="A782" s="30"/>
      <c r="B782" s="31"/>
      <c r="C782" s="32"/>
      <c r="D782" s="33"/>
      <c r="E782" s="34"/>
      <c r="F782" s="34"/>
      <c r="G782" s="35"/>
      <c r="H782" s="34"/>
      <c r="I782" s="37"/>
    </row>
    <row r="783" ht="22.5" customHeight="1">
      <c r="A783" s="30"/>
      <c r="B783" s="31"/>
      <c r="C783" s="32"/>
      <c r="D783" s="33"/>
      <c r="E783" s="34"/>
      <c r="F783" s="34"/>
      <c r="G783" s="35"/>
      <c r="H783" s="34"/>
      <c r="I783" s="37"/>
    </row>
    <row r="784" ht="22.5" customHeight="1">
      <c r="A784" s="30"/>
      <c r="B784" s="31"/>
      <c r="C784" s="32"/>
      <c r="D784" s="33"/>
      <c r="E784" s="34"/>
      <c r="F784" s="34"/>
      <c r="G784" s="35"/>
      <c r="H784" s="34"/>
      <c r="I784" s="37"/>
    </row>
    <row r="785" ht="22.5" customHeight="1">
      <c r="A785" s="30"/>
      <c r="B785" s="40"/>
      <c r="C785" s="32"/>
      <c r="D785" s="33"/>
      <c r="E785" s="34"/>
      <c r="F785" s="34"/>
      <c r="G785" s="35"/>
      <c r="H785" s="34"/>
      <c r="I785" s="37"/>
    </row>
    <row r="786" ht="22.5" customHeight="1">
      <c r="A786" s="30"/>
      <c r="B786" s="31"/>
      <c r="C786" s="32"/>
      <c r="D786" s="33"/>
      <c r="E786" s="34"/>
      <c r="F786" s="34"/>
      <c r="G786" s="35"/>
      <c r="H786" s="34"/>
      <c r="I786" s="37"/>
    </row>
    <row r="787" ht="22.5" customHeight="1">
      <c r="A787" s="30"/>
      <c r="B787" s="40"/>
      <c r="C787" s="32"/>
      <c r="D787" s="33"/>
      <c r="E787" s="34"/>
      <c r="F787" s="34"/>
      <c r="G787" s="35"/>
      <c r="H787" s="34"/>
      <c r="I787" s="37"/>
    </row>
    <row r="788" ht="22.5" customHeight="1">
      <c r="A788" s="30"/>
      <c r="B788" s="31"/>
      <c r="C788" s="32"/>
      <c r="D788" s="33"/>
      <c r="E788" s="34"/>
      <c r="F788" s="34"/>
      <c r="G788" s="35"/>
      <c r="H788" s="34"/>
      <c r="I788" s="37"/>
    </row>
    <row r="789" ht="22.5" customHeight="1">
      <c r="A789" s="30"/>
      <c r="B789" s="31"/>
      <c r="C789" s="32"/>
      <c r="D789" s="33"/>
      <c r="E789" s="34"/>
      <c r="F789" s="34"/>
      <c r="G789" s="35"/>
      <c r="H789" s="34"/>
      <c r="I789" s="37"/>
    </row>
    <row r="790" ht="22.5" customHeight="1">
      <c r="A790" s="30"/>
      <c r="B790" s="31"/>
      <c r="C790" s="32"/>
      <c r="D790" s="33"/>
      <c r="E790" s="34"/>
      <c r="F790" s="34"/>
      <c r="G790" s="35"/>
      <c r="H790" s="34"/>
      <c r="I790" s="37"/>
    </row>
    <row r="791" ht="22.5" customHeight="1">
      <c r="A791" s="30"/>
      <c r="B791" s="31"/>
      <c r="C791" s="32"/>
      <c r="D791" s="33"/>
      <c r="E791" s="34"/>
      <c r="F791" s="34"/>
      <c r="G791" s="35"/>
      <c r="H791" s="34"/>
      <c r="I791" s="37"/>
    </row>
    <row r="792" ht="22.5" customHeight="1">
      <c r="A792" s="30"/>
      <c r="B792" s="40"/>
      <c r="C792" s="32"/>
      <c r="D792" s="33"/>
      <c r="E792" s="34"/>
      <c r="F792" s="34"/>
      <c r="G792" s="35"/>
      <c r="H792" s="34"/>
      <c r="I792" s="37"/>
    </row>
    <row r="793" ht="22.5" customHeight="1">
      <c r="A793" s="30"/>
      <c r="B793" s="31"/>
      <c r="C793" s="32"/>
      <c r="D793" s="33"/>
      <c r="E793" s="34"/>
      <c r="F793" s="34"/>
      <c r="G793" s="35"/>
      <c r="H793" s="34"/>
      <c r="I793" s="37"/>
    </row>
    <row r="794" ht="22.5" customHeight="1">
      <c r="A794" s="30"/>
      <c r="B794" s="31"/>
      <c r="C794" s="32"/>
      <c r="D794" s="33"/>
      <c r="E794" s="34"/>
      <c r="F794" s="34"/>
      <c r="G794" s="35"/>
      <c r="H794" s="34"/>
      <c r="I794" s="37"/>
    </row>
    <row r="795" ht="22.5" customHeight="1">
      <c r="A795" s="30"/>
      <c r="B795" s="31"/>
      <c r="C795" s="32"/>
      <c r="D795" s="33"/>
      <c r="E795" s="34"/>
      <c r="F795" s="34"/>
      <c r="G795" s="35"/>
      <c r="H795" s="34"/>
      <c r="I795" s="37"/>
    </row>
    <row r="796" ht="22.5" customHeight="1">
      <c r="A796" s="30"/>
      <c r="B796" s="31"/>
      <c r="C796" s="32"/>
      <c r="D796" s="33"/>
      <c r="E796" s="34"/>
      <c r="F796" s="34"/>
      <c r="G796" s="35"/>
      <c r="H796" s="34"/>
      <c r="I796" s="37"/>
    </row>
    <row r="797" ht="22.5" customHeight="1">
      <c r="A797" s="30"/>
      <c r="B797" s="31"/>
      <c r="C797" s="32"/>
      <c r="D797" s="33"/>
      <c r="E797" s="34"/>
      <c r="F797" s="34"/>
      <c r="G797" s="35"/>
      <c r="H797" s="34"/>
      <c r="I797" s="37"/>
    </row>
    <row r="798" ht="22.5" customHeight="1">
      <c r="A798" s="30"/>
      <c r="B798" s="31"/>
      <c r="C798" s="32"/>
      <c r="D798" s="33"/>
      <c r="E798" s="34"/>
      <c r="F798" s="34"/>
      <c r="G798" s="35"/>
      <c r="H798" s="34"/>
      <c r="I798" s="37"/>
    </row>
    <row r="799" ht="22.5" customHeight="1">
      <c r="A799" s="30"/>
      <c r="B799" s="31"/>
      <c r="C799" s="32"/>
      <c r="D799" s="33"/>
      <c r="E799" s="34"/>
      <c r="F799" s="34"/>
      <c r="G799" s="35"/>
      <c r="H799" s="34"/>
      <c r="I799" s="37"/>
    </row>
    <row r="800" ht="22.5" customHeight="1">
      <c r="A800" s="30"/>
      <c r="B800" s="31"/>
      <c r="C800" s="32"/>
      <c r="D800" s="33"/>
      <c r="E800" s="34"/>
      <c r="F800" s="34"/>
      <c r="G800" s="35"/>
      <c r="H800" s="34"/>
      <c r="I800" s="37"/>
    </row>
    <row r="801" ht="22.5" customHeight="1">
      <c r="A801" s="30"/>
      <c r="B801" s="31"/>
      <c r="C801" s="32"/>
      <c r="D801" s="33"/>
      <c r="E801" s="34"/>
      <c r="F801" s="34"/>
      <c r="G801" s="35"/>
      <c r="H801" s="34"/>
      <c r="I801" s="37"/>
    </row>
    <row r="802" ht="22.5" customHeight="1">
      <c r="A802" s="30"/>
      <c r="B802" s="31"/>
      <c r="C802" s="32"/>
      <c r="D802" s="33"/>
      <c r="E802" s="34"/>
      <c r="F802" s="34"/>
      <c r="G802" s="35"/>
      <c r="H802" s="34"/>
      <c r="I802" s="37"/>
    </row>
    <row r="803" ht="22.5" customHeight="1">
      <c r="A803" s="30"/>
      <c r="B803" s="31"/>
      <c r="C803" s="32"/>
      <c r="D803" s="33"/>
      <c r="E803" s="34"/>
      <c r="F803" s="34"/>
      <c r="G803" s="35"/>
      <c r="H803" s="34"/>
      <c r="I803" s="37"/>
    </row>
    <row r="804" ht="22.5" customHeight="1">
      <c r="A804" s="30"/>
      <c r="B804" s="31"/>
      <c r="C804" s="32"/>
      <c r="D804" s="33"/>
      <c r="E804" s="34"/>
      <c r="F804" s="34"/>
      <c r="G804" s="35"/>
      <c r="H804" s="34"/>
      <c r="I804" s="37"/>
    </row>
    <row r="805" ht="22.5" customHeight="1">
      <c r="A805" s="30"/>
      <c r="B805" s="31"/>
      <c r="C805" s="32"/>
      <c r="D805" s="33"/>
      <c r="E805" s="34"/>
      <c r="F805" s="34"/>
      <c r="G805" s="35"/>
      <c r="H805" s="34"/>
      <c r="I805" s="37"/>
    </row>
    <row r="806" ht="22.5" customHeight="1">
      <c r="A806" s="30"/>
      <c r="B806" s="31"/>
      <c r="C806" s="32"/>
      <c r="D806" s="33"/>
      <c r="E806" s="34"/>
      <c r="F806" s="34"/>
      <c r="G806" s="35"/>
      <c r="H806" s="34"/>
      <c r="I806" s="37"/>
    </row>
    <row r="807" ht="22.5" customHeight="1">
      <c r="A807" s="30"/>
      <c r="B807" s="31"/>
      <c r="C807" s="32"/>
      <c r="D807" s="33"/>
      <c r="E807" s="34"/>
      <c r="F807" s="34"/>
      <c r="G807" s="35"/>
      <c r="H807" s="34"/>
      <c r="I807" s="37"/>
    </row>
    <row r="808" ht="22.5" customHeight="1">
      <c r="A808" s="30"/>
      <c r="B808" s="31"/>
      <c r="C808" s="32"/>
      <c r="D808" s="33"/>
      <c r="E808" s="34"/>
      <c r="F808" s="34"/>
      <c r="G808" s="35"/>
      <c r="H808" s="34"/>
      <c r="I808" s="37"/>
    </row>
    <row r="809" ht="22.5" customHeight="1">
      <c r="A809" s="30"/>
      <c r="B809" s="31"/>
      <c r="C809" s="32"/>
      <c r="D809" s="33"/>
      <c r="E809" s="34"/>
      <c r="F809" s="34"/>
      <c r="G809" s="35"/>
      <c r="H809" s="34"/>
      <c r="I809" s="37"/>
    </row>
    <row r="810" ht="22.5" customHeight="1">
      <c r="A810" s="30"/>
      <c r="B810" s="31"/>
      <c r="C810" s="32"/>
      <c r="D810" s="33"/>
      <c r="E810" s="34"/>
      <c r="F810" s="34"/>
      <c r="G810" s="35"/>
      <c r="H810" s="34"/>
      <c r="I810" s="37"/>
    </row>
    <row r="811" ht="22.5" customHeight="1">
      <c r="A811" s="30"/>
      <c r="B811" s="31"/>
      <c r="C811" s="32"/>
      <c r="D811" s="33"/>
      <c r="E811" s="34"/>
      <c r="F811" s="34"/>
      <c r="G811" s="35"/>
      <c r="H811" s="34"/>
      <c r="I811" s="37"/>
    </row>
    <row r="812" ht="22.5" customHeight="1">
      <c r="A812" s="30"/>
      <c r="B812" s="31"/>
      <c r="C812" s="32"/>
      <c r="D812" s="33"/>
      <c r="E812" s="34"/>
      <c r="F812" s="34"/>
      <c r="G812" s="35"/>
      <c r="H812" s="34"/>
      <c r="I812" s="37"/>
    </row>
    <row r="813" ht="22.5" customHeight="1">
      <c r="A813" s="30"/>
      <c r="B813" s="31"/>
      <c r="C813" s="32"/>
      <c r="D813" s="33"/>
      <c r="E813" s="34"/>
      <c r="F813" s="34"/>
      <c r="G813" s="35"/>
      <c r="H813" s="34"/>
      <c r="I813" s="37"/>
    </row>
    <row r="814" ht="22.5" customHeight="1">
      <c r="A814" s="30"/>
      <c r="B814" s="40"/>
      <c r="C814" s="32"/>
      <c r="D814" s="33"/>
      <c r="E814" s="34"/>
      <c r="F814" s="34"/>
      <c r="G814" s="35"/>
      <c r="H814" s="34"/>
      <c r="I814" s="37"/>
    </row>
    <row r="815" ht="22.5" customHeight="1">
      <c r="A815" s="30"/>
      <c r="B815" s="31"/>
      <c r="C815" s="32"/>
      <c r="D815" s="33"/>
      <c r="E815" s="34"/>
      <c r="F815" s="34"/>
      <c r="G815" s="35"/>
      <c r="H815" s="34"/>
      <c r="I815" s="37"/>
    </row>
    <row r="816" ht="22.5" customHeight="1">
      <c r="A816" s="30"/>
      <c r="B816" s="31"/>
      <c r="C816" s="32"/>
      <c r="D816" s="33"/>
      <c r="E816" s="34"/>
      <c r="F816" s="34"/>
      <c r="G816" s="35"/>
      <c r="H816" s="34"/>
      <c r="I816" s="37"/>
    </row>
    <row r="817" ht="22.5" customHeight="1">
      <c r="A817" s="30"/>
      <c r="B817" s="31"/>
      <c r="C817" s="32"/>
      <c r="D817" s="33"/>
      <c r="E817" s="34"/>
      <c r="F817" s="34"/>
      <c r="G817" s="35"/>
      <c r="H817" s="34"/>
      <c r="I817" s="37"/>
    </row>
    <row r="818" ht="22.5" customHeight="1">
      <c r="A818" s="30"/>
      <c r="B818" s="31"/>
      <c r="C818" s="32"/>
      <c r="D818" s="33"/>
      <c r="E818" s="34"/>
      <c r="F818" s="34"/>
      <c r="G818" s="35"/>
      <c r="H818" s="34"/>
      <c r="I818" s="38"/>
    </row>
    <row r="819" ht="22.5" customHeight="1">
      <c r="A819" s="30"/>
      <c r="B819" s="39"/>
      <c r="C819" s="32"/>
      <c r="D819" s="33"/>
      <c r="E819" s="34"/>
      <c r="F819" s="34"/>
      <c r="G819" s="35"/>
      <c r="H819" s="34"/>
      <c r="I819" s="37"/>
    </row>
    <row r="820" ht="22.5" customHeight="1">
      <c r="A820" s="30"/>
      <c r="B820" s="31"/>
      <c r="C820" s="32"/>
      <c r="D820" s="33"/>
      <c r="E820" s="34"/>
      <c r="F820" s="34"/>
      <c r="G820" s="35"/>
      <c r="H820" s="34"/>
      <c r="I820" s="37"/>
    </row>
    <row r="821" ht="22.5" customHeight="1">
      <c r="A821" s="30"/>
      <c r="B821" s="31"/>
      <c r="C821" s="32"/>
      <c r="D821" s="33"/>
      <c r="E821" s="34"/>
      <c r="F821" s="34"/>
      <c r="G821" s="35"/>
      <c r="H821" s="34"/>
      <c r="I821" s="37"/>
    </row>
    <row r="822" ht="22.5" customHeight="1">
      <c r="A822" s="30"/>
      <c r="B822" s="31"/>
      <c r="C822" s="32"/>
      <c r="D822" s="33"/>
      <c r="E822" s="34"/>
      <c r="F822" s="34"/>
      <c r="G822" s="35"/>
      <c r="H822" s="34"/>
      <c r="I822" s="37"/>
    </row>
    <row r="823" ht="22.5" customHeight="1">
      <c r="A823" s="30"/>
      <c r="B823" s="39"/>
      <c r="C823" s="32"/>
      <c r="D823" s="33"/>
      <c r="E823" s="34"/>
      <c r="F823" s="34"/>
      <c r="G823" s="35"/>
      <c r="H823" s="34"/>
      <c r="I823" s="37"/>
    </row>
    <row r="824" ht="22.5" customHeight="1">
      <c r="A824" s="30"/>
      <c r="B824" s="31"/>
      <c r="C824" s="32"/>
      <c r="D824" s="33"/>
      <c r="E824" s="34"/>
      <c r="F824" s="34"/>
      <c r="G824" s="35"/>
      <c r="H824" s="34"/>
      <c r="I824" s="37"/>
    </row>
    <row r="825" ht="22.5" customHeight="1">
      <c r="A825" s="30"/>
      <c r="B825" s="39"/>
      <c r="C825" s="32"/>
      <c r="D825" s="33"/>
      <c r="E825" s="34"/>
      <c r="F825" s="34"/>
      <c r="G825" s="35"/>
      <c r="H825" s="34"/>
      <c r="I825" s="37"/>
    </row>
    <row r="826" ht="22.5" customHeight="1">
      <c r="A826" s="30"/>
      <c r="B826" s="31"/>
      <c r="C826" s="32"/>
      <c r="D826" s="33"/>
      <c r="E826" s="34"/>
      <c r="F826" s="34"/>
      <c r="G826" s="35"/>
      <c r="H826" s="34"/>
      <c r="I826" s="37"/>
    </row>
    <row r="827" ht="22.5" customHeight="1">
      <c r="A827" s="30"/>
      <c r="B827" s="31"/>
      <c r="C827" s="32"/>
      <c r="D827" s="33"/>
      <c r="E827" s="34"/>
      <c r="F827" s="34"/>
      <c r="G827" s="35"/>
      <c r="H827" s="34"/>
      <c r="I827" s="37"/>
    </row>
    <row r="828" ht="22.5" customHeight="1">
      <c r="A828" s="30"/>
      <c r="B828" s="31"/>
      <c r="C828" s="32"/>
      <c r="D828" s="33"/>
      <c r="E828" s="34"/>
      <c r="F828" s="34"/>
      <c r="G828" s="35"/>
      <c r="H828" s="34"/>
      <c r="I828" s="37"/>
    </row>
    <row r="829" ht="22.5" customHeight="1">
      <c r="A829" s="30"/>
      <c r="B829" s="31"/>
      <c r="C829" s="32"/>
      <c r="D829" s="33"/>
      <c r="E829" s="34"/>
      <c r="F829" s="34"/>
      <c r="G829" s="35"/>
      <c r="H829" s="34"/>
      <c r="I829" s="37"/>
    </row>
    <row r="830" ht="22.5" customHeight="1">
      <c r="A830" s="30"/>
      <c r="B830" s="31"/>
      <c r="C830" s="32"/>
      <c r="D830" s="33"/>
      <c r="E830" s="34"/>
      <c r="F830" s="34"/>
      <c r="G830" s="35"/>
      <c r="H830" s="34"/>
      <c r="I830" s="37"/>
    </row>
    <row r="831" ht="22.5" customHeight="1">
      <c r="A831" s="30"/>
      <c r="B831" s="31"/>
      <c r="C831" s="32"/>
      <c r="D831" s="33"/>
      <c r="E831" s="34"/>
      <c r="F831" s="34"/>
      <c r="G831" s="35"/>
      <c r="H831" s="34"/>
      <c r="I831" s="37"/>
    </row>
    <row r="832" ht="22.5" customHeight="1">
      <c r="A832" s="30"/>
      <c r="B832" s="31"/>
      <c r="C832" s="32"/>
      <c r="D832" s="33"/>
      <c r="E832" s="34"/>
      <c r="F832" s="34"/>
      <c r="G832" s="35"/>
      <c r="H832" s="34"/>
      <c r="I832" s="37"/>
    </row>
    <row r="833" ht="22.5" customHeight="1">
      <c r="A833" s="30"/>
      <c r="B833" s="31"/>
      <c r="C833" s="32"/>
      <c r="D833" s="33"/>
      <c r="E833" s="34"/>
      <c r="F833" s="34"/>
      <c r="G833" s="35"/>
      <c r="H833" s="34"/>
      <c r="I833" s="37"/>
    </row>
    <row r="834" ht="22.5" customHeight="1">
      <c r="A834" s="30"/>
      <c r="B834" s="31"/>
      <c r="C834" s="32"/>
      <c r="D834" s="33"/>
      <c r="E834" s="34"/>
      <c r="F834" s="34"/>
      <c r="G834" s="35"/>
      <c r="H834" s="34"/>
      <c r="I834" s="37"/>
    </row>
    <row r="835" ht="22.5" customHeight="1">
      <c r="A835" s="30"/>
      <c r="B835" s="31"/>
      <c r="C835" s="32"/>
      <c r="D835" s="33"/>
      <c r="E835" s="34"/>
      <c r="F835" s="34"/>
      <c r="G835" s="35"/>
      <c r="H835" s="34"/>
      <c r="I835" s="37"/>
    </row>
    <row r="836" ht="22.5" customHeight="1">
      <c r="A836" s="30"/>
      <c r="B836" s="40"/>
      <c r="C836" s="32"/>
      <c r="D836" s="33"/>
      <c r="E836" s="34"/>
      <c r="F836" s="34"/>
      <c r="G836" s="35"/>
      <c r="H836" s="34"/>
      <c r="I836" s="37"/>
    </row>
    <row r="837" ht="22.5" customHeight="1">
      <c r="A837" s="30"/>
      <c r="B837" s="31"/>
      <c r="C837" s="32"/>
      <c r="D837" s="33"/>
      <c r="E837" s="34"/>
      <c r="F837" s="34"/>
      <c r="G837" s="35"/>
      <c r="H837" s="34"/>
      <c r="I837" s="37"/>
    </row>
    <row r="838" ht="22.5" customHeight="1">
      <c r="A838" s="30"/>
      <c r="B838" s="31"/>
      <c r="C838" s="32"/>
      <c r="D838" s="33"/>
      <c r="E838" s="34"/>
      <c r="F838" s="34"/>
      <c r="G838" s="35"/>
      <c r="H838" s="34"/>
      <c r="I838" s="37"/>
    </row>
    <row r="839" ht="22.5" customHeight="1">
      <c r="A839" s="30"/>
      <c r="B839" s="31"/>
      <c r="C839" s="32"/>
      <c r="D839" s="33"/>
      <c r="E839" s="34"/>
      <c r="F839" s="34"/>
      <c r="G839" s="35"/>
      <c r="H839" s="34"/>
      <c r="I839" s="37"/>
    </row>
    <row r="840" ht="22.5" customHeight="1">
      <c r="A840" s="30"/>
      <c r="B840" s="31"/>
      <c r="C840" s="32"/>
      <c r="D840" s="33"/>
      <c r="E840" s="34"/>
      <c r="F840" s="34"/>
      <c r="G840" s="35"/>
      <c r="H840" s="34"/>
      <c r="I840" s="37"/>
    </row>
    <row r="841" ht="22.5" customHeight="1">
      <c r="A841" s="30"/>
      <c r="B841" s="31"/>
      <c r="C841" s="32"/>
      <c r="D841" s="33"/>
      <c r="E841" s="34"/>
      <c r="F841" s="34"/>
      <c r="G841" s="35"/>
      <c r="H841" s="34"/>
      <c r="I841" s="37"/>
    </row>
    <row r="842" ht="22.5" customHeight="1">
      <c r="A842" s="30"/>
      <c r="B842" s="31"/>
      <c r="C842" s="32"/>
      <c r="D842" s="33"/>
      <c r="E842" s="34"/>
      <c r="F842" s="34"/>
      <c r="G842" s="35"/>
      <c r="H842" s="34"/>
      <c r="I842" s="37"/>
    </row>
    <row r="843" ht="22.5" customHeight="1">
      <c r="A843" s="30"/>
      <c r="B843" s="39"/>
      <c r="C843" s="32"/>
      <c r="D843" s="33"/>
      <c r="E843" s="34"/>
      <c r="F843" s="34"/>
      <c r="G843" s="35"/>
      <c r="H843" s="34"/>
      <c r="I843" s="37"/>
    </row>
    <row r="844" ht="22.5" customHeight="1">
      <c r="A844" s="30"/>
      <c r="B844" s="39"/>
      <c r="C844" s="32"/>
      <c r="D844" s="33"/>
      <c r="E844" s="34"/>
      <c r="F844" s="34"/>
      <c r="G844" s="35"/>
      <c r="H844" s="34"/>
      <c r="I844" s="37"/>
    </row>
    <row r="845" ht="22.5" customHeight="1">
      <c r="A845" s="30"/>
      <c r="B845" s="39"/>
      <c r="C845" s="32"/>
      <c r="D845" s="33"/>
      <c r="E845" s="34"/>
      <c r="F845" s="34"/>
      <c r="G845" s="35"/>
      <c r="H845" s="34"/>
      <c r="I845" s="37"/>
    </row>
    <row r="846" ht="22.5" customHeight="1">
      <c r="A846" s="30"/>
      <c r="B846" s="40"/>
      <c r="C846" s="32"/>
      <c r="D846" s="33"/>
      <c r="E846" s="34"/>
      <c r="F846" s="34"/>
      <c r="G846" s="35"/>
      <c r="H846" s="34"/>
      <c r="I846" s="37"/>
    </row>
    <row r="847" ht="22.5" customHeight="1">
      <c r="A847" s="30"/>
      <c r="B847" s="31"/>
      <c r="C847" s="32"/>
      <c r="D847" s="33"/>
      <c r="E847" s="34"/>
      <c r="F847" s="34"/>
      <c r="G847" s="35"/>
      <c r="H847" s="34"/>
      <c r="I847" s="37"/>
    </row>
    <row r="848" ht="22.5" customHeight="1">
      <c r="A848" s="30"/>
      <c r="B848" s="31"/>
      <c r="C848" s="32"/>
      <c r="D848" s="33"/>
      <c r="E848" s="34"/>
      <c r="F848" s="34"/>
      <c r="G848" s="35"/>
      <c r="H848" s="34"/>
      <c r="I848" s="37"/>
    </row>
    <row r="849" ht="22.5" customHeight="1">
      <c r="A849" s="30"/>
      <c r="B849" s="31"/>
      <c r="C849" s="32"/>
      <c r="D849" s="33"/>
      <c r="E849" s="34"/>
      <c r="F849" s="34"/>
      <c r="G849" s="35"/>
      <c r="H849" s="34"/>
      <c r="I849" s="37"/>
    </row>
    <row r="850" ht="22.5" customHeight="1">
      <c r="A850" s="30"/>
      <c r="B850" s="31"/>
      <c r="C850" s="32"/>
      <c r="D850" s="33"/>
      <c r="E850" s="34"/>
      <c r="F850" s="34"/>
      <c r="G850" s="35"/>
      <c r="H850" s="34"/>
      <c r="I850" s="37"/>
    </row>
    <row r="851" ht="22.5" customHeight="1">
      <c r="A851" s="30"/>
      <c r="B851" s="31"/>
      <c r="C851" s="32"/>
      <c r="D851" s="33"/>
      <c r="E851" s="34"/>
      <c r="F851" s="34"/>
      <c r="G851" s="35"/>
      <c r="H851" s="34"/>
      <c r="I851" s="37"/>
    </row>
    <row r="852" ht="22.5" customHeight="1">
      <c r="A852" s="30"/>
      <c r="B852" s="31"/>
      <c r="C852" s="32"/>
      <c r="D852" s="33"/>
      <c r="E852" s="34"/>
      <c r="F852" s="34"/>
      <c r="G852" s="35"/>
      <c r="H852" s="34"/>
      <c r="I852" s="37"/>
    </row>
    <row r="853" ht="22.5" customHeight="1">
      <c r="A853" s="30"/>
      <c r="B853" s="31"/>
      <c r="C853" s="32"/>
      <c r="D853" s="33"/>
      <c r="E853" s="34"/>
      <c r="F853" s="34"/>
      <c r="G853" s="35"/>
      <c r="H853" s="34"/>
      <c r="I853" s="37"/>
    </row>
    <row r="854" ht="22.5" customHeight="1">
      <c r="A854" s="30"/>
      <c r="B854" s="31"/>
      <c r="C854" s="32"/>
      <c r="D854" s="33"/>
      <c r="E854" s="34"/>
      <c r="F854" s="34"/>
      <c r="G854" s="35"/>
      <c r="H854" s="34"/>
      <c r="I854" s="37"/>
    </row>
    <row r="855" ht="22.5" customHeight="1">
      <c r="A855" s="30"/>
      <c r="B855" s="31"/>
      <c r="C855" s="32"/>
      <c r="D855" s="33"/>
      <c r="E855" s="34"/>
      <c r="F855" s="34"/>
      <c r="G855" s="35"/>
      <c r="H855" s="34"/>
      <c r="I855" s="37"/>
    </row>
    <row r="856" ht="22.5" customHeight="1">
      <c r="A856" s="30"/>
      <c r="B856" s="40"/>
      <c r="C856" s="32"/>
      <c r="D856" s="33"/>
      <c r="E856" s="34"/>
      <c r="F856" s="34"/>
      <c r="G856" s="35"/>
      <c r="H856" s="34"/>
      <c r="I856" s="37"/>
    </row>
    <row r="857" ht="22.5" customHeight="1">
      <c r="A857" s="30"/>
      <c r="B857" s="31"/>
      <c r="C857" s="32"/>
      <c r="D857" s="33"/>
      <c r="E857" s="34"/>
      <c r="F857" s="34"/>
      <c r="G857" s="35"/>
      <c r="H857" s="34"/>
      <c r="I857" s="37"/>
    </row>
    <row r="858" ht="22.5" customHeight="1">
      <c r="A858" s="30"/>
      <c r="B858" s="31"/>
      <c r="C858" s="32"/>
      <c r="D858" s="33"/>
      <c r="E858" s="34"/>
      <c r="F858" s="34"/>
      <c r="G858" s="35"/>
      <c r="H858" s="34"/>
      <c r="I858" s="37"/>
    </row>
    <row r="859" ht="22.5" customHeight="1">
      <c r="A859" s="30"/>
      <c r="B859" s="31"/>
      <c r="C859" s="32"/>
      <c r="D859" s="33"/>
      <c r="E859" s="34"/>
      <c r="F859" s="34"/>
      <c r="G859" s="35"/>
      <c r="H859" s="34"/>
      <c r="I859" s="37"/>
    </row>
    <row r="860" ht="22.5" customHeight="1">
      <c r="A860" s="30"/>
      <c r="B860" s="40"/>
      <c r="C860" s="32"/>
      <c r="D860" s="33"/>
      <c r="E860" s="34"/>
      <c r="F860" s="34"/>
      <c r="G860" s="35"/>
      <c r="H860" s="34"/>
      <c r="I860" s="37"/>
    </row>
    <row r="861" ht="22.5" customHeight="1">
      <c r="A861" s="30"/>
      <c r="B861" s="31"/>
      <c r="C861" s="32"/>
      <c r="D861" s="33"/>
      <c r="E861" s="34"/>
      <c r="F861" s="34"/>
      <c r="G861" s="35"/>
      <c r="H861" s="34"/>
      <c r="I861" s="37"/>
    </row>
    <row r="862" ht="22.5" customHeight="1">
      <c r="A862" s="30"/>
      <c r="B862" s="31"/>
      <c r="C862" s="32"/>
      <c r="D862" s="33"/>
      <c r="E862" s="34"/>
      <c r="F862" s="34"/>
      <c r="G862" s="35"/>
      <c r="H862" s="34"/>
      <c r="I862" s="37"/>
    </row>
    <row r="863" ht="22.5" customHeight="1">
      <c r="A863" s="30"/>
      <c r="B863" s="31"/>
      <c r="C863" s="32"/>
      <c r="D863" s="33"/>
      <c r="E863" s="34"/>
      <c r="F863" s="34"/>
      <c r="G863" s="35"/>
      <c r="H863" s="34"/>
      <c r="I863" s="37"/>
    </row>
    <row r="864" ht="22.5" customHeight="1">
      <c r="A864" s="30"/>
      <c r="B864" s="31"/>
      <c r="C864" s="32"/>
      <c r="D864" s="33"/>
      <c r="E864" s="34"/>
      <c r="F864" s="34"/>
      <c r="G864" s="35"/>
      <c r="H864" s="34"/>
      <c r="I864" s="37"/>
    </row>
    <row r="865" ht="22.5" customHeight="1">
      <c r="A865" s="30"/>
      <c r="B865" s="31"/>
      <c r="C865" s="32"/>
      <c r="D865" s="33"/>
      <c r="E865" s="34"/>
      <c r="F865" s="34"/>
      <c r="G865" s="35"/>
      <c r="H865" s="34"/>
      <c r="I865" s="37"/>
    </row>
    <row r="866" ht="22.5" customHeight="1">
      <c r="A866" s="30"/>
      <c r="B866" s="31"/>
      <c r="C866" s="32"/>
      <c r="D866" s="33"/>
      <c r="E866" s="34"/>
      <c r="F866" s="34"/>
      <c r="G866" s="35"/>
      <c r="H866" s="34"/>
      <c r="I866" s="37"/>
    </row>
    <row r="867" ht="22.5" customHeight="1">
      <c r="A867" s="30"/>
      <c r="B867" s="31"/>
      <c r="C867" s="32"/>
      <c r="D867" s="33"/>
      <c r="E867" s="34"/>
      <c r="F867" s="34"/>
      <c r="G867" s="35"/>
      <c r="H867" s="34"/>
      <c r="I867" s="37"/>
    </row>
    <row r="868" ht="22.5" customHeight="1">
      <c r="A868" s="30"/>
      <c r="B868" s="31"/>
      <c r="C868" s="32"/>
      <c r="D868" s="33"/>
      <c r="E868" s="34"/>
      <c r="F868" s="34"/>
      <c r="G868" s="35"/>
      <c r="H868" s="34"/>
      <c r="I868" s="37"/>
    </row>
    <row r="869" ht="22.5" customHeight="1">
      <c r="A869" s="30"/>
      <c r="B869" s="31"/>
      <c r="C869" s="32"/>
      <c r="D869" s="33"/>
      <c r="E869" s="34"/>
      <c r="F869" s="34"/>
      <c r="G869" s="35"/>
      <c r="H869" s="34"/>
      <c r="I869" s="37"/>
    </row>
    <row r="870" ht="22.5" customHeight="1">
      <c r="A870" s="30"/>
      <c r="B870" s="31"/>
      <c r="C870" s="32"/>
      <c r="D870" s="33"/>
      <c r="E870" s="34"/>
      <c r="F870" s="34"/>
      <c r="G870" s="35"/>
      <c r="H870" s="34"/>
      <c r="I870" s="37"/>
    </row>
    <row r="871" ht="22.5" customHeight="1">
      <c r="A871" s="30"/>
      <c r="B871" s="31"/>
      <c r="C871" s="32"/>
      <c r="D871" s="33"/>
      <c r="E871" s="34"/>
      <c r="F871" s="34"/>
      <c r="G871" s="35"/>
      <c r="H871" s="34"/>
      <c r="I871" s="37"/>
    </row>
    <row r="872" ht="22.5" customHeight="1">
      <c r="A872" s="30"/>
      <c r="B872" s="31"/>
      <c r="C872" s="32"/>
      <c r="D872" s="33"/>
      <c r="E872" s="34"/>
      <c r="F872" s="34"/>
      <c r="G872" s="35"/>
      <c r="H872" s="34"/>
      <c r="I872" s="37"/>
    </row>
    <row r="873" ht="22.5" customHeight="1">
      <c r="A873" s="30"/>
      <c r="B873" s="31"/>
      <c r="C873" s="32"/>
      <c r="D873" s="33"/>
      <c r="E873" s="34"/>
      <c r="F873" s="34"/>
      <c r="G873" s="35"/>
      <c r="H873" s="34"/>
      <c r="I873" s="37"/>
    </row>
    <row r="874" ht="22.5" customHeight="1">
      <c r="A874" s="30"/>
      <c r="B874" s="31"/>
      <c r="C874" s="32"/>
      <c r="D874" s="33"/>
      <c r="E874" s="34"/>
      <c r="F874" s="34"/>
      <c r="G874" s="35"/>
      <c r="H874" s="34"/>
      <c r="I874" s="37"/>
    </row>
    <row r="875" ht="22.5" customHeight="1">
      <c r="A875" s="30"/>
      <c r="B875" s="40"/>
      <c r="C875" s="32"/>
      <c r="D875" s="33"/>
      <c r="E875" s="34"/>
      <c r="F875" s="34"/>
      <c r="G875" s="35"/>
      <c r="H875" s="34"/>
      <c r="I875" s="37"/>
    </row>
    <row r="876" ht="22.5" customHeight="1">
      <c r="A876" s="30"/>
      <c r="B876" s="31"/>
      <c r="C876" s="32"/>
      <c r="D876" s="33"/>
      <c r="E876" s="34"/>
      <c r="F876" s="34"/>
      <c r="G876" s="35"/>
      <c r="H876" s="34"/>
      <c r="I876" s="37"/>
    </row>
    <row r="877" ht="22.5" customHeight="1">
      <c r="A877" s="30"/>
      <c r="B877" s="40"/>
      <c r="C877" s="32"/>
      <c r="D877" s="33"/>
      <c r="E877" s="34"/>
      <c r="F877" s="34"/>
      <c r="G877" s="35"/>
      <c r="H877" s="34"/>
      <c r="I877" s="37"/>
    </row>
    <row r="878" ht="22.5" customHeight="1">
      <c r="A878" s="30"/>
      <c r="B878" s="31"/>
      <c r="C878" s="32"/>
      <c r="D878" s="33"/>
      <c r="E878" s="34"/>
      <c r="F878" s="34"/>
      <c r="G878" s="35"/>
      <c r="H878" s="34"/>
      <c r="I878" s="37"/>
    </row>
    <row r="879" ht="22.5" customHeight="1">
      <c r="A879" s="30"/>
      <c r="B879" s="31"/>
      <c r="C879" s="32"/>
      <c r="D879" s="33"/>
      <c r="E879" s="34"/>
      <c r="F879" s="34"/>
      <c r="G879" s="35"/>
      <c r="H879" s="34"/>
      <c r="I879" s="37"/>
    </row>
    <row r="880" ht="22.5" customHeight="1">
      <c r="A880" s="30"/>
      <c r="B880" s="31"/>
      <c r="C880" s="32"/>
      <c r="D880" s="33"/>
      <c r="E880" s="34"/>
      <c r="F880" s="34"/>
      <c r="G880" s="35"/>
      <c r="H880" s="34"/>
      <c r="I880" s="37"/>
    </row>
    <row r="881" ht="22.5" customHeight="1">
      <c r="A881" s="30"/>
      <c r="B881" s="31"/>
      <c r="C881" s="32"/>
      <c r="D881" s="33"/>
      <c r="E881" s="34"/>
      <c r="F881" s="34"/>
      <c r="G881" s="35"/>
      <c r="H881" s="34"/>
      <c r="I881" s="37"/>
    </row>
    <row r="882" ht="22.5" customHeight="1">
      <c r="A882" s="30"/>
      <c r="B882" s="40"/>
      <c r="C882" s="32"/>
      <c r="D882" s="33"/>
      <c r="E882" s="34"/>
      <c r="F882" s="34"/>
      <c r="G882" s="35"/>
      <c r="H882" s="34"/>
      <c r="I882" s="37"/>
    </row>
    <row r="883" ht="22.5" customHeight="1">
      <c r="A883" s="30"/>
      <c r="B883" s="31"/>
      <c r="C883" s="32"/>
      <c r="D883" s="33"/>
      <c r="E883" s="34"/>
      <c r="F883" s="34"/>
      <c r="G883" s="35"/>
      <c r="H883" s="34"/>
      <c r="I883" s="37"/>
    </row>
    <row r="884" ht="22.5" customHeight="1">
      <c r="A884" s="30"/>
      <c r="B884" s="31"/>
      <c r="C884" s="32"/>
      <c r="D884" s="33"/>
      <c r="E884" s="34"/>
      <c r="F884" s="34"/>
      <c r="G884" s="35"/>
      <c r="H884" s="34"/>
      <c r="I884" s="37"/>
    </row>
    <row r="885" ht="22.5" customHeight="1">
      <c r="A885" s="30"/>
      <c r="B885" s="31"/>
      <c r="C885" s="32"/>
      <c r="D885" s="33"/>
      <c r="E885" s="34"/>
      <c r="F885" s="34"/>
      <c r="G885" s="35"/>
      <c r="H885" s="34"/>
      <c r="I885" s="37"/>
    </row>
    <row r="886" ht="22.5" customHeight="1">
      <c r="A886" s="30"/>
      <c r="B886" s="31"/>
      <c r="C886" s="32"/>
      <c r="D886" s="33"/>
      <c r="E886" s="34"/>
      <c r="F886" s="34"/>
      <c r="G886" s="35"/>
      <c r="H886" s="34"/>
      <c r="I886" s="37"/>
    </row>
    <row r="887" ht="22.5" customHeight="1">
      <c r="A887" s="30"/>
      <c r="B887" s="31"/>
      <c r="C887" s="32"/>
      <c r="D887" s="33"/>
      <c r="E887" s="34"/>
      <c r="F887" s="34"/>
      <c r="G887" s="35"/>
      <c r="H887" s="34"/>
      <c r="I887" s="37"/>
    </row>
    <row r="888" ht="22.5" customHeight="1">
      <c r="A888" s="30"/>
      <c r="B888" s="31"/>
      <c r="C888" s="32"/>
      <c r="D888" s="33"/>
      <c r="E888" s="34"/>
      <c r="F888" s="34"/>
      <c r="G888" s="35"/>
      <c r="H888" s="34"/>
      <c r="I888" s="37"/>
    </row>
    <row r="889" ht="22.5" customHeight="1">
      <c r="A889" s="30"/>
      <c r="B889" s="31"/>
      <c r="C889" s="32"/>
      <c r="D889" s="33"/>
      <c r="E889" s="34"/>
      <c r="F889" s="34"/>
      <c r="G889" s="35"/>
      <c r="H889" s="34"/>
      <c r="I889" s="37"/>
    </row>
    <row r="890" ht="22.5" customHeight="1">
      <c r="A890" s="30"/>
      <c r="B890" s="31"/>
      <c r="C890" s="32"/>
      <c r="D890" s="33"/>
      <c r="E890" s="34"/>
      <c r="F890" s="34"/>
      <c r="G890" s="35"/>
      <c r="H890" s="34"/>
      <c r="I890" s="37"/>
    </row>
    <row r="891" ht="22.5" customHeight="1">
      <c r="A891" s="30"/>
      <c r="B891" s="31"/>
      <c r="C891" s="32"/>
      <c r="D891" s="33"/>
      <c r="E891" s="34"/>
      <c r="F891" s="34"/>
      <c r="G891" s="35"/>
      <c r="H891" s="34"/>
      <c r="I891" s="37"/>
    </row>
    <row r="892" ht="22.5" customHeight="1">
      <c r="A892" s="30"/>
      <c r="B892" s="31"/>
      <c r="C892" s="32"/>
      <c r="D892" s="33"/>
      <c r="E892" s="34"/>
      <c r="F892" s="34"/>
      <c r="G892" s="35"/>
      <c r="H892" s="34"/>
      <c r="I892" s="37"/>
    </row>
    <row r="893" ht="22.5" customHeight="1">
      <c r="A893" s="30"/>
      <c r="B893" s="31"/>
      <c r="C893" s="32"/>
      <c r="D893" s="33"/>
      <c r="E893" s="34"/>
      <c r="F893" s="34"/>
      <c r="G893" s="35"/>
      <c r="H893" s="34"/>
      <c r="I893" s="37"/>
    </row>
    <row r="894" ht="22.5" customHeight="1">
      <c r="A894" s="30"/>
      <c r="B894" s="31"/>
      <c r="C894" s="32"/>
      <c r="D894" s="33"/>
      <c r="E894" s="34"/>
      <c r="F894" s="34"/>
      <c r="G894" s="35"/>
      <c r="H894" s="34"/>
      <c r="I894" s="37"/>
    </row>
    <row r="895" ht="22.5" customHeight="1">
      <c r="A895" s="30"/>
      <c r="B895" s="31"/>
      <c r="C895" s="32"/>
      <c r="D895" s="33"/>
      <c r="E895" s="34"/>
      <c r="F895" s="34"/>
      <c r="G895" s="35"/>
      <c r="H895" s="34"/>
      <c r="I895" s="37"/>
    </row>
    <row r="896" ht="22.5" customHeight="1">
      <c r="A896" s="30"/>
      <c r="B896" s="31"/>
      <c r="C896" s="32"/>
      <c r="D896" s="33"/>
      <c r="E896" s="34"/>
      <c r="F896" s="34"/>
      <c r="G896" s="35"/>
      <c r="H896" s="34"/>
      <c r="I896" s="37"/>
    </row>
    <row r="897" ht="22.5" customHeight="1">
      <c r="A897" s="30"/>
      <c r="B897" s="31"/>
      <c r="C897" s="32"/>
      <c r="D897" s="33"/>
      <c r="E897" s="34"/>
      <c r="F897" s="34"/>
      <c r="G897" s="35"/>
      <c r="H897" s="34"/>
      <c r="I897" s="37"/>
    </row>
    <row r="898" ht="22.5" customHeight="1">
      <c r="A898" s="30"/>
      <c r="B898" s="31"/>
      <c r="C898" s="32"/>
      <c r="D898" s="33"/>
      <c r="E898" s="34"/>
      <c r="F898" s="34"/>
      <c r="G898" s="35"/>
      <c r="H898" s="34"/>
      <c r="I898" s="37"/>
    </row>
    <row r="899" ht="22.5" customHeight="1">
      <c r="A899" s="30"/>
      <c r="B899" s="31"/>
      <c r="C899" s="32"/>
      <c r="D899" s="33"/>
      <c r="E899" s="34"/>
      <c r="F899" s="34"/>
      <c r="G899" s="35"/>
      <c r="H899" s="34"/>
      <c r="I899" s="37"/>
    </row>
    <row r="900" ht="22.5" customHeight="1">
      <c r="A900" s="30"/>
      <c r="B900" s="31"/>
      <c r="C900" s="32"/>
      <c r="D900" s="33"/>
      <c r="E900" s="34"/>
      <c r="F900" s="34"/>
      <c r="G900" s="35"/>
      <c r="H900" s="34"/>
      <c r="I900" s="37"/>
    </row>
    <row r="901" ht="22.5" customHeight="1">
      <c r="A901" s="30"/>
      <c r="B901" s="31"/>
      <c r="C901" s="32"/>
      <c r="D901" s="33"/>
      <c r="E901" s="34"/>
      <c r="F901" s="34"/>
      <c r="G901" s="35"/>
      <c r="H901" s="34"/>
      <c r="I901" s="37"/>
    </row>
    <row r="902" ht="22.5" customHeight="1">
      <c r="A902" s="30"/>
      <c r="B902" s="31"/>
      <c r="C902" s="32"/>
      <c r="D902" s="33"/>
      <c r="E902" s="34"/>
      <c r="F902" s="34"/>
      <c r="G902" s="35"/>
      <c r="H902" s="34"/>
      <c r="I902" s="37"/>
    </row>
    <row r="903" ht="22.5" customHeight="1">
      <c r="A903" s="30"/>
      <c r="B903" s="31"/>
      <c r="C903" s="32"/>
      <c r="D903" s="33"/>
      <c r="E903" s="34"/>
      <c r="F903" s="34"/>
      <c r="G903" s="35"/>
      <c r="H903" s="34"/>
      <c r="I903" s="37"/>
    </row>
    <row r="904" ht="22.5" customHeight="1">
      <c r="A904" s="30"/>
      <c r="B904" s="40"/>
      <c r="C904" s="32"/>
      <c r="D904" s="33"/>
      <c r="E904" s="34"/>
      <c r="F904" s="34"/>
      <c r="G904" s="35"/>
      <c r="H904" s="34"/>
      <c r="I904" s="37"/>
    </row>
    <row r="905" ht="22.5" customHeight="1">
      <c r="A905" s="30"/>
      <c r="B905" s="31"/>
      <c r="C905" s="32"/>
      <c r="D905" s="33"/>
      <c r="E905" s="34"/>
      <c r="F905" s="34"/>
      <c r="G905" s="35"/>
      <c r="H905" s="34"/>
      <c r="I905" s="37"/>
    </row>
    <row r="906" ht="22.5" customHeight="1">
      <c r="A906" s="30"/>
      <c r="B906" s="31"/>
      <c r="C906" s="32"/>
      <c r="D906" s="33"/>
      <c r="E906" s="34"/>
      <c r="F906" s="34"/>
      <c r="G906" s="35"/>
      <c r="H906" s="34"/>
      <c r="I906" s="37"/>
    </row>
    <row r="907" ht="22.5" customHeight="1">
      <c r="A907" s="30"/>
      <c r="B907" s="31"/>
      <c r="C907" s="32"/>
      <c r="D907" s="33"/>
      <c r="E907" s="34"/>
      <c r="F907" s="34"/>
      <c r="G907" s="35"/>
      <c r="H907" s="34"/>
      <c r="I907" s="37"/>
    </row>
    <row r="908" ht="22.5" customHeight="1">
      <c r="A908" s="30"/>
      <c r="B908" s="31"/>
      <c r="C908" s="32"/>
      <c r="D908" s="33"/>
      <c r="E908" s="34"/>
      <c r="F908" s="34"/>
      <c r="G908" s="35"/>
      <c r="H908" s="34"/>
      <c r="I908" s="38"/>
    </row>
    <row r="909" ht="22.5" customHeight="1">
      <c r="A909" s="30"/>
      <c r="B909" s="39"/>
      <c r="C909" s="32"/>
      <c r="D909" s="33"/>
      <c r="E909" s="34"/>
      <c r="F909" s="34"/>
      <c r="G909" s="35"/>
      <c r="H909" s="34"/>
      <c r="I909" s="37"/>
    </row>
    <row r="910" ht="22.5" customHeight="1">
      <c r="A910" s="30"/>
      <c r="B910" s="31"/>
      <c r="C910" s="32"/>
      <c r="D910" s="33"/>
      <c r="E910" s="34"/>
      <c r="F910" s="34"/>
      <c r="G910" s="35"/>
      <c r="H910" s="34"/>
      <c r="I910" s="37"/>
    </row>
    <row r="911" ht="22.5" customHeight="1">
      <c r="A911" s="30"/>
      <c r="B911" s="31"/>
      <c r="C911" s="32"/>
      <c r="D911" s="33"/>
      <c r="E911" s="34"/>
      <c r="F911" s="34"/>
      <c r="G911" s="35"/>
      <c r="H911" s="34"/>
      <c r="I911" s="37"/>
    </row>
    <row r="912" ht="22.5" customHeight="1">
      <c r="A912" s="30"/>
      <c r="B912" s="31"/>
      <c r="C912" s="32"/>
      <c r="D912" s="33"/>
      <c r="E912" s="34"/>
      <c r="F912" s="34"/>
      <c r="G912" s="35"/>
      <c r="H912" s="34"/>
      <c r="I912" s="37"/>
    </row>
    <row r="913" ht="22.5" customHeight="1">
      <c r="A913" s="30"/>
      <c r="B913" s="39"/>
      <c r="C913" s="32"/>
      <c r="D913" s="33"/>
      <c r="E913" s="34"/>
      <c r="F913" s="34"/>
      <c r="G913" s="35"/>
      <c r="H913" s="34"/>
      <c r="I913" s="37"/>
    </row>
    <row r="914" ht="22.5" customHeight="1">
      <c r="A914" s="30"/>
      <c r="B914" s="31"/>
      <c r="C914" s="32"/>
      <c r="D914" s="33"/>
      <c r="E914" s="34"/>
      <c r="F914" s="34"/>
      <c r="G914" s="35"/>
      <c r="H914" s="34"/>
      <c r="I914" s="37"/>
    </row>
    <row r="915" ht="22.5" customHeight="1">
      <c r="A915" s="30"/>
      <c r="B915" s="39"/>
      <c r="C915" s="32"/>
      <c r="D915" s="33"/>
      <c r="E915" s="34"/>
      <c r="F915" s="34"/>
      <c r="G915" s="35"/>
      <c r="H915" s="34"/>
      <c r="I915" s="37"/>
    </row>
    <row r="916" ht="22.5" customHeight="1">
      <c r="A916" s="30"/>
      <c r="B916" s="31"/>
      <c r="C916" s="32"/>
      <c r="D916" s="33"/>
      <c r="E916" s="34"/>
      <c r="F916" s="34"/>
      <c r="G916" s="35"/>
      <c r="H916" s="34"/>
      <c r="I916" s="37"/>
    </row>
    <row r="917" ht="22.5" customHeight="1">
      <c r="A917" s="30"/>
      <c r="B917" s="31"/>
      <c r="C917" s="32"/>
      <c r="D917" s="33"/>
      <c r="E917" s="34"/>
      <c r="F917" s="34"/>
      <c r="G917" s="35"/>
      <c r="H917" s="34"/>
      <c r="I917" s="37"/>
    </row>
    <row r="918" ht="22.5" customHeight="1">
      <c r="A918" s="30"/>
      <c r="B918" s="31"/>
      <c r="C918" s="32"/>
      <c r="D918" s="33"/>
      <c r="E918" s="34"/>
      <c r="F918" s="34"/>
      <c r="G918" s="35"/>
      <c r="H918" s="34"/>
      <c r="I918" s="37"/>
    </row>
    <row r="919" ht="22.5" customHeight="1">
      <c r="A919" s="30"/>
      <c r="B919" s="31"/>
      <c r="C919" s="32"/>
      <c r="D919" s="33"/>
      <c r="E919" s="34"/>
      <c r="F919" s="34"/>
      <c r="G919" s="35"/>
      <c r="H919" s="34"/>
      <c r="I919" s="37"/>
    </row>
    <row r="920" ht="22.5" customHeight="1">
      <c r="A920" s="30"/>
      <c r="B920" s="31"/>
      <c r="C920" s="32"/>
      <c r="D920" s="33"/>
      <c r="E920" s="34"/>
      <c r="F920" s="34"/>
      <c r="G920" s="35"/>
      <c r="H920" s="34"/>
      <c r="I920" s="37"/>
    </row>
    <row r="921" ht="22.5" customHeight="1">
      <c r="A921" s="30"/>
      <c r="B921" s="31"/>
      <c r="C921" s="32"/>
      <c r="D921" s="33"/>
      <c r="E921" s="34"/>
      <c r="F921" s="34"/>
      <c r="G921" s="35"/>
      <c r="H921" s="34"/>
      <c r="I921" s="37"/>
    </row>
    <row r="922" ht="22.5" customHeight="1">
      <c r="A922" s="30"/>
      <c r="B922" s="31"/>
      <c r="C922" s="32"/>
      <c r="D922" s="33"/>
      <c r="E922" s="34"/>
      <c r="F922" s="34"/>
      <c r="G922" s="35"/>
      <c r="H922" s="34"/>
      <c r="I922" s="37"/>
    </row>
    <row r="923" ht="22.5" customHeight="1">
      <c r="A923" s="30"/>
      <c r="B923" s="31"/>
      <c r="C923" s="32"/>
      <c r="D923" s="33"/>
      <c r="E923" s="34"/>
      <c r="F923" s="34"/>
      <c r="G923" s="35"/>
      <c r="H923" s="34"/>
      <c r="I923" s="37"/>
    </row>
    <row r="924" ht="22.5" customHeight="1">
      <c r="A924" s="30"/>
      <c r="B924" s="31"/>
      <c r="C924" s="32"/>
      <c r="D924" s="33"/>
      <c r="E924" s="34"/>
      <c r="F924" s="34"/>
      <c r="G924" s="35"/>
      <c r="H924" s="34"/>
      <c r="I924" s="37"/>
    </row>
    <row r="925" ht="22.5" customHeight="1">
      <c r="A925" s="30"/>
      <c r="B925" s="31"/>
      <c r="C925" s="32"/>
      <c r="D925" s="33"/>
      <c r="E925" s="34"/>
      <c r="F925" s="34"/>
      <c r="G925" s="35"/>
      <c r="H925" s="34"/>
      <c r="I925" s="37"/>
    </row>
    <row r="926" ht="22.5" customHeight="1">
      <c r="A926" s="30"/>
      <c r="B926" s="40"/>
      <c r="C926" s="32"/>
      <c r="D926" s="33"/>
      <c r="E926" s="34"/>
      <c r="F926" s="34"/>
      <c r="G926" s="35"/>
      <c r="H926" s="34"/>
      <c r="I926" s="37"/>
    </row>
    <row r="927" ht="22.5" customHeight="1">
      <c r="A927" s="30"/>
      <c r="B927" s="31"/>
      <c r="C927" s="32"/>
      <c r="D927" s="33"/>
      <c r="E927" s="34"/>
      <c r="F927" s="34"/>
      <c r="G927" s="35"/>
      <c r="H927" s="34"/>
      <c r="I927" s="37"/>
    </row>
    <row r="928" ht="22.5" customHeight="1">
      <c r="A928" s="30"/>
      <c r="B928" s="31"/>
      <c r="C928" s="32"/>
      <c r="D928" s="33"/>
      <c r="E928" s="34"/>
      <c r="F928" s="34"/>
      <c r="G928" s="35"/>
      <c r="H928" s="34"/>
      <c r="I928" s="37"/>
    </row>
    <row r="929" ht="22.5" customHeight="1">
      <c r="A929" s="30"/>
      <c r="B929" s="31"/>
      <c r="C929" s="32"/>
      <c r="D929" s="33"/>
      <c r="E929" s="34"/>
      <c r="F929" s="34"/>
      <c r="G929" s="35"/>
      <c r="H929" s="34"/>
      <c r="I929" s="37"/>
    </row>
    <row r="930" ht="22.5" customHeight="1">
      <c r="A930" s="30"/>
      <c r="B930" s="31"/>
      <c r="C930" s="32"/>
      <c r="D930" s="33"/>
      <c r="E930" s="34"/>
      <c r="F930" s="34"/>
      <c r="G930" s="35"/>
      <c r="H930" s="34"/>
      <c r="I930" s="37"/>
    </row>
    <row r="931" ht="22.5" customHeight="1">
      <c r="A931" s="30"/>
      <c r="B931" s="31"/>
      <c r="C931" s="32"/>
      <c r="D931" s="33"/>
      <c r="E931" s="34"/>
      <c r="F931" s="34"/>
      <c r="G931" s="35"/>
      <c r="H931" s="34"/>
      <c r="I931" s="37"/>
    </row>
    <row r="932" ht="22.5" customHeight="1">
      <c r="A932" s="30"/>
      <c r="B932" s="31"/>
      <c r="C932" s="32"/>
      <c r="D932" s="33"/>
      <c r="E932" s="34"/>
      <c r="F932" s="34"/>
      <c r="G932" s="35"/>
      <c r="H932" s="34"/>
      <c r="I932" s="37"/>
    </row>
    <row r="933" ht="22.5" customHeight="1">
      <c r="A933" s="30"/>
      <c r="B933" s="39"/>
      <c r="C933" s="32"/>
      <c r="D933" s="33"/>
      <c r="E933" s="34"/>
      <c r="F933" s="34"/>
      <c r="G933" s="35"/>
      <c r="H933" s="34"/>
      <c r="I933" s="37"/>
    </row>
    <row r="934" ht="22.5" customHeight="1">
      <c r="A934" s="30"/>
      <c r="B934" s="39"/>
      <c r="C934" s="32"/>
      <c r="D934" s="33"/>
      <c r="E934" s="34"/>
      <c r="F934" s="34"/>
      <c r="G934" s="35"/>
      <c r="H934" s="34"/>
      <c r="I934" s="37"/>
    </row>
    <row r="935" ht="22.5" customHeight="1">
      <c r="A935" s="30"/>
      <c r="B935" s="39"/>
      <c r="C935" s="32"/>
      <c r="D935" s="33"/>
      <c r="E935" s="34"/>
      <c r="F935" s="34"/>
      <c r="G935" s="35"/>
      <c r="H935" s="34"/>
      <c r="I935" s="37"/>
    </row>
    <row r="936" ht="22.5" customHeight="1">
      <c r="A936" s="30"/>
      <c r="B936" s="40"/>
      <c r="C936" s="32"/>
      <c r="D936" s="33"/>
      <c r="E936" s="34"/>
      <c r="F936" s="34"/>
      <c r="G936" s="35"/>
      <c r="H936" s="34"/>
      <c r="I936" s="37"/>
    </row>
    <row r="937" ht="22.5" customHeight="1">
      <c r="A937" s="30"/>
      <c r="B937" s="31"/>
      <c r="C937" s="32"/>
      <c r="D937" s="33"/>
      <c r="E937" s="34"/>
      <c r="F937" s="34"/>
      <c r="G937" s="35"/>
      <c r="H937" s="34"/>
      <c r="I937" s="37"/>
    </row>
    <row r="938" ht="22.5" customHeight="1">
      <c r="A938" s="30"/>
      <c r="B938" s="31"/>
      <c r="C938" s="32"/>
      <c r="D938" s="33"/>
      <c r="E938" s="34"/>
      <c r="F938" s="34"/>
      <c r="G938" s="35"/>
      <c r="H938" s="34"/>
      <c r="I938" s="37"/>
    </row>
    <row r="939" ht="22.5" customHeight="1">
      <c r="A939" s="30"/>
      <c r="B939" s="31"/>
      <c r="C939" s="32"/>
      <c r="D939" s="33"/>
      <c r="E939" s="34"/>
      <c r="F939" s="34"/>
      <c r="G939" s="35"/>
      <c r="H939" s="34"/>
      <c r="I939" s="37"/>
    </row>
    <row r="940" ht="22.5" customHeight="1">
      <c r="A940" s="30"/>
      <c r="B940" s="31"/>
      <c r="C940" s="32"/>
      <c r="D940" s="33"/>
      <c r="E940" s="34"/>
      <c r="F940" s="34"/>
      <c r="G940" s="35"/>
      <c r="H940" s="34"/>
      <c r="I940" s="37"/>
    </row>
    <row r="941" ht="22.5" customHeight="1">
      <c r="A941" s="30"/>
      <c r="B941" s="31"/>
      <c r="C941" s="32"/>
      <c r="D941" s="33"/>
      <c r="E941" s="34"/>
      <c r="F941" s="34"/>
      <c r="G941" s="35"/>
      <c r="H941" s="34"/>
      <c r="I941" s="37"/>
    </row>
    <row r="942" ht="22.5" customHeight="1">
      <c r="A942" s="30"/>
      <c r="B942" s="31"/>
      <c r="C942" s="32"/>
      <c r="D942" s="33"/>
      <c r="E942" s="34"/>
      <c r="F942" s="34"/>
      <c r="G942" s="35"/>
      <c r="H942" s="34"/>
      <c r="I942" s="37"/>
    </row>
    <row r="943" ht="22.5" customHeight="1">
      <c r="A943" s="30"/>
      <c r="B943" s="31"/>
      <c r="C943" s="32"/>
      <c r="D943" s="33"/>
      <c r="E943" s="34"/>
      <c r="F943" s="34"/>
      <c r="G943" s="35"/>
      <c r="H943" s="34"/>
      <c r="I943" s="37"/>
    </row>
    <row r="944" ht="22.5" customHeight="1">
      <c r="A944" s="30"/>
      <c r="B944" s="31"/>
      <c r="C944" s="32"/>
      <c r="D944" s="33"/>
      <c r="E944" s="34"/>
      <c r="F944" s="34"/>
      <c r="G944" s="35"/>
      <c r="H944" s="34"/>
      <c r="I944" s="37"/>
    </row>
    <row r="945" ht="22.5" customHeight="1">
      <c r="A945" s="30"/>
      <c r="B945" s="31"/>
      <c r="C945" s="32"/>
      <c r="D945" s="33"/>
      <c r="E945" s="34"/>
      <c r="F945" s="34"/>
      <c r="G945" s="35"/>
      <c r="H945" s="34"/>
      <c r="I945" s="37"/>
    </row>
    <row r="946" ht="22.5" customHeight="1">
      <c r="A946" s="30"/>
      <c r="B946" s="40"/>
      <c r="C946" s="32"/>
      <c r="D946" s="33"/>
      <c r="E946" s="34"/>
      <c r="F946" s="34"/>
      <c r="G946" s="35"/>
      <c r="H946" s="34"/>
      <c r="I946" s="37"/>
    </row>
    <row r="947" ht="22.5" customHeight="1">
      <c r="A947" s="30"/>
      <c r="B947" s="31"/>
      <c r="C947" s="32"/>
      <c r="D947" s="33"/>
      <c r="E947" s="34"/>
      <c r="F947" s="34"/>
      <c r="G947" s="35"/>
      <c r="H947" s="34"/>
      <c r="I947" s="37"/>
    </row>
    <row r="948" ht="22.5" customHeight="1">
      <c r="A948" s="30"/>
      <c r="B948" s="31"/>
      <c r="C948" s="32"/>
      <c r="D948" s="33"/>
      <c r="E948" s="34"/>
      <c r="F948" s="34"/>
      <c r="G948" s="35"/>
      <c r="H948" s="34"/>
      <c r="I948" s="37"/>
    </row>
    <row r="949" ht="22.5" customHeight="1">
      <c r="A949" s="30"/>
      <c r="B949" s="31"/>
      <c r="C949" s="32"/>
      <c r="D949" s="33"/>
      <c r="E949" s="34"/>
      <c r="F949" s="34"/>
      <c r="G949" s="35"/>
      <c r="H949" s="34"/>
      <c r="I949" s="37"/>
    </row>
    <row r="950" ht="22.5" customHeight="1">
      <c r="A950" s="30"/>
      <c r="B950" s="40"/>
      <c r="C950" s="32"/>
      <c r="D950" s="33"/>
      <c r="E950" s="34"/>
      <c r="F950" s="34"/>
      <c r="G950" s="35"/>
      <c r="H950" s="34"/>
      <c r="I950" s="37"/>
    </row>
    <row r="951" ht="22.5" customHeight="1">
      <c r="A951" s="30"/>
      <c r="B951" s="31"/>
      <c r="C951" s="32"/>
      <c r="D951" s="33"/>
      <c r="E951" s="34"/>
      <c r="F951" s="34"/>
      <c r="G951" s="35"/>
      <c r="H951" s="34"/>
      <c r="I951" s="37"/>
    </row>
    <row r="952" ht="22.5" customHeight="1">
      <c r="A952" s="30"/>
      <c r="B952" s="31"/>
      <c r="C952" s="32"/>
      <c r="D952" s="33"/>
      <c r="E952" s="34"/>
      <c r="F952" s="34"/>
      <c r="G952" s="35"/>
      <c r="H952" s="34"/>
      <c r="I952" s="37"/>
    </row>
    <row r="953" ht="22.5" customHeight="1">
      <c r="A953" s="30"/>
      <c r="B953" s="31"/>
      <c r="C953" s="32"/>
      <c r="D953" s="33"/>
      <c r="E953" s="34"/>
      <c r="F953" s="34"/>
      <c r="G953" s="35"/>
      <c r="H953" s="34"/>
      <c r="I953" s="37"/>
    </row>
    <row r="954" ht="22.5" customHeight="1">
      <c r="A954" s="30"/>
      <c r="B954" s="31"/>
      <c r="C954" s="32"/>
      <c r="D954" s="33"/>
      <c r="E954" s="34"/>
      <c r="F954" s="34"/>
      <c r="G954" s="35"/>
      <c r="H954" s="34"/>
      <c r="I954" s="37"/>
    </row>
    <row r="955" ht="22.5" customHeight="1">
      <c r="A955" s="30"/>
      <c r="B955" s="31"/>
      <c r="C955" s="32"/>
      <c r="D955" s="33"/>
      <c r="E955" s="34"/>
      <c r="F955" s="34"/>
      <c r="G955" s="35"/>
      <c r="H955" s="34"/>
      <c r="I955" s="37"/>
    </row>
    <row r="956" ht="22.5" customHeight="1">
      <c r="A956" s="30"/>
      <c r="B956" s="31"/>
      <c r="C956" s="32"/>
      <c r="D956" s="33"/>
      <c r="E956" s="34"/>
      <c r="F956" s="34"/>
      <c r="G956" s="35"/>
      <c r="H956" s="34"/>
      <c r="I956" s="37"/>
    </row>
    <row r="957" ht="22.5" customHeight="1">
      <c r="A957" s="30"/>
      <c r="B957" s="31"/>
      <c r="C957" s="32"/>
      <c r="D957" s="33"/>
      <c r="E957" s="34"/>
      <c r="F957" s="34"/>
      <c r="G957" s="35"/>
      <c r="H957" s="34"/>
      <c r="I957" s="37"/>
    </row>
    <row r="958" ht="22.5" customHeight="1">
      <c r="A958" s="30"/>
      <c r="B958" s="31"/>
      <c r="C958" s="32"/>
      <c r="D958" s="33"/>
      <c r="E958" s="34"/>
      <c r="F958" s="34"/>
      <c r="G958" s="35"/>
      <c r="H958" s="34"/>
      <c r="I958" s="37"/>
    </row>
    <row r="959" ht="22.5" customHeight="1">
      <c r="A959" s="30"/>
      <c r="B959" s="31"/>
      <c r="C959" s="32"/>
      <c r="D959" s="33"/>
      <c r="E959" s="34"/>
      <c r="F959" s="34"/>
      <c r="G959" s="35"/>
      <c r="H959" s="34"/>
      <c r="I959" s="37"/>
    </row>
    <row r="960" ht="22.5" customHeight="1">
      <c r="A960" s="30"/>
      <c r="B960" s="31"/>
      <c r="C960" s="32"/>
      <c r="D960" s="33"/>
      <c r="E960" s="34"/>
      <c r="F960" s="34"/>
      <c r="G960" s="35"/>
      <c r="H960" s="34"/>
      <c r="I960" s="37"/>
    </row>
    <row r="961" ht="22.5" customHeight="1">
      <c r="A961" s="30"/>
      <c r="B961" s="31"/>
      <c r="C961" s="32"/>
      <c r="D961" s="33"/>
      <c r="E961" s="34"/>
      <c r="F961" s="34"/>
      <c r="G961" s="35"/>
      <c r="H961" s="34"/>
      <c r="I961" s="37"/>
    </row>
    <row r="962" ht="22.5" customHeight="1">
      <c r="A962" s="30"/>
      <c r="B962" s="31"/>
      <c r="C962" s="32"/>
      <c r="D962" s="33"/>
      <c r="E962" s="34"/>
      <c r="F962" s="34"/>
      <c r="G962" s="35"/>
      <c r="H962" s="34"/>
      <c r="I962" s="37"/>
    </row>
    <row r="963" ht="22.5" customHeight="1">
      <c r="A963" s="30"/>
      <c r="B963" s="31"/>
      <c r="C963" s="32"/>
      <c r="D963" s="33"/>
      <c r="E963" s="34"/>
      <c r="F963" s="34"/>
      <c r="G963" s="35"/>
      <c r="H963" s="34"/>
      <c r="I963" s="37"/>
    </row>
    <row r="964" ht="22.5" customHeight="1">
      <c r="A964" s="30"/>
      <c r="B964" s="31"/>
      <c r="C964" s="32"/>
      <c r="D964" s="33"/>
      <c r="E964" s="34"/>
      <c r="F964" s="34"/>
      <c r="G964" s="35"/>
      <c r="H964" s="34"/>
      <c r="I964" s="37"/>
    </row>
    <row r="965" ht="22.5" customHeight="1">
      <c r="A965" s="30"/>
      <c r="B965" s="40"/>
      <c r="C965" s="32"/>
      <c r="D965" s="33"/>
      <c r="E965" s="34"/>
      <c r="F965" s="34"/>
      <c r="G965" s="35"/>
      <c r="H965" s="34"/>
      <c r="I965" s="37"/>
    </row>
    <row r="966" ht="22.5" customHeight="1">
      <c r="A966" s="30"/>
      <c r="B966" s="31"/>
      <c r="C966" s="32"/>
      <c r="D966" s="33"/>
      <c r="E966" s="34"/>
      <c r="F966" s="34"/>
      <c r="G966" s="35"/>
      <c r="H966" s="34"/>
      <c r="I966" s="37"/>
    </row>
    <row r="967" ht="22.5" customHeight="1">
      <c r="A967" s="30"/>
      <c r="B967" s="40"/>
      <c r="C967" s="32"/>
      <c r="D967" s="33"/>
      <c r="E967" s="34"/>
      <c r="F967" s="34"/>
      <c r="G967" s="35"/>
      <c r="H967" s="34"/>
      <c r="I967" s="37"/>
    </row>
    <row r="968" ht="22.5" customHeight="1">
      <c r="A968" s="30"/>
      <c r="B968" s="31"/>
      <c r="C968" s="32"/>
      <c r="D968" s="33"/>
      <c r="E968" s="34"/>
      <c r="F968" s="34"/>
      <c r="G968" s="35"/>
      <c r="H968" s="34"/>
      <c r="I968" s="37"/>
    </row>
    <row r="969" ht="22.5" customHeight="1">
      <c r="A969" s="30"/>
      <c r="B969" s="31"/>
      <c r="C969" s="32"/>
      <c r="D969" s="33"/>
      <c r="E969" s="34"/>
      <c r="F969" s="34"/>
      <c r="G969" s="35"/>
      <c r="H969" s="34"/>
      <c r="I969" s="37"/>
    </row>
    <row r="970" ht="22.5" customHeight="1">
      <c r="A970" s="30"/>
      <c r="B970" s="31"/>
      <c r="C970" s="32"/>
      <c r="D970" s="33"/>
      <c r="E970" s="34"/>
      <c r="F970" s="34"/>
      <c r="G970" s="35"/>
      <c r="H970" s="34"/>
      <c r="I970" s="37"/>
    </row>
    <row r="971" ht="22.5" customHeight="1">
      <c r="A971" s="30"/>
      <c r="B971" s="31"/>
      <c r="C971" s="32"/>
      <c r="D971" s="33"/>
      <c r="E971" s="34"/>
      <c r="F971" s="34"/>
      <c r="G971" s="35"/>
      <c r="H971" s="34"/>
      <c r="I971" s="37"/>
    </row>
    <row r="972" ht="22.5" customHeight="1">
      <c r="A972" s="30"/>
      <c r="B972" s="40"/>
      <c r="C972" s="32"/>
      <c r="D972" s="33"/>
      <c r="E972" s="34"/>
      <c r="F972" s="34"/>
      <c r="G972" s="35"/>
      <c r="H972" s="34"/>
      <c r="I972" s="37"/>
    </row>
    <row r="973" ht="22.5" customHeight="1">
      <c r="A973" s="30"/>
      <c r="B973" s="31"/>
      <c r="C973" s="32"/>
      <c r="D973" s="33"/>
      <c r="E973" s="34"/>
      <c r="F973" s="34"/>
      <c r="G973" s="35"/>
      <c r="H973" s="34"/>
      <c r="I973" s="37"/>
    </row>
    <row r="974" ht="22.5" customHeight="1">
      <c r="A974" s="30"/>
      <c r="B974" s="31"/>
      <c r="C974" s="32"/>
      <c r="D974" s="33"/>
      <c r="E974" s="34"/>
      <c r="F974" s="34"/>
      <c r="G974" s="35"/>
      <c r="H974" s="34"/>
      <c r="I974" s="37"/>
    </row>
    <row r="975" ht="22.5" customHeight="1">
      <c r="A975" s="30"/>
      <c r="B975" s="31"/>
      <c r="C975" s="32"/>
      <c r="D975" s="33"/>
      <c r="E975" s="34"/>
      <c r="F975" s="34"/>
      <c r="G975" s="35"/>
      <c r="H975" s="34"/>
      <c r="I975" s="37"/>
    </row>
    <row r="976" ht="22.5" customHeight="1">
      <c r="A976" s="30"/>
      <c r="B976" s="31"/>
      <c r="C976" s="32"/>
      <c r="D976" s="33"/>
      <c r="E976" s="34"/>
      <c r="F976" s="34"/>
      <c r="G976" s="35"/>
      <c r="H976" s="34"/>
      <c r="I976" s="37"/>
    </row>
    <row r="977" ht="22.5" customHeight="1">
      <c r="A977" s="30"/>
      <c r="B977" s="31"/>
      <c r="C977" s="32"/>
      <c r="D977" s="33"/>
      <c r="E977" s="34"/>
      <c r="F977" s="34"/>
      <c r="G977" s="35"/>
      <c r="H977" s="34"/>
      <c r="I977" s="37"/>
    </row>
    <row r="978" ht="22.5" customHeight="1">
      <c r="A978" s="30"/>
      <c r="B978" s="31"/>
      <c r="C978" s="32"/>
      <c r="D978" s="33"/>
      <c r="E978" s="34"/>
      <c r="F978" s="34"/>
      <c r="G978" s="35"/>
      <c r="H978" s="34"/>
      <c r="I978" s="37"/>
    </row>
    <row r="979" ht="22.5" customHeight="1">
      <c r="A979" s="30"/>
      <c r="B979" s="31"/>
      <c r="C979" s="32"/>
      <c r="D979" s="33"/>
      <c r="E979" s="34"/>
      <c r="F979" s="34"/>
      <c r="G979" s="35"/>
      <c r="H979" s="34"/>
      <c r="I979" s="37"/>
    </row>
    <row r="980" ht="22.5" customHeight="1">
      <c r="A980" s="30"/>
      <c r="B980" s="31"/>
      <c r="C980" s="32"/>
      <c r="D980" s="33"/>
      <c r="E980" s="34"/>
      <c r="F980" s="34"/>
      <c r="G980" s="35"/>
      <c r="H980" s="34"/>
      <c r="I980" s="37"/>
    </row>
    <row r="981" ht="22.5" customHeight="1">
      <c r="A981" s="30"/>
      <c r="B981" s="31"/>
      <c r="C981" s="32"/>
      <c r="D981" s="33"/>
      <c r="E981" s="34"/>
      <c r="F981" s="34"/>
      <c r="G981" s="35"/>
      <c r="H981" s="34"/>
      <c r="I981" s="37"/>
    </row>
    <row r="982" ht="22.5" customHeight="1">
      <c r="A982" s="30"/>
      <c r="B982" s="31"/>
      <c r="C982" s="32"/>
      <c r="D982" s="33"/>
      <c r="E982" s="34"/>
      <c r="F982" s="34"/>
      <c r="G982" s="35"/>
      <c r="H982" s="34"/>
      <c r="I982" s="37"/>
    </row>
    <row r="983" ht="22.5" customHeight="1">
      <c r="A983" s="30"/>
      <c r="B983" s="31"/>
      <c r="C983" s="32"/>
      <c r="D983" s="33"/>
      <c r="E983" s="34"/>
      <c r="F983" s="34"/>
      <c r="G983" s="35"/>
      <c r="H983" s="34"/>
      <c r="I983" s="37"/>
    </row>
    <row r="984" ht="22.5" customHeight="1">
      <c r="A984" s="30"/>
      <c r="B984" s="31"/>
      <c r="C984" s="32"/>
      <c r="D984" s="33"/>
      <c r="E984" s="34"/>
      <c r="F984" s="34"/>
      <c r="G984" s="35"/>
      <c r="H984" s="34"/>
      <c r="I984" s="37"/>
    </row>
    <row r="985" ht="22.5" customHeight="1">
      <c r="A985" s="30"/>
      <c r="B985" s="31"/>
      <c r="C985" s="32"/>
      <c r="D985" s="33"/>
      <c r="E985" s="34"/>
      <c r="F985" s="34"/>
      <c r="G985" s="35"/>
      <c r="H985" s="34"/>
      <c r="I985" s="37"/>
    </row>
    <row r="986" ht="22.5" customHeight="1">
      <c r="A986" s="30"/>
      <c r="B986" s="31"/>
      <c r="C986" s="32"/>
      <c r="D986" s="33"/>
      <c r="E986" s="34"/>
      <c r="F986" s="34"/>
      <c r="G986" s="35"/>
      <c r="H986" s="34"/>
      <c r="I986" s="37"/>
    </row>
    <row r="987" ht="22.5" customHeight="1">
      <c r="A987" s="30"/>
      <c r="B987" s="31"/>
      <c r="C987" s="32"/>
      <c r="D987" s="33"/>
      <c r="E987" s="34"/>
      <c r="F987" s="34"/>
      <c r="G987" s="35"/>
      <c r="H987" s="34"/>
      <c r="I987" s="37"/>
    </row>
    <row r="988" ht="22.5" customHeight="1">
      <c r="A988" s="30"/>
      <c r="B988" s="31"/>
      <c r="C988" s="32"/>
      <c r="D988" s="33"/>
      <c r="E988" s="34"/>
      <c r="F988" s="34"/>
      <c r="G988" s="35"/>
      <c r="H988" s="34"/>
      <c r="I988" s="37"/>
    </row>
    <row r="989" ht="22.5" customHeight="1">
      <c r="A989" s="30"/>
      <c r="B989" s="31"/>
      <c r="C989" s="32"/>
      <c r="D989" s="33"/>
      <c r="E989" s="34"/>
      <c r="F989" s="34"/>
      <c r="G989" s="35"/>
      <c r="H989" s="34"/>
      <c r="I989" s="37"/>
    </row>
    <row r="990" ht="22.5" customHeight="1">
      <c r="A990" s="30"/>
      <c r="B990" s="31"/>
      <c r="C990" s="32"/>
      <c r="D990" s="33"/>
      <c r="E990" s="34"/>
      <c r="F990" s="34"/>
      <c r="G990" s="35"/>
      <c r="H990" s="34"/>
      <c r="I990" s="37"/>
    </row>
    <row r="991" ht="22.5" customHeight="1">
      <c r="A991" s="30"/>
      <c r="B991" s="31"/>
      <c r="C991" s="32"/>
      <c r="D991" s="33"/>
      <c r="E991" s="34"/>
      <c r="F991" s="34"/>
      <c r="G991" s="35"/>
      <c r="H991" s="34"/>
      <c r="I991" s="37"/>
    </row>
    <row r="992" ht="22.5" customHeight="1">
      <c r="A992" s="30"/>
      <c r="B992" s="31"/>
      <c r="C992" s="32"/>
      <c r="D992" s="33"/>
      <c r="E992" s="34"/>
      <c r="F992" s="34"/>
      <c r="G992" s="35"/>
      <c r="H992" s="34"/>
      <c r="I992" s="37"/>
    </row>
    <row r="993" ht="22.5" customHeight="1">
      <c r="A993" s="30"/>
      <c r="B993" s="31"/>
      <c r="C993" s="32"/>
      <c r="D993" s="33"/>
      <c r="E993" s="34"/>
      <c r="F993" s="34"/>
      <c r="G993" s="35"/>
      <c r="H993" s="34"/>
      <c r="I993" s="37"/>
    </row>
    <row r="994" ht="22.5" customHeight="1">
      <c r="A994" s="30"/>
      <c r="B994" s="40"/>
      <c r="C994" s="32"/>
      <c r="D994" s="33"/>
      <c r="E994" s="34"/>
      <c r="F994" s="34"/>
      <c r="G994" s="35"/>
      <c r="H994" s="34"/>
      <c r="I994" s="37"/>
    </row>
    <row r="995" ht="22.5" customHeight="1">
      <c r="A995" s="30"/>
      <c r="B995" s="31"/>
      <c r="C995" s="32"/>
      <c r="D995" s="33"/>
      <c r="E995" s="34"/>
      <c r="F995" s="34"/>
      <c r="G995" s="35"/>
      <c r="H995" s="34"/>
      <c r="I995" s="37"/>
    </row>
    <row r="996" ht="22.5" customHeight="1">
      <c r="A996" s="30"/>
      <c r="B996" s="31"/>
      <c r="C996" s="32"/>
      <c r="D996" s="33"/>
      <c r="E996" s="34"/>
      <c r="F996" s="34"/>
      <c r="G996" s="35"/>
      <c r="H996" s="34"/>
      <c r="I996" s="37"/>
    </row>
    <row r="997" ht="22.5" customHeight="1">
      <c r="A997" s="30"/>
      <c r="B997" s="31"/>
      <c r="C997" s="32"/>
      <c r="D997" s="33"/>
      <c r="E997" s="34"/>
      <c r="F997" s="34"/>
      <c r="G997" s="35"/>
      <c r="H997" s="34"/>
      <c r="I997" s="37"/>
    </row>
    <row r="998" ht="22.5" customHeight="1">
      <c r="A998" s="30"/>
      <c r="B998" s="31"/>
      <c r="C998" s="32"/>
      <c r="D998" s="33"/>
      <c r="E998" s="34"/>
      <c r="F998" s="34"/>
      <c r="G998" s="35"/>
      <c r="H998" s="34"/>
      <c r="I998" s="38"/>
    </row>
    <row r="999" ht="22.5" customHeight="1">
      <c r="A999" s="30"/>
      <c r="B999" s="39"/>
      <c r="C999" s="32"/>
      <c r="D999" s="33"/>
      <c r="E999" s="34"/>
      <c r="F999" s="34"/>
      <c r="G999" s="35"/>
      <c r="H999" s="34"/>
      <c r="I999" s="37"/>
    </row>
    <row r="1000" ht="22.5" customHeight="1">
      <c r="A1000" s="30"/>
      <c r="B1000" s="31"/>
      <c r="C1000" s="32"/>
      <c r="D1000" s="33"/>
      <c r="E1000" s="34"/>
      <c r="F1000" s="34"/>
      <c r="G1000" s="35"/>
      <c r="H1000" s="34"/>
      <c r="I1000" s="37"/>
    </row>
    <row r="1001" ht="22.5" customHeight="1">
      <c r="A1001" s="30"/>
      <c r="B1001" s="31"/>
      <c r="C1001" s="32"/>
      <c r="D1001" s="33"/>
      <c r="E1001" s="34"/>
      <c r="F1001" s="34"/>
      <c r="G1001" s="35"/>
      <c r="H1001" s="34"/>
      <c r="I1001" s="37"/>
    </row>
    <row r="1002" ht="22.5" customHeight="1">
      <c r="A1002" s="30"/>
      <c r="B1002" s="31"/>
      <c r="C1002" s="32"/>
      <c r="D1002" s="33"/>
      <c r="E1002" s="34"/>
      <c r="F1002" s="34"/>
      <c r="G1002" s="35"/>
      <c r="H1002" s="34"/>
      <c r="I1002" s="37"/>
    </row>
    <row r="1003" ht="22.5" customHeight="1">
      <c r="A1003" s="30"/>
      <c r="B1003" s="39"/>
      <c r="C1003" s="32"/>
      <c r="D1003" s="33"/>
      <c r="E1003" s="34"/>
      <c r="F1003" s="34"/>
      <c r="G1003" s="35"/>
      <c r="H1003" s="34"/>
      <c r="I1003" s="37"/>
    </row>
    <row r="1004" ht="22.5" customHeight="1">
      <c r="A1004" s="30"/>
      <c r="B1004" s="31"/>
      <c r="C1004" s="32"/>
      <c r="D1004" s="33"/>
      <c r="E1004" s="34"/>
      <c r="F1004" s="34"/>
      <c r="G1004" s="35"/>
      <c r="H1004" s="34"/>
      <c r="I1004" s="37"/>
    </row>
    <row r="1005" ht="22.5" customHeight="1">
      <c r="A1005" s="30"/>
      <c r="B1005" s="39"/>
      <c r="C1005" s="32"/>
      <c r="D1005" s="33"/>
      <c r="E1005" s="34"/>
      <c r="F1005" s="34"/>
      <c r="G1005" s="35"/>
      <c r="H1005" s="34"/>
      <c r="I1005" s="37"/>
    </row>
    <row r="1006" ht="22.5" customHeight="1">
      <c r="A1006" s="30"/>
      <c r="B1006" s="31"/>
      <c r="C1006" s="32"/>
      <c r="D1006" s="33"/>
      <c r="E1006" s="34"/>
      <c r="F1006" s="34"/>
      <c r="G1006" s="35"/>
      <c r="H1006" s="34"/>
      <c r="I1006" s="37"/>
    </row>
    <row r="1007" ht="22.5" customHeight="1">
      <c r="A1007" s="30"/>
      <c r="B1007" s="31"/>
      <c r="C1007" s="32"/>
      <c r="D1007" s="33"/>
      <c r="E1007" s="34"/>
      <c r="F1007" s="34"/>
      <c r="G1007" s="35"/>
      <c r="H1007" s="34"/>
      <c r="I1007" s="37"/>
    </row>
    <row r="1008" ht="22.5" customHeight="1">
      <c r="A1008" s="30"/>
      <c r="B1008" s="31"/>
      <c r="C1008" s="32"/>
      <c r="D1008" s="33"/>
      <c r="E1008" s="34"/>
      <c r="F1008" s="34"/>
      <c r="G1008" s="35"/>
      <c r="H1008" s="34"/>
      <c r="I1008" s="37"/>
    </row>
    <row r="1009" ht="22.5" customHeight="1">
      <c r="A1009" s="30"/>
      <c r="B1009" s="31"/>
      <c r="C1009" s="32"/>
      <c r="D1009" s="33"/>
      <c r="E1009" s="34"/>
      <c r="F1009" s="34"/>
      <c r="G1009" s="35"/>
      <c r="H1009" s="34"/>
      <c r="I1009" s="37"/>
    </row>
    <row r="1010" ht="22.5" customHeight="1">
      <c r="A1010" s="30"/>
      <c r="B1010" s="31"/>
      <c r="C1010" s="32"/>
      <c r="D1010" s="33"/>
      <c r="E1010" s="34"/>
      <c r="F1010" s="34"/>
      <c r="G1010" s="35"/>
      <c r="H1010" s="34"/>
      <c r="I1010" s="37"/>
    </row>
    <row r="1011" ht="22.5" customHeight="1">
      <c r="A1011" s="30"/>
      <c r="B1011" s="31"/>
      <c r="C1011" s="32"/>
      <c r="D1011" s="33"/>
      <c r="E1011" s="34"/>
      <c r="F1011" s="34"/>
      <c r="G1011" s="35"/>
      <c r="H1011" s="34"/>
      <c r="I1011" s="37"/>
    </row>
    <row r="1012" ht="22.5" customHeight="1">
      <c r="A1012" s="30"/>
      <c r="B1012" s="31"/>
      <c r="C1012" s="32"/>
      <c r="D1012" s="33"/>
      <c r="E1012" s="34"/>
      <c r="F1012" s="34"/>
      <c r="G1012" s="35"/>
      <c r="H1012" s="34"/>
      <c r="I1012" s="37"/>
    </row>
    <row r="1013" ht="22.5" customHeight="1">
      <c r="A1013" s="30"/>
      <c r="B1013" s="31"/>
      <c r="C1013" s="32"/>
      <c r="D1013" s="33"/>
      <c r="E1013" s="34"/>
      <c r="F1013" s="34"/>
      <c r="G1013" s="35"/>
      <c r="H1013" s="34"/>
      <c r="I1013" s="37"/>
    </row>
    <row r="1014" ht="22.5" customHeight="1">
      <c r="A1014" s="30"/>
      <c r="B1014" s="31"/>
      <c r="C1014" s="32"/>
      <c r="D1014" s="33"/>
      <c r="E1014" s="34"/>
      <c r="F1014" s="34"/>
      <c r="G1014" s="35"/>
      <c r="H1014" s="34"/>
      <c r="I1014" s="37"/>
    </row>
    <row r="1015" ht="22.5" customHeight="1">
      <c r="A1015" s="30"/>
      <c r="B1015" s="31"/>
      <c r="C1015" s="32"/>
      <c r="D1015" s="33"/>
      <c r="E1015" s="34"/>
      <c r="F1015" s="34"/>
      <c r="G1015" s="35"/>
      <c r="H1015" s="34"/>
      <c r="I1015" s="37"/>
    </row>
    <row r="1016" ht="22.5" customHeight="1">
      <c r="A1016" s="30"/>
      <c r="B1016" s="40"/>
      <c r="C1016" s="32"/>
      <c r="D1016" s="33"/>
      <c r="E1016" s="34"/>
      <c r="F1016" s="34"/>
      <c r="G1016" s="35"/>
      <c r="H1016" s="34"/>
      <c r="I1016" s="37"/>
    </row>
    <row r="1017" ht="22.5" customHeight="1">
      <c r="A1017" s="30"/>
      <c r="B1017" s="31"/>
      <c r="C1017" s="32"/>
      <c r="D1017" s="33"/>
      <c r="E1017" s="34"/>
      <c r="F1017" s="34"/>
      <c r="G1017" s="35"/>
      <c r="H1017" s="34"/>
      <c r="I1017" s="37"/>
    </row>
    <row r="1018" ht="22.5" customHeight="1">
      <c r="A1018" s="30"/>
      <c r="B1018" s="31"/>
      <c r="C1018" s="32"/>
      <c r="D1018" s="33"/>
      <c r="E1018" s="34"/>
      <c r="F1018" s="34"/>
      <c r="G1018" s="35"/>
      <c r="H1018" s="34"/>
      <c r="I1018" s="37"/>
    </row>
    <row r="1019" ht="22.5" customHeight="1">
      <c r="A1019" s="30"/>
      <c r="B1019" s="31"/>
      <c r="C1019" s="32"/>
      <c r="D1019" s="33"/>
      <c r="E1019" s="34"/>
      <c r="F1019" s="34"/>
      <c r="G1019" s="35"/>
      <c r="H1019" s="34"/>
      <c r="I1019" s="37"/>
    </row>
    <row r="1020" ht="22.5" customHeight="1">
      <c r="A1020" s="30"/>
      <c r="B1020" s="31"/>
      <c r="C1020" s="32"/>
      <c r="D1020" s="33"/>
      <c r="E1020" s="34"/>
      <c r="F1020" s="34"/>
      <c r="G1020" s="35"/>
      <c r="H1020" s="34"/>
      <c r="I1020" s="37"/>
    </row>
    <row r="1021" ht="22.5" customHeight="1">
      <c r="A1021" s="30"/>
      <c r="B1021" s="31"/>
      <c r="C1021" s="32"/>
      <c r="D1021" s="33"/>
      <c r="E1021" s="34"/>
      <c r="F1021" s="34"/>
      <c r="G1021" s="35"/>
      <c r="H1021" s="34"/>
      <c r="I1021" s="37"/>
    </row>
    <row r="1022" ht="22.5" customHeight="1">
      <c r="A1022" s="30"/>
      <c r="B1022" s="31"/>
      <c r="C1022" s="32"/>
      <c r="D1022" s="33"/>
      <c r="E1022" s="34"/>
      <c r="F1022" s="34"/>
      <c r="G1022" s="35"/>
      <c r="H1022" s="34"/>
      <c r="I1022" s="37"/>
    </row>
    <row r="1023" ht="22.5" customHeight="1">
      <c r="A1023" s="30"/>
      <c r="B1023" s="39"/>
      <c r="C1023" s="32"/>
      <c r="D1023" s="33"/>
      <c r="E1023" s="34"/>
      <c r="F1023" s="34"/>
      <c r="G1023" s="35"/>
      <c r="H1023" s="34"/>
      <c r="I1023" s="37"/>
    </row>
    <row r="1024" ht="22.5" customHeight="1">
      <c r="A1024" s="30"/>
      <c r="B1024" s="39"/>
      <c r="C1024" s="32"/>
      <c r="D1024" s="33"/>
      <c r="E1024" s="34"/>
      <c r="F1024" s="34"/>
      <c r="G1024" s="35"/>
      <c r="H1024" s="34"/>
      <c r="I1024" s="37"/>
    </row>
    <row r="1025" ht="22.5" customHeight="1">
      <c r="A1025" s="30"/>
      <c r="B1025" s="39"/>
      <c r="C1025" s="32"/>
      <c r="D1025" s="33"/>
      <c r="E1025" s="34"/>
      <c r="F1025" s="34"/>
      <c r="G1025" s="35"/>
      <c r="H1025" s="34"/>
      <c r="I1025" s="37"/>
    </row>
    <row r="1026" ht="22.5" customHeight="1">
      <c r="A1026" s="30"/>
      <c r="B1026" s="40"/>
      <c r="C1026" s="32"/>
      <c r="D1026" s="33"/>
      <c r="E1026" s="34"/>
      <c r="F1026" s="34"/>
      <c r="G1026" s="35"/>
      <c r="H1026" s="34"/>
      <c r="I1026" s="37"/>
    </row>
    <row r="1027" ht="22.5" customHeight="1">
      <c r="A1027" s="30"/>
      <c r="B1027" s="31"/>
      <c r="C1027" s="32"/>
      <c r="D1027" s="33"/>
      <c r="E1027" s="34"/>
      <c r="F1027" s="34"/>
      <c r="G1027" s="35"/>
      <c r="H1027" s="34"/>
      <c r="I1027" s="37"/>
    </row>
    <row r="1028" ht="22.5" customHeight="1">
      <c r="A1028" s="30"/>
      <c r="B1028" s="31"/>
      <c r="C1028" s="32"/>
      <c r="D1028" s="33"/>
      <c r="E1028" s="34"/>
      <c r="F1028" s="34"/>
      <c r="G1028" s="35"/>
      <c r="H1028" s="34"/>
      <c r="I1028" s="37"/>
    </row>
    <row r="1029" ht="22.5" customHeight="1">
      <c r="A1029" s="30"/>
      <c r="B1029" s="31"/>
      <c r="C1029" s="32"/>
      <c r="D1029" s="33"/>
      <c r="E1029" s="34"/>
      <c r="F1029" s="34"/>
      <c r="G1029" s="35"/>
      <c r="H1029" s="34"/>
      <c r="I1029" s="37"/>
    </row>
    <row r="1030" ht="22.5" customHeight="1">
      <c r="A1030" s="30"/>
      <c r="B1030" s="31"/>
      <c r="C1030" s="32"/>
      <c r="D1030" s="33"/>
      <c r="E1030" s="34"/>
      <c r="F1030" s="34"/>
      <c r="G1030" s="35"/>
      <c r="H1030" s="34"/>
      <c r="I1030" s="37"/>
    </row>
    <row r="1031" ht="22.5" customHeight="1">
      <c r="A1031" s="30"/>
      <c r="B1031" s="31"/>
      <c r="C1031" s="32"/>
      <c r="D1031" s="33"/>
      <c r="E1031" s="34"/>
      <c r="F1031" s="34"/>
      <c r="G1031" s="35"/>
      <c r="H1031" s="34"/>
      <c r="I1031" s="37"/>
    </row>
    <row r="1032" ht="22.5" customHeight="1">
      <c r="A1032" s="30"/>
      <c r="B1032" s="31"/>
      <c r="C1032" s="32"/>
      <c r="D1032" s="33"/>
      <c r="E1032" s="34"/>
      <c r="F1032" s="34"/>
      <c r="G1032" s="35"/>
      <c r="H1032" s="34"/>
      <c r="I1032" s="37"/>
    </row>
    <row r="1033" ht="22.5" customHeight="1">
      <c r="A1033" s="30"/>
      <c r="B1033" s="31"/>
      <c r="C1033" s="32"/>
      <c r="D1033" s="33"/>
      <c r="E1033" s="34"/>
      <c r="F1033" s="34"/>
      <c r="G1033" s="35"/>
      <c r="H1033" s="34"/>
      <c r="I1033" s="37"/>
    </row>
    <row r="1034" ht="22.5" customHeight="1">
      <c r="A1034" s="30"/>
      <c r="B1034" s="31"/>
      <c r="C1034" s="32"/>
      <c r="D1034" s="33"/>
      <c r="E1034" s="34"/>
      <c r="F1034" s="34"/>
      <c r="G1034" s="35"/>
      <c r="H1034" s="34"/>
      <c r="I1034" s="37"/>
    </row>
    <row r="1035" ht="22.5" customHeight="1">
      <c r="A1035" s="30"/>
      <c r="B1035" s="31"/>
      <c r="C1035" s="32"/>
      <c r="D1035" s="33"/>
      <c r="E1035" s="34"/>
      <c r="F1035" s="34"/>
      <c r="G1035" s="35"/>
      <c r="H1035" s="34"/>
      <c r="I1035" s="37"/>
    </row>
    <row r="1036" ht="22.5" customHeight="1">
      <c r="A1036" s="30"/>
      <c r="B1036" s="40"/>
      <c r="C1036" s="32"/>
      <c r="D1036" s="33"/>
      <c r="E1036" s="34"/>
      <c r="F1036" s="34"/>
      <c r="G1036" s="35"/>
      <c r="H1036" s="34"/>
      <c r="I1036" s="37"/>
    </row>
    <row r="1037" ht="22.5" customHeight="1">
      <c r="A1037" s="30"/>
      <c r="B1037" s="31"/>
      <c r="C1037" s="32"/>
      <c r="D1037" s="33"/>
      <c r="E1037" s="34"/>
      <c r="F1037" s="34"/>
      <c r="G1037" s="35"/>
      <c r="H1037" s="34"/>
      <c r="I1037" s="37"/>
    </row>
    <row r="1038" ht="22.5" customHeight="1">
      <c r="A1038" s="30"/>
      <c r="B1038" s="31"/>
      <c r="C1038" s="32"/>
      <c r="D1038" s="33"/>
      <c r="E1038" s="34"/>
      <c r="F1038" s="34"/>
      <c r="G1038" s="35"/>
      <c r="H1038" s="34"/>
      <c r="I1038" s="37"/>
    </row>
    <row r="1039" ht="22.5" customHeight="1">
      <c r="A1039" s="30"/>
      <c r="B1039" s="31"/>
      <c r="C1039" s="32"/>
      <c r="D1039" s="33"/>
      <c r="E1039" s="34"/>
      <c r="F1039" s="34"/>
      <c r="G1039" s="35"/>
      <c r="H1039" s="34"/>
      <c r="I1039" s="37"/>
    </row>
    <row r="1040" ht="22.5" customHeight="1">
      <c r="A1040" s="30"/>
      <c r="B1040" s="40"/>
      <c r="C1040" s="32"/>
      <c r="D1040" s="33"/>
      <c r="E1040" s="34"/>
      <c r="F1040" s="34"/>
      <c r="G1040" s="35"/>
      <c r="H1040" s="34"/>
      <c r="I1040" s="37"/>
    </row>
    <row r="1041" ht="22.5" customHeight="1">
      <c r="A1041" s="30"/>
      <c r="B1041" s="31"/>
      <c r="C1041" s="32"/>
      <c r="D1041" s="33"/>
      <c r="E1041" s="34"/>
      <c r="F1041" s="34"/>
      <c r="G1041" s="35"/>
      <c r="H1041" s="34"/>
      <c r="I1041" s="37"/>
    </row>
    <row r="1042" ht="22.5" customHeight="1">
      <c r="A1042" s="30"/>
      <c r="B1042" s="31"/>
      <c r="C1042" s="32"/>
      <c r="D1042" s="33"/>
      <c r="E1042" s="34"/>
      <c r="F1042" s="34"/>
      <c r="G1042" s="35"/>
      <c r="H1042" s="34"/>
      <c r="I1042" s="37"/>
    </row>
    <row r="1043" ht="22.5" customHeight="1">
      <c r="A1043" s="30"/>
      <c r="B1043" s="31"/>
      <c r="C1043" s="32"/>
      <c r="D1043" s="33"/>
      <c r="E1043" s="34"/>
      <c r="F1043" s="34"/>
      <c r="G1043" s="35"/>
      <c r="H1043" s="34"/>
      <c r="I1043" s="37"/>
    </row>
    <row r="1044" ht="22.5" customHeight="1">
      <c r="A1044" s="30"/>
      <c r="B1044" s="31"/>
      <c r="C1044" s="32"/>
      <c r="D1044" s="33"/>
      <c r="E1044" s="34"/>
      <c r="F1044" s="34"/>
      <c r="G1044" s="35"/>
      <c r="H1044" s="34"/>
      <c r="I1044" s="37"/>
    </row>
    <row r="1045" ht="22.5" customHeight="1">
      <c r="A1045" s="30"/>
      <c r="B1045" s="31"/>
      <c r="C1045" s="32"/>
      <c r="D1045" s="33"/>
      <c r="E1045" s="34"/>
      <c r="F1045" s="34"/>
      <c r="G1045" s="35"/>
      <c r="H1045" s="34"/>
      <c r="I1045" s="37"/>
    </row>
    <row r="1046" ht="22.5" customHeight="1">
      <c r="A1046" s="30"/>
      <c r="B1046" s="31"/>
      <c r="C1046" s="32"/>
      <c r="D1046" s="33"/>
      <c r="E1046" s="34"/>
      <c r="F1046" s="34"/>
      <c r="G1046" s="35"/>
      <c r="H1046" s="34"/>
      <c r="I1046" s="37"/>
    </row>
    <row r="1047" ht="22.5" customHeight="1">
      <c r="A1047" s="30"/>
      <c r="B1047" s="31"/>
      <c r="C1047" s="32"/>
      <c r="D1047" s="33"/>
      <c r="E1047" s="34"/>
      <c r="F1047" s="34"/>
      <c r="G1047" s="35"/>
      <c r="H1047" s="34"/>
      <c r="I1047" s="37"/>
    </row>
    <row r="1048" ht="22.5" customHeight="1">
      <c r="A1048" s="30"/>
      <c r="B1048" s="31"/>
      <c r="C1048" s="32"/>
      <c r="D1048" s="33"/>
      <c r="E1048" s="34"/>
      <c r="F1048" s="34"/>
      <c r="G1048" s="35"/>
      <c r="H1048" s="34"/>
      <c r="I1048" s="37"/>
    </row>
    <row r="1049" ht="22.5" customHeight="1">
      <c r="A1049" s="30"/>
      <c r="B1049" s="31"/>
      <c r="C1049" s="32"/>
      <c r="D1049" s="33"/>
      <c r="E1049" s="34"/>
      <c r="F1049" s="34"/>
      <c r="G1049" s="35"/>
      <c r="H1049" s="34"/>
      <c r="I1049" s="37"/>
    </row>
    <row r="1050" ht="22.5" customHeight="1">
      <c r="A1050" s="30"/>
      <c r="B1050" s="31"/>
      <c r="C1050" s="32"/>
      <c r="D1050" s="33"/>
      <c r="E1050" s="34"/>
      <c r="F1050" s="34"/>
      <c r="G1050" s="35"/>
      <c r="H1050" s="34"/>
      <c r="I1050" s="37"/>
    </row>
    <row r="1051" ht="22.5" customHeight="1">
      <c r="A1051" s="30"/>
      <c r="B1051" s="31"/>
      <c r="C1051" s="32"/>
      <c r="D1051" s="33"/>
      <c r="E1051" s="34"/>
      <c r="F1051" s="34"/>
      <c r="G1051" s="35"/>
      <c r="H1051" s="34"/>
      <c r="I1051" s="37"/>
    </row>
    <row r="1052" ht="22.5" customHeight="1">
      <c r="A1052" s="30"/>
      <c r="B1052" s="31"/>
      <c r="C1052" s="32"/>
      <c r="D1052" s="33"/>
      <c r="E1052" s="34"/>
      <c r="F1052" s="34"/>
      <c r="G1052" s="35"/>
      <c r="H1052" s="34"/>
      <c r="I1052" s="37"/>
    </row>
    <row r="1053" ht="22.5" customHeight="1">
      <c r="A1053" s="30"/>
      <c r="B1053" s="31"/>
      <c r="C1053" s="32"/>
      <c r="D1053" s="33"/>
      <c r="E1053" s="34"/>
      <c r="F1053" s="34"/>
      <c r="G1053" s="35"/>
      <c r="H1053" s="34"/>
      <c r="I1053" s="37"/>
    </row>
    <row r="1054" ht="22.5" customHeight="1">
      <c r="A1054" s="30"/>
      <c r="B1054" s="31"/>
      <c r="C1054" s="32"/>
      <c r="D1054" s="33"/>
      <c r="E1054" s="34"/>
      <c r="F1054" s="34"/>
      <c r="G1054" s="35"/>
      <c r="H1054" s="34"/>
      <c r="I1054" s="37"/>
    </row>
    <row r="1055" ht="22.5" customHeight="1">
      <c r="A1055" s="30"/>
      <c r="B1055" s="40"/>
      <c r="C1055" s="32"/>
      <c r="D1055" s="33"/>
      <c r="E1055" s="34"/>
      <c r="F1055" s="34"/>
      <c r="G1055" s="35"/>
      <c r="H1055" s="34"/>
      <c r="I1055" s="37"/>
    </row>
    <row r="1056" ht="22.5" customHeight="1">
      <c r="A1056" s="30"/>
      <c r="B1056" s="31"/>
      <c r="C1056" s="32"/>
      <c r="D1056" s="33"/>
      <c r="E1056" s="34"/>
      <c r="F1056" s="34"/>
      <c r="G1056" s="35"/>
      <c r="H1056" s="34"/>
      <c r="I1056" s="37"/>
    </row>
    <row r="1057" ht="22.5" customHeight="1">
      <c r="A1057" s="30"/>
      <c r="B1057" s="40"/>
      <c r="C1057" s="32"/>
      <c r="D1057" s="33"/>
      <c r="E1057" s="34"/>
      <c r="F1057" s="34"/>
      <c r="G1057" s="35"/>
      <c r="H1057" s="34"/>
      <c r="I1057" s="37"/>
    </row>
    <row r="1058" ht="22.5" customHeight="1">
      <c r="A1058" s="30"/>
      <c r="B1058" s="31"/>
      <c r="C1058" s="32"/>
      <c r="D1058" s="33"/>
      <c r="E1058" s="34"/>
      <c r="F1058" s="34"/>
      <c r="G1058" s="35"/>
      <c r="H1058" s="34"/>
      <c r="I1058" s="37"/>
    </row>
    <row r="1059" ht="22.5" customHeight="1">
      <c r="A1059" s="30"/>
      <c r="B1059" s="31"/>
      <c r="C1059" s="32"/>
      <c r="D1059" s="33"/>
      <c r="E1059" s="34"/>
      <c r="F1059" s="34"/>
      <c r="G1059" s="35"/>
      <c r="H1059" s="34"/>
      <c r="I1059" s="37"/>
    </row>
    <row r="1060" ht="22.5" customHeight="1">
      <c r="A1060" s="30"/>
      <c r="B1060" s="31"/>
      <c r="C1060" s="32"/>
      <c r="D1060" s="33"/>
      <c r="E1060" s="34"/>
      <c r="F1060" s="34"/>
      <c r="G1060" s="35"/>
      <c r="H1060" s="34"/>
      <c r="I1060" s="37"/>
    </row>
    <row r="1061" ht="22.5" customHeight="1">
      <c r="A1061" s="30"/>
      <c r="B1061" s="31"/>
      <c r="C1061" s="32"/>
      <c r="D1061" s="33"/>
      <c r="E1061" s="34"/>
      <c r="F1061" s="34"/>
      <c r="G1061" s="35"/>
      <c r="H1061" s="34"/>
      <c r="I1061" s="37"/>
    </row>
    <row r="1062" ht="22.5" customHeight="1">
      <c r="A1062" s="30"/>
      <c r="B1062" s="40"/>
      <c r="C1062" s="32"/>
      <c r="D1062" s="33"/>
      <c r="E1062" s="34"/>
      <c r="F1062" s="34"/>
      <c r="G1062" s="35"/>
      <c r="H1062" s="34"/>
      <c r="I1062" s="37"/>
    </row>
    <row r="1063" ht="22.5" customHeight="1">
      <c r="A1063" s="30"/>
      <c r="B1063" s="31"/>
      <c r="C1063" s="32"/>
      <c r="D1063" s="33"/>
      <c r="E1063" s="34"/>
      <c r="F1063" s="34"/>
      <c r="G1063" s="35"/>
      <c r="H1063" s="34"/>
      <c r="I1063" s="37"/>
    </row>
    <row r="1064" ht="22.5" customHeight="1">
      <c r="A1064" s="30"/>
      <c r="B1064" s="31"/>
      <c r="C1064" s="32"/>
      <c r="D1064" s="33"/>
      <c r="E1064" s="34"/>
      <c r="F1064" s="34"/>
      <c r="G1064" s="35"/>
      <c r="H1064" s="34"/>
      <c r="I1064" s="37"/>
    </row>
    <row r="1065" ht="22.5" customHeight="1">
      <c r="A1065" s="30"/>
      <c r="B1065" s="31"/>
      <c r="C1065" s="32"/>
      <c r="D1065" s="33"/>
      <c r="E1065" s="34"/>
      <c r="F1065" s="34"/>
      <c r="G1065" s="35"/>
      <c r="H1065" s="34"/>
      <c r="I1065" s="37"/>
    </row>
    <row r="1066" ht="22.5" customHeight="1">
      <c r="A1066" s="30"/>
      <c r="B1066" s="31"/>
      <c r="C1066" s="32"/>
      <c r="D1066" s="33"/>
      <c r="E1066" s="34"/>
      <c r="F1066" s="34"/>
      <c r="G1066" s="35"/>
      <c r="H1066" s="34"/>
      <c r="I1066" s="37"/>
    </row>
    <row r="1067" ht="22.5" customHeight="1">
      <c r="A1067" s="30"/>
      <c r="B1067" s="31"/>
      <c r="C1067" s="32"/>
      <c r="D1067" s="33"/>
      <c r="E1067" s="34"/>
      <c r="F1067" s="34"/>
      <c r="G1067" s="35"/>
      <c r="H1067" s="34"/>
      <c r="I1067" s="37"/>
    </row>
    <row r="1068" ht="22.5" customHeight="1">
      <c r="A1068" s="30"/>
      <c r="B1068" s="31"/>
      <c r="C1068" s="32"/>
      <c r="D1068" s="33"/>
      <c r="E1068" s="34"/>
      <c r="F1068" s="34"/>
      <c r="G1068" s="35"/>
      <c r="H1068" s="34"/>
      <c r="I1068" s="37"/>
    </row>
    <row r="1069" ht="22.5" customHeight="1">
      <c r="A1069" s="30"/>
      <c r="B1069" s="31"/>
      <c r="C1069" s="32"/>
      <c r="D1069" s="33"/>
      <c r="E1069" s="34"/>
      <c r="F1069" s="34"/>
      <c r="G1069" s="35"/>
      <c r="H1069" s="34"/>
      <c r="I1069" s="37"/>
    </row>
    <row r="1070" ht="22.5" customHeight="1">
      <c r="A1070" s="30"/>
      <c r="B1070" s="31"/>
      <c r="C1070" s="32"/>
      <c r="D1070" s="33"/>
      <c r="E1070" s="34"/>
      <c r="F1070" s="34"/>
      <c r="G1070" s="35"/>
      <c r="H1070" s="34"/>
      <c r="I1070" s="37"/>
    </row>
    <row r="1071" ht="22.5" customHeight="1">
      <c r="A1071" s="30"/>
      <c r="B1071" s="31"/>
      <c r="C1071" s="32"/>
      <c r="D1071" s="33"/>
      <c r="E1071" s="34"/>
      <c r="F1071" s="34"/>
      <c r="G1071" s="35"/>
      <c r="H1071" s="34"/>
      <c r="I1071" s="37"/>
    </row>
    <row r="1072" ht="22.5" customHeight="1">
      <c r="A1072" s="30"/>
      <c r="B1072" s="31"/>
      <c r="C1072" s="32"/>
      <c r="D1072" s="33"/>
      <c r="E1072" s="34"/>
      <c r="F1072" s="34"/>
      <c r="G1072" s="35"/>
      <c r="H1072" s="34"/>
      <c r="I1072" s="37"/>
    </row>
    <row r="1073" ht="22.5" customHeight="1">
      <c r="A1073" s="30"/>
      <c r="B1073" s="31"/>
      <c r="C1073" s="32"/>
      <c r="D1073" s="33"/>
      <c r="E1073" s="34"/>
      <c r="F1073" s="34"/>
      <c r="G1073" s="35"/>
      <c r="H1073" s="34"/>
      <c r="I1073" s="37"/>
    </row>
    <row r="1074" ht="22.5" customHeight="1">
      <c r="A1074" s="30"/>
      <c r="B1074" s="31"/>
      <c r="C1074" s="32"/>
      <c r="D1074" s="33"/>
      <c r="E1074" s="34"/>
      <c r="F1074" s="34"/>
      <c r="G1074" s="35"/>
      <c r="H1074" s="34"/>
      <c r="I1074" s="37"/>
    </row>
    <row r="1075" ht="22.5" customHeight="1">
      <c r="A1075" s="30"/>
      <c r="B1075" s="31"/>
      <c r="C1075" s="32"/>
      <c r="D1075" s="33"/>
      <c r="E1075" s="34"/>
      <c r="F1075" s="34"/>
      <c r="G1075" s="35"/>
      <c r="H1075" s="34"/>
      <c r="I1075" s="37"/>
    </row>
    <row r="1076" ht="22.5" customHeight="1">
      <c r="A1076" s="30"/>
      <c r="B1076" s="31"/>
      <c r="C1076" s="32"/>
      <c r="D1076" s="33"/>
      <c r="E1076" s="34"/>
      <c r="F1076" s="34"/>
      <c r="G1076" s="35"/>
      <c r="H1076" s="34"/>
      <c r="I1076" s="37"/>
    </row>
    <row r="1077" ht="22.5" customHeight="1">
      <c r="A1077" s="30"/>
      <c r="B1077" s="31"/>
      <c r="C1077" s="32"/>
      <c r="D1077" s="33"/>
      <c r="E1077" s="34"/>
      <c r="F1077" s="34"/>
      <c r="G1077" s="35"/>
      <c r="H1077" s="34"/>
      <c r="I1077" s="37"/>
    </row>
    <row r="1078" ht="22.5" customHeight="1">
      <c r="A1078" s="30"/>
      <c r="B1078" s="31"/>
      <c r="C1078" s="32"/>
      <c r="D1078" s="33"/>
      <c r="E1078" s="34"/>
      <c r="F1078" s="34"/>
      <c r="G1078" s="35"/>
      <c r="H1078" s="34"/>
      <c r="I1078" s="37"/>
    </row>
    <row r="1079" ht="22.5" customHeight="1">
      <c r="A1079" s="30"/>
      <c r="B1079" s="31"/>
      <c r="C1079" s="32"/>
      <c r="D1079" s="33"/>
      <c r="E1079" s="34"/>
      <c r="F1079" s="34"/>
      <c r="G1079" s="35"/>
      <c r="H1079" s="34"/>
      <c r="I1079" s="37"/>
    </row>
    <row r="1080" ht="22.5" customHeight="1">
      <c r="A1080" s="30"/>
      <c r="B1080" s="31"/>
      <c r="C1080" s="32"/>
      <c r="D1080" s="33"/>
      <c r="E1080" s="34"/>
      <c r="F1080" s="34"/>
      <c r="G1080" s="35"/>
      <c r="H1080" s="34"/>
      <c r="I1080" s="37"/>
    </row>
    <row r="1081" ht="22.5" customHeight="1">
      <c r="A1081" s="30"/>
      <c r="B1081" s="31"/>
      <c r="C1081" s="32"/>
      <c r="D1081" s="33"/>
      <c r="E1081" s="34"/>
      <c r="F1081" s="34"/>
      <c r="G1081" s="35"/>
      <c r="H1081" s="34"/>
      <c r="I1081" s="37"/>
    </row>
    <row r="1082" ht="22.5" customHeight="1">
      <c r="A1082" s="30"/>
      <c r="B1082" s="31"/>
      <c r="C1082" s="32"/>
      <c r="D1082" s="33"/>
      <c r="E1082" s="34"/>
      <c r="F1082" s="34"/>
      <c r="G1082" s="35"/>
      <c r="H1082" s="34"/>
      <c r="I1082" s="37"/>
    </row>
    <row r="1083" ht="22.5" customHeight="1">
      <c r="A1083" s="30"/>
      <c r="B1083" s="31"/>
      <c r="C1083" s="32"/>
      <c r="D1083" s="33"/>
      <c r="E1083" s="34"/>
      <c r="F1083" s="34"/>
      <c r="G1083" s="35"/>
      <c r="H1083" s="34"/>
      <c r="I1083" s="37"/>
    </row>
    <row r="1084" ht="22.5" customHeight="1">
      <c r="A1084" s="30"/>
      <c r="B1084" s="40"/>
      <c r="C1084" s="32"/>
      <c r="D1084" s="33"/>
      <c r="E1084" s="34"/>
      <c r="F1084" s="34"/>
      <c r="G1084" s="35"/>
      <c r="H1084" s="34"/>
      <c r="I1084" s="37"/>
    </row>
    <row r="1085" ht="22.5" customHeight="1">
      <c r="A1085" s="30"/>
      <c r="B1085" s="31"/>
      <c r="C1085" s="32"/>
      <c r="D1085" s="33"/>
      <c r="E1085" s="34"/>
      <c r="F1085" s="34"/>
      <c r="G1085" s="35"/>
      <c r="H1085" s="34"/>
      <c r="I1085" s="37"/>
    </row>
    <row r="1086" ht="22.5" customHeight="1">
      <c r="A1086" s="30"/>
      <c r="B1086" s="31"/>
      <c r="C1086" s="32"/>
      <c r="D1086" s="33"/>
      <c r="E1086" s="34"/>
      <c r="F1086" s="34"/>
      <c r="G1086" s="35"/>
      <c r="H1086" s="34"/>
      <c r="I1086" s="37"/>
    </row>
    <row r="1087" ht="22.5" customHeight="1">
      <c r="A1087" s="30"/>
      <c r="B1087" s="31"/>
      <c r="C1087" s="32"/>
      <c r="D1087" s="33"/>
      <c r="E1087" s="34"/>
      <c r="F1087" s="34"/>
      <c r="G1087" s="35"/>
      <c r="H1087" s="34"/>
      <c r="I1087" s="37"/>
    </row>
    <row r="1088" ht="22.5" customHeight="1">
      <c r="A1088" s="30"/>
      <c r="B1088" s="31"/>
      <c r="C1088" s="32"/>
      <c r="D1088" s="33"/>
      <c r="E1088" s="34"/>
      <c r="F1088" s="34"/>
      <c r="G1088" s="35"/>
      <c r="H1088" s="34"/>
      <c r="I1088" s="38"/>
    </row>
    <row r="1089" ht="22.5" customHeight="1">
      <c r="A1089" s="30"/>
      <c r="B1089" s="39"/>
      <c r="C1089" s="32"/>
      <c r="D1089" s="33"/>
      <c r="E1089" s="34"/>
      <c r="F1089" s="34"/>
      <c r="G1089" s="35"/>
      <c r="H1089" s="34"/>
      <c r="I1089" s="37"/>
    </row>
    <row r="1090" ht="22.5" customHeight="1">
      <c r="A1090" s="30"/>
      <c r="B1090" s="31"/>
      <c r="C1090" s="32"/>
      <c r="D1090" s="33"/>
      <c r="E1090" s="34"/>
      <c r="F1090" s="34"/>
      <c r="G1090" s="35"/>
      <c r="H1090" s="34"/>
      <c r="I1090" s="37"/>
    </row>
    <row r="1091" ht="22.5" customHeight="1">
      <c r="A1091" s="30"/>
      <c r="B1091" s="31"/>
      <c r="C1091" s="32"/>
      <c r="D1091" s="33"/>
      <c r="E1091" s="34"/>
      <c r="F1091" s="34"/>
      <c r="G1091" s="35"/>
      <c r="H1091" s="34"/>
      <c r="I1091" s="37"/>
    </row>
    <row r="1092" ht="22.5" customHeight="1">
      <c r="A1092" s="30"/>
      <c r="B1092" s="31"/>
      <c r="C1092" s="32"/>
      <c r="D1092" s="33"/>
      <c r="E1092" s="34"/>
      <c r="F1092" s="34"/>
      <c r="G1092" s="35"/>
      <c r="H1092" s="34"/>
      <c r="I1092" s="37"/>
    </row>
    <row r="1093" ht="22.5" customHeight="1">
      <c r="A1093" s="30"/>
      <c r="B1093" s="39"/>
      <c r="C1093" s="32"/>
      <c r="D1093" s="33"/>
      <c r="E1093" s="34"/>
      <c r="F1093" s="34"/>
      <c r="G1093" s="35"/>
      <c r="H1093" s="34"/>
      <c r="I1093" s="37"/>
    </row>
    <row r="1094" ht="22.5" customHeight="1">
      <c r="A1094" s="30"/>
      <c r="B1094" s="31"/>
      <c r="C1094" s="32"/>
      <c r="D1094" s="33"/>
      <c r="E1094" s="34"/>
      <c r="F1094" s="34"/>
      <c r="G1094" s="35"/>
      <c r="H1094" s="34"/>
      <c r="I1094" s="37"/>
    </row>
    <row r="1095" ht="22.5" customHeight="1">
      <c r="A1095" s="30"/>
      <c r="B1095" s="39"/>
      <c r="C1095" s="32"/>
      <c r="D1095" s="33"/>
      <c r="E1095" s="34"/>
      <c r="F1095" s="34"/>
      <c r="G1095" s="35"/>
      <c r="H1095" s="34"/>
      <c r="I1095" s="37"/>
    </row>
    <row r="1096" ht="22.5" customHeight="1">
      <c r="A1096" s="30"/>
      <c r="B1096" s="31"/>
      <c r="C1096" s="32"/>
      <c r="D1096" s="33"/>
      <c r="E1096" s="34"/>
      <c r="F1096" s="34"/>
      <c r="G1096" s="35"/>
      <c r="H1096" s="34"/>
      <c r="I1096" s="37"/>
    </row>
    <row r="1097" ht="22.5" customHeight="1">
      <c r="A1097" s="30"/>
      <c r="B1097" s="31"/>
      <c r="C1097" s="32"/>
      <c r="D1097" s="33"/>
      <c r="E1097" s="34"/>
      <c r="F1097" s="34"/>
      <c r="G1097" s="35"/>
      <c r="H1097" s="34"/>
      <c r="I1097" s="37"/>
    </row>
    <row r="1098" ht="22.5" customHeight="1">
      <c r="A1098" s="30"/>
      <c r="B1098" s="31"/>
      <c r="C1098" s="32"/>
      <c r="D1098" s="33"/>
      <c r="E1098" s="34"/>
      <c r="F1098" s="34"/>
      <c r="G1098" s="35"/>
      <c r="H1098" s="34"/>
      <c r="I1098" s="37"/>
    </row>
    <row r="1099" ht="22.5" customHeight="1">
      <c r="A1099" s="30"/>
      <c r="B1099" s="31"/>
      <c r="C1099" s="32"/>
      <c r="D1099" s="33"/>
      <c r="E1099" s="34"/>
      <c r="F1099" s="34"/>
      <c r="G1099" s="35"/>
      <c r="H1099" s="34"/>
      <c r="I1099" s="37"/>
    </row>
    <row r="1100" ht="22.5" customHeight="1">
      <c r="A1100" s="30"/>
      <c r="B1100" s="31"/>
      <c r="C1100" s="32"/>
      <c r="D1100" s="33"/>
      <c r="E1100" s="34"/>
      <c r="F1100" s="34"/>
      <c r="G1100" s="35"/>
      <c r="H1100" s="34"/>
      <c r="I1100" s="37"/>
    </row>
    <row r="1101" ht="22.5" customHeight="1">
      <c r="A1101" s="30"/>
      <c r="B1101" s="31"/>
      <c r="C1101" s="32"/>
      <c r="D1101" s="33"/>
      <c r="E1101" s="34"/>
      <c r="F1101" s="34"/>
      <c r="G1101" s="35"/>
      <c r="H1101" s="34"/>
      <c r="I1101" s="37"/>
    </row>
    <row r="1102" ht="22.5" customHeight="1">
      <c r="A1102" s="30"/>
      <c r="B1102" s="31"/>
      <c r="C1102" s="32"/>
      <c r="D1102" s="33"/>
      <c r="E1102" s="34"/>
      <c r="F1102" s="34"/>
      <c r="G1102" s="35"/>
      <c r="H1102" s="34"/>
      <c r="I1102" s="37"/>
    </row>
    <row r="1103" ht="22.5" customHeight="1">
      <c r="A1103" s="30"/>
      <c r="B1103" s="31"/>
      <c r="C1103" s="32"/>
      <c r="D1103" s="33"/>
      <c r="E1103" s="34"/>
      <c r="F1103" s="34"/>
      <c r="G1103" s="35"/>
      <c r="H1103" s="34"/>
      <c r="I1103" s="37"/>
    </row>
    <row r="1104" ht="22.5" customHeight="1">
      <c r="A1104" s="30"/>
      <c r="B1104" s="31"/>
      <c r="C1104" s="32"/>
      <c r="D1104" s="33"/>
      <c r="E1104" s="34"/>
      <c r="F1104" s="34"/>
      <c r="G1104" s="35"/>
      <c r="H1104" s="34"/>
      <c r="I1104" s="37"/>
    </row>
    <row r="1105" ht="22.5" customHeight="1">
      <c r="A1105" s="30"/>
      <c r="B1105" s="31"/>
      <c r="C1105" s="32"/>
      <c r="D1105" s="33"/>
      <c r="E1105" s="34"/>
      <c r="F1105" s="34"/>
      <c r="G1105" s="35"/>
      <c r="H1105" s="34"/>
      <c r="I1105" s="37"/>
    </row>
    <row r="1106" ht="22.5" customHeight="1">
      <c r="A1106" s="30"/>
      <c r="B1106" s="40"/>
      <c r="C1106" s="32"/>
      <c r="D1106" s="33"/>
      <c r="E1106" s="34"/>
      <c r="F1106" s="34"/>
      <c r="G1106" s="35"/>
      <c r="H1106" s="34"/>
      <c r="I1106" s="37"/>
    </row>
    <row r="1107" ht="22.5" customHeight="1">
      <c r="A1107" s="30"/>
      <c r="B1107" s="31"/>
      <c r="C1107" s="32"/>
      <c r="D1107" s="33"/>
      <c r="E1107" s="34"/>
      <c r="F1107" s="34"/>
      <c r="G1107" s="35"/>
      <c r="H1107" s="34"/>
      <c r="I1107" s="37"/>
    </row>
    <row r="1108" ht="22.5" customHeight="1">
      <c r="A1108" s="30"/>
      <c r="B1108" s="31"/>
      <c r="C1108" s="32"/>
      <c r="D1108" s="33"/>
      <c r="E1108" s="34"/>
      <c r="F1108" s="34"/>
      <c r="G1108" s="35"/>
      <c r="H1108" s="34"/>
      <c r="I1108" s="37"/>
    </row>
    <row r="1109" ht="22.5" customHeight="1">
      <c r="A1109" s="30"/>
      <c r="B1109" s="31"/>
      <c r="C1109" s="32"/>
      <c r="D1109" s="33"/>
      <c r="E1109" s="34"/>
      <c r="F1109" s="34"/>
      <c r="G1109" s="35"/>
      <c r="H1109" s="34"/>
      <c r="I1109" s="37"/>
    </row>
    <row r="1110" ht="22.5" customHeight="1">
      <c r="A1110" s="30"/>
      <c r="B1110" s="31"/>
      <c r="C1110" s="32"/>
      <c r="D1110" s="33"/>
      <c r="E1110" s="34"/>
      <c r="F1110" s="34"/>
      <c r="G1110" s="35"/>
      <c r="H1110" s="34"/>
      <c r="I1110" s="37"/>
    </row>
    <row r="1111" ht="22.5" customHeight="1">
      <c r="A1111" s="30"/>
      <c r="B1111" s="31"/>
      <c r="C1111" s="32"/>
      <c r="D1111" s="33"/>
      <c r="E1111" s="34"/>
      <c r="F1111" s="34"/>
      <c r="G1111" s="35"/>
      <c r="H1111" s="34"/>
      <c r="I1111" s="37"/>
    </row>
    <row r="1112" ht="22.5" customHeight="1">
      <c r="A1112" s="30"/>
      <c r="B1112" s="31"/>
      <c r="C1112" s="32"/>
      <c r="D1112" s="33"/>
      <c r="E1112" s="34"/>
      <c r="F1112" s="34"/>
      <c r="G1112" s="35"/>
      <c r="H1112" s="34"/>
      <c r="I1112" s="37"/>
    </row>
    <row r="1113" ht="22.5" customHeight="1">
      <c r="A1113" s="30"/>
      <c r="B1113" s="39"/>
      <c r="C1113" s="32"/>
      <c r="D1113" s="33"/>
      <c r="E1113" s="34"/>
      <c r="F1113" s="34"/>
      <c r="G1113" s="35"/>
      <c r="H1113" s="34"/>
      <c r="I1113" s="37"/>
    </row>
    <row r="1114" ht="22.5" customHeight="1">
      <c r="A1114" s="30"/>
      <c r="B1114" s="39"/>
      <c r="C1114" s="32"/>
      <c r="D1114" s="33"/>
      <c r="E1114" s="34"/>
      <c r="F1114" s="34"/>
      <c r="G1114" s="35"/>
      <c r="H1114" s="34"/>
      <c r="I1114" s="37"/>
    </row>
    <row r="1115" ht="22.5" customHeight="1">
      <c r="A1115" s="30"/>
      <c r="B1115" s="39"/>
      <c r="C1115" s="32"/>
      <c r="D1115" s="33"/>
      <c r="E1115" s="34"/>
      <c r="F1115" s="34"/>
      <c r="G1115" s="35"/>
      <c r="H1115" s="34"/>
      <c r="I1115" s="37"/>
    </row>
    <row r="1116" ht="22.5" customHeight="1">
      <c r="A1116" s="30"/>
      <c r="B1116" s="40"/>
      <c r="C1116" s="32"/>
      <c r="D1116" s="33"/>
      <c r="E1116" s="34"/>
      <c r="F1116" s="34"/>
      <c r="G1116" s="35"/>
      <c r="H1116" s="34"/>
      <c r="I1116" s="37"/>
    </row>
    <row r="1117" ht="22.5" customHeight="1">
      <c r="A1117" s="30"/>
      <c r="B1117" s="31"/>
      <c r="C1117" s="32"/>
      <c r="D1117" s="33"/>
      <c r="E1117" s="34"/>
      <c r="F1117" s="34"/>
      <c r="G1117" s="35"/>
      <c r="H1117" s="34"/>
      <c r="I1117" s="37"/>
    </row>
    <row r="1118" ht="22.5" customHeight="1">
      <c r="A1118" s="30"/>
      <c r="B1118" s="31"/>
      <c r="C1118" s="32"/>
      <c r="D1118" s="33"/>
      <c r="E1118" s="34"/>
      <c r="F1118" s="34"/>
      <c r="G1118" s="35"/>
      <c r="H1118" s="34"/>
      <c r="I1118" s="37"/>
    </row>
    <row r="1119" ht="22.5" customHeight="1">
      <c r="A1119" s="30"/>
      <c r="B1119" s="31"/>
      <c r="C1119" s="32"/>
      <c r="D1119" s="33"/>
      <c r="E1119" s="34"/>
      <c r="F1119" s="34"/>
      <c r="G1119" s="35"/>
      <c r="H1119" s="34"/>
      <c r="I1119" s="37"/>
    </row>
    <row r="1120" ht="22.5" customHeight="1">
      <c r="A1120" s="30"/>
      <c r="B1120" s="31"/>
      <c r="C1120" s="32"/>
      <c r="D1120" s="33"/>
      <c r="E1120" s="34"/>
      <c r="F1120" s="34"/>
      <c r="G1120" s="35"/>
      <c r="H1120" s="34"/>
      <c r="I1120" s="37"/>
    </row>
    <row r="1121" ht="22.5" customHeight="1">
      <c r="A1121" s="30"/>
      <c r="B1121" s="31"/>
      <c r="C1121" s="32"/>
      <c r="D1121" s="33"/>
      <c r="E1121" s="34"/>
      <c r="F1121" s="34"/>
      <c r="G1121" s="35"/>
      <c r="H1121" s="34"/>
      <c r="I1121" s="37"/>
    </row>
    <row r="1122" ht="22.5" customHeight="1">
      <c r="A1122" s="30"/>
      <c r="B1122" s="31"/>
      <c r="C1122" s="32"/>
      <c r="D1122" s="33"/>
      <c r="E1122" s="34"/>
      <c r="F1122" s="34"/>
      <c r="G1122" s="35"/>
      <c r="H1122" s="34"/>
      <c r="I1122" s="37"/>
    </row>
    <row r="1123" ht="22.5" customHeight="1">
      <c r="A1123" s="30"/>
      <c r="B1123" s="31"/>
      <c r="C1123" s="32"/>
      <c r="D1123" s="33"/>
      <c r="E1123" s="34"/>
      <c r="F1123" s="34"/>
      <c r="G1123" s="35"/>
      <c r="H1123" s="34"/>
      <c r="I1123" s="37"/>
    </row>
    <row r="1124" ht="22.5" customHeight="1">
      <c r="A1124" s="30"/>
      <c r="B1124" s="31"/>
      <c r="C1124" s="32"/>
      <c r="D1124" s="33"/>
      <c r="E1124" s="34"/>
      <c r="F1124" s="34"/>
      <c r="G1124" s="35"/>
      <c r="H1124" s="34"/>
      <c r="I1124" s="37"/>
    </row>
    <row r="1125" ht="22.5" customHeight="1">
      <c r="A1125" s="30"/>
      <c r="B1125" s="31"/>
      <c r="C1125" s="32"/>
      <c r="D1125" s="33"/>
      <c r="E1125" s="34"/>
      <c r="F1125" s="34"/>
      <c r="G1125" s="35"/>
      <c r="H1125" s="34"/>
      <c r="I1125" s="37"/>
    </row>
    <row r="1126" ht="22.5" customHeight="1">
      <c r="A1126" s="30"/>
      <c r="B1126" s="40"/>
      <c r="C1126" s="32"/>
      <c r="D1126" s="33"/>
      <c r="E1126" s="34"/>
      <c r="F1126" s="34"/>
      <c r="G1126" s="35"/>
      <c r="H1126" s="34"/>
      <c r="I1126" s="37"/>
    </row>
    <row r="1127" ht="22.5" customHeight="1">
      <c r="A1127" s="30"/>
      <c r="B1127" s="31"/>
      <c r="C1127" s="32"/>
      <c r="D1127" s="33"/>
      <c r="E1127" s="34"/>
      <c r="F1127" s="34"/>
      <c r="G1127" s="35"/>
      <c r="H1127" s="34"/>
      <c r="I1127" s="37"/>
    </row>
    <row r="1128" ht="22.5" customHeight="1">
      <c r="A1128" s="30"/>
      <c r="B1128" s="31"/>
      <c r="C1128" s="32"/>
      <c r="D1128" s="33"/>
      <c r="E1128" s="34"/>
      <c r="F1128" s="34"/>
      <c r="G1128" s="35"/>
      <c r="H1128" s="34"/>
      <c r="I1128" s="37"/>
    </row>
    <row r="1129" ht="22.5" customHeight="1">
      <c r="A1129" s="30"/>
      <c r="B1129" s="31"/>
      <c r="C1129" s="32"/>
      <c r="D1129" s="33"/>
      <c r="E1129" s="34"/>
      <c r="F1129" s="34"/>
      <c r="G1129" s="35"/>
      <c r="H1129" s="34"/>
      <c r="I1129" s="37"/>
    </row>
    <row r="1130" ht="22.5" customHeight="1">
      <c r="A1130" s="30"/>
      <c r="B1130" s="40"/>
      <c r="C1130" s="32"/>
      <c r="D1130" s="33"/>
      <c r="E1130" s="34"/>
      <c r="F1130" s="34"/>
      <c r="G1130" s="35"/>
      <c r="H1130" s="34"/>
      <c r="I1130" s="37"/>
    </row>
    <row r="1131" ht="22.5" customHeight="1">
      <c r="A1131" s="30"/>
      <c r="B1131" s="31"/>
      <c r="C1131" s="32"/>
      <c r="D1131" s="33"/>
      <c r="E1131" s="34"/>
      <c r="F1131" s="34"/>
      <c r="G1131" s="35"/>
      <c r="H1131" s="34"/>
      <c r="I1131" s="37"/>
    </row>
    <row r="1132" ht="22.5" customHeight="1">
      <c r="A1132" s="30"/>
      <c r="B1132" s="31"/>
      <c r="C1132" s="32"/>
      <c r="D1132" s="33"/>
      <c r="E1132" s="34"/>
      <c r="F1132" s="34"/>
      <c r="G1132" s="35"/>
      <c r="H1132" s="34"/>
      <c r="I1132" s="37"/>
    </row>
    <row r="1133" ht="22.5" customHeight="1">
      <c r="A1133" s="30"/>
      <c r="B1133" s="31"/>
      <c r="C1133" s="32"/>
      <c r="D1133" s="33"/>
      <c r="E1133" s="34"/>
      <c r="F1133" s="34"/>
      <c r="G1133" s="35"/>
      <c r="H1133" s="34"/>
      <c r="I1133" s="37"/>
    </row>
    <row r="1134" ht="22.5" customHeight="1">
      <c r="A1134" s="30"/>
      <c r="B1134" s="31"/>
      <c r="C1134" s="32"/>
      <c r="D1134" s="33"/>
      <c r="E1134" s="34"/>
      <c r="F1134" s="34"/>
      <c r="G1134" s="35"/>
      <c r="H1134" s="34"/>
      <c r="I1134" s="37"/>
    </row>
    <row r="1135" ht="22.5" customHeight="1">
      <c r="A1135" s="30"/>
      <c r="B1135" s="31"/>
      <c r="C1135" s="32"/>
      <c r="D1135" s="33"/>
      <c r="E1135" s="34"/>
      <c r="F1135" s="34"/>
      <c r="G1135" s="35"/>
      <c r="H1135" s="34"/>
      <c r="I1135" s="37"/>
    </row>
    <row r="1136" ht="22.5" customHeight="1">
      <c r="A1136" s="30"/>
      <c r="B1136" s="31"/>
      <c r="C1136" s="32"/>
      <c r="D1136" s="33"/>
      <c r="E1136" s="34"/>
      <c r="F1136" s="34"/>
      <c r="G1136" s="35"/>
      <c r="H1136" s="34"/>
      <c r="I1136" s="37"/>
    </row>
    <row r="1137" ht="22.5" customHeight="1">
      <c r="A1137" s="30"/>
      <c r="B1137" s="31"/>
      <c r="C1137" s="32"/>
      <c r="D1137" s="33"/>
      <c r="E1137" s="34"/>
      <c r="F1137" s="34"/>
      <c r="G1137" s="35"/>
      <c r="H1137" s="34"/>
      <c r="I1137" s="37"/>
    </row>
    <row r="1138" ht="22.5" customHeight="1">
      <c r="A1138" s="30"/>
      <c r="B1138" s="31"/>
      <c r="C1138" s="32"/>
      <c r="D1138" s="33"/>
      <c r="E1138" s="34"/>
      <c r="F1138" s="34"/>
      <c r="G1138" s="35"/>
      <c r="H1138" s="34"/>
      <c r="I1138" s="37"/>
    </row>
    <row r="1139" ht="22.5" customHeight="1">
      <c r="A1139" s="30"/>
      <c r="B1139" s="31"/>
      <c r="C1139" s="32"/>
      <c r="D1139" s="33"/>
      <c r="E1139" s="34"/>
      <c r="F1139" s="34"/>
      <c r="G1139" s="35"/>
      <c r="H1139" s="34"/>
      <c r="I1139" s="37"/>
    </row>
    <row r="1140" ht="22.5" customHeight="1">
      <c r="A1140" s="30"/>
      <c r="B1140" s="31"/>
      <c r="C1140" s="32"/>
      <c r="D1140" s="33"/>
      <c r="E1140" s="34"/>
      <c r="F1140" s="34"/>
      <c r="G1140" s="35"/>
      <c r="H1140" s="34"/>
      <c r="I1140" s="37"/>
    </row>
    <row r="1141" ht="22.5" customHeight="1">
      <c r="A1141" s="30"/>
      <c r="B1141" s="31"/>
      <c r="C1141" s="32"/>
      <c r="D1141" s="33"/>
      <c r="E1141" s="34"/>
      <c r="F1141" s="34"/>
      <c r="G1141" s="35"/>
      <c r="H1141" s="34"/>
      <c r="I1141" s="37"/>
    </row>
    <row r="1142" ht="22.5" customHeight="1">
      <c r="A1142" s="30"/>
      <c r="B1142" s="31"/>
      <c r="C1142" s="32"/>
      <c r="D1142" s="33"/>
      <c r="E1142" s="34"/>
      <c r="F1142" s="34"/>
      <c r="G1142" s="35"/>
      <c r="H1142" s="34"/>
      <c r="I1142" s="37"/>
    </row>
    <row r="1143" ht="22.5" customHeight="1">
      <c r="A1143" s="30"/>
      <c r="B1143" s="31"/>
      <c r="C1143" s="32"/>
      <c r="D1143" s="33"/>
      <c r="E1143" s="34"/>
      <c r="F1143" s="34"/>
      <c r="G1143" s="35"/>
      <c r="H1143" s="34"/>
      <c r="I1143" s="37"/>
    </row>
    <row r="1144" ht="22.5" customHeight="1">
      <c r="A1144" s="30"/>
      <c r="B1144" s="31"/>
      <c r="C1144" s="32"/>
      <c r="D1144" s="33"/>
      <c r="E1144" s="34"/>
      <c r="F1144" s="34"/>
      <c r="G1144" s="35"/>
      <c r="H1144" s="34"/>
      <c r="I1144" s="37"/>
    </row>
    <row r="1145" ht="22.5" customHeight="1">
      <c r="A1145" s="30"/>
      <c r="B1145" s="40"/>
      <c r="C1145" s="32"/>
      <c r="D1145" s="33"/>
      <c r="E1145" s="34"/>
      <c r="F1145" s="34"/>
      <c r="G1145" s="35"/>
      <c r="H1145" s="34"/>
      <c r="I1145" s="37"/>
    </row>
    <row r="1146" ht="22.5" customHeight="1">
      <c r="A1146" s="30"/>
      <c r="B1146" s="31"/>
      <c r="C1146" s="32"/>
      <c r="D1146" s="33"/>
      <c r="E1146" s="34"/>
      <c r="F1146" s="34"/>
      <c r="G1146" s="35"/>
      <c r="H1146" s="34"/>
      <c r="I1146" s="37"/>
    </row>
    <row r="1147" ht="22.5" customHeight="1">
      <c r="A1147" s="30"/>
      <c r="B1147" s="40"/>
      <c r="C1147" s="32"/>
      <c r="D1147" s="33"/>
      <c r="E1147" s="34"/>
      <c r="F1147" s="34"/>
      <c r="G1147" s="35"/>
      <c r="H1147" s="34"/>
      <c r="I1147" s="37"/>
    </row>
    <row r="1148" ht="22.5" customHeight="1">
      <c r="A1148" s="30"/>
      <c r="B1148" s="31"/>
      <c r="C1148" s="32"/>
      <c r="D1148" s="33"/>
      <c r="E1148" s="34"/>
      <c r="F1148" s="34"/>
      <c r="G1148" s="35"/>
      <c r="H1148" s="34"/>
      <c r="I1148" s="37"/>
    </row>
    <row r="1149" ht="22.5" customHeight="1">
      <c r="A1149" s="30"/>
      <c r="B1149" s="31"/>
      <c r="C1149" s="32"/>
      <c r="D1149" s="33"/>
      <c r="E1149" s="34"/>
      <c r="F1149" s="34"/>
      <c r="G1149" s="35"/>
      <c r="H1149" s="34"/>
      <c r="I1149" s="37"/>
    </row>
    <row r="1150" ht="22.5" customHeight="1">
      <c r="A1150" s="30"/>
      <c r="B1150" s="31"/>
      <c r="C1150" s="32"/>
      <c r="D1150" s="33"/>
      <c r="E1150" s="34"/>
      <c r="F1150" s="34"/>
      <c r="G1150" s="35"/>
      <c r="H1150" s="34"/>
      <c r="I1150" s="37"/>
    </row>
    <row r="1151" ht="22.5" customHeight="1">
      <c r="A1151" s="30"/>
      <c r="B1151" s="31"/>
      <c r="C1151" s="32"/>
      <c r="D1151" s="33"/>
      <c r="E1151" s="34"/>
      <c r="F1151" s="34"/>
      <c r="G1151" s="35"/>
      <c r="H1151" s="34"/>
      <c r="I1151" s="37"/>
    </row>
    <row r="1152" ht="22.5" customHeight="1">
      <c r="A1152" s="30"/>
      <c r="B1152" s="40"/>
      <c r="C1152" s="32"/>
      <c r="D1152" s="33"/>
      <c r="E1152" s="34"/>
      <c r="F1152" s="34"/>
      <c r="G1152" s="35"/>
      <c r="H1152" s="34"/>
      <c r="I1152" s="37"/>
    </row>
    <row r="1153" ht="22.5" customHeight="1">
      <c r="A1153" s="30"/>
      <c r="B1153" s="31"/>
      <c r="C1153" s="32"/>
      <c r="D1153" s="33"/>
      <c r="E1153" s="34"/>
      <c r="F1153" s="34"/>
      <c r="G1153" s="35"/>
      <c r="H1153" s="34"/>
      <c r="I1153" s="37"/>
    </row>
    <row r="1154" ht="22.5" customHeight="1">
      <c r="A1154" s="30"/>
      <c r="B1154" s="31"/>
      <c r="C1154" s="32"/>
      <c r="D1154" s="33"/>
      <c r="E1154" s="34"/>
      <c r="F1154" s="34"/>
      <c r="G1154" s="35"/>
      <c r="H1154" s="34"/>
      <c r="I1154" s="37"/>
    </row>
    <row r="1155" ht="22.5" customHeight="1">
      <c r="A1155" s="30"/>
      <c r="B1155" s="31"/>
      <c r="C1155" s="32"/>
      <c r="D1155" s="33"/>
      <c r="E1155" s="34"/>
      <c r="F1155" s="34"/>
      <c r="G1155" s="35"/>
      <c r="H1155" s="34"/>
      <c r="I1155" s="37"/>
    </row>
    <row r="1156" ht="22.5" customHeight="1">
      <c r="A1156" s="30"/>
      <c r="B1156" s="31"/>
      <c r="C1156" s="32"/>
      <c r="D1156" s="33"/>
      <c r="E1156" s="34"/>
      <c r="F1156" s="34"/>
      <c r="G1156" s="35"/>
      <c r="H1156" s="34"/>
      <c r="I1156" s="37"/>
    </row>
    <row r="1157" ht="22.5" customHeight="1">
      <c r="A1157" s="30"/>
      <c r="B1157" s="31"/>
      <c r="C1157" s="32"/>
      <c r="D1157" s="33"/>
      <c r="E1157" s="34"/>
      <c r="F1157" s="34"/>
      <c r="G1157" s="35"/>
      <c r="H1157" s="34"/>
      <c r="I1157" s="37"/>
    </row>
    <row r="1158" ht="22.5" customHeight="1">
      <c r="A1158" s="30"/>
      <c r="B1158" s="31"/>
      <c r="C1158" s="32"/>
      <c r="D1158" s="33"/>
      <c r="E1158" s="34"/>
      <c r="F1158" s="34"/>
      <c r="G1158" s="35"/>
      <c r="H1158" s="34"/>
      <c r="I1158" s="37"/>
    </row>
    <row r="1159" ht="22.5" customHeight="1">
      <c r="A1159" s="30"/>
      <c r="B1159" s="31"/>
      <c r="C1159" s="32"/>
      <c r="D1159" s="33"/>
      <c r="E1159" s="34"/>
      <c r="F1159" s="34"/>
      <c r="G1159" s="35"/>
      <c r="H1159" s="34"/>
      <c r="I1159" s="37"/>
    </row>
    <row r="1160" ht="22.5" customHeight="1">
      <c r="A1160" s="30"/>
      <c r="B1160" s="31"/>
      <c r="C1160" s="32"/>
      <c r="D1160" s="33"/>
      <c r="E1160" s="34"/>
      <c r="F1160" s="34"/>
      <c r="G1160" s="35"/>
      <c r="H1160" s="34"/>
      <c r="I1160" s="37"/>
    </row>
    <row r="1161" ht="22.5" customHeight="1">
      <c r="A1161" s="30"/>
      <c r="B1161" s="31"/>
      <c r="C1161" s="32"/>
      <c r="D1161" s="33"/>
      <c r="E1161" s="34"/>
      <c r="F1161" s="34"/>
      <c r="G1161" s="35"/>
      <c r="H1161" s="34"/>
      <c r="I1161" s="37"/>
    </row>
    <row r="1162" ht="22.5" customHeight="1">
      <c r="A1162" s="30"/>
      <c r="B1162" s="31"/>
      <c r="C1162" s="32"/>
      <c r="D1162" s="33"/>
      <c r="E1162" s="34"/>
      <c r="F1162" s="34"/>
      <c r="G1162" s="35"/>
      <c r="H1162" s="34"/>
      <c r="I1162" s="37"/>
    </row>
    <row r="1163" ht="22.5" customHeight="1">
      <c r="A1163" s="30"/>
      <c r="B1163" s="31"/>
      <c r="C1163" s="32"/>
      <c r="D1163" s="33"/>
      <c r="E1163" s="34"/>
      <c r="F1163" s="34"/>
      <c r="G1163" s="35"/>
      <c r="H1163" s="34"/>
      <c r="I1163" s="37"/>
    </row>
    <row r="1164" ht="22.5" customHeight="1">
      <c r="A1164" s="30"/>
      <c r="B1164" s="31"/>
      <c r="C1164" s="32"/>
      <c r="D1164" s="33"/>
      <c r="E1164" s="34"/>
      <c r="F1164" s="34"/>
      <c r="G1164" s="35"/>
      <c r="H1164" s="34"/>
      <c r="I1164" s="37"/>
    </row>
    <row r="1165" ht="22.5" customHeight="1">
      <c r="A1165" s="30"/>
      <c r="B1165" s="31"/>
      <c r="C1165" s="32"/>
      <c r="D1165" s="33"/>
      <c r="E1165" s="34"/>
      <c r="F1165" s="34"/>
      <c r="G1165" s="35"/>
      <c r="H1165" s="34"/>
      <c r="I1165" s="37"/>
    </row>
    <row r="1166" ht="22.5" customHeight="1">
      <c r="A1166" s="30"/>
      <c r="B1166" s="31"/>
      <c r="C1166" s="32"/>
      <c r="D1166" s="33"/>
      <c r="E1166" s="34"/>
      <c r="F1166" s="34"/>
      <c r="G1166" s="35"/>
      <c r="H1166" s="34"/>
      <c r="I1166" s="37"/>
    </row>
    <row r="1167" ht="22.5" customHeight="1">
      <c r="A1167" s="30"/>
      <c r="B1167" s="31"/>
      <c r="C1167" s="32"/>
      <c r="D1167" s="33"/>
      <c r="E1167" s="34"/>
      <c r="F1167" s="34"/>
      <c r="G1167" s="35"/>
      <c r="H1167" s="34"/>
      <c r="I1167" s="37"/>
    </row>
    <row r="1168" ht="22.5" customHeight="1">
      <c r="A1168" s="30"/>
      <c r="B1168" s="31"/>
      <c r="C1168" s="32"/>
      <c r="D1168" s="33"/>
      <c r="E1168" s="34"/>
      <c r="F1168" s="34"/>
      <c r="G1168" s="35"/>
      <c r="H1168" s="34"/>
      <c r="I1168" s="37"/>
    </row>
    <row r="1169" ht="22.5" customHeight="1">
      <c r="A1169" s="30"/>
      <c r="B1169" s="31"/>
      <c r="C1169" s="32"/>
      <c r="D1169" s="33"/>
      <c r="E1169" s="34"/>
      <c r="F1169" s="34"/>
      <c r="G1169" s="35"/>
      <c r="H1169" s="34"/>
      <c r="I1169" s="37"/>
    </row>
    <row r="1170" ht="22.5" customHeight="1">
      <c r="A1170" s="30"/>
      <c r="B1170" s="31"/>
      <c r="C1170" s="32"/>
      <c r="D1170" s="33"/>
      <c r="E1170" s="34"/>
      <c r="F1170" s="34"/>
      <c r="G1170" s="35"/>
      <c r="H1170" s="34"/>
      <c r="I1170" s="37"/>
    </row>
    <row r="1171" ht="22.5" customHeight="1">
      <c r="A1171" s="30"/>
      <c r="B1171" s="31"/>
      <c r="C1171" s="32"/>
      <c r="D1171" s="33"/>
      <c r="E1171" s="34"/>
      <c r="F1171" s="34"/>
      <c r="G1171" s="35"/>
      <c r="H1171" s="34"/>
      <c r="I1171" s="37"/>
    </row>
    <row r="1172" ht="22.5" customHeight="1">
      <c r="A1172" s="30"/>
      <c r="B1172" s="31"/>
      <c r="C1172" s="32"/>
      <c r="D1172" s="33"/>
      <c r="E1172" s="34"/>
      <c r="F1172" s="34"/>
      <c r="G1172" s="35"/>
      <c r="H1172" s="34"/>
      <c r="I1172" s="37"/>
    </row>
    <row r="1173" ht="22.5" customHeight="1">
      <c r="A1173" s="30"/>
      <c r="B1173" s="31"/>
      <c r="C1173" s="32"/>
      <c r="D1173" s="33"/>
      <c r="E1173" s="34"/>
      <c r="F1173" s="34"/>
      <c r="G1173" s="35"/>
      <c r="H1173" s="34"/>
      <c r="I1173" s="37"/>
    </row>
    <row r="1174" ht="22.5" customHeight="1">
      <c r="A1174" s="30"/>
      <c r="B1174" s="40"/>
      <c r="C1174" s="32"/>
      <c r="D1174" s="33"/>
      <c r="E1174" s="34"/>
      <c r="F1174" s="34"/>
      <c r="G1174" s="35"/>
      <c r="H1174" s="34"/>
      <c r="I1174" s="37"/>
    </row>
    <row r="1175" ht="22.5" customHeight="1">
      <c r="A1175" s="30"/>
      <c r="B1175" s="31"/>
      <c r="C1175" s="32"/>
      <c r="D1175" s="33"/>
      <c r="E1175" s="34"/>
      <c r="F1175" s="34"/>
      <c r="G1175" s="35"/>
      <c r="H1175" s="34"/>
      <c r="I1175" s="37"/>
    </row>
    <row r="1176" ht="22.5" customHeight="1">
      <c r="A1176" s="30"/>
      <c r="B1176" s="31"/>
      <c r="C1176" s="32"/>
      <c r="D1176" s="33"/>
      <c r="E1176" s="34"/>
      <c r="F1176" s="34"/>
      <c r="G1176" s="35"/>
      <c r="H1176" s="34"/>
      <c r="I1176" s="37"/>
    </row>
    <row r="1177" ht="22.5" customHeight="1">
      <c r="A1177" s="30"/>
      <c r="B1177" s="31"/>
      <c r="C1177" s="32"/>
      <c r="D1177" s="33"/>
      <c r="E1177" s="34"/>
      <c r="F1177" s="34"/>
      <c r="G1177" s="35"/>
      <c r="H1177" s="34"/>
      <c r="I1177" s="37"/>
    </row>
    <row r="1178" ht="22.5" customHeight="1">
      <c r="A1178" s="30"/>
      <c r="B1178" s="31"/>
      <c r="C1178" s="32"/>
      <c r="D1178" s="33"/>
      <c r="E1178" s="34"/>
      <c r="F1178" s="34"/>
      <c r="G1178" s="35"/>
      <c r="H1178" s="34"/>
      <c r="I1178" s="38"/>
    </row>
    <row r="1179" ht="22.5" customHeight="1">
      <c r="A1179" s="30"/>
      <c r="B1179" s="39"/>
      <c r="C1179" s="32"/>
      <c r="D1179" s="33"/>
      <c r="E1179" s="34"/>
      <c r="F1179" s="34"/>
      <c r="G1179" s="35"/>
      <c r="H1179" s="34"/>
      <c r="I1179" s="37"/>
    </row>
    <row r="1180" ht="22.5" customHeight="1">
      <c r="A1180" s="30"/>
      <c r="B1180" s="31"/>
      <c r="C1180" s="32"/>
      <c r="D1180" s="33"/>
      <c r="E1180" s="34"/>
      <c r="F1180" s="34"/>
      <c r="G1180" s="35"/>
      <c r="H1180" s="34"/>
      <c r="I1180" s="37"/>
    </row>
    <row r="1181" ht="22.5" customHeight="1">
      <c r="A1181" s="30"/>
      <c r="B1181" s="31"/>
      <c r="C1181" s="32"/>
      <c r="D1181" s="33"/>
      <c r="E1181" s="34"/>
      <c r="F1181" s="34"/>
      <c r="G1181" s="35"/>
      <c r="H1181" s="34"/>
      <c r="I1181" s="37"/>
    </row>
    <row r="1182" ht="22.5" customHeight="1">
      <c r="A1182" s="30"/>
      <c r="B1182" s="31"/>
      <c r="C1182" s="32"/>
      <c r="D1182" s="33"/>
      <c r="E1182" s="34"/>
      <c r="F1182" s="34"/>
      <c r="G1182" s="35"/>
      <c r="H1182" s="34"/>
      <c r="I1182" s="37"/>
    </row>
    <row r="1183" ht="22.5" customHeight="1">
      <c r="A1183" s="30"/>
      <c r="B1183" s="39"/>
      <c r="C1183" s="32"/>
      <c r="D1183" s="33"/>
      <c r="E1183" s="34"/>
      <c r="F1183" s="34"/>
      <c r="G1183" s="35"/>
      <c r="H1183" s="34"/>
      <c r="I1183" s="37"/>
    </row>
    <row r="1184" ht="22.5" customHeight="1">
      <c r="A1184" s="30"/>
      <c r="B1184" s="31"/>
      <c r="C1184" s="32"/>
      <c r="D1184" s="33"/>
      <c r="E1184" s="34"/>
      <c r="F1184" s="34"/>
      <c r="G1184" s="35"/>
      <c r="H1184" s="34"/>
      <c r="I1184" s="37"/>
    </row>
    <row r="1185" ht="22.5" customHeight="1">
      <c r="A1185" s="30"/>
      <c r="B1185" s="39"/>
      <c r="C1185" s="32"/>
      <c r="D1185" s="33"/>
      <c r="E1185" s="34"/>
      <c r="F1185" s="34"/>
      <c r="G1185" s="35"/>
      <c r="H1185" s="34"/>
      <c r="I1185" s="37"/>
    </row>
    <row r="1186" ht="22.5" customHeight="1">
      <c r="A1186" s="30"/>
      <c r="B1186" s="31"/>
      <c r="C1186" s="32"/>
      <c r="D1186" s="33"/>
      <c r="E1186" s="34"/>
      <c r="F1186" s="34"/>
      <c r="G1186" s="35"/>
      <c r="H1186" s="34"/>
      <c r="I1186" s="37"/>
    </row>
    <row r="1187" ht="22.5" customHeight="1">
      <c r="A1187" s="30"/>
      <c r="B1187" s="31"/>
      <c r="C1187" s="32"/>
      <c r="D1187" s="33"/>
      <c r="E1187" s="34"/>
      <c r="F1187" s="34"/>
      <c r="G1187" s="35"/>
      <c r="H1187" s="34"/>
      <c r="I1187" s="37"/>
    </row>
    <row r="1188" ht="22.5" customHeight="1">
      <c r="A1188" s="30"/>
      <c r="B1188" s="31"/>
      <c r="C1188" s="32"/>
      <c r="D1188" s="33"/>
      <c r="E1188" s="34"/>
      <c r="F1188" s="34"/>
      <c r="G1188" s="35"/>
      <c r="H1188" s="34"/>
      <c r="I1188" s="37"/>
    </row>
    <row r="1189" ht="22.5" customHeight="1">
      <c r="A1189" s="30"/>
      <c r="B1189" s="31"/>
      <c r="C1189" s="32"/>
      <c r="D1189" s="33"/>
      <c r="E1189" s="34"/>
      <c r="F1189" s="34"/>
      <c r="G1189" s="35"/>
      <c r="H1189" s="34"/>
      <c r="I1189" s="37"/>
    </row>
    <row r="1190" ht="22.5" customHeight="1">
      <c r="A1190" s="30"/>
      <c r="B1190" s="31"/>
      <c r="C1190" s="32"/>
      <c r="D1190" s="33"/>
      <c r="E1190" s="34"/>
      <c r="F1190" s="34"/>
      <c r="G1190" s="35"/>
      <c r="H1190" s="34"/>
      <c r="I1190" s="37"/>
    </row>
    <row r="1191" ht="22.5" customHeight="1">
      <c r="A1191" s="30"/>
      <c r="B1191" s="31"/>
      <c r="C1191" s="32"/>
      <c r="D1191" s="33"/>
      <c r="E1191" s="34"/>
      <c r="F1191" s="34"/>
      <c r="G1191" s="35"/>
      <c r="H1191" s="34"/>
      <c r="I1191" s="37"/>
    </row>
    <row r="1192" ht="22.5" customHeight="1">
      <c r="A1192" s="30"/>
      <c r="B1192" s="31"/>
      <c r="C1192" s="32"/>
      <c r="D1192" s="33"/>
      <c r="E1192" s="34"/>
      <c r="F1192" s="34"/>
      <c r="G1192" s="35"/>
      <c r="H1192" s="34"/>
      <c r="I1192" s="37"/>
    </row>
    <row r="1193" ht="22.5" customHeight="1">
      <c r="A1193" s="30"/>
      <c r="B1193" s="31"/>
      <c r="C1193" s="32"/>
      <c r="D1193" s="33"/>
      <c r="E1193" s="34"/>
      <c r="F1193" s="34"/>
      <c r="G1193" s="35"/>
      <c r="H1193" s="34"/>
      <c r="I1193" s="37"/>
    </row>
    <row r="1194" ht="22.5" customHeight="1">
      <c r="A1194" s="30"/>
      <c r="B1194" s="31"/>
      <c r="C1194" s="32"/>
      <c r="D1194" s="33"/>
      <c r="E1194" s="34"/>
      <c r="F1194" s="34"/>
      <c r="G1194" s="35"/>
      <c r="H1194" s="34"/>
      <c r="I1194" s="37"/>
    </row>
    <row r="1195" ht="22.5" customHeight="1">
      <c r="A1195" s="30"/>
      <c r="B1195" s="31"/>
      <c r="C1195" s="32"/>
      <c r="D1195" s="33"/>
      <c r="E1195" s="34"/>
      <c r="F1195" s="34"/>
      <c r="G1195" s="35"/>
      <c r="H1195" s="34"/>
      <c r="I1195" s="37"/>
    </row>
    <row r="1196" ht="22.5" customHeight="1">
      <c r="A1196" s="30"/>
      <c r="B1196" s="40"/>
      <c r="C1196" s="32"/>
      <c r="D1196" s="33"/>
      <c r="E1196" s="34"/>
      <c r="F1196" s="34"/>
      <c r="G1196" s="35"/>
      <c r="H1196" s="34"/>
      <c r="I1196" s="37"/>
    </row>
    <row r="1197" ht="22.5" customHeight="1">
      <c r="A1197" s="30"/>
      <c r="B1197" s="31"/>
      <c r="C1197" s="32"/>
      <c r="D1197" s="33"/>
      <c r="E1197" s="34"/>
      <c r="F1197" s="34"/>
      <c r="G1197" s="35"/>
      <c r="H1197" s="34"/>
      <c r="I1197" s="37"/>
    </row>
    <row r="1198" ht="22.5" customHeight="1">
      <c r="A1198" s="30"/>
      <c r="B1198" s="31"/>
      <c r="C1198" s="32"/>
      <c r="D1198" s="33"/>
      <c r="E1198" s="34"/>
      <c r="F1198" s="34"/>
      <c r="G1198" s="35"/>
      <c r="H1198" s="34"/>
      <c r="I1198" s="37"/>
    </row>
    <row r="1199" ht="22.5" customHeight="1">
      <c r="A1199" s="30"/>
      <c r="B1199" s="31"/>
      <c r="C1199" s="32"/>
      <c r="D1199" s="33"/>
      <c r="E1199" s="34"/>
      <c r="F1199" s="34"/>
      <c r="G1199" s="35"/>
      <c r="H1199" s="34"/>
      <c r="I1199" s="37"/>
    </row>
    <row r="1200" ht="22.5" customHeight="1">
      <c r="A1200" s="30"/>
      <c r="B1200" s="31"/>
      <c r="C1200" s="32"/>
      <c r="D1200" s="33"/>
      <c r="E1200" s="34"/>
      <c r="F1200" s="34"/>
      <c r="G1200" s="35"/>
      <c r="H1200" s="34"/>
      <c r="I1200" s="37"/>
    </row>
    <row r="1201" ht="22.5" customHeight="1">
      <c r="A1201" s="30"/>
      <c r="B1201" s="31"/>
      <c r="C1201" s="32"/>
      <c r="D1201" s="33"/>
      <c r="E1201" s="34"/>
      <c r="F1201" s="34"/>
      <c r="G1201" s="35"/>
      <c r="H1201" s="34"/>
      <c r="I1201" s="37"/>
    </row>
    <row r="1202" ht="22.5" customHeight="1">
      <c r="A1202" s="30"/>
      <c r="B1202" s="31"/>
      <c r="C1202" s="32"/>
      <c r="D1202" s="33"/>
      <c r="E1202" s="34"/>
      <c r="F1202" s="34"/>
      <c r="G1202" s="35"/>
      <c r="H1202" s="34"/>
      <c r="I1202" s="37"/>
    </row>
    <row r="1203" ht="22.5" customHeight="1">
      <c r="A1203" s="30"/>
      <c r="B1203" s="39"/>
      <c r="C1203" s="32"/>
      <c r="D1203" s="33"/>
      <c r="E1203" s="34"/>
      <c r="F1203" s="34"/>
      <c r="G1203" s="35"/>
      <c r="H1203" s="34"/>
      <c r="I1203" s="37"/>
    </row>
    <row r="1204" ht="22.5" customHeight="1">
      <c r="A1204" s="30"/>
      <c r="B1204" s="39"/>
      <c r="C1204" s="32"/>
      <c r="D1204" s="33"/>
      <c r="E1204" s="34"/>
      <c r="F1204" s="34"/>
      <c r="G1204" s="35"/>
      <c r="H1204" s="34"/>
      <c r="I1204" s="37"/>
    </row>
    <row r="1205" ht="22.5" customHeight="1">
      <c r="A1205" s="30"/>
      <c r="B1205" s="39"/>
      <c r="C1205" s="32"/>
      <c r="D1205" s="33"/>
      <c r="E1205" s="34"/>
      <c r="F1205" s="34"/>
      <c r="G1205" s="35"/>
      <c r="H1205" s="34"/>
      <c r="I1205" s="37"/>
    </row>
    <row r="1206" ht="22.5" customHeight="1">
      <c r="A1206" s="30"/>
      <c r="B1206" s="40"/>
      <c r="C1206" s="32"/>
      <c r="D1206" s="33"/>
      <c r="E1206" s="34"/>
      <c r="F1206" s="34"/>
      <c r="G1206" s="35"/>
      <c r="H1206" s="34"/>
      <c r="I1206" s="37"/>
    </row>
    <row r="1207" ht="22.5" customHeight="1">
      <c r="A1207" s="30"/>
      <c r="B1207" s="31"/>
      <c r="C1207" s="32"/>
      <c r="D1207" s="33"/>
      <c r="E1207" s="34"/>
      <c r="F1207" s="34"/>
      <c r="G1207" s="35"/>
      <c r="H1207" s="34"/>
      <c r="I1207" s="37"/>
    </row>
    <row r="1208" ht="22.5" customHeight="1">
      <c r="A1208" s="30"/>
      <c r="B1208" s="31"/>
      <c r="C1208" s="32"/>
      <c r="D1208" s="33"/>
      <c r="E1208" s="34"/>
      <c r="F1208" s="34"/>
      <c r="G1208" s="35"/>
      <c r="H1208" s="34"/>
      <c r="I1208" s="37"/>
    </row>
    <row r="1209" ht="22.5" customHeight="1">
      <c r="A1209" s="30"/>
      <c r="B1209" s="31"/>
      <c r="C1209" s="32"/>
      <c r="D1209" s="33"/>
      <c r="E1209" s="34"/>
      <c r="F1209" s="34"/>
      <c r="G1209" s="35"/>
      <c r="H1209" s="34"/>
      <c r="I1209" s="37"/>
    </row>
    <row r="1210" ht="22.5" customHeight="1">
      <c r="A1210" s="30"/>
      <c r="B1210" s="31"/>
      <c r="C1210" s="32"/>
      <c r="D1210" s="33"/>
      <c r="E1210" s="34"/>
      <c r="F1210" s="34"/>
      <c r="G1210" s="35"/>
      <c r="H1210" s="34"/>
      <c r="I1210" s="37"/>
    </row>
    <row r="1211" ht="22.5" customHeight="1">
      <c r="A1211" s="30"/>
      <c r="B1211" s="31"/>
      <c r="C1211" s="32"/>
      <c r="D1211" s="33"/>
      <c r="E1211" s="34"/>
      <c r="F1211" s="34"/>
      <c r="G1211" s="35"/>
      <c r="H1211" s="34"/>
      <c r="I1211" s="37"/>
    </row>
    <row r="1212" ht="22.5" customHeight="1">
      <c r="A1212" s="30"/>
      <c r="B1212" s="31"/>
      <c r="C1212" s="32"/>
      <c r="D1212" s="33"/>
      <c r="E1212" s="34"/>
      <c r="F1212" s="34"/>
      <c r="G1212" s="35"/>
      <c r="H1212" s="34"/>
      <c r="I1212" s="37"/>
    </row>
    <row r="1213" ht="22.5" customHeight="1">
      <c r="A1213" s="30"/>
      <c r="B1213" s="31"/>
      <c r="C1213" s="32"/>
      <c r="D1213" s="33"/>
      <c r="E1213" s="34"/>
      <c r="F1213" s="34"/>
      <c r="G1213" s="35"/>
      <c r="H1213" s="34"/>
      <c r="I1213" s="37"/>
    </row>
    <row r="1214" ht="22.5" customHeight="1">
      <c r="A1214" s="30"/>
      <c r="B1214" s="31"/>
      <c r="C1214" s="32"/>
      <c r="D1214" s="33"/>
      <c r="E1214" s="34"/>
      <c r="F1214" s="34"/>
      <c r="G1214" s="35"/>
      <c r="H1214" s="34"/>
      <c r="I1214" s="37"/>
    </row>
    <row r="1215" ht="22.5" customHeight="1">
      <c r="A1215" s="30"/>
      <c r="B1215" s="31"/>
      <c r="C1215" s="32"/>
      <c r="D1215" s="33"/>
      <c r="E1215" s="34"/>
      <c r="F1215" s="34"/>
      <c r="G1215" s="35"/>
      <c r="H1215" s="34"/>
      <c r="I1215" s="37"/>
    </row>
    <row r="1216" ht="22.5" customHeight="1">
      <c r="A1216" s="30"/>
      <c r="B1216" s="40"/>
      <c r="C1216" s="32"/>
      <c r="D1216" s="33"/>
      <c r="E1216" s="34"/>
      <c r="F1216" s="34"/>
      <c r="G1216" s="35"/>
      <c r="H1216" s="34"/>
      <c r="I1216" s="37"/>
    </row>
    <row r="1217" ht="22.5" customHeight="1">
      <c r="A1217" s="30"/>
      <c r="B1217" s="31"/>
      <c r="C1217" s="32"/>
      <c r="D1217" s="33"/>
      <c r="E1217" s="34"/>
      <c r="F1217" s="34"/>
      <c r="G1217" s="35"/>
      <c r="H1217" s="34"/>
      <c r="I1217" s="37"/>
    </row>
    <row r="1218" ht="22.5" customHeight="1">
      <c r="A1218" s="30"/>
      <c r="B1218" s="31"/>
      <c r="C1218" s="32"/>
      <c r="D1218" s="33"/>
      <c r="E1218" s="34"/>
      <c r="F1218" s="34"/>
      <c r="G1218" s="35"/>
      <c r="H1218" s="34"/>
      <c r="I1218" s="37"/>
    </row>
    <row r="1219" ht="22.5" customHeight="1">
      <c r="A1219" s="30"/>
      <c r="B1219" s="31"/>
      <c r="C1219" s="32"/>
      <c r="D1219" s="33"/>
      <c r="E1219" s="34"/>
      <c r="F1219" s="34"/>
      <c r="G1219" s="35"/>
      <c r="H1219" s="34"/>
      <c r="I1219" s="37"/>
    </row>
    <row r="1220" ht="22.5" customHeight="1">
      <c r="A1220" s="30"/>
      <c r="B1220" s="40"/>
      <c r="C1220" s="32"/>
      <c r="D1220" s="33"/>
      <c r="E1220" s="34"/>
      <c r="F1220" s="34"/>
      <c r="G1220" s="35"/>
      <c r="H1220" s="34"/>
      <c r="I1220" s="37"/>
    </row>
    <row r="1221" ht="22.5" customHeight="1">
      <c r="A1221" s="30"/>
      <c r="B1221" s="31"/>
      <c r="C1221" s="32"/>
      <c r="D1221" s="33"/>
      <c r="E1221" s="34"/>
      <c r="F1221" s="34"/>
      <c r="G1221" s="35"/>
      <c r="H1221" s="34"/>
      <c r="I1221" s="37"/>
    </row>
    <row r="1222" ht="22.5" customHeight="1">
      <c r="A1222" s="30"/>
      <c r="B1222" s="31"/>
      <c r="C1222" s="32"/>
      <c r="D1222" s="33"/>
      <c r="E1222" s="34"/>
      <c r="F1222" s="34"/>
      <c r="G1222" s="35"/>
      <c r="H1222" s="34"/>
      <c r="I1222" s="37"/>
    </row>
    <row r="1223" ht="22.5" customHeight="1">
      <c r="A1223" s="30"/>
      <c r="B1223" s="31"/>
      <c r="C1223" s="32"/>
      <c r="D1223" s="33"/>
      <c r="E1223" s="34"/>
      <c r="F1223" s="34"/>
      <c r="G1223" s="35"/>
      <c r="H1223" s="34"/>
      <c r="I1223" s="37"/>
    </row>
    <row r="1224" ht="22.5" customHeight="1">
      <c r="A1224" s="30"/>
      <c r="B1224" s="31"/>
      <c r="C1224" s="32"/>
      <c r="D1224" s="33"/>
      <c r="E1224" s="34"/>
      <c r="F1224" s="34"/>
      <c r="G1224" s="35"/>
      <c r="H1224" s="34"/>
      <c r="I1224" s="37"/>
    </row>
    <row r="1225" ht="22.5" customHeight="1">
      <c r="A1225" s="30"/>
      <c r="B1225" s="31"/>
      <c r="C1225" s="32"/>
      <c r="D1225" s="33"/>
      <c r="E1225" s="34"/>
      <c r="F1225" s="34"/>
      <c r="G1225" s="35"/>
      <c r="H1225" s="34"/>
      <c r="I1225" s="37"/>
    </row>
    <row r="1226" ht="22.5" customHeight="1">
      <c r="A1226" s="30"/>
      <c r="B1226" s="31"/>
      <c r="C1226" s="32"/>
      <c r="D1226" s="33"/>
      <c r="E1226" s="34"/>
      <c r="F1226" s="34"/>
      <c r="G1226" s="35"/>
      <c r="H1226" s="34"/>
      <c r="I1226" s="37"/>
    </row>
    <row r="1227" ht="22.5" customHeight="1">
      <c r="A1227" s="30"/>
      <c r="B1227" s="31"/>
      <c r="C1227" s="32"/>
      <c r="D1227" s="33"/>
      <c r="E1227" s="34"/>
      <c r="F1227" s="34"/>
      <c r="G1227" s="35"/>
      <c r="H1227" s="34"/>
      <c r="I1227" s="37"/>
    </row>
    <row r="1228" ht="22.5" customHeight="1">
      <c r="A1228" s="30"/>
      <c r="B1228" s="31"/>
      <c r="C1228" s="32"/>
      <c r="D1228" s="33"/>
      <c r="E1228" s="34"/>
      <c r="F1228" s="34"/>
      <c r="G1228" s="35"/>
      <c r="H1228" s="34"/>
      <c r="I1228" s="37"/>
    </row>
    <row r="1229" ht="22.5" customHeight="1">
      <c r="A1229" s="30"/>
      <c r="B1229" s="31"/>
      <c r="C1229" s="32"/>
      <c r="D1229" s="33"/>
      <c r="E1229" s="34"/>
      <c r="F1229" s="34"/>
      <c r="G1229" s="35"/>
      <c r="H1229" s="34"/>
      <c r="I1229" s="37"/>
    </row>
    <row r="1230" ht="22.5" customHeight="1">
      <c r="A1230" s="30"/>
      <c r="B1230" s="31"/>
      <c r="C1230" s="32"/>
      <c r="D1230" s="33"/>
      <c r="E1230" s="34"/>
      <c r="F1230" s="34"/>
      <c r="G1230" s="35"/>
      <c r="H1230" s="34"/>
      <c r="I1230" s="37"/>
    </row>
    <row r="1231" ht="22.5" customHeight="1">
      <c r="A1231" s="30"/>
      <c r="B1231" s="31"/>
      <c r="C1231" s="32"/>
      <c r="D1231" s="33"/>
      <c r="E1231" s="34"/>
      <c r="F1231" s="34"/>
      <c r="G1231" s="35"/>
      <c r="H1231" s="34"/>
      <c r="I1231" s="37"/>
    </row>
    <row r="1232" ht="22.5" customHeight="1">
      <c r="A1232" s="30"/>
      <c r="B1232" s="31"/>
      <c r="C1232" s="32"/>
      <c r="D1232" s="33"/>
      <c r="E1232" s="34"/>
      <c r="F1232" s="34"/>
      <c r="G1232" s="35"/>
      <c r="H1232" s="34"/>
      <c r="I1232" s="37"/>
    </row>
    <row r="1233" ht="22.5" customHeight="1">
      <c r="A1233" s="30"/>
      <c r="B1233" s="31"/>
      <c r="C1233" s="32"/>
      <c r="D1233" s="33"/>
      <c r="E1233" s="34"/>
      <c r="F1233" s="34"/>
      <c r="G1233" s="35"/>
      <c r="H1233" s="34"/>
      <c r="I1233" s="37"/>
    </row>
    <row r="1234" ht="22.5" customHeight="1">
      <c r="A1234" s="30"/>
      <c r="B1234" s="31"/>
      <c r="C1234" s="32"/>
      <c r="D1234" s="33"/>
      <c r="E1234" s="34"/>
      <c r="F1234" s="34"/>
      <c r="G1234" s="35"/>
      <c r="H1234" s="34"/>
      <c r="I1234" s="37"/>
    </row>
    <row r="1235" ht="22.5" customHeight="1">
      <c r="A1235" s="30"/>
      <c r="B1235" s="40"/>
      <c r="C1235" s="32"/>
      <c r="D1235" s="33"/>
      <c r="E1235" s="34"/>
      <c r="F1235" s="34"/>
      <c r="G1235" s="35"/>
      <c r="H1235" s="34"/>
      <c r="I1235" s="37"/>
    </row>
    <row r="1236" ht="22.5" customHeight="1">
      <c r="A1236" s="30"/>
      <c r="B1236" s="31"/>
      <c r="C1236" s="32"/>
      <c r="D1236" s="33"/>
      <c r="E1236" s="34"/>
      <c r="F1236" s="34"/>
      <c r="G1236" s="35"/>
      <c r="H1236" s="34"/>
      <c r="I1236" s="37"/>
    </row>
    <row r="1237" ht="22.5" customHeight="1">
      <c r="A1237" s="30"/>
      <c r="B1237" s="40"/>
      <c r="C1237" s="32"/>
      <c r="D1237" s="33"/>
      <c r="E1237" s="34"/>
      <c r="F1237" s="34"/>
      <c r="G1237" s="35"/>
      <c r="H1237" s="34"/>
      <c r="I1237" s="37"/>
    </row>
    <row r="1238" ht="22.5" customHeight="1">
      <c r="A1238" s="30"/>
      <c r="B1238" s="31"/>
      <c r="C1238" s="32"/>
      <c r="D1238" s="33"/>
      <c r="E1238" s="34"/>
      <c r="F1238" s="34"/>
      <c r="G1238" s="35"/>
      <c r="H1238" s="34"/>
      <c r="I1238" s="37"/>
    </row>
    <row r="1239" ht="22.5" customHeight="1">
      <c r="A1239" s="30"/>
      <c r="B1239" s="31"/>
      <c r="C1239" s="32"/>
      <c r="D1239" s="33"/>
      <c r="E1239" s="34"/>
      <c r="F1239" s="34"/>
      <c r="G1239" s="35"/>
      <c r="H1239" s="34"/>
      <c r="I1239" s="37"/>
    </row>
    <row r="1240" ht="22.5" customHeight="1">
      <c r="A1240" s="30"/>
      <c r="B1240" s="31"/>
      <c r="C1240" s="32"/>
      <c r="D1240" s="33"/>
      <c r="E1240" s="34"/>
      <c r="F1240" s="34"/>
      <c r="G1240" s="35"/>
      <c r="H1240" s="34"/>
      <c r="I1240" s="37"/>
    </row>
    <row r="1241" ht="22.5" customHeight="1">
      <c r="A1241" s="30"/>
      <c r="B1241" s="31"/>
      <c r="C1241" s="32"/>
      <c r="D1241" s="33"/>
      <c r="E1241" s="34"/>
      <c r="F1241" s="34"/>
      <c r="G1241" s="35"/>
      <c r="H1241" s="34"/>
      <c r="I1241" s="37"/>
    </row>
    <row r="1242" ht="22.5" customHeight="1">
      <c r="A1242" s="30"/>
      <c r="B1242" s="40"/>
      <c r="C1242" s="32"/>
      <c r="D1242" s="33"/>
      <c r="E1242" s="34"/>
      <c r="F1242" s="34"/>
      <c r="G1242" s="35"/>
      <c r="H1242" s="34"/>
      <c r="I1242" s="37"/>
    </row>
    <row r="1243" ht="22.5" customHeight="1">
      <c r="A1243" s="30"/>
      <c r="B1243" s="31"/>
      <c r="C1243" s="32"/>
      <c r="D1243" s="33"/>
      <c r="E1243" s="34"/>
      <c r="F1243" s="34"/>
      <c r="G1243" s="35"/>
      <c r="H1243" s="34"/>
      <c r="I1243" s="37"/>
    </row>
    <row r="1244" ht="22.5" customHeight="1">
      <c r="A1244" s="30"/>
      <c r="B1244" s="31"/>
      <c r="C1244" s="32"/>
      <c r="D1244" s="33"/>
      <c r="E1244" s="34"/>
      <c r="F1244" s="34"/>
      <c r="G1244" s="35"/>
      <c r="H1244" s="34"/>
      <c r="I1244" s="37"/>
    </row>
    <row r="1245" ht="22.5" customHeight="1">
      <c r="A1245" s="30"/>
      <c r="B1245" s="31"/>
      <c r="C1245" s="32"/>
      <c r="D1245" s="33"/>
      <c r="E1245" s="34"/>
      <c r="F1245" s="34"/>
      <c r="G1245" s="35"/>
      <c r="H1245" s="34"/>
      <c r="I1245" s="37"/>
    </row>
    <row r="1246" ht="22.5" customHeight="1">
      <c r="A1246" s="30"/>
      <c r="B1246" s="31"/>
      <c r="C1246" s="32"/>
      <c r="D1246" s="33"/>
      <c r="E1246" s="34"/>
      <c r="F1246" s="34"/>
      <c r="G1246" s="35"/>
      <c r="H1246" s="34"/>
      <c r="I1246" s="37"/>
    </row>
    <row r="1247" ht="22.5" customHeight="1">
      <c r="A1247" s="30"/>
      <c r="B1247" s="31"/>
      <c r="C1247" s="32"/>
      <c r="D1247" s="33"/>
      <c r="E1247" s="34"/>
      <c r="F1247" s="34"/>
      <c r="G1247" s="35"/>
      <c r="H1247" s="34"/>
      <c r="I1247" s="37"/>
    </row>
    <row r="1248" ht="22.5" customHeight="1">
      <c r="A1248" s="30"/>
      <c r="B1248" s="31"/>
      <c r="C1248" s="32"/>
      <c r="D1248" s="33"/>
      <c r="E1248" s="34"/>
      <c r="F1248" s="34"/>
      <c r="G1248" s="35"/>
      <c r="H1248" s="34"/>
      <c r="I1248" s="37"/>
    </row>
    <row r="1249" ht="22.5" customHeight="1">
      <c r="A1249" s="30"/>
      <c r="B1249" s="31"/>
      <c r="C1249" s="32"/>
      <c r="D1249" s="33"/>
      <c r="E1249" s="34"/>
      <c r="F1249" s="34"/>
      <c r="G1249" s="35"/>
      <c r="H1249" s="34"/>
      <c r="I1249" s="37"/>
    </row>
    <row r="1250" ht="22.5" customHeight="1">
      <c r="A1250" s="30"/>
      <c r="B1250" s="31"/>
      <c r="C1250" s="32"/>
      <c r="D1250" s="33"/>
      <c r="E1250" s="34"/>
      <c r="F1250" s="34"/>
      <c r="G1250" s="35"/>
      <c r="H1250" s="34"/>
      <c r="I1250" s="37"/>
    </row>
    <row r="1251" ht="22.5" customHeight="1">
      <c r="A1251" s="30"/>
      <c r="B1251" s="31"/>
      <c r="C1251" s="32"/>
      <c r="D1251" s="33"/>
      <c r="E1251" s="34"/>
      <c r="F1251" s="34"/>
      <c r="G1251" s="35"/>
      <c r="H1251" s="34"/>
      <c r="I1251" s="37"/>
    </row>
    <row r="1252" ht="22.5" customHeight="1">
      <c r="A1252" s="30"/>
      <c r="B1252" s="31"/>
      <c r="C1252" s="32"/>
      <c r="D1252" s="33"/>
      <c r="E1252" s="34"/>
      <c r="F1252" s="34"/>
      <c r="G1252" s="35"/>
      <c r="H1252" s="34"/>
      <c r="I1252" s="37"/>
    </row>
    <row r="1253" ht="22.5" customHeight="1">
      <c r="A1253" s="30"/>
      <c r="B1253" s="31"/>
      <c r="C1253" s="32"/>
      <c r="D1253" s="33"/>
      <c r="E1253" s="34"/>
      <c r="F1253" s="34"/>
      <c r="G1253" s="35"/>
      <c r="H1253" s="34"/>
      <c r="I1253" s="37"/>
    </row>
    <row r="1254" ht="22.5" customHeight="1">
      <c r="A1254" s="30"/>
      <c r="B1254" s="31"/>
      <c r="C1254" s="32"/>
      <c r="D1254" s="33"/>
      <c r="E1254" s="34"/>
      <c r="F1254" s="34"/>
      <c r="G1254" s="35"/>
      <c r="H1254" s="34"/>
      <c r="I1254" s="37"/>
    </row>
    <row r="1255" ht="22.5" customHeight="1">
      <c r="A1255" s="30"/>
      <c r="B1255" s="31"/>
      <c r="C1255" s="32"/>
      <c r="D1255" s="33"/>
      <c r="E1255" s="34"/>
      <c r="F1255" s="34"/>
      <c r="G1255" s="35"/>
      <c r="H1255" s="34"/>
      <c r="I1255" s="37"/>
    </row>
    <row r="1256" ht="22.5" customHeight="1">
      <c r="A1256" s="30"/>
      <c r="B1256" s="31"/>
      <c r="C1256" s="32"/>
      <c r="D1256" s="33"/>
      <c r="E1256" s="34"/>
      <c r="F1256" s="34"/>
      <c r="G1256" s="35"/>
      <c r="H1256" s="34"/>
      <c r="I1256" s="37"/>
    </row>
    <row r="1257" ht="22.5" customHeight="1">
      <c r="A1257" s="30"/>
      <c r="B1257" s="31"/>
      <c r="C1257" s="32"/>
      <c r="D1257" s="33"/>
      <c r="E1257" s="34"/>
      <c r="F1257" s="34"/>
      <c r="G1257" s="35"/>
      <c r="H1257" s="34"/>
      <c r="I1257" s="37"/>
    </row>
    <row r="1258" ht="22.5" customHeight="1">
      <c r="A1258" s="30"/>
      <c r="B1258" s="31"/>
      <c r="C1258" s="32"/>
      <c r="D1258" s="33"/>
      <c r="E1258" s="34"/>
      <c r="F1258" s="34"/>
      <c r="G1258" s="35"/>
      <c r="H1258" s="34"/>
      <c r="I1258" s="37"/>
    </row>
    <row r="1259" ht="22.5" customHeight="1">
      <c r="A1259" s="30"/>
      <c r="B1259" s="31"/>
      <c r="C1259" s="32"/>
      <c r="D1259" s="33"/>
      <c r="E1259" s="34"/>
      <c r="F1259" s="34"/>
      <c r="G1259" s="35"/>
      <c r="H1259" s="34"/>
      <c r="I1259" s="37"/>
    </row>
    <row r="1260" ht="22.5" customHeight="1">
      <c r="A1260" s="30"/>
      <c r="B1260" s="31"/>
      <c r="C1260" s="32"/>
      <c r="D1260" s="33"/>
      <c r="E1260" s="34"/>
      <c r="F1260" s="34"/>
      <c r="G1260" s="35"/>
      <c r="H1260" s="34"/>
      <c r="I1260" s="37"/>
    </row>
    <row r="1261" ht="22.5" customHeight="1">
      <c r="A1261" s="30"/>
      <c r="B1261" s="31"/>
      <c r="C1261" s="32"/>
      <c r="D1261" s="33"/>
      <c r="E1261" s="34"/>
      <c r="F1261" s="34"/>
      <c r="G1261" s="35"/>
      <c r="H1261" s="34"/>
      <c r="I1261" s="37"/>
    </row>
    <row r="1262" ht="22.5" customHeight="1">
      <c r="A1262" s="30"/>
      <c r="B1262" s="31"/>
      <c r="C1262" s="32"/>
      <c r="D1262" s="33"/>
      <c r="E1262" s="34"/>
      <c r="F1262" s="34"/>
      <c r="G1262" s="35"/>
      <c r="H1262" s="34"/>
      <c r="I1262" s="37"/>
    </row>
    <row r="1263" ht="22.5" customHeight="1">
      <c r="A1263" s="30"/>
      <c r="B1263" s="31"/>
      <c r="C1263" s="32"/>
      <c r="D1263" s="33"/>
      <c r="E1263" s="34"/>
      <c r="F1263" s="34"/>
      <c r="G1263" s="35"/>
      <c r="H1263" s="34"/>
      <c r="I1263" s="37"/>
    </row>
    <row r="1264" ht="22.5" customHeight="1">
      <c r="A1264" s="30"/>
      <c r="B1264" s="40"/>
      <c r="C1264" s="32"/>
      <c r="D1264" s="33"/>
      <c r="E1264" s="34"/>
      <c r="F1264" s="34"/>
      <c r="G1264" s="35"/>
      <c r="H1264" s="34"/>
      <c r="I1264" s="37"/>
    </row>
    <row r="1265" ht="22.5" customHeight="1">
      <c r="A1265" s="30"/>
      <c r="B1265" s="31"/>
      <c r="C1265" s="32"/>
      <c r="D1265" s="33"/>
      <c r="E1265" s="34"/>
      <c r="F1265" s="34"/>
      <c r="G1265" s="35"/>
      <c r="H1265" s="34"/>
      <c r="I1265" s="37"/>
    </row>
    <row r="1266" ht="22.5" customHeight="1">
      <c r="A1266" s="30"/>
      <c r="B1266" s="31"/>
      <c r="C1266" s="32"/>
      <c r="D1266" s="33"/>
      <c r="E1266" s="34"/>
      <c r="F1266" s="34"/>
      <c r="G1266" s="35"/>
      <c r="H1266" s="34"/>
      <c r="I1266" s="37"/>
    </row>
    <row r="1267" ht="22.5" customHeight="1">
      <c r="A1267" s="30"/>
      <c r="B1267" s="31"/>
      <c r="C1267" s="32"/>
      <c r="D1267" s="33"/>
      <c r="E1267" s="34"/>
      <c r="F1267" s="34"/>
      <c r="G1267" s="35"/>
      <c r="H1267" s="34"/>
      <c r="I1267" s="37"/>
    </row>
    <row r="1268" ht="22.5" customHeight="1">
      <c r="A1268" s="30"/>
      <c r="B1268" s="31"/>
      <c r="C1268" s="32"/>
      <c r="D1268" s="33"/>
      <c r="E1268" s="34"/>
      <c r="F1268" s="34"/>
      <c r="G1268" s="35"/>
      <c r="H1268" s="34"/>
      <c r="I1268" s="38"/>
    </row>
    <row r="1269" ht="22.5" customHeight="1">
      <c r="A1269" s="30"/>
      <c r="B1269" s="39"/>
      <c r="C1269" s="32"/>
      <c r="D1269" s="33"/>
      <c r="E1269" s="34"/>
      <c r="F1269" s="34"/>
      <c r="G1269" s="35"/>
      <c r="H1269" s="34"/>
      <c r="I1269" s="37"/>
    </row>
    <row r="1270" ht="22.5" customHeight="1">
      <c r="A1270" s="30"/>
      <c r="B1270" s="31"/>
      <c r="C1270" s="32"/>
      <c r="D1270" s="33"/>
      <c r="E1270" s="34"/>
      <c r="F1270" s="34"/>
      <c r="G1270" s="35"/>
      <c r="H1270" s="34"/>
      <c r="I1270" s="37"/>
    </row>
    <row r="1271" ht="22.5" customHeight="1">
      <c r="A1271" s="30"/>
      <c r="B1271" s="31"/>
      <c r="C1271" s="32"/>
      <c r="D1271" s="33"/>
      <c r="E1271" s="34"/>
      <c r="F1271" s="34"/>
      <c r="G1271" s="35"/>
      <c r="H1271" s="34"/>
      <c r="I1271" s="37"/>
    </row>
    <row r="1272" ht="22.5" customHeight="1">
      <c r="A1272" s="30"/>
      <c r="B1272" s="31"/>
      <c r="C1272" s="32"/>
      <c r="D1272" s="33"/>
      <c r="E1272" s="34"/>
      <c r="F1272" s="34"/>
      <c r="G1272" s="35"/>
      <c r="H1272" s="34"/>
      <c r="I1272" s="37"/>
    </row>
    <row r="1273" ht="22.5" customHeight="1">
      <c r="A1273" s="30"/>
      <c r="B1273" s="39"/>
      <c r="C1273" s="32"/>
      <c r="D1273" s="33"/>
      <c r="E1273" s="34"/>
      <c r="F1273" s="34"/>
      <c r="G1273" s="35"/>
      <c r="H1273" s="34"/>
      <c r="I1273" s="37"/>
    </row>
    <row r="1274" ht="22.5" customHeight="1">
      <c r="A1274" s="30"/>
      <c r="B1274" s="31"/>
      <c r="C1274" s="32"/>
      <c r="D1274" s="33"/>
      <c r="E1274" s="34"/>
      <c r="F1274" s="34"/>
      <c r="G1274" s="35"/>
      <c r="H1274" s="34"/>
      <c r="I1274" s="37"/>
    </row>
    <row r="1275" ht="22.5" customHeight="1">
      <c r="A1275" s="30"/>
      <c r="B1275" s="39"/>
      <c r="C1275" s="32"/>
      <c r="D1275" s="33"/>
      <c r="E1275" s="34"/>
      <c r="F1275" s="34"/>
      <c r="G1275" s="35"/>
      <c r="H1275" s="34"/>
      <c r="I1275" s="37"/>
    </row>
    <row r="1276" ht="22.5" customHeight="1">
      <c r="A1276" s="30"/>
      <c r="B1276" s="31"/>
      <c r="C1276" s="32"/>
      <c r="D1276" s="33"/>
      <c r="E1276" s="34"/>
      <c r="F1276" s="34"/>
      <c r="G1276" s="35"/>
      <c r="H1276" s="34"/>
      <c r="I1276" s="37"/>
    </row>
    <row r="1277" ht="22.5" customHeight="1">
      <c r="A1277" s="30"/>
      <c r="B1277" s="31"/>
      <c r="C1277" s="32"/>
      <c r="D1277" s="33"/>
      <c r="E1277" s="34"/>
      <c r="F1277" s="34"/>
      <c r="G1277" s="35"/>
      <c r="H1277" s="34"/>
      <c r="I1277" s="37"/>
    </row>
    <row r="1278" ht="22.5" customHeight="1">
      <c r="A1278" s="30"/>
      <c r="B1278" s="31"/>
      <c r="C1278" s="32"/>
      <c r="D1278" s="33"/>
      <c r="E1278" s="34"/>
      <c r="F1278" s="34"/>
      <c r="G1278" s="35"/>
      <c r="H1278" s="34"/>
      <c r="I1278" s="37"/>
    </row>
    <row r="1279" ht="22.5" customHeight="1">
      <c r="A1279" s="30"/>
      <c r="B1279" s="31"/>
      <c r="C1279" s="32"/>
      <c r="D1279" s="33"/>
      <c r="E1279" s="34"/>
      <c r="F1279" s="34"/>
      <c r="G1279" s="35"/>
      <c r="H1279" s="34"/>
      <c r="I1279" s="37"/>
    </row>
    <row r="1280" ht="22.5" customHeight="1">
      <c r="A1280" s="30"/>
      <c r="B1280" s="31"/>
      <c r="C1280" s="32"/>
      <c r="D1280" s="33"/>
      <c r="E1280" s="34"/>
      <c r="F1280" s="34"/>
      <c r="G1280" s="35"/>
      <c r="H1280" s="34"/>
      <c r="I1280" s="37"/>
    </row>
    <row r="1281" ht="22.5" customHeight="1">
      <c r="A1281" s="30"/>
      <c r="B1281" s="31"/>
      <c r="C1281" s="32"/>
      <c r="D1281" s="33"/>
      <c r="E1281" s="34"/>
      <c r="F1281" s="34"/>
      <c r="G1281" s="35"/>
      <c r="H1281" s="34"/>
      <c r="I1281" s="37"/>
    </row>
    <row r="1282" ht="22.5" customHeight="1">
      <c r="A1282" s="30"/>
      <c r="B1282" s="31"/>
      <c r="C1282" s="32"/>
      <c r="D1282" s="33"/>
      <c r="E1282" s="34"/>
      <c r="F1282" s="34"/>
      <c r="G1282" s="35"/>
      <c r="H1282" s="34"/>
      <c r="I1282" s="37"/>
    </row>
    <row r="1283" ht="22.5" customHeight="1">
      <c r="A1283" s="30"/>
      <c r="B1283" s="31"/>
      <c r="C1283" s="32"/>
      <c r="D1283" s="33"/>
      <c r="E1283" s="34"/>
      <c r="F1283" s="34"/>
      <c r="G1283" s="35"/>
      <c r="H1283" s="34"/>
      <c r="I1283" s="37"/>
    </row>
    <row r="1284" ht="22.5" customHeight="1">
      <c r="A1284" s="30"/>
      <c r="B1284" s="31"/>
      <c r="C1284" s="32"/>
      <c r="D1284" s="33"/>
      <c r="E1284" s="34"/>
      <c r="F1284" s="34"/>
      <c r="G1284" s="35"/>
      <c r="H1284" s="34"/>
      <c r="I1284" s="37"/>
    </row>
    <row r="1285" ht="22.5" customHeight="1">
      <c r="A1285" s="30"/>
      <c r="B1285" s="31"/>
      <c r="C1285" s="32"/>
      <c r="D1285" s="33"/>
      <c r="E1285" s="34"/>
      <c r="F1285" s="34"/>
      <c r="G1285" s="35"/>
      <c r="H1285" s="34"/>
      <c r="I1285" s="37"/>
    </row>
    <row r="1286" ht="22.5" customHeight="1">
      <c r="A1286" s="30"/>
      <c r="B1286" s="40"/>
      <c r="C1286" s="32"/>
      <c r="D1286" s="33"/>
      <c r="E1286" s="34"/>
      <c r="F1286" s="34"/>
      <c r="G1286" s="35"/>
      <c r="H1286" s="34"/>
      <c r="I1286" s="37"/>
    </row>
    <row r="1287" ht="22.5" customHeight="1">
      <c r="A1287" s="30"/>
      <c r="B1287" s="31"/>
      <c r="C1287" s="32"/>
      <c r="D1287" s="33"/>
      <c r="E1287" s="34"/>
      <c r="F1287" s="34"/>
      <c r="G1287" s="35"/>
      <c r="H1287" s="34"/>
      <c r="I1287" s="37"/>
    </row>
    <row r="1288" ht="22.5" customHeight="1">
      <c r="A1288" s="30"/>
      <c r="B1288" s="31"/>
      <c r="C1288" s="32"/>
      <c r="D1288" s="33"/>
      <c r="E1288" s="34"/>
      <c r="F1288" s="34"/>
      <c r="G1288" s="35"/>
      <c r="H1288" s="34"/>
      <c r="I1288" s="37"/>
    </row>
    <row r="1289" ht="22.5" customHeight="1">
      <c r="A1289" s="30"/>
      <c r="B1289" s="31"/>
      <c r="C1289" s="32"/>
      <c r="D1289" s="33"/>
      <c r="E1289" s="34"/>
      <c r="F1289" s="34"/>
      <c r="G1289" s="35"/>
      <c r="H1289" s="34"/>
      <c r="I1289" s="37"/>
    </row>
    <row r="1290" ht="22.5" customHeight="1">
      <c r="A1290" s="30"/>
      <c r="B1290" s="31"/>
      <c r="C1290" s="32"/>
      <c r="D1290" s="33"/>
      <c r="E1290" s="34"/>
      <c r="F1290" s="34"/>
      <c r="G1290" s="35"/>
      <c r="H1290" s="34"/>
      <c r="I1290" s="37"/>
    </row>
    <row r="1291" ht="22.5" customHeight="1">
      <c r="A1291" s="30"/>
      <c r="B1291" s="31"/>
      <c r="C1291" s="32"/>
      <c r="D1291" s="33"/>
      <c r="E1291" s="34"/>
      <c r="F1291" s="34"/>
      <c r="G1291" s="35"/>
      <c r="H1291" s="34"/>
      <c r="I1291" s="37"/>
    </row>
    <row r="1292" ht="22.5" customHeight="1">
      <c r="A1292" s="30"/>
      <c r="B1292" s="31"/>
      <c r="C1292" s="32"/>
      <c r="D1292" s="33"/>
      <c r="E1292" s="34"/>
      <c r="F1292" s="34"/>
      <c r="G1292" s="35"/>
      <c r="H1292" s="34"/>
      <c r="I1292" s="37"/>
    </row>
    <row r="1293" ht="22.5" customHeight="1">
      <c r="A1293" s="30"/>
      <c r="B1293" s="39"/>
      <c r="C1293" s="32"/>
      <c r="D1293" s="33"/>
      <c r="E1293" s="34"/>
      <c r="F1293" s="34"/>
      <c r="G1293" s="35"/>
      <c r="H1293" s="34"/>
      <c r="I1293" s="37"/>
    </row>
    <row r="1294" ht="22.5" customHeight="1">
      <c r="A1294" s="30"/>
      <c r="B1294" s="39"/>
      <c r="C1294" s="32"/>
      <c r="D1294" s="33"/>
      <c r="E1294" s="34"/>
      <c r="F1294" s="34"/>
      <c r="G1294" s="35"/>
      <c r="H1294" s="34"/>
      <c r="I1294" s="37"/>
    </row>
    <row r="1295" ht="22.5" customHeight="1">
      <c r="A1295" s="30"/>
      <c r="B1295" s="39"/>
      <c r="C1295" s="32"/>
      <c r="D1295" s="33"/>
      <c r="E1295" s="34"/>
      <c r="F1295" s="34"/>
      <c r="G1295" s="35"/>
      <c r="H1295" s="34"/>
      <c r="I1295" s="37"/>
    </row>
    <row r="1296" ht="22.5" customHeight="1">
      <c r="A1296" s="30"/>
      <c r="B1296" s="40"/>
      <c r="C1296" s="32"/>
      <c r="D1296" s="33"/>
      <c r="E1296" s="34"/>
      <c r="F1296" s="34"/>
      <c r="G1296" s="35"/>
      <c r="H1296" s="34"/>
      <c r="I1296" s="37"/>
    </row>
    <row r="1297" ht="22.5" customHeight="1">
      <c r="A1297" s="30"/>
      <c r="B1297" s="31"/>
      <c r="C1297" s="32"/>
      <c r="D1297" s="33"/>
      <c r="E1297" s="34"/>
      <c r="F1297" s="34"/>
      <c r="G1297" s="35"/>
      <c r="H1297" s="34"/>
      <c r="I1297" s="37"/>
    </row>
    <row r="1298" ht="22.5" customHeight="1">
      <c r="A1298" s="30"/>
      <c r="B1298" s="31"/>
      <c r="C1298" s="32"/>
      <c r="D1298" s="33"/>
      <c r="E1298" s="34"/>
      <c r="F1298" s="34"/>
      <c r="G1298" s="35"/>
      <c r="H1298" s="34"/>
      <c r="I1298" s="37"/>
    </row>
    <row r="1299" ht="22.5" customHeight="1">
      <c r="A1299" s="30"/>
      <c r="B1299" s="31"/>
      <c r="C1299" s="32"/>
      <c r="D1299" s="33"/>
      <c r="E1299" s="34"/>
      <c r="F1299" s="34"/>
      <c r="G1299" s="35"/>
      <c r="H1299" s="34"/>
      <c r="I1299" s="37"/>
    </row>
    <row r="1300" ht="22.5" customHeight="1">
      <c r="A1300" s="30"/>
      <c r="B1300" s="31"/>
      <c r="C1300" s="32"/>
      <c r="D1300" s="33"/>
      <c r="E1300" s="34"/>
      <c r="F1300" s="34"/>
      <c r="G1300" s="35"/>
      <c r="H1300" s="34"/>
      <c r="I1300" s="37"/>
    </row>
    <row r="1301" ht="22.5" customHeight="1">
      <c r="A1301" s="30"/>
      <c r="B1301" s="31"/>
      <c r="C1301" s="32"/>
      <c r="D1301" s="33"/>
      <c r="E1301" s="34"/>
      <c r="F1301" s="34"/>
      <c r="G1301" s="35"/>
      <c r="H1301" s="34"/>
      <c r="I1301" s="37"/>
    </row>
    <row r="1302" ht="22.5" customHeight="1">
      <c r="A1302" s="30"/>
      <c r="B1302" s="31"/>
      <c r="C1302" s="32"/>
      <c r="D1302" s="33"/>
      <c r="E1302" s="34"/>
      <c r="F1302" s="34"/>
      <c r="G1302" s="35"/>
      <c r="H1302" s="34"/>
      <c r="I1302" s="37"/>
    </row>
    <row r="1303" ht="22.5" customHeight="1">
      <c r="A1303" s="30"/>
      <c r="B1303" s="31"/>
      <c r="C1303" s="32"/>
      <c r="D1303" s="33"/>
      <c r="E1303" s="34"/>
      <c r="F1303" s="34"/>
      <c r="G1303" s="35"/>
      <c r="H1303" s="34"/>
      <c r="I1303" s="37"/>
    </row>
    <row r="1304" ht="22.5" customHeight="1">
      <c r="A1304" s="30"/>
      <c r="B1304" s="31"/>
      <c r="C1304" s="32"/>
      <c r="D1304" s="33"/>
      <c r="E1304" s="34"/>
      <c r="F1304" s="34"/>
      <c r="G1304" s="35"/>
      <c r="H1304" s="34"/>
      <c r="I1304" s="37"/>
    </row>
    <row r="1305" ht="22.5" customHeight="1">
      <c r="A1305" s="30"/>
      <c r="B1305" s="31"/>
      <c r="C1305" s="32"/>
      <c r="D1305" s="33"/>
      <c r="E1305" s="34"/>
      <c r="F1305" s="34"/>
      <c r="G1305" s="35"/>
      <c r="H1305" s="34"/>
      <c r="I1305" s="37"/>
    </row>
    <row r="1306" ht="22.5" customHeight="1">
      <c r="A1306" s="30"/>
      <c r="B1306" s="40"/>
      <c r="C1306" s="32"/>
      <c r="D1306" s="33"/>
      <c r="E1306" s="34"/>
      <c r="F1306" s="34"/>
      <c r="G1306" s="35"/>
      <c r="H1306" s="34"/>
      <c r="I1306" s="37"/>
    </row>
    <row r="1307" ht="22.5" customHeight="1">
      <c r="A1307" s="30"/>
      <c r="B1307" s="31"/>
      <c r="C1307" s="32"/>
      <c r="D1307" s="33"/>
      <c r="E1307" s="34"/>
      <c r="F1307" s="34"/>
      <c r="G1307" s="35"/>
      <c r="H1307" s="34"/>
      <c r="I1307" s="37"/>
    </row>
    <row r="1308" ht="22.5" customHeight="1">
      <c r="A1308" s="30"/>
      <c r="B1308" s="31"/>
      <c r="C1308" s="32"/>
      <c r="D1308" s="33"/>
      <c r="E1308" s="34"/>
      <c r="F1308" s="34"/>
      <c r="G1308" s="35"/>
      <c r="H1308" s="34"/>
      <c r="I1308" s="37"/>
    </row>
    <row r="1309" ht="22.5" customHeight="1">
      <c r="A1309" s="30"/>
      <c r="B1309" s="31"/>
      <c r="C1309" s="32"/>
      <c r="D1309" s="33"/>
      <c r="E1309" s="34"/>
      <c r="F1309" s="34"/>
      <c r="G1309" s="35"/>
      <c r="H1309" s="34"/>
      <c r="I1309" s="37"/>
    </row>
    <row r="1310" ht="22.5" customHeight="1">
      <c r="A1310" s="30"/>
      <c r="B1310" s="40"/>
      <c r="C1310" s="32"/>
      <c r="D1310" s="33"/>
      <c r="E1310" s="34"/>
      <c r="F1310" s="34"/>
      <c r="G1310" s="35"/>
      <c r="H1310" s="34"/>
      <c r="I1310" s="37"/>
    </row>
    <row r="1311" ht="22.5" customHeight="1">
      <c r="A1311" s="30"/>
      <c r="B1311" s="31"/>
      <c r="C1311" s="32"/>
      <c r="D1311" s="33"/>
      <c r="E1311" s="34"/>
      <c r="F1311" s="34"/>
      <c r="G1311" s="35"/>
      <c r="H1311" s="34"/>
      <c r="I1311" s="37"/>
    </row>
    <row r="1312" ht="22.5" customHeight="1">
      <c r="A1312" s="30"/>
      <c r="B1312" s="31"/>
      <c r="C1312" s="32"/>
      <c r="D1312" s="33"/>
      <c r="E1312" s="34"/>
      <c r="F1312" s="34"/>
      <c r="G1312" s="35"/>
      <c r="H1312" s="34"/>
      <c r="I1312" s="37"/>
    </row>
    <row r="1313" ht="22.5" customHeight="1">
      <c r="A1313" s="30"/>
      <c r="B1313" s="31"/>
      <c r="C1313" s="32"/>
      <c r="D1313" s="33"/>
      <c r="E1313" s="34"/>
      <c r="F1313" s="34"/>
      <c r="G1313" s="35"/>
      <c r="H1313" s="34"/>
      <c r="I1313" s="37"/>
    </row>
    <row r="1314" ht="22.5" customHeight="1">
      <c r="A1314" s="30"/>
      <c r="B1314" s="31"/>
      <c r="C1314" s="32"/>
      <c r="D1314" s="33"/>
      <c r="E1314" s="34"/>
      <c r="F1314" s="34"/>
      <c r="G1314" s="35"/>
      <c r="H1314" s="34"/>
      <c r="I1314" s="37"/>
    </row>
    <row r="1315" ht="22.5" customHeight="1">
      <c r="A1315" s="30"/>
      <c r="B1315" s="31"/>
      <c r="C1315" s="32"/>
      <c r="D1315" s="33"/>
      <c r="E1315" s="34"/>
      <c r="F1315" s="34"/>
      <c r="G1315" s="35"/>
      <c r="H1315" s="34"/>
      <c r="I1315" s="37"/>
    </row>
    <row r="1316" ht="22.5" customHeight="1">
      <c r="A1316" s="30"/>
      <c r="B1316" s="31"/>
      <c r="C1316" s="32"/>
      <c r="D1316" s="33"/>
      <c r="E1316" s="34"/>
      <c r="F1316" s="34"/>
      <c r="G1316" s="35"/>
      <c r="H1316" s="34"/>
      <c r="I1316" s="37"/>
    </row>
    <row r="1317" ht="22.5" customHeight="1">
      <c r="A1317" s="30"/>
      <c r="B1317" s="31"/>
      <c r="C1317" s="32"/>
      <c r="D1317" s="33"/>
      <c r="E1317" s="34"/>
      <c r="F1317" s="34"/>
      <c r="G1317" s="35"/>
      <c r="H1317" s="34"/>
      <c r="I1317" s="37"/>
    </row>
    <row r="1318" ht="22.5" customHeight="1">
      <c r="A1318" s="30"/>
      <c r="B1318" s="31"/>
      <c r="C1318" s="32"/>
      <c r="D1318" s="33"/>
      <c r="E1318" s="34"/>
      <c r="F1318" s="34"/>
      <c r="G1318" s="35"/>
      <c r="H1318" s="34"/>
      <c r="I1318" s="37"/>
    </row>
    <row r="1319" ht="22.5" customHeight="1">
      <c r="A1319" s="30"/>
      <c r="B1319" s="31"/>
      <c r="C1319" s="32"/>
      <c r="D1319" s="33"/>
      <c r="E1319" s="34"/>
      <c r="F1319" s="34"/>
      <c r="G1319" s="35"/>
      <c r="H1319" s="34"/>
      <c r="I1319" s="37"/>
    </row>
    <row r="1320" ht="22.5" customHeight="1">
      <c r="A1320" s="30"/>
      <c r="B1320" s="31"/>
      <c r="C1320" s="32"/>
      <c r="D1320" s="33"/>
      <c r="E1320" s="34"/>
      <c r="F1320" s="34"/>
      <c r="G1320" s="35"/>
      <c r="H1320" s="34"/>
      <c r="I1320" s="37"/>
    </row>
    <row r="1321" ht="22.5" customHeight="1">
      <c r="A1321" s="30"/>
      <c r="B1321" s="31"/>
      <c r="C1321" s="32"/>
      <c r="D1321" s="33"/>
      <c r="E1321" s="34"/>
      <c r="F1321" s="34"/>
      <c r="G1321" s="35"/>
      <c r="H1321" s="34"/>
      <c r="I1321" s="37"/>
    </row>
    <row r="1322" ht="22.5" customHeight="1">
      <c r="A1322" s="30"/>
      <c r="B1322" s="31"/>
      <c r="C1322" s="32"/>
      <c r="D1322" s="33"/>
      <c r="E1322" s="34"/>
      <c r="F1322" s="34"/>
      <c r="G1322" s="35"/>
      <c r="H1322" s="34"/>
      <c r="I1322" s="37"/>
    </row>
    <row r="1323" ht="22.5" customHeight="1">
      <c r="A1323" s="30"/>
      <c r="B1323" s="31"/>
      <c r="C1323" s="32"/>
      <c r="D1323" s="33"/>
      <c r="E1323" s="34"/>
      <c r="F1323" s="34"/>
      <c r="G1323" s="35"/>
      <c r="H1323" s="34"/>
      <c r="I1323" s="37"/>
    </row>
    <row r="1324" ht="22.5" customHeight="1">
      <c r="A1324" s="30"/>
      <c r="B1324" s="31"/>
      <c r="C1324" s="32"/>
      <c r="D1324" s="33"/>
      <c r="E1324" s="34"/>
      <c r="F1324" s="34"/>
      <c r="G1324" s="35"/>
      <c r="H1324" s="34"/>
      <c r="I1324" s="37"/>
    </row>
    <row r="1325" ht="22.5" customHeight="1">
      <c r="A1325" s="30"/>
      <c r="B1325" s="40"/>
      <c r="C1325" s="32"/>
      <c r="D1325" s="33"/>
      <c r="E1325" s="34"/>
      <c r="F1325" s="34"/>
      <c r="G1325" s="35"/>
      <c r="H1325" s="34"/>
      <c r="I1325" s="37"/>
    </row>
    <row r="1326" ht="22.5" customHeight="1">
      <c r="A1326" s="30"/>
      <c r="B1326" s="31"/>
      <c r="C1326" s="32"/>
      <c r="D1326" s="33"/>
      <c r="E1326" s="34"/>
      <c r="F1326" s="34"/>
      <c r="G1326" s="35"/>
      <c r="H1326" s="34"/>
      <c r="I1326" s="37"/>
    </row>
    <row r="1327" ht="22.5" customHeight="1">
      <c r="A1327" s="30"/>
      <c r="B1327" s="40"/>
      <c r="C1327" s="32"/>
      <c r="D1327" s="33"/>
      <c r="E1327" s="34"/>
      <c r="F1327" s="34"/>
      <c r="G1327" s="35"/>
      <c r="H1327" s="34"/>
      <c r="I1327" s="37"/>
    </row>
    <row r="1328" ht="22.5" customHeight="1">
      <c r="A1328" s="30"/>
      <c r="B1328" s="31"/>
      <c r="C1328" s="32"/>
      <c r="D1328" s="33"/>
      <c r="E1328" s="34"/>
      <c r="F1328" s="34"/>
      <c r="G1328" s="35"/>
      <c r="H1328" s="34"/>
      <c r="I1328" s="37"/>
    </row>
    <row r="1329" ht="22.5" customHeight="1">
      <c r="A1329" s="30"/>
      <c r="B1329" s="31"/>
      <c r="C1329" s="32"/>
      <c r="D1329" s="33"/>
      <c r="E1329" s="34"/>
      <c r="F1329" s="34"/>
      <c r="G1329" s="35"/>
      <c r="H1329" s="34"/>
      <c r="I1329" s="37"/>
    </row>
    <row r="1330" ht="22.5" customHeight="1">
      <c r="A1330" s="30"/>
      <c r="B1330" s="31"/>
      <c r="C1330" s="32"/>
      <c r="D1330" s="33"/>
      <c r="E1330" s="34"/>
      <c r="F1330" s="34"/>
      <c r="G1330" s="35"/>
      <c r="H1330" s="34"/>
      <c r="I1330" s="37"/>
    </row>
    <row r="1331" ht="22.5" customHeight="1">
      <c r="A1331" s="30"/>
      <c r="B1331" s="31"/>
      <c r="C1331" s="32"/>
      <c r="D1331" s="33"/>
      <c r="E1331" s="34"/>
      <c r="F1331" s="34"/>
      <c r="G1331" s="35"/>
      <c r="H1331" s="34"/>
      <c r="I1331" s="37"/>
    </row>
    <row r="1332" ht="22.5" customHeight="1">
      <c r="A1332" s="30"/>
      <c r="B1332" s="40"/>
      <c r="C1332" s="32"/>
      <c r="D1332" s="33"/>
      <c r="E1332" s="34"/>
      <c r="F1332" s="34"/>
      <c r="G1332" s="35"/>
      <c r="H1332" s="34"/>
      <c r="I1332" s="37"/>
    </row>
    <row r="1333" ht="22.5" customHeight="1">
      <c r="A1333" s="30"/>
      <c r="B1333" s="31"/>
      <c r="C1333" s="32"/>
      <c r="D1333" s="33"/>
      <c r="E1333" s="34"/>
      <c r="F1333" s="34"/>
      <c r="G1333" s="35"/>
      <c r="H1333" s="34"/>
      <c r="I1333" s="37"/>
    </row>
    <row r="1334" ht="22.5" customHeight="1">
      <c r="A1334" s="30"/>
      <c r="B1334" s="31"/>
      <c r="C1334" s="32"/>
      <c r="D1334" s="33"/>
      <c r="E1334" s="34"/>
      <c r="F1334" s="34"/>
      <c r="G1334" s="35"/>
      <c r="H1334" s="34"/>
      <c r="I1334" s="37"/>
    </row>
    <row r="1335" ht="22.5" customHeight="1">
      <c r="A1335" s="30"/>
      <c r="B1335" s="31"/>
      <c r="C1335" s="32"/>
      <c r="D1335" s="33"/>
      <c r="E1335" s="34"/>
      <c r="F1335" s="34"/>
      <c r="G1335" s="35"/>
      <c r="H1335" s="34"/>
      <c r="I1335" s="37"/>
    </row>
    <row r="1336" ht="22.5" customHeight="1">
      <c r="A1336" s="30"/>
      <c r="B1336" s="31"/>
      <c r="C1336" s="32"/>
      <c r="D1336" s="33"/>
      <c r="E1336" s="34"/>
      <c r="F1336" s="34"/>
      <c r="G1336" s="35"/>
      <c r="H1336" s="34"/>
      <c r="I1336" s="37"/>
    </row>
    <row r="1337" ht="22.5" customHeight="1">
      <c r="A1337" s="30"/>
      <c r="B1337" s="31"/>
      <c r="C1337" s="32"/>
      <c r="D1337" s="33"/>
      <c r="E1337" s="34"/>
      <c r="F1337" s="34"/>
      <c r="G1337" s="35"/>
      <c r="H1337" s="34"/>
      <c r="I1337" s="37"/>
    </row>
    <row r="1338" ht="22.5" customHeight="1">
      <c r="A1338" s="30"/>
      <c r="B1338" s="31"/>
      <c r="C1338" s="32"/>
      <c r="D1338" s="33"/>
      <c r="E1338" s="34"/>
      <c r="F1338" s="34"/>
      <c r="G1338" s="35"/>
      <c r="H1338" s="34"/>
      <c r="I1338" s="37"/>
    </row>
    <row r="1339" ht="22.5" customHeight="1">
      <c r="A1339" s="30"/>
      <c r="B1339" s="31"/>
      <c r="C1339" s="32"/>
      <c r="D1339" s="33"/>
      <c r="E1339" s="34"/>
      <c r="F1339" s="34"/>
      <c r="G1339" s="35"/>
      <c r="H1339" s="34"/>
      <c r="I1339" s="37"/>
    </row>
    <row r="1340" ht="22.5" customHeight="1">
      <c r="A1340" s="30"/>
      <c r="B1340" s="31"/>
      <c r="C1340" s="32"/>
      <c r="D1340" s="33"/>
      <c r="E1340" s="34"/>
      <c r="F1340" s="34"/>
      <c r="G1340" s="35"/>
      <c r="H1340" s="34"/>
      <c r="I1340" s="37"/>
    </row>
    <row r="1341" ht="22.5" customHeight="1">
      <c r="A1341" s="30"/>
      <c r="B1341" s="31"/>
      <c r="C1341" s="32"/>
      <c r="D1341" s="33"/>
      <c r="E1341" s="34"/>
      <c r="F1341" s="34"/>
      <c r="G1341" s="35"/>
      <c r="H1341" s="34"/>
      <c r="I1341" s="37"/>
    </row>
    <row r="1342" ht="22.5" customHeight="1">
      <c r="A1342" s="30"/>
      <c r="B1342" s="31"/>
      <c r="C1342" s="32"/>
      <c r="D1342" s="33"/>
      <c r="E1342" s="34"/>
      <c r="F1342" s="34"/>
      <c r="G1342" s="35"/>
      <c r="H1342" s="34"/>
      <c r="I1342" s="37"/>
    </row>
    <row r="1343" ht="22.5" customHeight="1">
      <c r="A1343" s="30"/>
      <c r="B1343" s="31"/>
      <c r="C1343" s="32"/>
      <c r="D1343" s="33"/>
      <c r="E1343" s="34"/>
      <c r="F1343" s="34"/>
      <c r="G1343" s="35"/>
      <c r="H1343" s="34"/>
      <c r="I1343" s="37"/>
    </row>
    <row r="1344" ht="22.5" customHeight="1">
      <c r="A1344" s="30"/>
      <c r="B1344" s="31"/>
      <c r="C1344" s="32"/>
      <c r="D1344" s="33"/>
      <c r="E1344" s="34"/>
      <c r="F1344" s="34"/>
      <c r="G1344" s="35"/>
      <c r="H1344" s="34"/>
      <c r="I1344" s="37"/>
    </row>
    <row r="1345" ht="22.5" customHeight="1">
      <c r="A1345" s="30"/>
      <c r="B1345" s="31"/>
      <c r="C1345" s="32"/>
      <c r="D1345" s="33"/>
      <c r="E1345" s="34"/>
      <c r="F1345" s="34"/>
      <c r="G1345" s="35"/>
      <c r="H1345" s="34"/>
      <c r="I1345" s="37"/>
    </row>
    <row r="1346" ht="22.5" customHeight="1">
      <c r="A1346" s="30"/>
      <c r="B1346" s="31"/>
      <c r="C1346" s="32"/>
      <c r="D1346" s="33"/>
      <c r="E1346" s="34"/>
      <c r="F1346" s="34"/>
      <c r="G1346" s="35"/>
      <c r="H1346" s="34"/>
      <c r="I1346" s="37"/>
    </row>
    <row r="1347" ht="22.5" customHeight="1">
      <c r="A1347" s="30"/>
      <c r="B1347" s="31"/>
      <c r="C1347" s="32"/>
      <c r="D1347" s="33"/>
      <c r="E1347" s="34"/>
      <c r="F1347" s="34"/>
      <c r="G1347" s="35"/>
      <c r="H1347" s="34"/>
      <c r="I1347" s="37"/>
    </row>
    <row r="1348" ht="22.5" customHeight="1">
      <c r="A1348" s="30"/>
      <c r="B1348" s="31"/>
      <c r="C1348" s="32"/>
      <c r="D1348" s="33"/>
      <c r="E1348" s="34"/>
      <c r="F1348" s="34"/>
      <c r="G1348" s="35"/>
      <c r="H1348" s="34"/>
      <c r="I1348" s="37"/>
    </row>
    <row r="1349" ht="22.5" customHeight="1">
      <c r="A1349" s="30"/>
      <c r="B1349" s="31"/>
      <c r="C1349" s="32"/>
      <c r="D1349" s="33"/>
      <c r="E1349" s="34"/>
      <c r="F1349" s="34"/>
      <c r="G1349" s="35"/>
      <c r="H1349" s="34"/>
      <c r="I1349" s="37"/>
    </row>
    <row r="1350" ht="22.5" customHeight="1">
      <c r="A1350" s="30"/>
      <c r="B1350" s="31"/>
      <c r="C1350" s="32"/>
      <c r="D1350" s="33"/>
      <c r="E1350" s="34"/>
      <c r="F1350" s="34"/>
      <c r="G1350" s="35"/>
      <c r="H1350" s="34"/>
      <c r="I1350" s="37"/>
    </row>
    <row r="1351" ht="22.5" customHeight="1">
      <c r="A1351" s="30"/>
      <c r="B1351" s="31"/>
      <c r="C1351" s="32"/>
      <c r="D1351" s="33"/>
      <c r="E1351" s="34"/>
      <c r="F1351" s="34"/>
      <c r="G1351" s="35"/>
      <c r="H1351" s="34"/>
      <c r="I1351" s="37"/>
    </row>
    <row r="1352" ht="22.5" customHeight="1">
      <c r="A1352" s="30"/>
      <c r="B1352" s="31"/>
      <c r="C1352" s="32"/>
      <c r="D1352" s="33"/>
      <c r="E1352" s="34"/>
      <c r="F1352" s="34"/>
      <c r="G1352" s="35"/>
      <c r="H1352" s="34"/>
      <c r="I1352" s="37"/>
    </row>
    <row r="1353" ht="22.5" customHeight="1">
      <c r="A1353" s="30"/>
      <c r="B1353" s="31"/>
      <c r="C1353" s="32"/>
      <c r="D1353" s="33"/>
      <c r="E1353" s="34"/>
      <c r="F1353" s="34"/>
      <c r="G1353" s="35"/>
      <c r="H1353" s="34"/>
      <c r="I1353" s="37"/>
    </row>
    <row r="1354" ht="22.5" customHeight="1">
      <c r="A1354" s="30"/>
      <c r="B1354" s="40"/>
      <c r="C1354" s="32"/>
      <c r="D1354" s="33"/>
      <c r="E1354" s="34"/>
      <c r="F1354" s="34"/>
      <c r="G1354" s="35"/>
      <c r="H1354" s="34"/>
      <c r="I1354" s="37"/>
    </row>
    <row r="1355" ht="22.5" customHeight="1">
      <c r="A1355" s="30"/>
      <c r="B1355" s="31"/>
      <c r="C1355" s="32"/>
      <c r="D1355" s="33"/>
      <c r="E1355" s="34"/>
      <c r="F1355" s="34"/>
      <c r="G1355" s="35"/>
      <c r="H1355" s="34"/>
      <c r="I1355" s="37"/>
    </row>
    <row r="1356" ht="22.5" customHeight="1">
      <c r="A1356" s="30"/>
      <c r="B1356" s="31"/>
      <c r="C1356" s="32"/>
      <c r="D1356" s="33"/>
      <c r="E1356" s="34"/>
      <c r="F1356" s="34"/>
      <c r="G1356" s="35"/>
      <c r="H1356" s="34"/>
      <c r="I1356" s="37"/>
    </row>
    <row r="1357" ht="22.5" customHeight="1">
      <c r="A1357" s="30"/>
      <c r="B1357" s="31"/>
      <c r="C1357" s="32"/>
      <c r="D1357" s="33"/>
      <c r="E1357" s="34"/>
      <c r="F1357" s="34"/>
      <c r="G1357" s="35"/>
      <c r="H1357" s="34"/>
      <c r="I1357" s="37"/>
    </row>
    <row r="1358" ht="22.5" customHeight="1">
      <c r="A1358" s="30"/>
      <c r="B1358" s="31"/>
      <c r="C1358" s="32"/>
      <c r="D1358" s="33"/>
      <c r="E1358" s="34"/>
      <c r="F1358" s="34"/>
      <c r="G1358" s="35"/>
      <c r="H1358" s="34"/>
      <c r="I1358" s="38"/>
    </row>
    <row r="1359" ht="22.5" customHeight="1">
      <c r="A1359" s="30"/>
      <c r="B1359" s="39"/>
      <c r="C1359" s="32"/>
      <c r="D1359" s="33"/>
      <c r="E1359" s="34"/>
      <c r="F1359" s="34"/>
      <c r="G1359" s="35"/>
      <c r="H1359" s="34"/>
      <c r="I1359" s="37"/>
    </row>
    <row r="1360" ht="22.5" customHeight="1">
      <c r="A1360" s="30"/>
      <c r="B1360" s="31"/>
      <c r="C1360" s="32"/>
      <c r="D1360" s="33"/>
      <c r="E1360" s="34"/>
      <c r="F1360" s="34"/>
      <c r="G1360" s="35"/>
      <c r="H1360" s="34"/>
      <c r="I1360" s="37"/>
    </row>
    <row r="1361" ht="22.5" customHeight="1">
      <c r="A1361" s="30"/>
      <c r="B1361" s="31"/>
      <c r="C1361" s="32"/>
      <c r="D1361" s="33"/>
      <c r="E1361" s="34"/>
      <c r="F1361" s="34"/>
      <c r="G1361" s="35"/>
      <c r="H1361" s="34"/>
      <c r="I1361" s="37"/>
    </row>
    <row r="1362" ht="22.5" customHeight="1">
      <c r="A1362" s="30"/>
      <c r="B1362" s="31"/>
      <c r="C1362" s="32"/>
      <c r="D1362" s="33"/>
      <c r="E1362" s="34"/>
      <c r="F1362" s="34"/>
      <c r="G1362" s="35"/>
      <c r="H1362" s="34"/>
      <c r="I1362" s="37"/>
    </row>
    <row r="1363" ht="22.5" customHeight="1">
      <c r="A1363" s="30"/>
      <c r="B1363" s="39"/>
      <c r="C1363" s="32"/>
      <c r="D1363" s="33"/>
      <c r="E1363" s="34"/>
      <c r="F1363" s="34"/>
      <c r="G1363" s="35"/>
      <c r="H1363" s="34"/>
      <c r="I1363" s="37"/>
    </row>
    <row r="1364" ht="22.5" customHeight="1">
      <c r="A1364" s="30"/>
      <c r="B1364" s="31"/>
      <c r="C1364" s="32"/>
      <c r="D1364" s="33"/>
      <c r="E1364" s="34"/>
      <c r="F1364" s="34"/>
      <c r="G1364" s="35"/>
      <c r="H1364" s="34"/>
      <c r="I1364" s="37"/>
    </row>
    <row r="1365" ht="22.5" customHeight="1">
      <c r="A1365" s="30"/>
      <c r="B1365" s="39"/>
      <c r="C1365" s="32"/>
      <c r="D1365" s="33"/>
      <c r="E1365" s="34"/>
      <c r="F1365" s="34"/>
      <c r="G1365" s="35"/>
      <c r="H1365" s="34"/>
      <c r="I1365" s="37"/>
    </row>
    <row r="1366" ht="22.5" customHeight="1">
      <c r="A1366" s="30"/>
      <c r="B1366" s="31"/>
      <c r="C1366" s="32"/>
      <c r="D1366" s="33"/>
      <c r="E1366" s="34"/>
      <c r="F1366" s="34"/>
      <c r="G1366" s="35"/>
      <c r="H1366" s="34"/>
      <c r="I1366" s="37"/>
    </row>
    <row r="1367" ht="22.5" customHeight="1">
      <c r="A1367" s="30"/>
      <c r="B1367" s="31"/>
      <c r="C1367" s="32"/>
      <c r="D1367" s="33"/>
      <c r="E1367" s="34"/>
      <c r="F1367" s="34"/>
      <c r="G1367" s="35"/>
      <c r="H1367" s="34"/>
      <c r="I1367" s="37"/>
    </row>
    <row r="1368" ht="22.5" customHeight="1">
      <c r="A1368" s="30"/>
      <c r="B1368" s="31"/>
      <c r="C1368" s="32"/>
      <c r="D1368" s="33"/>
      <c r="E1368" s="34"/>
      <c r="F1368" s="34"/>
      <c r="G1368" s="35"/>
      <c r="H1368" s="34"/>
      <c r="I1368" s="37"/>
    </row>
    <row r="1369" ht="22.5" customHeight="1">
      <c r="A1369" s="30"/>
      <c r="B1369" s="31"/>
      <c r="C1369" s="32"/>
      <c r="D1369" s="33"/>
      <c r="E1369" s="34"/>
      <c r="F1369" s="34"/>
      <c r="G1369" s="35"/>
      <c r="H1369" s="34"/>
      <c r="I1369" s="37"/>
    </row>
    <row r="1370" ht="22.5" customHeight="1">
      <c r="A1370" s="30"/>
      <c r="B1370" s="31"/>
      <c r="C1370" s="32"/>
      <c r="D1370" s="33"/>
      <c r="E1370" s="34"/>
      <c r="F1370" s="34"/>
      <c r="G1370" s="35"/>
      <c r="H1370" s="34"/>
      <c r="I1370" s="37"/>
    </row>
    <row r="1371" ht="22.5" customHeight="1">
      <c r="A1371" s="30"/>
      <c r="B1371" s="31"/>
      <c r="C1371" s="32"/>
      <c r="D1371" s="33"/>
      <c r="E1371" s="34"/>
      <c r="F1371" s="34"/>
      <c r="G1371" s="35"/>
      <c r="H1371" s="34"/>
      <c r="I1371" s="37"/>
    </row>
    <row r="1372" ht="22.5" customHeight="1">
      <c r="A1372" s="30"/>
      <c r="B1372" s="31"/>
      <c r="C1372" s="32"/>
      <c r="D1372" s="33"/>
      <c r="E1372" s="34"/>
      <c r="F1372" s="34"/>
      <c r="G1372" s="35"/>
      <c r="H1372" s="34"/>
      <c r="I1372" s="37"/>
    </row>
    <row r="1373" ht="22.5" customHeight="1">
      <c r="A1373" s="30"/>
      <c r="B1373" s="31"/>
      <c r="C1373" s="32"/>
      <c r="D1373" s="33"/>
      <c r="E1373" s="34"/>
      <c r="F1373" s="34"/>
      <c r="G1373" s="35"/>
      <c r="H1373" s="34"/>
      <c r="I1373" s="37"/>
    </row>
    <row r="1374" ht="22.5" customHeight="1">
      <c r="A1374" s="30"/>
      <c r="B1374" s="31"/>
      <c r="C1374" s="32"/>
      <c r="D1374" s="33"/>
      <c r="E1374" s="34"/>
      <c r="F1374" s="34"/>
      <c r="G1374" s="35"/>
      <c r="H1374" s="34"/>
      <c r="I1374" s="37"/>
    </row>
    <row r="1375" ht="22.5" customHeight="1">
      <c r="A1375" s="30"/>
      <c r="B1375" s="31"/>
      <c r="C1375" s="32"/>
      <c r="D1375" s="33"/>
      <c r="E1375" s="34"/>
      <c r="F1375" s="34"/>
      <c r="G1375" s="35"/>
      <c r="H1375" s="34"/>
      <c r="I1375" s="37"/>
    </row>
    <row r="1376" ht="22.5" customHeight="1">
      <c r="A1376" s="30"/>
      <c r="B1376" s="40"/>
      <c r="C1376" s="32"/>
      <c r="D1376" s="33"/>
      <c r="E1376" s="34"/>
      <c r="F1376" s="34"/>
      <c r="G1376" s="35"/>
      <c r="H1376" s="34"/>
      <c r="I1376" s="37"/>
    </row>
    <row r="1377" ht="22.5" customHeight="1">
      <c r="A1377" s="30"/>
      <c r="B1377" s="31"/>
      <c r="C1377" s="32"/>
      <c r="D1377" s="33"/>
      <c r="E1377" s="34"/>
      <c r="F1377" s="34"/>
      <c r="G1377" s="35"/>
      <c r="H1377" s="34"/>
      <c r="I1377" s="37"/>
    </row>
    <row r="1378" ht="22.5" customHeight="1">
      <c r="A1378" s="30"/>
      <c r="B1378" s="31"/>
      <c r="C1378" s="32"/>
      <c r="D1378" s="33"/>
      <c r="E1378" s="34"/>
      <c r="F1378" s="34"/>
      <c r="G1378" s="35"/>
      <c r="H1378" s="34"/>
      <c r="I1378" s="37"/>
    </row>
    <row r="1379" ht="22.5" customHeight="1">
      <c r="A1379" s="30"/>
      <c r="B1379" s="31"/>
      <c r="C1379" s="32"/>
      <c r="D1379" s="33"/>
      <c r="E1379" s="34"/>
      <c r="F1379" s="34"/>
      <c r="G1379" s="35"/>
      <c r="H1379" s="34"/>
      <c r="I1379" s="37"/>
    </row>
    <row r="1380" ht="22.5" customHeight="1">
      <c r="A1380" s="30"/>
      <c r="B1380" s="31"/>
      <c r="C1380" s="32"/>
      <c r="D1380" s="33"/>
      <c r="E1380" s="34"/>
      <c r="F1380" s="34"/>
      <c r="G1380" s="35"/>
      <c r="H1380" s="34"/>
      <c r="I1380" s="37"/>
    </row>
    <row r="1381" ht="22.5" customHeight="1">
      <c r="A1381" s="30"/>
      <c r="B1381" s="31"/>
      <c r="C1381" s="32"/>
      <c r="D1381" s="33"/>
      <c r="E1381" s="34"/>
      <c r="F1381" s="34"/>
      <c r="G1381" s="35"/>
      <c r="H1381" s="34"/>
      <c r="I1381" s="37"/>
    </row>
    <row r="1382" ht="22.5" customHeight="1">
      <c r="A1382" s="30"/>
      <c r="B1382" s="31"/>
      <c r="C1382" s="32"/>
      <c r="D1382" s="33"/>
      <c r="E1382" s="34"/>
      <c r="F1382" s="34"/>
      <c r="G1382" s="35"/>
      <c r="H1382" s="34"/>
      <c r="I1382" s="37"/>
    </row>
    <row r="1383" ht="22.5" customHeight="1">
      <c r="A1383" s="30"/>
      <c r="B1383" s="39"/>
      <c r="C1383" s="32"/>
      <c r="D1383" s="33"/>
      <c r="E1383" s="34"/>
      <c r="F1383" s="34"/>
      <c r="G1383" s="35"/>
      <c r="H1383" s="34"/>
      <c r="I1383" s="37"/>
    </row>
    <row r="1384" ht="22.5" customHeight="1">
      <c r="A1384" s="30"/>
      <c r="B1384" s="39"/>
      <c r="C1384" s="32"/>
      <c r="D1384" s="33"/>
      <c r="E1384" s="34"/>
      <c r="F1384" s="34"/>
      <c r="G1384" s="35"/>
      <c r="H1384" s="34"/>
      <c r="I1384" s="37"/>
    </row>
    <row r="1385" ht="22.5" customHeight="1">
      <c r="A1385" s="30"/>
      <c r="B1385" s="39"/>
      <c r="C1385" s="32"/>
      <c r="D1385" s="33"/>
      <c r="E1385" s="34"/>
      <c r="F1385" s="34"/>
      <c r="G1385" s="35"/>
      <c r="H1385" s="34"/>
      <c r="I1385" s="37"/>
    </row>
    <row r="1386" ht="22.5" customHeight="1">
      <c r="A1386" s="30"/>
      <c r="B1386" s="40"/>
      <c r="C1386" s="32"/>
      <c r="D1386" s="33"/>
      <c r="E1386" s="34"/>
      <c r="F1386" s="34"/>
      <c r="G1386" s="35"/>
      <c r="H1386" s="34"/>
      <c r="I1386" s="37"/>
    </row>
    <row r="1387" ht="22.5" customHeight="1">
      <c r="A1387" s="30"/>
      <c r="B1387" s="31"/>
      <c r="C1387" s="32"/>
      <c r="D1387" s="33"/>
      <c r="E1387" s="34"/>
      <c r="F1387" s="34"/>
      <c r="G1387" s="35"/>
      <c r="H1387" s="34"/>
      <c r="I1387" s="37"/>
    </row>
    <row r="1388" ht="22.5" customHeight="1">
      <c r="A1388" s="30"/>
      <c r="B1388" s="31"/>
      <c r="C1388" s="32"/>
      <c r="D1388" s="33"/>
      <c r="E1388" s="34"/>
      <c r="F1388" s="34"/>
      <c r="G1388" s="35"/>
      <c r="H1388" s="34"/>
      <c r="I1388" s="37"/>
    </row>
    <row r="1389" ht="22.5" customHeight="1">
      <c r="A1389" s="30"/>
      <c r="B1389" s="31"/>
      <c r="C1389" s="32"/>
      <c r="D1389" s="33"/>
      <c r="E1389" s="34"/>
      <c r="F1389" s="34"/>
      <c r="G1389" s="35"/>
      <c r="H1389" s="34"/>
      <c r="I1389" s="37"/>
    </row>
    <row r="1390" ht="22.5" customHeight="1">
      <c r="A1390" s="30"/>
      <c r="B1390" s="31"/>
      <c r="C1390" s="32"/>
      <c r="D1390" s="33"/>
      <c r="E1390" s="34"/>
      <c r="F1390" s="34"/>
      <c r="G1390" s="35"/>
      <c r="H1390" s="34"/>
      <c r="I1390" s="37"/>
    </row>
    <row r="1391" ht="22.5" customHeight="1">
      <c r="A1391" s="30"/>
      <c r="B1391" s="31"/>
      <c r="C1391" s="32"/>
      <c r="D1391" s="33"/>
      <c r="E1391" s="34"/>
      <c r="F1391" s="34"/>
      <c r="G1391" s="35"/>
      <c r="H1391" s="34"/>
      <c r="I1391" s="37"/>
    </row>
    <row r="1392" ht="22.5" customHeight="1">
      <c r="A1392" s="30"/>
      <c r="B1392" s="31"/>
      <c r="C1392" s="32"/>
      <c r="D1392" s="33"/>
      <c r="E1392" s="34"/>
      <c r="F1392" s="34"/>
      <c r="G1392" s="35"/>
      <c r="H1392" s="34"/>
      <c r="I1392" s="37"/>
    </row>
    <row r="1393" ht="22.5" customHeight="1">
      <c r="A1393" s="30"/>
      <c r="B1393" s="31"/>
      <c r="C1393" s="32"/>
      <c r="D1393" s="33"/>
      <c r="E1393" s="34"/>
      <c r="F1393" s="34"/>
      <c r="G1393" s="35"/>
      <c r="H1393" s="34"/>
      <c r="I1393" s="37"/>
    </row>
    <row r="1394" ht="22.5" customHeight="1">
      <c r="A1394" s="30"/>
      <c r="B1394" s="31"/>
      <c r="C1394" s="32"/>
      <c r="D1394" s="33"/>
      <c r="E1394" s="34"/>
      <c r="F1394" s="34"/>
      <c r="G1394" s="35"/>
      <c r="H1394" s="34"/>
      <c r="I1394" s="37"/>
    </row>
    <row r="1395" ht="22.5" customHeight="1">
      <c r="A1395" s="30"/>
      <c r="B1395" s="31"/>
      <c r="C1395" s="32"/>
      <c r="D1395" s="33"/>
      <c r="E1395" s="34"/>
      <c r="F1395" s="34"/>
      <c r="G1395" s="35"/>
      <c r="H1395" s="34"/>
      <c r="I1395" s="37"/>
    </row>
    <row r="1396" ht="22.5" customHeight="1">
      <c r="A1396" s="30"/>
      <c r="B1396" s="40"/>
      <c r="C1396" s="32"/>
      <c r="D1396" s="33"/>
      <c r="E1396" s="34"/>
      <c r="F1396" s="34"/>
      <c r="G1396" s="35"/>
      <c r="H1396" s="34"/>
      <c r="I1396" s="37"/>
    </row>
    <row r="1397" ht="22.5" customHeight="1">
      <c r="A1397" s="30"/>
      <c r="B1397" s="31"/>
      <c r="C1397" s="32"/>
      <c r="D1397" s="33"/>
      <c r="E1397" s="34"/>
      <c r="F1397" s="34"/>
      <c r="G1397" s="35"/>
      <c r="H1397" s="34"/>
      <c r="I1397" s="37"/>
    </row>
    <row r="1398" ht="22.5" customHeight="1">
      <c r="A1398" s="30"/>
      <c r="B1398" s="31"/>
      <c r="C1398" s="32"/>
      <c r="D1398" s="33"/>
      <c r="E1398" s="34"/>
      <c r="F1398" s="34"/>
      <c r="G1398" s="35"/>
      <c r="H1398" s="34"/>
      <c r="I1398" s="37"/>
    </row>
    <row r="1399" ht="22.5" customHeight="1">
      <c r="A1399" s="30"/>
      <c r="B1399" s="31"/>
      <c r="C1399" s="32"/>
      <c r="D1399" s="33"/>
      <c r="E1399" s="34"/>
      <c r="F1399" s="34"/>
      <c r="G1399" s="35"/>
      <c r="H1399" s="34"/>
      <c r="I1399" s="37"/>
    </row>
    <row r="1400" ht="22.5" customHeight="1">
      <c r="A1400" s="30"/>
      <c r="B1400" s="40"/>
      <c r="C1400" s="32"/>
      <c r="D1400" s="33"/>
      <c r="E1400" s="34"/>
      <c r="F1400" s="34"/>
      <c r="G1400" s="35"/>
      <c r="H1400" s="34"/>
      <c r="I1400" s="37"/>
    </row>
    <row r="1401" ht="22.5" customHeight="1">
      <c r="A1401" s="30"/>
      <c r="B1401" s="31"/>
      <c r="C1401" s="32"/>
      <c r="D1401" s="33"/>
      <c r="E1401" s="34"/>
      <c r="F1401" s="34"/>
      <c r="G1401" s="35"/>
      <c r="H1401" s="34"/>
      <c r="I1401" s="37"/>
    </row>
    <row r="1402" ht="22.5" customHeight="1">
      <c r="A1402" s="30"/>
      <c r="B1402" s="31"/>
      <c r="C1402" s="32"/>
      <c r="D1402" s="33"/>
      <c r="E1402" s="34"/>
      <c r="F1402" s="34"/>
      <c r="G1402" s="35"/>
      <c r="H1402" s="34"/>
      <c r="I1402" s="37"/>
    </row>
    <row r="1403" ht="22.5" customHeight="1">
      <c r="A1403" s="30"/>
      <c r="B1403" s="31"/>
      <c r="C1403" s="32"/>
      <c r="D1403" s="33"/>
      <c r="E1403" s="34"/>
      <c r="F1403" s="34"/>
      <c r="G1403" s="35"/>
      <c r="H1403" s="34"/>
      <c r="I1403" s="37"/>
    </row>
    <row r="1404" ht="22.5" customHeight="1">
      <c r="A1404" s="30"/>
      <c r="B1404" s="31"/>
      <c r="C1404" s="32"/>
      <c r="D1404" s="33"/>
      <c r="E1404" s="34"/>
      <c r="F1404" s="34"/>
      <c r="G1404" s="35"/>
      <c r="H1404" s="34"/>
      <c r="I1404" s="37"/>
    </row>
    <row r="1405" ht="22.5" customHeight="1">
      <c r="A1405" s="30"/>
      <c r="B1405" s="31"/>
      <c r="C1405" s="32"/>
      <c r="D1405" s="33"/>
      <c r="E1405" s="34"/>
      <c r="F1405" s="34"/>
      <c r="G1405" s="35"/>
      <c r="H1405" s="34"/>
      <c r="I1405" s="37"/>
    </row>
    <row r="1406" ht="22.5" customHeight="1">
      <c r="A1406" s="30"/>
      <c r="B1406" s="31"/>
      <c r="C1406" s="32"/>
      <c r="D1406" s="33"/>
      <c r="E1406" s="34"/>
      <c r="F1406" s="34"/>
      <c r="G1406" s="35"/>
      <c r="H1406" s="34"/>
      <c r="I1406" s="37"/>
    </row>
    <row r="1407" ht="22.5" customHeight="1">
      <c r="A1407" s="30"/>
      <c r="B1407" s="31"/>
      <c r="C1407" s="32"/>
      <c r="D1407" s="33"/>
      <c r="E1407" s="34"/>
      <c r="F1407" s="34"/>
      <c r="G1407" s="35"/>
      <c r="H1407" s="34"/>
      <c r="I1407" s="37"/>
    </row>
    <row r="1408" ht="22.5" customHeight="1">
      <c r="A1408" s="30"/>
      <c r="B1408" s="31"/>
      <c r="C1408" s="32"/>
      <c r="D1408" s="33"/>
      <c r="E1408" s="34"/>
      <c r="F1408" s="34"/>
      <c r="G1408" s="35"/>
      <c r="H1408" s="34"/>
      <c r="I1408" s="37"/>
    </row>
    <row r="1409" ht="22.5" customHeight="1">
      <c r="A1409" s="30"/>
      <c r="B1409" s="31"/>
      <c r="C1409" s="32"/>
      <c r="D1409" s="33"/>
      <c r="E1409" s="34"/>
      <c r="F1409" s="34"/>
      <c r="G1409" s="35"/>
      <c r="H1409" s="34"/>
      <c r="I1409" s="37"/>
    </row>
    <row r="1410" ht="22.5" customHeight="1">
      <c r="A1410" s="30"/>
      <c r="B1410" s="31"/>
      <c r="C1410" s="32"/>
      <c r="D1410" s="33"/>
      <c r="E1410" s="34"/>
      <c r="F1410" s="34"/>
      <c r="G1410" s="35"/>
      <c r="H1410" s="34"/>
      <c r="I1410" s="37"/>
    </row>
    <row r="1411" ht="22.5" customHeight="1">
      <c r="A1411" s="30"/>
      <c r="B1411" s="31"/>
      <c r="C1411" s="32"/>
      <c r="D1411" s="33"/>
      <c r="E1411" s="34"/>
      <c r="F1411" s="34"/>
      <c r="G1411" s="35"/>
      <c r="H1411" s="34"/>
      <c r="I1411" s="37"/>
    </row>
    <row r="1412" ht="22.5" customHeight="1">
      <c r="A1412" s="30"/>
      <c r="B1412" s="31"/>
      <c r="C1412" s="32"/>
      <c r="D1412" s="33"/>
      <c r="E1412" s="34"/>
      <c r="F1412" s="34"/>
      <c r="G1412" s="35"/>
      <c r="H1412" s="34"/>
      <c r="I1412" s="37"/>
    </row>
    <row r="1413" ht="22.5" customHeight="1">
      <c r="A1413" s="30"/>
      <c r="B1413" s="31"/>
      <c r="C1413" s="32"/>
      <c r="D1413" s="33"/>
      <c r="E1413" s="34"/>
      <c r="F1413" s="34"/>
      <c r="G1413" s="35"/>
      <c r="H1413" s="34"/>
      <c r="I1413" s="37"/>
    </row>
    <row r="1414" ht="22.5" customHeight="1">
      <c r="A1414" s="30"/>
      <c r="B1414" s="31"/>
      <c r="C1414" s="32"/>
      <c r="D1414" s="33"/>
      <c r="E1414" s="34"/>
      <c r="F1414" s="34"/>
      <c r="G1414" s="35"/>
      <c r="H1414" s="34"/>
      <c r="I1414" s="37"/>
    </row>
    <row r="1415" ht="22.5" customHeight="1">
      <c r="A1415" s="30"/>
      <c r="B1415" s="40"/>
      <c r="C1415" s="32"/>
      <c r="D1415" s="33"/>
      <c r="E1415" s="34"/>
      <c r="F1415" s="34"/>
      <c r="G1415" s="35"/>
      <c r="H1415" s="34"/>
      <c r="I1415" s="37"/>
    </row>
    <row r="1416" ht="22.5" customHeight="1">
      <c r="A1416" s="30"/>
      <c r="B1416" s="31"/>
      <c r="C1416" s="32"/>
      <c r="D1416" s="33"/>
      <c r="E1416" s="34"/>
      <c r="F1416" s="34"/>
      <c r="G1416" s="35"/>
      <c r="H1416" s="34"/>
      <c r="I1416" s="37"/>
    </row>
    <row r="1417" ht="22.5" customHeight="1">
      <c r="A1417" s="30"/>
      <c r="B1417" s="40"/>
      <c r="C1417" s="32"/>
      <c r="D1417" s="33"/>
      <c r="E1417" s="34"/>
      <c r="F1417" s="34"/>
      <c r="G1417" s="35"/>
      <c r="H1417" s="34"/>
      <c r="I1417" s="37"/>
    </row>
    <row r="1418" ht="22.5" customHeight="1">
      <c r="A1418" s="30"/>
      <c r="B1418" s="31"/>
      <c r="C1418" s="32"/>
      <c r="D1418" s="33"/>
      <c r="E1418" s="34"/>
      <c r="F1418" s="34"/>
      <c r="G1418" s="35"/>
      <c r="H1418" s="34"/>
      <c r="I1418" s="37"/>
    </row>
    <row r="1419" ht="22.5" customHeight="1">
      <c r="A1419" s="30"/>
      <c r="B1419" s="31"/>
      <c r="C1419" s="32"/>
      <c r="D1419" s="33"/>
      <c r="E1419" s="34"/>
      <c r="F1419" s="34"/>
      <c r="G1419" s="35"/>
      <c r="H1419" s="34"/>
      <c r="I1419" s="37"/>
    </row>
    <row r="1420" ht="22.5" customHeight="1">
      <c r="A1420" s="30"/>
      <c r="B1420" s="31"/>
      <c r="C1420" s="32"/>
      <c r="D1420" s="33"/>
      <c r="E1420" s="34"/>
      <c r="F1420" s="34"/>
      <c r="G1420" s="35"/>
      <c r="H1420" s="34"/>
      <c r="I1420" s="37"/>
    </row>
    <row r="1421" ht="22.5" customHeight="1">
      <c r="A1421" s="30"/>
      <c r="B1421" s="31"/>
      <c r="C1421" s="32"/>
      <c r="D1421" s="33"/>
      <c r="E1421" s="34"/>
      <c r="F1421" s="34"/>
      <c r="G1421" s="35"/>
      <c r="H1421" s="34"/>
      <c r="I1421" s="37"/>
    </row>
    <row r="1422" ht="22.5" customHeight="1">
      <c r="A1422" s="30"/>
      <c r="B1422" s="40"/>
      <c r="C1422" s="32"/>
      <c r="D1422" s="33"/>
      <c r="E1422" s="34"/>
      <c r="F1422" s="34"/>
      <c r="G1422" s="35"/>
      <c r="H1422" s="34"/>
      <c r="I1422" s="37"/>
    </row>
    <row r="1423" ht="22.5" customHeight="1">
      <c r="A1423" s="30"/>
      <c r="B1423" s="31"/>
      <c r="C1423" s="32"/>
      <c r="D1423" s="33"/>
      <c r="E1423" s="34"/>
      <c r="F1423" s="34"/>
      <c r="G1423" s="35"/>
      <c r="H1423" s="34"/>
      <c r="I1423" s="37"/>
    </row>
    <row r="1424" ht="22.5" customHeight="1">
      <c r="A1424" s="30"/>
      <c r="B1424" s="31"/>
      <c r="C1424" s="32"/>
      <c r="D1424" s="33"/>
      <c r="E1424" s="34"/>
      <c r="F1424" s="34"/>
      <c r="G1424" s="35"/>
      <c r="H1424" s="34"/>
      <c r="I1424" s="37"/>
    </row>
    <row r="1425" ht="22.5" customHeight="1">
      <c r="A1425" s="30"/>
      <c r="B1425" s="31"/>
      <c r="C1425" s="32"/>
      <c r="D1425" s="33"/>
      <c r="E1425" s="34"/>
      <c r="F1425" s="34"/>
      <c r="G1425" s="35"/>
      <c r="H1425" s="34"/>
      <c r="I1425" s="37"/>
    </row>
    <row r="1426" ht="22.5" customHeight="1">
      <c r="A1426" s="30"/>
      <c r="B1426" s="31"/>
      <c r="C1426" s="32"/>
      <c r="D1426" s="33"/>
      <c r="E1426" s="34"/>
      <c r="F1426" s="34"/>
      <c r="G1426" s="35"/>
      <c r="H1426" s="34"/>
      <c r="I1426" s="37"/>
    </row>
    <row r="1427" ht="22.5" customHeight="1">
      <c r="A1427" s="30"/>
      <c r="B1427" s="31"/>
      <c r="C1427" s="32"/>
      <c r="D1427" s="33"/>
      <c r="E1427" s="34"/>
      <c r="F1427" s="34"/>
      <c r="G1427" s="35"/>
      <c r="H1427" s="34"/>
      <c r="I1427" s="37"/>
    </row>
    <row r="1428" ht="22.5" customHeight="1">
      <c r="A1428" s="30"/>
      <c r="B1428" s="31"/>
      <c r="C1428" s="32"/>
      <c r="D1428" s="33"/>
      <c r="E1428" s="34"/>
      <c r="F1428" s="34"/>
      <c r="G1428" s="35"/>
      <c r="H1428" s="34"/>
      <c r="I1428" s="37"/>
    </row>
    <row r="1429" ht="22.5" customHeight="1">
      <c r="A1429" s="30"/>
      <c r="B1429" s="31"/>
      <c r="C1429" s="32"/>
      <c r="D1429" s="33"/>
      <c r="E1429" s="34"/>
      <c r="F1429" s="34"/>
      <c r="G1429" s="35"/>
      <c r="H1429" s="34"/>
      <c r="I1429" s="37"/>
    </row>
    <row r="1430" ht="22.5" customHeight="1">
      <c r="A1430" s="30"/>
      <c r="B1430" s="31"/>
      <c r="C1430" s="32"/>
      <c r="D1430" s="33"/>
      <c r="E1430" s="34"/>
      <c r="F1430" s="34"/>
      <c r="G1430" s="35"/>
      <c r="H1430" s="34"/>
      <c r="I1430" s="37"/>
    </row>
    <row r="1431" ht="22.5" customHeight="1">
      <c r="A1431" s="30"/>
      <c r="B1431" s="31"/>
      <c r="C1431" s="32"/>
      <c r="D1431" s="33"/>
      <c r="E1431" s="34"/>
      <c r="F1431" s="34"/>
      <c r="G1431" s="35"/>
      <c r="H1431" s="34"/>
      <c r="I1431" s="37"/>
    </row>
    <row r="1432" ht="22.5" customHeight="1">
      <c r="A1432" s="30"/>
      <c r="B1432" s="31"/>
      <c r="C1432" s="32"/>
      <c r="D1432" s="33"/>
      <c r="E1432" s="34"/>
      <c r="F1432" s="34"/>
      <c r="G1432" s="35"/>
      <c r="H1432" s="34"/>
      <c r="I1432" s="37"/>
    </row>
    <row r="1433" ht="22.5" customHeight="1">
      <c r="A1433" s="30"/>
      <c r="B1433" s="31"/>
      <c r="C1433" s="32"/>
      <c r="D1433" s="33"/>
      <c r="E1433" s="34"/>
      <c r="F1433" s="34"/>
      <c r="G1433" s="35"/>
      <c r="H1433" s="34"/>
      <c r="I1433" s="37"/>
    </row>
    <row r="1434" ht="22.5" customHeight="1">
      <c r="A1434" s="30"/>
      <c r="B1434" s="31"/>
      <c r="C1434" s="32"/>
      <c r="D1434" s="33"/>
      <c r="E1434" s="34"/>
      <c r="F1434" s="34"/>
      <c r="G1434" s="35"/>
      <c r="H1434" s="34"/>
      <c r="I1434" s="37"/>
    </row>
    <row r="1435" ht="22.5" customHeight="1">
      <c r="A1435" s="30"/>
      <c r="B1435" s="31"/>
      <c r="C1435" s="32"/>
      <c r="D1435" s="33"/>
      <c r="E1435" s="34"/>
      <c r="F1435" s="34"/>
      <c r="G1435" s="35"/>
      <c r="H1435" s="34"/>
      <c r="I1435" s="37"/>
    </row>
    <row r="1436" ht="22.5" customHeight="1">
      <c r="A1436" s="30"/>
      <c r="B1436" s="31"/>
      <c r="C1436" s="32"/>
      <c r="D1436" s="33"/>
      <c r="E1436" s="34"/>
      <c r="F1436" s="34"/>
      <c r="G1436" s="35"/>
      <c r="H1436" s="34"/>
      <c r="I1436" s="37"/>
    </row>
    <row r="1437" ht="22.5" customHeight="1">
      <c r="A1437" s="30"/>
      <c r="B1437" s="31"/>
      <c r="C1437" s="32"/>
      <c r="D1437" s="33"/>
      <c r="E1437" s="34"/>
      <c r="F1437" s="34"/>
      <c r="G1437" s="35"/>
      <c r="H1437" s="34"/>
      <c r="I1437" s="37"/>
    </row>
    <row r="1438" ht="22.5" customHeight="1">
      <c r="A1438" s="30"/>
      <c r="B1438" s="31"/>
      <c r="C1438" s="32"/>
      <c r="D1438" s="33"/>
      <c r="E1438" s="34"/>
      <c r="F1438" s="34"/>
      <c r="G1438" s="35"/>
      <c r="H1438" s="34"/>
      <c r="I1438" s="37"/>
    </row>
    <row r="1439" ht="22.5" customHeight="1">
      <c r="A1439" s="30"/>
      <c r="B1439" s="31"/>
      <c r="C1439" s="32"/>
      <c r="D1439" s="33"/>
      <c r="E1439" s="34"/>
      <c r="F1439" s="34"/>
      <c r="G1439" s="35"/>
      <c r="H1439" s="34"/>
      <c r="I1439" s="37"/>
    </row>
    <row r="1440" ht="22.5" customHeight="1">
      <c r="A1440" s="30"/>
      <c r="B1440" s="31"/>
      <c r="C1440" s="32"/>
      <c r="D1440" s="33"/>
      <c r="E1440" s="34"/>
      <c r="F1440" s="34"/>
      <c r="G1440" s="35"/>
      <c r="H1440" s="34"/>
      <c r="I1440" s="37"/>
    </row>
    <row r="1441" ht="22.5" customHeight="1">
      <c r="A1441" s="30"/>
      <c r="B1441" s="31"/>
      <c r="C1441" s="32"/>
      <c r="D1441" s="33"/>
      <c r="E1441" s="34"/>
      <c r="F1441" s="34"/>
      <c r="G1441" s="35"/>
      <c r="H1441" s="34"/>
      <c r="I1441" s="37"/>
    </row>
    <row r="1442" ht="22.5" customHeight="1">
      <c r="A1442" s="30"/>
      <c r="B1442" s="31"/>
      <c r="C1442" s="32"/>
      <c r="D1442" s="33"/>
      <c r="E1442" s="34"/>
      <c r="F1442" s="34"/>
      <c r="G1442" s="35"/>
      <c r="H1442" s="34"/>
      <c r="I1442" s="37"/>
    </row>
    <row r="1443" ht="22.5" customHeight="1">
      <c r="A1443" s="30"/>
      <c r="B1443" s="31"/>
      <c r="C1443" s="32"/>
      <c r="D1443" s="33"/>
      <c r="E1443" s="34"/>
      <c r="F1443" s="34"/>
      <c r="G1443" s="35"/>
      <c r="H1443" s="34"/>
      <c r="I1443" s="37"/>
    </row>
    <row r="1444" ht="22.5" customHeight="1">
      <c r="A1444" s="30"/>
      <c r="B1444" s="40"/>
      <c r="C1444" s="32"/>
      <c r="D1444" s="33"/>
      <c r="E1444" s="34"/>
      <c r="F1444" s="34"/>
      <c r="G1444" s="35"/>
      <c r="H1444" s="34"/>
      <c r="I1444" s="37"/>
    </row>
    <row r="1445" ht="22.5" customHeight="1">
      <c r="A1445" s="30"/>
      <c r="B1445" s="31"/>
      <c r="C1445" s="32"/>
      <c r="D1445" s="33"/>
      <c r="E1445" s="34"/>
      <c r="F1445" s="34"/>
      <c r="G1445" s="35"/>
      <c r="H1445" s="34"/>
      <c r="I1445" s="37"/>
    </row>
    <row r="1446" ht="22.5" customHeight="1">
      <c r="A1446" s="30"/>
      <c r="B1446" s="31"/>
      <c r="C1446" s="32"/>
      <c r="D1446" s="33"/>
      <c r="E1446" s="34"/>
      <c r="F1446" s="34"/>
      <c r="G1446" s="35"/>
      <c r="H1446" s="34"/>
      <c r="I1446" s="37"/>
    </row>
    <row r="1447" ht="22.5" customHeight="1">
      <c r="A1447" s="30"/>
      <c r="B1447" s="31"/>
      <c r="C1447" s="32"/>
      <c r="D1447" s="33"/>
      <c r="E1447" s="34"/>
      <c r="F1447" s="34"/>
      <c r="G1447" s="35"/>
      <c r="H1447" s="34"/>
      <c r="I1447" s="37"/>
    </row>
    <row r="1448" ht="22.5" customHeight="1">
      <c r="A1448" s="30"/>
      <c r="B1448" s="31"/>
      <c r="C1448" s="32"/>
      <c r="D1448" s="33"/>
      <c r="E1448" s="34"/>
      <c r="F1448" s="34"/>
      <c r="G1448" s="35"/>
      <c r="H1448" s="34"/>
      <c r="I1448" s="38"/>
    </row>
    <row r="1449" ht="22.5" customHeight="1">
      <c r="A1449" s="30"/>
      <c r="B1449" s="39"/>
      <c r="C1449" s="32"/>
      <c r="D1449" s="33"/>
      <c r="E1449" s="34"/>
      <c r="F1449" s="34"/>
      <c r="G1449" s="35"/>
      <c r="H1449" s="34"/>
      <c r="I1449" s="37"/>
    </row>
    <row r="1450" ht="22.5" customHeight="1">
      <c r="A1450" s="30"/>
      <c r="B1450" s="31"/>
      <c r="C1450" s="32"/>
      <c r="D1450" s="33"/>
      <c r="E1450" s="34"/>
      <c r="F1450" s="34"/>
      <c r="G1450" s="35"/>
      <c r="H1450" s="34"/>
      <c r="I1450" s="37"/>
    </row>
    <row r="1451" ht="22.5" customHeight="1">
      <c r="A1451" s="30"/>
      <c r="B1451" s="31"/>
      <c r="C1451" s="32"/>
      <c r="D1451" s="33"/>
      <c r="E1451" s="34"/>
      <c r="F1451" s="34"/>
      <c r="G1451" s="35"/>
      <c r="H1451" s="34"/>
      <c r="I1451" s="37"/>
    </row>
    <row r="1452" ht="22.5" customHeight="1">
      <c r="A1452" s="30"/>
      <c r="B1452" s="31"/>
      <c r="C1452" s="32"/>
      <c r="D1452" s="33"/>
      <c r="E1452" s="34"/>
      <c r="F1452" s="34"/>
      <c r="G1452" s="35"/>
      <c r="H1452" s="34"/>
      <c r="I1452" s="37"/>
    </row>
    <row r="1453" ht="22.5" customHeight="1">
      <c r="A1453" s="30"/>
      <c r="B1453" s="39"/>
      <c r="C1453" s="32"/>
      <c r="D1453" s="33"/>
      <c r="E1453" s="34"/>
      <c r="F1453" s="34"/>
      <c r="G1453" s="35"/>
      <c r="H1453" s="34"/>
      <c r="I1453" s="37"/>
    </row>
    <row r="1454" ht="22.5" customHeight="1">
      <c r="A1454" s="30"/>
      <c r="B1454" s="31"/>
      <c r="C1454" s="32"/>
      <c r="D1454" s="33"/>
      <c r="E1454" s="34"/>
      <c r="F1454" s="34"/>
      <c r="G1454" s="35"/>
      <c r="H1454" s="34"/>
      <c r="I1454" s="37"/>
    </row>
    <row r="1455" ht="22.5" customHeight="1">
      <c r="A1455" s="30"/>
      <c r="B1455" s="39"/>
      <c r="C1455" s="32"/>
      <c r="D1455" s="33"/>
      <c r="E1455" s="34"/>
      <c r="F1455" s="34"/>
      <c r="G1455" s="35"/>
      <c r="H1455" s="34"/>
      <c r="I1455" s="37"/>
    </row>
    <row r="1456" ht="22.5" customHeight="1">
      <c r="A1456" s="30"/>
      <c r="B1456" s="31"/>
      <c r="C1456" s="32"/>
      <c r="D1456" s="33"/>
      <c r="E1456" s="34"/>
      <c r="F1456" s="34"/>
      <c r="G1456" s="35"/>
      <c r="H1456" s="34"/>
      <c r="I1456" s="37"/>
    </row>
    <row r="1457" ht="22.5" customHeight="1">
      <c r="A1457" s="30"/>
      <c r="B1457" s="31"/>
      <c r="C1457" s="32"/>
      <c r="D1457" s="33"/>
      <c r="E1457" s="34"/>
      <c r="F1457" s="34"/>
      <c r="G1457" s="35"/>
      <c r="H1457" s="34"/>
      <c r="I1457" s="37"/>
    </row>
    <row r="1458" ht="22.5" customHeight="1">
      <c r="A1458" s="30"/>
      <c r="B1458" s="31"/>
      <c r="C1458" s="32"/>
      <c r="D1458" s="33"/>
      <c r="E1458" s="34"/>
      <c r="F1458" s="34"/>
      <c r="G1458" s="35"/>
      <c r="H1458" s="34"/>
      <c r="I1458" s="37"/>
    </row>
    <row r="1459" ht="22.5" customHeight="1">
      <c r="A1459" s="30"/>
      <c r="B1459" s="31"/>
      <c r="C1459" s="32"/>
      <c r="D1459" s="33"/>
      <c r="E1459" s="34"/>
      <c r="F1459" s="34"/>
      <c r="G1459" s="35"/>
      <c r="H1459" s="34"/>
      <c r="I1459" s="37"/>
    </row>
    <row r="1460" ht="22.5" customHeight="1">
      <c r="A1460" s="30"/>
      <c r="B1460" s="31"/>
      <c r="C1460" s="32"/>
      <c r="D1460" s="33"/>
      <c r="E1460" s="34"/>
      <c r="F1460" s="34"/>
      <c r="G1460" s="35"/>
      <c r="H1460" s="34"/>
      <c r="I1460" s="37"/>
    </row>
    <row r="1461" ht="22.5" customHeight="1">
      <c r="A1461" s="30"/>
      <c r="B1461" s="31"/>
      <c r="C1461" s="32"/>
      <c r="D1461" s="33"/>
      <c r="E1461" s="34"/>
      <c r="F1461" s="34"/>
      <c r="G1461" s="35"/>
      <c r="H1461" s="34"/>
      <c r="I1461" s="37"/>
    </row>
    <row r="1462" ht="22.5" customHeight="1">
      <c r="A1462" s="30"/>
      <c r="B1462" s="31"/>
      <c r="C1462" s="32"/>
      <c r="D1462" s="33"/>
      <c r="E1462" s="34"/>
      <c r="F1462" s="34"/>
      <c r="G1462" s="35"/>
      <c r="H1462" s="34"/>
      <c r="I1462" s="37"/>
    </row>
    <row r="1463" ht="22.5" customHeight="1">
      <c r="A1463" s="30"/>
      <c r="B1463" s="31"/>
      <c r="C1463" s="32"/>
      <c r="D1463" s="33"/>
      <c r="E1463" s="34"/>
      <c r="F1463" s="34"/>
      <c r="G1463" s="35"/>
      <c r="H1463" s="34"/>
      <c r="I1463" s="37"/>
    </row>
    <row r="1464" ht="22.5" customHeight="1">
      <c r="A1464" s="30"/>
      <c r="B1464" s="31"/>
      <c r="C1464" s="32"/>
      <c r="D1464" s="33"/>
      <c r="E1464" s="34"/>
      <c r="F1464" s="34"/>
      <c r="G1464" s="35"/>
      <c r="H1464" s="34"/>
      <c r="I1464" s="37"/>
    </row>
    <row r="1465" ht="22.5" customHeight="1">
      <c r="A1465" s="30"/>
      <c r="B1465" s="31"/>
      <c r="C1465" s="32"/>
      <c r="D1465" s="33"/>
      <c r="E1465" s="34"/>
      <c r="F1465" s="34"/>
      <c r="G1465" s="35"/>
      <c r="H1465" s="34"/>
      <c r="I1465" s="37"/>
    </row>
    <row r="1466" ht="22.5" customHeight="1">
      <c r="A1466" s="30"/>
      <c r="B1466" s="40"/>
      <c r="C1466" s="32"/>
      <c r="D1466" s="33"/>
      <c r="E1466" s="34"/>
      <c r="F1466" s="34"/>
      <c r="G1466" s="35"/>
      <c r="H1466" s="34"/>
      <c r="I1466" s="37"/>
    </row>
    <row r="1467" ht="22.5" customHeight="1">
      <c r="A1467" s="30"/>
      <c r="B1467" s="31"/>
      <c r="C1467" s="32"/>
      <c r="D1467" s="33"/>
      <c r="E1467" s="34"/>
      <c r="F1467" s="34"/>
      <c r="G1467" s="35"/>
      <c r="H1467" s="34"/>
      <c r="I1467" s="37"/>
    </row>
    <row r="1468" ht="22.5" customHeight="1">
      <c r="A1468" s="30"/>
      <c r="B1468" s="31"/>
      <c r="C1468" s="32"/>
      <c r="D1468" s="33"/>
      <c r="E1468" s="34"/>
      <c r="F1468" s="34"/>
      <c r="G1468" s="35"/>
      <c r="H1468" s="34"/>
      <c r="I1468" s="37"/>
    </row>
    <row r="1469" ht="22.5" customHeight="1">
      <c r="A1469" s="30"/>
      <c r="B1469" s="31"/>
      <c r="C1469" s="32"/>
      <c r="D1469" s="33"/>
      <c r="E1469" s="34"/>
      <c r="F1469" s="34"/>
      <c r="G1469" s="35"/>
      <c r="H1469" s="34"/>
      <c r="I1469" s="37"/>
    </row>
    <row r="1470" ht="22.5" customHeight="1">
      <c r="A1470" s="30"/>
      <c r="B1470" s="31"/>
      <c r="C1470" s="32"/>
      <c r="D1470" s="33"/>
      <c r="E1470" s="34"/>
      <c r="F1470" s="34"/>
      <c r="G1470" s="35"/>
      <c r="H1470" s="34"/>
      <c r="I1470" s="37"/>
    </row>
    <row r="1471" ht="22.5" customHeight="1">
      <c r="A1471" s="30"/>
      <c r="B1471" s="31"/>
      <c r="C1471" s="32"/>
      <c r="D1471" s="33"/>
      <c r="E1471" s="34"/>
      <c r="F1471" s="34"/>
      <c r="G1471" s="35"/>
      <c r="H1471" s="34"/>
      <c r="I1471" s="37"/>
    </row>
    <row r="1472" ht="22.5" customHeight="1">
      <c r="A1472" s="30"/>
      <c r="B1472" s="31"/>
      <c r="C1472" s="32"/>
      <c r="D1472" s="33"/>
      <c r="E1472" s="34"/>
      <c r="F1472" s="34"/>
      <c r="G1472" s="35"/>
      <c r="H1472" s="34"/>
      <c r="I1472" s="37"/>
    </row>
    <row r="1473" ht="22.5" customHeight="1">
      <c r="A1473" s="30"/>
      <c r="B1473" s="39"/>
      <c r="C1473" s="32"/>
      <c r="D1473" s="33"/>
      <c r="E1473" s="34"/>
      <c r="F1473" s="34"/>
      <c r="G1473" s="35"/>
      <c r="H1473" s="34"/>
      <c r="I1473" s="37"/>
    </row>
    <row r="1474" ht="22.5" customHeight="1">
      <c r="A1474" s="30"/>
      <c r="B1474" s="39"/>
      <c r="C1474" s="32"/>
      <c r="D1474" s="33"/>
      <c r="E1474" s="34"/>
      <c r="F1474" s="34"/>
      <c r="G1474" s="35"/>
      <c r="H1474" s="34"/>
      <c r="I1474" s="37"/>
    </row>
    <row r="1475" ht="22.5" customHeight="1">
      <c r="A1475" s="30"/>
      <c r="B1475" s="39"/>
      <c r="C1475" s="32"/>
      <c r="D1475" s="33"/>
      <c r="E1475" s="34"/>
      <c r="F1475" s="34"/>
      <c r="G1475" s="35"/>
      <c r="H1475" s="34"/>
      <c r="I1475" s="37"/>
    </row>
    <row r="1476" ht="22.5" customHeight="1">
      <c r="A1476" s="30"/>
      <c r="B1476" s="40"/>
      <c r="C1476" s="32"/>
      <c r="D1476" s="33"/>
      <c r="E1476" s="34"/>
      <c r="F1476" s="34"/>
      <c r="G1476" s="35"/>
      <c r="H1476" s="34"/>
      <c r="I1476" s="37"/>
    </row>
    <row r="1477" ht="22.5" customHeight="1">
      <c r="A1477" s="30"/>
      <c r="B1477" s="31"/>
      <c r="C1477" s="32"/>
      <c r="D1477" s="33"/>
      <c r="E1477" s="34"/>
      <c r="F1477" s="34"/>
      <c r="G1477" s="35"/>
      <c r="H1477" s="34"/>
      <c r="I1477" s="37"/>
    </row>
    <row r="1478" ht="22.5" customHeight="1">
      <c r="A1478" s="30"/>
      <c r="B1478" s="31"/>
      <c r="C1478" s="32"/>
      <c r="D1478" s="33"/>
      <c r="E1478" s="34"/>
      <c r="F1478" s="34"/>
      <c r="G1478" s="35"/>
      <c r="H1478" s="34"/>
      <c r="I1478" s="37"/>
    </row>
    <row r="1479" ht="22.5" customHeight="1">
      <c r="A1479" s="30"/>
      <c r="B1479" s="31"/>
      <c r="C1479" s="32"/>
      <c r="D1479" s="33"/>
      <c r="E1479" s="34"/>
      <c r="F1479" s="34"/>
      <c r="G1479" s="35"/>
      <c r="H1479" s="34"/>
      <c r="I1479" s="37"/>
    </row>
    <row r="1480" ht="22.5" customHeight="1">
      <c r="A1480" s="30"/>
      <c r="B1480" s="31"/>
      <c r="C1480" s="32"/>
      <c r="D1480" s="33"/>
      <c r="E1480" s="34"/>
      <c r="F1480" s="34"/>
      <c r="G1480" s="35"/>
      <c r="H1480" s="34"/>
      <c r="I1480" s="37"/>
    </row>
    <row r="1481" ht="22.5" customHeight="1">
      <c r="A1481" s="30"/>
      <c r="B1481" s="31"/>
      <c r="C1481" s="32"/>
      <c r="D1481" s="33"/>
      <c r="E1481" s="34"/>
      <c r="F1481" s="34"/>
      <c r="G1481" s="35"/>
      <c r="H1481" s="34"/>
      <c r="I1481" s="37"/>
    </row>
    <row r="1482" ht="22.5" customHeight="1">
      <c r="A1482" s="30"/>
      <c r="B1482" s="31"/>
      <c r="C1482" s="32"/>
      <c r="D1482" s="33"/>
      <c r="E1482" s="34"/>
      <c r="F1482" s="34"/>
      <c r="G1482" s="35"/>
      <c r="H1482" s="34"/>
      <c r="I1482" s="37"/>
    </row>
    <row r="1483" ht="22.5" customHeight="1">
      <c r="A1483" s="30"/>
      <c r="B1483" s="31"/>
      <c r="C1483" s="32"/>
      <c r="D1483" s="33"/>
      <c r="E1483" s="34"/>
      <c r="F1483" s="34"/>
      <c r="G1483" s="35"/>
      <c r="H1483" s="34"/>
      <c r="I1483" s="37"/>
    </row>
    <row r="1484" ht="22.5" customHeight="1">
      <c r="A1484" s="30"/>
      <c r="B1484" s="31"/>
      <c r="C1484" s="32"/>
      <c r="D1484" s="33"/>
      <c r="E1484" s="34"/>
      <c r="F1484" s="34"/>
      <c r="G1484" s="35"/>
      <c r="H1484" s="34"/>
      <c r="I1484" s="37"/>
    </row>
    <row r="1485" ht="22.5" customHeight="1">
      <c r="A1485" s="30"/>
      <c r="B1485" s="31"/>
      <c r="C1485" s="32"/>
      <c r="D1485" s="33"/>
      <c r="E1485" s="34"/>
      <c r="F1485" s="34"/>
      <c r="G1485" s="35"/>
      <c r="H1485" s="34"/>
      <c r="I1485" s="37"/>
    </row>
    <row r="1486" ht="22.5" customHeight="1">
      <c r="A1486" s="30"/>
      <c r="B1486" s="40"/>
      <c r="C1486" s="32"/>
      <c r="D1486" s="33"/>
      <c r="E1486" s="34"/>
      <c r="F1486" s="34"/>
      <c r="G1486" s="35"/>
      <c r="H1486" s="34"/>
      <c r="I1486" s="37"/>
    </row>
    <row r="1487" ht="22.5" customHeight="1">
      <c r="A1487" s="30"/>
      <c r="B1487" s="31"/>
      <c r="C1487" s="32"/>
      <c r="D1487" s="33"/>
      <c r="E1487" s="34"/>
      <c r="F1487" s="34"/>
      <c r="G1487" s="35"/>
      <c r="H1487" s="34"/>
      <c r="I1487" s="37"/>
    </row>
    <row r="1488" ht="22.5" customHeight="1">
      <c r="A1488" s="30"/>
      <c r="B1488" s="31"/>
      <c r="C1488" s="32"/>
      <c r="D1488" s="33"/>
      <c r="E1488" s="34"/>
      <c r="F1488" s="34"/>
      <c r="G1488" s="35"/>
      <c r="H1488" s="34"/>
      <c r="I1488" s="37"/>
    </row>
    <row r="1489" ht="22.5" customHeight="1">
      <c r="A1489" s="30"/>
      <c r="B1489" s="31"/>
      <c r="C1489" s="32"/>
      <c r="D1489" s="33"/>
      <c r="E1489" s="34"/>
      <c r="F1489" s="34"/>
      <c r="G1489" s="35"/>
      <c r="H1489" s="34"/>
      <c r="I1489" s="37"/>
    </row>
    <row r="1490" ht="22.5" customHeight="1">
      <c r="A1490" s="30"/>
      <c r="B1490" s="40"/>
      <c r="C1490" s="32"/>
      <c r="D1490" s="33"/>
      <c r="E1490" s="34"/>
      <c r="F1490" s="34"/>
      <c r="G1490" s="35"/>
      <c r="H1490" s="34"/>
      <c r="I1490" s="37"/>
    </row>
    <row r="1491" ht="22.5" customHeight="1">
      <c r="A1491" s="30"/>
      <c r="B1491" s="31"/>
      <c r="C1491" s="32"/>
      <c r="D1491" s="33"/>
      <c r="E1491" s="34"/>
      <c r="F1491" s="34"/>
      <c r="G1491" s="35"/>
      <c r="H1491" s="34"/>
      <c r="I1491" s="37"/>
    </row>
    <row r="1492" ht="22.5" customHeight="1">
      <c r="A1492" s="30"/>
      <c r="B1492" s="31"/>
      <c r="C1492" s="32"/>
      <c r="D1492" s="33"/>
      <c r="E1492" s="34"/>
      <c r="F1492" s="34"/>
      <c r="G1492" s="35"/>
      <c r="H1492" s="34"/>
      <c r="I1492" s="37"/>
    </row>
    <row r="1493" ht="22.5" customHeight="1">
      <c r="A1493" s="30"/>
      <c r="B1493" s="31"/>
      <c r="C1493" s="32"/>
      <c r="D1493" s="33"/>
      <c r="E1493" s="34"/>
      <c r="F1493" s="34"/>
      <c r="G1493" s="35"/>
      <c r="H1493" s="34"/>
      <c r="I1493" s="37"/>
    </row>
    <row r="1494" ht="22.5" customHeight="1">
      <c r="A1494" s="30"/>
      <c r="B1494" s="31"/>
      <c r="C1494" s="32"/>
      <c r="D1494" s="33"/>
      <c r="E1494" s="34"/>
      <c r="F1494" s="34"/>
      <c r="G1494" s="35"/>
      <c r="H1494" s="34"/>
      <c r="I1494" s="37"/>
    </row>
    <row r="1495" ht="22.5" customHeight="1">
      <c r="A1495" s="30"/>
      <c r="B1495" s="31"/>
      <c r="C1495" s="32"/>
      <c r="D1495" s="33"/>
      <c r="E1495" s="34"/>
      <c r="F1495" s="34"/>
      <c r="G1495" s="35"/>
      <c r="H1495" s="34"/>
      <c r="I1495" s="37"/>
    </row>
    <row r="1496" ht="22.5" customHeight="1">
      <c r="A1496" s="30"/>
      <c r="B1496" s="31"/>
      <c r="C1496" s="32"/>
      <c r="D1496" s="33"/>
      <c r="E1496" s="34"/>
      <c r="F1496" s="34"/>
      <c r="G1496" s="35"/>
      <c r="H1496" s="34"/>
      <c r="I1496" s="37"/>
    </row>
    <row r="1497" ht="22.5" customHeight="1">
      <c r="A1497" s="30"/>
      <c r="B1497" s="31"/>
      <c r="C1497" s="32"/>
      <c r="D1497" s="33"/>
      <c r="E1497" s="34"/>
      <c r="F1497" s="34"/>
      <c r="G1497" s="35"/>
      <c r="H1497" s="34"/>
      <c r="I1497" s="37"/>
    </row>
    <row r="1498" ht="22.5" customHeight="1">
      <c r="A1498" s="30"/>
      <c r="B1498" s="31"/>
      <c r="C1498" s="32"/>
      <c r="D1498" s="33"/>
      <c r="E1498" s="34"/>
      <c r="F1498" s="34"/>
      <c r="G1498" s="35"/>
      <c r="H1498" s="34"/>
      <c r="I1498" s="37"/>
    </row>
    <row r="1499" ht="22.5" customHeight="1">
      <c r="A1499" s="30"/>
      <c r="B1499" s="31"/>
      <c r="C1499" s="32"/>
      <c r="D1499" s="33"/>
      <c r="E1499" s="34"/>
      <c r="F1499" s="34"/>
      <c r="G1499" s="35"/>
      <c r="H1499" s="34"/>
      <c r="I1499" s="37"/>
    </row>
    <row r="1500" ht="22.5" customHeight="1">
      <c r="A1500" s="30"/>
      <c r="B1500" s="31"/>
      <c r="C1500" s="32"/>
      <c r="D1500" s="33"/>
      <c r="E1500" s="34"/>
      <c r="F1500" s="34"/>
      <c r="G1500" s="35"/>
      <c r="H1500" s="34"/>
      <c r="I1500" s="37"/>
    </row>
    <row r="1501" ht="22.5" customHeight="1">
      <c r="A1501" s="30"/>
      <c r="B1501" s="31"/>
      <c r="C1501" s="32"/>
      <c r="D1501" s="33"/>
      <c r="E1501" s="34"/>
      <c r="F1501" s="34"/>
      <c r="G1501" s="35"/>
      <c r="H1501" s="34"/>
      <c r="I1501" s="37"/>
    </row>
    <row r="1502" ht="22.5" customHeight="1">
      <c r="A1502" s="30"/>
      <c r="B1502" s="31"/>
      <c r="C1502" s="32"/>
      <c r="D1502" s="33"/>
      <c r="E1502" s="34"/>
      <c r="F1502" s="34"/>
      <c r="G1502" s="35"/>
      <c r="H1502" s="34"/>
      <c r="I1502" s="37"/>
    </row>
    <row r="1503" ht="22.5" customHeight="1">
      <c r="A1503" s="30"/>
      <c r="B1503" s="31"/>
      <c r="C1503" s="32"/>
      <c r="D1503" s="33"/>
      <c r="E1503" s="34"/>
      <c r="F1503" s="34"/>
      <c r="G1503" s="35"/>
      <c r="H1503" s="34"/>
      <c r="I1503" s="37"/>
    </row>
    <row r="1504" ht="22.5" customHeight="1">
      <c r="A1504" s="30"/>
      <c r="B1504" s="31"/>
      <c r="C1504" s="32"/>
      <c r="D1504" s="33"/>
      <c r="E1504" s="34"/>
      <c r="F1504" s="34"/>
      <c r="G1504" s="35"/>
      <c r="H1504" s="34"/>
      <c r="I1504" s="37"/>
    </row>
    <row r="1505" ht="22.5" customHeight="1">
      <c r="A1505" s="30"/>
      <c r="B1505" s="40"/>
      <c r="C1505" s="32"/>
      <c r="D1505" s="33"/>
      <c r="E1505" s="34"/>
      <c r="F1505" s="34"/>
      <c r="G1505" s="35"/>
      <c r="H1505" s="34"/>
      <c r="I1505" s="37"/>
    </row>
    <row r="1506" ht="22.5" customHeight="1">
      <c r="A1506" s="30"/>
      <c r="B1506" s="31"/>
      <c r="C1506" s="32"/>
      <c r="D1506" s="33"/>
      <c r="E1506" s="34"/>
      <c r="F1506" s="34"/>
      <c r="G1506" s="35"/>
      <c r="H1506" s="34"/>
      <c r="I1506" s="37"/>
    </row>
    <row r="1507" ht="22.5" customHeight="1">
      <c r="A1507" s="30"/>
      <c r="B1507" s="40"/>
      <c r="C1507" s="32"/>
      <c r="D1507" s="33"/>
      <c r="E1507" s="34"/>
      <c r="F1507" s="34"/>
      <c r="G1507" s="35"/>
      <c r="H1507" s="34"/>
      <c r="I1507" s="37"/>
    </row>
    <row r="1508" ht="22.5" customHeight="1">
      <c r="A1508" s="30"/>
      <c r="B1508" s="31"/>
      <c r="C1508" s="32"/>
      <c r="D1508" s="33"/>
      <c r="E1508" s="34"/>
      <c r="F1508" s="34"/>
      <c r="G1508" s="35"/>
      <c r="H1508" s="34"/>
      <c r="I1508" s="37"/>
    </row>
    <row r="1509" ht="22.5" customHeight="1">
      <c r="A1509" s="30"/>
      <c r="B1509" s="31"/>
      <c r="C1509" s="32"/>
      <c r="D1509" s="33"/>
      <c r="E1509" s="34"/>
      <c r="F1509" s="34"/>
      <c r="G1509" s="35"/>
      <c r="H1509" s="34"/>
      <c r="I1509" s="37"/>
    </row>
    <row r="1510" ht="22.5" customHeight="1">
      <c r="A1510" s="30"/>
      <c r="B1510" s="31"/>
      <c r="C1510" s="32"/>
      <c r="D1510" s="33"/>
      <c r="E1510" s="34"/>
      <c r="F1510" s="34"/>
      <c r="G1510" s="35"/>
      <c r="H1510" s="34"/>
      <c r="I1510" s="37"/>
    </row>
    <row r="1511" ht="22.5" customHeight="1">
      <c r="A1511" s="30"/>
      <c r="B1511" s="31"/>
      <c r="C1511" s="32"/>
      <c r="D1511" s="33"/>
      <c r="E1511" s="34"/>
      <c r="F1511" s="34"/>
      <c r="G1511" s="35"/>
      <c r="H1511" s="34"/>
      <c r="I1511" s="37"/>
    </row>
    <row r="1512" ht="22.5" customHeight="1">
      <c r="A1512" s="30"/>
      <c r="B1512" s="40"/>
      <c r="C1512" s="32"/>
      <c r="D1512" s="33"/>
      <c r="E1512" s="34"/>
      <c r="F1512" s="34"/>
      <c r="G1512" s="35"/>
      <c r="H1512" s="34"/>
      <c r="I1512" s="37"/>
    </row>
    <row r="1513" ht="22.5" customHeight="1">
      <c r="A1513" s="30"/>
      <c r="B1513" s="31"/>
      <c r="C1513" s="32"/>
      <c r="D1513" s="33"/>
      <c r="E1513" s="34"/>
      <c r="F1513" s="34"/>
      <c r="G1513" s="35"/>
      <c r="H1513" s="34"/>
      <c r="I1513" s="37"/>
    </row>
    <row r="1514" ht="22.5" customHeight="1">
      <c r="A1514" s="30"/>
      <c r="B1514" s="31"/>
      <c r="C1514" s="32"/>
      <c r="D1514" s="33"/>
      <c r="E1514" s="34"/>
      <c r="F1514" s="34"/>
      <c r="G1514" s="35"/>
      <c r="H1514" s="34"/>
      <c r="I1514" s="37"/>
    </row>
    <row r="1515" ht="22.5" customHeight="1">
      <c r="A1515" s="30"/>
      <c r="B1515" s="31"/>
      <c r="C1515" s="32"/>
      <c r="D1515" s="33"/>
      <c r="E1515" s="34"/>
      <c r="F1515" s="34"/>
      <c r="G1515" s="35"/>
      <c r="H1515" s="34"/>
      <c r="I1515" s="37"/>
    </row>
    <row r="1516" ht="22.5" customHeight="1">
      <c r="A1516" s="30"/>
      <c r="B1516" s="31"/>
      <c r="C1516" s="32"/>
      <c r="D1516" s="33"/>
      <c r="E1516" s="34"/>
      <c r="F1516" s="34"/>
      <c r="G1516" s="35"/>
      <c r="H1516" s="34"/>
      <c r="I1516" s="37"/>
    </row>
    <row r="1517" ht="22.5" customHeight="1">
      <c r="A1517" s="30"/>
      <c r="B1517" s="31"/>
      <c r="C1517" s="32"/>
      <c r="D1517" s="33"/>
      <c r="E1517" s="34"/>
      <c r="F1517" s="34"/>
      <c r="G1517" s="35"/>
      <c r="H1517" s="34"/>
      <c r="I1517" s="37"/>
    </row>
    <row r="1518" ht="22.5" customHeight="1">
      <c r="A1518" s="30"/>
      <c r="B1518" s="31"/>
      <c r="C1518" s="32"/>
      <c r="D1518" s="33"/>
      <c r="E1518" s="34"/>
      <c r="F1518" s="34"/>
      <c r="G1518" s="35"/>
      <c r="H1518" s="34"/>
      <c r="I1518" s="37"/>
    </row>
    <row r="1519" ht="22.5" customHeight="1">
      <c r="A1519" s="30"/>
      <c r="B1519" s="31"/>
      <c r="C1519" s="32"/>
      <c r="D1519" s="33"/>
      <c r="E1519" s="34"/>
      <c r="F1519" s="34"/>
      <c r="G1519" s="35"/>
      <c r="H1519" s="34"/>
      <c r="I1519" s="37"/>
    </row>
    <row r="1520" ht="22.5" customHeight="1">
      <c r="A1520" s="30"/>
      <c r="B1520" s="31"/>
      <c r="C1520" s="32"/>
      <c r="D1520" s="33"/>
      <c r="E1520" s="34"/>
      <c r="F1520" s="34"/>
      <c r="G1520" s="35"/>
      <c r="H1520" s="34"/>
      <c r="I1520" s="37"/>
    </row>
    <row r="1521" ht="22.5" customHeight="1">
      <c r="A1521" s="30"/>
      <c r="B1521" s="31"/>
      <c r="C1521" s="32"/>
      <c r="D1521" s="33"/>
      <c r="E1521" s="34"/>
      <c r="F1521" s="34"/>
      <c r="G1521" s="35"/>
      <c r="H1521" s="34"/>
      <c r="I1521" s="37"/>
    </row>
    <row r="1522" ht="22.5" customHeight="1">
      <c r="A1522" s="30"/>
      <c r="B1522" s="31"/>
      <c r="C1522" s="32"/>
      <c r="D1522" s="33"/>
      <c r="E1522" s="34"/>
      <c r="F1522" s="34"/>
      <c r="G1522" s="35"/>
      <c r="H1522" s="34"/>
      <c r="I1522" s="37"/>
    </row>
    <row r="1523" ht="22.5" customHeight="1">
      <c r="A1523" s="30"/>
      <c r="B1523" s="31"/>
      <c r="C1523" s="32"/>
      <c r="D1523" s="33"/>
      <c r="E1523" s="34"/>
      <c r="F1523" s="34"/>
      <c r="G1523" s="35"/>
      <c r="H1523" s="34"/>
      <c r="I1523" s="37"/>
    </row>
    <row r="1524" ht="22.5" customHeight="1">
      <c r="A1524" s="30"/>
      <c r="B1524" s="31"/>
      <c r="C1524" s="32"/>
      <c r="D1524" s="33"/>
      <c r="E1524" s="34"/>
      <c r="F1524" s="34"/>
      <c r="G1524" s="35"/>
      <c r="H1524" s="34"/>
      <c r="I1524" s="37"/>
    </row>
    <row r="1525" ht="22.5" customHeight="1">
      <c r="A1525" s="30"/>
      <c r="B1525" s="31"/>
      <c r="C1525" s="32"/>
      <c r="D1525" s="33"/>
      <c r="E1525" s="34"/>
      <c r="F1525" s="34"/>
      <c r="G1525" s="35"/>
      <c r="H1525" s="34"/>
      <c r="I1525" s="37"/>
    </row>
    <row r="1526" ht="22.5" customHeight="1">
      <c r="A1526" s="30"/>
      <c r="B1526" s="31"/>
      <c r="C1526" s="32"/>
      <c r="D1526" s="33"/>
      <c r="E1526" s="34"/>
      <c r="F1526" s="34"/>
      <c r="G1526" s="35"/>
      <c r="H1526" s="34"/>
      <c r="I1526" s="37"/>
    </row>
    <row r="1527" ht="22.5" customHeight="1">
      <c r="A1527" s="30"/>
      <c r="B1527" s="31"/>
      <c r="C1527" s="32"/>
      <c r="D1527" s="33"/>
      <c r="E1527" s="34"/>
      <c r="F1527" s="34"/>
      <c r="G1527" s="35"/>
      <c r="H1527" s="34"/>
      <c r="I1527" s="37"/>
    </row>
    <row r="1528" ht="22.5" customHeight="1">
      <c r="A1528" s="30"/>
      <c r="B1528" s="31"/>
      <c r="C1528" s="32"/>
      <c r="D1528" s="33"/>
      <c r="E1528" s="34"/>
      <c r="F1528" s="34"/>
      <c r="G1528" s="35"/>
      <c r="H1528" s="34"/>
      <c r="I1528" s="37"/>
    </row>
    <row r="1529" ht="22.5" customHeight="1">
      <c r="A1529" s="30"/>
      <c r="B1529" s="31"/>
      <c r="C1529" s="32"/>
      <c r="D1529" s="33"/>
      <c r="E1529" s="34"/>
      <c r="F1529" s="34"/>
      <c r="G1529" s="35"/>
      <c r="H1529" s="34"/>
      <c r="I1529" s="37"/>
    </row>
    <row r="1530" ht="22.5" customHeight="1">
      <c r="A1530" s="30"/>
      <c r="B1530" s="31"/>
      <c r="C1530" s="32"/>
      <c r="D1530" s="33"/>
      <c r="E1530" s="34"/>
      <c r="F1530" s="34"/>
      <c r="G1530" s="35"/>
      <c r="H1530" s="34"/>
      <c r="I1530" s="37"/>
    </row>
    <row r="1531" ht="22.5" customHeight="1">
      <c r="A1531" s="30"/>
      <c r="B1531" s="31"/>
      <c r="C1531" s="32"/>
      <c r="D1531" s="33"/>
      <c r="E1531" s="34"/>
      <c r="F1531" s="34"/>
      <c r="G1531" s="35"/>
      <c r="H1531" s="34"/>
      <c r="I1531" s="37"/>
    </row>
    <row r="1532" ht="22.5" customHeight="1">
      <c r="A1532" s="30"/>
      <c r="B1532" s="31"/>
      <c r="C1532" s="32"/>
      <c r="D1532" s="33"/>
      <c r="E1532" s="34"/>
      <c r="F1532" s="34"/>
      <c r="G1532" s="35"/>
      <c r="H1532" s="34"/>
      <c r="I1532" s="37"/>
    </row>
    <row r="1533" ht="22.5" customHeight="1">
      <c r="A1533" s="30"/>
      <c r="B1533" s="31"/>
      <c r="C1533" s="32"/>
      <c r="D1533" s="33"/>
      <c r="E1533" s="34"/>
      <c r="F1533" s="34"/>
      <c r="G1533" s="35"/>
      <c r="H1533" s="34"/>
      <c r="I1533" s="37"/>
    </row>
    <row r="1534" ht="22.5" customHeight="1">
      <c r="A1534" s="30"/>
      <c r="B1534" s="40"/>
      <c r="C1534" s="32"/>
      <c r="D1534" s="33"/>
      <c r="E1534" s="34"/>
      <c r="F1534" s="34"/>
      <c r="G1534" s="35"/>
      <c r="H1534" s="34"/>
      <c r="I1534" s="37"/>
    </row>
    <row r="1535" ht="22.5" customHeight="1">
      <c r="A1535" s="30"/>
      <c r="B1535" s="31"/>
      <c r="C1535" s="32"/>
      <c r="D1535" s="33"/>
      <c r="E1535" s="34"/>
      <c r="F1535" s="34"/>
      <c r="G1535" s="35"/>
      <c r="H1535" s="34"/>
      <c r="I1535" s="37"/>
    </row>
    <row r="1536" ht="22.5" customHeight="1">
      <c r="A1536" s="30"/>
      <c r="B1536" s="31"/>
      <c r="C1536" s="32"/>
      <c r="D1536" s="33"/>
      <c r="E1536" s="34"/>
      <c r="F1536" s="34"/>
      <c r="G1536" s="35"/>
      <c r="H1536" s="34"/>
      <c r="I1536" s="37"/>
    </row>
    <row r="1537" ht="22.5" customHeight="1">
      <c r="A1537" s="30"/>
      <c r="B1537" s="31"/>
      <c r="C1537" s="32"/>
      <c r="D1537" s="33"/>
      <c r="E1537" s="34"/>
      <c r="F1537" s="34"/>
      <c r="G1537" s="35"/>
      <c r="H1537" s="34"/>
      <c r="I1537" s="37"/>
    </row>
    <row r="1538" ht="22.5" customHeight="1">
      <c r="A1538" s="30"/>
      <c r="B1538" s="31"/>
      <c r="C1538" s="32"/>
      <c r="D1538" s="33"/>
      <c r="E1538" s="34"/>
      <c r="F1538" s="34"/>
      <c r="G1538" s="35"/>
      <c r="H1538" s="34"/>
      <c r="I1538" s="38"/>
    </row>
    <row r="1539" ht="22.5" customHeight="1">
      <c r="A1539" s="30"/>
      <c r="B1539" s="39"/>
      <c r="C1539" s="32"/>
      <c r="D1539" s="33"/>
      <c r="E1539" s="34"/>
      <c r="F1539" s="34"/>
      <c r="G1539" s="35"/>
      <c r="H1539" s="34"/>
      <c r="I1539" s="37"/>
    </row>
    <row r="1540" ht="22.5" customHeight="1">
      <c r="A1540" s="30"/>
      <c r="B1540" s="31"/>
      <c r="C1540" s="32"/>
      <c r="D1540" s="33"/>
      <c r="E1540" s="34"/>
      <c r="F1540" s="34"/>
      <c r="G1540" s="35"/>
      <c r="H1540" s="34"/>
      <c r="I1540" s="37"/>
    </row>
    <row r="1541" ht="22.5" customHeight="1">
      <c r="A1541" s="30"/>
      <c r="B1541" s="31"/>
      <c r="C1541" s="32"/>
      <c r="D1541" s="33"/>
      <c r="E1541" s="34"/>
      <c r="F1541" s="34"/>
      <c r="G1541" s="35"/>
      <c r="H1541" s="34"/>
      <c r="I1541" s="37"/>
    </row>
    <row r="1542" ht="22.5" customHeight="1">
      <c r="A1542" s="30"/>
      <c r="B1542" s="31"/>
      <c r="C1542" s="32"/>
      <c r="D1542" s="33"/>
      <c r="E1542" s="34"/>
      <c r="F1542" s="34"/>
      <c r="G1542" s="35"/>
      <c r="H1542" s="34"/>
      <c r="I1542" s="37"/>
    </row>
    <row r="1543" ht="22.5" customHeight="1">
      <c r="A1543" s="30"/>
      <c r="B1543" s="39"/>
      <c r="C1543" s="32"/>
      <c r="D1543" s="33"/>
      <c r="E1543" s="34"/>
      <c r="F1543" s="34"/>
      <c r="G1543" s="35"/>
      <c r="H1543" s="34"/>
      <c r="I1543" s="37"/>
    </row>
    <row r="1544" ht="22.5" customHeight="1">
      <c r="A1544" s="30"/>
      <c r="B1544" s="31"/>
      <c r="C1544" s="32"/>
      <c r="D1544" s="33"/>
      <c r="E1544" s="34"/>
      <c r="F1544" s="34"/>
      <c r="G1544" s="35"/>
      <c r="H1544" s="34"/>
      <c r="I1544" s="37"/>
    </row>
    <row r="1545" ht="22.5" customHeight="1">
      <c r="A1545" s="30"/>
      <c r="B1545" s="39"/>
      <c r="C1545" s="32"/>
      <c r="D1545" s="33"/>
      <c r="E1545" s="34"/>
      <c r="F1545" s="34"/>
      <c r="G1545" s="35"/>
      <c r="H1545" s="34"/>
      <c r="I1545" s="37"/>
    </row>
    <row r="1546" ht="22.5" customHeight="1">
      <c r="A1546" s="30"/>
      <c r="B1546" s="31"/>
      <c r="C1546" s="32"/>
      <c r="D1546" s="33"/>
      <c r="E1546" s="34"/>
      <c r="F1546" s="34"/>
      <c r="G1546" s="35"/>
      <c r="H1546" s="34"/>
      <c r="I1546" s="37"/>
    </row>
    <row r="1547" ht="22.5" customHeight="1">
      <c r="A1547" s="30"/>
      <c r="B1547" s="31"/>
      <c r="C1547" s="32"/>
      <c r="D1547" s="33"/>
      <c r="E1547" s="34"/>
      <c r="F1547" s="34"/>
      <c r="G1547" s="35"/>
      <c r="H1547" s="34"/>
      <c r="I1547" s="37"/>
    </row>
    <row r="1548" ht="22.5" customHeight="1">
      <c r="A1548" s="30"/>
      <c r="B1548" s="31"/>
      <c r="C1548" s="32"/>
      <c r="D1548" s="33"/>
      <c r="E1548" s="34"/>
      <c r="F1548" s="34"/>
      <c r="G1548" s="35"/>
      <c r="H1548" s="34"/>
      <c r="I1548" s="37"/>
    </row>
    <row r="1549" ht="22.5" customHeight="1">
      <c r="A1549" s="30"/>
      <c r="B1549" s="31"/>
      <c r="C1549" s="32"/>
      <c r="D1549" s="33"/>
      <c r="E1549" s="34"/>
      <c r="F1549" s="34"/>
      <c r="G1549" s="35"/>
      <c r="H1549" s="34"/>
      <c r="I1549" s="37"/>
    </row>
    <row r="1550" ht="22.5" customHeight="1">
      <c r="A1550" s="30"/>
      <c r="B1550" s="31"/>
      <c r="C1550" s="32"/>
      <c r="D1550" s="33"/>
      <c r="E1550" s="34"/>
      <c r="F1550" s="34"/>
      <c r="G1550" s="35"/>
      <c r="H1550" s="34"/>
      <c r="I1550" s="37"/>
    </row>
    <row r="1551" ht="22.5" customHeight="1">
      <c r="A1551" s="30"/>
      <c r="B1551" s="31"/>
      <c r="C1551" s="32"/>
      <c r="D1551" s="33"/>
      <c r="E1551" s="34"/>
      <c r="F1551" s="34"/>
      <c r="G1551" s="35"/>
      <c r="H1551" s="34"/>
      <c r="I1551" s="37"/>
    </row>
    <row r="1552" ht="22.5" customHeight="1">
      <c r="A1552" s="30"/>
      <c r="B1552" s="31"/>
      <c r="C1552" s="32"/>
      <c r="D1552" s="33"/>
      <c r="E1552" s="34"/>
      <c r="F1552" s="34"/>
      <c r="G1552" s="35"/>
      <c r="H1552" s="34"/>
      <c r="I1552" s="37"/>
    </row>
    <row r="1553" ht="22.5" customHeight="1">
      <c r="A1553" s="30"/>
      <c r="B1553" s="31"/>
      <c r="C1553" s="32"/>
      <c r="D1553" s="33"/>
      <c r="E1553" s="34"/>
      <c r="F1553" s="34"/>
      <c r="G1553" s="35"/>
      <c r="H1553" s="34"/>
      <c r="I1553" s="37"/>
    </row>
    <row r="1554" ht="22.5" customHeight="1">
      <c r="A1554" s="30"/>
      <c r="B1554" s="31"/>
      <c r="C1554" s="32"/>
      <c r="D1554" s="33"/>
      <c r="E1554" s="34"/>
      <c r="F1554" s="34"/>
      <c r="G1554" s="35"/>
      <c r="H1554" s="34"/>
      <c r="I1554" s="37"/>
    </row>
    <row r="1555" ht="22.5" customHeight="1">
      <c r="A1555" s="30"/>
      <c r="B1555" s="31"/>
      <c r="C1555" s="32"/>
      <c r="D1555" s="33"/>
      <c r="E1555" s="34"/>
      <c r="F1555" s="34"/>
      <c r="G1555" s="35"/>
      <c r="H1555" s="34"/>
      <c r="I1555" s="37"/>
    </row>
    <row r="1556" ht="22.5" customHeight="1">
      <c r="A1556" s="30"/>
      <c r="B1556" s="40"/>
      <c r="C1556" s="32"/>
      <c r="D1556" s="33"/>
      <c r="E1556" s="34"/>
      <c r="F1556" s="34"/>
      <c r="G1556" s="35"/>
      <c r="H1556" s="34"/>
      <c r="I1556" s="37"/>
    </row>
    <row r="1557" ht="22.5" customHeight="1">
      <c r="A1557" s="30"/>
      <c r="B1557" s="31"/>
      <c r="C1557" s="32"/>
      <c r="D1557" s="33"/>
      <c r="E1557" s="34"/>
      <c r="F1557" s="34"/>
      <c r="G1557" s="35"/>
      <c r="H1557" s="34"/>
      <c r="I1557" s="37"/>
    </row>
    <row r="1558" ht="22.5" customHeight="1">
      <c r="A1558" s="30"/>
      <c r="B1558" s="31"/>
      <c r="C1558" s="32"/>
      <c r="D1558" s="33"/>
      <c r="E1558" s="34"/>
      <c r="F1558" s="34"/>
      <c r="G1558" s="35"/>
      <c r="H1558" s="34"/>
      <c r="I1558" s="37"/>
    </row>
    <row r="1559" ht="22.5" customHeight="1">
      <c r="A1559" s="30"/>
      <c r="B1559" s="31"/>
      <c r="C1559" s="32"/>
      <c r="D1559" s="33"/>
      <c r="E1559" s="34"/>
      <c r="F1559" s="34"/>
      <c r="G1559" s="35"/>
      <c r="H1559" s="34"/>
      <c r="I1559" s="37"/>
    </row>
    <row r="1560" ht="22.5" customHeight="1">
      <c r="A1560" s="30"/>
      <c r="B1560" s="31"/>
      <c r="C1560" s="32"/>
      <c r="D1560" s="33"/>
      <c r="E1560" s="34"/>
      <c r="F1560" s="34"/>
      <c r="G1560" s="35"/>
      <c r="H1560" s="34"/>
      <c r="I1560" s="37"/>
    </row>
    <row r="1561" ht="22.5" customHeight="1">
      <c r="A1561" s="30"/>
      <c r="B1561" s="31"/>
      <c r="C1561" s="32"/>
      <c r="D1561" s="33"/>
      <c r="E1561" s="34"/>
      <c r="F1561" s="34"/>
      <c r="G1561" s="35"/>
      <c r="H1561" s="34"/>
      <c r="I1561" s="37"/>
    </row>
    <row r="1562" ht="22.5" customHeight="1">
      <c r="A1562" s="30"/>
      <c r="B1562" s="31"/>
      <c r="C1562" s="32"/>
      <c r="D1562" s="33"/>
      <c r="E1562" s="34"/>
      <c r="F1562" s="34"/>
      <c r="G1562" s="35"/>
      <c r="H1562" s="34"/>
      <c r="I1562" s="37"/>
    </row>
    <row r="1563" ht="22.5" customHeight="1">
      <c r="A1563" s="30"/>
      <c r="B1563" s="39"/>
      <c r="C1563" s="32"/>
      <c r="D1563" s="33"/>
      <c r="E1563" s="34"/>
      <c r="F1563" s="34"/>
      <c r="G1563" s="35"/>
      <c r="H1563" s="34"/>
      <c r="I1563" s="37"/>
    </row>
    <row r="1564" ht="22.5" customHeight="1">
      <c r="A1564" s="30"/>
      <c r="B1564" s="39"/>
      <c r="C1564" s="32"/>
      <c r="D1564" s="33"/>
      <c r="E1564" s="34"/>
      <c r="F1564" s="34"/>
      <c r="G1564" s="35"/>
      <c r="H1564" s="34"/>
      <c r="I1564" s="37"/>
    </row>
    <row r="1565" ht="22.5" customHeight="1">
      <c r="A1565" s="30"/>
      <c r="B1565" s="39"/>
      <c r="C1565" s="32"/>
      <c r="D1565" s="33"/>
      <c r="E1565" s="34"/>
      <c r="F1565" s="34"/>
      <c r="G1565" s="35"/>
      <c r="H1565" s="34"/>
      <c r="I1565" s="37"/>
    </row>
    <row r="1566" ht="22.5" customHeight="1">
      <c r="A1566" s="30"/>
      <c r="B1566" s="40"/>
      <c r="C1566" s="32"/>
      <c r="D1566" s="33"/>
      <c r="E1566" s="34"/>
      <c r="F1566" s="34"/>
      <c r="G1566" s="35"/>
      <c r="H1566" s="34"/>
      <c r="I1566" s="37"/>
    </row>
    <row r="1567" ht="22.5" customHeight="1">
      <c r="A1567" s="30"/>
      <c r="B1567" s="31"/>
      <c r="C1567" s="32"/>
      <c r="D1567" s="33"/>
      <c r="E1567" s="34"/>
      <c r="F1567" s="34"/>
      <c r="G1567" s="35"/>
      <c r="H1567" s="34"/>
      <c r="I1567" s="37"/>
    </row>
    <row r="1568" ht="22.5" customHeight="1">
      <c r="A1568" s="30"/>
      <c r="B1568" s="31"/>
      <c r="C1568" s="32"/>
      <c r="D1568" s="33"/>
      <c r="E1568" s="34"/>
      <c r="F1568" s="34"/>
      <c r="G1568" s="35"/>
      <c r="H1568" s="34"/>
      <c r="I1568" s="37"/>
    </row>
    <row r="1569" ht="22.5" customHeight="1">
      <c r="A1569" s="30"/>
      <c r="B1569" s="31"/>
      <c r="C1569" s="32"/>
      <c r="D1569" s="33"/>
      <c r="E1569" s="34"/>
      <c r="F1569" s="34"/>
      <c r="G1569" s="35"/>
      <c r="H1569" s="34"/>
      <c r="I1569" s="37"/>
    </row>
    <row r="1570" ht="22.5" customHeight="1">
      <c r="A1570" s="30"/>
      <c r="B1570" s="31"/>
      <c r="C1570" s="32"/>
      <c r="D1570" s="33"/>
      <c r="E1570" s="34"/>
      <c r="F1570" s="34"/>
      <c r="G1570" s="35"/>
      <c r="H1570" s="34"/>
      <c r="I1570" s="37"/>
    </row>
    <row r="1571" ht="22.5" customHeight="1">
      <c r="A1571" s="30"/>
      <c r="B1571" s="31"/>
      <c r="C1571" s="32"/>
      <c r="D1571" s="33"/>
      <c r="E1571" s="34"/>
      <c r="F1571" s="34"/>
      <c r="G1571" s="35"/>
      <c r="H1571" s="34"/>
      <c r="I1571" s="37"/>
    </row>
    <row r="1572" ht="22.5" customHeight="1">
      <c r="A1572" s="30"/>
      <c r="B1572" s="31"/>
      <c r="C1572" s="32"/>
      <c r="D1572" s="33"/>
      <c r="E1572" s="34"/>
      <c r="F1572" s="34"/>
      <c r="G1572" s="35"/>
      <c r="H1572" s="34"/>
      <c r="I1572" s="37"/>
    </row>
    <row r="1573" ht="22.5" customHeight="1">
      <c r="A1573" s="30"/>
      <c r="B1573" s="31"/>
      <c r="C1573" s="32"/>
      <c r="D1573" s="33"/>
      <c r="E1573" s="34"/>
      <c r="F1573" s="34"/>
      <c r="G1573" s="35"/>
      <c r="H1573" s="34"/>
      <c r="I1573" s="37"/>
    </row>
    <row r="1574" ht="22.5" customHeight="1">
      <c r="A1574" s="30"/>
      <c r="B1574" s="31"/>
      <c r="C1574" s="32"/>
      <c r="D1574" s="33"/>
      <c r="E1574" s="34"/>
      <c r="F1574" s="34"/>
      <c r="G1574" s="35"/>
      <c r="H1574" s="34"/>
      <c r="I1574" s="37"/>
    </row>
    <row r="1575" ht="22.5" customHeight="1">
      <c r="A1575" s="30"/>
      <c r="B1575" s="31"/>
      <c r="C1575" s="32"/>
      <c r="D1575" s="33"/>
      <c r="E1575" s="34"/>
      <c r="F1575" s="34"/>
      <c r="G1575" s="35"/>
      <c r="H1575" s="34"/>
      <c r="I1575" s="37"/>
    </row>
    <row r="1576" ht="22.5" customHeight="1">
      <c r="A1576" s="30"/>
      <c r="B1576" s="40"/>
      <c r="C1576" s="32"/>
      <c r="D1576" s="33"/>
      <c r="E1576" s="34"/>
      <c r="F1576" s="34"/>
      <c r="G1576" s="35"/>
      <c r="H1576" s="34"/>
      <c r="I1576" s="37"/>
    </row>
    <row r="1577" ht="22.5" customHeight="1">
      <c r="A1577" s="30"/>
      <c r="B1577" s="31"/>
      <c r="C1577" s="32"/>
      <c r="D1577" s="33"/>
      <c r="E1577" s="34"/>
      <c r="F1577" s="34"/>
      <c r="G1577" s="35"/>
      <c r="H1577" s="34"/>
      <c r="I1577" s="37"/>
    </row>
    <row r="1578" ht="22.5" customHeight="1">
      <c r="A1578" s="30"/>
      <c r="B1578" s="31"/>
      <c r="C1578" s="32"/>
      <c r="D1578" s="33"/>
      <c r="E1578" s="34"/>
      <c r="F1578" s="34"/>
      <c r="G1578" s="35"/>
      <c r="H1578" s="34"/>
      <c r="I1578" s="37"/>
    </row>
    <row r="1579" ht="22.5" customHeight="1">
      <c r="A1579" s="30"/>
      <c r="B1579" s="31"/>
      <c r="C1579" s="32"/>
      <c r="D1579" s="33"/>
      <c r="E1579" s="34"/>
      <c r="F1579" s="34"/>
      <c r="G1579" s="35"/>
      <c r="H1579" s="34"/>
      <c r="I1579" s="37"/>
    </row>
    <row r="1580" ht="22.5" customHeight="1">
      <c r="A1580" s="30"/>
      <c r="B1580" s="40"/>
      <c r="C1580" s="32"/>
      <c r="D1580" s="33"/>
      <c r="E1580" s="34"/>
      <c r="F1580" s="34"/>
      <c r="G1580" s="35"/>
      <c r="H1580" s="34"/>
      <c r="I1580" s="37"/>
    </row>
    <row r="1581" ht="22.5" customHeight="1">
      <c r="A1581" s="30"/>
      <c r="B1581" s="31"/>
      <c r="C1581" s="32"/>
      <c r="D1581" s="33"/>
      <c r="E1581" s="34"/>
      <c r="F1581" s="34"/>
      <c r="G1581" s="35"/>
      <c r="H1581" s="34"/>
      <c r="I1581" s="37"/>
    </row>
    <row r="1582" ht="22.5" customHeight="1">
      <c r="A1582" s="30"/>
      <c r="B1582" s="31"/>
      <c r="C1582" s="32"/>
      <c r="D1582" s="33"/>
      <c r="E1582" s="34"/>
      <c r="F1582" s="34"/>
      <c r="G1582" s="35"/>
      <c r="H1582" s="34"/>
      <c r="I1582" s="37"/>
    </row>
    <row r="1583" ht="22.5" customHeight="1">
      <c r="A1583" s="30"/>
      <c r="B1583" s="31"/>
      <c r="C1583" s="32"/>
      <c r="D1583" s="33"/>
      <c r="E1583" s="34"/>
      <c r="F1583" s="34"/>
      <c r="G1583" s="35"/>
      <c r="H1583" s="34"/>
      <c r="I1583" s="37"/>
    </row>
    <row r="1584" ht="22.5" customHeight="1">
      <c r="A1584" s="30"/>
      <c r="B1584" s="31"/>
      <c r="C1584" s="32"/>
      <c r="D1584" s="33"/>
      <c r="E1584" s="34"/>
      <c r="F1584" s="34"/>
      <c r="G1584" s="35"/>
      <c r="H1584" s="34"/>
      <c r="I1584" s="37"/>
    </row>
    <row r="1585" ht="22.5" customHeight="1">
      <c r="A1585" s="30"/>
      <c r="B1585" s="31"/>
      <c r="C1585" s="32"/>
      <c r="D1585" s="33"/>
      <c r="E1585" s="34"/>
      <c r="F1585" s="34"/>
      <c r="G1585" s="35"/>
      <c r="H1585" s="34"/>
      <c r="I1585" s="37"/>
    </row>
    <row r="1586" ht="22.5" customHeight="1">
      <c r="A1586" s="30"/>
      <c r="B1586" s="31"/>
      <c r="C1586" s="32"/>
      <c r="D1586" s="33"/>
      <c r="E1586" s="34"/>
      <c r="F1586" s="34"/>
      <c r="G1586" s="35"/>
      <c r="H1586" s="34"/>
      <c r="I1586" s="37"/>
    </row>
    <row r="1587" ht="22.5" customHeight="1">
      <c r="A1587" s="30"/>
      <c r="B1587" s="31"/>
      <c r="C1587" s="32"/>
      <c r="D1587" s="33"/>
      <c r="E1587" s="34"/>
      <c r="F1587" s="34"/>
      <c r="G1587" s="35"/>
      <c r="H1587" s="34"/>
      <c r="I1587" s="37"/>
    </row>
    <row r="1588" ht="22.5" customHeight="1">
      <c r="A1588" s="30"/>
      <c r="B1588" s="31"/>
      <c r="C1588" s="32"/>
      <c r="D1588" s="33"/>
      <c r="E1588" s="34"/>
      <c r="F1588" s="34"/>
      <c r="G1588" s="35"/>
      <c r="H1588" s="34"/>
      <c r="I1588" s="37"/>
    </row>
    <row r="1589" ht="22.5" customHeight="1">
      <c r="A1589" s="30"/>
      <c r="B1589" s="31"/>
      <c r="C1589" s="32"/>
      <c r="D1589" s="33"/>
      <c r="E1589" s="34"/>
      <c r="F1589" s="34"/>
      <c r="G1589" s="35"/>
      <c r="H1589" s="34"/>
      <c r="I1589" s="37"/>
    </row>
    <row r="1590" ht="22.5" customHeight="1">
      <c r="A1590" s="30"/>
      <c r="B1590" s="31"/>
      <c r="C1590" s="32"/>
      <c r="D1590" s="33"/>
      <c r="E1590" s="34"/>
      <c r="F1590" s="34"/>
      <c r="G1590" s="35"/>
      <c r="H1590" s="34"/>
      <c r="I1590" s="37"/>
    </row>
    <row r="1591" ht="22.5" customHeight="1">
      <c r="A1591" s="30"/>
      <c r="B1591" s="31"/>
      <c r="C1591" s="32"/>
      <c r="D1591" s="33"/>
      <c r="E1591" s="34"/>
      <c r="F1591" s="34"/>
      <c r="G1591" s="35"/>
      <c r="H1591" s="34"/>
      <c r="I1591" s="37"/>
    </row>
    <row r="1592" ht="22.5" customHeight="1">
      <c r="A1592" s="30"/>
      <c r="B1592" s="31"/>
      <c r="C1592" s="32"/>
      <c r="D1592" s="33"/>
      <c r="E1592" s="34"/>
      <c r="F1592" s="34"/>
      <c r="G1592" s="35"/>
      <c r="H1592" s="34"/>
      <c r="I1592" s="37"/>
    </row>
    <row r="1593" ht="22.5" customHeight="1">
      <c r="A1593" s="30"/>
      <c r="B1593" s="31"/>
      <c r="C1593" s="32"/>
      <c r="D1593" s="33"/>
      <c r="E1593" s="34"/>
      <c r="F1593" s="34"/>
      <c r="G1593" s="35"/>
      <c r="H1593" s="34"/>
      <c r="I1593" s="37"/>
    </row>
    <row r="1594" ht="22.5" customHeight="1">
      <c r="A1594" s="30"/>
      <c r="B1594" s="31"/>
      <c r="C1594" s="32"/>
      <c r="D1594" s="33"/>
      <c r="E1594" s="34"/>
      <c r="F1594" s="34"/>
      <c r="G1594" s="35"/>
      <c r="H1594" s="34"/>
      <c r="I1594" s="37"/>
    </row>
    <row r="1595" ht="22.5" customHeight="1">
      <c r="A1595" s="30"/>
      <c r="B1595" s="40"/>
      <c r="C1595" s="32"/>
      <c r="D1595" s="33"/>
      <c r="E1595" s="34"/>
      <c r="F1595" s="34"/>
      <c r="G1595" s="35"/>
      <c r="H1595" s="34"/>
      <c r="I1595" s="37"/>
    </row>
    <row r="1596" ht="22.5" customHeight="1">
      <c r="A1596" s="30"/>
      <c r="B1596" s="31"/>
      <c r="C1596" s="32"/>
      <c r="D1596" s="33"/>
      <c r="E1596" s="34"/>
      <c r="F1596" s="34"/>
      <c r="G1596" s="35"/>
      <c r="H1596" s="34"/>
      <c r="I1596" s="37"/>
    </row>
    <row r="1597" ht="22.5" customHeight="1">
      <c r="A1597" s="30"/>
      <c r="B1597" s="40"/>
      <c r="C1597" s="32"/>
      <c r="D1597" s="33"/>
      <c r="E1597" s="34"/>
      <c r="F1597" s="34"/>
      <c r="G1597" s="35"/>
      <c r="H1597" s="34"/>
      <c r="I1597" s="37"/>
    </row>
    <row r="1598" ht="22.5" customHeight="1">
      <c r="A1598" s="30"/>
      <c r="B1598" s="31"/>
      <c r="C1598" s="32"/>
      <c r="D1598" s="33"/>
      <c r="E1598" s="34"/>
      <c r="F1598" s="34"/>
      <c r="G1598" s="35"/>
      <c r="H1598" s="34"/>
      <c r="I1598" s="37"/>
    </row>
    <row r="1599" ht="22.5" customHeight="1">
      <c r="A1599" s="30"/>
      <c r="B1599" s="31"/>
      <c r="C1599" s="32"/>
      <c r="D1599" s="33"/>
      <c r="E1599" s="34"/>
      <c r="F1599" s="34"/>
      <c r="G1599" s="35"/>
      <c r="H1599" s="34"/>
      <c r="I1599" s="37"/>
    </row>
    <row r="1600" ht="22.5" customHeight="1">
      <c r="A1600" s="30"/>
      <c r="B1600" s="31"/>
      <c r="C1600" s="32"/>
      <c r="D1600" s="33"/>
      <c r="E1600" s="34"/>
      <c r="F1600" s="34"/>
      <c r="G1600" s="35"/>
      <c r="H1600" s="34"/>
      <c r="I1600" s="37"/>
    </row>
    <row r="1601" ht="22.5" customHeight="1">
      <c r="A1601" s="30"/>
      <c r="B1601" s="31"/>
      <c r="C1601" s="32"/>
      <c r="D1601" s="33"/>
      <c r="E1601" s="34"/>
      <c r="F1601" s="34"/>
      <c r="G1601" s="35"/>
      <c r="H1601" s="34"/>
      <c r="I1601" s="37"/>
    </row>
    <row r="1602" ht="22.5" customHeight="1">
      <c r="A1602" s="30"/>
      <c r="B1602" s="40"/>
      <c r="C1602" s="32"/>
      <c r="D1602" s="33"/>
      <c r="E1602" s="34"/>
      <c r="F1602" s="34"/>
      <c r="G1602" s="35"/>
      <c r="H1602" s="34"/>
      <c r="I1602" s="37"/>
    </row>
    <row r="1603" ht="22.5" customHeight="1">
      <c r="A1603" s="30"/>
      <c r="B1603" s="31"/>
      <c r="C1603" s="32"/>
      <c r="D1603" s="33"/>
      <c r="E1603" s="34"/>
      <c r="F1603" s="34"/>
      <c r="G1603" s="35"/>
      <c r="H1603" s="34"/>
      <c r="I1603" s="37"/>
    </row>
    <row r="1604" ht="22.5" customHeight="1">
      <c r="A1604" s="30"/>
      <c r="B1604" s="31"/>
      <c r="C1604" s="32"/>
      <c r="D1604" s="33"/>
      <c r="E1604" s="34"/>
      <c r="F1604" s="34"/>
      <c r="G1604" s="35"/>
      <c r="H1604" s="34"/>
      <c r="I1604" s="37"/>
    </row>
    <row r="1605" ht="22.5" customHeight="1">
      <c r="A1605" s="30"/>
      <c r="B1605" s="31"/>
      <c r="C1605" s="32"/>
      <c r="D1605" s="33"/>
      <c r="E1605" s="34"/>
      <c r="F1605" s="34"/>
      <c r="G1605" s="35"/>
      <c r="H1605" s="34"/>
      <c r="I1605" s="37"/>
    </row>
    <row r="1606" ht="22.5" customHeight="1">
      <c r="A1606" s="30"/>
      <c r="B1606" s="31"/>
      <c r="C1606" s="32"/>
      <c r="D1606" s="33"/>
      <c r="E1606" s="34"/>
      <c r="F1606" s="34"/>
      <c r="G1606" s="35"/>
      <c r="H1606" s="34"/>
      <c r="I1606" s="37"/>
    </row>
    <row r="1607" ht="22.5" customHeight="1">
      <c r="A1607" s="30"/>
      <c r="B1607" s="31"/>
      <c r="C1607" s="32"/>
      <c r="D1607" s="33"/>
      <c r="E1607" s="34"/>
      <c r="F1607" s="34"/>
      <c r="G1607" s="35"/>
      <c r="H1607" s="34"/>
      <c r="I1607" s="37"/>
    </row>
    <row r="1608" ht="22.5" customHeight="1">
      <c r="A1608" s="30"/>
      <c r="B1608" s="31"/>
      <c r="C1608" s="32"/>
      <c r="D1608" s="33"/>
      <c r="E1608" s="34"/>
      <c r="F1608" s="34"/>
      <c r="G1608" s="35"/>
      <c r="H1608" s="34"/>
      <c r="I1608" s="37"/>
    </row>
    <row r="1609" ht="22.5" customHeight="1">
      <c r="A1609" s="30"/>
      <c r="B1609" s="31"/>
      <c r="C1609" s="32"/>
      <c r="D1609" s="33"/>
      <c r="E1609" s="34"/>
      <c r="F1609" s="34"/>
      <c r="G1609" s="35"/>
      <c r="H1609" s="34"/>
      <c r="I1609" s="37"/>
    </row>
    <row r="1610" ht="22.5" customHeight="1">
      <c r="A1610" s="30"/>
      <c r="B1610" s="31"/>
      <c r="C1610" s="32"/>
      <c r="D1610" s="33"/>
      <c r="E1610" s="34"/>
      <c r="F1610" s="34"/>
      <c r="G1610" s="35"/>
      <c r="H1610" s="34"/>
      <c r="I1610" s="37"/>
    </row>
    <row r="1611" ht="22.5" customHeight="1">
      <c r="A1611" s="30"/>
      <c r="B1611" s="31"/>
      <c r="C1611" s="32"/>
      <c r="D1611" s="33"/>
      <c r="E1611" s="34"/>
      <c r="F1611" s="34"/>
      <c r="G1611" s="35"/>
      <c r="H1611" s="34"/>
      <c r="I1611" s="37"/>
    </row>
    <row r="1612" ht="22.5" customHeight="1">
      <c r="A1612" s="30"/>
      <c r="B1612" s="31"/>
      <c r="C1612" s="32"/>
      <c r="D1612" s="33"/>
      <c r="E1612" s="34"/>
      <c r="F1612" s="34"/>
      <c r="G1612" s="35"/>
      <c r="H1612" s="34"/>
      <c r="I1612" s="37"/>
    </row>
    <row r="1613" ht="22.5" customHeight="1">
      <c r="A1613" s="30"/>
      <c r="B1613" s="31"/>
      <c r="C1613" s="32"/>
      <c r="D1613" s="33"/>
      <c r="E1613" s="34"/>
      <c r="F1613" s="34"/>
      <c r="G1613" s="35"/>
      <c r="H1613" s="34"/>
      <c r="I1613" s="37"/>
    </row>
    <row r="1614" ht="22.5" customHeight="1">
      <c r="A1614" s="30"/>
      <c r="B1614" s="31"/>
      <c r="C1614" s="32"/>
      <c r="D1614" s="33"/>
      <c r="E1614" s="34"/>
      <c r="F1614" s="34"/>
      <c r="G1614" s="35"/>
      <c r="H1614" s="34"/>
      <c r="I1614" s="37"/>
    </row>
    <row r="1615" ht="22.5" customHeight="1">
      <c r="A1615" s="30"/>
      <c r="B1615" s="31"/>
      <c r="C1615" s="32"/>
      <c r="D1615" s="33"/>
      <c r="E1615" s="34"/>
      <c r="F1615" s="34"/>
      <c r="G1615" s="35"/>
      <c r="H1615" s="34"/>
      <c r="I1615" s="37"/>
    </row>
    <row r="1616" ht="22.5" customHeight="1">
      <c r="A1616" s="30"/>
      <c r="B1616" s="31"/>
      <c r="C1616" s="32"/>
      <c r="D1616" s="33"/>
      <c r="E1616" s="34"/>
      <c r="F1616" s="34"/>
      <c r="G1616" s="35"/>
      <c r="H1616" s="34"/>
      <c r="I1616" s="37"/>
    </row>
    <row r="1617" ht="22.5" customHeight="1">
      <c r="A1617" s="30"/>
      <c r="B1617" s="31"/>
      <c r="C1617" s="32"/>
      <c r="D1617" s="33"/>
      <c r="E1617" s="34"/>
      <c r="F1617" s="34"/>
      <c r="G1617" s="35"/>
      <c r="H1617" s="34"/>
      <c r="I1617" s="37"/>
    </row>
    <row r="1618" ht="22.5" customHeight="1">
      <c r="A1618" s="30"/>
      <c r="B1618" s="31"/>
      <c r="C1618" s="32"/>
      <c r="D1618" s="33"/>
      <c r="E1618" s="34"/>
      <c r="F1618" s="34"/>
      <c r="G1618" s="35"/>
      <c r="H1618" s="34"/>
      <c r="I1618" s="37"/>
    </row>
    <row r="1619" ht="22.5" customHeight="1">
      <c r="A1619" s="30"/>
      <c r="B1619" s="31"/>
      <c r="C1619" s="32"/>
      <c r="D1619" s="33"/>
      <c r="E1619" s="34"/>
      <c r="F1619" s="34"/>
      <c r="G1619" s="35"/>
      <c r="H1619" s="34"/>
      <c r="I1619" s="37"/>
    </row>
    <row r="1620" ht="22.5" customHeight="1">
      <c r="A1620" s="30"/>
      <c r="B1620" s="31"/>
      <c r="C1620" s="32"/>
      <c r="D1620" s="33"/>
      <c r="E1620" s="34"/>
      <c r="F1620" s="34"/>
      <c r="G1620" s="35"/>
      <c r="H1620" s="34"/>
      <c r="I1620" s="37"/>
    </row>
    <row r="1621" ht="22.5" customHeight="1">
      <c r="A1621" s="30"/>
      <c r="B1621" s="31"/>
      <c r="C1621" s="32"/>
      <c r="D1621" s="33"/>
      <c r="E1621" s="34"/>
      <c r="F1621" s="34"/>
      <c r="G1621" s="35"/>
      <c r="H1621" s="34"/>
      <c r="I1621" s="37"/>
    </row>
    <row r="1622" ht="22.5" customHeight="1">
      <c r="A1622" s="30"/>
      <c r="B1622" s="31"/>
      <c r="C1622" s="32"/>
      <c r="D1622" s="33"/>
      <c r="E1622" s="34"/>
      <c r="F1622" s="34"/>
      <c r="G1622" s="35"/>
      <c r="H1622" s="34"/>
      <c r="I1622" s="37"/>
    </row>
    <row r="1623" ht="22.5" customHeight="1">
      <c r="A1623" s="30"/>
      <c r="B1623" s="31"/>
      <c r="C1623" s="32"/>
      <c r="D1623" s="33"/>
      <c r="E1623" s="34"/>
      <c r="F1623" s="34"/>
      <c r="G1623" s="35"/>
      <c r="H1623" s="34"/>
      <c r="I1623" s="37"/>
    </row>
    <row r="1624" ht="22.5" customHeight="1">
      <c r="A1624" s="30"/>
      <c r="B1624" s="31"/>
      <c r="C1624" s="30"/>
      <c r="D1624" s="33"/>
      <c r="E1624" s="34"/>
      <c r="F1624" s="34"/>
      <c r="G1624" s="36"/>
      <c r="H1624" s="34"/>
      <c r="I1624" s="37"/>
    </row>
    <row r="1625" ht="22.5" customHeight="1">
      <c r="A1625" s="30"/>
      <c r="B1625" s="31"/>
      <c r="C1625" s="30"/>
      <c r="D1625" s="33"/>
      <c r="E1625" s="34"/>
      <c r="F1625" s="34"/>
      <c r="G1625" s="36"/>
      <c r="H1625" s="34"/>
      <c r="I1625" s="37"/>
    </row>
    <row r="1626" ht="22.5" customHeight="1">
      <c r="A1626" s="30"/>
      <c r="B1626" s="31"/>
      <c r="C1626" s="30"/>
      <c r="D1626" s="33"/>
      <c r="E1626" s="34"/>
      <c r="F1626" s="34"/>
      <c r="G1626" s="36"/>
      <c r="H1626" s="34"/>
      <c r="I1626" s="37"/>
    </row>
    <row r="1627" ht="22.5" customHeight="1">
      <c r="A1627" s="30"/>
      <c r="B1627" s="31"/>
      <c r="C1627" s="30"/>
      <c r="D1627" s="33"/>
      <c r="E1627" s="34"/>
      <c r="F1627" s="34"/>
      <c r="G1627" s="36"/>
      <c r="H1627" s="34"/>
      <c r="I1627" s="37"/>
    </row>
    <row r="1628" ht="22.5" customHeight="1">
      <c r="A1628" s="30"/>
      <c r="B1628" s="31"/>
      <c r="C1628" s="30"/>
      <c r="D1628" s="33"/>
      <c r="E1628" s="34"/>
      <c r="F1628" s="34"/>
      <c r="G1628" s="36"/>
      <c r="H1628" s="34"/>
      <c r="I1628" s="37"/>
    </row>
    <row r="1629" ht="22.5" customHeight="1">
      <c r="A1629" s="30"/>
      <c r="B1629" s="31"/>
      <c r="C1629" s="30"/>
      <c r="D1629" s="33"/>
      <c r="E1629" s="34"/>
      <c r="F1629" s="34"/>
      <c r="G1629" s="36"/>
      <c r="H1629" s="34"/>
      <c r="I1629" s="37"/>
    </row>
    <row r="1630" ht="22.5" customHeight="1">
      <c r="A1630" s="30"/>
      <c r="B1630" s="31"/>
      <c r="C1630" s="30"/>
      <c r="D1630" s="33"/>
      <c r="E1630" s="34"/>
      <c r="F1630" s="34"/>
      <c r="G1630" s="36"/>
      <c r="H1630" s="34"/>
      <c r="I1630" s="37"/>
    </row>
    <row r="1631" ht="22.5" customHeight="1">
      <c r="A1631" s="30"/>
      <c r="B1631" s="31"/>
      <c r="C1631" s="30"/>
      <c r="D1631" s="33"/>
      <c r="E1631" s="34"/>
      <c r="F1631" s="34"/>
      <c r="G1631" s="36"/>
      <c r="H1631" s="34"/>
      <c r="I1631" s="37"/>
    </row>
    <row r="1632" ht="22.5" customHeight="1">
      <c r="A1632" s="30"/>
      <c r="B1632" s="31"/>
      <c r="C1632" s="30"/>
      <c r="D1632" s="33"/>
      <c r="E1632" s="34"/>
      <c r="F1632" s="34"/>
      <c r="G1632" s="36"/>
      <c r="H1632" s="34"/>
      <c r="I1632" s="37"/>
    </row>
    <row r="1633" ht="22.5" customHeight="1">
      <c r="A1633" s="30"/>
      <c r="B1633" s="31"/>
      <c r="C1633" s="30"/>
      <c r="D1633" s="33"/>
      <c r="E1633" s="34"/>
      <c r="F1633" s="34"/>
      <c r="G1633" s="36"/>
      <c r="H1633" s="34"/>
      <c r="I1633" s="37"/>
    </row>
    <row r="1634" ht="22.5" customHeight="1">
      <c r="A1634" s="30"/>
      <c r="B1634" s="31"/>
      <c r="C1634" s="30"/>
      <c r="D1634" s="33"/>
      <c r="E1634" s="34"/>
      <c r="F1634" s="34"/>
      <c r="G1634" s="36"/>
      <c r="H1634" s="34"/>
      <c r="I1634" s="37"/>
    </row>
    <row r="1635" ht="22.5" customHeight="1">
      <c r="A1635" s="30"/>
      <c r="B1635" s="31"/>
      <c r="C1635" s="30"/>
      <c r="D1635" s="33"/>
      <c r="E1635" s="34"/>
      <c r="F1635" s="34"/>
      <c r="G1635" s="36"/>
      <c r="H1635" s="34"/>
      <c r="I1635" s="37"/>
    </row>
    <row r="1636" ht="22.5" customHeight="1">
      <c r="A1636" s="30"/>
      <c r="B1636" s="31"/>
      <c r="C1636" s="30"/>
      <c r="D1636" s="33"/>
      <c r="E1636" s="34"/>
      <c r="F1636" s="34"/>
      <c r="G1636" s="36"/>
      <c r="H1636" s="34"/>
      <c r="I1636" s="37"/>
    </row>
    <row r="1637" ht="22.5" customHeight="1">
      <c r="A1637" s="30"/>
      <c r="B1637" s="31"/>
      <c r="C1637" s="30"/>
      <c r="D1637" s="33"/>
      <c r="E1637" s="34"/>
      <c r="F1637" s="34"/>
      <c r="G1637" s="36"/>
      <c r="H1637" s="34"/>
      <c r="I1637" s="37"/>
    </row>
    <row r="1638" ht="22.5" customHeight="1">
      <c r="A1638" s="30"/>
      <c r="B1638" s="31"/>
      <c r="C1638" s="30"/>
      <c r="D1638" s="33"/>
      <c r="E1638" s="34"/>
      <c r="F1638" s="34"/>
      <c r="G1638" s="36"/>
      <c r="H1638" s="34"/>
      <c r="I1638" s="37"/>
    </row>
    <row r="1639" ht="22.5" customHeight="1">
      <c r="A1639" s="30"/>
      <c r="B1639" s="31"/>
      <c r="C1639" s="30"/>
      <c r="D1639" s="33"/>
      <c r="E1639" s="34"/>
      <c r="F1639" s="34"/>
      <c r="G1639" s="36"/>
      <c r="H1639" s="34"/>
      <c r="I1639" s="37"/>
    </row>
    <row r="1640" ht="22.5" customHeight="1">
      <c r="A1640" s="30"/>
      <c r="B1640" s="31"/>
      <c r="C1640" s="30"/>
      <c r="D1640" s="33"/>
      <c r="E1640" s="34"/>
      <c r="F1640" s="34"/>
      <c r="G1640" s="36"/>
      <c r="H1640" s="34"/>
      <c r="I1640" s="37"/>
    </row>
    <row r="1641" ht="22.5" customHeight="1">
      <c r="A1641" s="30"/>
      <c r="B1641" s="31"/>
      <c r="C1641" s="30"/>
      <c r="D1641" s="33"/>
      <c r="E1641" s="34"/>
      <c r="F1641" s="34"/>
      <c r="G1641" s="36"/>
      <c r="H1641" s="34"/>
      <c r="I1641" s="37"/>
    </row>
    <row r="1642" ht="22.5" customHeight="1">
      <c r="A1642" s="30"/>
      <c r="B1642" s="31"/>
      <c r="C1642" s="30"/>
      <c r="D1642" s="33"/>
      <c r="E1642" s="34"/>
      <c r="F1642" s="34"/>
      <c r="G1642" s="36"/>
      <c r="H1642" s="34"/>
      <c r="I1642" s="37"/>
    </row>
    <row r="1643" ht="22.5" customHeight="1">
      <c r="A1643" s="30"/>
      <c r="B1643" s="31"/>
      <c r="C1643" s="30"/>
      <c r="D1643" s="33"/>
      <c r="E1643" s="34"/>
      <c r="F1643" s="34"/>
      <c r="G1643" s="36"/>
      <c r="H1643" s="34"/>
      <c r="I1643" s="37"/>
    </row>
    <row r="1644" ht="22.5" customHeight="1">
      <c r="A1644" s="30"/>
      <c r="B1644" s="31"/>
      <c r="C1644" s="30"/>
      <c r="D1644" s="33"/>
      <c r="E1644" s="34"/>
      <c r="F1644" s="34"/>
      <c r="G1644" s="36"/>
      <c r="H1644" s="34"/>
      <c r="I1644" s="37"/>
    </row>
    <row r="1645" ht="22.5" customHeight="1">
      <c r="A1645" s="30"/>
      <c r="B1645" s="31"/>
      <c r="C1645" s="30"/>
      <c r="D1645" s="33"/>
      <c r="E1645" s="34"/>
      <c r="F1645" s="34"/>
      <c r="G1645" s="36"/>
      <c r="H1645" s="34"/>
      <c r="I1645" s="37"/>
    </row>
    <row r="1646" ht="22.5" customHeight="1">
      <c r="A1646" s="30"/>
      <c r="B1646" s="31"/>
      <c r="C1646" s="30"/>
      <c r="D1646" s="33"/>
      <c r="E1646" s="34"/>
      <c r="F1646" s="34"/>
      <c r="G1646" s="36"/>
      <c r="H1646" s="34"/>
      <c r="I1646" s="37"/>
    </row>
    <row r="1647" ht="22.5" customHeight="1">
      <c r="A1647" s="30"/>
      <c r="B1647" s="31"/>
      <c r="C1647" s="30"/>
      <c r="D1647" s="33"/>
      <c r="E1647" s="34"/>
      <c r="F1647" s="34"/>
      <c r="G1647" s="36"/>
      <c r="H1647" s="34"/>
      <c r="I1647" s="37"/>
    </row>
    <row r="1648" ht="22.5" customHeight="1">
      <c r="A1648" s="30"/>
      <c r="B1648" s="31"/>
      <c r="C1648" s="30"/>
      <c r="D1648" s="33"/>
      <c r="E1648" s="34"/>
      <c r="F1648" s="34"/>
      <c r="G1648" s="36"/>
      <c r="H1648" s="34"/>
      <c r="I1648" s="37"/>
    </row>
    <row r="1649" ht="22.5" customHeight="1">
      <c r="A1649" s="30"/>
      <c r="B1649" s="31"/>
      <c r="C1649" s="30"/>
      <c r="D1649" s="33"/>
      <c r="E1649" s="34"/>
      <c r="F1649" s="34"/>
      <c r="G1649" s="36"/>
      <c r="H1649" s="34"/>
      <c r="I1649" s="37"/>
    </row>
    <row r="1650" ht="22.5" customHeight="1">
      <c r="A1650" s="30"/>
      <c r="B1650" s="31"/>
      <c r="C1650" s="30"/>
      <c r="D1650" s="33"/>
      <c r="E1650" s="34"/>
      <c r="F1650" s="34"/>
      <c r="G1650" s="36"/>
      <c r="H1650" s="34"/>
      <c r="I1650" s="37"/>
    </row>
    <row r="1651" ht="22.5" customHeight="1">
      <c r="A1651" s="30"/>
      <c r="B1651" s="31"/>
      <c r="C1651" s="30"/>
      <c r="D1651" s="33"/>
      <c r="E1651" s="34"/>
      <c r="F1651" s="34"/>
      <c r="G1651" s="36"/>
      <c r="H1651" s="34"/>
      <c r="I1651" s="37"/>
    </row>
    <row r="1652" ht="22.5" customHeight="1">
      <c r="A1652" s="30"/>
      <c r="B1652" s="31"/>
      <c r="C1652" s="30"/>
      <c r="D1652" s="33"/>
      <c r="E1652" s="34"/>
      <c r="F1652" s="34"/>
      <c r="G1652" s="36"/>
      <c r="H1652" s="34"/>
      <c r="I1652" s="37"/>
    </row>
    <row r="1653" ht="22.5" customHeight="1">
      <c r="A1653" s="30"/>
      <c r="B1653" s="31"/>
      <c r="C1653" s="30"/>
      <c r="D1653" s="33"/>
      <c r="E1653" s="34"/>
      <c r="F1653" s="34"/>
      <c r="G1653" s="36"/>
      <c r="H1653" s="34"/>
      <c r="I1653" s="37"/>
    </row>
    <row r="1654" ht="22.5" customHeight="1">
      <c r="A1654" s="30"/>
      <c r="B1654" s="31"/>
      <c r="C1654" s="30"/>
      <c r="D1654" s="33"/>
      <c r="E1654" s="34"/>
      <c r="F1654" s="34"/>
      <c r="G1654" s="36"/>
      <c r="H1654" s="34"/>
      <c r="I1654" s="37"/>
    </row>
    <row r="1655" ht="22.5" customHeight="1">
      <c r="A1655" s="30"/>
      <c r="B1655" s="31"/>
      <c r="C1655" s="30"/>
      <c r="D1655" s="33"/>
      <c r="E1655" s="34"/>
      <c r="F1655" s="34"/>
      <c r="G1655" s="36"/>
      <c r="H1655" s="34"/>
      <c r="I1655" s="37"/>
    </row>
    <row r="1656" ht="22.5" customHeight="1">
      <c r="A1656" s="30"/>
      <c r="B1656" s="31"/>
      <c r="C1656" s="30"/>
      <c r="D1656" s="33"/>
      <c r="E1656" s="34"/>
      <c r="F1656" s="34"/>
      <c r="G1656" s="36"/>
      <c r="H1656" s="34"/>
      <c r="I1656" s="37"/>
    </row>
    <row r="1657" ht="22.5" customHeight="1">
      <c r="A1657" s="30"/>
      <c r="B1657" s="31"/>
      <c r="C1657" s="30"/>
      <c r="D1657" s="33"/>
      <c r="E1657" s="34"/>
      <c r="F1657" s="34"/>
      <c r="G1657" s="36"/>
      <c r="H1657" s="34"/>
      <c r="I1657" s="37"/>
    </row>
    <row r="1658" ht="22.5" customHeight="1">
      <c r="A1658" s="30"/>
      <c r="B1658" s="31"/>
      <c r="C1658" s="30"/>
      <c r="D1658" s="33"/>
      <c r="E1658" s="34"/>
      <c r="F1658" s="34"/>
      <c r="G1658" s="36"/>
      <c r="H1658" s="34"/>
      <c r="I1658" s="37"/>
    </row>
    <row r="1659" ht="22.5" customHeight="1">
      <c r="A1659" s="30"/>
      <c r="B1659" s="31"/>
      <c r="C1659" s="30"/>
      <c r="D1659" s="33"/>
      <c r="E1659" s="34"/>
      <c r="F1659" s="34"/>
      <c r="G1659" s="36"/>
      <c r="H1659" s="34"/>
      <c r="I1659" s="37"/>
    </row>
    <row r="1660" ht="22.5" customHeight="1">
      <c r="A1660" s="30"/>
      <c r="B1660" s="31"/>
      <c r="C1660" s="30"/>
      <c r="D1660" s="33"/>
      <c r="E1660" s="34"/>
      <c r="F1660" s="34"/>
      <c r="G1660" s="36"/>
      <c r="H1660" s="34"/>
      <c r="I1660" s="37"/>
    </row>
    <row r="1661" ht="22.5" customHeight="1">
      <c r="A1661" s="30"/>
      <c r="B1661" s="31"/>
      <c r="C1661" s="30"/>
      <c r="D1661" s="33"/>
      <c r="E1661" s="34"/>
      <c r="F1661" s="34"/>
      <c r="G1661" s="36"/>
      <c r="H1661" s="34"/>
      <c r="I1661" s="37"/>
    </row>
    <row r="1662" ht="22.5" customHeight="1">
      <c r="A1662" s="30"/>
      <c r="B1662" s="31"/>
      <c r="C1662" s="30"/>
      <c r="D1662" s="33"/>
      <c r="E1662" s="34"/>
      <c r="F1662" s="34"/>
      <c r="G1662" s="36"/>
      <c r="H1662" s="34"/>
      <c r="I1662" s="37"/>
    </row>
    <row r="1663" ht="22.5" customHeight="1">
      <c r="A1663" s="30"/>
      <c r="B1663" s="31"/>
      <c r="C1663" s="30"/>
      <c r="D1663" s="33"/>
      <c r="E1663" s="34"/>
      <c r="F1663" s="34"/>
      <c r="G1663" s="36"/>
      <c r="H1663" s="34"/>
      <c r="I1663" s="37"/>
    </row>
    <row r="1664" ht="22.5" customHeight="1">
      <c r="A1664" s="30"/>
      <c r="B1664" s="31"/>
      <c r="C1664" s="30"/>
      <c r="D1664" s="33"/>
      <c r="E1664" s="34"/>
      <c r="F1664" s="34"/>
      <c r="G1664" s="36"/>
      <c r="H1664" s="34"/>
      <c r="I1664" s="37"/>
    </row>
    <row r="1665" ht="22.5" customHeight="1">
      <c r="A1665" s="30"/>
      <c r="B1665" s="31"/>
      <c r="C1665" s="30"/>
      <c r="D1665" s="33"/>
      <c r="E1665" s="34"/>
      <c r="F1665" s="34"/>
      <c r="G1665" s="36"/>
      <c r="H1665" s="34"/>
      <c r="I1665" s="37"/>
    </row>
    <row r="1666" ht="22.5" customHeight="1">
      <c r="A1666" s="30"/>
      <c r="B1666" s="31"/>
      <c r="C1666" s="30"/>
      <c r="D1666" s="33"/>
      <c r="E1666" s="34"/>
      <c r="F1666" s="34"/>
      <c r="G1666" s="36"/>
      <c r="H1666" s="34"/>
      <c r="I1666" s="37"/>
    </row>
    <row r="1667" ht="22.5" customHeight="1">
      <c r="A1667" s="30"/>
      <c r="B1667" s="31"/>
      <c r="C1667" s="30"/>
      <c r="D1667" s="33"/>
      <c r="E1667" s="34"/>
      <c r="F1667" s="34"/>
      <c r="G1667" s="36"/>
      <c r="H1667" s="34"/>
      <c r="I1667" s="37"/>
    </row>
    <row r="1668" ht="22.5" customHeight="1">
      <c r="A1668" s="30"/>
      <c r="B1668" s="31"/>
      <c r="C1668" s="30"/>
      <c r="D1668" s="33"/>
      <c r="E1668" s="34"/>
      <c r="F1668" s="34"/>
      <c r="G1668" s="36"/>
      <c r="H1668" s="34"/>
      <c r="I1668" s="37"/>
    </row>
    <row r="1669" ht="22.5" customHeight="1">
      <c r="A1669" s="30"/>
      <c r="B1669" s="31"/>
      <c r="C1669" s="30"/>
      <c r="D1669" s="33"/>
      <c r="E1669" s="34"/>
      <c r="F1669" s="34"/>
      <c r="G1669" s="36"/>
      <c r="H1669" s="34"/>
      <c r="I1669" s="37"/>
    </row>
    <row r="1670" ht="22.5" customHeight="1">
      <c r="A1670" s="30"/>
      <c r="B1670" s="31"/>
      <c r="C1670" s="30"/>
      <c r="D1670" s="33"/>
      <c r="E1670" s="34"/>
      <c r="F1670" s="34"/>
      <c r="G1670" s="36"/>
      <c r="H1670" s="34"/>
      <c r="I1670" s="37"/>
    </row>
    <row r="1671" ht="22.5" customHeight="1">
      <c r="A1671" s="30"/>
      <c r="B1671" s="31"/>
      <c r="C1671" s="30"/>
      <c r="D1671" s="33"/>
      <c r="E1671" s="34"/>
      <c r="F1671" s="34"/>
      <c r="G1671" s="36"/>
      <c r="H1671" s="34"/>
      <c r="I1671" s="37"/>
    </row>
    <row r="1672" ht="22.5" customHeight="1">
      <c r="A1672" s="30"/>
      <c r="B1672" s="31"/>
      <c r="C1672" s="30"/>
      <c r="D1672" s="33"/>
      <c r="E1672" s="34"/>
      <c r="F1672" s="34"/>
      <c r="G1672" s="36"/>
      <c r="H1672" s="34"/>
      <c r="I1672" s="37"/>
    </row>
    <row r="1673" ht="22.5" customHeight="1">
      <c r="A1673" s="30"/>
      <c r="B1673" s="31"/>
      <c r="C1673" s="30"/>
      <c r="D1673" s="33"/>
      <c r="E1673" s="34"/>
      <c r="F1673" s="34"/>
      <c r="G1673" s="36"/>
      <c r="H1673" s="34"/>
      <c r="I1673" s="37"/>
    </row>
    <row r="1674" ht="22.5" customHeight="1">
      <c r="A1674" s="30"/>
      <c r="B1674" s="31"/>
      <c r="C1674" s="30"/>
      <c r="D1674" s="33"/>
      <c r="E1674" s="34"/>
      <c r="F1674" s="34"/>
      <c r="G1674" s="36"/>
      <c r="H1674" s="34"/>
      <c r="I1674" s="37"/>
    </row>
    <row r="1675" ht="22.5" customHeight="1">
      <c r="A1675" s="30"/>
      <c r="B1675" s="31"/>
      <c r="C1675" s="30"/>
      <c r="D1675" s="33"/>
      <c r="E1675" s="34"/>
      <c r="F1675" s="34"/>
      <c r="G1675" s="36"/>
      <c r="H1675" s="34"/>
      <c r="I1675" s="37"/>
    </row>
    <row r="1676" ht="22.5" customHeight="1">
      <c r="A1676" s="30"/>
      <c r="B1676" s="31"/>
      <c r="C1676" s="30"/>
      <c r="D1676" s="33"/>
      <c r="E1676" s="34"/>
      <c r="F1676" s="34"/>
      <c r="G1676" s="36"/>
      <c r="H1676" s="34"/>
      <c r="I1676" s="37"/>
    </row>
    <row r="1677" ht="22.5" customHeight="1">
      <c r="A1677" s="30"/>
      <c r="B1677" s="31"/>
      <c r="C1677" s="30"/>
      <c r="D1677" s="33"/>
      <c r="E1677" s="34"/>
      <c r="F1677" s="34"/>
      <c r="G1677" s="36"/>
      <c r="H1677" s="34"/>
      <c r="I1677" s="37"/>
    </row>
    <row r="1678" ht="22.5" customHeight="1">
      <c r="A1678" s="30"/>
      <c r="B1678" s="31"/>
      <c r="C1678" s="30"/>
      <c r="D1678" s="33"/>
      <c r="E1678" s="34"/>
      <c r="F1678" s="34"/>
      <c r="G1678" s="36"/>
      <c r="H1678" s="34"/>
      <c r="I1678" s="37"/>
    </row>
    <row r="1679" ht="22.5" customHeight="1">
      <c r="A1679" s="30"/>
      <c r="B1679" s="31"/>
      <c r="C1679" s="30"/>
      <c r="D1679" s="33"/>
      <c r="E1679" s="34"/>
      <c r="F1679" s="34"/>
      <c r="G1679" s="36"/>
      <c r="H1679" s="34"/>
      <c r="I1679" s="37"/>
    </row>
    <row r="1680" ht="22.5" customHeight="1">
      <c r="A1680" s="30"/>
      <c r="B1680" s="31"/>
      <c r="C1680" s="30"/>
      <c r="D1680" s="33"/>
      <c r="E1680" s="34"/>
      <c r="F1680" s="34"/>
      <c r="G1680" s="36"/>
      <c r="H1680" s="34"/>
      <c r="I1680" s="37"/>
    </row>
    <row r="1681" ht="22.5" customHeight="1">
      <c r="A1681" s="30"/>
      <c r="B1681" s="31"/>
      <c r="C1681" s="30"/>
      <c r="D1681" s="33"/>
      <c r="E1681" s="34"/>
      <c r="F1681" s="34"/>
      <c r="G1681" s="36"/>
      <c r="H1681" s="34"/>
      <c r="I1681" s="37"/>
    </row>
    <row r="1682" ht="22.5" customHeight="1">
      <c r="A1682" s="30"/>
      <c r="B1682" s="31"/>
      <c r="C1682" s="30"/>
      <c r="D1682" s="33"/>
      <c r="E1682" s="34"/>
      <c r="F1682" s="34"/>
      <c r="G1682" s="36"/>
      <c r="H1682" s="34"/>
      <c r="I1682" s="37"/>
    </row>
    <row r="1683" ht="22.5" customHeight="1">
      <c r="A1683" s="30"/>
      <c r="B1683" s="31"/>
      <c r="C1683" s="30"/>
      <c r="D1683" s="33"/>
      <c r="E1683" s="34"/>
      <c r="F1683" s="34"/>
      <c r="G1683" s="36"/>
      <c r="H1683" s="34"/>
      <c r="I1683" s="37"/>
    </row>
    <row r="1684" ht="22.5" customHeight="1">
      <c r="A1684" s="30"/>
      <c r="B1684" s="31"/>
      <c r="C1684" s="30"/>
      <c r="D1684" s="33"/>
      <c r="E1684" s="34"/>
      <c r="F1684" s="34"/>
      <c r="G1684" s="36"/>
      <c r="H1684" s="34"/>
      <c r="I1684" s="37"/>
    </row>
    <row r="1685" ht="22.5" customHeight="1">
      <c r="A1685" s="30"/>
      <c r="B1685" s="31"/>
      <c r="C1685" s="30"/>
      <c r="D1685" s="33"/>
      <c r="E1685" s="34"/>
      <c r="F1685" s="34"/>
      <c r="G1685" s="36"/>
      <c r="H1685" s="34"/>
      <c r="I1685" s="37"/>
    </row>
    <row r="1686" ht="22.5" customHeight="1">
      <c r="A1686" s="30"/>
      <c r="B1686" s="31"/>
      <c r="C1686" s="30"/>
      <c r="D1686" s="33"/>
      <c r="E1686" s="34"/>
      <c r="F1686" s="34"/>
      <c r="G1686" s="36"/>
      <c r="H1686" s="34"/>
      <c r="I1686" s="37"/>
    </row>
    <row r="1687" ht="22.5" customHeight="1">
      <c r="A1687" s="30"/>
      <c r="B1687" s="31"/>
      <c r="C1687" s="30"/>
      <c r="D1687" s="33"/>
      <c r="E1687" s="34"/>
      <c r="F1687" s="34"/>
      <c r="G1687" s="36"/>
      <c r="H1687" s="34"/>
      <c r="I1687" s="37"/>
    </row>
    <row r="1688" ht="22.5" customHeight="1">
      <c r="A1688" s="30"/>
      <c r="B1688" s="31"/>
      <c r="C1688" s="30"/>
      <c r="D1688" s="33"/>
      <c r="E1688" s="34"/>
      <c r="F1688" s="34"/>
      <c r="G1688" s="36"/>
      <c r="H1688" s="34"/>
      <c r="I1688" s="37"/>
    </row>
    <row r="1689" ht="22.5" customHeight="1">
      <c r="A1689" s="30"/>
      <c r="B1689" s="31"/>
      <c r="C1689" s="30"/>
      <c r="D1689" s="33"/>
      <c r="E1689" s="34"/>
      <c r="F1689" s="34"/>
      <c r="G1689" s="36"/>
      <c r="H1689" s="34"/>
      <c r="I1689" s="37"/>
    </row>
    <row r="1690" ht="22.5" customHeight="1">
      <c r="A1690" s="30"/>
      <c r="B1690" s="31"/>
      <c r="C1690" s="30"/>
      <c r="D1690" s="33"/>
      <c r="E1690" s="34"/>
      <c r="F1690" s="34"/>
      <c r="G1690" s="36"/>
      <c r="H1690" s="34"/>
      <c r="I1690" s="37"/>
    </row>
    <row r="1691" ht="22.5" customHeight="1">
      <c r="A1691" s="30"/>
      <c r="B1691" s="31"/>
      <c r="C1691" s="30"/>
      <c r="D1691" s="33"/>
      <c r="E1691" s="34"/>
      <c r="F1691" s="34"/>
      <c r="G1691" s="36"/>
      <c r="H1691" s="34"/>
      <c r="I1691" s="37"/>
    </row>
    <row r="1692" ht="22.5" customHeight="1">
      <c r="A1692" s="30"/>
      <c r="B1692" s="31"/>
      <c r="C1692" s="30"/>
      <c r="D1692" s="33"/>
      <c r="E1692" s="34"/>
      <c r="F1692" s="34"/>
      <c r="G1692" s="36"/>
      <c r="H1692" s="34"/>
      <c r="I1692" s="37"/>
    </row>
    <row r="1693" ht="22.5" customHeight="1">
      <c r="A1693" s="30"/>
      <c r="B1693" s="31"/>
      <c r="C1693" s="30"/>
      <c r="D1693" s="33"/>
      <c r="E1693" s="34"/>
      <c r="F1693" s="34"/>
      <c r="G1693" s="36"/>
      <c r="H1693" s="34"/>
      <c r="I1693" s="37"/>
    </row>
    <row r="1694" ht="22.5" customHeight="1">
      <c r="A1694" s="30"/>
      <c r="B1694" s="31"/>
      <c r="C1694" s="30"/>
      <c r="D1694" s="33"/>
      <c r="E1694" s="34"/>
      <c r="F1694" s="34"/>
      <c r="G1694" s="36"/>
      <c r="H1694" s="34"/>
      <c r="I1694" s="37"/>
    </row>
    <row r="1695" ht="22.5" customHeight="1">
      <c r="A1695" s="30"/>
      <c r="B1695" s="31"/>
      <c r="C1695" s="30"/>
      <c r="D1695" s="33"/>
      <c r="E1695" s="34"/>
      <c r="F1695" s="34"/>
      <c r="G1695" s="36"/>
      <c r="H1695" s="34"/>
      <c r="I1695" s="37"/>
    </row>
    <row r="1696" ht="22.5" customHeight="1">
      <c r="A1696" s="30"/>
      <c r="B1696" s="31"/>
      <c r="C1696" s="30"/>
      <c r="D1696" s="33"/>
      <c r="E1696" s="34"/>
      <c r="F1696" s="34"/>
      <c r="G1696" s="36"/>
      <c r="H1696" s="34"/>
      <c r="I1696" s="37"/>
    </row>
    <row r="1697" ht="22.5" customHeight="1">
      <c r="A1697" s="30"/>
      <c r="B1697" s="31"/>
      <c r="C1697" s="30"/>
      <c r="D1697" s="33"/>
      <c r="E1697" s="34"/>
      <c r="F1697" s="34"/>
      <c r="G1697" s="36"/>
      <c r="H1697" s="34"/>
      <c r="I1697" s="37"/>
    </row>
    <row r="1698" ht="22.5" customHeight="1">
      <c r="A1698" s="30"/>
      <c r="B1698" s="31"/>
      <c r="C1698" s="30"/>
      <c r="D1698" s="33"/>
      <c r="E1698" s="34"/>
      <c r="F1698" s="34"/>
      <c r="G1698" s="36"/>
      <c r="H1698" s="34"/>
      <c r="I1698" s="37"/>
    </row>
    <row r="1699" ht="22.5" customHeight="1">
      <c r="A1699" s="30"/>
      <c r="B1699" s="31"/>
      <c r="C1699" s="30"/>
      <c r="D1699" s="33"/>
      <c r="E1699" s="34"/>
      <c r="F1699" s="34"/>
      <c r="G1699" s="36"/>
      <c r="H1699" s="34"/>
      <c r="I1699" s="37"/>
    </row>
    <row r="1700" ht="22.5" customHeight="1">
      <c r="A1700" s="30"/>
      <c r="B1700" s="31"/>
      <c r="C1700" s="30"/>
      <c r="D1700" s="33"/>
      <c r="E1700" s="34"/>
      <c r="F1700" s="34"/>
      <c r="G1700" s="36"/>
      <c r="H1700" s="34"/>
      <c r="I1700" s="37"/>
    </row>
    <row r="1701" ht="22.5" customHeight="1">
      <c r="A1701" s="30"/>
      <c r="B1701" s="31"/>
      <c r="C1701" s="30"/>
      <c r="D1701" s="33"/>
      <c r="E1701" s="34"/>
      <c r="F1701" s="34"/>
      <c r="G1701" s="36"/>
      <c r="H1701" s="34"/>
      <c r="I1701" s="37"/>
    </row>
    <row r="1702" ht="22.5" customHeight="1">
      <c r="A1702" s="41"/>
      <c r="B1702" s="42"/>
      <c r="C1702" s="41"/>
      <c r="D1702" s="43"/>
      <c r="E1702" s="44"/>
      <c r="F1702" s="44"/>
      <c r="G1702" s="45"/>
      <c r="H1702" s="44"/>
      <c r="I1702" s="46"/>
    </row>
    <row r="1703" ht="22.5" customHeight="1">
      <c r="A1703" s="14"/>
      <c r="B1703" s="60"/>
      <c r="C1703" s="14"/>
      <c r="D1703" s="17"/>
      <c r="E1703" s="18"/>
      <c r="F1703" s="18"/>
      <c r="G1703" s="20"/>
      <c r="H1703" s="18"/>
      <c r="I1703" s="21"/>
    </row>
  </sheetData>
  <conditionalFormatting sqref="A5:I1702">
    <cfRule type="expression" dxfId="23" priority="1">
      <formula>$F5="BOLSA DE OXIGÊNIO"</formula>
    </cfRule>
  </conditionalFormatting>
  <conditionalFormatting sqref="A5:I1702">
    <cfRule type="expression" dxfId="6" priority="2">
      <formula>$F5="BOLSA SALV. ALTURA (MERET)"</formula>
    </cfRule>
  </conditionalFormatting>
  <conditionalFormatting sqref="A5:I1702">
    <cfRule type="expression" dxfId="7" priority="3">
      <formula>$F5="BOX 01"</formula>
    </cfRule>
  </conditionalFormatting>
  <conditionalFormatting sqref="A5:I1702">
    <cfRule type="expression" dxfId="8" priority="4">
      <formula>$F5="BOX 02"</formula>
    </cfRule>
  </conditionalFormatting>
  <conditionalFormatting sqref="A5:I1702">
    <cfRule type="expression" dxfId="9" priority="5">
      <formula>$F5="BOX 03"</formula>
    </cfRule>
  </conditionalFormatting>
  <conditionalFormatting sqref="A5:I1702">
    <cfRule type="expression" dxfId="10" priority="6">
      <formula>$F5="BOX 04"</formula>
    </cfRule>
  </conditionalFormatting>
  <conditionalFormatting sqref="A5:I1702">
    <cfRule type="expression" dxfId="11" priority="7">
      <formula>$F5="BOX 05"</formula>
    </cfRule>
  </conditionalFormatting>
  <conditionalFormatting sqref="A5:I1702">
    <cfRule type="expression" dxfId="12" priority="8">
      <formula>$F5="BOX CENTRAL"</formula>
    </cfRule>
  </conditionalFormatting>
  <conditionalFormatting sqref="A5:I1702">
    <cfRule type="expression" dxfId="13" priority="9">
      <formula>$F5="BOX SUPERIOR 01"</formula>
    </cfRule>
  </conditionalFormatting>
  <conditionalFormatting sqref="A5:I1702">
    <cfRule type="expression" dxfId="14" priority="10">
      <formula>$F5="CABINE"</formula>
    </cfRule>
  </conditionalFormatting>
  <conditionalFormatting sqref="A5:I1702">
    <cfRule type="expression" dxfId="15" priority="11">
      <formula>$F5="CARROCERIA"</formula>
    </cfRule>
  </conditionalFormatting>
  <conditionalFormatting sqref="A5:I1702">
    <cfRule type="expression" dxfId="16" priority="12">
      <formula>$F5="CAIXA DE FERRAMENTA"</formula>
    </cfRule>
  </conditionalFormatting>
  <conditionalFormatting sqref="A5:I1702">
    <cfRule type="expression" dxfId="17" priority="13">
      <formula>$F5="BOLSA DE SALV. ALTURA"</formula>
    </cfRule>
  </conditionalFormatting>
  <conditionalFormatting sqref="A5:I1702">
    <cfRule type="expression" dxfId="18" priority="14">
      <formula>$F5="BOLSA DE SALV ALTURA VERMELHA LACRADA"</formula>
    </cfRule>
  </conditionalFormatting>
  <conditionalFormatting sqref="A5:I1702">
    <cfRule type="expression" dxfId="19" priority="15">
      <formula>$F5="BOLSA DE SALV ALTURA CINZA LACRADA"</formula>
    </cfRule>
  </conditionalFormatting>
  <conditionalFormatting sqref="A5:I1702">
    <cfRule type="expression" dxfId="20" priority="16">
      <formula>$F5="BOX 06"</formula>
    </cfRule>
  </conditionalFormatting>
  <conditionalFormatting sqref="A5:I1702">
    <cfRule type="expression" dxfId="21" priority="17">
      <formula>$F5="BOX 07"</formula>
    </cfRule>
  </conditionalFormatting>
  <conditionalFormatting sqref="A5:I1702">
    <cfRule type="expression" dxfId="22" priority="18">
      <formula>$F5="BOX 08"</formula>
    </cfRule>
  </conditionalFormatting>
  <conditionalFormatting sqref="A5:I1624">
    <cfRule type="expression" dxfId="24" priority="19">
      <formula>$F5="BOX TRASEIRO"</formula>
    </cfRule>
  </conditionalFormatting>
  <conditionalFormatting sqref="A5:I1624">
    <cfRule type="expression" dxfId="26" priority="20">
      <formula>$F5="CASE DRONE"</formula>
    </cfRule>
  </conditionalFormatting>
  <conditionalFormatting sqref="A5:I1624">
    <cfRule type="expression" dxfId="27" priority="21">
      <formula>$F5="CPD"</formula>
    </cfRule>
  </conditionalFormatting>
  <conditionalFormatting sqref="A5:I1624">
    <cfRule type="expression" dxfId="28" priority="22">
      <formula>$F5="RÁDIO OPERADOR"</formula>
    </cfRule>
  </conditionalFormatting>
  <conditionalFormatting sqref="A5:I1624">
    <cfRule type="expression" dxfId="29" priority="23">
      <formula>$F5="SALA DE REDS"</formula>
    </cfRule>
  </conditionalFormatting>
  <dataValidations>
    <dataValidation type="list" allowBlank="1" sqref="B2">
      <formula1>'Cadastro Automático VTRSEÇÃOMIL'!$C$1:$C1703</formula1>
    </dataValidation>
    <dataValidation allowBlank="1" showDropDown="1" sqref="B5:B1703"/>
    <dataValidation type="list" allowBlank="1" sqref="B1">
      <formula1>'Cadastro Automático VTRSEÇÃOMIL'!$B$1:$B1703</formula1>
    </dataValidation>
  </dataValidations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1"/>
  <tableParts count="2">
    <tablePart r:id="rId4"/>
    <tablePart r:id="rId5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20.38"/>
    <col customWidth="1" min="2" max="2" width="50.13"/>
    <col customWidth="1" min="3" max="3" width="9.5"/>
    <col customWidth="1" min="4" max="4" width="14.0"/>
    <col customWidth="1" min="5" max="5" width="17.75"/>
    <col customWidth="1" min="6" max="6" width="30.5"/>
    <col customWidth="1" min="7" max="7" width="14.25"/>
    <col customWidth="1" min="8" max="8" width="31.25"/>
    <col customWidth="1" min="9" max="9" width="60.0"/>
  </cols>
  <sheetData>
    <row r="1" ht="21.0" customHeight="1">
      <c r="A1" s="1" t="s">
        <v>0</v>
      </c>
      <c r="B1" s="2" t="s">
        <v>25</v>
      </c>
      <c r="C1" s="3"/>
      <c r="D1" s="3"/>
      <c r="E1" s="3"/>
      <c r="F1" s="3"/>
      <c r="G1" s="4"/>
      <c r="H1" s="49"/>
      <c r="I1" s="5"/>
    </row>
    <row r="2" ht="17.25" customHeight="1">
      <c r="A2" s="1" t="s">
        <v>2</v>
      </c>
      <c r="B2" s="2"/>
      <c r="C2" s="3"/>
      <c r="D2" s="3"/>
      <c r="E2" s="3"/>
      <c r="F2" s="3"/>
      <c r="G2" s="4"/>
      <c r="H2" s="49"/>
      <c r="I2" s="5"/>
    </row>
    <row r="3" ht="30.0" customHeight="1">
      <c r="A3" s="3"/>
      <c r="B3" s="3"/>
      <c r="C3" s="3"/>
      <c r="D3" s="3"/>
      <c r="E3" s="3"/>
      <c r="F3" s="3"/>
      <c r="G3" s="4"/>
      <c r="H3" s="49"/>
      <c r="I3" s="8"/>
    </row>
    <row r="4" ht="37.5" customHeight="1">
      <c r="A4" s="9" t="s">
        <v>14</v>
      </c>
      <c r="B4" s="10" t="s">
        <v>4</v>
      </c>
      <c r="C4" s="11" t="s">
        <v>5</v>
      </c>
      <c r="D4" s="12" t="s">
        <v>6</v>
      </c>
      <c r="E4" s="12" t="s">
        <v>0</v>
      </c>
      <c r="F4" s="12" t="s">
        <v>7</v>
      </c>
      <c r="G4" s="11" t="s">
        <v>8</v>
      </c>
      <c r="H4" s="50" t="s">
        <v>9</v>
      </c>
      <c r="I4" s="59" t="s">
        <v>15</v>
      </c>
    </row>
    <row r="5" ht="22.5" customHeight="1">
      <c r="A5" s="22"/>
      <c r="B5" s="23"/>
      <c r="C5" s="24"/>
      <c r="D5" s="25"/>
      <c r="E5" s="26"/>
      <c r="F5" s="26"/>
      <c r="G5" s="27"/>
      <c r="H5" s="26"/>
      <c r="I5" s="29"/>
    </row>
    <row r="6" ht="25.5" customHeight="1">
      <c r="A6" s="30">
        <f>IFERROR(__xludf.DUMMYFUNCTION("IF(B2&lt;&gt;"""",FILTER('Planilhas compilada ordem alfab'!A2:I1702,'Planilhas compilada ordem alfab'!E2:E1702=B1,'Planilhas compilada ordem alfab'!F2:F1702=B2),FILTER('Planilhas compilada ordem alfab'!A2:I1702,'Planilhas compilada ordem alfab'!E2:E1702=B1))"),39.0)</f>
        <v>39</v>
      </c>
      <c r="B6" s="31" t="str">
        <f>IFERROR(__xludf.DUMMYFUNCTION("""COMPUTED_VALUE"""),"ARQUIVO PARA ESCRITORIO -(II)")</f>
        <v>ARQUIVO PARA ESCRITORIO -(II)</v>
      </c>
      <c r="C6" s="32">
        <f>IFERROR(__xludf.DUMMYFUNCTION("""COMPUTED_VALUE"""),1.0)</f>
        <v>1</v>
      </c>
      <c r="D6" s="33" t="str">
        <f>IFERROR(__xludf.DUMMYFUNCTION("""COMPUTED_VALUE"""),"SEÇÃO")</f>
        <v>SEÇÃO</v>
      </c>
      <c r="E6" s="34" t="str">
        <f>IFERROR(__xludf.DUMMYFUNCTION("""COMPUTED_VALUE"""),"3 - SETOR DE MEIOS")</f>
        <v>3 - SETOR DE MEIOS</v>
      </c>
      <c r="F6" s="34" t="str">
        <f>IFERROR(__xludf.DUMMYFUNCTION("""COMPUTED_VALUE"""),"MATERIAL DE MERGULHO")</f>
        <v>MATERIAL DE MERGULHO</v>
      </c>
      <c r="G6" s="35">
        <f>IFERROR(__xludf.DUMMYFUNCTION("""COMPUTED_VALUE"""),1.2190241E7)</f>
        <v>12190241</v>
      </c>
      <c r="H6" s="34"/>
      <c r="I6" s="37" t="str">
        <f>IFERROR(__xludf.DUMMYFUNCTION("""COMPUTED_VALUE"""),"seção de mergulho ")</f>
        <v>seção de mergulho </v>
      </c>
    </row>
    <row r="7" ht="22.5" customHeight="1">
      <c r="A7" s="30">
        <f>IFERROR(__xludf.DUMMYFUNCTION("""COMPUTED_VALUE"""),452.0)</f>
        <v>452</v>
      </c>
      <c r="B7" s="31" t="str">
        <f>IFERROR(__xludf.DUMMYFUNCTION("""COMPUTED_VALUE"""),"BASTAO ISOLADO")</f>
        <v>BASTAO ISOLADO</v>
      </c>
      <c r="C7" s="32">
        <f>IFERROR(__xludf.DUMMYFUNCTION("""COMPUTED_VALUE"""),1.0)</f>
        <v>1</v>
      </c>
      <c r="D7" s="33" t="str">
        <f>IFERROR(__xludf.DUMMYFUNCTION("""COMPUTED_VALUE"""),"SEÇÃO")</f>
        <v>SEÇÃO</v>
      </c>
      <c r="E7" s="34" t="str">
        <f>IFERROR(__xludf.DUMMYFUNCTION("""COMPUTED_VALUE"""),"3 - SETOR DE MEIOS")</f>
        <v>3 - SETOR DE MEIOS</v>
      </c>
      <c r="F7" s="34" t="str">
        <f>IFERROR(__xludf.DUMMYFUNCTION("""COMPUTED_VALUE"""),"MATERIAL DE MERGULHO")</f>
        <v>MATERIAL DE MERGULHO</v>
      </c>
      <c r="G7" s="35">
        <f>IFERROR(__xludf.DUMMYFUNCTION("""COMPUTED_VALUE"""),45623.0)</f>
        <v>45623</v>
      </c>
      <c r="H7" s="34"/>
      <c r="I7" s="37" t="str">
        <f>IFERROR(__xludf.DUMMYFUNCTION("""COMPUTED_VALUE"""),"COM TRÊS PEÇAS")</f>
        <v>COM TRÊS PEÇAS</v>
      </c>
    </row>
    <row r="8" ht="22.5" customHeight="1">
      <c r="A8" s="30">
        <f>IFERROR(__xludf.DUMMYFUNCTION("""COMPUTED_VALUE"""),453.0)</f>
        <v>453</v>
      </c>
      <c r="B8" s="31" t="str">
        <f>IFERROR(__xludf.DUMMYFUNCTION("""COMPUTED_VALUE"""),"BOIA PARA MERGULHO")</f>
        <v>BOIA PARA MERGULHO</v>
      </c>
      <c r="C8" s="32">
        <f>IFERROR(__xludf.DUMMYFUNCTION("""COMPUTED_VALUE"""),1.0)</f>
        <v>1</v>
      </c>
      <c r="D8" s="33" t="str">
        <f>IFERROR(__xludf.DUMMYFUNCTION("""COMPUTED_VALUE"""),"SEÇÃO")</f>
        <v>SEÇÃO</v>
      </c>
      <c r="E8" s="34" t="str">
        <f>IFERROR(__xludf.DUMMYFUNCTION("""COMPUTED_VALUE"""),"3 - SETOR DE MEIOS")</f>
        <v>3 - SETOR DE MEIOS</v>
      </c>
      <c r="F8" s="34" t="str">
        <f>IFERROR(__xludf.DUMMYFUNCTION("""COMPUTED_VALUE"""),"MATERIAL DE MERGULHO")</f>
        <v>MATERIAL DE MERGULHO</v>
      </c>
      <c r="G8" s="35">
        <f>IFERROR(__xludf.DUMMYFUNCTION("""COMPUTED_VALUE"""),45786.0)</f>
        <v>45786</v>
      </c>
      <c r="H8" s="34"/>
      <c r="I8" s="38"/>
    </row>
    <row r="9" ht="22.5" customHeight="1">
      <c r="A9" s="30">
        <f>IFERROR(__xludf.DUMMYFUNCTION("""COMPUTED_VALUE"""),454.0)</f>
        <v>454</v>
      </c>
      <c r="B9" s="39" t="str">
        <f>IFERROR(__xludf.DUMMYFUNCTION("""COMPUTED_VALUE"""),"BOIA SALVA VIDAS CIRCULAR")</f>
        <v>BOIA SALVA VIDAS CIRCULAR</v>
      </c>
      <c r="C9" s="32">
        <f>IFERROR(__xludf.DUMMYFUNCTION("""COMPUTED_VALUE"""),1.0)</f>
        <v>1</v>
      </c>
      <c r="D9" s="33" t="str">
        <f>IFERROR(__xludf.DUMMYFUNCTION("""COMPUTED_VALUE"""),"SEÇÃO")</f>
        <v>SEÇÃO</v>
      </c>
      <c r="E9" s="34" t="str">
        <f>IFERROR(__xludf.DUMMYFUNCTION("""COMPUTED_VALUE"""),"3 - SETOR DE MEIOS")</f>
        <v>3 - SETOR DE MEIOS</v>
      </c>
      <c r="F9" s="34" t="str">
        <f>IFERROR(__xludf.DUMMYFUNCTION("""COMPUTED_VALUE"""),"MATERIAL DE MERGULHO")</f>
        <v>MATERIAL DE MERGULHO</v>
      </c>
      <c r="G9" s="35">
        <f>IFERROR(__xludf.DUMMYFUNCTION("""COMPUTED_VALUE"""),45623.0)</f>
        <v>45623</v>
      </c>
      <c r="H9" s="34"/>
      <c r="I9" s="37"/>
    </row>
    <row r="10" ht="22.5" customHeight="1">
      <c r="A10" s="30">
        <f>IFERROR(__xludf.DUMMYFUNCTION("""COMPUTED_VALUE"""),456.0)</f>
        <v>456</v>
      </c>
      <c r="B10" s="31" t="str">
        <f>IFERROR(__xludf.DUMMYFUNCTION("""COMPUTED_VALUE"""),"BOLSA DE RESGATE")</f>
        <v>BOLSA DE RESGATE</v>
      </c>
      <c r="C10" s="32">
        <f>IFERROR(__xludf.DUMMYFUNCTION("""COMPUTED_VALUE"""),1.0)</f>
        <v>1</v>
      </c>
      <c r="D10" s="33" t="str">
        <f>IFERROR(__xludf.DUMMYFUNCTION("""COMPUTED_VALUE"""),"SEÇÃO")</f>
        <v>SEÇÃO</v>
      </c>
      <c r="E10" s="34" t="str">
        <f>IFERROR(__xludf.DUMMYFUNCTION("""COMPUTED_VALUE"""),"3 - SETOR DE MEIOS")</f>
        <v>3 - SETOR DE MEIOS</v>
      </c>
      <c r="F10" s="34" t="str">
        <f>IFERROR(__xludf.DUMMYFUNCTION("""COMPUTED_VALUE"""),"MATERIAL DE MERGULHO")</f>
        <v>MATERIAL DE MERGULHO</v>
      </c>
      <c r="G10" s="35">
        <f>IFERROR(__xludf.DUMMYFUNCTION("""COMPUTED_VALUE"""),45623.0)</f>
        <v>45623</v>
      </c>
      <c r="H10" s="34"/>
      <c r="I10" s="37" t="str">
        <f>IFERROR(__xludf.DUMMYFUNCTION("""COMPUTED_VALUE"""),"COM MATERIAIS DIVERSOS;")</f>
        <v>COM MATERIAIS DIVERSOS;</v>
      </c>
    </row>
    <row r="11" ht="22.5" customHeight="1">
      <c r="A11" s="30">
        <f>IFERROR(__xludf.DUMMYFUNCTION("""COMPUTED_VALUE"""),457.0)</f>
        <v>457</v>
      </c>
      <c r="B11" s="31" t="str">
        <f>IFERROR(__xludf.DUMMYFUNCTION("""COMPUTED_VALUE"""),"BOLSA VERDE")</f>
        <v>BOLSA VERDE</v>
      </c>
      <c r="C11" s="32">
        <f>IFERROR(__xludf.DUMMYFUNCTION("""COMPUTED_VALUE"""),1.0)</f>
        <v>1</v>
      </c>
      <c r="D11" s="33" t="str">
        <f>IFERROR(__xludf.DUMMYFUNCTION("""COMPUTED_VALUE"""),"SEÇÃO")</f>
        <v>SEÇÃO</v>
      </c>
      <c r="E11" s="34" t="str">
        <f>IFERROR(__xludf.DUMMYFUNCTION("""COMPUTED_VALUE"""),"3 - SETOR DE MEIOS")</f>
        <v>3 - SETOR DE MEIOS</v>
      </c>
      <c r="F11" s="34" t="str">
        <f>IFERROR(__xludf.DUMMYFUNCTION("""COMPUTED_VALUE"""),"MATERIAL DE MERGULHO")</f>
        <v>MATERIAL DE MERGULHO</v>
      </c>
      <c r="G11" s="35"/>
      <c r="H11" s="34"/>
      <c r="I11" s="37"/>
    </row>
    <row r="12" ht="22.5" customHeight="1">
      <c r="A12" s="30">
        <f>IFERROR(__xludf.DUMMYFUNCTION("""COMPUTED_VALUE"""),483.0)</f>
        <v>483</v>
      </c>
      <c r="B12" s="31" t="str">
        <f>IFERROR(__xludf.DUMMYFUNCTION("""COMPUTED_VALUE"""),"BOTE SALVA-VIDAS, PNEUMATICO -")</f>
        <v>BOTE SALVA-VIDAS, PNEUMATICO -</v>
      </c>
      <c r="C12" s="32">
        <f>IFERROR(__xludf.DUMMYFUNCTION("""COMPUTED_VALUE"""),1.0)</f>
        <v>1</v>
      </c>
      <c r="D12" s="33" t="str">
        <f>IFERROR(__xludf.DUMMYFUNCTION("""COMPUTED_VALUE"""),"SEÇÃO")</f>
        <v>SEÇÃO</v>
      </c>
      <c r="E12" s="34" t="str">
        <f>IFERROR(__xludf.DUMMYFUNCTION("""COMPUTED_VALUE"""),"3 - SETOR DE MEIOS")</f>
        <v>3 - SETOR DE MEIOS</v>
      </c>
      <c r="F12" s="34" t="str">
        <f>IFERROR(__xludf.DUMMYFUNCTION("""COMPUTED_VALUE"""),"MATERIAL DE MERGULHO")</f>
        <v>MATERIAL DE MERGULHO</v>
      </c>
      <c r="G12" s="35">
        <f>IFERROR(__xludf.DUMMYFUNCTION("""COMPUTED_VALUE"""),7.6837548E7)</f>
        <v>76837548</v>
      </c>
      <c r="H12" s="34"/>
      <c r="I12" s="37" t="str">
        <f>IFERROR(__xludf.DUMMYFUNCTION("""COMPUTED_VALUE"""),"Bote REMAR ")</f>
        <v>Bote REMAR </v>
      </c>
    </row>
    <row r="13" ht="22.5" customHeight="1">
      <c r="A13" s="30">
        <f>IFERROR(__xludf.DUMMYFUNCTION("""COMPUTED_VALUE"""),458.0)</f>
        <v>458</v>
      </c>
      <c r="B13" s="39" t="str">
        <f>IFERROR(__xludf.DUMMYFUNCTION("""COMPUTED_VALUE"""),"CABO SOLTEIRO")</f>
        <v>CABO SOLTEIRO</v>
      </c>
      <c r="C13" s="32">
        <f>IFERROR(__xludf.DUMMYFUNCTION("""COMPUTED_VALUE"""),8.0)</f>
        <v>8</v>
      </c>
      <c r="D13" s="33" t="str">
        <f>IFERROR(__xludf.DUMMYFUNCTION("""COMPUTED_VALUE"""),"SEÇÃO")</f>
        <v>SEÇÃO</v>
      </c>
      <c r="E13" s="34" t="str">
        <f>IFERROR(__xludf.DUMMYFUNCTION("""COMPUTED_VALUE"""),"3 - SETOR DE MEIOS")</f>
        <v>3 - SETOR DE MEIOS</v>
      </c>
      <c r="F13" s="34" t="str">
        <f>IFERROR(__xludf.DUMMYFUNCTION("""COMPUTED_VALUE"""),"MATERIAL DE MERGULHO")</f>
        <v>MATERIAL DE MERGULHO</v>
      </c>
      <c r="G13" s="35">
        <f>IFERROR(__xludf.DUMMYFUNCTION("""COMPUTED_VALUE"""),45623.0)</f>
        <v>45623</v>
      </c>
      <c r="H13" s="34"/>
      <c r="I13" s="37" t="str">
        <f>IFERROR(__xludf.DUMMYFUNCTION("""COMPUTED_VALUE""")," DOIS ENCONTRAM-SE AMARRANDO O BOTE *(BOLSA VERDE)")</f>
        <v> DOIS ENCONTRAM-SE AMARRANDO O BOTE *(BOLSA VERDE)</v>
      </c>
    </row>
    <row r="14" ht="22.5" customHeight="1">
      <c r="A14" s="30">
        <f>IFERROR(__xludf.DUMMYFUNCTION("""COMPUTED_VALUE"""),459.0)</f>
        <v>459</v>
      </c>
      <c r="B14" s="31" t="str">
        <f>IFERROR(__xludf.DUMMYFUNCTION("""COMPUTED_VALUE"""),"CARRETILHA ")</f>
        <v>CARRETILHA </v>
      </c>
      <c r="C14" s="32">
        <f>IFERROR(__xludf.DUMMYFUNCTION("""COMPUTED_VALUE"""),2.0)</f>
        <v>2</v>
      </c>
      <c r="D14" s="33" t="str">
        <f>IFERROR(__xludf.DUMMYFUNCTION("""COMPUTED_VALUE"""),"SEÇÃO")</f>
        <v>SEÇÃO</v>
      </c>
      <c r="E14" s="34" t="str">
        <f>IFERROR(__xludf.DUMMYFUNCTION("""COMPUTED_VALUE"""),"3 - SETOR DE MEIOS")</f>
        <v>3 - SETOR DE MEIOS</v>
      </c>
      <c r="F14" s="34" t="str">
        <f>IFERROR(__xludf.DUMMYFUNCTION("""COMPUTED_VALUE"""),"MATERIAL DE MERGULHO")</f>
        <v>MATERIAL DE MERGULHO</v>
      </c>
      <c r="G14" s="35">
        <f>IFERROR(__xludf.DUMMYFUNCTION("""COMPUTED_VALUE"""),45786.0)</f>
        <v>45786</v>
      </c>
      <c r="H14" s="34"/>
      <c r="I14" s="37"/>
    </row>
    <row r="15" ht="22.5" customHeight="1">
      <c r="A15" s="30">
        <f>IFERROR(__xludf.DUMMYFUNCTION("""COMPUTED_VALUE"""),460.0)</f>
        <v>460</v>
      </c>
      <c r="B15" s="39" t="str">
        <f>IFERROR(__xludf.DUMMYFUNCTION("""COMPUTED_VALUE"""),"CARRINHO SUPORTE PARA MOTOR DE POPA")</f>
        <v>CARRINHO SUPORTE PARA MOTOR DE POPA</v>
      </c>
      <c r="C15" s="32">
        <f>IFERROR(__xludf.DUMMYFUNCTION("""COMPUTED_VALUE"""),1.0)</f>
        <v>1</v>
      </c>
      <c r="D15" s="33" t="str">
        <f>IFERROR(__xludf.DUMMYFUNCTION("""COMPUTED_VALUE"""),"SEÇÃO")</f>
        <v>SEÇÃO</v>
      </c>
      <c r="E15" s="34" t="str">
        <f>IFERROR(__xludf.DUMMYFUNCTION("""COMPUTED_VALUE"""),"3 - SETOR DE MEIOS")</f>
        <v>3 - SETOR DE MEIOS</v>
      </c>
      <c r="F15" s="34" t="str">
        <f>IFERROR(__xludf.DUMMYFUNCTION("""COMPUTED_VALUE"""),"MATERIAL DE MERGULHO")</f>
        <v>MATERIAL DE MERGULHO</v>
      </c>
      <c r="G15" s="35"/>
      <c r="H15" s="34"/>
      <c r="I15" s="37"/>
    </row>
    <row r="16" ht="22.5" customHeight="1">
      <c r="A16" s="30">
        <f>IFERROR(__xludf.DUMMYFUNCTION("""COMPUTED_VALUE"""),461.0)</f>
        <v>461</v>
      </c>
      <c r="B16" s="31" t="str">
        <f>IFERROR(__xludf.DUMMYFUNCTION("""COMPUTED_VALUE"""),"CATRACA 05 TON")</f>
        <v>CATRACA 05 TON</v>
      </c>
      <c r="C16" s="32">
        <f>IFERROR(__xludf.DUMMYFUNCTION("""COMPUTED_VALUE"""),1.0)</f>
        <v>1</v>
      </c>
      <c r="D16" s="33" t="str">
        <f>IFERROR(__xludf.DUMMYFUNCTION("""COMPUTED_VALUE"""),"SEÇÃO")</f>
        <v>SEÇÃO</v>
      </c>
      <c r="E16" s="34" t="str">
        <f>IFERROR(__xludf.DUMMYFUNCTION("""COMPUTED_VALUE"""),"3 - SETOR DE MEIOS")</f>
        <v>3 - SETOR DE MEIOS</v>
      </c>
      <c r="F16" s="34" t="str">
        <f>IFERROR(__xludf.DUMMYFUNCTION("""COMPUTED_VALUE"""),"MATERIAL DE MERGULHO")</f>
        <v>MATERIAL DE MERGULHO</v>
      </c>
      <c r="G16" s="35">
        <f>IFERROR(__xludf.DUMMYFUNCTION("""COMPUTED_VALUE"""),45729.0)</f>
        <v>45729</v>
      </c>
      <c r="H16" s="34"/>
      <c r="I16" s="37"/>
    </row>
    <row r="17" ht="22.5" customHeight="1">
      <c r="A17" s="30">
        <f>IFERROR(__xludf.DUMMYFUNCTION("""COMPUTED_VALUE"""),462.0)</f>
        <v>462</v>
      </c>
      <c r="B17" s="31" t="str">
        <f>IFERROR(__xludf.DUMMYFUNCTION("""COMPUTED_VALUE"""),"CATRACA 1,5 TON")</f>
        <v>CATRACA 1,5 TON</v>
      </c>
      <c r="C17" s="32">
        <f>IFERROR(__xludf.DUMMYFUNCTION("""COMPUTED_VALUE"""),1.0)</f>
        <v>1</v>
      </c>
      <c r="D17" s="33" t="str">
        <f>IFERROR(__xludf.DUMMYFUNCTION("""COMPUTED_VALUE"""),"SEÇÃO")</f>
        <v>SEÇÃO</v>
      </c>
      <c r="E17" s="34" t="str">
        <f>IFERROR(__xludf.DUMMYFUNCTION("""COMPUTED_VALUE"""),"3 - SETOR DE MEIOS")</f>
        <v>3 - SETOR DE MEIOS</v>
      </c>
      <c r="F17" s="34" t="str">
        <f>IFERROR(__xludf.DUMMYFUNCTION("""COMPUTED_VALUE"""),"MATERIAL DE MERGULHO")</f>
        <v>MATERIAL DE MERGULHO</v>
      </c>
      <c r="G17" s="35">
        <f>IFERROR(__xludf.DUMMYFUNCTION("""COMPUTED_VALUE"""),45729.0)</f>
        <v>45729</v>
      </c>
      <c r="H17" s="34"/>
      <c r="I17" s="37"/>
    </row>
    <row r="18" ht="22.5" customHeight="1">
      <c r="A18" s="30">
        <f>IFERROR(__xludf.DUMMYFUNCTION("""COMPUTED_VALUE"""),463.0)</f>
        <v>463</v>
      </c>
      <c r="B18" s="31" t="str">
        <f>IFERROR(__xludf.DUMMYFUNCTION("""COMPUTED_VALUE"""),"CAVALETE PARA SUPORTE DO MOTOR DE POPA")</f>
        <v>CAVALETE PARA SUPORTE DO MOTOR DE POPA</v>
      </c>
      <c r="C18" s="32">
        <f>IFERROR(__xludf.DUMMYFUNCTION("""COMPUTED_VALUE"""),1.0)</f>
        <v>1</v>
      </c>
      <c r="D18" s="33" t="str">
        <f>IFERROR(__xludf.DUMMYFUNCTION("""COMPUTED_VALUE"""),"SEÇÃO")</f>
        <v>SEÇÃO</v>
      </c>
      <c r="E18" s="34" t="str">
        <f>IFERROR(__xludf.DUMMYFUNCTION("""COMPUTED_VALUE"""),"3 - SETOR DE MEIOS")</f>
        <v>3 - SETOR DE MEIOS</v>
      </c>
      <c r="F18" s="34" t="str">
        <f>IFERROR(__xludf.DUMMYFUNCTION("""COMPUTED_VALUE"""),"MATERIAL DE MERGULHO")</f>
        <v>MATERIAL DE MERGULHO</v>
      </c>
      <c r="G18" s="35"/>
      <c r="H18" s="34"/>
      <c r="I18" s="37"/>
    </row>
    <row r="19" ht="22.5" customHeight="1">
      <c r="A19" s="30">
        <f>IFERROR(__xludf.DUMMYFUNCTION("""COMPUTED_VALUE"""),464.0)</f>
        <v>464</v>
      </c>
      <c r="B19" s="31" t="str">
        <f>IFERROR(__xludf.DUMMYFUNCTION("""COMPUTED_VALUE"""),"CHAVE DE BOCA/ESTRIA")</f>
        <v>CHAVE DE BOCA/ESTRIA</v>
      </c>
      <c r="C19" s="32">
        <f>IFERROR(__xludf.DUMMYFUNCTION("""COMPUTED_VALUE"""),2.0)</f>
        <v>2</v>
      </c>
      <c r="D19" s="33" t="str">
        <f>IFERROR(__xludf.DUMMYFUNCTION("""COMPUTED_VALUE"""),"SEÇÃO")</f>
        <v>SEÇÃO</v>
      </c>
      <c r="E19" s="34" t="str">
        <f>IFERROR(__xludf.DUMMYFUNCTION("""COMPUTED_VALUE"""),"3 - SETOR DE MEIOS")</f>
        <v>3 - SETOR DE MEIOS</v>
      </c>
      <c r="F19" s="34" t="str">
        <f>IFERROR(__xludf.DUMMYFUNCTION("""COMPUTED_VALUE"""),"MATERIAL DE MERGULHO")</f>
        <v>MATERIAL DE MERGULHO</v>
      </c>
      <c r="G19" s="35">
        <f>IFERROR(__xludf.DUMMYFUNCTION("""COMPUTED_VALUE"""),45623.0)</f>
        <v>45623</v>
      </c>
      <c r="H19" s="34"/>
      <c r="I19" s="37" t="str">
        <f>IFERROR(__xludf.DUMMYFUNCTION("""COMPUTED_VALUE"""),"TAMANHO 11/8 (TRANCANDO A JANELA)")</f>
        <v>TAMANHO 11/8 (TRANCANDO A JANELA)</v>
      </c>
    </row>
    <row r="20" ht="22.5" customHeight="1">
      <c r="A20" s="30">
        <f>IFERROR(__xludf.DUMMYFUNCTION("""COMPUTED_VALUE"""),465.0)</f>
        <v>465</v>
      </c>
      <c r="B20" s="31" t="str">
        <f>IFERROR(__xludf.DUMMYFUNCTION("""COMPUTED_VALUE"""),"CILINDRO INUTILIZADO C/ BANDEIRA DA 5ª CIA IND BM")</f>
        <v>CILINDRO INUTILIZADO C/ BANDEIRA DA 5ª CIA IND BM</v>
      </c>
      <c r="C20" s="32">
        <f>IFERROR(__xludf.DUMMYFUNCTION("""COMPUTED_VALUE"""),1.0)</f>
        <v>1</v>
      </c>
      <c r="D20" s="33" t="str">
        <f>IFERROR(__xludf.DUMMYFUNCTION("""COMPUTED_VALUE"""),"SEÇÃO")</f>
        <v>SEÇÃO</v>
      </c>
      <c r="E20" s="34" t="str">
        <f>IFERROR(__xludf.DUMMYFUNCTION("""COMPUTED_VALUE"""),"3 - SETOR DE MEIOS")</f>
        <v>3 - SETOR DE MEIOS</v>
      </c>
      <c r="F20" s="34" t="str">
        <f>IFERROR(__xludf.DUMMYFUNCTION("""COMPUTED_VALUE"""),"MATERIAL DE MERGULHO")</f>
        <v>MATERIAL DE MERGULHO</v>
      </c>
      <c r="G20" s="35">
        <f>IFERROR(__xludf.DUMMYFUNCTION("""COMPUTED_VALUE"""),45623.0)</f>
        <v>45623</v>
      </c>
      <c r="H20" s="34"/>
      <c r="I20" s="37"/>
    </row>
    <row r="21" ht="22.5" customHeight="1">
      <c r="A21" s="30">
        <f>IFERROR(__xludf.DUMMYFUNCTION("""COMPUTED_VALUE"""),466.0)</f>
        <v>466</v>
      </c>
      <c r="B21" s="31" t="str">
        <f>IFERROR(__xludf.DUMMYFUNCTION("""COMPUTED_VALUE"""),"CINTO DE LASTRO")</f>
        <v>CINTO DE LASTRO</v>
      </c>
      <c r="C21" s="32">
        <f>IFERROR(__xludf.DUMMYFUNCTION("""COMPUTED_VALUE"""),7.0)</f>
        <v>7</v>
      </c>
      <c r="D21" s="33" t="str">
        <f>IFERROR(__xludf.DUMMYFUNCTION("""COMPUTED_VALUE"""),"SEÇÃO")</f>
        <v>SEÇÃO</v>
      </c>
      <c r="E21" s="34" t="str">
        <f>IFERROR(__xludf.DUMMYFUNCTION("""COMPUTED_VALUE"""),"3 - SETOR DE MEIOS")</f>
        <v>3 - SETOR DE MEIOS</v>
      </c>
      <c r="F21" s="34" t="str">
        <f>IFERROR(__xludf.DUMMYFUNCTION("""COMPUTED_VALUE"""),"MATERIAL DE MERGULHO")</f>
        <v>MATERIAL DE MERGULHO</v>
      </c>
      <c r="G21" s="35">
        <f>IFERROR(__xludf.DUMMYFUNCTION("""COMPUTED_VALUE"""),45623.0)</f>
        <v>45623</v>
      </c>
      <c r="H21" s="34"/>
      <c r="I21" s="37"/>
    </row>
    <row r="22" ht="22.5" customHeight="1">
      <c r="A22" s="30">
        <f>IFERROR(__xludf.DUMMYFUNCTION("""COMPUTED_VALUE"""),467.0)</f>
        <v>467</v>
      </c>
      <c r="B22" s="31" t="str">
        <f>IFERROR(__xludf.DUMMYFUNCTION("""COMPUTED_VALUE"""),"COLETE EQUILIBRADOR PARA MERGULHO")</f>
        <v>COLETE EQUILIBRADOR PARA MERGULHO</v>
      </c>
      <c r="C22" s="32">
        <f>IFERROR(__xludf.DUMMYFUNCTION("""COMPUTED_VALUE"""),3.0)</f>
        <v>3</v>
      </c>
      <c r="D22" s="33" t="str">
        <f>IFERROR(__xludf.DUMMYFUNCTION("""COMPUTED_VALUE"""),"SEÇÃO")</f>
        <v>SEÇÃO</v>
      </c>
      <c r="E22" s="34" t="str">
        <f>IFERROR(__xludf.DUMMYFUNCTION("""COMPUTED_VALUE"""),"3 - SETOR DE MEIOS")</f>
        <v>3 - SETOR DE MEIOS</v>
      </c>
      <c r="F22" s="34" t="str">
        <f>IFERROR(__xludf.DUMMYFUNCTION("""COMPUTED_VALUE"""),"MATERIAL DE MERGULHO")</f>
        <v>MATERIAL DE MERGULHO</v>
      </c>
      <c r="G22" s="35"/>
      <c r="H22" s="34"/>
      <c r="I22" s="37" t="str">
        <f>IFERROR(__xludf.DUMMYFUNCTION("""COMPUTED_VALUE"""),"TIPO JACKET")</f>
        <v>TIPO JACKET</v>
      </c>
    </row>
    <row r="23" ht="22.5" customHeight="1">
      <c r="A23" s="30">
        <f>IFERROR(__xludf.DUMMYFUNCTION("""COMPUTED_VALUE"""),468.0)</f>
        <v>468</v>
      </c>
      <c r="B23" s="31" t="str">
        <f>IFERROR(__xludf.DUMMYFUNCTION("""COMPUTED_VALUE"""),"COLETE RESGATE AQUATICO -")</f>
        <v>COLETE RESGATE AQUATICO -</v>
      </c>
      <c r="C23" s="32">
        <f>IFERROR(__xludf.DUMMYFUNCTION("""COMPUTED_VALUE"""),3.0)</f>
        <v>3</v>
      </c>
      <c r="D23" s="33" t="str">
        <f>IFERROR(__xludf.DUMMYFUNCTION("""COMPUTED_VALUE"""),"SEÇÃO")</f>
        <v>SEÇÃO</v>
      </c>
      <c r="E23" s="34" t="str">
        <f>IFERROR(__xludf.DUMMYFUNCTION("""COMPUTED_VALUE"""),"3 - SETOR DE MEIOS")</f>
        <v>3 - SETOR DE MEIOS</v>
      </c>
      <c r="F23" s="34" t="str">
        <f>IFERROR(__xludf.DUMMYFUNCTION("""COMPUTED_VALUE"""),"MATERIAL DE MERGULHO")</f>
        <v>MATERIAL DE MERGULHO</v>
      </c>
      <c r="G23" s="35">
        <f>IFERROR(__xludf.DUMMYFUNCTION("""COMPUTED_VALUE"""),45623.0)</f>
        <v>45623</v>
      </c>
      <c r="H23" s="34"/>
      <c r="I23" s="37" t="str">
        <f>IFERROR(__xludf.DUMMYFUNCTION("""COMPUTED_VALUE"""),"ISCA-VIVA")</f>
        <v>ISCA-VIVA</v>
      </c>
    </row>
    <row r="24" ht="22.5" customHeight="1">
      <c r="A24" s="30">
        <f>IFERROR(__xludf.DUMMYFUNCTION("""COMPUTED_VALUE"""),503.0)</f>
        <v>503</v>
      </c>
      <c r="B24" s="31" t="str">
        <f>IFERROR(__xludf.DUMMYFUNCTION("""COMPUTED_VALUE"""),"CONJUNTO DE APARELHO DE MERGULHO -")</f>
        <v>CONJUNTO DE APARELHO DE MERGULHO -</v>
      </c>
      <c r="C24" s="32">
        <f>IFERROR(__xludf.DUMMYFUNCTION("""COMPUTED_VALUE"""),1.0)</f>
        <v>1</v>
      </c>
      <c r="D24" s="33" t="str">
        <f>IFERROR(__xludf.DUMMYFUNCTION("""COMPUTED_VALUE"""),"SEÇÃO")</f>
        <v>SEÇÃO</v>
      </c>
      <c r="E24" s="34" t="str">
        <f>IFERROR(__xludf.DUMMYFUNCTION("""COMPUTED_VALUE"""),"3 - SETOR DE MEIOS")</f>
        <v>3 - SETOR DE MEIOS</v>
      </c>
      <c r="F24" s="34" t="str">
        <f>IFERROR(__xludf.DUMMYFUNCTION("""COMPUTED_VALUE"""),"MATERIAL DE MERGULHO")</f>
        <v>MATERIAL DE MERGULHO</v>
      </c>
      <c r="G24" s="35">
        <f>IFERROR(__xludf.DUMMYFUNCTION("""COMPUTED_VALUE"""),1.3766473E7)</f>
        <v>13766473</v>
      </c>
      <c r="H24" s="34"/>
      <c r="I24" s="37"/>
    </row>
    <row r="25" ht="22.5" customHeight="1">
      <c r="A25" s="30">
        <f>IFERROR(__xludf.DUMMYFUNCTION("""COMPUTED_VALUE"""),529.0)</f>
        <v>529</v>
      </c>
      <c r="B25" s="31" t="str">
        <f>IFERROR(__xludf.DUMMYFUNCTION("""COMPUTED_VALUE"""),"CONJUNTO DE APARELHO DE MERGULHO -")</f>
        <v>CONJUNTO DE APARELHO DE MERGULHO -</v>
      </c>
      <c r="C25" s="32">
        <f>IFERROR(__xludf.DUMMYFUNCTION("""COMPUTED_VALUE"""),1.0)</f>
        <v>1</v>
      </c>
      <c r="D25" s="33" t="str">
        <f>IFERROR(__xludf.DUMMYFUNCTION("""COMPUTED_VALUE"""),"SEÇÃO")</f>
        <v>SEÇÃO</v>
      </c>
      <c r="E25" s="34" t="str">
        <f>IFERROR(__xludf.DUMMYFUNCTION("""COMPUTED_VALUE"""),"3 - SETOR DE MEIOS")</f>
        <v>3 - SETOR DE MEIOS</v>
      </c>
      <c r="F25" s="34" t="str">
        <f>IFERROR(__xludf.DUMMYFUNCTION("""COMPUTED_VALUE"""),"MATERIAL DE MERGULHO")</f>
        <v>MATERIAL DE MERGULHO</v>
      </c>
      <c r="G25" s="35">
        <f>IFERROR(__xludf.DUMMYFUNCTION("""COMPUTED_VALUE"""),1.3917021E7)</f>
        <v>13917021</v>
      </c>
      <c r="H25" s="34"/>
      <c r="I25" s="37"/>
    </row>
    <row r="26" ht="22.5" customHeight="1">
      <c r="A26" s="30">
        <f>IFERROR(__xludf.DUMMYFUNCTION("""COMPUTED_VALUE"""),530.0)</f>
        <v>530</v>
      </c>
      <c r="B26" s="40" t="str">
        <f>IFERROR(__xludf.DUMMYFUNCTION("""COMPUTED_VALUE"""),"CONJUNTO DE APARELHO DE MERGULHO -")</f>
        <v>CONJUNTO DE APARELHO DE MERGULHO -</v>
      </c>
      <c r="C26" s="32">
        <f>IFERROR(__xludf.DUMMYFUNCTION("""COMPUTED_VALUE"""),1.0)</f>
        <v>1</v>
      </c>
      <c r="D26" s="33" t="str">
        <f>IFERROR(__xludf.DUMMYFUNCTION("""COMPUTED_VALUE"""),"SEÇÃO")</f>
        <v>SEÇÃO</v>
      </c>
      <c r="E26" s="34" t="str">
        <f>IFERROR(__xludf.DUMMYFUNCTION("""COMPUTED_VALUE"""),"3 - SETOR DE MEIOS")</f>
        <v>3 - SETOR DE MEIOS</v>
      </c>
      <c r="F26" s="34" t="str">
        <f>IFERROR(__xludf.DUMMYFUNCTION("""COMPUTED_VALUE"""),"MATERIAL DE MERGULHO")</f>
        <v>MATERIAL DE MERGULHO</v>
      </c>
      <c r="G26" s="35">
        <f>IFERROR(__xludf.DUMMYFUNCTION("""COMPUTED_VALUE"""),1.391703E7)</f>
        <v>13917030</v>
      </c>
      <c r="H26" s="34"/>
      <c r="I26" s="37"/>
    </row>
    <row r="27" ht="22.5" customHeight="1">
      <c r="A27" s="30">
        <f>IFERROR(__xludf.DUMMYFUNCTION("""COMPUTED_VALUE"""),469.0)</f>
        <v>469</v>
      </c>
      <c r="B27" s="31" t="str">
        <f>IFERROR(__xludf.DUMMYFUNCTION("""COMPUTED_VALUE"""),"CORDA PARA SALVAMENTO EM ALTURA - 30M")</f>
        <v>CORDA PARA SALVAMENTO EM ALTURA - 30M</v>
      </c>
      <c r="C27" s="32">
        <f>IFERROR(__xludf.DUMMYFUNCTION("""COMPUTED_VALUE"""),2.0)</f>
        <v>2</v>
      </c>
      <c r="D27" s="33" t="str">
        <f>IFERROR(__xludf.DUMMYFUNCTION("""COMPUTED_VALUE"""),"SEÇÃO")</f>
        <v>SEÇÃO</v>
      </c>
      <c r="E27" s="34" t="str">
        <f>IFERROR(__xludf.DUMMYFUNCTION("""COMPUTED_VALUE"""),"3 - SETOR DE MEIOS")</f>
        <v>3 - SETOR DE MEIOS</v>
      </c>
      <c r="F27" s="34" t="str">
        <f>IFERROR(__xludf.DUMMYFUNCTION("""COMPUTED_VALUE"""),"MATERIAL DE MERGULHO")</f>
        <v>MATERIAL DE MERGULHO</v>
      </c>
      <c r="G27" s="35"/>
      <c r="H27" s="34"/>
      <c r="I27" s="37" t="str">
        <f>IFERROR(__xludf.DUMMYFUNCTION("""COMPUTED_VALUE"""),"*(BOLSA VERDE)")</f>
        <v>*(BOLSA VERDE)</v>
      </c>
    </row>
    <row r="28" ht="22.5" customHeight="1">
      <c r="A28" s="30">
        <f>IFERROR(__xludf.DUMMYFUNCTION("""COMPUTED_VALUE"""),470.0)</f>
        <v>470</v>
      </c>
      <c r="B28" s="31" t="str">
        <f>IFERROR(__xludf.DUMMYFUNCTION("""COMPUTED_VALUE"""),"CROQUI")</f>
        <v>CROQUI</v>
      </c>
      <c r="C28" s="32">
        <f>IFERROR(__xludf.DUMMYFUNCTION("""COMPUTED_VALUE"""),1.0)</f>
        <v>1</v>
      </c>
      <c r="D28" s="33" t="str">
        <f>IFERROR(__xludf.DUMMYFUNCTION("""COMPUTED_VALUE"""),"SEÇÃO")</f>
        <v>SEÇÃO</v>
      </c>
      <c r="E28" s="34" t="str">
        <f>IFERROR(__xludf.DUMMYFUNCTION("""COMPUTED_VALUE"""),"3 - SETOR DE MEIOS")</f>
        <v>3 - SETOR DE MEIOS</v>
      </c>
      <c r="F28" s="34" t="str">
        <f>IFERROR(__xludf.DUMMYFUNCTION("""COMPUTED_VALUE"""),"MATERIAL DE MERGULHO")</f>
        <v>MATERIAL DE MERGULHO</v>
      </c>
      <c r="G28" s="35">
        <f>IFERROR(__xludf.DUMMYFUNCTION("""COMPUTED_VALUE"""),45623.0)</f>
        <v>45623</v>
      </c>
      <c r="H28" s="34"/>
      <c r="I28" s="37" t="str">
        <f>IFERROR(__xludf.DUMMYFUNCTION("""COMPUTED_VALUE"""),"COM DUAS PEÇAS APENAS")</f>
        <v>COM DUAS PEÇAS APENAS</v>
      </c>
    </row>
    <row r="29" ht="22.5" customHeight="1">
      <c r="A29" s="30">
        <f>IFERROR(__xludf.DUMMYFUNCTION("""COMPUTED_VALUE"""),471.0)</f>
        <v>471</v>
      </c>
      <c r="B29" s="31" t="str">
        <f>IFERROR(__xludf.DUMMYFUNCTION("""COMPUTED_VALUE"""),"DECO MARKER")</f>
        <v>DECO MARKER</v>
      </c>
      <c r="C29" s="32">
        <f>IFERROR(__xludf.DUMMYFUNCTION("""COMPUTED_VALUE"""),1.0)</f>
        <v>1</v>
      </c>
      <c r="D29" s="33" t="str">
        <f>IFERROR(__xludf.DUMMYFUNCTION("""COMPUTED_VALUE"""),"SEÇÃO")</f>
        <v>SEÇÃO</v>
      </c>
      <c r="E29" s="34" t="str">
        <f>IFERROR(__xludf.DUMMYFUNCTION("""COMPUTED_VALUE"""),"3 - SETOR DE MEIOS")</f>
        <v>3 - SETOR DE MEIOS</v>
      </c>
      <c r="F29" s="34" t="str">
        <f>IFERROR(__xludf.DUMMYFUNCTION("""COMPUTED_VALUE"""),"MATERIAL DE MERGULHO")</f>
        <v>MATERIAL DE MERGULHO</v>
      </c>
      <c r="G29" s="35">
        <f>IFERROR(__xludf.DUMMYFUNCTION("""COMPUTED_VALUE"""),45786.0)</f>
        <v>45786</v>
      </c>
      <c r="H29" s="34"/>
      <c r="I29" s="37" t="str">
        <f>IFERROR(__xludf.DUMMYFUNCTION("""COMPUTED_VALUE"""),"VERDE")</f>
        <v>VERDE</v>
      </c>
    </row>
    <row r="30" ht="22.5" customHeight="1">
      <c r="A30" s="30">
        <f>IFERROR(__xludf.DUMMYFUNCTION("""COMPUTED_VALUE"""),472.0)</f>
        <v>472</v>
      </c>
      <c r="B30" s="31" t="str">
        <f>IFERROR(__xludf.DUMMYFUNCTION("""COMPUTED_VALUE"""),"DECO MARKER")</f>
        <v>DECO MARKER</v>
      </c>
      <c r="C30" s="32">
        <f>IFERROR(__xludf.DUMMYFUNCTION("""COMPUTED_VALUE"""),1.0)</f>
        <v>1</v>
      </c>
      <c r="D30" s="33" t="str">
        <f>IFERROR(__xludf.DUMMYFUNCTION("""COMPUTED_VALUE"""),"SEÇÃO")</f>
        <v>SEÇÃO</v>
      </c>
      <c r="E30" s="34" t="str">
        <f>IFERROR(__xludf.DUMMYFUNCTION("""COMPUTED_VALUE"""),"3 - SETOR DE MEIOS")</f>
        <v>3 - SETOR DE MEIOS</v>
      </c>
      <c r="F30" s="34" t="str">
        <f>IFERROR(__xludf.DUMMYFUNCTION("""COMPUTED_VALUE"""),"MATERIAL DE MERGULHO")</f>
        <v>MATERIAL DE MERGULHO</v>
      </c>
      <c r="G30" s="35">
        <f>IFERROR(__xludf.DUMMYFUNCTION("""COMPUTED_VALUE"""),45786.0)</f>
        <v>45786</v>
      </c>
      <c r="H30" s="34"/>
      <c r="I30" s="37" t="str">
        <f>IFERROR(__xludf.DUMMYFUNCTION("""COMPUTED_VALUE"""),"VERMELHO")</f>
        <v>VERMELHO</v>
      </c>
    </row>
    <row r="31" ht="22.5" customHeight="1">
      <c r="A31" s="30">
        <f>IFERROR(__xludf.DUMMYFUNCTION("""COMPUTED_VALUE"""),473.0)</f>
        <v>473</v>
      </c>
      <c r="B31" s="31" t="str">
        <f>IFERROR(__xludf.DUMMYFUNCTION("""COMPUTED_VALUE"""),"ESTANTE DE MADEIRA")</f>
        <v>ESTANTE DE MADEIRA</v>
      </c>
      <c r="C31" s="32">
        <f>IFERROR(__xludf.DUMMYFUNCTION("""COMPUTED_VALUE"""),1.0)</f>
        <v>1</v>
      </c>
      <c r="D31" s="33" t="str">
        <f>IFERROR(__xludf.DUMMYFUNCTION("""COMPUTED_VALUE"""),"SEÇÃO")</f>
        <v>SEÇÃO</v>
      </c>
      <c r="E31" s="34" t="str">
        <f>IFERROR(__xludf.DUMMYFUNCTION("""COMPUTED_VALUE"""),"3 - SETOR DE MEIOS")</f>
        <v>3 - SETOR DE MEIOS</v>
      </c>
      <c r="F31" s="34" t="str">
        <f>IFERROR(__xludf.DUMMYFUNCTION("""COMPUTED_VALUE"""),"MATERIAL DE MERGULHO")</f>
        <v>MATERIAL DE MERGULHO</v>
      </c>
      <c r="G31" s="35">
        <f>IFERROR(__xludf.DUMMYFUNCTION("""COMPUTED_VALUE"""),45623.0)</f>
        <v>45623</v>
      </c>
      <c r="H31" s="34"/>
      <c r="I31" s="37"/>
    </row>
    <row r="32" ht="22.5" customHeight="1">
      <c r="A32" s="30">
        <f>IFERROR(__xludf.DUMMYFUNCTION("""COMPUTED_VALUE"""),1025.0)</f>
        <v>1025</v>
      </c>
      <c r="B32" s="31" t="str">
        <f>IFERROR(__xludf.DUMMYFUNCTION("""COMPUTED_VALUE"""),"ESTETOSCOPIO -")</f>
        <v>ESTETOSCOPIO -</v>
      </c>
      <c r="C32" s="32">
        <f>IFERROR(__xludf.DUMMYFUNCTION("""COMPUTED_VALUE"""),1.0)</f>
        <v>1</v>
      </c>
      <c r="D32" s="33" t="str">
        <f>IFERROR(__xludf.DUMMYFUNCTION("""COMPUTED_VALUE"""),"SEÇÃO")</f>
        <v>SEÇÃO</v>
      </c>
      <c r="E32" s="34" t="str">
        <f>IFERROR(__xludf.DUMMYFUNCTION("""COMPUTED_VALUE"""),"3 - SETOR DE MEIOS")</f>
        <v>3 - SETOR DE MEIOS</v>
      </c>
      <c r="F32" s="34" t="str">
        <f>IFERROR(__xludf.DUMMYFUNCTION("""COMPUTED_VALUE"""),"MATERIAL DE MERGULHO")</f>
        <v>MATERIAL DE MERGULHO</v>
      </c>
      <c r="G32" s="35">
        <f>IFERROR(__xludf.DUMMYFUNCTION("""COMPUTED_VALUE"""),7.6757587E7)</f>
        <v>76757587</v>
      </c>
      <c r="H32" s="34"/>
      <c r="I32" s="37" t="str">
        <f>IFERROR(__xludf.DUMMYFUNCTION("""COMPUTED_VALUE"""),"Bolsa de Resgate ")</f>
        <v>Bolsa de Resgate </v>
      </c>
    </row>
    <row r="33" ht="22.5" customHeight="1">
      <c r="A33" s="30">
        <f>IFERROR(__xludf.DUMMYFUNCTION("""COMPUTED_VALUE"""),474.0)</f>
        <v>474</v>
      </c>
      <c r="B33" s="39" t="str">
        <f>IFERROR(__xludf.DUMMYFUNCTION("""COMPUTED_VALUE"""),"FACA DE MERGULHO")</f>
        <v>FACA DE MERGULHO</v>
      </c>
      <c r="C33" s="32">
        <f>IFERROR(__xludf.DUMMYFUNCTION("""COMPUTED_VALUE"""),2.0)</f>
        <v>2</v>
      </c>
      <c r="D33" s="33" t="str">
        <f>IFERROR(__xludf.DUMMYFUNCTION("""COMPUTED_VALUE"""),"SEÇÃO")</f>
        <v>SEÇÃO</v>
      </c>
      <c r="E33" s="34" t="str">
        <f>IFERROR(__xludf.DUMMYFUNCTION("""COMPUTED_VALUE"""),"3 - SETOR DE MEIOS")</f>
        <v>3 - SETOR DE MEIOS</v>
      </c>
      <c r="F33" s="34" t="str">
        <f>IFERROR(__xludf.DUMMYFUNCTION("""COMPUTED_VALUE"""),"MATERIAL DE MERGULHO")</f>
        <v>MATERIAL DE MERGULHO</v>
      </c>
      <c r="G33" s="35">
        <f>IFERROR(__xludf.DUMMYFUNCTION("""COMPUTED_VALUE"""),45786.0)</f>
        <v>45786</v>
      </c>
      <c r="H33" s="34"/>
      <c r="I33" s="37"/>
    </row>
    <row r="34" ht="22.5" customHeight="1">
      <c r="A34" s="30">
        <f>IFERROR(__xludf.DUMMYFUNCTION("""COMPUTED_VALUE"""),475.0)</f>
        <v>475</v>
      </c>
      <c r="B34" s="39" t="str">
        <f>IFERROR(__xludf.DUMMYFUNCTION("""COMPUTED_VALUE"""),"FLUTUADOR PARA SALVAMENTO AQUATICO -")</f>
        <v>FLUTUADOR PARA SALVAMENTO AQUATICO -</v>
      </c>
      <c r="C34" s="32">
        <f>IFERROR(__xludf.DUMMYFUNCTION("""COMPUTED_VALUE"""),2.0)</f>
        <v>2</v>
      </c>
      <c r="D34" s="33" t="str">
        <f>IFERROR(__xludf.DUMMYFUNCTION("""COMPUTED_VALUE"""),"SEÇÃO")</f>
        <v>SEÇÃO</v>
      </c>
      <c r="E34" s="34" t="str">
        <f>IFERROR(__xludf.DUMMYFUNCTION("""COMPUTED_VALUE"""),"3 - SETOR DE MEIOS")</f>
        <v>3 - SETOR DE MEIOS</v>
      </c>
      <c r="F34" s="34" t="str">
        <f>IFERROR(__xludf.DUMMYFUNCTION("""COMPUTED_VALUE"""),"MATERIAL DE MERGULHO")</f>
        <v>MATERIAL DE MERGULHO</v>
      </c>
      <c r="G34" s="35">
        <f>IFERROR(__xludf.DUMMYFUNCTION("""COMPUTED_VALUE"""),45623.0)</f>
        <v>45623</v>
      </c>
      <c r="H34" s="34"/>
      <c r="I34" s="37" t="str">
        <f>IFERROR(__xludf.DUMMYFUNCTION("""COMPUTED_VALUE"""),"FLUT-SPUMA")</f>
        <v>FLUT-SPUMA</v>
      </c>
    </row>
    <row r="35" ht="22.5" customHeight="1">
      <c r="A35" s="30">
        <f>IFERROR(__xludf.DUMMYFUNCTION("""COMPUTED_VALUE"""),476.0)</f>
        <v>476</v>
      </c>
      <c r="B35" s="39" t="str">
        <f>IFERROR(__xludf.DUMMYFUNCTION("""COMPUTED_VALUE"""),"GARATEIA")</f>
        <v>GARATEIA</v>
      </c>
      <c r="C35" s="32">
        <f>IFERROR(__xludf.DUMMYFUNCTION("""COMPUTED_VALUE"""),2.0)</f>
        <v>2</v>
      </c>
      <c r="D35" s="33" t="str">
        <f>IFERROR(__xludf.DUMMYFUNCTION("""COMPUTED_VALUE"""),"SEÇÃO")</f>
        <v>SEÇÃO</v>
      </c>
      <c r="E35" s="34" t="str">
        <f>IFERROR(__xludf.DUMMYFUNCTION("""COMPUTED_VALUE"""),"3 - SETOR DE MEIOS")</f>
        <v>3 - SETOR DE MEIOS</v>
      </c>
      <c r="F35" s="34" t="str">
        <f>IFERROR(__xludf.DUMMYFUNCTION("""COMPUTED_VALUE"""),"MATERIAL DE MERGULHO")</f>
        <v>MATERIAL DE MERGULHO</v>
      </c>
      <c r="G35" s="35">
        <f>IFERROR(__xludf.DUMMYFUNCTION("""COMPUTED_VALUE"""),45623.0)</f>
        <v>45623</v>
      </c>
      <c r="H35" s="34"/>
      <c r="I35" s="37"/>
    </row>
    <row r="36" ht="22.5" customHeight="1">
      <c r="A36" s="30">
        <f>IFERROR(__xludf.DUMMYFUNCTION("""COMPUTED_VALUE"""),477.0)</f>
        <v>477</v>
      </c>
      <c r="B36" s="40" t="str">
        <f>IFERROR(__xludf.DUMMYFUNCTION("""COMPUTED_VALUE"""),"LANTERNA DE MERGULHO")</f>
        <v>LANTERNA DE MERGULHO</v>
      </c>
      <c r="C36" s="32">
        <f>IFERROR(__xludf.DUMMYFUNCTION("""COMPUTED_VALUE"""),2.0)</f>
        <v>2</v>
      </c>
      <c r="D36" s="33" t="str">
        <f>IFERROR(__xludf.DUMMYFUNCTION("""COMPUTED_VALUE"""),"SEÇÃO")</f>
        <v>SEÇÃO</v>
      </c>
      <c r="E36" s="34" t="str">
        <f>IFERROR(__xludf.DUMMYFUNCTION("""COMPUTED_VALUE"""),"3 - SETOR DE MEIOS")</f>
        <v>3 - SETOR DE MEIOS</v>
      </c>
      <c r="F36" s="34" t="str">
        <f>IFERROR(__xludf.DUMMYFUNCTION("""COMPUTED_VALUE"""),"MATERIAL DE MERGULHO")</f>
        <v>MATERIAL DE MERGULHO</v>
      </c>
      <c r="G36" s="35">
        <f>IFERROR(__xludf.DUMMYFUNCTION("""COMPUTED_VALUE"""),45786.0)</f>
        <v>45786</v>
      </c>
      <c r="H36" s="34"/>
      <c r="I36" s="37"/>
    </row>
    <row r="37" ht="22.5" customHeight="1">
      <c r="A37" s="30">
        <f>IFERROR(__xludf.DUMMYFUNCTION("""COMPUTED_VALUE"""),478.0)</f>
        <v>478</v>
      </c>
      <c r="B37" s="31" t="str">
        <f>IFERROR(__xludf.DUMMYFUNCTION("""COMPUTED_VALUE"""),"LIFT BAG 60 L")</f>
        <v>LIFT BAG 60 L</v>
      </c>
      <c r="C37" s="32">
        <f>IFERROR(__xludf.DUMMYFUNCTION("""COMPUTED_VALUE"""),1.0)</f>
        <v>1</v>
      </c>
      <c r="D37" s="33" t="str">
        <f>IFERROR(__xludf.DUMMYFUNCTION("""COMPUTED_VALUE"""),"SEÇÃO")</f>
        <v>SEÇÃO</v>
      </c>
      <c r="E37" s="34" t="str">
        <f>IFERROR(__xludf.DUMMYFUNCTION("""COMPUTED_VALUE"""),"3 - SETOR DE MEIOS")</f>
        <v>3 - SETOR DE MEIOS</v>
      </c>
      <c r="F37" s="34" t="str">
        <f>IFERROR(__xludf.DUMMYFUNCTION("""COMPUTED_VALUE"""),"MATERIAL DE MERGULHO")</f>
        <v>MATERIAL DE MERGULHO</v>
      </c>
      <c r="G37" s="35">
        <f>IFERROR(__xludf.DUMMYFUNCTION("""COMPUTED_VALUE"""),45786.0)</f>
        <v>45786</v>
      </c>
      <c r="H37" s="34"/>
      <c r="I37" s="37"/>
    </row>
    <row r="38" ht="22.5" customHeight="1">
      <c r="A38" s="30">
        <f>IFERROR(__xludf.DUMMYFUNCTION("""COMPUTED_VALUE"""),479.0)</f>
        <v>479</v>
      </c>
      <c r="B38" s="31" t="str">
        <f>IFERROR(__xludf.DUMMYFUNCTION("""COMPUTED_VALUE"""),"MANEQUIM")</f>
        <v>MANEQUIM</v>
      </c>
      <c r="C38" s="32">
        <f>IFERROR(__xludf.DUMMYFUNCTION("""COMPUTED_VALUE"""),1.0)</f>
        <v>1</v>
      </c>
      <c r="D38" s="33" t="str">
        <f>IFERROR(__xludf.DUMMYFUNCTION("""COMPUTED_VALUE"""),"SEÇÃO")</f>
        <v>SEÇÃO</v>
      </c>
      <c r="E38" s="34" t="str">
        <f>IFERROR(__xludf.DUMMYFUNCTION("""COMPUTED_VALUE"""),"3 - SETOR DE MEIOS")</f>
        <v>3 - SETOR DE MEIOS</v>
      </c>
      <c r="F38" s="34" t="str">
        <f>IFERROR(__xludf.DUMMYFUNCTION("""COMPUTED_VALUE"""),"MATERIAL DE MERGULHO")</f>
        <v>MATERIAL DE MERGULHO</v>
      </c>
      <c r="G38" s="35">
        <f>IFERROR(__xludf.DUMMYFUNCTION("""COMPUTED_VALUE"""),45623.0)</f>
        <v>45623</v>
      </c>
      <c r="H38" s="34"/>
      <c r="I38" s="37"/>
    </row>
    <row r="39" ht="22.5" customHeight="1">
      <c r="A39" s="30">
        <f>IFERROR(__xludf.DUMMYFUNCTION("""COMPUTED_VALUE"""),480.0)</f>
        <v>480</v>
      </c>
      <c r="B39" s="31" t="str">
        <f>IFERROR(__xludf.DUMMYFUNCTION("""COMPUTED_VALUE"""),"MASCARAS PARA MERGULHADORES -")</f>
        <v>MASCARAS PARA MERGULHADORES -</v>
      </c>
      <c r="C39" s="32">
        <f>IFERROR(__xludf.DUMMYFUNCTION("""COMPUTED_VALUE"""),3.0)</f>
        <v>3</v>
      </c>
      <c r="D39" s="33" t="str">
        <f>IFERROR(__xludf.DUMMYFUNCTION("""COMPUTED_VALUE"""),"SEÇÃO")</f>
        <v>SEÇÃO</v>
      </c>
      <c r="E39" s="34" t="str">
        <f>IFERROR(__xludf.DUMMYFUNCTION("""COMPUTED_VALUE"""),"3 - SETOR DE MEIOS")</f>
        <v>3 - SETOR DE MEIOS</v>
      </c>
      <c r="F39" s="34" t="str">
        <f>IFERROR(__xludf.DUMMYFUNCTION("""COMPUTED_VALUE"""),"MATERIAL DE MERGULHO")</f>
        <v>MATERIAL DE MERGULHO</v>
      </c>
      <c r="G39" s="35">
        <f>IFERROR(__xludf.DUMMYFUNCTION("""COMPUTED_VALUE"""),45623.0)</f>
        <v>45623</v>
      </c>
      <c r="H39" s="34"/>
      <c r="I39" s="37"/>
    </row>
    <row r="40" ht="22.5" customHeight="1">
      <c r="A40" s="30">
        <f>IFERROR(__xludf.DUMMYFUNCTION("""COMPUTED_VALUE"""),1179.0)</f>
        <v>1179</v>
      </c>
      <c r="B40" s="31" t="str">
        <f>IFERROR(__xludf.DUMMYFUNCTION("""COMPUTED_VALUE"""),"MOTOR DE POPA -")</f>
        <v>MOTOR DE POPA -</v>
      </c>
      <c r="C40" s="32">
        <f>IFERROR(__xludf.DUMMYFUNCTION("""COMPUTED_VALUE"""),1.0)</f>
        <v>1</v>
      </c>
      <c r="D40" s="33" t="str">
        <f>IFERROR(__xludf.DUMMYFUNCTION("""COMPUTED_VALUE"""),"SEÇÃO")</f>
        <v>SEÇÃO</v>
      </c>
      <c r="E40" s="34" t="str">
        <f>IFERROR(__xludf.DUMMYFUNCTION("""COMPUTED_VALUE"""),"3 - SETOR DE MEIOS")</f>
        <v>3 - SETOR DE MEIOS</v>
      </c>
      <c r="F40" s="34" t="str">
        <f>IFERROR(__xludf.DUMMYFUNCTION("""COMPUTED_VALUE"""),"MATERIAL DE MERGULHO")</f>
        <v>MATERIAL DE MERGULHO</v>
      </c>
      <c r="G40" s="35">
        <f>IFERROR(__xludf.DUMMYFUNCTION("""COMPUTED_VALUE"""),7.687155E7)</f>
        <v>76871550</v>
      </c>
      <c r="H40" s="34"/>
      <c r="I40" s="37" t="str">
        <f>IFERROR(__xludf.DUMMYFUNCTION("""COMPUTED_VALUE"""),"motor 15 hp - encontra-se na ALA Op.")</f>
        <v>motor 15 hp - encontra-se na ALA Op.</v>
      </c>
    </row>
    <row r="41" ht="22.5" customHeight="1">
      <c r="A41" s="30">
        <f>IFERROR(__xludf.DUMMYFUNCTION("""COMPUTED_VALUE"""),1272.0)</f>
        <v>1272</v>
      </c>
      <c r="B41" s="31" t="str">
        <f>IFERROR(__xludf.DUMMYFUNCTION("""COMPUTED_VALUE"""),"MOTOR DE POPA -")</f>
        <v>MOTOR DE POPA -</v>
      </c>
      <c r="C41" s="32">
        <f>IFERROR(__xludf.DUMMYFUNCTION("""COMPUTED_VALUE"""),1.0)</f>
        <v>1</v>
      </c>
      <c r="D41" s="33" t="str">
        <f>IFERROR(__xludf.DUMMYFUNCTION("""COMPUTED_VALUE"""),"SEÇÃO")</f>
        <v>SEÇÃO</v>
      </c>
      <c r="E41" s="34" t="str">
        <f>IFERROR(__xludf.DUMMYFUNCTION("""COMPUTED_VALUE"""),"3 - SETOR DE MEIOS")</f>
        <v>3 - SETOR DE MEIOS</v>
      </c>
      <c r="F41" s="34" t="str">
        <f>IFERROR(__xludf.DUMMYFUNCTION("""COMPUTED_VALUE"""),"MATERIAL DE MERGULHO")</f>
        <v>MATERIAL DE MERGULHO</v>
      </c>
      <c r="G41" s="35">
        <f>IFERROR(__xludf.DUMMYFUNCTION("""COMPUTED_VALUE"""),7.693769E7)</f>
        <v>76937690</v>
      </c>
      <c r="H41" s="34"/>
      <c r="I41" s="37"/>
    </row>
    <row r="42" ht="22.5" customHeight="1">
      <c r="A42" s="30">
        <f>IFERROR(__xludf.DUMMYFUNCTION("""COMPUTED_VALUE"""),481.0)</f>
        <v>481</v>
      </c>
      <c r="B42" s="31" t="str">
        <f>IFERROR(__xludf.DUMMYFUNCTION("""COMPUTED_VALUE"""),"NADADEIRA PARA MERGULHO E SALVAMENTO FECHADA - (PAR)")</f>
        <v>NADADEIRA PARA MERGULHO E SALVAMENTO FECHADA - (PAR)</v>
      </c>
      <c r="C42" s="32">
        <f>IFERROR(__xludf.DUMMYFUNCTION("""COMPUTED_VALUE"""),2.0)</f>
        <v>2</v>
      </c>
      <c r="D42" s="33" t="str">
        <f>IFERROR(__xludf.DUMMYFUNCTION("""COMPUTED_VALUE"""),"SEÇÃO")</f>
        <v>SEÇÃO</v>
      </c>
      <c r="E42" s="34" t="str">
        <f>IFERROR(__xludf.DUMMYFUNCTION("""COMPUTED_VALUE"""),"3 - SETOR DE MEIOS")</f>
        <v>3 - SETOR DE MEIOS</v>
      </c>
      <c r="F42" s="34" t="str">
        <f>IFERROR(__xludf.DUMMYFUNCTION("""COMPUTED_VALUE"""),"MATERIAL DE MERGULHO")</f>
        <v>MATERIAL DE MERGULHO</v>
      </c>
      <c r="G42" s="35">
        <f>IFERROR(__xludf.DUMMYFUNCTION("""COMPUTED_VALUE"""),45623.0)</f>
        <v>45623</v>
      </c>
      <c r="H42" s="34"/>
      <c r="I42" s="37"/>
    </row>
    <row r="43" ht="22.5" customHeight="1">
      <c r="A43" s="30">
        <f>IFERROR(__xludf.DUMMYFUNCTION("""COMPUTED_VALUE"""),482.0)</f>
        <v>482</v>
      </c>
      <c r="B43" s="31" t="str">
        <f>IFERROR(__xludf.DUMMYFUNCTION("""COMPUTED_VALUE"""),"PESO DE LASTRO")</f>
        <v>PESO DE LASTRO</v>
      </c>
      <c r="C43" s="32">
        <f>IFERROR(__xludf.DUMMYFUNCTION("""COMPUTED_VALUE"""),30.0)</f>
        <v>30</v>
      </c>
      <c r="D43" s="33" t="str">
        <f>IFERROR(__xludf.DUMMYFUNCTION("""COMPUTED_VALUE"""),"SEÇÃO")</f>
        <v>SEÇÃO</v>
      </c>
      <c r="E43" s="34" t="str">
        <f>IFERROR(__xludf.DUMMYFUNCTION("""COMPUTED_VALUE"""),"3 - SETOR DE MEIOS")</f>
        <v>3 - SETOR DE MEIOS</v>
      </c>
      <c r="F43" s="34" t="str">
        <f>IFERROR(__xludf.DUMMYFUNCTION("""COMPUTED_VALUE"""),"MATERIAL DE MERGULHO")</f>
        <v>MATERIAL DE MERGULHO</v>
      </c>
      <c r="G43" s="35">
        <f>IFERROR(__xludf.DUMMYFUNCTION("""COMPUTED_VALUE"""),45623.0)</f>
        <v>45623</v>
      </c>
      <c r="H43" s="34"/>
      <c r="I43" s="37"/>
    </row>
    <row r="44" ht="22.5" customHeight="1">
      <c r="A44" s="30">
        <f>IFERROR(__xludf.DUMMYFUNCTION("""COMPUTED_VALUE"""),483.0)</f>
        <v>483</v>
      </c>
      <c r="B44" s="31" t="str">
        <f>IFERROR(__xludf.DUMMYFUNCTION("""COMPUTED_VALUE"""),"POITA")</f>
        <v>POITA</v>
      </c>
      <c r="C44" s="32">
        <f>IFERROR(__xludf.DUMMYFUNCTION("""COMPUTED_VALUE"""),7.0)</f>
        <v>7</v>
      </c>
      <c r="D44" s="33" t="str">
        <f>IFERROR(__xludf.DUMMYFUNCTION("""COMPUTED_VALUE"""),"SEÇÃO")</f>
        <v>SEÇÃO</v>
      </c>
      <c r="E44" s="34" t="str">
        <f>IFERROR(__xludf.DUMMYFUNCTION("""COMPUTED_VALUE"""),"3 - SETOR DE MEIOS")</f>
        <v>3 - SETOR DE MEIOS</v>
      </c>
      <c r="F44" s="34" t="str">
        <f>IFERROR(__xludf.DUMMYFUNCTION("""COMPUTED_VALUE"""),"MATERIAL DE MERGULHO")</f>
        <v>MATERIAL DE MERGULHO</v>
      </c>
      <c r="G44" s="35"/>
      <c r="H44" s="34"/>
      <c r="I44" s="37"/>
    </row>
    <row r="45" ht="22.5" customHeight="1">
      <c r="A45" s="30">
        <f>IFERROR(__xludf.DUMMYFUNCTION("""COMPUTED_VALUE"""),484.0)</f>
        <v>484</v>
      </c>
      <c r="B45" s="31" t="str">
        <f>IFERROR(__xludf.DUMMYFUNCTION("""COMPUTED_VALUE"""),"REGULADOR DE MERGULHO COMPLETO (1º E 2º ESTÁGIO)")</f>
        <v>REGULADOR DE MERGULHO COMPLETO (1º E 2º ESTÁGIO)</v>
      </c>
      <c r="C45" s="32">
        <f>IFERROR(__xludf.DUMMYFUNCTION("""COMPUTED_VALUE"""),3.0)</f>
        <v>3</v>
      </c>
      <c r="D45" s="33" t="str">
        <f>IFERROR(__xludf.DUMMYFUNCTION("""COMPUTED_VALUE"""),"SEÇÃO")</f>
        <v>SEÇÃO</v>
      </c>
      <c r="E45" s="34" t="str">
        <f>IFERROR(__xludf.DUMMYFUNCTION("""COMPUTED_VALUE"""),"3 - SETOR DE MEIOS")</f>
        <v>3 - SETOR DE MEIOS</v>
      </c>
      <c r="F45" s="34" t="str">
        <f>IFERROR(__xludf.DUMMYFUNCTION("""COMPUTED_VALUE"""),"MATERIAL DE MERGULHO")</f>
        <v>MATERIAL DE MERGULHO</v>
      </c>
      <c r="G45" s="35">
        <f>IFERROR(__xludf.DUMMYFUNCTION("""COMPUTED_VALUE"""),45623.0)</f>
        <v>45623</v>
      </c>
      <c r="H45" s="34"/>
      <c r="I45" s="37" t="str">
        <f>IFERROR(__xludf.DUMMYFUNCTION("""COMPUTED_VALUE"""),"OBS: 05 REGULADORES FORAM RECOLHIDOS PELO SUPRIMENTOS")</f>
        <v>OBS: 05 REGULADORES FORAM RECOLHIDOS PELO SUPRIMENTOS</v>
      </c>
    </row>
    <row r="46" ht="22.5" customHeight="1">
      <c r="A46" s="30">
        <f>IFERROR(__xludf.DUMMYFUNCTION("""COMPUTED_VALUE"""),486.0)</f>
        <v>486</v>
      </c>
      <c r="B46" s="40" t="str">
        <f>IFERROR(__xludf.DUMMYFUNCTION("""COMPUTED_VALUE"""),"REMO DE ALUMÍNIO")</f>
        <v>REMO DE ALUMÍNIO</v>
      </c>
      <c r="C46" s="32">
        <f>IFERROR(__xludf.DUMMYFUNCTION("""COMPUTED_VALUE"""),6.0)</f>
        <v>6</v>
      </c>
      <c r="D46" s="33" t="str">
        <f>IFERROR(__xludf.DUMMYFUNCTION("""COMPUTED_VALUE"""),"SEÇÃO")</f>
        <v>SEÇÃO</v>
      </c>
      <c r="E46" s="34" t="str">
        <f>IFERROR(__xludf.DUMMYFUNCTION("""COMPUTED_VALUE"""),"3 - SETOR DE MEIOS")</f>
        <v>3 - SETOR DE MEIOS</v>
      </c>
      <c r="F46" s="34" t="str">
        <f>IFERROR(__xludf.DUMMYFUNCTION("""COMPUTED_VALUE"""),"MATERIAL DE MERGULHO")</f>
        <v>MATERIAL DE MERGULHO</v>
      </c>
      <c r="G46" s="35">
        <f>IFERROR(__xludf.DUMMYFUNCTION("""COMPUTED_VALUE"""),45623.0)</f>
        <v>45623</v>
      </c>
      <c r="H46" s="34"/>
      <c r="I46" s="37"/>
    </row>
    <row r="47" ht="22.5" customHeight="1">
      <c r="A47" s="30">
        <f>IFERROR(__xludf.DUMMYFUNCTION("""COMPUTED_VALUE"""),489.0)</f>
        <v>489</v>
      </c>
      <c r="B47" s="31" t="str">
        <f>IFERROR(__xludf.DUMMYFUNCTION("""COMPUTED_VALUE"""),"RETINIDA")</f>
        <v>RETINIDA</v>
      </c>
      <c r="C47" s="32">
        <f>IFERROR(__xludf.DUMMYFUNCTION("""COMPUTED_VALUE"""),1.0)</f>
        <v>1</v>
      </c>
      <c r="D47" s="33" t="str">
        <f>IFERROR(__xludf.DUMMYFUNCTION("""COMPUTED_VALUE"""),"SEÇÃO")</f>
        <v>SEÇÃO</v>
      </c>
      <c r="E47" s="34" t="str">
        <f>IFERROR(__xludf.DUMMYFUNCTION("""COMPUTED_VALUE"""),"3 - SETOR DE MEIOS")</f>
        <v>3 - SETOR DE MEIOS</v>
      </c>
      <c r="F47" s="34" t="str">
        <f>IFERROR(__xludf.DUMMYFUNCTION("""COMPUTED_VALUE"""),"MATERIAL DE MERGULHO")</f>
        <v>MATERIAL DE MERGULHO</v>
      </c>
      <c r="G47" s="35"/>
      <c r="H47" s="34"/>
      <c r="I47" s="37" t="str">
        <f>IFERROR(__xludf.DUMMYFUNCTION("""COMPUTED_VALUE"""),"200 METROS *(BOLSA VERDE)")</f>
        <v>200 METROS *(BOLSA VERDE)</v>
      </c>
    </row>
    <row r="48" ht="22.5" customHeight="1">
      <c r="A48" s="30">
        <f>IFERROR(__xludf.DUMMYFUNCTION("""COMPUTED_VALUE"""),490.0)</f>
        <v>490</v>
      </c>
      <c r="B48" s="31" t="str">
        <f>IFERROR(__xludf.DUMMYFUNCTION("""COMPUTED_VALUE"""),"ROUPA DE MERGULHO NEOPRENE -")</f>
        <v>ROUPA DE MERGULHO NEOPRENE -</v>
      </c>
      <c r="C48" s="32">
        <f>IFERROR(__xludf.DUMMYFUNCTION("""COMPUTED_VALUE"""),6.0)</f>
        <v>6</v>
      </c>
      <c r="D48" s="33" t="str">
        <f>IFERROR(__xludf.DUMMYFUNCTION("""COMPUTED_VALUE"""),"SEÇÃO")</f>
        <v>SEÇÃO</v>
      </c>
      <c r="E48" s="34" t="str">
        <f>IFERROR(__xludf.DUMMYFUNCTION("""COMPUTED_VALUE"""),"3 - SETOR DE MEIOS")</f>
        <v>3 - SETOR DE MEIOS</v>
      </c>
      <c r="F48" s="34" t="str">
        <f>IFERROR(__xludf.DUMMYFUNCTION("""COMPUTED_VALUE"""),"MATERIAL DE MERGULHO")</f>
        <v>MATERIAL DE MERGULHO</v>
      </c>
      <c r="G48" s="35">
        <f>IFERROR(__xludf.DUMMYFUNCTION("""COMPUTED_VALUE"""),45623.0)</f>
        <v>45623</v>
      </c>
      <c r="H48" s="34"/>
      <c r="I48" s="37" t="str">
        <f>IFERROR(__xludf.DUMMYFUNCTION("""COMPUTED_VALUE"""),"* DOIS ENCONTRAM-SE ACAUTELADOS: ASP MARTINELLI E SD ASSUNÇÃO.")</f>
        <v>* DOIS ENCONTRAM-SE ACAUTELADOS: ASP MARTINELLI E SD ASSUNÇÃO.</v>
      </c>
    </row>
    <row r="49" ht="22.5" customHeight="1">
      <c r="A49" s="30">
        <f>IFERROR(__xludf.DUMMYFUNCTION("""COMPUTED_VALUE"""),492.0)</f>
        <v>492</v>
      </c>
      <c r="B49" s="31" t="str">
        <f>IFERROR(__xludf.DUMMYFUNCTION("""COMPUTED_VALUE"""),"ROUPA DE MERGULHO NEOPRENE - TIPO JARDINEIRA")</f>
        <v>ROUPA DE MERGULHO NEOPRENE - TIPO JARDINEIRA</v>
      </c>
      <c r="C49" s="32">
        <f>IFERROR(__xludf.DUMMYFUNCTION("""COMPUTED_VALUE"""),3.0)</f>
        <v>3</v>
      </c>
      <c r="D49" s="33" t="str">
        <f>IFERROR(__xludf.DUMMYFUNCTION("""COMPUTED_VALUE"""),"SEÇÃO")</f>
        <v>SEÇÃO</v>
      </c>
      <c r="E49" s="34" t="str">
        <f>IFERROR(__xludf.DUMMYFUNCTION("""COMPUTED_VALUE"""),"3 - SETOR DE MEIOS")</f>
        <v>3 - SETOR DE MEIOS</v>
      </c>
      <c r="F49" s="34" t="str">
        <f>IFERROR(__xludf.DUMMYFUNCTION("""COMPUTED_VALUE"""),"MATERIAL DE MERGULHO")</f>
        <v>MATERIAL DE MERGULHO</v>
      </c>
      <c r="G49" s="35">
        <f>IFERROR(__xludf.DUMMYFUNCTION("""COMPUTED_VALUE"""),45623.0)</f>
        <v>45623</v>
      </c>
      <c r="H49" s="34"/>
      <c r="I49" s="37"/>
    </row>
    <row r="50" ht="22.5" customHeight="1">
      <c r="A50" s="30">
        <f>IFERROR(__xludf.DUMMYFUNCTION("""COMPUTED_VALUE"""),493.0)</f>
        <v>493</v>
      </c>
      <c r="B50" s="40" t="str">
        <f>IFERROR(__xludf.DUMMYFUNCTION("""COMPUTED_VALUE"""),"SACO PARA CADÁVER")</f>
        <v>SACO PARA CADÁVER</v>
      </c>
      <c r="C50" s="32">
        <f>IFERROR(__xludf.DUMMYFUNCTION("""COMPUTED_VALUE"""),2.0)</f>
        <v>2</v>
      </c>
      <c r="D50" s="33" t="str">
        <f>IFERROR(__xludf.DUMMYFUNCTION("""COMPUTED_VALUE"""),"SEÇÃO")</f>
        <v>SEÇÃO</v>
      </c>
      <c r="E50" s="34" t="str">
        <f>IFERROR(__xludf.DUMMYFUNCTION("""COMPUTED_VALUE"""),"3 - SETOR DE MEIOS")</f>
        <v>3 - SETOR DE MEIOS</v>
      </c>
      <c r="F50" s="34" t="str">
        <f>IFERROR(__xludf.DUMMYFUNCTION("""COMPUTED_VALUE"""),"MATERIAL DE MERGULHO")</f>
        <v>MATERIAL DE MERGULHO</v>
      </c>
      <c r="G50" s="35">
        <f>IFERROR(__xludf.DUMMYFUNCTION("""COMPUTED_VALUE"""),45623.0)</f>
        <v>45623</v>
      </c>
      <c r="H50" s="34"/>
      <c r="I50" s="37"/>
    </row>
    <row r="51" ht="22.5" customHeight="1">
      <c r="A51" s="30">
        <f>IFERROR(__xludf.DUMMYFUNCTION("""COMPUTED_VALUE"""),494.0)</f>
        <v>494</v>
      </c>
      <c r="B51" s="31" t="str">
        <f>IFERROR(__xludf.DUMMYFUNCTION("""COMPUTED_VALUE"""),"SNORKEL BOCAL, PARA MERGULHADOR -")</f>
        <v>SNORKEL BOCAL, PARA MERGULHADOR -</v>
      </c>
      <c r="C51" s="32">
        <f>IFERROR(__xludf.DUMMYFUNCTION("""COMPUTED_VALUE"""),6.0)</f>
        <v>6</v>
      </c>
      <c r="D51" s="33" t="str">
        <f>IFERROR(__xludf.DUMMYFUNCTION("""COMPUTED_VALUE"""),"SEÇÃO")</f>
        <v>SEÇÃO</v>
      </c>
      <c r="E51" s="34" t="str">
        <f>IFERROR(__xludf.DUMMYFUNCTION("""COMPUTED_VALUE"""),"3 - SETOR DE MEIOS")</f>
        <v>3 - SETOR DE MEIOS</v>
      </c>
      <c r="F51" s="34" t="str">
        <f>IFERROR(__xludf.DUMMYFUNCTION("""COMPUTED_VALUE"""),"MATERIAL DE MERGULHO")</f>
        <v>MATERIAL DE MERGULHO</v>
      </c>
      <c r="G51" s="35">
        <f>IFERROR(__xludf.DUMMYFUNCTION("""COMPUTED_VALUE"""),45623.0)</f>
        <v>45623</v>
      </c>
      <c r="H51" s="34"/>
      <c r="I51" s="37"/>
    </row>
    <row r="52" ht="22.5" customHeight="1">
      <c r="A52" s="30">
        <f>IFERROR(__xludf.DUMMYFUNCTION("""COMPUTED_VALUE"""),495.0)</f>
        <v>495</v>
      </c>
      <c r="B52" s="31" t="str">
        <f>IFERROR(__xludf.DUMMYFUNCTION("""COMPUTED_VALUE"""),"TAMBOR DE 120L")</f>
        <v>TAMBOR DE 120L</v>
      </c>
      <c r="C52" s="32">
        <f>IFERROR(__xludf.DUMMYFUNCTION("""COMPUTED_VALUE"""),1.0)</f>
        <v>1</v>
      </c>
      <c r="D52" s="33" t="str">
        <f>IFERROR(__xludf.DUMMYFUNCTION("""COMPUTED_VALUE"""),"SEÇÃO")</f>
        <v>SEÇÃO</v>
      </c>
      <c r="E52" s="34" t="str">
        <f>IFERROR(__xludf.DUMMYFUNCTION("""COMPUTED_VALUE"""),"3 - SETOR DE MEIOS")</f>
        <v>3 - SETOR DE MEIOS</v>
      </c>
      <c r="F52" s="34" t="str">
        <f>IFERROR(__xludf.DUMMYFUNCTION("""COMPUTED_VALUE"""),"MATERIAL DE MERGULHO")</f>
        <v>MATERIAL DE MERGULHO</v>
      </c>
      <c r="G52" s="35"/>
      <c r="H52" s="34"/>
      <c r="I52" s="37"/>
    </row>
    <row r="53" ht="22.5" customHeight="1">
      <c r="A53" s="30">
        <f>IFERROR(__xludf.DUMMYFUNCTION("""COMPUTED_VALUE"""),496.0)</f>
        <v>496</v>
      </c>
      <c r="B53" s="31" t="str">
        <f>IFERROR(__xludf.DUMMYFUNCTION("""COMPUTED_VALUE"""),"TAMBOR DE 50L")</f>
        <v>TAMBOR DE 50L</v>
      </c>
      <c r="C53" s="32">
        <f>IFERROR(__xludf.DUMMYFUNCTION("""COMPUTED_VALUE"""),2.0)</f>
        <v>2</v>
      </c>
      <c r="D53" s="33" t="str">
        <f>IFERROR(__xludf.DUMMYFUNCTION("""COMPUTED_VALUE"""),"SEÇÃO")</f>
        <v>SEÇÃO</v>
      </c>
      <c r="E53" s="34" t="str">
        <f>IFERROR(__xludf.DUMMYFUNCTION("""COMPUTED_VALUE"""),"3 - SETOR DE MEIOS")</f>
        <v>3 - SETOR DE MEIOS</v>
      </c>
      <c r="F53" s="34" t="str">
        <f>IFERROR(__xludf.DUMMYFUNCTION("""COMPUTED_VALUE"""),"MATERIAL DE MERGULHO")</f>
        <v>MATERIAL DE MERGULHO</v>
      </c>
      <c r="G53" s="35">
        <f>IFERROR(__xludf.DUMMYFUNCTION("""COMPUTED_VALUE"""),45897.0)</f>
        <v>45897</v>
      </c>
      <c r="H53" s="34"/>
      <c r="I53" s="37"/>
    </row>
    <row r="54" ht="22.5" customHeight="1">
      <c r="A54" s="30">
        <f>IFERROR(__xludf.DUMMYFUNCTION("""COMPUTED_VALUE"""),497.0)</f>
        <v>497</v>
      </c>
      <c r="B54" s="31" t="str">
        <f>IFERROR(__xludf.DUMMYFUNCTION("""COMPUTED_VALUE"""),"TANQUE DE COMBUSTÍVEL ")</f>
        <v>TANQUE DE COMBUSTÍVEL </v>
      </c>
      <c r="C54" s="32">
        <f>IFERROR(__xludf.DUMMYFUNCTION("""COMPUTED_VALUE"""),2.0)</f>
        <v>2</v>
      </c>
      <c r="D54" s="33" t="str">
        <f>IFERROR(__xludf.DUMMYFUNCTION("""COMPUTED_VALUE"""),"SEÇÃO")</f>
        <v>SEÇÃO</v>
      </c>
      <c r="E54" s="34" t="str">
        <f>IFERROR(__xludf.DUMMYFUNCTION("""COMPUTED_VALUE"""),"3 - SETOR DE MEIOS")</f>
        <v>3 - SETOR DE MEIOS</v>
      </c>
      <c r="F54" s="34" t="str">
        <f>IFERROR(__xludf.DUMMYFUNCTION("""COMPUTED_VALUE"""),"MATERIAL DE MERGULHO")</f>
        <v>MATERIAL DE MERGULHO</v>
      </c>
      <c r="G54" s="35"/>
      <c r="H54" s="34"/>
      <c r="I54" s="37" t="str">
        <f>IFERROR(__xludf.DUMMYFUNCTION("""COMPUTED_VALUE"""),"COM BOMBA MANUAL (TOYAMA)")</f>
        <v>COM BOMBA MANUAL (TOYAMA)</v>
      </c>
    </row>
    <row r="55" ht="22.5" customHeight="1">
      <c r="A55" s="30">
        <f>IFERROR(__xludf.DUMMYFUNCTION("""COMPUTED_VALUE"""),1344.0)</f>
        <v>1344</v>
      </c>
      <c r="B55" s="31" t="str">
        <f>IFERROR(__xludf.DUMMYFUNCTION("""COMPUTED_VALUE"""),"TENDA -")</f>
        <v>TENDA -</v>
      </c>
      <c r="C55" s="32">
        <f>IFERROR(__xludf.DUMMYFUNCTION("""COMPUTED_VALUE"""),1.0)</f>
        <v>1</v>
      </c>
      <c r="D55" s="33" t="str">
        <f>IFERROR(__xludf.DUMMYFUNCTION("""COMPUTED_VALUE"""),"SEÇÃO")</f>
        <v>SEÇÃO</v>
      </c>
      <c r="E55" s="34" t="str">
        <f>IFERROR(__xludf.DUMMYFUNCTION("""COMPUTED_VALUE"""),"3 - SETOR DE MEIOS")</f>
        <v>3 - SETOR DE MEIOS</v>
      </c>
      <c r="F55" s="34" t="str">
        <f>IFERROR(__xludf.DUMMYFUNCTION("""COMPUTED_VALUE"""),"MATERIAL DE MERGULHO")</f>
        <v>MATERIAL DE MERGULHO</v>
      </c>
      <c r="G55" s="35">
        <f>IFERROR(__xludf.DUMMYFUNCTION("""COMPUTED_VALUE"""),4.0080935E7)</f>
        <v>40080935</v>
      </c>
      <c r="H55" s="34"/>
      <c r="I55" s="37"/>
    </row>
    <row r="56" ht="22.5" customHeight="1">
      <c r="A56" s="30">
        <f>IFERROR(__xludf.DUMMYFUNCTION("""COMPUTED_VALUE"""),498.0)</f>
        <v>498</v>
      </c>
      <c r="B56" s="31" t="str">
        <f>IFERROR(__xludf.DUMMYFUNCTION("""COMPUTED_VALUE"""),"TOUCA NEOPRENE")</f>
        <v>TOUCA NEOPRENE</v>
      </c>
      <c r="C56" s="32">
        <f>IFERROR(__xludf.DUMMYFUNCTION("""COMPUTED_VALUE"""),2.0)</f>
        <v>2</v>
      </c>
      <c r="D56" s="33" t="str">
        <f>IFERROR(__xludf.DUMMYFUNCTION("""COMPUTED_VALUE"""),"SEÇÃO")</f>
        <v>SEÇÃO</v>
      </c>
      <c r="E56" s="34" t="str">
        <f>IFERROR(__xludf.DUMMYFUNCTION("""COMPUTED_VALUE"""),"3 - SETOR DE MEIOS")</f>
        <v>3 - SETOR DE MEIOS</v>
      </c>
      <c r="F56" s="34" t="str">
        <f>IFERROR(__xludf.DUMMYFUNCTION("""COMPUTED_VALUE"""),"MATERIAL DE MERGULHO")</f>
        <v>MATERIAL DE MERGULHO</v>
      </c>
      <c r="G56" s="35">
        <f>IFERROR(__xludf.DUMMYFUNCTION("""COMPUTED_VALUE"""),45623.0)</f>
        <v>45623</v>
      </c>
      <c r="H56" s="34"/>
      <c r="I56" s="37"/>
    </row>
    <row r="57" ht="22.5" customHeight="1">
      <c r="A57" s="30">
        <f>IFERROR(__xludf.DUMMYFUNCTION("""COMPUTED_VALUE"""),772.0)</f>
        <v>772</v>
      </c>
      <c r="B57" s="31" t="str">
        <f>IFERROR(__xludf.DUMMYFUNCTION("""COMPUTED_VALUE"""),"TRIÂNGULO DE AÇO PARA RECUPERAÇÃO DE CORPOS")</f>
        <v>TRIÂNGULO DE AÇO PARA RECUPERAÇÃO DE CORPOS</v>
      </c>
      <c r="C57" s="32">
        <f>IFERROR(__xludf.DUMMYFUNCTION("""COMPUTED_VALUE"""),1.0)</f>
        <v>1</v>
      </c>
      <c r="D57" s="33" t="str">
        <f>IFERROR(__xludf.DUMMYFUNCTION("""COMPUTED_VALUE"""),"SEÇÃO")</f>
        <v>SEÇÃO</v>
      </c>
      <c r="E57" s="34" t="str">
        <f>IFERROR(__xludf.DUMMYFUNCTION("""COMPUTED_VALUE"""),"3 - SETOR DE MEIOS")</f>
        <v>3 - SETOR DE MEIOS</v>
      </c>
      <c r="F57" s="34" t="str">
        <f>IFERROR(__xludf.DUMMYFUNCTION("""COMPUTED_VALUE"""),"MATERIAL DE MERGULHO")</f>
        <v>MATERIAL DE MERGULHO</v>
      </c>
      <c r="G57" s="35">
        <f>IFERROR(__xludf.DUMMYFUNCTION("""COMPUTED_VALUE"""),45623.0)</f>
        <v>45623</v>
      </c>
      <c r="H57" s="34"/>
      <c r="I57" s="37"/>
    </row>
    <row r="58" ht="22.5" customHeight="1">
      <c r="A58" s="30">
        <f>IFERROR(__xludf.DUMMYFUNCTION("""COMPUTED_VALUE"""),646.0)</f>
        <v>646</v>
      </c>
      <c r="B58" s="31" t="str">
        <f>IFERROR(__xludf.DUMMYFUNCTION("""COMPUTED_VALUE"""),"ALAVANCA PÉ DE CABRA")</f>
        <v>ALAVANCA PÉ DE CABRA</v>
      </c>
      <c r="C58" s="32">
        <f>IFERROR(__xludf.DUMMYFUNCTION("""COMPUTED_VALUE"""),2.0)</f>
        <v>2</v>
      </c>
      <c r="D58" s="33" t="str">
        <f>IFERROR(__xludf.DUMMYFUNCTION("""COMPUTED_VALUE"""),"SEÇÃO")</f>
        <v>SEÇÃO</v>
      </c>
      <c r="E58" s="34" t="str">
        <f>IFERROR(__xludf.DUMMYFUNCTION("""COMPUTED_VALUE"""),"3 - SETOR DE MEIOS")</f>
        <v>3 - SETOR DE MEIOS</v>
      </c>
      <c r="F58" s="34" t="str">
        <f>IFERROR(__xludf.DUMMYFUNCTION("""COMPUTED_VALUE"""),"SETOR DE MEIOS")</f>
        <v>SETOR DE MEIOS</v>
      </c>
      <c r="G58" s="35"/>
      <c r="H58" s="34"/>
      <c r="I58" s="37"/>
    </row>
    <row r="59" ht="22.5" customHeight="1">
      <c r="A59" s="30">
        <f>IFERROR(__xludf.DUMMYFUNCTION("""COMPUTED_VALUE"""),647.0)</f>
        <v>647</v>
      </c>
      <c r="B59" s="31" t="str">
        <f>IFERROR(__xludf.DUMMYFUNCTION("""COMPUTED_VALUE"""),"ALICATE DE CORTE 8""")</f>
        <v>ALICATE DE CORTE 8"</v>
      </c>
      <c r="C59" s="32">
        <f>IFERROR(__xludf.DUMMYFUNCTION("""COMPUTED_VALUE"""),1.0)</f>
        <v>1</v>
      </c>
      <c r="D59" s="33" t="str">
        <f>IFERROR(__xludf.DUMMYFUNCTION("""COMPUTED_VALUE"""),"SEÇÃO")</f>
        <v>SEÇÃO</v>
      </c>
      <c r="E59" s="34" t="str">
        <f>IFERROR(__xludf.DUMMYFUNCTION("""COMPUTED_VALUE"""),"3 - SETOR DE MEIOS")</f>
        <v>3 - SETOR DE MEIOS</v>
      </c>
      <c r="F59" s="34" t="str">
        <f>IFERROR(__xludf.DUMMYFUNCTION("""COMPUTED_VALUE"""),"SETOR DE MEIOS")</f>
        <v>SETOR DE MEIOS</v>
      </c>
      <c r="G59" s="35"/>
      <c r="H59" s="34"/>
      <c r="I59" s="37"/>
    </row>
    <row r="60" ht="22.5" customHeight="1">
      <c r="A60" s="30">
        <f>IFERROR(__xludf.DUMMYFUNCTION("""COMPUTED_VALUE"""),48.0)</f>
        <v>48</v>
      </c>
      <c r="B60" s="31" t="str">
        <f>IFERROR(__xludf.DUMMYFUNCTION("""COMPUTED_VALUE"""),"BOMBA COSTAL PARA COMBATE A INCENDIO -")</f>
        <v>BOMBA COSTAL PARA COMBATE A INCENDIO -</v>
      </c>
      <c r="C60" s="32">
        <f>IFERROR(__xludf.DUMMYFUNCTION("""COMPUTED_VALUE"""),1.0)</f>
        <v>1</v>
      </c>
      <c r="D60" s="33" t="str">
        <f>IFERROR(__xludf.DUMMYFUNCTION("""COMPUTED_VALUE"""),"SEÇÃO")</f>
        <v>SEÇÃO</v>
      </c>
      <c r="E60" s="34" t="str">
        <f>IFERROR(__xludf.DUMMYFUNCTION("""COMPUTED_VALUE"""),"3 - SETOR DE MEIOS")</f>
        <v>3 - SETOR DE MEIOS</v>
      </c>
      <c r="F60" s="34" t="str">
        <f>IFERROR(__xludf.DUMMYFUNCTION("""COMPUTED_VALUE"""),"SETOR DE MEIOS")</f>
        <v>SETOR DE MEIOS</v>
      </c>
      <c r="G60" s="35">
        <f>IFERROR(__xludf.DUMMYFUNCTION("""COMPUTED_VALUE"""),7.6788954E7)</f>
        <v>76788954</v>
      </c>
      <c r="H60" s="34"/>
      <c r="I60" s="37" t="str">
        <f>IFERROR(__xludf.DUMMYFUNCTION("""COMPUTED_VALUE"""),"pago no dia 15/06/2026, retirado do Almoxifado")</f>
        <v>pago no dia 15/06/2026, retirado do Almoxifado</v>
      </c>
    </row>
    <row r="61" ht="22.5" customHeight="1">
      <c r="A61" s="30">
        <f>IFERROR(__xludf.DUMMYFUNCTION("""COMPUTED_VALUE"""),649.0)</f>
        <v>649</v>
      </c>
      <c r="B61" s="31" t="str">
        <f>IFERROR(__xludf.DUMMYFUNCTION("""COMPUTED_VALUE"""),"CAIXA AMARELA COM CORRENTES PARA TRIPÉ")</f>
        <v>CAIXA AMARELA COM CORRENTES PARA TRIPÉ</v>
      </c>
      <c r="C61" s="32">
        <f>IFERROR(__xludf.DUMMYFUNCTION("""COMPUTED_VALUE"""),1.0)</f>
        <v>1</v>
      </c>
      <c r="D61" s="33" t="str">
        <f>IFERROR(__xludf.DUMMYFUNCTION("""COMPUTED_VALUE"""),"SEÇÃO")</f>
        <v>SEÇÃO</v>
      </c>
      <c r="E61" s="34" t="str">
        <f>IFERROR(__xludf.DUMMYFUNCTION("""COMPUTED_VALUE"""),"3 - SETOR DE MEIOS")</f>
        <v>3 - SETOR DE MEIOS</v>
      </c>
      <c r="F61" s="34" t="str">
        <f>IFERROR(__xludf.DUMMYFUNCTION("""COMPUTED_VALUE"""),"SETOR DE MEIOS")</f>
        <v>SETOR DE MEIOS</v>
      </c>
      <c r="G61" s="35"/>
      <c r="H61" s="34"/>
      <c r="I61" s="37"/>
    </row>
    <row r="62" ht="22.5" customHeight="1">
      <c r="A62" s="30">
        <f>IFERROR(__xludf.DUMMYFUNCTION("""COMPUTED_VALUE"""),650.0)</f>
        <v>650</v>
      </c>
      <c r="B62" s="31" t="str">
        <f>IFERROR(__xludf.DUMMYFUNCTION("""COMPUTED_VALUE"""),"CAIXA DE FERRAMENTAS (METAL)")</f>
        <v>CAIXA DE FERRAMENTAS (METAL)</v>
      </c>
      <c r="C62" s="32">
        <f>IFERROR(__xludf.DUMMYFUNCTION("""COMPUTED_VALUE"""),1.0)</f>
        <v>1</v>
      </c>
      <c r="D62" s="33" t="str">
        <f>IFERROR(__xludf.DUMMYFUNCTION("""COMPUTED_VALUE"""),"SEÇÃO")</f>
        <v>SEÇÃO</v>
      </c>
      <c r="E62" s="34" t="str">
        <f>IFERROR(__xludf.DUMMYFUNCTION("""COMPUTED_VALUE"""),"3 - SETOR DE MEIOS")</f>
        <v>3 - SETOR DE MEIOS</v>
      </c>
      <c r="F62" s="34" t="str">
        <f>IFERROR(__xludf.DUMMYFUNCTION("""COMPUTED_VALUE"""),"SETOR DE MEIOS")</f>
        <v>SETOR DE MEIOS</v>
      </c>
      <c r="G62" s="35"/>
      <c r="H62" s="34"/>
      <c r="I62" s="37"/>
    </row>
    <row r="63" ht="22.5" customHeight="1">
      <c r="A63" s="30">
        <f>IFERROR(__xludf.DUMMYFUNCTION("""COMPUTED_VALUE"""),651.0)</f>
        <v>651</v>
      </c>
      <c r="B63" s="31" t="str">
        <f>IFERROR(__xludf.DUMMYFUNCTION("""COMPUTED_VALUE"""),"CAIXA TERMICA")</f>
        <v>CAIXA TERMICA</v>
      </c>
      <c r="C63" s="32">
        <f>IFERROR(__xludf.DUMMYFUNCTION("""COMPUTED_VALUE"""),1.0)</f>
        <v>1</v>
      </c>
      <c r="D63" s="33" t="str">
        <f>IFERROR(__xludf.DUMMYFUNCTION("""COMPUTED_VALUE"""),"SEÇÃO")</f>
        <v>SEÇÃO</v>
      </c>
      <c r="E63" s="34" t="str">
        <f>IFERROR(__xludf.DUMMYFUNCTION("""COMPUTED_VALUE"""),"3 - SETOR DE MEIOS")</f>
        <v>3 - SETOR DE MEIOS</v>
      </c>
      <c r="F63" s="34" t="str">
        <f>IFERROR(__xludf.DUMMYFUNCTION("""COMPUTED_VALUE"""),"SETOR DE MEIOS")</f>
        <v>SETOR DE MEIOS</v>
      </c>
      <c r="G63" s="35"/>
      <c r="H63" s="34"/>
      <c r="I63" s="37" t="str">
        <f>IFERROR(__xludf.DUMMYFUNCTION("""COMPUTED_VALUE"""),"CAIXA TERMICA 20L INVICTA - LARANJA")</f>
        <v>CAIXA TERMICA 20L INVICTA - LARANJA</v>
      </c>
    </row>
    <row r="64" ht="22.5" customHeight="1">
      <c r="A64" s="30">
        <f>IFERROR(__xludf.DUMMYFUNCTION("""COMPUTED_VALUE"""),648.0)</f>
        <v>648</v>
      </c>
      <c r="B64" s="31" t="str">
        <f>IFERROR(__xludf.DUMMYFUNCTION("""COMPUTED_VALUE"""),"CAVALETE DE SINALIZAÇÃO")</f>
        <v>CAVALETE DE SINALIZAÇÃO</v>
      </c>
      <c r="C64" s="32">
        <f>IFERROR(__xludf.DUMMYFUNCTION("""COMPUTED_VALUE"""),6.0)</f>
        <v>6</v>
      </c>
      <c r="D64" s="33" t="str">
        <f>IFERROR(__xludf.DUMMYFUNCTION("""COMPUTED_VALUE"""),"SEÇÃO")</f>
        <v>SEÇÃO</v>
      </c>
      <c r="E64" s="34" t="str">
        <f>IFERROR(__xludf.DUMMYFUNCTION("""COMPUTED_VALUE"""),"3 - SETOR DE MEIOS")</f>
        <v>3 - SETOR DE MEIOS</v>
      </c>
      <c r="F64" s="34" t="str">
        <f>IFERROR(__xludf.DUMMYFUNCTION("""COMPUTED_VALUE"""),"SETOR DE MEIOS")</f>
        <v>SETOR DE MEIOS</v>
      </c>
      <c r="G64" s="35">
        <f>IFERROR(__xludf.DUMMYFUNCTION("""COMPUTED_VALUE"""),45527.0)</f>
        <v>45527</v>
      </c>
      <c r="H64" s="34"/>
      <c r="I64" s="37"/>
    </row>
    <row r="65" ht="22.5" customHeight="1">
      <c r="A65" s="30">
        <f>IFERROR(__xludf.DUMMYFUNCTION("""COMPUTED_VALUE"""),652.0)</f>
        <v>652</v>
      </c>
      <c r="B65" s="40" t="str">
        <f>IFERROR(__xludf.DUMMYFUNCTION("""COMPUTED_VALUE"""),"CHAVE ""L""")</f>
        <v>CHAVE "L"</v>
      </c>
      <c r="C65" s="32">
        <f>IFERROR(__xludf.DUMMYFUNCTION("""COMPUTED_VALUE"""),2.0)</f>
        <v>2</v>
      </c>
      <c r="D65" s="33" t="str">
        <f>IFERROR(__xludf.DUMMYFUNCTION("""COMPUTED_VALUE"""),"SEÇÃO")</f>
        <v>SEÇÃO</v>
      </c>
      <c r="E65" s="34" t="str">
        <f>IFERROR(__xludf.DUMMYFUNCTION("""COMPUTED_VALUE"""),"3 - SETOR DE MEIOS")</f>
        <v>3 - SETOR DE MEIOS</v>
      </c>
      <c r="F65" s="34" t="str">
        <f>IFERROR(__xludf.DUMMYFUNCTION("""COMPUTED_VALUE"""),"SETOR DE MEIOS")</f>
        <v>SETOR DE MEIOS</v>
      </c>
      <c r="G65" s="35"/>
      <c r="H65" s="34"/>
      <c r="I65" s="37"/>
    </row>
    <row r="66" ht="22.5" customHeight="1">
      <c r="A66" s="30">
        <f>IFERROR(__xludf.DUMMYFUNCTION("""COMPUTED_VALUE"""),653.0)</f>
        <v>653</v>
      </c>
      <c r="B66" s="31" t="str">
        <f>IFERROR(__xludf.DUMMYFUNCTION("""COMPUTED_VALUE"""),"CHAVE DE BOCA")</f>
        <v>CHAVE DE BOCA</v>
      </c>
      <c r="C66" s="32">
        <f>IFERROR(__xludf.DUMMYFUNCTION("""COMPUTED_VALUE"""),10.0)</f>
        <v>10</v>
      </c>
      <c r="D66" s="33" t="str">
        <f>IFERROR(__xludf.DUMMYFUNCTION("""COMPUTED_VALUE"""),"SEÇÃO")</f>
        <v>SEÇÃO</v>
      </c>
      <c r="E66" s="34" t="str">
        <f>IFERROR(__xludf.DUMMYFUNCTION("""COMPUTED_VALUE"""),"3 - SETOR DE MEIOS")</f>
        <v>3 - SETOR DE MEIOS</v>
      </c>
      <c r="F66" s="34" t="str">
        <f>IFERROR(__xludf.DUMMYFUNCTION("""COMPUTED_VALUE"""),"SETOR DE MEIOS")</f>
        <v>SETOR DE MEIOS</v>
      </c>
      <c r="G66" s="35"/>
      <c r="H66" s="34"/>
      <c r="I66" s="37"/>
    </row>
    <row r="67" ht="22.5" customHeight="1">
      <c r="A67" s="30">
        <f>IFERROR(__xludf.DUMMYFUNCTION("""COMPUTED_VALUE"""),654.0)</f>
        <v>654</v>
      </c>
      <c r="B67" s="40" t="str">
        <f>IFERROR(__xludf.DUMMYFUNCTION("""COMPUTED_VALUE"""),"CHAVE DE BOCA/ESTRIA")</f>
        <v>CHAVE DE BOCA/ESTRIA</v>
      </c>
      <c r="C67" s="32">
        <f>IFERROR(__xludf.DUMMYFUNCTION("""COMPUTED_VALUE"""),2.0)</f>
        <v>2</v>
      </c>
      <c r="D67" s="33" t="str">
        <f>IFERROR(__xludf.DUMMYFUNCTION("""COMPUTED_VALUE"""),"SEÇÃO")</f>
        <v>SEÇÃO</v>
      </c>
      <c r="E67" s="34" t="str">
        <f>IFERROR(__xludf.DUMMYFUNCTION("""COMPUTED_VALUE"""),"3 - SETOR DE MEIOS")</f>
        <v>3 - SETOR DE MEIOS</v>
      </c>
      <c r="F67" s="34" t="str">
        <f>IFERROR(__xludf.DUMMYFUNCTION("""COMPUTED_VALUE"""),"SETOR DE MEIOS")</f>
        <v>SETOR DE MEIOS</v>
      </c>
      <c r="G67" s="35"/>
      <c r="H67" s="34"/>
      <c r="I67" s="37"/>
    </row>
    <row r="68" ht="22.5" customHeight="1">
      <c r="A68" s="30">
        <f>IFERROR(__xludf.DUMMYFUNCTION("""COMPUTED_VALUE"""),655.0)</f>
        <v>655</v>
      </c>
      <c r="B68" s="31" t="str">
        <f>IFERROR(__xludf.DUMMYFUNCTION("""COMPUTED_VALUE"""),"CHAVE DE ESTRIA")</f>
        <v>CHAVE DE ESTRIA</v>
      </c>
      <c r="C68" s="32">
        <f>IFERROR(__xludf.DUMMYFUNCTION("""COMPUTED_VALUE"""),5.0)</f>
        <v>5</v>
      </c>
      <c r="D68" s="33" t="str">
        <f>IFERROR(__xludf.DUMMYFUNCTION("""COMPUTED_VALUE"""),"SEÇÃO")</f>
        <v>SEÇÃO</v>
      </c>
      <c r="E68" s="34" t="str">
        <f>IFERROR(__xludf.DUMMYFUNCTION("""COMPUTED_VALUE"""),"3 - SETOR DE MEIOS")</f>
        <v>3 - SETOR DE MEIOS</v>
      </c>
      <c r="F68" s="34" t="str">
        <f>IFERROR(__xludf.DUMMYFUNCTION("""COMPUTED_VALUE"""),"SETOR DE MEIOS")</f>
        <v>SETOR DE MEIOS</v>
      </c>
      <c r="G68" s="35"/>
      <c r="H68" s="34"/>
      <c r="I68" s="37"/>
    </row>
    <row r="69" ht="22.5" customHeight="1">
      <c r="A69" s="30">
        <f>IFERROR(__xludf.DUMMYFUNCTION("""COMPUTED_VALUE"""),656.0)</f>
        <v>656</v>
      </c>
      <c r="B69" s="31" t="str">
        <f>IFERROR(__xludf.DUMMYFUNCTION("""COMPUTED_VALUE"""),"CHAVE DE RODA")</f>
        <v>CHAVE DE RODA</v>
      </c>
      <c r="C69" s="32">
        <f>IFERROR(__xludf.DUMMYFUNCTION("""COMPUTED_VALUE"""),3.0)</f>
        <v>3</v>
      </c>
      <c r="D69" s="33" t="str">
        <f>IFERROR(__xludf.DUMMYFUNCTION("""COMPUTED_VALUE"""),"SEÇÃO")</f>
        <v>SEÇÃO</v>
      </c>
      <c r="E69" s="34" t="str">
        <f>IFERROR(__xludf.DUMMYFUNCTION("""COMPUTED_VALUE"""),"3 - SETOR DE MEIOS")</f>
        <v>3 - SETOR DE MEIOS</v>
      </c>
      <c r="F69" s="34" t="str">
        <f>IFERROR(__xludf.DUMMYFUNCTION("""COMPUTED_VALUE"""),"SETOR DE MEIOS")</f>
        <v>SETOR DE MEIOS</v>
      </c>
      <c r="G69" s="35"/>
      <c r="H69" s="34"/>
      <c r="I69" s="37"/>
    </row>
    <row r="70" ht="22.5" customHeight="1">
      <c r="A70" s="30">
        <f>IFERROR(__xludf.DUMMYFUNCTION("""COMPUTED_VALUE"""),657.0)</f>
        <v>657</v>
      </c>
      <c r="B70" s="31" t="str">
        <f>IFERROR(__xludf.DUMMYFUNCTION("""COMPUTED_VALUE"""),"CHAVE DE VELA COMBINADA PARA MOTOSERRA")</f>
        <v>CHAVE DE VELA COMBINADA PARA MOTOSERRA</v>
      </c>
      <c r="C70" s="32">
        <f>IFERROR(__xludf.DUMMYFUNCTION("""COMPUTED_VALUE"""),1.0)</f>
        <v>1</v>
      </c>
      <c r="D70" s="33" t="str">
        <f>IFERROR(__xludf.DUMMYFUNCTION("""COMPUTED_VALUE"""),"SEÇÃO")</f>
        <v>SEÇÃO</v>
      </c>
      <c r="E70" s="34" t="str">
        <f>IFERROR(__xludf.DUMMYFUNCTION("""COMPUTED_VALUE"""),"3 - SETOR DE MEIOS")</f>
        <v>3 - SETOR DE MEIOS</v>
      </c>
      <c r="F70" s="34" t="str">
        <f>IFERROR(__xludf.DUMMYFUNCTION("""COMPUTED_VALUE"""),"SETOR DE MEIOS")</f>
        <v>SETOR DE MEIOS</v>
      </c>
      <c r="G70" s="35"/>
      <c r="H70" s="34"/>
      <c r="I70" s="37"/>
    </row>
    <row r="71" ht="22.5" customHeight="1">
      <c r="A71" s="30">
        <f>IFERROR(__xludf.DUMMYFUNCTION("""COMPUTED_VALUE"""),658.0)</f>
        <v>658</v>
      </c>
      <c r="B71" s="31" t="str">
        <f>IFERROR(__xludf.DUMMYFUNCTION("""COMPUTED_VALUE"""),"CORDA -")</f>
        <v>CORDA -</v>
      </c>
      <c r="C71" s="32">
        <f>IFERROR(__xludf.DUMMYFUNCTION("""COMPUTED_VALUE"""),1.0)</f>
        <v>1</v>
      </c>
      <c r="D71" s="33" t="str">
        <f>IFERROR(__xludf.DUMMYFUNCTION("""COMPUTED_VALUE"""),"SEÇÃO")</f>
        <v>SEÇÃO</v>
      </c>
      <c r="E71" s="34" t="str">
        <f>IFERROR(__xludf.DUMMYFUNCTION("""COMPUTED_VALUE"""),"3 - SETOR DE MEIOS")</f>
        <v>3 - SETOR DE MEIOS</v>
      </c>
      <c r="F71" s="34" t="str">
        <f>IFERROR(__xludf.DUMMYFUNCTION("""COMPUTED_VALUE"""),"SETOR DE MEIOS")</f>
        <v>SETOR DE MEIOS</v>
      </c>
      <c r="G71" s="35"/>
      <c r="H71" s="34"/>
      <c r="I71" s="37" t="str">
        <f>IFERROR(__xludf.DUMMYFUNCTION("""COMPUTED_VALUE"""),"CORDA  PARA SALVAMENTO EM ALTURA - 150M")</f>
        <v>CORDA  PARA SALVAMENTO EM ALTURA - 150M</v>
      </c>
    </row>
    <row r="72" ht="22.5" customHeight="1">
      <c r="A72" s="30">
        <f>IFERROR(__xludf.DUMMYFUNCTION("""COMPUTED_VALUE"""),659.0)</f>
        <v>659</v>
      </c>
      <c r="B72" s="40" t="str">
        <f>IFERROR(__xludf.DUMMYFUNCTION("""COMPUTED_VALUE"""),"CORDA PARA USO GERAL (100 METRO)")</f>
        <v>CORDA PARA USO GERAL (100 METRO)</v>
      </c>
      <c r="C72" s="32">
        <f>IFERROR(__xludf.DUMMYFUNCTION("""COMPUTED_VALUE"""),1.0)</f>
        <v>1</v>
      </c>
      <c r="D72" s="33" t="str">
        <f>IFERROR(__xludf.DUMMYFUNCTION("""COMPUTED_VALUE"""),"SEÇÃO")</f>
        <v>SEÇÃO</v>
      </c>
      <c r="E72" s="34" t="str">
        <f>IFERROR(__xludf.DUMMYFUNCTION("""COMPUTED_VALUE"""),"3 - SETOR DE MEIOS")</f>
        <v>3 - SETOR DE MEIOS</v>
      </c>
      <c r="F72" s="34" t="str">
        <f>IFERROR(__xludf.DUMMYFUNCTION("""COMPUTED_VALUE"""),"SETOR DE MEIOS")</f>
        <v>SETOR DE MEIOS</v>
      </c>
      <c r="G72" s="35"/>
      <c r="H72" s="34"/>
      <c r="I72" s="37"/>
    </row>
    <row r="73" ht="22.5" customHeight="1">
      <c r="A73" s="30">
        <f>IFERROR(__xludf.DUMMYFUNCTION("""COMPUTED_VALUE"""),660.0)</f>
        <v>660</v>
      </c>
      <c r="B73" s="31" t="str">
        <f>IFERROR(__xludf.DUMMYFUNCTION("""COMPUTED_VALUE"""),"CORRENTE PARA DESENCARCERADOR")</f>
        <v>CORRENTE PARA DESENCARCERADOR</v>
      </c>
      <c r="C73" s="32">
        <f>IFERROR(__xludf.DUMMYFUNCTION("""COMPUTED_VALUE"""),2.0)</f>
        <v>2</v>
      </c>
      <c r="D73" s="33" t="str">
        <f>IFERROR(__xludf.DUMMYFUNCTION("""COMPUTED_VALUE"""),"SEÇÃO")</f>
        <v>SEÇÃO</v>
      </c>
      <c r="E73" s="34" t="str">
        <f>IFERROR(__xludf.DUMMYFUNCTION("""COMPUTED_VALUE"""),"3 - SETOR DE MEIOS")</f>
        <v>3 - SETOR DE MEIOS</v>
      </c>
      <c r="F73" s="34" t="str">
        <f>IFERROR(__xludf.DUMMYFUNCTION("""COMPUTED_VALUE"""),"SETOR DE MEIOS")</f>
        <v>SETOR DE MEIOS</v>
      </c>
      <c r="G73" s="35">
        <f>IFERROR(__xludf.DUMMYFUNCTION("""COMPUTED_VALUE"""),45527.0)</f>
        <v>45527</v>
      </c>
      <c r="H73" s="34"/>
      <c r="I73" s="37" t="str">
        <f>IFERROR(__xludf.DUMMYFUNCTION("""COMPUTED_VALUE"""),"ENCONTRA-SE DENTRO DO BALDE AZUL")</f>
        <v>ENCONTRA-SE DENTRO DO BALDE AZUL</v>
      </c>
    </row>
    <row r="74" ht="22.5" customHeight="1">
      <c r="A74" s="30">
        <f>IFERROR(__xludf.DUMMYFUNCTION("""COMPUTED_VALUE"""),662.0)</f>
        <v>662</v>
      </c>
      <c r="B74" s="31" t="str">
        <f>IFERROR(__xludf.DUMMYFUNCTION("""COMPUTED_VALUE"""),"ENXADA")</f>
        <v>ENXADA</v>
      </c>
      <c r="C74" s="32">
        <f>IFERROR(__xludf.DUMMYFUNCTION("""COMPUTED_VALUE"""),2.0)</f>
        <v>2</v>
      </c>
      <c r="D74" s="33" t="str">
        <f>IFERROR(__xludf.DUMMYFUNCTION("""COMPUTED_VALUE"""),"SEÇÃO")</f>
        <v>SEÇÃO</v>
      </c>
      <c r="E74" s="34" t="str">
        <f>IFERROR(__xludf.DUMMYFUNCTION("""COMPUTED_VALUE"""),"3 - SETOR DE MEIOS")</f>
        <v>3 - SETOR DE MEIOS</v>
      </c>
      <c r="F74" s="34" t="str">
        <f>IFERROR(__xludf.DUMMYFUNCTION("""COMPUTED_VALUE"""),"SETOR DE MEIOS")</f>
        <v>SETOR DE MEIOS</v>
      </c>
      <c r="G74" s="35"/>
      <c r="H74" s="34"/>
      <c r="I74" s="37"/>
    </row>
    <row r="75" ht="22.5" customHeight="1">
      <c r="A75" s="30">
        <f>IFERROR(__xludf.DUMMYFUNCTION("""COMPUTED_VALUE"""),663.0)</f>
        <v>663</v>
      </c>
      <c r="B75" s="31" t="str">
        <f>IFERROR(__xludf.DUMMYFUNCTION("""COMPUTED_VALUE"""),"ESTANTE DE AÇO")</f>
        <v>ESTANTE DE AÇO</v>
      </c>
      <c r="C75" s="32">
        <f>IFERROR(__xludf.DUMMYFUNCTION("""COMPUTED_VALUE"""),2.0)</f>
        <v>2</v>
      </c>
      <c r="D75" s="33" t="str">
        <f>IFERROR(__xludf.DUMMYFUNCTION("""COMPUTED_VALUE"""),"SEÇÃO")</f>
        <v>SEÇÃO</v>
      </c>
      <c r="E75" s="34" t="str">
        <f>IFERROR(__xludf.DUMMYFUNCTION("""COMPUTED_VALUE"""),"3 - SETOR DE MEIOS")</f>
        <v>3 - SETOR DE MEIOS</v>
      </c>
      <c r="F75" s="34" t="str">
        <f>IFERROR(__xludf.DUMMYFUNCTION("""COMPUTED_VALUE"""),"SETOR DE MEIOS")</f>
        <v>SETOR DE MEIOS</v>
      </c>
      <c r="G75" s="35"/>
      <c r="H75" s="34"/>
      <c r="I75" s="37"/>
    </row>
    <row r="76" ht="22.5" customHeight="1">
      <c r="A76" s="30">
        <f>IFERROR(__xludf.DUMMYFUNCTION("""COMPUTED_VALUE"""),664.0)</f>
        <v>664</v>
      </c>
      <c r="B76" s="31" t="str">
        <f>IFERROR(__xludf.DUMMYFUNCTION("""COMPUTED_VALUE"""),"ESTANTE DE MADEIRA")</f>
        <v>ESTANTE DE MADEIRA</v>
      </c>
      <c r="C76" s="32">
        <f>IFERROR(__xludf.DUMMYFUNCTION("""COMPUTED_VALUE"""),3.0)</f>
        <v>3</v>
      </c>
      <c r="D76" s="33" t="str">
        <f>IFERROR(__xludf.DUMMYFUNCTION("""COMPUTED_VALUE"""),"SEÇÃO")</f>
        <v>SEÇÃO</v>
      </c>
      <c r="E76" s="34" t="str">
        <f>IFERROR(__xludf.DUMMYFUNCTION("""COMPUTED_VALUE"""),"3 - SETOR DE MEIOS")</f>
        <v>3 - SETOR DE MEIOS</v>
      </c>
      <c r="F76" s="34" t="str">
        <f>IFERROR(__xludf.DUMMYFUNCTION("""COMPUTED_VALUE"""),"SETOR DE MEIOS")</f>
        <v>SETOR DE MEIOS</v>
      </c>
      <c r="G76" s="35"/>
      <c r="H76" s="34"/>
      <c r="I76" s="37"/>
    </row>
    <row r="77" ht="22.5" customHeight="1">
      <c r="A77" s="30">
        <f>IFERROR(__xludf.DUMMYFUNCTION("""COMPUTED_VALUE"""),665.0)</f>
        <v>665</v>
      </c>
      <c r="B77" s="31" t="str">
        <f>IFERROR(__xludf.DUMMYFUNCTION("""COMPUTED_VALUE"""),"FOICE")</f>
        <v>FOICE</v>
      </c>
      <c r="C77" s="32">
        <f>IFERROR(__xludf.DUMMYFUNCTION("""COMPUTED_VALUE"""),2.0)</f>
        <v>2</v>
      </c>
      <c r="D77" s="33" t="str">
        <f>IFERROR(__xludf.DUMMYFUNCTION("""COMPUTED_VALUE"""),"SEÇÃO")</f>
        <v>SEÇÃO</v>
      </c>
      <c r="E77" s="34" t="str">
        <f>IFERROR(__xludf.DUMMYFUNCTION("""COMPUTED_VALUE"""),"3 - SETOR DE MEIOS")</f>
        <v>3 - SETOR DE MEIOS</v>
      </c>
      <c r="F77" s="34" t="str">
        <f>IFERROR(__xludf.DUMMYFUNCTION("""COMPUTED_VALUE"""),"SETOR DE MEIOS")</f>
        <v>SETOR DE MEIOS</v>
      </c>
      <c r="G77" s="35"/>
      <c r="H77" s="34"/>
      <c r="I77" s="37"/>
    </row>
    <row r="78" ht="22.5" customHeight="1">
      <c r="A78" s="30">
        <f>IFERROR(__xludf.DUMMYFUNCTION("""COMPUTED_VALUE"""),666.0)</f>
        <v>666</v>
      </c>
      <c r="B78" s="31" t="str">
        <f>IFERROR(__xludf.DUMMYFUNCTION("""COMPUTED_VALUE"""),"GALÃO DE LGE")</f>
        <v>GALÃO DE LGE</v>
      </c>
      <c r="C78" s="32">
        <f>IFERROR(__xludf.DUMMYFUNCTION("""COMPUTED_VALUE"""),4.0)</f>
        <v>4</v>
      </c>
      <c r="D78" s="33" t="str">
        <f>IFERROR(__xludf.DUMMYFUNCTION("""COMPUTED_VALUE"""),"SEÇÃO")</f>
        <v>SEÇÃO</v>
      </c>
      <c r="E78" s="34" t="str">
        <f>IFERROR(__xludf.DUMMYFUNCTION("""COMPUTED_VALUE"""),"3 - SETOR DE MEIOS")</f>
        <v>3 - SETOR DE MEIOS</v>
      </c>
      <c r="F78" s="34" t="str">
        <f>IFERROR(__xludf.DUMMYFUNCTION("""COMPUTED_VALUE"""),"SETOR DE MEIOS")</f>
        <v>SETOR DE MEIOS</v>
      </c>
      <c r="G78" s="35">
        <f>IFERROR(__xludf.DUMMYFUNCTION("""COMPUTED_VALUE"""),45597.0)</f>
        <v>45597</v>
      </c>
      <c r="H78" s="34"/>
      <c r="I78" s="37" t="str">
        <f>IFERROR(__xludf.DUMMYFUNCTION("""COMPUTED_VALUE"""),"02 transferidos para abts5911")</f>
        <v>02 transferidos para abts5911</v>
      </c>
    </row>
    <row r="79" ht="22.5" customHeight="1">
      <c r="A79" s="30">
        <f>IFERROR(__xludf.DUMMYFUNCTION("""COMPUTED_VALUE"""),668.0)</f>
        <v>668</v>
      </c>
      <c r="B79" s="31" t="str">
        <f>IFERROR(__xludf.DUMMYFUNCTION("""COMPUTED_VALUE"""),"GARFO COM 10 DENTES")</f>
        <v>GARFO COM 10 DENTES</v>
      </c>
      <c r="C79" s="32">
        <f>IFERROR(__xludf.DUMMYFUNCTION("""COMPUTED_VALUE"""),2.0)</f>
        <v>2</v>
      </c>
      <c r="D79" s="33" t="str">
        <f>IFERROR(__xludf.DUMMYFUNCTION("""COMPUTED_VALUE"""),"SEÇÃO")</f>
        <v>SEÇÃO</v>
      </c>
      <c r="E79" s="34" t="str">
        <f>IFERROR(__xludf.DUMMYFUNCTION("""COMPUTED_VALUE"""),"3 - SETOR DE MEIOS")</f>
        <v>3 - SETOR DE MEIOS</v>
      </c>
      <c r="F79" s="34" t="str">
        <f>IFERROR(__xludf.DUMMYFUNCTION("""COMPUTED_VALUE"""),"SETOR DE MEIOS")</f>
        <v>SETOR DE MEIOS</v>
      </c>
      <c r="G79" s="35"/>
      <c r="H79" s="34"/>
      <c r="I79" s="37"/>
    </row>
    <row r="80" ht="22.5" customHeight="1">
      <c r="A80" s="30">
        <f>IFERROR(__xludf.DUMMYFUNCTION("""COMPUTED_VALUE"""),667.0)</f>
        <v>667</v>
      </c>
      <c r="B80" s="31" t="str">
        <f>IFERROR(__xludf.DUMMYFUNCTION("""COMPUTED_VALUE"""),"GARFO COM 4 DENTES")</f>
        <v>GARFO COM 4 DENTES</v>
      </c>
      <c r="C80" s="32">
        <f>IFERROR(__xludf.DUMMYFUNCTION("""COMPUTED_VALUE"""),2.0)</f>
        <v>2</v>
      </c>
      <c r="D80" s="33" t="str">
        <f>IFERROR(__xludf.DUMMYFUNCTION("""COMPUTED_VALUE"""),"SEÇÃO")</f>
        <v>SEÇÃO</v>
      </c>
      <c r="E80" s="34" t="str">
        <f>IFERROR(__xludf.DUMMYFUNCTION("""COMPUTED_VALUE"""),"3 - SETOR DE MEIOS")</f>
        <v>3 - SETOR DE MEIOS</v>
      </c>
      <c r="F80" s="34" t="str">
        <f>IFERROR(__xludf.DUMMYFUNCTION("""COMPUTED_VALUE"""),"SETOR DE MEIOS")</f>
        <v>SETOR DE MEIOS</v>
      </c>
      <c r="G80" s="35"/>
      <c r="H80" s="34"/>
      <c r="I80" s="37"/>
    </row>
    <row r="81" ht="22.5" customHeight="1">
      <c r="A81" s="30">
        <f>IFERROR(__xludf.DUMMYFUNCTION("""COMPUTED_VALUE"""),669.0)</f>
        <v>669</v>
      </c>
      <c r="B81" s="31" t="str">
        <f>IFERROR(__xludf.DUMMYFUNCTION("""COMPUTED_VALUE"""),"GARRAFA TERMICA -")</f>
        <v>GARRAFA TERMICA -</v>
      </c>
      <c r="C81" s="32">
        <f>IFERROR(__xludf.DUMMYFUNCTION("""COMPUTED_VALUE"""),1.0)</f>
        <v>1</v>
      </c>
      <c r="D81" s="33" t="str">
        <f>IFERROR(__xludf.DUMMYFUNCTION("""COMPUTED_VALUE"""),"SEÇÃO")</f>
        <v>SEÇÃO</v>
      </c>
      <c r="E81" s="34" t="str">
        <f>IFERROR(__xludf.DUMMYFUNCTION("""COMPUTED_VALUE"""),"3 - SETOR DE MEIOS")</f>
        <v>3 - SETOR DE MEIOS</v>
      </c>
      <c r="F81" s="34" t="str">
        <f>IFERROR(__xludf.DUMMYFUNCTION("""COMPUTED_VALUE"""),"SETOR DE MEIOS")</f>
        <v>SETOR DE MEIOS</v>
      </c>
      <c r="G81" s="35">
        <f>IFERROR(__xludf.DUMMYFUNCTION("""COMPUTED_VALUE"""),45527.0)</f>
        <v>45527</v>
      </c>
      <c r="H81" s="34"/>
      <c r="I81" s="37" t="str">
        <f>IFERROR(__xludf.DUMMYFUNCTION("""COMPUTED_VALUE"""),"GARRAFA DE 5L - SOPRANO")</f>
        <v>GARRAFA DE 5L - SOPRANO</v>
      </c>
    </row>
    <row r="82" ht="22.5" customHeight="1">
      <c r="A82" s="30">
        <f>IFERROR(__xludf.DUMMYFUNCTION("""COMPUTED_VALUE"""),355.0)</f>
        <v>355</v>
      </c>
      <c r="B82" s="31" t="str">
        <f>IFERROR(__xludf.DUMMYFUNCTION("""COMPUTED_VALUE"""),"GERADOR PORTATIL -")</f>
        <v>GERADOR PORTATIL -</v>
      </c>
      <c r="C82" s="32">
        <f>IFERROR(__xludf.DUMMYFUNCTION("""COMPUTED_VALUE"""),1.0)</f>
        <v>1</v>
      </c>
      <c r="D82" s="33" t="str">
        <f>IFERROR(__xludf.DUMMYFUNCTION("""COMPUTED_VALUE"""),"SEÇÃO")</f>
        <v>SEÇÃO</v>
      </c>
      <c r="E82" s="34" t="str">
        <f>IFERROR(__xludf.DUMMYFUNCTION("""COMPUTED_VALUE"""),"3 - SETOR DE MEIOS")</f>
        <v>3 - SETOR DE MEIOS</v>
      </c>
      <c r="F82" s="34" t="str">
        <f>IFERROR(__xludf.DUMMYFUNCTION("""COMPUTED_VALUE"""),"SETOR DE MEIOS")</f>
        <v>SETOR DE MEIOS</v>
      </c>
      <c r="G82" s="35">
        <f>IFERROR(__xludf.DUMMYFUNCTION("""COMPUTED_VALUE"""),1.3968815E7)</f>
        <v>13968815</v>
      </c>
      <c r="H82" s="34"/>
      <c r="I82" s="37"/>
    </row>
    <row r="83" ht="22.5" customHeight="1">
      <c r="A83" s="30">
        <f>IFERROR(__xludf.DUMMYFUNCTION("""COMPUTED_VALUE"""),670.0)</f>
        <v>670</v>
      </c>
      <c r="B83" s="31" t="str">
        <f>IFERROR(__xludf.DUMMYFUNCTION("""COMPUTED_VALUE"""),"GORGUI")</f>
        <v>GORGUI</v>
      </c>
      <c r="C83" s="32">
        <f>IFERROR(__xludf.DUMMYFUNCTION("""COMPUTED_VALUE"""),1.0)</f>
        <v>1</v>
      </c>
      <c r="D83" s="33" t="str">
        <f>IFERROR(__xludf.DUMMYFUNCTION("""COMPUTED_VALUE"""),"SEÇÃO")</f>
        <v>SEÇÃO</v>
      </c>
      <c r="E83" s="34" t="str">
        <f>IFERROR(__xludf.DUMMYFUNCTION("""COMPUTED_VALUE"""),"3 - SETOR DE MEIOS")</f>
        <v>3 - SETOR DE MEIOS</v>
      </c>
      <c r="F83" s="34" t="str">
        <f>IFERROR(__xludf.DUMMYFUNCTION("""COMPUTED_VALUE"""),"SETOR DE MEIOS")</f>
        <v>SETOR DE MEIOS</v>
      </c>
      <c r="G83" s="35"/>
      <c r="H83" s="34"/>
      <c r="I83" s="37"/>
    </row>
    <row r="84" ht="22.5" customHeight="1">
      <c r="A84" s="30">
        <f>IFERROR(__xludf.DUMMYFUNCTION("""COMPUTED_VALUE"""),672.0)</f>
        <v>672</v>
      </c>
      <c r="B84" s="31" t="str">
        <f>IFERROR(__xludf.DUMMYFUNCTION("""COMPUTED_VALUE"""),"MACACÃO NÍVEL ""C"" 02 - ROUPÃO, 02 BOTAS, 02 MÁSCARAS FACIAIS (KIT DA VIBRA)")</f>
        <v>MACACÃO NÍVEL "C" 02 - ROUPÃO, 02 BOTAS, 02 MÁSCARAS FACIAIS (KIT DA VIBRA)</v>
      </c>
      <c r="C84" s="32">
        <f>IFERROR(__xludf.DUMMYFUNCTION("""COMPUTED_VALUE"""),1.0)</f>
        <v>1</v>
      </c>
      <c r="D84" s="33" t="str">
        <f>IFERROR(__xludf.DUMMYFUNCTION("""COMPUTED_VALUE"""),"SEÇÃO")</f>
        <v>SEÇÃO</v>
      </c>
      <c r="E84" s="34" t="str">
        <f>IFERROR(__xludf.DUMMYFUNCTION("""COMPUTED_VALUE"""),"3 - SETOR DE MEIOS")</f>
        <v>3 - SETOR DE MEIOS</v>
      </c>
      <c r="F84" s="34" t="str">
        <f>IFERROR(__xludf.DUMMYFUNCTION("""COMPUTED_VALUE"""),"SETOR DE MEIOS")</f>
        <v>SETOR DE MEIOS</v>
      </c>
      <c r="G84" s="35"/>
      <c r="H84" s="34"/>
      <c r="I84" s="37"/>
    </row>
    <row r="85" ht="22.5" customHeight="1">
      <c r="A85" s="30">
        <f>IFERROR(__xludf.DUMMYFUNCTION("""COMPUTED_VALUE"""),673.0)</f>
        <v>673</v>
      </c>
      <c r="B85" s="31" t="str">
        <f>IFERROR(__xludf.DUMMYFUNCTION("""COMPUTED_VALUE"""),"MACHADINHA")</f>
        <v>MACHADINHA</v>
      </c>
      <c r="C85" s="32">
        <f>IFERROR(__xludf.DUMMYFUNCTION("""COMPUTED_VALUE"""),1.0)</f>
        <v>1</v>
      </c>
      <c r="D85" s="33" t="str">
        <f>IFERROR(__xludf.DUMMYFUNCTION("""COMPUTED_VALUE"""),"SEÇÃO")</f>
        <v>SEÇÃO</v>
      </c>
      <c r="E85" s="34" t="str">
        <f>IFERROR(__xludf.DUMMYFUNCTION("""COMPUTED_VALUE"""),"3 - SETOR DE MEIOS")</f>
        <v>3 - SETOR DE MEIOS</v>
      </c>
      <c r="F85" s="34" t="str">
        <f>IFERROR(__xludf.DUMMYFUNCTION("""COMPUTED_VALUE"""),"SETOR DE MEIOS")</f>
        <v>SETOR DE MEIOS</v>
      </c>
      <c r="G85" s="35"/>
      <c r="H85" s="34"/>
      <c r="I85" s="37"/>
    </row>
    <row r="86" ht="22.5" customHeight="1">
      <c r="A86" s="30">
        <f>IFERROR(__xludf.DUMMYFUNCTION("""COMPUTED_VALUE"""),674.0)</f>
        <v>674</v>
      </c>
      <c r="B86" s="31" t="str">
        <f>IFERROR(__xludf.DUMMYFUNCTION("""COMPUTED_VALUE"""),"MACHADO CABO COMPRIDO")</f>
        <v>MACHADO CABO COMPRIDO</v>
      </c>
      <c r="C86" s="32">
        <f>IFERROR(__xludf.DUMMYFUNCTION("""COMPUTED_VALUE"""),1.0)</f>
        <v>1</v>
      </c>
      <c r="D86" s="33" t="str">
        <f>IFERROR(__xludf.DUMMYFUNCTION("""COMPUTED_VALUE"""),"SEÇÃO")</f>
        <v>SEÇÃO</v>
      </c>
      <c r="E86" s="34" t="str">
        <f>IFERROR(__xludf.DUMMYFUNCTION("""COMPUTED_VALUE"""),"3 - SETOR DE MEIOS")</f>
        <v>3 - SETOR DE MEIOS</v>
      </c>
      <c r="F86" s="34" t="str">
        <f>IFERROR(__xludf.DUMMYFUNCTION("""COMPUTED_VALUE"""),"SETOR DE MEIOS")</f>
        <v>SETOR DE MEIOS</v>
      </c>
      <c r="G86" s="35"/>
      <c r="H86" s="34"/>
      <c r="I86" s="37"/>
    </row>
    <row r="87" ht="22.5" customHeight="1">
      <c r="A87" s="30">
        <f>IFERROR(__xludf.DUMMYFUNCTION("""COMPUTED_VALUE"""),675.0)</f>
        <v>675</v>
      </c>
      <c r="B87" s="31" t="str">
        <f>IFERROR(__xludf.DUMMYFUNCTION("""COMPUTED_VALUE"""),"MALHO 5KG")</f>
        <v>MALHO 5KG</v>
      </c>
      <c r="C87" s="32">
        <f>IFERROR(__xludf.DUMMYFUNCTION("""COMPUTED_VALUE"""),1.0)</f>
        <v>1</v>
      </c>
      <c r="D87" s="33" t="str">
        <f>IFERROR(__xludf.DUMMYFUNCTION("""COMPUTED_VALUE"""),"SEÇÃO")</f>
        <v>SEÇÃO</v>
      </c>
      <c r="E87" s="34" t="str">
        <f>IFERROR(__xludf.DUMMYFUNCTION("""COMPUTED_VALUE"""),"3 - SETOR DE MEIOS")</f>
        <v>3 - SETOR DE MEIOS</v>
      </c>
      <c r="F87" s="34" t="str">
        <f>IFERROR(__xludf.DUMMYFUNCTION("""COMPUTED_VALUE"""),"SETOR DE MEIOS")</f>
        <v>SETOR DE MEIOS</v>
      </c>
      <c r="G87" s="35"/>
      <c r="H87" s="34"/>
      <c r="I87" s="37"/>
    </row>
    <row r="88" ht="22.5" customHeight="1">
      <c r="A88" s="30">
        <f>IFERROR(__xludf.DUMMYFUNCTION("""COMPUTED_VALUE"""),676.0)</f>
        <v>676</v>
      </c>
      <c r="B88" s="31" t="str">
        <f>IFERROR(__xludf.DUMMYFUNCTION("""COMPUTED_VALUE"""),"MARRETA PEQUENA")</f>
        <v>MARRETA PEQUENA</v>
      </c>
      <c r="C88" s="32">
        <f>IFERROR(__xludf.DUMMYFUNCTION("""COMPUTED_VALUE"""),1.0)</f>
        <v>1</v>
      </c>
      <c r="D88" s="33" t="str">
        <f>IFERROR(__xludf.DUMMYFUNCTION("""COMPUTED_VALUE"""),"SEÇÃO")</f>
        <v>SEÇÃO</v>
      </c>
      <c r="E88" s="34" t="str">
        <f>IFERROR(__xludf.DUMMYFUNCTION("""COMPUTED_VALUE"""),"3 - SETOR DE MEIOS")</f>
        <v>3 - SETOR DE MEIOS</v>
      </c>
      <c r="F88" s="34" t="str">
        <f>IFERROR(__xludf.DUMMYFUNCTION("""COMPUTED_VALUE"""),"SETOR DE MEIOS")</f>
        <v>SETOR DE MEIOS</v>
      </c>
      <c r="G88" s="35"/>
      <c r="H88" s="34"/>
      <c r="I88" s="37"/>
    </row>
    <row r="89" ht="22.5" customHeight="1">
      <c r="A89" s="30">
        <f>IFERROR(__xludf.DUMMYFUNCTION("""COMPUTED_VALUE"""),677.0)</f>
        <v>677</v>
      </c>
      <c r="B89" s="31" t="str">
        <f>IFERROR(__xludf.DUMMYFUNCTION("""COMPUTED_VALUE"""),"MARTELO")</f>
        <v>MARTELO</v>
      </c>
      <c r="C89" s="32">
        <f>IFERROR(__xludf.DUMMYFUNCTION("""COMPUTED_VALUE"""),1.0)</f>
        <v>1</v>
      </c>
      <c r="D89" s="33" t="str">
        <f>IFERROR(__xludf.DUMMYFUNCTION("""COMPUTED_VALUE"""),"SEÇÃO")</f>
        <v>SEÇÃO</v>
      </c>
      <c r="E89" s="34" t="str">
        <f>IFERROR(__xludf.DUMMYFUNCTION("""COMPUTED_VALUE"""),"3 - SETOR DE MEIOS")</f>
        <v>3 - SETOR DE MEIOS</v>
      </c>
      <c r="F89" s="34" t="str">
        <f>IFERROR(__xludf.DUMMYFUNCTION("""COMPUTED_VALUE"""),"SETOR DE MEIOS")</f>
        <v>SETOR DE MEIOS</v>
      </c>
      <c r="G89" s="35"/>
      <c r="H89" s="34"/>
      <c r="I89" s="37"/>
    </row>
    <row r="90" ht="22.5" customHeight="1">
      <c r="A90" s="30">
        <f>IFERROR(__xludf.DUMMYFUNCTION("""COMPUTED_VALUE"""),678.0)</f>
        <v>678</v>
      </c>
      <c r="B90" s="31" t="str">
        <f>IFERROR(__xludf.DUMMYFUNCTION("""COMPUTED_VALUE"""),"MOITÃO")</f>
        <v>MOITÃO</v>
      </c>
      <c r="C90" s="32">
        <f>IFERROR(__xludf.DUMMYFUNCTION("""COMPUTED_VALUE"""),4.0)</f>
        <v>4</v>
      </c>
      <c r="D90" s="33" t="str">
        <f>IFERROR(__xludf.DUMMYFUNCTION("""COMPUTED_VALUE"""),"SEÇÃO")</f>
        <v>SEÇÃO</v>
      </c>
      <c r="E90" s="34" t="str">
        <f>IFERROR(__xludf.DUMMYFUNCTION("""COMPUTED_VALUE"""),"3 - SETOR DE MEIOS")</f>
        <v>3 - SETOR DE MEIOS</v>
      </c>
      <c r="F90" s="34" t="str">
        <f>IFERROR(__xludf.DUMMYFUNCTION("""COMPUTED_VALUE"""),"SETOR DE MEIOS")</f>
        <v>SETOR DE MEIOS</v>
      </c>
      <c r="G90" s="35"/>
      <c r="H90" s="34"/>
      <c r="I90" s="37" t="str">
        <f>IFERROR(__xludf.DUMMYFUNCTION("""COMPUTED_VALUE"""),"VOITÃO COM TRÊS ROLDANAS")</f>
        <v>VOITÃO COM TRÊS ROLDANAS</v>
      </c>
    </row>
    <row r="91" ht="22.5" customHeight="1">
      <c r="A91" s="30">
        <f>IFERROR(__xludf.DUMMYFUNCTION("""COMPUTED_VALUE"""),525.0)</f>
        <v>525</v>
      </c>
      <c r="B91" s="31" t="str">
        <f>IFERROR(__xludf.DUMMYFUNCTION("""COMPUTED_VALUE"""),"MOTOBOMBA DE SUCÇÃO - TOYAMA")</f>
        <v>MOTOBOMBA DE SUCÇÃO - TOYAMA</v>
      </c>
      <c r="C91" s="32">
        <f>IFERROR(__xludf.DUMMYFUNCTION("""COMPUTED_VALUE"""),1.0)</f>
        <v>1</v>
      </c>
      <c r="D91" s="33" t="str">
        <f>IFERROR(__xludf.DUMMYFUNCTION("""COMPUTED_VALUE"""),"SEÇÃO")</f>
        <v>SEÇÃO</v>
      </c>
      <c r="E91" s="34" t="str">
        <f>IFERROR(__xludf.DUMMYFUNCTION("""COMPUTED_VALUE"""),"3 - SETOR DE MEIOS")</f>
        <v>3 - SETOR DE MEIOS</v>
      </c>
      <c r="F91" s="34" t="str">
        <f>IFERROR(__xludf.DUMMYFUNCTION("""COMPUTED_VALUE"""),"SETOR DE MEIOS")</f>
        <v>SETOR DE MEIOS</v>
      </c>
      <c r="G91" s="35">
        <f>IFERROR(__xludf.DUMMYFUNCTION("""COMPUTED_VALUE"""),1.3891103E7)</f>
        <v>13891103</v>
      </c>
      <c r="H91" s="34"/>
      <c r="I91" s="37" t="str">
        <f>IFERROR(__xludf.DUMMYFUNCTION("""COMPUTED_VALUE"""),"SEM MANGOTE")</f>
        <v>SEM MANGOTE</v>
      </c>
    </row>
    <row r="92" ht="22.5" customHeight="1">
      <c r="A92" s="30">
        <f>IFERROR(__xludf.DUMMYFUNCTION("""COMPUTED_VALUE"""),679.0)</f>
        <v>679</v>
      </c>
      <c r="B92" s="31" t="str">
        <f>IFERROR(__xludf.DUMMYFUNCTION("""COMPUTED_VALUE"""),"PÁ DE BICO")</f>
        <v>PÁ DE BICO</v>
      </c>
      <c r="C92" s="32">
        <f>IFERROR(__xludf.DUMMYFUNCTION("""COMPUTED_VALUE"""),3.0)</f>
        <v>3</v>
      </c>
      <c r="D92" s="33" t="str">
        <f>IFERROR(__xludf.DUMMYFUNCTION("""COMPUTED_VALUE"""),"SEÇÃO")</f>
        <v>SEÇÃO</v>
      </c>
      <c r="E92" s="34" t="str">
        <f>IFERROR(__xludf.DUMMYFUNCTION("""COMPUTED_VALUE"""),"3 - SETOR DE MEIOS")</f>
        <v>3 - SETOR DE MEIOS</v>
      </c>
      <c r="F92" s="34" t="str">
        <f>IFERROR(__xludf.DUMMYFUNCTION("""COMPUTED_VALUE"""),"SETOR DE MEIOS")</f>
        <v>SETOR DE MEIOS</v>
      </c>
      <c r="G92" s="35"/>
      <c r="H92" s="34"/>
      <c r="I92" s="37"/>
    </row>
    <row r="93" ht="22.5" customHeight="1">
      <c r="A93" s="30">
        <f>IFERROR(__xludf.DUMMYFUNCTION("""COMPUTED_VALUE"""),680.0)</f>
        <v>680</v>
      </c>
      <c r="B93" s="31" t="str">
        <f>IFERROR(__xludf.DUMMYFUNCTION("""COMPUTED_VALUE"""),"PÁ QUADRADA")</f>
        <v>PÁ QUADRADA</v>
      </c>
      <c r="C93" s="32">
        <f>IFERROR(__xludf.DUMMYFUNCTION("""COMPUTED_VALUE"""),1.0)</f>
        <v>1</v>
      </c>
      <c r="D93" s="33" t="str">
        <f>IFERROR(__xludf.DUMMYFUNCTION("""COMPUTED_VALUE"""),"SEÇÃO")</f>
        <v>SEÇÃO</v>
      </c>
      <c r="E93" s="34" t="str">
        <f>IFERROR(__xludf.DUMMYFUNCTION("""COMPUTED_VALUE"""),"3 - SETOR DE MEIOS")</f>
        <v>3 - SETOR DE MEIOS</v>
      </c>
      <c r="F93" s="34" t="str">
        <f>IFERROR(__xludf.DUMMYFUNCTION("""COMPUTED_VALUE"""),"SETOR DE MEIOS")</f>
        <v>SETOR DE MEIOS</v>
      </c>
      <c r="G93" s="35"/>
      <c r="H93" s="34"/>
      <c r="I93" s="37"/>
    </row>
    <row r="94" ht="22.5" customHeight="1">
      <c r="A94" s="30">
        <f>IFERROR(__xludf.DUMMYFUNCTION("""COMPUTED_VALUE"""),681.0)</f>
        <v>681</v>
      </c>
      <c r="B94" s="40" t="str">
        <f>IFERROR(__xludf.DUMMYFUNCTION("""COMPUTED_VALUE"""),"PERNEIRA (PAR)")</f>
        <v>PERNEIRA (PAR)</v>
      </c>
      <c r="C94" s="32">
        <f>IFERROR(__xludf.DUMMYFUNCTION("""COMPUTED_VALUE"""),2.0)</f>
        <v>2</v>
      </c>
      <c r="D94" s="33" t="str">
        <f>IFERROR(__xludf.DUMMYFUNCTION("""COMPUTED_VALUE"""),"SEÇÃO")</f>
        <v>SEÇÃO</v>
      </c>
      <c r="E94" s="34" t="str">
        <f>IFERROR(__xludf.DUMMYFUNCTION("""COMPUTED_VALUE"""),"3 - SETOR DE MEIOS")</f>
        <v>3 - SETOR DE MEIOS</v>
      </c>
      <c r="F94" s="34" t="str">
        <f>IFERROR(__xludf.DUMMYFUNCTION("""COMPUTED_VALUE"""),"SETOR DE MEIOS")</f>
        <v>SETOR DE MEIOS</v>
      </c>
      <c r="G94" s="35"/>
      <c r="H94" s="34"/>
      <c r="I94" s="37"/>
    </row>
    <row r="95" ht="22.5" customHeight="1">
      <c r="A95" s="30">
        <f>IFERROR(__xludf.DUMMYFUNCTION("""COMPUTED_VALUE"""),682.0)</f>
        <v>682</v>
      </c>
      <c r="B95" s="31" t="str">
        <f>IFERROR(__xludf.DUMMYFUNCTION("""COMPUTED_VALUE"""),"PICARETA")</f>
        <v>PICARETA</v>
      </c>
      <c r="C95" s="32">
        <f>IFERROR(__xludf.DUMMYFUNCTION("""COMPUTED_VALUE"""),2.0)</f>
        <v>2</v>
      </c>
      <c r="D95" s="33" t="str">
        <f>IFERROR(__xludf.DUMMYFUNCTION("""COMPUTED_VALUE"""),"SEÇÃO")</f>
        <v>SEÇÃO</v>
      </c>
      <c r="E95" s="34" t="str">
        <f>IFERROR(__xludf.DUMMYFUNCTION("""COMPUTED_VALUE"""),"3 - SETOR DE MEIOS")</f>
        <v>3 - SETOR DE MEIOS</v>
      </c>
      <c r="F95" s="34" t="str">
        <f>IFERROR(__xludf.DUMMYFUNCTION("""COMPUTED_VALUE"""),"SETOR DE MEIOS")</f>
        <v>SETOR DE MEIOS</v>
      </c>
      <c r="G95" s="35"/>
      <c r="H95" s="34"/>
      <c r="I95" s="37"/>
    </row>
    <row r="96" ht="22.5" customHeight="1">
      <c r="A96" s="30">
        <f>IFERROR(__xludf.DUMMYFUNCTION("""COMPUTED_VALUE"""),683.0)</f>
        <v>683</v>
      </c>
      <c r="B96" s="31" t="str">
        <f>IFERROR(__xludf.DUMMYFUNCTION("""COMPUTED_VALUE"""),"PONTEIRO")</f>
        <v>PONTEIRO</v>
      </c>
      <c r="C96" s="32">
        <f>IFERROR(__xludf.DUMMYFUNCTION("""COMPUTED_VALUE"""),1.0)</f>
        <v>1</v>
      </c>
      <c r="D96" s="33" t="str">
        <f>IFERROR(__xludf.DUMMYFUNCTION("""COMPUTED_VALUE"""),"SEÇÃO")</f>
        <v>SEÇÃO</v>
      </c>
      <c r="E96" s="34" t="str">
        <f>IFERROR(__xludf.DUMMYFUNCTION("""COMPUTED_VALUE"""),"3 - SETOR DE MEIOS")</f>
        <v>3 - SETOR DE MEIOS</v>
      </c>
      <c r="F96" s="34" t="str">
        <f>IFERROR(__xludf.DUMMYFUNCTION("""COMPUTED_VALUE"""),"SETOR DE MEIOS")</f>
        <v>SETOR DE MEIOS</v>
      </c>
      <c r="G96" s="35"/>
      <c r="H96" s="34"/>
      <c r="I96" s="37"/>
    </row>
    <row r="97" ht="22.5" customHeight="1">
      <c r="A97" s="30">
        <f>IFERROR(__xludf.DUMMYFUNCTION("""COMPUTED_VALUE"""),684.0)</f>
        <v>684</v>
      </c>
      <c r="B97" s="31" t="str">
        <f>IFERROR(__xludf.DUMMYFUNCTION("""COMPUTED_VALUE"""),"ROUPÃO NÍVEL A ")</f>
        <v>ROUPÃO NÍVEL A </v>
      </c>
      <c r="C97" s="32">
        <f>IFERROR(__xludf.DUMMYFUNCTION("""COMPUTED_VALUE"""),2.0)</f>
        <v>2</v>
      </c>
      <c r="D97" s="33" t="str">
        <f>IFERROR(__xludf.DUMMYFUNCTION("""COMPUTED_VALUE"""),"SEÇÃO")</f>
        <v>SEÇÃO</v>
      </c>
      <c r="E97" s="34" t="str">
        <f>IFERROR(__xludf.DUMMYFUNCTION("""COMPUTED_VALUE"""),"3 - SETOR DE MEIOS")</f>
        <v>3 - SETOR DE MEIOS</v>
      </c>
      <c r="F97" s="34" t="str">
        <f>IFERROR(__xludf.DUMMYFUNCTION("""COMPUTED_VALUE"""),"SETOR DE MEIOS")</f>
        <v>SETOR DE MEIOS</v>
      </c>
      <c r="G97" s="35"/>
      <c r="H97" s="34"/>
      <c r="I97" s="37" t="str">
        <f>IFERROR(__xludf.DUMMYFUNCTION("""COMPUTED_VALUE"""),"COM BOLSA AZUL")</f>
        <v>COM BOLSA AZUL</v>
      </c>
    </row>
    <row r="98" ht="22.5" customHeight="1">
      <c r="A98" s="30">
        <f>IFERROR(__xludf.DUMMYFUNCTION("""COMPUTED_VALUE"""),685.0)</f>
        <v>685</v>
      </c>
      <c r="B98" s="31" t="str">
        <f>IFERROR(__xludf.DUMMYFUNCTION("""COMPUTED_VALUE"""),"SEGUETA")</f>
        <v>SEGUETA</v>
      </c>
      <c r="C98" s="32">
        <f>IFERROR(__xludf.DUMMYFUNCTION("""COMPUTED_VALUE"""),1.0)</f>
        <v>1</v>
      </c>
      <c r="D98" s="33" t="str">
        <f>IFERROR(__xludf.DUMMYFUNCTION("""COMPUTED_VALUE"""),"SEÇÃO")</f>
        <v>SEÇÃO</v>
      </c>
      <c r="E98" s="34" t="str">
        <f>IFERROR(__xludf.DUMMYFUNCTION("""COMPUTED_VALUE"""),"3 - SETOR DE MEIOS")</f>
        <v>3 - SETOR DE MEIOS</v>
      </c>
      <c r="F98" s="34" t="str">
        <f>IFERROR(__xludf.DUMMYFUNCTION("""COMPUTED_VALUE"""),"SETOR DE MEIOS")</f>
        <v>SETOR DE MEIOS</v>
      </c>
      <c r="G98" s="35"/>
      <c r="H98" s="34"/>
      <c r="I98" s="38" t="str">
        <f>IFERROR(__xludf.DUMMYFUNCTION("""COMPUTED_VALUE"""),"COM MAIS UM ARCO DE SERRA COM SERRA")</f>
        <v>COM MAIS UM ARCO DE SERRA COM SERRA</v>
      </c>
    </row>
    <row r="99" ht="22.5" customHeight="1">
      <c r="A99" s="30">
        <f>IFERROR(__xludf.DUMMYFUNCTION("""COMPUTED_VALUE"""),686.0)</f>
        <v>686</v>
      </c>
      <c r="B99" s="39" t="str">
        <f>IFERROR(__xludf.DUMMYFUNCTION("""COMPUTED_VALUE"""),"SERROTE")</f>
        <v>SERROTE</v>
      </c>
      <c r="C99" s="32">
        <f>IFERROR(__xludf.DUMMYFUNCTION("""COMPUTED_VALUE"""),1.0)</f>
        <v>1</v>
      </c>
      <c r="D99" s="33" t="str">
        <f>IFERROR(__xludf.DUMMYFUNCTION("""COMPUTED_VALUE"""),"SEÇÃO")</f>
        <v>SEÇÃO</v>
      </c>
      <c r="E99" s="34" t="str">
        <f>IFERROR(__xludf.DUMMYFUNCTION("""COMPUTED_VALUE"""),"3 - SETOR DE MEIOS")</f>
        <v>3 - SETOR DE MEIOS</v>
      </c>
      <c r="F99" s="34" t="str">
        <f>IFERROR(__xludf.DUMMYFUNCTION("""COMPUTED_VALUE"""),"SETOR DE MEIOS")</f>
        <v>SETOR DE MEIOS</v>
      </c>
      <c r="G99" s="35"/>
      <c r="H99" s="34"/>
      <c r="I99" s="37"/>
    </row>
    <row r="100" ht="22.5" customHeight="1">
      <c r="A100" s="30">
        <f>IFERROR(__xludf.DUMMYFUNCTION("""COMPUTED_VALUE"""),716.0)</f>
        <v>716</v>
      </c>
      <c r="B100" s="31" t="str">
        <f>IFERROR(__xludf.DUMMYFUNCTION("""COMPUTED_VALUE"""),"TALHADEIRA")</f>
        <v>TALHADEIRA</v>
      </c>
      <c r="C100" s="32">
        <f>IFERROR(__xludf.DUMMYFUNCTION("""COMPUTED_VALUE"""),2.0)</f>
        <v>2</v>
      </c>
      <c r="D100" s="33" t="str">
        <f>IFERROR(__xludf.DUMMYFUNCTION("""COMPUTED_VALUE"""),"SEÇÃO")</f>
        <v>SEÇÃO</v>
      </c>
      <c r="E100" s="34" t="str">
        <f>IFERROR(__xludf.DUMMYFUNCTION("""COMPUTED_VALUE"""),"3 - SETOR DE MEIOS")</f>
        <v>3 - SETOR DE MEIOS</v>
      </c>
      <c r="F100" s="34" t="str">
        <f>IFERROR(__xludf.DUMMYFUNCTION("""COMPUTED_VALUE"""),"SETOR DE MEIOS")</f>
        <v>SETOR DE MEIOS</v>
      </c>
      <c r="G100" s="35"/>
      <c r="H100" s="34"/>
      <c r="I100" s="37"/>
    </row>
    <row r="101" ht="22.5" customHeight="1">
      <c r="A101" s="30">
        <f>IFERROR(__xludf.DUMMYFUNCTION("""COMPUTED_VALUE"""),533.0)</f>
        <v>533</v>
      </c>
      <c r="B101" s="31" t="str">
        <f>IFERROR(__xludf.DUMMYFUNCTION("""COMPUTED_VALUE"""),"TRIÉ (ALUMÍNIO)")</f>
        <v>TRIÉ (ALUMÍNIO)</v>
      </c>
      <c r="C101" s="32">
        <f>IFERROR(__xludf.DUMMYFUNCTION("""COMPUTED_VALUE"""),1.0)</f>
        <v>1</v>
      </c>
      <c r="D101" s="33" t="str">
        <f>IFERROR(__xludf.DUMMYFUNCTION("""COMPUTED_VALUE"""),"SEÇÃO")</f>
        <v>SEÇÃO</v>
      </c>
      <c r="E101" s="34" t="str">
        <f>IFERROR(__xludf.DUMMYFUNCTION("""COMPUTED_VALUE"""),"3 - SETOR DE MEIOS")</f>
        <v>3 - SETOR DE MEIOS</v>
      </c>
      <c r="F101" s="34" t="str">
        <f>IFERROR(__xludf.DUMMYFUNCTION("""COMPUTED_VALUE"""),"SETOR DE MEIOS")</f>
        <v>SETOR DE MEIOS</v>
      </c>
      <c r="G101" s="35">
        <f>IFERROR(__xludf.DUMMYFUNCTION("""COMPUTED_VALUE"""),1.394771E7)</f>
        <v>13947710</v>
      </c>
      <c r="H101" s="34"/>
      <c r="I101" s="37" t="str">
        <f>IFERROR(__xludf.DUMMYFUNCTION("""COMPUTED_VALUE"""),"FALTA UM PINO PARA TRAVAMENTO DO TRIPÉ")</f>
        <v>FALTA UM PINO PARA TRAVAMENTO DO TRIPÉ</v>
      </c>
    </row>
    <row r="102" ht="22.5" customHeight="1">
      <c r="A102" s="30">
        <f>IFERROR(__xludf.DUMMYFUNCTION("""COMPUTED_VALUE"""),758.0)</f>
        <v>758</v>
      </c>
      <c r="B102" s="31" t="str">
        <f>IFERROR(__xludf.DUMMYFUNCTION("""COMPUTED_VALUE"""),"TRIPÉ PARA RESGATE DE ANIMAIS")</f>
        <v>TRIPÉ PARA RESGATE DE ANIMAIS</v>
      </c>
      <c r="C102" s="32">
        <f>IFERROR(__xludf.DUMMYFUNCTION("""COMPUTED_VALUE"""),1.0)</f>
        <v>1</v>
      </c>
      <c r="D102" s="33" t="str">
        <f>IFERROR(__xludf.DUMMYFUNCTION("""COMPUTED_VALUE"""),"SEÇÃO")</f>
        <v>SEÇÃO</v>
      </c>
      <c r="E102" s="34" t="str">
        <f>IFERROR(__xludf.DUMMYFUNCTION("""COMPUTED_VALUE"""),"3 - SETOR DE MEIOS")</f>
        <v>3 - SETOR DE MEIOS</v>
      </c>
      <c r="F102" s="34" t="str">
        <f>IFERROR(__xludf.DUMMYFUNCTION("""COMPUTED_VALUE"""),"SETOR DE MEIOS")</f>
        <v>SETOR DE MEIOS</v>
      </c>
      <c r="G102" s="35"/>
      <c r="H102" s="34"/>
      <c r="I102" s="37"/>
    </row>
    <row r="103" ht="22.5" customHeight="1">
      <c r="A103" s="30">
        <f>IFERROR(__xludf.DUMMYFUNCTION("""COMPUTED_VALUE"""),831.0)</f>
        <v>831</v>
      </c>
      <c r="B103" s="39" t="str">
        <f>IFERROR(__xludf.DUMMYFUNCTION("""COMPUTED_VALUE"""),"BATERIAS MAKITA XGT 40v (VENTILADOR SUPERVAC)")</f>
        <v>BATERIAS MAKITA XGT 40v (VENTILADOR SUPERVAC)</v>
      </c>
      <c r="C103" s="32">
        <f>IFERROR(__xludf.DUMMYFUNCTION("""COMPUTED_VALUE"""),2.0)</f>
        <v>2</v>
      </c>
      <c r="D103" s="33" t="str">
        <f>IFERROR(__xludf.DUMMYFUNCTION("""COMPUTED_VALUE"""),"SEÇÃO")</f>
        <v>SEÇÃO</v>
      </c>
      <c r="E103" s="34" t="str">
        <f>IFERROR(__xludf.DUMMYFUNCTION("""COMPUTED_VALUE"""),"3 - SETOR DE MEIOS")</f>
        <v>3 - SETOR DE MEIOS</v>
      </c>
      <c r="F103" s="34"/>
      <c r="G103" s="35"/>
      <c r="H103" s="34"/>
      <c r="I103" s="37"/>
    </row>
    <row r="104" ht="22.5" customHeight="1">
      <c r="A104" s="30">
        <f>IFERROR(__xludf.DUMMYFUNCTION("""COMPUTED_VALUE"""),47.0)</f>
        <v>47</v>
      </c>
      <c r="B104" s="31" t="str">
        <f>IFERROR(__xludf.DUMMYFUNCTION("""COMPUTED_VALUE"""),"BOMBA COSTAL PARA COMBATE A INCENDIO -")</f>
        <v>BOMBA COSTAL PARA COMBATE A INCENDIO -</v>
      </c>
      <c r="C104" s="32">
        <f>IFERROR(__xludf.DUMMYFUNCTION("""COMPUTED_VALUE"""),1.0)</f>
        <v>1</v>
      </c>
      <c r="D104" s="33" t="str">
        <f>IFERROR(__xludf.DUMMYFUNCTION("""COMPUTED_VALUE"""),"SEÇÃO")</f>
        <v>SEÇÃO</v>
      </c>
      <c r="E104" s="34" t="str">
        <f>IFERROR(__xludf.DUMMYFUNCTION("""COMPUTED_VALUE"""),"3 - SETOR DE MEIOS")</f>
        <v>3 - SETOR DE MEIOS</v>
      </c>
      <c r="F104" s="34"/>
      <c r="G104" s="35">
        <f>IFERROR(__xludf.DUMMYFUNCTION("""COMPUTED_VALUE"""),7.6788946E7)</f>
        <v>76788946</v>
      </c>
      <c r="H104" s="34"/>
      <c r="I104" s="37"/>
    </row>
    <row r="105" ht="22.5" customHeight="1">
      <c r="A105" s="30">
        <f>IFERROR(__xludf.DUMMYFUNCTION("""COMPUTED_VALUE"""),830.0)</f>
        <v>830</v>
      </c>
      <c r="B105" s="39" t="str">
        <f>IFERROR(__xludf.DUMMYFUNCTION("""COMPUTED_VALUE"""),"CARREGADOR MAKITA DC40RB (VENTILADOR SUPERVAC)")</f>
        <v>CARREGADOR MAKITA DC40RB (VENTILADOR SUPERVAC)</v>
      </c>
      <c r="C105" s="32">
        <f>IFERROR(__xludf.DUMMYFUNCTION("""COMPUTED_VALUE"""),1.0)</f>
        <v>1</v>
      </c>
      <c r="D105" s="33" t="str">
        <f>IFERROR(__xludf.DUMMYFUNCTION("""COMPUTED_VALUE"""),"SEÇÃO")</f>
        <v>SEÇÃO</v>
      </c>
      <c r="E105" s="34" t="str">
        <f>IFERROR(__xludf.DUMMYFUNCTION("""COMPUTED_VALUE"""),"3 - SETOR DE MEIOS")</f>
        <v>3 - SETOR DE MEIOS</v>
      </c>
      <c r="F105" s="34"/>
      <c r="G105" s="35"/>
      <c r="H105" s="34"/>
      <c r="I105" s="37"/>
    </row>
    <row r="106" ht="22.5" customHeight="1">
      <c r="A106" s="30">
        <f>IFERROR(__xludf.DUMMYFUNCTION("""COMPUTED_VALUE"""),856.0)</f>
        <v>856</v>
      </c>
      <c r="B106" s="31" t="str">
        <f>IFERROR(__xludf.DUMMYFUNCTION("""COMPUTED_VALUE"""),"MANGUEIRA DE 2 ¹/²")</f>
        <v>MANGUEIRA DE 2 ¹/²</v>
      </c>
      <c r="C106" s="32">
        <f>IFERROR(__xludf.DUMMYFUNCTION("""COMPUTED_VALUE"""),2.0)</f>
        <v>2</v>
      </c>
      <c r="D106" s="33" t="str">
        <f>IFERROR(__xludf.DUMMYFUNCTION("""COMPUTED_VALUE"""),"SEÇÃO")</f>
        <v>SEÇÃO</v>
      </c>
      <c r="E106" s="34" t="str">
        <f>IFERROR(__xludf.DUMMYFUNCTION("""COMPUTED_VALUE"""),"3 - SETOR DE MEIOS")</f>
        <v>3 - SETOR DE MEIOS</v>
      </c>
      <c r="F106" s="34"/>
      <c r="G106" s="35"/>
      <c r="H106" s="34"/>
      <c r="I106" s="37"/>
    </row>
    <row r="107" ht="22.5" customHeight="1">
      <c r="A107" s="30">
        <f>IFERROR(__xludf.DUMMYFUNCTION("""COMPUTED_VALUE"""),1704.0)</f>
        <v>1704</v>
      </c>
      <c r="B107" s="31" t="str">
        <f>IFERROR(__xludf.DUMMYFUNCTION("""COMPUTED_VALUE"""),"VENTILADOR DE PRESSAO POSITIVA -")</f>
        <v>VENTILADOR DE PRESSAO POSITIVA -</v>
      </c>
      <c r="C107" s="32">
        <f>IFERROR(__xludf.DUMMYFUNCTION("""COMPUTED_VALUE"""),1.0)</f>
        <v>1</v>
      </c>
      <c r="D107" s="33" t="str">
        <f>IFERROR(__xludf.DUMMYFUNCTION("""COMPUTED_VALUE"""),"SEÇÃO")</f>
        <v>SEÇÃO</v>
      </c>
      <c r="E107" s="34" t="str">
        <f>IFERROR(__xludf.DUMMYFUNCTION("""COMPUTED_VALUE"""),"3 - SETOR DE MEIOS")</f>
        <v>3 - SETOR DE MEIOS</v>
      </c>
      <c r="F107" s="34"/>
      <c r="G107" s="35">
        <f>IFERROR(__xludf.DUMMYFUNCTION("""COMPUTED_VALUE"""),7.7017498E7)</f>
        <v>77017498</v>
      </c>
      <c r="H107" s="34"/>
      <c r="I107" s="37"/>
    </row>
    <row r="108" ht="22.5" customHeight="1">
      <c r="A108" s="30"/>
      <c r="B108" s="31"/>
      <c r="C108" s="32"/>
      <c r="D108" s="33"/>
      <c r="E108" s="34"/>
      <c r="F108" s="34"/>
      <c r="G108" s="35"/>
      <c r="H108" s="34"/>
      <c r="I108" s="37"/>
    </row>
    <row r="109" ht="22.5" customHeight="1">
      <c r="A109" s="30"/>
      <c r="B109" s="31"/>
      <c r="C109" s="32"/>
      <c r="D109" s="33"/>
      <c r="E109" s="34"/>
      <c r="F109" s="34"/>
      <c r="G109" s="35"/>
      <c r="H109" s="34"/>
      <c r="I109" s="37"/>
    </row>
    <row r="110" ht="22.5" customHeight="1">
      <c r="A110" s="30"/>
      <c r="B110" s="31"/>
      <c r="C110" s="32"/>
      <c r="D110" s="33"/>
      <c r="E110" s="34"/>
      <c r="F110" s="34"/>
      <c r="G110" s="35"/>
      <c r="H110" s="34"/>
      <c r="I110" s="37"/>
    </row>
    <row r="111" ht="22.5" customHeight="1">
      <c r="A111" s="30"/>
      <c r="B111" s="31"/>
      <c r="C111" s="32"/>
      <c r="D111" s="33"/>
      <c r="E111" s="34"/>
      <c r="F111" s="34"/>
      <c r="G111" s="35"/>
      <c r="H111" s="34"/>
      <c r="I111" s="37"/>
    </row>
    <row r="112" ht="22.5" customHeight="1">
      <c r="A112" s="30"/>
      <c r="B112" s="31"/>
      <c r="C112" s="32"/>
      <c r="D112" s="33"/>
      <c r="E112" s="34"/>
      <c r="F112" s="34"/>
      <c r="G112" s="35"/>
      <c r="H112" s="34"/>
      <c r="I112" s="37"/>
    </row>
    <row r="113" ht="22.5" customHeight="1">
      <c r="A113" s="30"/>
      <c r="B113" s="31"/>
      <c r="C113" s="32"/>
      <c r="D113" s="33"/>
      <c r="E113" s="34"/>
      <c r="F113" s="34"/>
      <c r="G113" s="35"/>
      <c r="H113" s="34"/>
      <c r="I113" s="37"/>
    </row>
    <row r="114" ht="22.5" customHeight="1">
      <c r="A114" s="30"/>
      <c r="B114" s="31"/>
      <c r="C114" s="32"/>
      <c r="D114" s="33"/>
      <c r="E114" s="34"/>
      <c r="F114" s="34"/>
      <c r="G114" s="35"/>
      <c r="H114" s="34"/>
      <c r="I114" s="37"/>
    </row>
    <row r="115" ht="22.5" customHeight="1">
      <c r="A115" s="30"/>
      <c r="B115" s="31"/>
      <c r="C115" s="32"/>
      <c r="D115" s="33"/>
      <c r="E115" s="34"/>
      <c r="F115" s="34"/>
      <c r="G115" s="35"/>
      <c r="H115" s="34"/>
      <c r="I115" s="37"/>
    </row>
    <row r="116" ht="22.5" customHeight="1">
      <c r="A116" s="30"/>
      <c r="B116" s="40"/>
      <c r="C116" s="32"/>
      <c r="D116" s="33"/>
      <c r="E116" s="34"/>
      <c r="F116" s="34"/>
      <c r="G116" s="35"/>
      <c r="H116" s="34"/>
      <c r="I116" s="37"/>
    </row>
    <row r="117" ht="22.5" customHeight="1">
      <c r="A117" s="30"/>
      <c r="B117" s="31"/>
      <c r="C117" s="32"/>
      <c r="D117" s="33"/>
      <c r="E117" s="34"/>
      <c r="F117" s="34"/>
      <c r="G117" s="35"/>
      <c r="H117" s="34"/>
      <c r="I117" s="37"/>
    </row>
    <row r="118" ht="22.5" customHeight="1">
      <c r="A118" s="30"/>
      <c r="B118" s="31"/>
      <c r="C118" s="32"/>
      <c r="D118" s="33"/>
      <c r="E118" s="34"/>
      <c r="F118" s="34"/>
      <c r="G118" s="35"/>
      <c r="H118" s="34"/>
      <c r="I118" s="37"/>
    </row>
    <row r="119" ht="22.5" customHeight="1">
      <c r="A119" s="30"/>
      <c r="B119" s="31"/>
      <c r="C119" s="32"/>
      <c r="D119" s="33"/>
      <c r="E119" s="34"/>
      <c r="F119" s="34"/>
      <c r="G119" s="35"/>
      <c r="H119" s="34"/>
      <c r="I119" s="37"/>
    </row>
    <row r="120" ht="22.5" customHeight="1">
      <c r="A120" s="30"/>
      <c r="B120" s="31"/>
      <c r="C120" s="32"/>
      <c r="D120" s="33"/>
      <c r="E120" s="34"/>
      <c r="F120" s="34"/>
      <c r="G120" s="35"/>
      <c r="H120" s="34"/>
      <c r="I120" s="37"/>
    </row>
    <row r="121" ht="22.5" customHeight="1">
      <c r="A121" s="30"/>
      <c r="B121" s="31"/>
      <c r="C121" s="32"/>
      <c r="D121" s="33"/>
      <c r="E121" s="34"/>
      <c r="F121" s="34"/>
      <c r="G121" s="35"/>
      <c r="H121" s="34"/>
      <c r="I121" s="37"/>
    </row>
    <row r="122" ht="22.5" customHeight="1">
      <c r="A122" s="30"/>
      <c r="B122" s="31"/>
      <c r="C122" s="32"/>
      <c r="D122" s="33"/>
      <c r="E122" s="34"/>
      <c r="F122" s="34"/>
      <c r="G122" s="35"/>
      <c r="H122" s="34"/>
      <c r="I122" s="37"/>
    </row>
    <row r="123" ht="22.5" customHeight="1">
      <c r="A123" s="30"/>
      <c r="B123" s="39"/>
      <c r="C123" s="32"/>
      <c r="D123" s="33"/>
      <c r="E123" s="34"/>
      <c r="F123" s="34"/>
      <c r="G123" s="35"/>
      <c r="H123" s="34"/>
      <c r="I123" s="37"/>
    </row>
    <row r="124" ht="22.5" customHeight="1">
      <c r="A124" s="30"/>
      <c r="B124" s="39"/>
      <c r="C124" s="32"/>
      <c r="D124" s="33"/>
      <c r="E124" s="34"/>
      <c r="F124" s="34"/>
      <c r="G124" s="35"/>
      <c r="H124" s="34"/>
      <c r="I124" s="37"/>
    </row>
    <row r="125" ht="22.5" customHeight="1">
      <c r="A125" s="30"/>
      <c r="B125" s="39"/>
      <c r="C125" s="32"/>
      <c r="D125" s="33"/>
      <c r="E125" s="34"/>
      <c r="F125" s="34"/>
      <c r="G125" s="35"/>
      <c r="H125" s="34"/>
      <c r="I125" s="37"/>
    </row>
    <row r="126" ht="22.5" customHeight="1">
      <c r="A126" s="30"/>
      <c r="B126" s="40"/>
      <c r="C126" s="32"/>
      <c r="D126" s="33"/>
      <c r="E126" s="34"/>
      <c r="F126" s="34"/>
      <c r="G126" s="35"/>
      <c r="H126" s="34"/>
      <c r="I126" s="37"/>
    </row>
    <row r="127" ht="22.5" customHeight="1">
      <c r="A127" s="30"/>
      <c r="B127" s="31"/>
      <c r="C127" s="32"/>
      <c r="D127" s="33"/>
      <c r="E127" s="34"/>
      <c r="F127" s="34"/>
      <c r="G127" s="35"/>
      <c r="H127" s="34"/>
      <c r="I127" s="37"/>
    </row>
    <row r="128" ht="22.5" customHeight="1">
      <c r="A128" s="30"/>
      <c r="B128" s="31"/>
      <c r="C128" s="32"/>
      <c r="D128" s="33"/>
      <c r="E128" s="34"/>
      <c r="F128" s="34"/>
      <c r="G128" s="35"/>
      <c r="H128" s="34"/>
      <c r="I128" s="37"/>
    </row>
    <row r="129" ht="22.5" customHeight="1">
      <c r="A129" s="30"/>
      <c r="B129" s="31"/>
      <c r="C129" s="32"/>
      <c r="D129" s="33"/>
      <c r="E129" s="34"/>
      <c r="F129" s="34"/>
      <c r="G129" s="35"/>
      <c r="H129" s="34"/>
      <c r="I129" s="37"/>
    </row>
    <row r="130" ht="22.5" customHeight="1">
      <c r="A130" s="30"/>
      <c r="B130" s="31"/>
      <c r="C130" s="32"/>
      <c r="D130" s="33"/>
      <c r="E130" s="34"/>
      <c r="F130" s="34"/>
      <c r="G130" s="35"/>
      <c r="H130" s="34"/>
      <c r="I130" s="37"/>
    </row>
    <row r="131" ht="22.5" customHeight="1">
      <c r="A131" s="30"/>
      <c r="B131" s="31"/>
      <c r="C131" s="32"/>
      <c r="D131" s="33"/>
      <c r="E131" s="34"/>
      <c r="F131" s="34"/>
      <c r="G131" s="35"/>
      <c r="H131" s="34"/>
      <c r="I131" s="37"/>
    </row>
    <row r="132" ht="22.5" customHeight="1">
      <c r="A132" s="30"/>
      <c r="B132" s="31"/>
      <c r="C132" s="32"/>
      <c r="D132" s="33"/>
      <c r="E132" s="34"/>
      <c r="F132" s="34"/>
      <c r="G132" s="35"/>
      <c r="H132" s="34"/>
      <c r="I132" s="37"/>
    </row>
    <row r="133" ht="22.5" customHeight="1">
      <c r="A133" s="30"/>
      <c r="B133" s="31"/>
      <c r="C133" s="32"/>
      <c r="D133" s="33"/>
      <c r="E133" s="34"/>
      <c r="F133" s="34"/>
      <c r="G133" s="35"/>
      <c r="H133" s="34"/>
      <c r="I133" s="37"/>
    </row>
    <row r="134" ht="22.5" customHeight="1">
      <c r="A134" s="30"/>
      <c r="B134" s="31"/>
      <c r="C134" s="32"/>
      <c r="D134" s="33"/>
      <c r="E134" s="34"/>
      <c r="F134" s="34"/>
      <c r="G134" s="35"/>
      <c r="H134" s="34"/>
      <c r="I134" s="37"/>
    </row>
    <row r="135" ht="22.5" customHeight="1">
      <c r="A135" s="30"/>
      <c r="B135" s="31"/>
      <c r="C135" s="32"/>
      <c r="D135" s="33"/>
      <c r="E135" s="34"/>
      <c r="F135" s="34"/>
      <c r="G135" s="35"/>
      <c r="H135" s="34"/>
      <c r="I135" s="37"/>
    </row>
    <row r="136" ht="22.5" customHeight="1">
      <c r="A136" s="30"/>
      <c r="B136" s="40"/>
      <c r="C136" s="32"/>
      <c r="D136" s="33"/>
      <c r="E136" s="34"/>
      <c r="F136" s="34"/>
      <c r="G136" s="35"/>
      <c r="H136" s="34"/>
      <c r="I136" s="37"/>
    </row>
    <row r="137" ht="22.5" customHeight="1">
      <c r="A137" s="30"/>
      <c r="B137" s="31"/>
      <c r="C137" s="32"/>
      <c r="D137" s="33"/>
      <c r="E137" s="34"/>
      <c r="F137" s="34"/>
      <c r="G137" s="35"/>
      <c r="H137" s="34"/>
      <c r="I137" s="37"/>
    </row>
    <row r="138" ht="22.5" customHeight="1">
      <c r="A138" s="30"/>
      <c r="B138" s="31"/>
      <c r="C138" s="32"/>
      <c r="D138" s="33"/>
      <c r="E138" s="34"/>
      <c r="F138" s="34"/>
      <c r="G138" s="35"/>
      <c r="H138" s="34"/>
      <c r="I138" s="37"/>
    </row>
    <row r="139" ht="22.5" customHeight="1">
      <c r="A139" s="30"/>
      <c r="B139" s="31"/>
      <c r="C139" s="32"/>
      <c r="D139" s="33"/>
      <c r="E139" s="34"/>
      <c r="F139" s="34"/>
      <c r="G139" s="35"/>
      <c r="H139" s="34"/>
      <c r="I139" s="37"/>
    </row>
    <row r="140" ht="22.5" customHeight="1">
      <c r="A140" s="30"/>
      <c r="B140" s="40"/>
      <c r="C140" s="32"/>
      <c r="D140" s="33"/>
      <c r="E140" s="34"/>
      <c r="F140" s="34"/>
      <c r="G140" s="35"/>
      <c r="H140" s="34"/>
      <c r="I140" s="37"/>
    </row>
    <row r="141" ht="22.5" customHeight="1">
      <c r="A141" s="30"/>
      <c r="B141" s="31"/>
      <c r="C141" s="32"/>
      <c r="D141" s="33"/>
      <c r="E141" s="34"/>
      <c r="F141" s="34"/>
      <c r="G141" s="35"/>
      <c r="H141" s="34"/>
      <c r="I141" s="37"/>
    </row>
    <row r="142" ht="22.5" customHeight="1">
      <c r="A142" s="30"/>
      <c r="B142" s="31"/>
      <c r="C142" s="32"/>
      <c r="D142" s="33"/>
      <c r="E142" s="34"/>
      <c r="F142" s="34"/>
      <c r="G142" s="35"/>
      <c r="H142" s="34"/>
      <c r="I142" s="37"/>
    </row>
    <row r="143" ht="22.5" customHeight="1">
      <c r="A143" s="30"/>
      <c r="B143" s="31"/>
      <c r="C143" s="32"/>
      <c r="D143" s="33"/>
      <c r="E143" s="34"/>
      <c r="F143" s="34"/>
      <c r="G143" s="35"/>
      <c r="H143" s="34"/>
      <c r="I143" s="37"/>
    </row>
    <row r="144" ht="22.5" customHeight="1">
      <c r="A144" s="30"/>
      <c r="B144" s="31"/>
      <c r="C144" s="32"/>
      <c r="D144" s="33"/>
      <c r="E144" s="34"/>
      <c r="F144" s="34"/>
      <c r="G144" s="35"/>
      <c r="H144" s="34"/>
      <c r="I144" s="37"/>
    </row>
    <row r="145" ht="22.5" customHeight="1">
      <c r="A145" s="30"/>
      <c r="B145" s="31"/>
      <c r="C145" s="32"/>
      <c r="D145" s="33"/>
      <c r="E145" s="34"/>
      <c r="F145" s="34"/>
      <c r="G145" s="35"/>
      <c r="H145" s="34"/>
      <c r="I145" s="37"/>
    </row>
    <row r="146" ht="22.5" customHeight="1">
      <c r="A146" s="30"/>
      <c r="B146" s="31"/>
      <c r="C146" s="32"/>
      <c r="D146" s="33"/>
      <c r="E146" s="34"/>
      <c r="F146" s="34"/>
      <c r="G146" s="35"/>
      <c r="H146" s="34"/>
      <c r="I146" s="37"/>
    </row>
    <row r="147" ht="22.5" customHeight="1">
      <c r="A147" s="30"/>
      <c r="B147" s="31"/>
      <c r="C147" s="32"/>
      <c r="D147" s="33"/>
      <c r="E147" s="34"/>
      <c r="F147" s="34"/>
      <c r="G147" s="35"/>
      <c r="H147" s="34"/>
      <c r="I147" s="37"/>
    </row>
    <row r="148" ht="22.5" customHeight="1">
      <c r="A148" s="30"/>
      <c r="B148" s="31"/>
      <c r="C148" s="32"/>
      <c r="D148" s="33"/>
      <c r="E148" s="34"/>
      <c r="F148" s="34"/>
      <c r="G148" s="35"/>
      <c r="H148" s="34"/>
      <c r="I148" s="37"/>
    </row>
    <row r="149" ht="22.5" customHeight="1">
      <c r="A149" s="30"/>
      <c r="B149" s="31"/>
      <c r="C149" s="32"/>
      <c r="D149" s="33"/>
      <c r="E149" s="34"/>
      <c r="F149" s="34"/>
      <c r="G149" s="35"/>
      <c r="H149" s="34"/>
      <c r="I149" s="37"/>
    </row>
    <row r="150" ht="22.5" customHeight="1">
      <c r="A150" s="30"/>
      <c r="B150" s="31"/>
      <c r="C150" s="32"/>
      <c r="D150" s="33"/>
      <c r="E150" s="34"/>
      <c r="F150" s="34"/>
      <c r="G150" s="35"/>
      <c r="H150" s="34"/>
      <c r="I150" s="37"/>
    </row>
    <row r="151" ht="22.5" customHeight="1">
      <c r="A151" s="30"/>
      <c r="B151" s="31"/>
      <c r="C151" s="32"/>
      <c r="D151" s="33"/>
      <c r="E151" s="34"/>
      <c r="F151" s="34"/>
      <c r="G151" s="35"/>
      <c r="H151" s="34"/>
      <c r="I151" s="37"/>
    </row>
    <row r="152" ht="22.5" customHeight="1">
      <c r="A152" s="30"/>
      <c r="B152" s="31"/>
      <c r="C152" s="32"/>
      <c r="D152" s="33"/>
      <c r="E152" s="34"/>
      <c r="F152" s="34"/>
      <c r="G152" s="35"/>
      <c r="H152" s="34"/>
      <c r="I152" s="37"/>
    </row>
    <row r="153" ht="22.5" customHeight="1">
      <c r="A153" s="30"/>
      <c r="B153" s="31"/>
      <c r="C153" s="32"/>
      <c r="D153" s="33"/>
      <c r="E153" s="34"/>
      <c r="F153" s="34"/>
      <c r="G153" s="35"/>
      <c r="H153" s="34"/>
      <c r="I153" s="37"/>
    </row>
    <row r="154" ht="22.5" customHeight="1">
      <c r="A154" s="30"/>
      <c r="B154" s="31"/>
      <c r="C154" s="32"/>
      <c r="D154" s="33"/>
      <c r="E154" s="34"/>
      <c r="F154" s="34"/>
      <c r="G154" s="35"/>
      <c r="H154" s="34"/>
      <c r="I154" s="37"/>
    </row>
    <row r="155" ht="22.5" customHeight="1">
      <c r="A155" s="30"/>
      <c r="B155" s="40"/>
      <c r="C155" s="32"/>
      <c r="D155" s="33"/>
      <c r="E155" s="34"/>
      <c r="F155" s="34"/>
      <c r="G155" s="35"/>
      <c r="H155" s="34"/>
      <c r="I155" s="37"/>
    </row>
    <row r="156" ht="22.5" customHeight="1">
      <c r="A156" s="30"/>
      <c r="B156" s="31"/>
      <c r="C156" s="32"/>
      <c r="D156" s="33"/>
      <c r="E156" s="34"/>
      <c r="F156" s="34"/>
      <c r="G156" s="35"/>
      <c r="H156" s="34"/>
      <c r="I156" s="37"/>
    </row>
    <row r="157" ht="22.5" customHeight="1">
      <c r="A157" s="30"/>
      <c r="B157" s="40"/>
      <c r="C157" s="32"/>
      <c r="D157" s="33"/>
      <c r="E157" s="34"/>
      <c r="F157" s="34"/>
      <c r="G157" s="35"/>
      <c r="H157" s="34"/>
      <c r="I157" s="37"/>
    </row>
    <row r="158" ht="22.5" customHeight="1">
      <c r="A158" s="30"/>
      <c r="B158" s="31"/>
      <c r="C158" s="32"/>
      <c r="D158" s="33"/>
      <c r="E158" s="34"/>
      <c r="F158" s="34"/>
      <c r="G158" s="35"/>
      <c r="H158" s="34"/>
      <c r="I158" s="37"/>
    </row>
    <row r="159" ht="22.5" customHeight="1">
      <c r="A159" s="30"/>
      <c r="B159" s="31"/>
      <c r="C159" s="32"/>
      <c r="D159" s="33"/>
      <c r="E159" s="34"/>
      <c r="F159" s="34"/>
      <c r="G159" s="35"/>
      <c r="H159" s="34"/>
      <c r="I159" s="37"/>
    </row>
    <row r="160" ht="22.5" customHeight="1">
      <c r="A160" s="30"/>
      <c r="B160" s="31"/>
      <c r="C160" s="32"/>
      <c r="D160" s="33"/>
      <c r="E160" s="34"/>
      <c r="F160" s="34"/>
      <c r="G160" s="35"/>
      <c r="H160" s="34"/>
      <c r="I160" s="37"/>
    </row>
    <row r="161" ht="22.5" customHeight="1">
      <c r="A161" s="30"/>
      <c r="B161" s="31"/>
      <c r="C161" s="32"/>
      <c r="D161" s="33"/>
      <c r="E161" s="34"/>
      <c r="F161" s="34"/>
      <c r="G161" s="35"/>
      <c r="H161" s="34"/>
      <c r="I161" s="37"/>
    </row>
    <row r="162" ht="22.5" customHeight="1">
      <c r="A162" s="30"/>
      <c r="B162" s="40"/>
      <c r="C162" s="32"/>
      <c r="D162" s="33"/>
      <c r="E162" s="34"/>
      <c r="F162" s="34"/>
      <c r="G162" s="35"/>
      <c r="H162" s="34"/>
      <c r="I162" s="37"/>
    </row>
    <row r="163" ht="22.5" customHeight="1">
      <c r="A163" s="30"/>
      <c r="B163" s="31"/>
      <c r="C163" s="32"/>
      <c r="D163" s="33"/>
      <c r="E163" s="34"/>
      <c r="F163" s="34"/>
      <c r="G163" s="35"/>
      <c r="H163" s="34"/>
      <c r="I163" s="37"/>
    </row>
    <row r="164" ht="22.5" customHeight="1">
      <c r="A164" s="30"/>
      <c r="B164" s="31"/>
      <c r="C164" s="32"/>
      <c r="D164" s="33"/>
      <c r="E164" s="34"/>
      <c r="F164" s="34"/>
      <c r="G164" s="35"/>
      <c r="H164" s="34"/>
      <c r="I164" s="37"/>
    </row>
    <row r="165" ht="22.5" customHeight="1">
      <c r="A165" s="30"/>
      <c r="B165" s="31"/>
      <c r="C165" s="32"/>
      <c r="D165" s="33"/>
      <c r="E165" s="34"/>
      <c r="F165" s="34"/>
      <c r="G165" s="35"/>
      <c r="H165" s="34"/>
      <c r="I165" s="37"/>
    </row>
    <row r="166" ht="22.5" customHeight="1">
      <c r="A166" s="30"/>
      <c r="B166" s="31"/>
      <c r="C166" s="32"/>
      <c r="D166" s="33"/>
      <c r="E166" s="34"/>
      <c r="F166" s="34"/>
      <c r="G166" s="35"/>
      <c r="H166" s="34"/>
      <c r="I166" s="37"/>
    </row>
    <row r="167" ht="22.5" customHeight="1">
      <c r="A167" s="30"/>
      <c r="B167" s="31"/>
      <c r="C167" s="32"/>
      <c r="D167" s="33"/>
      <c r="E167" s="34"/>
      <c r="F167" s="34"/>
      <c r="G167" s="35"/>
      <c r="H167" s="34"/>
      <c r="I167" s="37"/>
    </row>
    <row r="168" ht="22.5" customHeight="1">
      <c r="A168" s="30"/>
      <c r="B168" s="31"/>
      <c r="C168" s="32"/>
      <c r="D168" s="33"/>
      <c r="E168" s="34"/>
      <c r="F168" s="34"/>
      <c r="G168" s="35"/>
      <c r="H168" s="34"/>
      <c r="I168" s="37"/>
    </row>
    <row r="169" ht="22.5" customHeight="1">
      <c r="A169" s="30"/>
      <c r="B169" s="31"/>
      <c r="C169" s="32"/>
      <c r="D169" s="33"/>
      <c r="E169" s="34"/>
      <c r="F169" s="34"/>
      <c r="G169" s="35"/>
      <c r="H169" s="34"/>
      <c r="I169" s="37"/>
    </row>
    <row r="170" ht="22.5" customHeight="1">
      <c r="A170" s="30"/>
      <c r="B170" s="31"/>
      <c r="C170" s="32"/>
      <c r="D170" s="33"/>
      <c r="E170" s="34"/>
      <c r="F170" s="34"/>
      <c r="G170" s="35"/>
      <c r="H170" s="34"/>
      <c r="I170" s="37"/>
    </row>
    <row r="171" ht="22.5" customHeight="1">
      <c r="A171" s="30"/>
      <c r="B171" s="31"/>
      <c r="C171" s="32"/>
      <c r="D171" s="33"/>
      <c r="E171" s="34"/>
      <c r="F171" s="34"/>
      <c r="G171" s="35"/>
      <c r="H171" s="34"/>
      <c r="I171" s="37"/>
    </row>
    <row r="172" ht="22.5" customHeight="1">
      <c r="A172" s="30"/>
      <c r="B172" s="31"/>
      <c r="C172" s="32"/>
      <c r="D172" s="33"/>
      <c r="E172" s="34"/>
      <c r="F172" s="34"/>
      <c r="G172" s="35"/>
      <c r="H172" s="34"/>
      <c r="I172" s="37"/>
    </row>
    <row r="173" ht="22.5" customHeight="1">
      <c r="A173" s="30"/>
      <c r="B173" s="31"/>
      <c r="C173" s="32"/>
      <c r="D173" s="33"/>
      <c r="E173" s="34"/>
      <c r="F173" s="34"/>
      <c r="G173" s="35"/>
      <c r="H173" s="34"/>
      <c r="I173" s="37"/>
    </row>
    <row r="174" ht="22.5" customHeight="1">
      <c r="A174" s="30"/>
      <c r="B174" s="31"/>
      <c r="C174" s="32"/>
      <c r="D174" s="33"/>
      <c r="E174" s="34"/>
      <c r="F174" s="34"/>
      <c r="G174" s="35"/>
      <c r="H174" s="34"/>
      <c r="I174" s="37"/>
    </row>
    <row r="175" ht="22.5" customHeight="1">
      <c r="A175" s="30"/>
      <c r="B175" s="31"/>
      <c r="C175" s="32"/>
      <c r="D175" s="33"/>
      <c r="E175" s="34"/>
      <c r="F175" s="34"/>
      <c r="G175" s="35"/>
      <c r="H175" s="34"/>
      <c r="I175" s="37"/>
    </row>
    <row r="176" ht="22.5" customHeight="1">
      <c r="A176" s="30"/>
      <c r="B176" s="31"/>
      <c r="C176" s="32"/>
      <c r="D176" s="33"/>
      <c r="E176" s="34"/>
      <c r="F176" s="34"/>
      <c r="G176" s="35"/>
      <c r="H176" s="34"/>
      <c r="I176" s="37"/>
    </row>
    <row r="177" ht="22.5" customHeight="1">
      <c r="A177" s="30"/>
      <c r="B177" s="31"/>
      <c r="C177" s="32"/>
      <c r="D177" s="33"/>
      <c r="E177" s="34"/>
      <c r="F177" s="34"/>
      <c r="G177" s="35"/>
      <c r="H177" s="34"/>
      <c r="I177" s="37"/>
    </row>
    <row r="178" ht="22.5" customHeight="1">
      <c r="A178" s="30"/>
      <c r="B178" s="31"/>
      <c r="C178" s="32"/>
      <c r="D178" s="33"/>
      <c r="E178" s="34"/>
      <c r="F178" s="34"/>
      <c r="G178" s="35"/>
      <c r="H178" s="34"/>
      <c r="I178" s="37"/>
    </row>
    <row r="179" ht="22.5" customHeight="1">
      <c r="A179" s="30"/>
      <c r="B179" s="31"/>
      <c r="C179" s="32"/>
      <c r="D179" s="33"/>
      <c r="E179" s="34"/>
      <c r="F179" s="34"/>
      <c r="G179" s="35"/>
      <c r="H179" s="34"/>
      <c r="I179" s="37"/>
    </row>
    <row r="180" ht="22.5" customHeight="1">
      <c r="A180" s="30"/>
      <c r="B180" s="31"/>
      <c r="C180" s="32"/>
      <c r="D180" s="33"/>
      <c r="E180" s="34"/>
      <c r="F180" s="34"/>
      <c r="G180" s="35"/>
      <c r="H180" s="34"/>
      <c r="I180" s="37"/>
    </row>
    <row r="181" ht="22.5" customHeight="1">
      <c r="A181" s="30"/>
      <c r="B181" s="31"/>
      <c r="C181" s="32"/>
      <c r="D181" s="33"/>
      <c r="E181" s="34"/>
      <c r="F181" s="34"/>
      <c r="G181" s="35"/>
      <c r="H181" s="34"/>
      <c r="I181" s="37"/>
    </row>
    <row r="182" ht="22.5" customHeight="1">
      <c r="A182" s="30"/>
      <c r="B182" s="31"/>
      <c r="C182" s="32"/>
      <c r="D182" s="33"/>
      <c r="E182" s="34"/>
      <c r="F182" s="34"/>
      <c r="G182" s="35"/>
      <c r="H182" s="34"/>
      <c r="I182" s="37"/>
    </row>
    <row r="183" ht="22.5" customHeight="1">
      <c r="A183" s="30"/>
      <c r="B183" s="31"/>
      <c r="C183" s="32"/>
      <c r="D183" s="33"/>
      <c r="E183" s="34"/>
      <c r="F183" s="34"/>
      <c r="G183" s="35"/>
      <c r="H183" s="34"/>
      <c r="I183" s="37"/>
    </row>
    <row r="184" ht="22.5" customHeight="1">
      <c r="A184" s="30"/>
      <c r="B184" s="40"/>
      <c r="C184" s="32"/>
      <c r="D184" s="33"/>
      <c r="E184" s="34"/>
      <c r="F184" s="34"/>
      <c r="G184" s="35"/>
      <c r="H184" s="34"/>
      <c r="I184" s="37"/>
    </row>
    <row r="185" ht="22.5" customHeight="1">
      <c r="A185" s="30"/>
      <c r="B185" s="31"/>
      <c r="C185" s="32"/>
      <c r="D185" s="33"/>
      <c r="E185" s="34"/>
      <c r="F185" s="34"/>
      <c r="G185" s="35"/>
      <c r="H185" s="34"/>
      <c r="I185" s="37"/>
    </row>
    <row r="186" ht="22.5" customHeight="1">
      <c r="A186" s="30"/>
      <c r="B186" s="31"/>
      <c r="C186" s="32"/>
      <c r="D186" s="33"/>
      <c r="E186" s="34"/>
      <c r="F186" s="34"/>
      <c r="G186" s="35"/>
      <c r="H186" s="34"/>
      <c r="I186" s="37"/>
    </row>
    <row r="187" ht="22.5" customHeight="1">
      <c r="A187" s="30"/>
      <c r="B187" s="31"/>
      <c r="C187" s="32"/>
      <c r="D187" s="33"/>
      <c r="E187" s="34"/>
      <c r="F187" s="34"/>
      <c r="G187" s="35"/>
      <c r="H187" s="34"/>
      <c r="I187" s="37"/>
    </row>
    <row r="188" ht="22.5" customHeight="1">
      <c r="A188" s="30"/>
      <c r="B188" s="31"/>
      <c r="C188" s="32"/>
      <c r="D188" s="33"/>
      <c r="E188" s="34"/>
      <c r="F188" s="34"/>
      <c r="G188" s="35"/>
      <c r="H188" s="34"/>
      <c r="I188" s="38"/>
    </row>
    <row r="189" ht="22.5" customHeight="1">
      <c r="A189" s="30"/>
      <c r="B189" s="39"/>
      <c r="C189" s="32"/>
      <c r="D189" s="33"/>
      <c r="E189" s="34"/>
      <c r="F189" s="34"/>
      <c r="G189" s="35"/>
      <c r="H189" s="34"/>
      <c r="I189" s="37"/>
    </row>
    <row r="190" ht="22.5" customHeight="1">
      <c r="A190" s="30"/>
      <c r="B190" s="31"/>
      <c r="C190" s="32"/>
      <c r="D190" s="33"/>
      <c r="E190" s="34"/>
      <c r="F190" s="34"/>
      <c r="G190" s="35"/>
      <c r="H190" s="34"/>
      <c r="I190" s="37"/>
    </row>
    <row r="191" ht="22.5" customHeight="1">
      <c r="A191" s="30"/>
      <c r="B191" s="31"/>
      <c r="C191" s="32"/>
      <c r="D191" s="33"/>
      <c r="E191" s="34"/>
      <c r="F191" s="34"/>
      <c r="G191" s="35"/>
      <c r="H191" s="34"/>
      <c r="I191" s="37"/>
    </row>
    <row r="192" ht="22.5" customHeight="1">
      <c r="A192" s="30"/>
      <c r="B192" s="31"/>
      <c r="C192" s="32"/>
      <c r="D192" s="33"/>
      <c r="E192" s="34"/>
      <c r="F192" s="34"/>
      <c r="G192" s="35"/>
      <c r="H192" s="34"/>
      <c r="I192" s="37"/>
    </row>
    <row r="193" ht="22.5" customHeight="1">
      <c r="A193" s="30"/>
      <c r="B193" s="39"/>
      <c r="C193" s="32"/>
      <c r="D193" s="33"/>
      <c r="E193" s="34"/>
      <c r="F193" s="34"/>
      <c r="G193" s="35"/>
      <c r="H193" s="34"/>
      <c r="I193" s="37"/>
    </row>
    <row r="194" ht="22.5" customHeight="1">
      <c r="A194" s="30"/>
      <c r="B194" s="31"/>
      <c r="C194" s="32"/>
      <c r="D194" s="33"/>
      <c r="E194" s="34"/>
      <c r="F194" s="34"/>
      <c r="G194" s="35"/>
      <c r="H194" s="34"/>
      <c r="I194" s="37"/>
    </row>
    <row r="195" ht="22.5" customHeight="1">
      <c r="A195" s="30"/>
      <c r="B195" s="39"/>
      <c r="C195" s="32"/>
      <c r="D195" s="33"/>
      <c r="E195" s="34"/>
      <c r="F195" s="34"/>
      <c r="G195" s="35"/>
      <c r="H195" s="34"/>
      <c r="I195" s="37"/>
    </row>
    <row r="196" ht="22.5" customHeight="1">
      <c r="A196" s="30"/>
      <c r="B196" s="31"/>
      <c r="C196" s="32"/>
      <c r="D196" s="33"/>
      <c r="E196" s="34"/>
      <c r="F196" s="34"/>
      <c r="G196" s="35"/>
      <c r="H196" s="34"/>
      <c r="I196" s="37"/>
    </row>
    <row r="197" ht="22.5" customHeight="1">
      <c r="A197" s="30"/>
      <c r="B197" s="31"/>
      <c r="C197" s="32"/>
      <c r="D197" s="33"/>
      <c r="E197" s="34"/>
      <c r="F197" s="34"/>
      <c r="G197" s="35"/>
      <c r="H197" s="34"/>
      <c r="I197" s="37"/>
    </row>
    <row r="198" ht="22.5" customHeight="1">
      <c r="A198" s="30"/>
      <c r="B198" s="31"/>
      <c r="C198" s="32"/>
      <c r="D198" s="33"/>
      <c r="E198" s="34"/>
      <c r="F198" s="34"/>
      <c r="G198" s="35"/>
      <c r="H198" s="34"/>
      <c r="I198" s="37"/>
    </row>
    <row r="199" ht="22.5" customHeight="1">
      <c r="A199" s="30"/>
      <c r="B199" s="31"/>
      <c r="C199" s="32"/>
      <c r="D199" s="33"/>
      <c r="E199" s="34"/>
      <c r="F199" s="34"/>
      <c r="G199" s="35"/>
      <c r="H199" s="34"/>
      <c r="I199" s="37"/>
    </row>
    <row r="200" ht="22.5" customHeight="1">
      <c r="A200" s="30"/>
      <c r="B200" s="31"/>
      <c r="C200" s="32"/>
      <c r="D200" s="33"/>
      <c r="E200" s="34"/>
      <c r="F200" s="34"/>
      <c r="G200" s="35"/>
      <c r="H200" s="34"/>
      <c r="I200" s="37"/>
    </row>
    <row r="201" ht="22.5" customHeight="1">
      <c r="A201" s="30"/>
      <c r="B201" s="31"/>
      <c r="C201" s="32"/>
      <c r="D201" s="33"/>
      <c r="E201" s="34"/>
      <c r="F201" s="34"/>
      <c r="G201" s="35"/>
      <c r="H201" s="34"/>
      <c r="I201" s="37"/>
    </row>
    <row r="202" ht="22.5" customHeight="1">
      <c r="A202" s="30"/>
      <c r="B202" s="31"/>
      <c r="C202" s="32"/>
      <c r="D202" s="33"/>
      <c r="E202" s="34"/>
      <c r="F202" s="34"/>
      <c r="G202" s="35"/>
      <c r="H202" s="34"/>
      <c r="I202" s="37"/>
    </row>
    <row r="203" ht="22.5" customHeight="1">
      <c r="A203" s="30"/>
      <c r="B203" s="31"/>
      <c r="C203" s="32"/>
      <c r="D203" s="33"/>
      <c r="E203" s="34"/>
      <c r="F203" s="34"/>
      <c r="G203" s="35"/>
      <c r="H203" s="34"/>
      <c r="I203" s="37"/>
    </row>
    <row r="204" ht="22.5" customHeight="1">
      <c r="A204" s="30"/>
      <c r="B204" s="31"/>
      <c r="C204" s="32"/>
      <c r="D204" s="33"/>
      <c r="E204" s="34"/>
      <c r="F204" s="34"/>
      <c r="G204" s="35"/>
      <c r="H204" s="34"/>
      <c r="I204" s="37"/>
    </row>
    <row r="205" ht="22.5" customHeight="1">
      <c r="A205" s="30"/>
      <c r="B205" s="31"/>
      <c r="C205" s="32"/>
      <c r="D205" s="33"/>
      <c r="E205" s="34"/>
      <c r="F205" s="34"/>
      <c r="G205" s="35"/>
      <c r="H205" s="34"/>
      <c r="I205" s="37"/>
    </row>
    <row r="206" ht="22.5" customHeight="1">
      <c r="A206" s="30"/>
      <c r="B206" s="40"/>
      <c r="C206" s="32"/>
      <c r="D206" s="33"/>
      <c r="E206" s="34"/>
      <c r="F206" s="34"/>
      <c r="G206" s="35"/>
      <c r="H206" s="34"/>
      <c r="I206" s="37"/>
    </row>
    <row r="207" ht="22.5" customHeight="1">
      <c r="A207" s="30"/>
      <c r="B207" s="31"/>
      <c r="C207" s="32"/>
      <c r="D207" s="33"/>
      <c r="E207" s="34"/>
      <c r="F207" s="34"/>
      <c r="G207" s="35"/>
      <c r="H207" s="34"/>
      <c r="I207" s="37"/>
    </row>
    <row r="208" ht="22.5" customHeight="1">
      <c r="A208" s="30"/>
      <c r="B208" s="31"/>
      <c r="C208" s="32"/>
      <c r="D208" s="33"/>
      <c r="E208" s="34"/>
      <c r="F208" s="34"/>
      <c r="G208" s="35"/>
      <c r="H208" s="34"/>
      <c r="I208" s="37"/>
    </row>
    <row r="209" ht="22.5" customHeight="1">
      <c r="A209" s="30"/>
      <c r="B209" s="31"/>
      <c r="C209" s="32"/>
      <c r="D209" s="33"/>
      <c r="E209" s="34"/>
      <c r="F209" s="34"/>
      <c r="G209" s="35"/>
      <c r="H209" s="34"/>
      <c r="I209" s="37"/>
    </row>
    <row r="210" ht="22.5" customHeight="1">
      <c r="A210" s="30"/>
      <c r="B210" s="31"/>
      <c r="C210" s="32"/>
      <c r="D210" s="33"/>
      <c r="E210" s="34"/>
      <c r="F210" s="34"/>
      <c r="G210" s="35"/>
      <c r="H210" s="34"/>
      <c r="I210" s="37"/>
    </row>
    <row r="211" ht="22.5" customHeight="1">
      <c r="A211" s="30"/>
      <c r="B211" s="31"/>
      <c r="C211" s="32"/>
      <c r="D211" s="33"/>
      <c r="E211" s="34"/>
      <c r="F211" s="34"/>
      <c r="G211" s="35"/>
      <c r="H211" s="34"/>
      <c r="I211" s="37"/>
    </row>
    <row r="212" ht="22.5" customHeight="1">
      <c r="A212" s="30"/>
      <c r="B212" s="31"/>
      <c r="C212" s="32"/>
      <c r="D212" s="33"/>
      <c r="E212" s="34"/>
      <c r="F212" s="34"/>
      <c r="G212" s="35"/>
      <c r="H212" s="34"/>
      <c r="I212" s="37"/>
    </row>
    <row r="213" ht="22.5" customHeight="1">
      <c r="A213" s="30"/>
      <c r="B213" s="39"/>
      <c r="C213" s="32"/>
      <c r="D213" s="33"/>
      <c r="E213" s="34"/>
      <c r="F213" s="34"/>
      <c r="G213" s="35"/>
      <c r="H213" s="34"/>
      <c r="I213" s="37"/>
    </row>
    <row r="214" ht="22.5" customHeight="1">
      <c r="A214" s="30"/>
      <c r="B214" s="39"/>
      <c r="C214" s="32"/>
      <c r="D214" s="33"/>
      <c r="E214" s="34"/>
      <c r="F214" s="34"/>
      <c r="G214" s="35"/>
      <c r="H214" s="34"/>
      <c r="I214" s="37"/>
    </row>
    <row r="215" ht="22.5" customHeight="1">
      <c r="A215" s="30"/>
      <c r="B215" s="39"/>
      <c r="C215" s="32"/>
      <c r="D215" s="33"/>
      <c r="E215" s="34"/>
      <c r="F215" s="34"/>
      <c r="G215" s="35"/>
      <c r="H215" s="34"/>
      <c r="I215" s="37"/>
    </row>
    <row r="216" ht="22.5" customHeight="1">
      <c r="A216" s="30"/>
      <c r="B216" s="40"/>
      <c r="C216" s="32"/>
      <c r="D216" s="33"/>
      <c r="E216" s="34"/>
      <c r="F216" s="34"/>
      <c r="G216" s="35"/>
      <c r="H216" s="34"/>
      <c r="I216" s="37"/>
    </row>
    <row r="217" ht="22.5" customHeight="1">
      <c r="A217" s="30"/>
      <c r="B217" s="31"/>
      <c r="C217" s="32"/>
      <c r="D217" s="33"/>
      <c r="E217" s="34"/>
      <c r="F217" s="34"/>
      <c r="G217" s="35"/>
      <c r="H217" s="34"/>
      <c r="I217" s="37"/>
    </row>
    <row r="218" ht="22.5" customHeight="1">
      <c r="A218" s="30"/>
      <c r="B218" s="31"/>
      <c r="C218" s="32"/>
      <c r="D218" s="33"/>
      <c r="E218" s="34"/>
      <c r="F218" s="34"/>
      <c r="G218" s="35"/>
      <c r="H218" s="34"/>
      <c r="I218" s="37"/>
    </row>
    <row r="219" ht="22.5" customHeight="1">
      <c r="A219" s="30"/>
      <c r="B219" s="31"/>
      <c r="C219" s="32"/>
      <c r="D219" s="33"/>
      <c r="E219" s="34"/>
      <c r="F219" s="34"/>
      <c r="G219" s="35"/>
      <c r="H219" s="34"/>
      <c r="I219" s="37"/>
    </row>
    <row r="220" ht="22.5" customHeight="1">
      <c r="A220" s="30"/>
      <c r="B220" s="31"/>
      <c r="C220" s="32"/>
      <c r="D220" s="33"/>
      <c r="E220" s="34"/>
      <c r="F220" s="34"/>
      <c r="G220" s="35"/>
      <c r="H220" s="34"/>
      <c r="I220" s="37"/>
    </row>
    <row r="221" ht="22.5" customHeight="1">
      <c r="A221" s="30"/>
      <c r="B221" s="31"/>
      <c r="C221" s="32"/>
      <c r="D221" s="33"/>
      <c r="E221" s="34"/>
      <c r="F221" s="34"/>
      <c r="G221" s="35"/>
      <c r="H221" s="34"/>
      <c r="I221" s="37"/>
    </row>
    <row r="222" ht="22.5" customHeight="1">
      <c r="A222" s="30"/>
      <c r="B222" s="31"/>
      <c r="C222" s="32"/>
      <c r="D222" s="33"/>
      <c r="E222" s="34"/>
      <c r="F222" s="34"/>
      <c r="G222" s="35"/>
      <c r="H222" s="34"/>
      <c r="I222" s="37"/>
    </row>
    <row r="223" ht="22.5" customHeight="1">
      <c r="A223" s="30"/>
      <c r="B223" s="31"/>
      <c r="C223" s="32"/>
      <c r="D223" s="33"/>
      <c r="E223" s="34"/>
      <c r="F223" s="34"/>
      <c r="G223" s="35"/>
      <c r="H223" s="34"/>
      <c r="I223" s="37"/>
    </row>
    <row r="224" ht="22.5" customHeight="1">
      <c r="A224" s="30"/>
      <c r="B224" s="31"/>
      <c r="C224" s="32"/>
      <c r="D224" s="33"/>
      <c r="E224" s="34"/>
      <c r="F224" s="34"/>
      <c r="G224" s="35"/>
      <c r="H224" s="34"/>
      <c r="I224" s="37"/>
    </row>
    <row r="225" ht="22.5" customHeight="1">
      <c r="A225" s="30"/>
      <c r="B225" s="31"/>
      <c r="C225" s="32"/>
      <c r="D225" s="33"/>
      <c r="E225" s="34"/>
      <c r="F225" s="34"/>
      <c r="G225" s="35"/>
      <c r="H225" s="34"/>
      <c r="I225" s="37"/>
    </row>
    <row r="226" ht="22.5" customHeight="1">
      <c r="A226" s="30"/>
      <c r="B226" s="40"/>
      <c r="C226" s="32"/>
      <c r="D226" s="33"/>
      <c r="E226" s="34"/>
      <c r="F226" s="34"/>
      <c r="G226" s="35"/>
      <c r="H226" s="34"/>
      <c r="I226" s="37"/>
    </row>
    <row r="227" ht="22.5" customHeight="1">
      <c r="A227" s="30"/>
      <c r="B227" s="31"/>
      <c r="C227" s="32"/>
      <c r="D227" s="33"/>
      <c r="E227" s="34"/>
      <c r="F227" s="34"/>
      <c r="G227" s="35"/>
      <c r="H227" s="34"/>
      <c r="I227" s="37"/>
    </row>
    <row r="228" ht="22.5" customHeight="1">
      <c r="A228" s="30"/>
      <c r="B228" s="31"/>
      <c r="C228" s="32"/>
      <c r="D228" s="33"/>
      <c r="E228" s="34"/>
      <c r="F228" s="34"/>
      <c r="G228" s="35"/>
      <c r="H228" s="34"/>
      <c r="I228" s="37"/>
    </row>
    <row r="229" ht="22.5" customHeight="1">
      <c r="A229" s="30"/>
      <c r="B229" s="31"/>
      <c r="C229" s="32"/>
      <c r="D229" s="33"/>
      <c r="E229" s="34"/>
      <c r="F229" s="34"/>
      <c r="G229" s="35"/>
      <c r="H229" s="34"/>
      <c r="I229" s="37"/>
    </row>
    <row r="230" ht="22.5" customHeight="1">
      <c r="A230" s="30"/>
      <c r="B230" s="40"/>
      <c r="C230" s="32"/>
      <c r="D230" s="33"/>
      <c r="E230" s="34"/>
      <c r="F230" s="34"/>
      <c r="G230" s="35"/>
      <c r="H230" s="34"/>
      <c r="I230" s="37"/>
    </row>
    <row r="231" ht="22.5" customHeight="1">
      <c r="A231" s="30"/>
      <c r="B231" s="31"/>
      <c r="C231" s="32"/>
      <c r="D231" s="33"/>
      <c r="E231" s="34"/>
      <c r="F231" s="34"/>
      <c r="G231" s="35"/>
      <c r="H231" s="34"/>
      <c r="I231" s="37"/>
    </row>
    <row r="232" ht="22.5" customHeight="1">
      <c r="A232" s="30"/>
      <c r="B232" s="31"/>
      <c r="C232" s="32"/>
      <c r="D232" s="33"/>
      <c r="E232" s="34"/>
      <c r="F232" s="34"/>
      <c r="G232" s="35"/>
      <c r="H232" s="34"/>
      <c r="I232" s="37"/>
    </row>
    <row r="233" ht="22.5" customHeight="1">
      <c r="A233" s="30"/>
      <c r="B233" s="31"/>
      <c r="C233" s="32"/>
      <c r="D233" s="33"/>
      <c r="E233" s="34"/>
      <c r="F233" s="34"/>
      <c r="G233" s="35"/>
      <c r="H233" s="34"/>
      <c r="I233" s="37"/>
    </row>
    <row r="234" ht="22.5" customHeight="1">
      <c r="A234" s="30"/>
      <c r="B234" s="31"/>
      <c r="C234" s="32"/>
      <c r="D234" s="33"/>
      <c r="E234" s="34"/>
      <c r="F234" s="34"/>
      <c r="G234" s="35"/>
      <c r="H234" s="34"/>
      <c r="I234" s="37"/>
    </row>
    <row r="235" ht="22.5" customHeight="1">
      <c r="A235" s="30"/>
      <c r="B235" s="31"/>
      <c r="C235" s="32"/>
      <c r="D235" s="33"/>
      <c r="E235" s="34"/>
      <c r="F235" s="34"/>
      <c r="G235" s="35"/>
      <c r="H235" s="34"/>
      <c r="I235" s="37"/>
    </row>
    <row r="236" ht="22.5" customHeight="1">
      <c r="A236" s="30"/>
      <c r="B236" s="31"/>
      <c r="C236" s="32"/>
      <c r="D236" s="33"/>
      <c r="E236" s="34"/>
      <c r="F236" s="34"/>
      <c r="G236" s="35"/>
      <c r="H236" s="34"/>
      <c r="I236" s="37"/>
    </row>
    <row r="237" ht="22.5" customHeight="1">
      <c r="A237" s="30"/>
      <c r="B237" s="31"/>
      <c r="C237" s="32"/>
      <c r="D237" s="33"/>
      <c r="E237" s="34"/>
      <c r="F237" s="34"/>
      <c r="G237" s="35"/>
      <c r="H237" s="34"/>
      <c r="I237" s="37"/>
    </row>
    <row r="238" ht="22.5" customHeight="1">
      <c r="A238" s="30"/>
      <c r="B238" s="31"/>
      <c r="C238" s="32"/>
      <c r="D238" s="33"/>
      <c r="E238" s="34"/>
      <c r="F238" s="34"/>
      <c r="G238" s="35"/>
      <c r="H238" s="34"/>
      <c r="I238" s="37"/>
    </row>
    <row r="239" ht="22.5" customHeight="1">
      <c r="A239" s="30"/>
      <c r="B239" s="31"/>
      <c r="C239" s="32"/>
      <c r="D239" s="33"/>
      <c r="E239" s="34"/>
      <c r="F239" s="34"/>
      <c r="G239" s="35"/>
      <c r="H239" s="34"/>
      <c r="I239" s="37"/>
    </row>
    <row r="240" ht="22.5" customHeight="1">
      <c r="A240" s="30"/>
      <c r="B240" s="31"/>
      <c r="C240" s="32"/>
      <c r="D240" s="33"/>
      <c r="E240" s="34"/>
      <c r="F240" s="34"/>
      <c r="G240" s="35"/>
      <c r="H240" s="34"/>
      <c r="I240" s="37"/>
    </row>
    <row r="241" ht="22.5" customHeight="1">
      <c r="A241" s="30"/>
      <c r="B241" s="31"/>
      <c r="C241" s="32"/>
      <c r="D241" s="33"/>
      <c r="E241" s="34"/>
      <c r="F241" s="34"/>
      <c r="G241" s="35"/>
      <c r="H241" s="34"/>
      <c r="I241" s="37"/>
    </row>
    <row r="242" ht="22.5" customHeight="1">
      <c r="A242" s="30"/>
      <c r="B242" s="31"/>
      <c r="C242" s="32"/>
      <c r="D242" s="33"/>
      <c r="E242" s="34"/>
      <c r="F242" s="34"/>
      <c r="G242" s="35"/>
      <c r="H242" s="34"/>
      <c r="I242" s="37"/>
    </row>
    <row r="243" ht="22.5" customHeight="1">
      <c r="A243" s="30"/>
      <c r="B243" s="31"/>
      <c r="C243" s="32"/>
      <c r="D243" s="33"/>
      <c r="E243" s="34"/>
      <c r="F243" s="34"/>
      <c r="G243" s="35"/>
      <c r="H243" s="34"/>
      <c r="I243" s="37"/>
    </row>
    <row r="244" ht="22.5" customHeight="1">
      <c r="A244" s="30"/>
      <c r="B244" s="31"/>
      <c r="C244" s="32"/>
      <c r="D244" s="33"/>
      <c r="E244" s="34"/>
      <c r="F244" s="34"/>
      <c r="G244" s="35"/>
      <c r="H244" s="34"/>
      <c r="I244" s="37"/>
    </row>
    <row r="245" ht="22.5" customHeight="1">
      <c r="A245" s="30"/>
      <c r="B245" s="40"/>
      <c r="C245" s="32"/>
      <c r="D245" s="33"/>
      <c r="E245" s="34"/>
      <c r="F245" s="34"/>
      <c r="G245" s="35"/>
      <c r="H245" s="34"/>
      <c r="I245" s="37"/>
    </row>
    <row r="246" ht="22.5" customHeight="1">
      <c r="A246" s="30"/>
      <c r="B246" s="31"/>
      <c r="C246" s="32"/>
      <c r="D246" s="33"/>
      <c r="E246" s="34"/>
      <c r="F246" s="34"/>
      <c r="G246" s="35"/>
      <c r="H246" s="34"/>
      <c r="I246" s="37"/>
    </row>
    <row r="247" ht="22.5" customHeight="1">
      <c r="A247" s="30"/>
      <c r="B247" s="40"/>
      <c r="C247" s="32"/>
      <c r="D247" s="33"/>
      <c r="E247" s="34"/>
      <c r="F247" s="34"/>
      <c r="G247" s="35"/>
      <c r="H247" s="34"/>
      <c r="I247" s="37"/>
    </row>
    <row r="248" ht="22.5" customHeight="1">
      <c r="A248" s="30"/>
      <c r="B248" s="31"/>
      <c r="C248" s="32"/>
      <c r="D248" s="33"/>
      <c r="E248" s="34"/>
      <c r="F248" s="34"/>
      <c r="G248" s="35"/>
      <c r="H248" s="34"/>
      <c r="I248" s="37"/>
    </row>
    <row r="249" ht="22.5" customHeight="1">
      <c r="A249" s="30"/>
      <c r="B249" s="31"/>
      <c r="C249" s="32"/>
      <c r="D249" s="33"/>
      <c r="E249" s="34"/>
      <c r="F249" s="34"/>
      <c r="G249" s="35"/>
      <c r="H249" s="34"/>
      <c r="I249" s="37"/>
    </row>
    <row r="250" ht="22.5" customHeight="1">
      <c r="A250" s="30"/>
      <c r="B250" s="31"/>
      <c r="C250" s="32"/>
      <c r="D250" s="33"/>
      <c r="E250" s="34"/>
      <c r="F250" s="34"/>
      <c r="G250" s="35"/>
      <c r="H250" s="34"/>
      <c r="I250" s="37"/>
    </row>
    <row r="251" ht="22.5" customHeight="1">
      <c r="A251" s="30"/>
      <c r="B251" s="31"/>
      <c r="C251" s="32"/>
      <c r="D251" s="33"/>
      <c r="E251" s="34"/>
      <c r="F251" s="34"/>
      <c r="G251" s="35"/>
      <c r="H251" s="34"/>
      <c r="I251" s="37"/>
    </row>
    <row r="252" ht="22.5" customHeight="1">
      <c r="A252" s="30"/>
      <c r="B252" s="40"/>
      <c r="C252" s="32"/>
      <c r="D252" s="33"/>
      <c r="E252" s="34"/>
      <c r="F252" s="34"/>
      <c r="G252" s="35"/>
      <c r="H252" s="34"/>
      <c r="I252" s="37"/>
    </row>
    <row r="253" ht="22.5" customHeight="1">
      <c r="A253" s="30"/>
      <c r="B253" s="31"/>
      <c r="C253" s="32"/>
      <c r="D253" s="33"/>
      <c r="E253" s="34"/>
      <c r="F253" s="34"/>
      <c r="G253" s="35"/>
      <c r="H253" s="34"/>
      <c r="I253" s="37"/>
    </row>
    <row r="254" ht="22.5" customHeight="1">
      <c r="A254" s="30"/>
      <c r="B254" s="31"/>
      <c r="C254" s="32"/>
      <c r="D254" s="33"/>
      <c r="E254" s="34"/>
      <c r="F254" s="34"/>
      <c r="G254" s="35"/>
      <c r="H254" s="34"/>
      <c r="I254" s="37"/>
    </row>
    <row r="255" ht="22.5" customHeight="1">
      <c r="A255" s="30"/>
      <c r="B255" s="31"/>
      <c r="C255" s="32"/>
      <c r="D255" s="33"/>
      <c r="E255" s="34"/>
      <c r="F255" s="34"/>
      <c r="G255" s="35"/>
      <c r="H255" s="34"/>
      <c r="I255" s="37"/>
    </row>
    <row r="256" ht="22.5" customHeight="1">
      <c r="A256" s="30"/>
      <c r="B256" s="31"/>
      <c r="C256" s="32"/>
      <c r="D256" s="33"/>
      <c r="E256" s="34"/>
      <c r="F256" s="34"/>
      <c r="G256" s="35"/>
      <c r="H256" s="34"/>
      <c r="I256" s="37"/>
    </row>
    <row r="257" ht="22.5" customHeight="1">
      <c r="A257" s="30"/>
      <c r="B257" s="31"/>
      <c r="C257" s="32"/>
      <c r="D257" s="33"/>
      <c r="E257" s="34"/>
      <c r="F257" s="34"/>
      <c r="G257" s="35"/>
      <c r="H257" s="34"/>
      <c r="I257" s="37"/>
    </row>
    <row r="258" ht="22.5" customHeight="1">
      <c r="A258" s="30"/>
      <c r="B258" s="31"/>
      <c r="C258" s="32"/>
      <c r="D258" s="33"/>
      <c r="E258" s="34"/>
      <c r="F258" s="34"/>
      <c r="G258" s="35"/>
      <c r="H258" s="34"/>
      <c r="I258" s="37"/>
    </row>
    <row r="259" ht="22.5" customHeight="1">
      <c r="A259" s="30"/>
      <c r="B259" s="31"/>
      <c r="C259" s="32"/>
      <c r="D259" s="33"/>
      <c r="E259" s="34"/>
      <c r="F259" s="34"/>
      <c r="G259" s="35"/>
      <c r="H259" s="34"/>
      <c r="I259" s="37"/>
    </row>
    <row r="260" ht="22.5" customHeight="1">
      <c r="A260" s="30"/>
      <c r="B260" s="31"/>
      <c r="C260" s="32"/>
      <c r="D260" s="33"/>
      <c r="E260" s="34"/>
      <c r="F260" s="34"/>
      <c r="G260" s="35"/>
      <c r="H260" s="34"/>
      <c r="I260" s="37"/>
    </row>
    <row r="261" ht="22.5" customHeight="1">
      <c r="A261" s="30"/>
      <c r="B261" s="31"/>
      <c r="C261" s="32"/>
      <c r="D261" s="33"/>
      <c r="E261" s="34"/>
      <c r="F261" s="34"/>
      <c r="G261" s="35"/>
      <c r="H261" s="34"/>
      <c r="I261" s="37"/>
    </row>
    <row r="262" ht="22.5" customHeight="1">
      <c r="A262" s="30"/>
      <c r="B262" s="31"/>
      <c r="C262" s="32"/>
      <c r="D262" s="33"/>
      <c r="E262" s="34"/>
      <c r="F262" s="34"/>
      <c r="G262" s="35"/>
      <c r="H262" s="34"/>
      <c r="I262" s="37"/>
    </row>
    <row r="263" ht="22.5" customHeight="1">
      <c r="A263" s="30"/>
      <c r="B263" s="31"/>
      <c r="C263" s="32"/>
      <c r="D263" s="33"/>
      <c r="E263" s="34"/>
      <c r="F263" s="34"/>
      <c r="G263" s="35"/>
      <c r="H263" s="34"/>
      <c r="I263" s="37"/>
    </row>
    <row r="264" ht="22.5" customHeight="1">
      <c r="A264" s="30"/>
      <c r="B264" s="31"/>
      <c r="C264" s="32"/>
      <c r="D264" s="33"/>
      <c r="E264" s="34"/>
      <c r="F264" s="34"/>
      <c r="G264" s="35"/>
      <c r="H264" s="34"/>
      <c r="I264" s="37"/>
    </row>
    <row r="265" ht="22.5" customHeight="1">
      <c r="A265" s="30"/>
      <c r="B265" s="31"/>
      <c r="C265" s="32"/>
      <c r="D265" s="33"/>
      <c r="E265" s="34"/>
      <c r="F265" s="34"/>
      <c r="G265" s="35"/>
      <c r="H265" s="34"/>
      <c r="I265" s="37"/>
    </row>
    <row r="266" ht="22.5" customHeight="1">
      <c r="A266" s="30"/>
      <c r="B266" s="31"/>
      <c r="C266" s="32"/>
      <c r="D266" s="33"/>
      <c r="E266" s="34"/>
      <c r="F266" s="34"/>
      <c r="G266" s="35"/>
      <c r="H266" s="34"/>
      <c r="I266" s="37"/>
    </row>
    <row r="267" ht="22.5" customHeight="1">
      <c r="A267" s="30"/>
      <c r="B267" s="31"/>
      <c r="C267" s="32"/>
      <c r="D267" s="33"/>
      <c r="E267" s="34"/>
      <c r="F267" s="34"/>
      <c r="G267" s="35"/>
      <c r="H267" s="34"/>
      <c r="I267" s="37"/>
    </row>
    <row r="268" ht="22.5" customHeight="1">
      <c r="A268" s="30"/>
      <c r="B268" s="31"/>
      <c r="C268" s="32"/>
      <c r="D268" s="33"/>
      <c r="E268" s="34"/>
      <c r="F268" s="34"/>
      <c r="G268" s="35"/>
      <c r="H268" s="34"/>
      <c r="I268" s="37"/>
    </row>
    <row r="269" ht="22.5" customHeight="1">
      <c r="A269" s="30"/>
      <c r="B269" s="31"/>
      <c r="C269" s="32"/>
      <c r="D269" s="33"/>
      <c r="E269" s="34"/>
      <c r="F269" s="34"/>
      <c r="G269" s="35"/>
      <c r="H269" s="34"/>
      <c r="I269" s="37"/>
    </row>
    <row r="270" ht="22.5" customHeight="1">
      <c r="A270" s="30"/>
      <c r="B270" s="31"/>
      <c r="C270" s="32"/>
      <c r="D270" s="33"/>
      <c r="E270" s="34"/>
      <c r="F270" s="34"/>
      <c r="G270" s="35"/>
      <c r="H270" s="34"/>
      <c r="I270" s="37"/>
    </row>
    <row r="271" ht="22.5" customHeight="1">
      <c r="A271" s="30"/>
      <c r="B271" s="31"/>
      <c r="C271" s="32"/>
      <c r="D271" s="33"/>
      <c r="E271" s="34"/>
      <c r="F271" s="34"/>
      <c r="G271" s="35"/>
      <c r="H271" s="34"/>
      <c r="I271" s="37"/>
    </row>
    <row r="272" ht="22.5" customHeight="1">
      <c r="A272" s="30"/>
      <c r="B272" s="31"/>
      <c r="C272" s="32"/>
      <c r="D272" s="33"/>
      <c r="E272" s="34"/>
      <c r="F272" s="34"/>
      <c r="G272" s="35"/>
      <c r="H272" s="34"/>
      <c r="I272" s="37"/>
    </row>
    <row r="273" ht="22.5" customHeight="1">
      <c r="A273" s="30"/>
      <c r="B273" s="31"/>
      <c r="C273" s="32"/>
      <c r="D273" s="33"/>
      <c r="E273" s="34"/>
      <c r="F273" s="34"/>
      <c r="G273" s="35"/>
      <c r="H273" s="34"/>
      <c r="I273" s="37"/>
    </row>
    <row r="274" ht="22.5" customHeight="1">
      <c r="A274" s="30"/>
      <c r="B274" s="40"/>
      <c r="C274" s="32"/>
      <c r="D274" s="33"/>
      <c r="E274" s="34"/>
      <c r="F274" s="34"/>
      <c r="G274" s="35"/>
      <c r="H274" s="34"/>
      <c r="I274" s="37"/>
    </row>
    <row r="275" ht="22.5" customHeight="1">
      <c r="A275" s="30"/>
      <c r="B275" s="31"/>
      <c r="C275" s="32"/>
      <c r="D275" s="33"/>
      <c r="E275" s="34"/>
      <c r="F275" s="34"/>
      <c r="G275" s="35"/>
      <c r="H275" s="34"/>
      <c r="I275" s="37"/>
    </row>
    <row r="276" ht="22.5" customHeight="1">
      <c r="A276" s="30"/>
      <c r="B276" s="31"/>
      <c r="C276" s="32"/>
      <c r="D276" s="33"/>
      <c r="E276" s="34"/>
      <c r="F276" s="34"/>
      <c r="G276" s="35"/>
      <c r="H276" s="34"/>
      <c r="I276" s="37"/>
    </row>
    <row r="277" ht="22.5" customHeight="1">
      <c r="A277" s="30"/>
      <c r="B277" s="31"/>
      <c r="C277" s="32"/>
      <c r="D277" s="33"/>
      <c r="E277" s="34"/>
      <c r="F277" s="34"/>
      <c r="G277" s="35"/>
      <c r="H277" s="34"/>
      <c r="I277" s="37"/>
    </row>
    <row r="278" ht="22.5" customHeight="1">
      <c r="A278" s="30"/>
      <c r="B278" s="31"/>
      <c r="C278" s="32"/>
      <c r="D278" s="33"/>
      <c r="E278" s="34"/>
      <c r="F278" s="34"/>
      <c r="G278" s="35"/>
      <c r="H278" s="34"/>
      <c r="I278" s="38"/>
    </row>
    <row r="279" ht="22.5" customHeight="1">
      <c r="A279" s="30"/>
      <c r="B279" s="39"/>
      <c r="C279" s="32"/>
      <c r="D279" s="33"/>
      <c r="E279" s="34"/>
      <c r="F279" s="34"/>
      <c r="G279" s="35"/>
      <c r="H279" s="34"/>
      <c r="I279" s="37"/>
    </row>
    <row r="280" ht="22.5" customHeight="1">
      <c r="A280" s="30"/>
      <c r="B280" s="31"/>
      <c r="C280" s="32"/>
      <c r="D280" s="33"/>
      <c r="E280" s="34"/>
      <c r="F280" s="34"/>
      <c r="G280" s="35"/>
      <c r="H280" s="34"/>
      <c r="I280" s="37"/>
    </row>
    <row r="281" ht="22.5" customHeight="1">
      <c r="A281" s="30"/>
      <c r="B281" s="31"/>
      <c r="C281" s="32"/>
      <c r="D281" s="33"/>
      <c r="E281" s="34"/>
      <c r="F281" s="34"/>
      <c r="G281" s="35"/>
      <c r="H281" s="34"/>
      <c r="I281" s="37"/>
    </row>
    <row r="282" ht="22.5" customHeight="1">
      <c r="A282" s="30"/>
      <c r="B282" s="31"/>
      <c r="C282" s="32"/>
      <c r="D282" s="33"/>
      <c r="E282" s="34"/>
      <c r="F282" s="34"/>
      <c r="G282" s="35"/>
      <c r="H282" s="34"/>
      <c r="I282" s="37"/>
    </row>
    <row r="283" ht="22.5" customHeight="1">
      <c r="A283" s="30"/>
      <c r="B283" s="39"/>
      <c r="C283" s="32"/>
      <c r="D283" s="33"/>
      <c r="E283" s="34"/>
      <c r="F283" s="34"/>
      <c r="G283" s="35"/>
      <c r="H283" s="34"/>
      <c r="I283" s="37"/>
    </row>
    <row r="284" ht="22.5" customHeight="1">
      <c r="A284" s="30"/>
      <c r="B284" s="31"/>
      <c r="C284" s="32"/>
      <c r="D284" s="33"/>
      <c r="E284" s="34"/>
      <c r="F284" s="34"/>
      <c r="G284" s="35"/>
      <c r="H284" s="34"/>
      <c r="I284" s="37"/>
    </row>
    <row r="285" ht="22.5" customHeight="1">
      <c r="A285" s="30"/>
      <c r="B285" s="39"/>
      <c r="C285" s="32"/>
      <c r="D285" s="33"/>
      <c r="E285" s="34"/>
      <c r="F285" s="34"/>
      <c r="G285" s="35"/>
      <c r="H285" s="34"/>
      <c r="I285" s="37"/>
    </row>
    <row r="286" ht="22.5" customHeight="1">
      <c r="A286" s="30"/>
      <c r="B286" s="31"/>
      <c r="C286" s="32"/>
      <c r="D286" s="33"/>
      <c r="E286" s="34"/>
      <c r="F286" s="34"/>
      <c r="G286" s="35"/>
      <c r="H286" s="34"/>
      <c r="I286" s="37"/>
    </row>
    <row r="287" ht="22.5" customHeight="1">
      <c r="A287" s="30"/>
      <c r="B287" s="31"/>
      <c r="C287" s="32"/>
      <c r="D287" s="33"/>
      <c r="E287" s="34"/>
      <c r="F287" s="34"/>
      <c r="G287" s="35"/>
      <c r="H287" s="34"/>
      <c r="I287" s="37"/>
    </row>
    <row r="288" ht="22.5" customHeight="1">
      <c r="A288" s="30"/>
      <c r="B288" s="31"/>
      <c r="C288" s="32"/>
      <c r="D288" s="33"/>
      <c r="E288" s="34"/>
      <c r="F288" s="34"/>
      <c r="G288" s="35"/>
      <c r="H288" s="34"/>
      <c r="I288" s="37"/>
    </row>
    <row r="289" ht="22.5" customHeight="1">
      <c r="A289" s="30"/>
      <c r="B289" s="31"/>
      <c r="C289" s="32"/>
      <c r="D289" s="33"/>
      <c r="E289" s="34"/>
      <c r="F289" s="34"/>
      <c r="G289" s="35"/>
      <c r="H289" s="34"/>
      <c r="I289" s="37"/>
    </row>
    <row r="290" ht="22.5" customHeight="1">
      <c r="A290" s="30"/>
      <c r="B290" s="31"/>
      <c r="C290" s="32"/>
      <c r="D290" s="33"/>
      <c r="E290" s="34"/>
      <c r="F290" s="34"/>
      <c r="G290" s="35"/>
      <c r="H290" s="34"/>
      <c r="I290" s="37"/>
    </row>
    <row r="291" ht="22.5" customHeight="1">
      <c r="A291" s="30"/>
      <c r="B291" s="31"/>
      <c r="C291" s="32"/>
      <c r="D291" s="33"/>
      <c r="E291" s="34"/>
      <c r="F291" s="34"/>
      <c r="G291" s="35"/>
      <c r="H291" s="34"/>
      <c r="I291" s="37"/>
    </row>
    <row r="292" ht="22.5" customHeight="1">
      <c r="A292" s="30"/>
      <c r="B292" s="31"/>
      <c r="C292" s="32"/>
      <c r="D292" s="33"/>
      <c r="E292" s="34"/>
      <c r="F292" s="34"/>
      <c r="G292" s="35"/>
      <c r="H292" s="34"/>
      <c r="I292" s="37"/>
    </row>
    <row r="293" ht="22.5" customHeight="1">
      <c r="A293" s="30"/>
      <c r="B293" s="31"/>
      <c r="C293" s="32"/>
      <c r="D293" s="33"/>
      <c r="E293" s="34"/>
      <c r="F293" s="34"/>
      <c r="G293" s="35"/>
      <c r="H293" s="34"/>
      <c r="I293" s="37"/>
    </row>
    <row r="294" ht="22.5" customHeight="1">
      <c r="A294" s="30"/>
      <c r="B294" s="31"/>
      <c r="C294" s="32"/>
      <c r="D294" s="33"/>
      <c r="E294" s="34"/>
      <c r="F294" s="34"/>
      <c r="G294" s="35"/>
      <c r="H294" s="34"/>
      <c r="I294" s="37"/>
    </row>
    <row r="295" ht="22.5" customHeight="1">
      <c r="A295" s="30"/>
      <c r="B295" s="31"/>
      <c r="C295" s="32"/>
      <c r="D295" s="33"/>
      <c r="E295" s="34"/>
      <c r="F295" s="34"/>
      <c r="G295" s="35"/>
      <c r="H295" s="34"/>
      <c r="I295" s="37"/>
    </row>
    <row r="296" ht="22.5" customHeight="1">
      <c r="A296" s="30"/>
      <c r="B296" s="40"/>
      <c r="C296" s="32"/>
      <c r="D296" s="33"/>
      <c r="E296" s="34"/>
      <c r="F296" s="34"/>
      <c r="G296" s="35"/>
      <c r="H296" s="34"/>
      <c r="I296" s="37"/>
    </row>
    <row r="297" ht="22.5" customHeight="1">
      <c r="A297" s="30"/>
      <c r="B297" s="31"/>
      <c r="C297" s="32"/>
      <c r="D297" s="33"/>
      <c r="E297" s="34"/>
      <c r="F297" s="34"/>
      <c r="G297" s="35"/>
      <c r="H297" s="34"/>
      <c r="I297" s="37"/>
    </row>
    <row r="298" ht="22.5" customHeight="1">
      <c r="A298" s="30"/>
      <c r="B298" s="31"/>
      <c r="C298" s="32"/>
      <c r="D298" s="33"/>
      <c r="E298" s="34"/>
      <c r="F298" s="34"/>
      <c r="G298" s="35"/>
      <c r="H298" s="34"/>
      <c r="I298" s="37"/>
    </row>
    <row r="299" ht="22.5" customHeight="1">
      <c r="A299" s="30"/>
      <c r="B299" s="31"/>
      <c r="C299" s="32"/>
      <c r="D299" s="33"/>
      <c r="E299" s="34"/>
      <c r="F299" s="34"/>
      <c r="G299" s="35"/>
      <c r="H299" s="34"/>
      <c r="I299" s="37"/>
    </row>
    <row r="300" ht="22.5" customHeight="1">
      <c r="A300" s="30"/>
      <c r="B300" s="31"/>
      <c r="C300" s="32"/>
      <c r="D300" s="33"/>
      <c r="E300" s="34"/>
      <c r="F300" s="34"/>
      <c r="G300" s="35"/>
      <c r="H300" s="34"/>
      <c r="I300" s="37"/>
    </row>
    <row r="301" ht="22.5" customHeight="1">
      <c r="A301" s="30"/>
      <c r="B301" s="31"/>
      <c r="C301" s="32"/>
      <c r="D301" s="33"/>
      <c r="E301" s="34"/>
      <c r="F301" s="34"/>
      <c r="G301" s="35"/>
      <c r="H301" s="34"/>
      <c r="I301" s="37"/>
    </row>
    <row r="302" ht="22.5" customHeight="1">
      <c r="A302" s="30"/>
      <c r="B302" s="31"/>
      <c r="C302" s="32"/>
      <c r="D302" s="33"/>
      <c r="E302" s="34"/>
      <c r="F302" s="34"/>
      <c r="G302" s="35"/>
      <c r="H302" s="34"/>
      <c r="I302" s="37"/>
    </row>
    <row r="303" ht="22.5" customHeight="1">
      <c r="A303" s="30"/>
      <c r="B303" s="39"/>
      <c r="C303" s="32"/>
      <c r="D303" s="33"/>
      <c r="E303" s="34"/>
      <c r="F303" s="34"/>
      <c r="G303" s="35"/>
      <c r="H303" s="34"/>
      <c r="I303" s="37"/>
    </row>
    <row r="304" ht="22.5" customHeight="1">
      <c r="A304" s="30"/>
      <c r="B304" s="39"/>
      <c r="C304" s="32"/>
      <c r="D304" s="33"/>
      <c r="E304" s="34"/>
      <c r="F304" s="34"/>
      <c r="G304" s="35"/>
      <c r="H304" s="34"/>
      <c r="I304" s="37"/>
    </row>
    <row r="305" ht="22.5" customHeight="1">
      <c r="A305" s="30"/>
      <c r="B305" s="39"/>
      <c r="C305" s="32"/>
      <c r="D305" s="33"/>
      <c r="E305" s="34"/>
      <c r="F305" s="34"/>
      <c r="G305" s="35"/>
      <c r="H305" s="34"/>
      <c r="I305" s="37"/>
    </row>
    <row r="306" ht="22.5" customHeight="1">
      <c r="A306" s="30"/>
      <c r="B306" s="40"/>
      <c r="C306" s="32"/>
      <c r="D306" s="33"/>
      <c r="E306" s="34"/>
      <c r="F306" s="34"/>
      <c r="G306" s="35"/>
      <c r="H306" s="34"/>
      <c r="I306" s="37"/>
    </row>
    <row r="307" ht="22.5" customHeight="1">
      <c r="A307" s="30"/>
      <c r="B307" s="31"/>
      <c r="C307" s="32"/>
      <c r="D307" s="33"/>
      <c r="E307" s="34"/>
      <c r="F307" s="34"/>
      <c r="G307" s="35"/>
      <c r="H307" s="34"/>
      <c r="I307" s="37"/>
    </row>
    <row r="308" ht="22.5" customHeight="1">
      <c r="A308" s="30"/>
      <c r="B308" s="31"/>
      <c r="C308" s="32"/>
      <c r="D308" s="33"/>
      <c r="E308" s="34"/>
      <c r="F308" s="34"/>
      <c r="G308" s="35"/>
      <c r="H308" s="34"/>
      <c r="I308" s="37"/>
    </row>
    <row r="309" ht="22.5" customHeight="1">
      <c r="A309" s="30"/>
      <c r="B309" s="31"/>
      <c r="C309" s="32"/>
      <c r="D309" s="33"/>
      <c r="E309" s="34"/>
      <c r="F309" s="34"/>
      <c r="G309" s="35"/>
      <c r="H309" s="34"/>
      <c r="I309" s="37"/>
    </row>
    <row r="310" ht="22.5" customHeight="1">
      <c r="A310" s="30"/>
      <c r="B310" s="31"/>
      <c r="C310" s="32"/>
      <c r="D310" s="33"/>
      <c r="E310" s="34"/>
      <c r="F310" s="34"/>
      <c r="G310" s="35"/>
      <c r="H310" s="34"/>
      <c r="I310" s="37"/>
    </row>
    <row r="311" ht="22.5" customHeight="1">
      <c r="A311" s="30"/>
      <c r="B311" s="31"/>
      <c r="C311" s="32"/>
      <c r="D311" s="33"/>
      <c r="E311" s="34"/>
      <c r="F311" s="34"/>
      <c r="G311" s="35"/>
      <c r="H311" s="34"/>
      <c r="I311" s="37"/>
    </row>
    <row r="312" ht="22.5" customHeight="1">
      <c r="A312" s="30"/>
      <c r="B312" s="31"/>
      <c r="C312" s="32"/>
      <c r="D312" s="33"/>
      <c r="E312" s="34"/>
      <c r="F312" s="34"/>
      <c r="G312" s="35"/>
      <c r="H312" s="34"/>
      <c r="I312" s="37"/>
    </row>
    <row r="313" ht="22.5" customHeight="1">
      <c r="A313" s="30"/>
      <c r="B313" s="31"/>
      <c r="C313" s="32"/>
      <c r="D313" s="33"/>
      <c r="E313" s="34"/>
      <c r="F313" s="34"/>
      <c r="G313" s="35"/>
      <c r="H313" s="34"/>
      <c r="I313" s="37"/>
    </row>
    <row r="314" ht="22.5" customHeight="1">
      <c r="A314" s="30"/>
      <c r="B314" s="31"/>
      <c r="C314" s="32"/>
      <c r="D314" s="33"/>
      <c r="E314" s="34"/>
      <c r="F314" s="34"/>
      <c r="G314" s="35"/>
      <c r="H314" s="34"/>
      <c r="I314" s="37"/>
    </row>
    <row r="315" ht="22.5" customHeight="1">
      <c r="A315" s="30"/>
      <c r="B315" s="31"/>
      <c r="C315" s="32"/>
      <c r="D315" s="33"/>
      <c r="E315" s="34"/>
      <c r="F315" s="34"/>
      <c r="G315" s="35"/>
      <c r="H315" s="34"/>
      <c r="I315" s="37"/>
    </row>
    <row r="316" ht="22.5" customHeight="1">
      <c r="A316" s="30"/>
      <c r="B316" s="40"/>
      <c r="C316" s="32"/>
      <c r="D316" s="33"/>
      <c r="E316" s="34"/>
      <c r="F316" s="34"/>
      <c r="G316" s="35"/>
      <c r="H316" s="34"/>
      <c r="I316" s="37"/>
    </row>
    <row r="317" ht="22.5" customHeight="1">
      <c r="A317" s="30"/>
      <c r="B317" s="31"/>
      <c r="C317" s="32"/>
      <c r="D317" s="33"/>
      <c r="E317" s="34"/>
      <c r="F317" s="34"/>
      <c r="G317" s="35"/>
      <c r="H317" s="34"/>
      <c r="I317" s="37"/>
    </row>
    <row r="318" ht="22.5" customHeight="1">
      <c r="A318" s="30"/>
      <c r="B318" s="31"/>
      <c r="C318" s="32"/>
      <c r="D318" s="33"/>
      <c r="E318" s="34"/>
      <c r="F318" s="34"/>
      <c r="G318" s="35"/>
      <c r="H318" s="34"/>
      <c r="I318" s="37"/>
    </row>
    <row r="319" ht="22.5" customHeight="1">
      <c r="A319" s="30"/>
      <c r="B319" s="31"/>
      <c r="C319" s="32"/>
      <c r="D319" s="33"/>
      <c r="E319" s="34"/>
      <c r="F319" s="34"/>
      <c r="G319" s="35"/>
      <c r="H319" s="34"/>
      <c r="I319" s="37"/>
    </row>
    <row r="320" ht="22.5" customHeight="1">
      <c r="A320" s="30"/>
      <c r="B320" s="40"/>
      <c r="C320" s="32"/>
      <c r="D320" s="33"/>
      <c r="E320" s="34"/>
      <c r="F320" s="34"/>
      <c r="G320" s="35"/>
      <c r="H320" s="34"/>
      <c r="I320" s="37"/>
    </row>
    <row r="321" ht="22.5" customHeight="1">
      <c r="A321" s="30"/>
      <c r="B321" s="31"/>
      <c r="C321" s="32"/>
      <c r="D321" s="33"/>
      <c r="E321" s="34"/>
      <c r="F321" s="34"/>
      <c r="G321" s="35"/>
      <c r="H321" s="34"/>
      <c r="I321" s="37"/>
    </row>
    <row r="322" ht="22.5" customHeight="1">
      <c r="A322" s="30"/>
      <c r="B322" s="31"/>
      <c r="C322" s="32"/>
      <c r="D322" s="33"/>
      <c r="E322" s="34"/>
      <c r="F322" s="34"/>
      <c r="G322" s="35"/>
      <c r="H322" s="34"/>
      <c r="I322" s="37"/>
    </row>
    <row r="323" ht="22.5" customHeight="1">
      <c r="A323" s="30"/>
      <c r="B323" s="31"/>
      <c r="C323" s="32"/>
      <c r="D323" s="33"/>
      <c r="E323" s="34"/>
      <c r="F323" s="34"/>
      <c r="G323" s="35"/>
      <c r="H323" s="34"/>
      <c r="I323" s="37"/>
    </row>
    <row r="324" ht="22.5" customHeight="1">
      <c r="A324" s="30"/>
      <c r="B324" s="31"/>
      <c r="C324" s="32"/>
      <c r="D324" s="33"/>
      <c r="E324" s="34"/>
      <c r="F324" s="34"/>
      <c r="G324" s="35"/>
      <c r="H324" s="34"/>
      <c r="I324" s="37"/>
    </row>
    <row r="325" ht="22.5" customHeight="1">
      <c r="A325" s="30"/>
      <c r="B325" s="31"/>
      <c r="C325" s="32"/>
      <c r="D325" s="33"/>
      <c r="E325" s="34"/>
      <c r="F325" s="34"/>
      <c r="G325" s="35"/>
      <c r="H325" s="34"/>
      <c r="I325" s="37"/>
    </row>
    <row r="326" ht="22.5" customHeight="1">
      <c r="A326" s="30"/>
      <c r="B326" s="31"/>
      <c r="C326" s="32"/>
      <c r="D326" s="33"/>
      <c r="E326" s="34"/>
      <c r="F326" s="34"/>
      <c r="G326" s="35"/>
      <c r="H326" s="34"/>
      <c r="I326" s="37"/>
    </row>
    <row r="327" ht="22.5" customHeight="1">
      <c r="A327" s="30"/>
      <c r="B327" s="31"/>
      <c r="C327" s="32"/>
      <c r="D327" s="33"/>
      <c r="E327" s="34"/>
      <c r="F327" s="34"/>
      <c r="G327" s="35"/>
      <c r="H327" s="34"/>
      <c r="I327" s="37"/>
    </row>
    <row r="328" ht="22.5" customHeight="1">
      <c r="A328" s="30"/>
      <c r="B328" s="31"/>
      <c r="C328" s="32"/>
      <c r="D328" s="33"/>
      <c r="E328" s="34"/>
      <c r="F328" s="34"/>
      <c r="G328" s="35"/>
      <c r="H328" s="34"/>
      <c r="I328" s="37"/>
    </row>
    <row r="329" ht="22.5" customHeight="1">
      <c r="A329" s="30"/>
      <c r="B329" s="31"/>
      <c r="C329" s="32"/>
      <c r="D329" s="33"/>
      <c r="E329" s="34"/>
      <c r="F329" s="34"/>
      <c r="G329" s="35"/>
      <c r="H329" s="34"/>
      <c r="I329" s="37"/>
    </row>
    <row r="330" ht="22.5" customHeight="1">
      <c r="A330" s="30"/>
      <c r="B330" s="31"/>
      <c r="C330" s="32"/>
      <c r="D330" s="33"/>
      <c r="E330" s="34"/>
      <c r="F330" s="34"/>
      <c r="G330" s="35"/>
      <c r="H330" s="34"/>
      <c r="I330" s="37"/>
    </row>
    <row r="331" ht="22.5" customHeight="1">
      <c r="A331" s="30"/>
      <c r="B331" s="31"/>
      <c r="C331" s="32"/>
      <c r="D331" s="33"/>
      <c r="E331" s="34"/>
      <c r="F331" s="34"/>
      <c r="G331" s="35"/>
      <c r="H331" s="34"/>
      <c r="I331" s="37"/>
    </row>
    <row r="332" ht="22.5" customHeight="1">
      <c r="A332" s="30"/>
      <c r="B332" s="31"/>
      <c r="C332" s="32"/>
      <c r="D332" s="33"/>
      <c r="E332" s="34"/>
      <c r="F332" s="34"/>
      <c r="G332" s="35"/>
      <c r="H332" s="34"/>
      <c r="I332" s="37"/>
    </row>
    <row r="333" ht="22.5" customHeight="1">
      <c r="A333" s="30"/>
      <c r="B333" s="31"/>
      <c r="C333" s="32"/>
      <c r="D333" s="33"/>
      <c r="E333" s="34"/>
      <c r="F333" s="34"/>
      <c r="G333" s="35"/>
      <c r="H333" s="34"/>
      <c r="I333" s="37"/>
    </row>
    <row r="334" ht="22.5" customHeight="1">
      <c r="A334" s="30"/>
      <c r="B334" s="31"/>
      <c r="C334" s="32"/>
      <c r="D334" s="33"/>
      <c r="E334" s="34"/>
      <c r="F334" s="34"/>
      <c r="G334" s="35"/>
      <c r="H334" s="34"/>
      <c r="I334" s="37"/>
    </row>
    <row r="335" ht="22.5" customHeight="1">
      <c r="A335" s="30"/>
      <c r="B335" s="40"/>
      <c r="C335" s="32"/>
      <c r="D335" s="33"/>
      <c r="E335" s="34"/>
      <c r="F335" s="34"/>
      <c r="G335" s="35"/>
      <c r="H335" s="34"/>
      <c r="I335" s="37"/>
    </row>
    <row r="336" ht="22.5" customHeight="1">
      <c r="A336" s="30"/>
      <c r="B336" s="31"/>
      <c r="C336" s="32"/>
      <c r="D336" s="33"/>
      <c r="E336" s="34"/>
      <c r="F336" s="34"/>
      <c r="G336" s="35"/>
      <c r="H336" s="34"/>
      <c r="I336" s="37"/>
    </row>
    <row r="337" ht="22.5" customHeight="1">
      <c r="A337" s="30"/>
      <c r="B337" s="40"/>
      <c r="C337" s="32"/>
      <c r="D337" s="33"/>
      <c r="E337" s="34"/>
      <c r="F337" s="34"/>
      <c r="G337" s="35"/>
      <c r="H337" s="34"/>
      <c r="I337" s="37"/>
    </row>
    <row r="338" ht="22.5" customHeight="1">
      <c r="A338" s="30"/>
      <c r="B338" s="31"/>
      <c r="C338" s="32"/>
      <c r="D338" s="33"/>
      <c r="E338" s="34"/>
      <c r="F338" s="34"/>
      <c r="G338" s="35"/>
      <c r="H338" s="34"/>
      <c r="I338" s="37"/>
    </row>
    <row r="339" ht="22.5" customHeight="1">
      <c r="A339" s="30"/>
      <c r="B339" s="31"/>
      <c r="C339" s="32"/>
      <c r="D339" s="33"/>
      <c r="E339" s="34"/>
      <c r="F339" s="34"/>
      <c r="G339" s="35"/>
      <c r="H339" s="34"/>
      <c r="I339" s="37"/>
    </row>
    <row r="340" ht="22.5" customHeight="1">
      <c r="A340" s="30"/>
      <c r="B340" s="31"/>
      <c r="C340" s="32"/>
      <c r="D340" s="33"/>
      <c r="E340" s="34"/>
      <c r="F340" s="34"/>
      <c r="G340" s="35"/>
      <c r="H340" s="34"/>
      <c r="I340" s="37"/>
    </row>
    <row r="341" ht="22.5" customHeight="1">
      <c r="A341" s="30"/>
      <c r="B341" s="31"/>
      <c r="C341" s="32"/>
      <c r="D341" s="33"/>
      <c r="E341" s="34"/>
      <c r="F341" s="34"/>
      <c r="G341" s="35"/>
      <c r="H341" s="34"/>
      <c r="I341" s="37"/>
    </row>
    <row r="342" ht="22.5" customHeight="1">
      <c r="A342" s="30"/>
      <c r="B342" s="40"/>
      <c r="C342" s="32"/>
      <c r="D342" s="33"/>
      <c r="E342" s="34"/>
      <c r="F342" s="34"/>
      <c r="G342" s="35"/>
      <c r="H342" s="34"/>
      <c r="I342" s="37"/>
    </row>
    <row r="343" ht="22.5" customHeight="1">
      <c r="A343" s="30"/>
      <c r="B343" s="31"/>
      <c r="C343" s="32"/>
      <c r="D343" s="33"/>
      <c r="E343" s="34"/>
      <c r="F343" s="34"/>
      <c r="G343" s="35"/>
      <c r="H343" s="34"/>
      <c r="I343" s="37"/>
    </row>
    <row r="344" ht="22.5" customHeight="1">
      <c r="A344" s="30"/>
      <c r="B344" s="31"/>
      <c r="C344" s="32"/>
      <c r="D344" s="33"/>
      <c r="E344" s="34"/>
      <c r="F344" s="34"/>
      <c r="G344" s="35"/>
      <c r="H344" s="34"/>
      <c r="I344" s="37"/>
    </row>
    <row r="345" ht="22.5" customHeight="1">
      <c r="A345" s="30"/>
      <c r="B345" s="31"/>
      <c r="C345" s="32"/>
      <c r="D345" s="33"/>
      <c r="E345" s="34"/>
      <c r="F345" s="34"/>
      <c r="G345" s="35"/>
      <c r="H345" s="34"/>
      <c r="I345" s="37"/>
    </row>
    <row r="346" ht="22.5" customHeight="1">
      <c r="A346" s="30"/>
      <c r="B346" s="31"/>
      <c r="C346" s="32"/>
      <c r="D346" s="33"/>
      <c r="E346" s="34"/>
      <c r="F346" s="34"/>
      <c r="G346" s="35"/>
      <c r="H346" s="34"/>
      <c r="I346" s="37"/>
    </row>
    <row r="347" ht="22.5" customHeight="1">
      <c r="A347" s="30"/>
      <c r="B347" s="31"/>
      <c r="C347" s="32"/>
      <c r="D347" s="33"/>
      <c r="E347" s="34"/>
      <c r="F347" s="34"/>
      <c r="G347" s="35"/>
      <c r="H347" s="34"/>
      <c r="I347" s="37"/>
    </row>
    <row r="348" ht="22.5" customHeight="1">
      <c r="A348" s="30"/>
      <c r="B348" s="31"/>
      <c r="C348" s="32"/>
      <c r="D348" s="33"/>
      <c r="E348" s="34"/>
      <c r="F348" s="34"/>
      <c r="G348" s="35"/>
      <c r="H348" s="34"/>
      <c r="I348" s="37"/>
    </row>
    <row r="349" ht="22.5" customHeight="1">
      <c r="A349" s="30"/>
      <c r="B349" s="31"/>
      <c r="C349" s="32"/>
      <c r="D349" s="33"/>
      <c r="E349" s="34"/>
      <c r="F349" s="34"/>
      <c r="G349" s="35"/>
      <c r="H349" s="34"/>
      <c r="I349" s="37"/>
    </row>
    <row r="350" ht="22.5" customHeight="1">
      <c r="A350" s="30"/>
      <c r="B350" s="31"/>
      <c r="C350" s="32"/>
      <c r="D350" s="33"/>
      <c r="E350" s="34"/>
      <c r="F350" s="34"/>
      <c r="G350" s="35"/>
      <c r="H350" s="34"/>
      <c r="I350" s="37"/>
    </row>
    <row r="351" ht="22.5" customHeight="1">
      <c r="A351" s="30"/>
      <c r="B351" s="31"/>
      <c r="C351" s="32"/>
      <c r="D351" s="33"/>
      <c r="E351" s="34"/>
      <c r="F351" s="34"/>
      <c r="G351" s="35"/>
      <c r="H351" s="34"/>
      <c r="I351" s="37"/>
    </row>
    <row r="352" ht="22.5" customHeight="1">
      <c r="A352" s="30"/>
      <c r="B352" s="31"/>
      <c r="C352" s="32"/>
      <c r="D352" s="33"/>
      <c r="E352" s="34"/>
      <c r="F352" s="34"/>
      <c r="G352" s="35"/>
      <c r="H352" s="34"/>
      <c r="I352" s="37"/>
    </row>
    <row r="353" ht="22.5" customHeight="1">
      <c r="A353" s="30"/>
      <c r="B353" s="31"/>
      <c r="C353" s="32"/>
      <c r="D353" s="33"/>
      <c r="E353" s="34"/>
      <c r="F353" s="34"/>
      <c r="G353" s="35"/>
      <c r="H353" s="34"/>
      <c r="I353" s="37"/>
    </row>
    <row r="354" ht="22.5" customHeight="1">
      <c r="A354" s="30"/>
      <c r="B354" s="31"/>
      <c r="C354" s="32"/>
      <c r="D354" s="33"/>
      <c r="E354" s="34"/>
      <c r="F354" s="34"/>
      <c r="G354" s="35"/>
      <c r="H354" s="34"/>
      <c r="I354" s="37"/>
    </row>
    <row r="355" ht="22.5" customHeight="1">
      <c r="A355" s="30"/>
      <c r="B355" s="31"/>
      <c r="C355" s="32"/>
      <c r="D355" s="33"/>
      <c r="E355" s="34"/>
      <c r="F355" s="34"/>
      <c r="G355" s="35"/>
      <c r="H355" s="34"/>
      <c r="I355" s="37"/>
    </row>
    <row r="356" ht="22.5" customHeight="1">
      <c r="A356" s="30"/>
      <c r="B356" s="31"/>
      <c r="C356" s="32"/>
      <c r="D356" s="33"/>
      <c r="E356" s="34"/>
      <c r="F356" s="34"/>
      <c r="G356" s="35"/>
      <c r="H356" s="34"/>
      <c r="I356" s="37"/>
    </row>
    <row r="357" ht="22.5" customHeight="1">
      <c r="A357" s="30"/>
      <c r="B357" s="31"/>
      <c r="C357" s="32"/>
      <c r="D357" s="33"/>
      <c r="E357" s="34"/>
      <c r="F357" s="34"/>
      <c r="G357" s="35"/>
      <c r="H357" s="34"/>
      <c r="I357" s="37"/>
    </row>
    <row r="358" ht="22.5" customHeight="1">
      <c r="A358" s="30"/>
      <c r="B358" s="31"/>
      <c r="C358" s="32"/>
      <c r="D358" s="33"/>
      <c r="E358" s="34"/>
      <c r="F358" s="34"/>
      <c r="G358" s="35"/>
      <c r="H358" s="34"/>
      <c r="I358" s="37"/>
    </row>
    <row r="359" ht="22.5" customHeight="1">
      <c r="A359" s="30"/>
      <c r="B359" s="31"/>
      <c r="C359" s="32"/>
      <c r="D359" s="33"/>
      <c r="E359" s="34"/>
      <c r="F359" s="34"/>
      <c r="G359" s="35"/>
      <c r="H359" s="34"/>
      <c r="I359" s="37"/>
    </row>
    <row r="360" ht="22.5" customHeight="1">
      <c r="A360" s="30"/>
      <c r="B360" s="31"/>
      <c r="C360" s="32"/>
      <c r="D360" s="33"/>
      <c r="E360" s="34"/>
      <c r="F360" s="34"/>
      <c r="G360" s="35"/>
      <c r="H360" s="34"/>
      <c r="I360" s="37"/>
    </row>
    <row r="361" ht="22.5" customHeight="1">
      <c r="A361" s="30"/>
      <c r="B361" s="31"/>
      <c r="C361" s="32"/>
      <c r="D361" s="33"/>
      <c r="E361" s="34"/>
      <c r="F361" s="34"/>
      <c r="G361" s="35"/>
      <c r="H361" s="34"/>
      <c r="I361" s="37"/>
    </row>
    <row r="362" ht="22.5" customHeight="1">
      <c r="A362" s="30"/>
      <c r="B362" s="31"/>
      <c r="C362" s="32"/>
      <c r="D362" s="33"/>
      <c r="E362" s="34"/>
      <c r="F362" s="34"/>
      <c r="G362" s="35"/>
      <c r="H362" s="34"/>
      <c r="I362" s="37"/>
    </row>
    <row r="363" ht="22.5" customHeight="1">
      <c r="A363" s="30"/>
      <c r="B363" s="31"/>
      <c r="C363" s="32"/>
      <c r="D363" s="33"/>
      <c r="E363" s="34"/>
      <c r="F363" s="34"/>
      <c r="G363" s="35"/>
      <c r="H363" s="34"/>
      <c r="I363" s="37"/>
    </row>
    <row r="364" ht="22.5" customHeight="1">
      <c r="A364" s="30"/>
      <c r="B364" s="40"/>
      <c r="C364" s="32"/>
      <c r="D364" s="33"/>
      <c r="E364" s="34"/>
      <c r="F364" s="34"/>
      <c r="G364" s="35"/>
      <c r="H364" s="34"/>
      <c r="I364" s="37"/>
    </row>
    <row r="365" ht="22.5" customHeight="1">
      <c r="A365" s="30"/>
      <c r="B365" s="31"/>
      <c r="C365" s="32"/>
      <c r="D365" s="33"/>
      <c r="E365" s="34"/>
      <c r="F365" s="34"/>
      <c r="G365" s="35"/>
      <c r="H365" s="34"/>
      <c r="I365" s="37"/>
    </row>
    <row r="366" ht="22.5" customHeight="1">
      <c r="A366" s="30"/>
      <c r="B366" s="31"/>
      <c r="C366" s="32"/>
      <c r="D366" s="33"/>
      <c r="E366" s="34"/>
      <c r="F366" s="34"/>
      <c r="G366" s="35"/>
      <c r="H366" s="34"/>
      <c r="I366" s="37"/>
    </row>
    <row r="367" ht="22.5" customHeight="1">
      <c r="A367" s="30"/>
      <c r="B367" s="31"/>
      <c r="C367" s="32"/>
      <c r="D367" s="33"/>
      <c r="E367" s="34"/>
      <c r="F367" s="34"/>
      <c r="G367" s="35"/>
      <c r="H367" s="34"/>
      <c r="I367" s="37"/>
    </row>
    <row r="368" ht="22.5" customHeight="1">
      <c r="A368" s="30"/>
      <c r="B368" s="31"/>
      <c r="C368" s="32"/>
      <c r="D368" s="33"/>
      <c r="E368" s="34"/>
      <c r="F368" s="34"/>
      <c r="G368" s="35"/>
      <c r="H368" s="34"/>
      <c r="I368" s="38"/>
    </row>
    <row r="369" ht="22.5" customHeight="1">
      <c r="A369" s="30"/>
      <c r="B369" s="39"/>
      <c r="C369" s="32"/>
      <c r="D369" s="33"/>
      <c r="E369" s="34"/>
      <c r="F369" s="34"/>
      <c r="G369" s="35"/>
      <c r="H369" s="34"/>
      <c r="I369" s="37"/>
    </row>
    <row r="370" ht="22.5" customHeight="1">
      <c r="A370" s="30"/>
      <c r="B370" s="31"/>
      <c r="C370" s="32"/>
      <c r="D370" s="33"/>
      <c r="E370" s="34"/>
      <c r="F370" s="34"/>
      <c r="G370" s="35"/>
      <c r="H370" s="34"/>
      <c r="I370" s="37"/>
    </row>
    <row r="371" ht="22.5" customHeight="1">
      <c r="A371" s="30"/>
      <c r="B371" s="31"/>
      <c r="C371" s="32"/>
      <c r="D371" s="33"/>
      <c r="E371" s="34"/>
      <c r="F371" s="34"/>
      <c r="G371" s="35"/>
      <c r="H371" s="34"/>
      <c r="I371" s="37"/>
    </row>
    <row r="372" ht="22.5" customHeight="1">
      <c r="A372" s="30"/>
      <c r="B372" s="31"/>
      <c r="C372" s="32"/>
      <c r="D372" s="33"/>
      <c r="E372" s="34"/>
      <c r="F372" s="34"/>
      <c r="G372" s="35"/>
      <c r="H372" s="34"/>
      <c r="I372" s="37"/>
    </row>
    <row r="373" ht="22.5" customHeight="1">
      <c r="A373" s="30"/>
      <c r="B373" s="39"/>
      <c r="C373" s="32"/>
      <c r="D373" s="33"/>
      <c r="E373" s="34"/>
      <c r="F373" s="34"/>
      <c r="G373" s="35"/>
      <c r="H373" s="34"/>
      <c r="I373" s="37"/>
    </row>
    <row r="374" ht="22.5" customHeight="1">
      <c r="A374" s="30"/>
      <c r="B374" s="31"/>
      <c r="C374" s="32"/>
      <c r="D374" s="33"/>
      <c r="E374" s="34"/>
      <c r="F374" s="34"/>
      <c r="G374" s="35"/>
      <c r="H374" s="34"/>
      <c r="I374" s="37"/>
    </row>
    <row r="375" ht="22.5" customHeight="1">
      <c r="A375" s="30"/>
      <c r="B375" s="39"/>
      <c r="C375" s="32"/>
      <c r="D375" s="33"/>
      <c r="E375" s="34"/>
      <c r="F375" s="34"/>
      <c r="G375" s="35"/>
      <c r="H375" s="34"/>
      <c r="I375" s="37"/>
    </row>
    <row r="376" ht="22.5" customHeight="1">
      <c r="A376" s="30"/>
      <c r="B376" s="31"/>
      <c r="C376" s="32"/>
      <c r="D376" s="33"/>
      <c r="E376" s="34"/>
      <c r="F376" s="34"/>
      <c r="G376" s="35"/>
      <c r="H376" s="34"/>
      <c r="I376" s="37"/>
    </row>
    <row r="377" ht="22.5" customHeight="1">
      <c r="A377" s="30"/>
      <c r="B377" s="31"/>
      <c r="C377" s="32"/>
      <c r="D377" s="33"/>
      <c r="E377" s="34"/>
      <c r="F377" s="34"/>
      <c r="G377" s="35"/>
      <c r="H377" s="34"/>
      <c r="I377" s="37"/>
    </row>
    <row r="378" ht="22.5" customHeight="1">
      <c r="A378" s="30"/>
      <c r="B378" s="31"/>
      <c r="C378" s="32"/>
      <c r="D378" s="33"/>
      <c r="E378" s="34"/>
      <c r="F378" s="34"/>
      <c r="G378" s="35"/>
      <c r="H378" s="34"/>
      <c r="I378" s="37"/>
    </row>
    <row r="379" ht="22.5" customHeight="1">
      <c r="A379" s="30"/>
      <c r="B379" s="31"/>
      <c r="C379" s="32"/>
      <c r="D379" s="33"/>
      <c r="E379" s="34"/>
      <c r="F379" s="34"/>
      <c r="G379" s="35"/>
      <c r="H379" s="34"/>
      <c r="I379" s="37"/>
    </row>
    <row r="380" ht="22.5" customHeight="1">
      <c r="A380" s="30"/>
      <c r="B380" s="31"/>
      <c r="C380" s="32"/>
      <c r="D380" s="33"/>
      <c r="E380" s="34"/>
      <c r="F380" s="34"/>
      <c r="G380" s="35"/>
      <c r="H380" s="34"/>
      <c r="I380" s="37"/>
    </row>
    <row r="381" ht="22.5" customHeight="1">
      <c r="A381" s="30"/>
      <c r="B381" s="31"/>
      <c r="C381" s="32"/>
      <c r="D381" s="33"/>
      <c r="E381" s="34"/>
      <c r="F381" s="34"/>
      <c r="G381" s="35"/>
      <c r="H381" s="34"/>
      <c r="I381" s="37"/>
    </row>
    <row r="382" ht="22.5" customHeight="1">
      <c r="A382" s="30"/>
      <c r="B382" s="31"/>
      <c r="C382" s="32"/>
      <c r="D382" s="33"/>
      <c r="E382" s="34"/>
      <c r="F382" s="34"/>
      <c r="G382" s="35"/>
      <c r="H382" s="34"/>
      <c r="I382" s="37"/>
    </row>
    <row r="383" ht="22.5" customHeight="1">
      <c r="A383" s="30"/>
      <c r="B383" s="31"/>
      <c r="C383" s="32"/>
      <c r="D383" s="33"/>
      <c r="E383" s="34"/>
      <c r="F383" s="34"/>
      <c r="G383" s="35"/>
      <c r="H383" s="34"/>
      <c r="I383" s="37"/>
    </row>
    <row r="384" ht="22.5" customHeight="1">
      <c r="A384" s="30"/>
      <c r="B384" s="31"/>
      <c r="C384" s="32"/>
      <c r="D384" s="33"/>
      <c r="E384" s="34"/>
      <c r="F384" s="34"/>
      <c r="G384" s="35"/>
      <c r="H384" s="34"/>
      <c r="I384" s="37"/>
    </row>
    <row r="385" ht="22.5" customHeight="1">
      <c r="A385" s="30"/>
      <c r="B385" s="31"/>
      <c r="C385" s="32"/>
      <c r="D385" s="33"/>
      <c r="E385" s="34"/>
      <c r="F385" s="34"/>
      <c r="G385" s="35"/>
      <c r="H385" s="34"/>
      <c r="I385" s="37"/>
    </row>
    <row r="386" ht="22.5" customHeight="1">
      <c r="A386" s="30"/>
      <c r="B386" s="40"/>
      <c r="C386" s="32"/>
      <c r="D386" s="33"/>
      <c r="E386" s="34"/>
      <c r="F386" s="34"/>
      <c r="G386" s="35"/>
      <c r="H386" s="34"/>
      <c r="I386" s="37"/>
    </row>
    <row r="387" ht="22.5" customHeight="1">
      <c r="A387" s="30"/>
      <c r="B387" s="31"/>
      <c r="C387" s="32"/>
      <c r="D387" s="33"/>
      <c r="E387" s="34"/>
      <c r="F387" s="34"/>
      <c r="G387" s="35"/>
      <c r="H387" s="34"/>
      <c r="I387" s="37"/>
    </row>
    <row r="388" ht="22.5" customHeight="1">
      <c r="A388" s="30"/>
      <c r="B388" s="31"/>
      <c r="C388" s="32"/>
      <c r="D388" s="33"/>
      <c r="E388" s="34"/>
      <c r="F388" s="34"/>
      <c r="G388" s="35"/>
      <c r="H388" s="34"/>
      <c r="I388" s="37"/>
    </row>
    <row r="389" ht="22.5" customHeight="1">
      <c r="A389" s="30"/>
      <c r="B389" s="31"/>
      <c r="C389" s="32"/>
      <c r="D389" s="33"/>
      <c r="E389" s="34"/>
      <c r="F389" s="34"/>
      <c r="G389" s="35"/>
      <c r="H389" s="34"/>
      <c r="I389" s="37"/>
    </row>
    <row r="390" ht="22.5" customHeight="1">
      <c r="A390" s="30"/>
      <c r="B390" s="31"/>
      <c r="C390" s="32"/>
      <c r="D390" s="33"/>
      <c r="E390" s="34"/>
      <c r="F390" s="34"/>
      <c r="G390" s="35"/>
      <c r="H390" s="34"/>
      <c r="I390" s="37"/>
    </row>
    <row r="391" ht="22.5" customHeight="1">
      <c r="A391" s="30"/>
      <c r="B391" s="31"/>
      <c r="C391" s="32"/>
      <c r="D391" s="33"/>
      <c r="E391" s="34"/>
      <c r="F391" s="34"/>
      <c r="G391" s="35"/>
      <c r="H391" s="34"/>
      <c r="I391" s="37"/>
    </row>
    <row r="392" ht="22.5" customHeight="1">
      <c r="A392" s="30"/>
      <c r="B392" s="31"/>
      <c r="C392" s="32"/>
      <c r="D392" s="33"/>
      <c r="E392" s="34"/>
      <c r="F392" s="34"/>
      <c r="G392" s="35"/>
      <c r="H392" s="34"/>
      <c r="I392" s="37"/>
    </row>
    <row r="393" ht="22.5" customHeight="1">
      <c r="A393" s="30"/>
      <c r="B393" s="39"/>
      <c r="C393" s="32"/>
      <c r="D393" s="33"/>
      <c r="E393" s="34"/>
      <c r="F393" s="34"/>
      <c r="G393" s="35"/>
      <c r="H393" s="34"/>
      <c r="I393" s="37"/>
    </row>
    <row r="394" ht="22.5" customHeight="1">
      <c r="A394" s="30"/>
      <c r="B394" s="39"/>
      <c r="C394" s="32"/>
      <c r="D394" s="33"/>
      <c r="E394" s="34"/>
      <c r="F394" s="34"/>
      <c r="G394" s="35"/>
      <c r="H394" s="34"/>
      <c r="I394" s="37"/>
    </row>
    <row r="395" ht="22.5" customHeight="1">
      <c r="A395" s="30"/>
      <c r="B395" s="39"/>
      <c r="C395" s="32"/>
      <c r="D395" s="33"/>
      <c r="E395" s="34"/>
      <c r="F395" s="34"/>
      <c r="G395" s="35"/>
      <c r="H395" s="34"/>
      <c r="I395" s="37"/>
    </row>
    <row r="396" ht="22.5" customHeight="1">
      <c r="A396" s="30"/>
      <c r="B396" s="40"/>
      <c r="C396" s="32"/>
      <c r="D396" s="33"/>
      <c r="E396" s="34"/>
      <c r="F396" s="34"/>
      <c r="G396" s="35"/>
      <c r="H396" s="34"/>
      <c r="I396" s="37"/>
    </row>
    <row r="397" ht="22.5" customHeight="1">
      <c r="A397" s="30"/>
      <c r="B397" s="31"/>
      <c r="C397" s="32"/>
      <c r="D397" s="33"/>
      <c r="E397" s="34"/>
      <c r="F397" s="34"/>
      <c r="G397" s="35"/>
      <c r="H397" s="34"/>
      <c r="I397" s="37"/>
    </row>
    <row r="398" ht="22.5" customHeight="1">
      <c r="A398" s="30"/>
      <c r="B398" s="31"/>
      <c r="C398" s="32"/>
      <c r="D398" s="33"/>
      <c r="E398" s="34"/>
      <c r="F398" s="34"/>
      <c r="G398" s="35"/>
      <c r="H398" s="34"/>
      <c r="I398" s="37"/>
    </row>
    <row r="399" ht="22.5" customHeight="1">
      <c r="A399" s="30"/>
      <c r="B399" s="31"/>
      <c r="C399" s="32"/>
      <c r="D399" s="33"/>
      <c r="E399" s="34"/>
      <c r="F399" s="34"/>
      <c r="G399" s="35"/>
      <c r="H399" s="34"/>
      <c r="I399" s="37"/>
    </row>
    <row r="400" ht="22.5" customHeight="1">
      <c r="A400" s="30"/>
      <c r="B400" s="31"/>
      <c r="C400" s="32"/>
      <c r="D400" s="33"/>
      <c r="E400" s="34"/>
      <c r="F400" s="34"/>
      <c r="G400" s="35"/>
      <c r="H400" s="34"/>
      <c r="I400" s="37"/>
    </row>
    <row r="401" ht="22.5" customHeight="1">
      <c r="A401" s="30"/>
      <c r="B401" s="31"/>
      <c r="C401" s="32"/>
      <c r="D401" s="33"/>
      <c r="E401" s="34"/>
      <c r="F401" s="34"/>
      <c r="G401" s="35"/>
      <c r="H401" s="34"/>
      <c r="I401" s="37"/>
    </row>
    <row r="402" ht="22.5" customHeight="1">
      <c r="A402" s="30"/>
      <c r="B402" s="31"/>
      <c r="C402" s="32"/>
      <c r="D402" s="33"/>
      <c r="E402" s="34"/>
      <c r="F402" s="34"/>
      <c r="G402" s="35"/>
      <c r="H402" s="34"/>
      <c r="I402" s="37"/>
    </row>
    <row r="403" ht="22.5" customHeight="1">
      <c r="A403" s="30"/>
      <c r="B403" s="31"/>
      <c r="C403" s="32"/>
      <c r="D403" s="33"/>
      <c r="E403" s="34"/>
      <c r="F403" s="34"/>
      <c r="G403" s="35"/>
      <c r="H403" s="34"/>
      <c r="I403" s="37"/>
    </row>
    <row r="404" ht="22.5" customHeight="1">
      <c r="A404" s="30"/>
      <c r="B404" s="31"/>
      <c r="C404" s="32"/>
      <c r="D404" s="33"/>
      <c r="E404" s="34"/>
      <c r="F404" s="34"/>
      <c r="G404" s="35"/>
      <c r="H404" s="34"/>
      <c r="I404" s="37"/>
    </row>
    <row r="405" ht="22.5" customHeight="1">
      <c r="A405" s="30"/>
      <c r="B405" s="31"/>
      <c r="C405" s="32"/>
      <c r="D405" s="33"/>
      <c r="E405" s="34"/>
      <c r="F405" s="34"/>
      <c r="G405" s="35"/>
      <c r="H405" s="34"/>
      <c r="I405" s="37"/>
    </row>
    <row r="406" ht="22.5" customHeight="1">
      <c r="A406" s="30"/>
      <c r="B406" s="40"/>
      <c r="C406" s="32"/>
      <c r="D406" s="33"/>
      <c r="E406" s="34"/>
      <c r="F406" s="34"/>
      <c r="G406" s="35"/>
      <c r="H406" s="34"/>
      <c r="I406" s="37"/>
    </row>
    <row r="407" ht="22.5" customHeight="1">
      <c r="A407" s="30"/>
      <c r="B407" s="31"/>
      <c r="C407" s="32"/>
      <c r="D407" s="33"/>
      <c r="E407" s="34"/>
      <c r="F407" s="34"/>
      <c r="G407" s="35"/>
      <c r="H407" s="34"/>
      <c r="I407" s="37"/>
    </row>
    <row r="408" ht="22.5" customHeight="1">
      <c r="A408" s="30"/>
      <c r="B408" s="31"/>
      <c r="C408" s="32"/>
      <c r="D408" s="33"/>
      <c r="E408" s="34"/>
      <c r="F408" s="34"/>
      <c r="G408" s="35"/>
      <c r="H408" s="34"/>
      <c r="I408" s="37"/>
    </row>
    <row r="409" ht="22.5" customHeight="1">
      <c r="A409" s="30"/>
      <c r="B409" s="31"/>
      <c r="C409" s="32"/>
      <c r="D409" s="33"/>
      <c r="E409" s="34"/>
      <c r="F409" s="34"/>
      <c r="G409" s="35"/>
      <c r="H409" s="34"/>
      <c r="I409" s="37"/>
    </row>
    <row r="410" ht="22.5" customHeight="1">
      <c r="A410" s="30"/>
      <c r="B410" s="40"/>
      <c r="C410" s="32"/>
      <c r="D410" s="33"/>
      <c r="E410" s="34"/>
      <c r="F410" s="34"/>
      <c r="G410" s="35"/>
      <c r="H410" s="34"/>
      <c r="I410" s="37"/>
    </row>
    <row r="411" ht="22.5" customHeight="1">
      <c r="A411" s="30"/>
      <c r="B411" s="31"/>
      <c r="C411" s="32"/>
      <c r="D411" s="33"/>
      <c r="E411" s="34"/>
      <c r="F411" s="34"/>
      <c r="G411" s="35"/>
      <c r="H411" s="34"/>
      <c r="I411" s="37"/>
    </row>
    <row r="412" ht="22.5" customHeight="1">
      <c r="A412" s="30"/>
      <c r="B412" s="31"/>
      <c r="C412" s="32"/>
      <c r="D412" s="33"/>
      <c r="E412" s="34"/>
      <c r="F412" s="34"/>
      <c r="G412" s="35"/>
      <c r="H412" s="34"/>
      <c r="I412" s="37"/>
    </row>
    <row r="413" ht="22.5" customHeight="1">
      <c r="A413" s="30"/>
      <c r="B413" s="31"/>
      <c r="C413" s="32"/>
      <c r="D413" s="33"/>
      <c r="E413" s="34"/>
      <c r="F413" s="34"/>
      <c r="G413" s="35"/>
      <c r="H413" s="34"/>
      <c r="I413" s="37"/>
    </row>
    <row r="414" ht="22.5" customHeight="1">
      <c r="A414" s="30"/>
      <c r="B414" s="31"/>
      <c r="C414" s="32"/>
      <c r="D414" s="33"/>
      <c r="E414" s="34"/>
      <c r="F414" s="34"/>
      <c r="G414" s="35"/>
      <c r="H414" s="34"/>
      <c r="I414" s="37"/>
    </row>
    <row r="415" ht="22.5" customHeight="1">
      <c r="A415" s="30"/>
      <c r="B415" s="31"/>
      <c r="C415" s="32"/>
      <c r="D415" s="33"/>
      <c r="E415" s="34"/>
      <c r="F415" s="34"/>
      <c r="G415" s="35"/>
      <c r="H415" s="34"/>
      <c r="I415" s="37"/>
    </row>
    <row r="416" ht="22.5" customHeight="1">
      <c r="A416" s="30"/>
      <c r="B416" s="31"/>
      <c r="C416" s="32"/>
      <c r="D416" s="33"/>
      <c r="E416" s="34"/>
      <c r="F416" s="34"/>
      <c r="G416" s="35"/>
      <c r="H416" s="34"/>
      <c r="I416" s="37"/>
    </row>
    <row r="417" ht="22.5" customHeight="1">
      <c r="A417" s="30"/>
      <c r="B417" s="31"/>
      <c r="C417" s="32"/>
      <c r="D417" s="33"/>
      <c r="E417" s="34"/>
      <c r="F417" s="34"/>
      <c r="G417" s="35"/>
      <c r="H417" s="34"/>
      <c r="I417" s="37"/>
    </row>
    <row r="418" ht="22.5" customHeight="1">
      <c r="A418" s="30"/>
      <c r="B418" s="31"/>
      <c r="C418" s="32"/>
      <c r="D418" s="33"/>
      <c r="E418" s="34"/>
      <c r="F418" s="34"/>
      <c r="G418" s="35"/>
      <c r="H418" s="34"/>
      <c r="I418" s="37"/>
    </row>
    <row r="419" ht="22.5" customHeight="1">
      <c r="A419" s="30"/>
      <c r="B419" s="31"/>
      <c r="C419" s="32"/>
      <c r="D419" s="33"/>
      <c r="E419" s="34"/>
      <c r="F419" s="34"/>
      <c r="G419" s="35"/>
      <c r="H419" s="34"/>
      <c r="I419" s="37"/>
    </row>
    <row r="420" ht="22.5" customHeight="1">
      <c r="A420" s="30"/>
      <c r="B420" s="31"/>
      <c r="C420" s="32"/>
      <c r="D420" s="33"/>
      <c r="E420" s="34"/>
      <c r="F420" s="34"/>
      <c r="G420" s="35"/>
      <c r="H420" s="34"/>
      <c r="I420" s="37"/>
    </row>
    <row r="421" ht="22.5" customHeight="1">
      <c r="A421" s="30"/>
      <c r="B421" s="31"/>
      <c r="C421" s="32"/>
      <c r="D421" s="33"/>
      <c r="E421" s="34"/>
      <c r="F421" s="34"/>
      <c r="G421" s="35"/>
      <c r="H421" s="34"/>
      <c r="I421" s="37"/>
    </row>
    <row r="422" ht="22.5" customHeight="1">
      <c r="A422" s="30"/>
      <c r="B422" s="31"/>
      <c r="C422" s="32"/>
      <c r="D422" s="33"/>
      <c r="E422" s="34"/>
      <c r="F422" s="34"/>
      <c r="G422" s="35"/>
      <c r="H422" s="34"/>
      <c r="I422" s="37"/>
    </row>
    <row r="423" ht="22.5" customHeight="1">
      <c r="A423" s="30"/>
      <c r="B423" s="31"/>
      <c r="C423" s="32"/>
      <c r="D423" s="33"/>
      <c r="E423" s="34"/>
      <c r="F423" s="34"/>
      <c r="G423" s="35"/>
      <c r="H423" s="34"/>
      <c r="I423" s="37"/>
    </row>
    <row r="424" ht="22.5" customHeight="1">
      <c r="A424" s="30"/>
      <c r="B424" s="31"/>
      <c r="C424" s="32"/>
      <c r="D424" s="33"/>
      <c r="E424" s="34"/>
      <c r="F424" s="34"/>
      <c r="G424" s="35"/>
      <c r="H424" s="34"/>
      <c r="I424" s="37"/>
    </row>
    <row r="425" ht="22.5" customHeight="1">
      <c r="A425" s="30"/>
      <c r="B425" s="40"/>
      <c r="C425" s="32"/>
      <c r="D425" s="33"/>
      <c r="E425" s="34"/>
      <c r="F425" s="34"/>
      <c r="G425" s="35"/>
      <c r="H425" s="34"/>
      <c r="I425" s="37"/>
    </row>
    <row r="426" ht="22.5" customHeight="1">
      <c r="A426" s="30"/>
      <c r="B426" s="31"/>
      <c r="C426" s="32"/>
      <c r="D426" s="33"/>
      <c r="E426" s="34"/>
      <c r="F426" s="34"/>
      <c r="G426" s="35"/>
      <c r="H426" s="34"/>
      <c r="I426" s="37"/>
    </row>
    <row r="427" ht="22.5" customHeight="1">
      <c r="A427" s="30"/>
      <c r="B427" s="40"/>
      <c r="C427" s="32"/>
      <c r="D427" s="33"/>
      <c r="E427" s="34"/>
      <c r="F427" s="34"/>
      <c r="G427" s="35"/>
      <c r="H427" s="34"/>
      <c r="I427" s="37"/>
    </row>
    <row r="428" ht="22.5" customHeight="1">
      <c r="A428" s="30"/>
      <c r="B428" s="31"/>
      <c r="C428" s="32"/>
      <c r="D428" s="33"/>
      <c r="E428" s="34"/>
      <c r="F428" s="34"/>
      <c r="G428" s="35"/>
      <c r="H428" s="34"/>
      <c r="I428" s="37"/>
    </row>
    <row r="429" ht="22.5" customHeight="1">
      <c r="A429" s="30"/>
      <c r="B429" s="31"/>
      <c r="C429" s="32"/>
      <c r="D429" s="33"/>
      <c r="E429" s="34"/>
      <c r="F429" s="34"/>
      <c r="G429" s="35"/>
      <c r="H429" s="34"/>
      <c r="I429" s="37"/>
    </row>
    <row r="430" ht="22.5" customHeight="1">
      <c r="A430" s="30"/>
      <c r="B430" s="31"/>
      <c r="C430" s="32"/>
      <c r="D430" s="33"/>
      <c r="E430" s="34"/>
      <c r="F430" s="34"/>
      <c r="G430" s="35"/>
      <c r="H430" s="34"/>
      <c r="I430" s="37"/>
    </row>
    <row r="431" ht="22.5" customHeight="1">
      <c r="A431" s="30"/>
      <c r="B431" s="31"/>
      <c r="C431" s="32"/>
      <c r="D431" s="33"/>
      <c r="E431" s="34"/>
      <c r="F431" s="34"/>
      <c r="G431" s="35"/>
      <c r="H431" s="34"/>
      <c r="I431" s="37"/>
    </row>
    <row r="432" ht="22.5" customHeight="1">
      <c r="A432" s="30"/>
      <c r="B432" s="40"/>
      <c r="C432" s="32"/>
      <c r="D432" s="33"/>
      <c r="E432" s="34"/>
      <c r="F432" s="34"/>
      <c r="G432" s="35"/>
      <c r="H432" s="34"/>
      <c r="I432" s="37"/>
    </row>
    <row r="433" ht="22.5" customHeight="1">
      <c r="A433" s="30"/>
      <c r="B433" s="31"/>
      <c r="C433" s="32"/>
      <c r="D433" s="33"/>
      <c r="E433" s="34"/>
      <c r="F433" s="34"/>
      <c r="G433" s="35"/>
      <c r="H433" s="34"/>
      <c r="I433" s="37"/>
    </row>
    <row r="434" ht="22.5" customHeight="1">
      <c r="A434" s="30"/>
      <c r="B434" s="31"/>
      <c r="C434" s="32"/>
      <c r="D434" s="33"/>
      <c r="E434" s="34"/>
      <c r="F434" s="34"/>
      <c r="G434" s="35"/>
      <c r="H434" s="34"/>
      <c r="I434" s="37"/>
    </row>
    <row r="435" ht="22.5" customHeight="1">
      <c r="A435" s="30"/>
      <c r="B435" s="31"/>
      <c r="C435" s="32"/>
      <c r="D435" s="33"/>
      <c r="E435" s="34"/>
      <c r="F435" s="34"/>
      <c r="G435" s="35"/>
      <c r="H435" s="34"/>
      <c r="I435" s="37"/>
    </row>
    <row r="436" ht="22.5" customHeight="1">
      <c r="A436" s="30"/>
      <c r="B436" s="31"/>
      <c r="C436" s="32"/>
      <c r="D436" s="33"/>
      <c r="E436" s="34"/>
      <c r="F436" s="34"/>
      <c r="G436" s="35"/>
      <c r="H436" s="34"/>
      <c r="I436" s="37"/>
    </row>
    <row r="437" ht="22.5" customHeight="1">
      <c r="A437" s="30"/>
      <c r="B437" s="31"/>
      <c r="C437" s="32"/>
      <c r="D437" s="33"/>
      <c r="E437" s="34"/>
      <c r="F437" s="34"/>
      <c r="G437" s="35"/>
      <c r="H437" s="34"/>
      <c r="I437" s="37"/>
    </row>
    <row r="438" ht="22.5" customHeight="1">
      <c r="A438" s="30"/>
      <c r="B438" s="31"/>
      <c r="C438" s="32"/>
      <c r="D438" s="33"/>
      <c r="E438" s="34"/>
      <c r="F438" s="34"/>
      <c r="G438" s="35"/>
      <c r="H438" s="34"/>
      <c r="I438" s="37"/>
    </row>
    <row r="439" ht="22.5" customHeight="1">
      <c r="A439" s="30"/>
      <c r="B439" s="31"/>
      <c r="C439" s="32"/>
      <c r="D439" s="33"/>
      <c r="E439" s="34"/>
      <c r="F439" s="34"/>
      <c r="G439" s="35"/>
      <c r="H439" s="34"/>
      <c r="I439" s="37"/>
    </row>
    <row r="440" ht="22.5" customHeight="1">
      <c r="A440" s="30"/>
      <c r="B440" s="31"/>
      <c r="C440" s="32"/>
      <c r="D440" s="33"/>
      <c r="E440" s="34"/>
      <c r="F440" s="34"/>
      <c r="G440" s="35"/>
      <c r="H440" s="34"/>
      <c r="I440" s="37"/>
    </row>
    <row r="441" ht="22.5" customHeight="1">
      <c r="A441" s="30"/>
      <c r="B441" s="31"/>
      <c r="C441" s="32"/>
      <c r="D441" s="33"/>
      <c r="E441" s="34"/>
      <c r="F441" s="34"/>
      <c r="G441" s="35"/>
      <c r="H441" s="34"/>
      <c r="I441" s="37"/>
    </row>
    <row r="442" ht="22.5" customHeight="1">
      <c r="A442" s="30"/>
      <c r="B442" s="31"/>
      <c r="C442" s="32"/>
      <c r="D442" s="33"/>
      <c r="E442" s="34"/>
      <c r="F442" s="34"/>
      <c r="G442" s="35"/>
      <c r="H442" s="34"/>
      <c r="I442" s="37"/>
    </row>
    <row r="443" ht="22.5" customHeight="1">
      <c r="A443" s="30"/>
      <c r="B443" s="31"/>
      <c r="C443" s="32"/>
      <c r="D443" s="33"/>
      <c r="E443" s="34"/>
      <c r="F443" s="34"/>
      <c r="G443" s="35"/>
      <c r="H443" s="34"/>
      <c r="I443" s="37"/>
    </row>
    <row r="444" ht="22.5" customHeight="1">
      <c r="A444" s="30"/>
      <c r="B444" s="31"/>
      <c r="C444" s="32"/>
      <c r="D444" s="33"/>
      <c r="E444" s="34"/>
      <c r="F444" s="34"/>
      <c r="G444" s="35"/>
      <c r="H444" s="34"/>
      <c r="I444" s="37"/>
    </row>
    <row r="445" ht="22.5" customHeight="1">
      <c r="A445" s="30"/>
      <c r="B445" s="31"/>
      <c r="C445" s="32"/>
      <c r="D445" s="33"/>
      <c r="E445" s="34"/>
      <c r="F445" s="34"/>
      <c r="G445" s="35"/>
      <c r="H445" s="34"/>
      <c r="I445" s="37"/>
    </row>
    <row r="446" ht="22.5" customHeight="1">
      <c r="A446" s="30"/>
      <c r="B446" s="31"/>
      <c r="C446" s="32"/>
      <c r="D446" s="33"/>
      <c r="E446" s="34"/>
      <c r="F446" s="34"/>
      <c r="G446" s="35"/>
      <c r="H446" s="34"/>
      <c r="I446" s="37"/>
    </row>
    <row r="447" ht="22.5" customHeight="1">
      <c r="A447" s="30"/>
      <c r="B447" s="31"/>
      <c r="C447" s="32"/>
      <c r="D447" s="33"/>
      <c r="E447" s="34"/>
      <c r="F447" s="34"/>
      <c r="G447" s="35"/>
      <c r="H447" s="34"/>
      <c r="I447" s="37"/>
    </row>
    <row r="448" ht="22.5" customHeight="1">
      <c r="A448" s="30"/>
      <c r="B448" s="31"/>
      <c r="C448" s="32"/>
      <c r="D448" s="33"/>
      <c r="E448" s="34"/>
      <c r="F448" s="34"/>
      <c r="G448" s="35"/>
      <c r="H448" s="34"/>
      <c r="I448" s="37"/>
    </row>
    <row r="449" ht="22.5" customHeight="1">
      <c r="A449" s="30"/>
      <c r="B449" s="31"/>
      <c r="C449" s="32"/>
      <c r="D449" s="33"/>
      <c r="E449" s="34"/>
      <c r="F449" s="34"/>
      <c r="G449" s="35"/>
      <c r="H449" s="34"/>
      <c r="I449" s="37"/>
    </row>
    <row r="450" ht="22.5" customHeight="1">
      <c r="A450" s="30"/>
      <c r="B450" s="31"/>
      <c r="C450" s="32"/>
      <c r="D450" s="33"/>
      <c r="E450" s="34"/>
      <c r="F450" s="34"/>
      <c r="G450" s="35"/>
      <c r="H450" s="34"/>
      <c r="I450" s="37"/>
    </row>
    <row r="451" ht="22.5" customHeight="1">
      <c r="A451" s="30"/>
      <c r="B451" s="31"/>
      <c r="C451" s="32"/>
      <c r="D451" s="33"/>
      <c r="E451" s="34"/>
      <c r="F451" s="34"/>
      <c r="G451" s="35"/>
      <c r="H451" s="34"/>
      <c r="I451" s="37"/>
    </row>
    <row r="452" ht="22.5" customHeight="1">
      <c r="A452" s="30"/>
      <c r="B452" s="31"/>
      <c r="C452" s="32"/>
      <c r="D452" s="33"/>
      <c r="E452" s="34"/>
      <c r="F452" s="34"/>
      <c r="G452" s="35"/>
      <c r="H452" s="34"/>
      <c r="I452" s="37"/>
    </row>
    <row r="453" ht="22.5" customHeight="1">
      <c r="A453" s="30"/>
      <c r="B453" s="31"/>
      <c r="C453" s="32"/>
      <c r="D453" s="33"/>
      <c r="E453" s="34"/>
      <c r="F453" s="34"/>
      <c r="G453" s="35"/>
      <c r="H453" s="34"/>
      <c r="I453" s="37"/>
    </row>
    <row r="454" ht="22.5" customHeight="1">
      <c r="A454" s="30"/>
      <c r="B454" s="40"/>
      <c r="C454" s="32"/>
      <c r="D454" s="33"/>
      <c r="E454" s="34"/>
      <c r="F454" s="34"/>
      <c r="G454" s="35"/>
      <c r="H454" s="34"/>
      <c r="I454" s="37"/>
    </row>
    <row r="455" ht="22.5" customHeight="1">
      <c r="A455" s="30"/>
      <c r="B455" s="31"/>
      <c r="C455" s="32"/>
      <c r="D455" s="33"/>
      <c r="E455" s="34"/>
      <c r="F455" s="34"/>
      <c r="G455" s="35"/>
      <c r="H455" s="34"/>
      <c r="I455" s="37"/>
    </row>
    <row r="456" ht="22.5" customHeight="1">
      <c r="A456" s="30"/>
      <c r="B456" s="31"/>
      <c r="C456" s="32"/>
      <c r="D456" s="33"/>
      <c r="E456" s="34"/>
      <c r="F456" s="34"/>
      <c r="G456" s="35"/>
      <c r="H456" s="34"/>
      <c r="I456" s="37"/>
    </row>
    <row r="457" ht="22.5" customHeight="1">
      <c r="A457" s="30"/>
      <c r="B457" s="31"/>
      <c r="C457" s="32"/>
      <c r="D457" s="33"/>
      <c r="E457" s="34"/>
      <c r="F457" s="34"/>
      <c r="G457" s="35"/>
      <c r="H457" s="34"/>
      <c r="I457" s="37"/>
    </row>
    <row r="458" ht="22.5" customHeight="1">
      <c r="A458" s="30"/>
      <c r="B458" s="31"/>
      <c r="C458" s="32"/>
      <c r="D458" s="33"/>
      <c r="E458" s="34"/>
      <c r="F458" s="34"/>
      <c r="G458" s="35"/>
      <c r="H458" s="34"/>
      <c r="I458" s="38"/>
    </row>
    <row r="459" ht="22.5" customHeight="1">
      <c r="A459" s="30"/>
      <c r="B459" s="39"/>
      <c r="C459" s="32"/>
      <c r="D459" s="33"/>
      <c r="E459" s="34"/>
      <c r="F459" s="34"/>
      <c r="G459" s="35"/>
      <c r="H459" s="34"/>
      <c r="I459" s="37"/>
    </row>
    <row r="460" ht="22.5" customHeight="1">
      <c r="A460" s="30"/>
      <c r="B460" s="31"/>
      <c r="C460" s="32"/>
      <c r="D460" s="33"/>
      <c r="E460" s="34"/>
      <c r="F460" s="34"/>
      <c r="G460" s="35"/>
      <c r="H460" s="34"/>
      <c r="I460" s="37"/>
    </row>
    <row r="461" ht="22.5" customHeight="1">
      <c r="A461" s="30"/>
      <c r="B461" s="31"/>
      <c r="C461" s="32"/>
      <c r="D461" s="33"/>
      <c r="E461" s="34"/>
      <c r="F461" s="34"/>
      <c r="G461" s="35"/>
      <c r="H461" s="34"/>
      <c r="I461" s="37"/>
    </row>
    <row r="462" ht="22.5" customHeight="1">
      <c r="A462" s="30"/>
      <c r="B462" s="31"/>
      <c r="C462" s="32"/>
      <c r="D462" s="33"/>
      <c r="E462" s="34"/>
      <c r="F462" s="34"/>
      <c r="G462" s="35"/>
      <c r="H462" s="34"/>
      <c r="I462" s="37"/>
    </row>
    <row r="463" ht="22.5" customHeight="1">
      <c r="A463" s="30"/>
      <c r="B463" s="39"/>
      <c r="C463" s="32"/>
      <c r="D463" s="33"/>
      <c r="E463" s="34"/>
      <c r="F463" s="34"/>
      <c r="G463" s="35"/>
      <c r="H463" s="34"/>
      <c r="I463" s="37"/>
    </row>
    <row r="464" ht="22.5" customHeight="1">
      <c r="A464" s="30"/>
      <c r="B464" s="31"/>
      <c r="C464" s="32"/>
      <c r="D464" s="33"/>
      <c r="E464" s="34"/>
      <c r="F464" s="34"/>
      <c r="G464" s="35"/>
      <c r="H464" s="34"/>
      <c r="I464" s="37"/>
    </row>
    <row r="465" ht="22.5" customHeight="1">
      <c r="A465" s="30"/>
      <c r="B465" s="39"/>
      <c r="C465" s="32"/>
      <c r="D465" s="33"/>
      <c r="E465" s="34"/>
      <c r="F465" s="34"/>
      <c r="G465" s="35"/>
      <c r="H465" s="34"/>
      <c r="I465" s="37"/>
    </row>
    <row r="466" ht="22.5" customHeight="1">
      <c r="A466" s="30"/>
      <c r="B466" s="31"/>
      <c r="C466" s="32"/>
      <c r="D466" s="33"/>
      <c r="E466" s="34"/>
      <c r="F466" s="34"/>
      <c r="G466" s="35"/>
      <c r="H466" s="34"/>
      <c r="I466" s="37"/>
    </row>
    <row r="467" ht="22.5" customHeight="1">
      <c r="A467" s="30"/>
      <c r="B467" s="31"/>
      <c r="C467" s="32"/>
      <c r="D467" s="33"/>
      <c r="E467" s="34"/>
      <c r="F467" s="34"/>
      <c r="G467" s="35"/>
      <c r="H467" s="34"/>
      <c r="I467" s="37"/>
    </row>
    <row r="468" ht="22.5" customHeight="1">
      <c r="A468" s="30"/>
      <c r="B468" s="31"/>
      <c r="C468" s="32"/>
      <c r="D468" s="33"/>
      <c r="E468" s="34"/>
      <c r="F468" s="34"/>
      <c r="G468" s="35"/>
      <c r="H468" s="34"/>
      <c r="I468" s="37"/>
    </row>
    <row r="469" ht="22.5" customHeight="1">
      <c r="A469" s="30"/>
      <c r="B469" s="31"/>
      <c r="C469" s="32"/>
      <c r="D469" s="33"/>
      <c r="E469" s="34"/>
      <c r="F469" s="34"/>
      <c r="G469" s="35"/>
      <c r="H469" s="34"/>
      <c r="I469" s="37"/>
    </row>
    <row r="470" ht="22.5" customHeight="1">
      <c r="A470" s="30"/>
      <c r="B470" s="31"/>
      <c r="C470" s="32"/>
      <c r="D470" s="33"/>
      <c r="E470" s="34"/>
      <c r="F470" s="34"/>
      <c r="G470" s="35"/>
      <c r="H470" s="34"/>
      <c r="I470" s="37"/>
    </row>
    <row r="471" ht="22.5" customHeight="1">
      <c r="A471" s="30"/>
      <c r="B471" s="31"/>
      <c r="C471" s="32"/>
      <c r="D471" s="33"/>
      <c r="E471" s="34"/>
      <c r="F471" s="34"/>
      <c r="G471" s="35"/>
      <c r="H471" s="34"/>
      <c r="I471" s="37"/>
    </row>
    <row r="472" ht="22.5" customHeight="1">
      <c r="A472" s="30"/>
      <c r="B472" s="31"/>
      <c r="C472" s="32"/>
      <c r="D472" s="33"/>
      <c r="E472" s="34"/>
      <c r="F472" s="34"/>
      <c r="G472" s="35"/>
      <c r="H472" s="34"/>
      <c r="I472" s="37"/>
    </row>
    <row r="473" ht="22.5" customHeight="1">
      <c r="A473" s="30"/>
      <c r="B473" s="31"/>
      <c r="C473" s="32"/>
      <c r="D473" s="33"/>
      <c r="E473" s="34"/>
      <c r="F473" s="34"/>
      <c r="G473" s="35"/>
      <c r="H473" s="34"/>
      <c r="I473" s="37"/>
    </row>
    <row r="474" ht="22.5" customHeight="1">
      <c r="A474" s="30"/>
      <c r="B474" s="31"/>
      <c r="C474" s="32"/>
      <c r="D474" s="33"/>
      <c r="E474" s="34"/>
      <c r="F474" s="34"/>
      <c r="G474" s="35"/>
      <c r="H474" s="34"/>
      <c r="I474" s="37"/>
    </row>
    <row r="475" ht="22.5" customHeight="1">
      <c r="A475" s="30"/>
      <c r="B475" s="31"/>
      <c r="C475" s="32"/>
      <c r="D475" s="33"/>
      <c r="E475" s="34"/>
      <c r="F475" s="34"/>
      <c r="G475" s="35"/>
      <c r="H475" s="34"/>
      <c r="I475" s="37"/>
    </row>
    <row r="476" ht="22.5" customHeight="1">
      <c r="A476" s="30"/>
      <c r="B476" s="40"/>
      <c r="C476" s="32"/>
      <c r="D476" s="33"/>
      <c r="E476" s="34"/>
      <c r="F476" s="34"/>
      <c r="G476" s="35"/>
      <c r="H476" s="34"/>
      <c r="I476" s="37"/>
    </row>
    <row r="477" ht="22.5" customHeight="1">
      <c r="A477" s="30"/>
      <c r="B477" s="31"/>
      <c r="C477" s="32"/>
      <c r="D477" s="33"/>
      <c r="E477" s="34"/>
      <c r="F477" s="34"/>
      <c r="G477" s="35"/>
      <c r="H477" s="34"/>
      <c r="I477" s="37"/>
    </row>
    <row r="478" ht="22.5" customHeight="1">
      <c r="A478" s="30"/>
      <c r="B478" s="31"/>
      <c r="C478" s="32"/>
      <c r="D478" s="33"/>
      <c r="E478" s="34"/>
      <c r="F478" s="34"/>
      <c r="G478" s="35"/>
      <c r="H478" s="34"/>
      <c r="I478" s="37"/>
    </row>
    <row r="479" ht="22.5" customHeight="1">
      <c r="A479" s="30"/>
      <c r="B479" s="31"/>
      <c r="C479" s="32"/>
      <c r="D479" s="33"/>
      <c r="E479" s="34"/>
      <c r="F479" s="34"/>
      <c r="G479" s="35"/>
      <c r="H479" s="34"/>
      <c r="I479" s="37"/>
    </row>
    <row r="480" ht="22.5" customHeight="1">
      <c r="A480" s="30"/>
      <c r="B480" s="31"/>
      <c r="C480" s="32"/>
      <c r="D480" s="33"/>
      <c r="E480" s="34"/>
      <c r="F480" s="34"/>
      <c r="G480" s="35"/>
      <c r="H480" s="34"/>
      <c r="I480" s="37"/>
    </row>
    <row r="481" ht="22.5" customHeight="1">
      <c r="A481" s="30"/>
      <c r="B481" s="31"/>
      <c r="C481" s="32"/>
      <c r="D481" s="33"/>
      <c r="E481" s="34"/>
      <c r="F481" s="34"/>
      <c r="G481" s="35"/>
      <c r="H481" s="34"/>
      <c r="I481" s="37"/>
    </row>
    <row r="482" ht="22.5" customHeight="1">
      <c r="A482" s="30"/>
      <c r="B482" s="31"/>
      <c r="C482" s="32"/>
      <c r="D482" s="33"/>
      <c r="E482" s="34"/>
      <c r="F482" s="34"/>
      <c r="G482" s="35"/>
      <c r="H482" s="34"/>
      <c r="I482" s="37"/>
    </row>
    <row r="483" ht="22.5" customHeight="1">
      <c r="A483" s="30"/>
      <c r="B483" s="39"/>
      <c r="C483" s="32"/>
      <c r="D483" s="33"/>
      <c r="E483" s="34"/>
      <c r="F483" s="34"/>
      <c r="G483" s="35"/>
      <c r="H483" s="34"/>
      <c r="I483" s="37"/>
    </row>
    <row r="484" ht="22.5" customHeight="1">
      <c r="A484" s="30"/>
      <c r="B484" s="39"/>
      <c r="C484" s="32"/>
      <c r="D484" s="33"/>
      <c r="E484" s="34"/>
      <c r="F484" s="34"/>
      <c r="G484" s="35"/>
      <c r="H484" s="34"/>
      <c r="I484" s="37"/>
    </row>
    <row r="485" ht="22.5" customHeight="1">
      <c r="A485" s="30"/>
      <c r="B485" s="39"/>
      <c r="C485" s="32"/>
      <c r="D485" s="33"/>
      <c r="E485" s="34"/>
      <c r="F485" s="34"/>
      <c r="G485" s="35"/>
      <c r="H485" s="34"/>
      <c r="I485" s="37"/>
    </row>
    <row r="486" ht="22.5" customHeight="1">
      <c r="A486" s="30"/>
      <c r="B486" s="40"/>
      <c r="C486" s="32"/>
      <c r="D486" s="33"/>
      <c r="E486" s="34"/>
      <c r="F486" s="34"/>
      <c r="G486" s="35"/>
      <c r="H486" s="34"/>
      <c r="I486" s="37"/>
    </row>
    <row r="487" ht="22.5" customHeight="1">
      <c r="A487" s="30"/>
      <c r="B487" s="31"/>
      <c r="C487" s="32"/>
      <c r="D487" s="33"/>
      <c r="E487" s="34"/>
      <c r="F487" s="34"/>
      <c r="G487" s="35"/>
      <c r="H487" s="34"/>
      <c r="I487" s="37"/>
    </row>
    <row r="488" ht="22.5" customHeight="1">
      <c r="A488" s="30"/>
      <c r="B488" s="31"/>
      <c r="C488" s="32"/>
      <c r="D488" s="33"/>
      <c r="E488" s="34"/>
      <c r="F488" s="34"/>
      <c r="G488" s="35"/>
      <c r="H488" s="34"/>
      <c r="I488" s="37"/>
    </row>
    <row r="489" ht="22.5" customHeight="1">
      <c r="A489" s="30"/>
      <c r="B489" s="31"/>
      <c r="C489" s="32"/>
      <c r="D489" s="33"/>
      <c r="E489" s="34"/>
      <c r="F489" s="34"/>
      <c r="G489" s="35"/>
      <c r="H489" s="34"/>
      <c r="I489" s="37"/>
    </row>
    <row r="490" ht="22.5" customHeight="1">
      <c r="A490" s="30"/>
      <c r="B490" s="31"/>
      <c r="C490" s="32"/>
      <c r="D490" s="33"/>
      <c r="E490" s="34"/>
      <c r="F490" s="34"/>
      <c r="G490" s="35"/>
      <c r="H490" s="34"/>
      <c r="I490" s="37"/>
    </row>
    <row r="491" ht="22.5" customHeight="1">
      <c r="A491" s="30"/>
      <c r="B491" s="31"/>
      <c r="C491" s="32"/>
      <c r="D491" s="33"/>
      <c r="E491" s="34"/>
      <c r="F491" s="34"/>
      <c r="G491" s="35"/>
      <c r="H491" s="34"/>
      <c r="I491" s="37"/>
    </row>
    <row r="492" ht="22.5" customHeight="1">
      <c r="A492" s="30"/>
      <c r="B492" s="31"/>
      <c r="C492" s="32"/>
      <c r="D492" s="33"/>
      <c r="E492" s="34"/>
      <c r="F492" s="34"/>
      <c r="G492" s="35"/>
      <c r="H492" s="34"/>
      <c r="I492" s="37"/>
    </row>
    <row r="493" ht="22.5" customHeight="1">
      <c r="A493" s="30"/>
      <c r="B493" s="31"/>
      <c r="C493" s="32"/>
      <c r="D493" s="33"/>
      <c r="E493" s="34"/>
      <c r="F493" s="34"/>
      <c r="G493" s="35"/>
      <c r="H493" s="34"/>
      <c r="I493" s="37"/>
    </row>
    <row r="494" ht="22.5" customHeight="1">
      <c r="A494" s="30"/>
      <c r="B494" s="31"/>
      <c r="C494" s="32"/>
      <c r="D494" s="33"/>
      <c r="E494" s="34"/>
      <c r="F494" s="34"/>
      <c r="G494" s="35"/>
      <c r="H494" s="34"/>
      <c r="I494" s="37"/>
    </row>
    <row r="495" ht="22.5" customHeight="1">
      <c r="A495" s="30"/>
      <c r="B495" s="31"/>
      <c r="C495" s="32"/>
      <c r="D495" s="33"/>
      <c r="E495" s="34"/>
      <c r="F495" s="34"/>
      <c r="G495" s="35"/>
      <c r="H495" s="34"/>
      <c r="I495" s="37"/>
    </row>
    <row r="496" ht="22.5" customHeight="1">
      <c r="A496" s="30"/>
      <c r="B496" s="40"/>
      <c r="C496" s="32"/>
      <c r="D496" s="33"/>
      <c r="E496" s="34"/>
      <c r="F496" s="34"/>
      <c r="G496" s="35"/>
      <c r="H496" s="34"/>
      <c r="I496" s="37"/>
    </row>
    <row r="497" ht="22.5" customHeight="1">
      <c r="A497" s="30"/>
      <c r="B497" s="31"/>
      <c r="C497" s="32"/>
      <c r="D497" s="33"/>
      <c r="E497" s="34"/>
      <c r="F497" s="34"/>
      <c r="G497" s="35"/>
      <c r="H497" s="34"/>
      <c r="I497" s="37"/>
    </row>
    <row r="498" ht="22.5" customHeight="1">
      <c r="A498" s="30"/>
      <c r="B498" s="31"/>
      <c r="C498" s="32"/>
      <c r="D498" s="33"/>
      <c r="E498" s="34"/>
      <c r="F498" s="34"/>
      <c r="G498" s="35"/>
      <c r="H498" s="34"/>
      <c r="I498" s="37"/>
    </row>
    <row r="499" ht="22.5" customHeight="1">
      <c r="A499" s="30"/>
      <c r="B499" s="31"/>
      <c r="C499" s="32"/>
      <c r="D499" s="33"/>
      <c r="E499" s="34"/>
      <c r="F499" s="34"/>
      <c r="G499" s="35"/>
      <c r="H499" s="34"/>
      <c r="I499" s="37"/>
    </row>
    <row r="500" ht="22.5" customHeight="1">
      <c r="A500" s="30"/>
      <c r="B500" s="40"/>
      <c r="C500" s="32"/>
      <c r="D500" s="33"/>
      <c r="E500" s="34"/>
      <c r="F500" s="34"/>
      <c r="G500" s="35"/>
      <c r="H500" s="34"/>
      <c r="I500" s="37"/>
    </row>
    <row r="501" ht="22.5" customHeight="1">
      <c r="A501" s="30"/>
      <c r="B501" s="31"/>
      <c r="C501" s="32"/>
      <c r="D501" s="33"/>
      <c r="E501" s="34"/>
      <c r="F501" s="34"/>
      <c r="G501" s="35"/>
      <c r="H501" s="34"/>
      <c r="I501" s="37"/>
    </row>
    <row r="502" ht="22.5" customHeight="1">
      <c r="A502" s="30"/>
      <c r="B502" s="31"/>
      <c r="C502" s="32"/>
      <c r="D502" s="33"/>
      <c r="E502" s="34"/>
      <c r="F502" s="34"/>
      <c r="G502" s="35"/>
      <c r="H502" s="34"/>
      <c r="I502" s="37"/>
    </row>
    <row r="503" ht="22.5" customHeight="1">
      <c r="A503" s="30"/>
      <c r="B503" s="31"/>
      <c r="C503" s="32"/>
      <c r="D503" s="33"/>
      <c r="E503" s="34"/>
      <c r="F503" s="34"/>
      <c r="G503" s="35"/>
      <c r="H503" s="34"/>
      <c r="I503" s="37"/>
    </row>
    <row r="504" ht="22.5" customHeight="1">
      <c r="A504" s="30"/>
      <c r="B504" s="31"/>
      <c r="C504" s="32"/>
      <c r="D504" s="33"/>
      <c r="E504" s="34"/>
      <c r="F504" s="34"/>
      <c r="G504" s="35"/>
      <c r="H504" s="34"/>
      <c r="I504" s="37"/>
    </row>
    <row r="505" ht="22.5" customHeight="1">
      <c r="A505" s="30"/>
      <c r="B505" s="31"/>
      <c r="C505" s="32"/>
      <c r="D505" s="33"/>
      <c r="E505" s="34"/>
      <c r="F505" s="34"/>
      <c r="G505" s="35"/>
      <c r="H505" s="34"/>
      <c r="I505" s="37"/>
    </row>
    <row r="506" ht="22.5" customHeight="1">
      <c r="A506" s="30"/>
      <c r="B506" s="31"/>
      <c r="C506" s="32"/>
      <c r="D506" s="33"/>
      <c r="E506" s="34"/>
      <c r="F506" s="34"/>
      <c r="G506" s="35"/>
      <c r="H506" s="34"/>
      <c r="I506" s="37"/>
    </row>
    <row r="507" ht="22.5" customHeight="1">
      <c r="A507" s="30"/>
      <c r="B507" s="31"/>
      <c r="C507" s="32"/>
      <c r="D507" s="33"/>
      <c r="E507" s="34"/>
      <c r="F507" s="34"/>
      <c r="G507" s="35"/>
      <c r="H507" s="34"/>
      <c r="I507" s="37"/>
    </row>
    <row r="508" ht="22.5" customHeight="1">
      <c r="A508" s="30"/>
      <c r="B508" s="31"/>
      <c r="C508" s="32"/>
      <c r="D508" s="33"/>
      <c r="E508" s="34"/>
      <c r="F508" s="34"/>
      <c r="G508" s="35"/>
      <c r="H508" s="34"/>
      <c r="I508" s="37"/>
    </row>
    <row r="509" ht="22.5" customHeight="1">
      <c r="A509" s="30"/>
      <c r="B509" s="31"/>
      <c r="C509" s="32"/>
      <c r="D509" s="33"/>
      <c r="E509" s="34"/>
      <c r="F509" s="34"/>
      <c r="G509" s="35"/>
      <c r="H509" s="34"/>
      <c r="I509" s="37"/>
    </row>
    <row r="510" ht="22.5" customHeight="1">
      <c r="A510" s="30"/>
      <c r="B510" s="31"/>
      <c r="C510" s="32"/>
      <c r="D510" s="33"/>
      <c r="E510" s="34"/>
      <c r="F510" s="34"/>
      <c r="G510" s="35"/>
      <c r="H510" s="34"/>
      <c r="I510" s="37"/>
    </row>
    <row r="511" ht="22.5" customHeight="1">
      <c r="A511" s="30"/>
      <c r="B511" s="31"/>
      <c r="C511" s="32"/>
      <c r="D511" s="33"/>
      <c r="E511" s="34"/>
      <c r="F511" s="34"/>
      <c r="G511" s="35"/>
      <c r="H511" s="34"/>
      <c r="I511" s="37"/>
    </row>
    <row r="512" ht="22.5" customHeight="1">
      <c r="A512" s="30"/>
      <c r="B512" s="31"/>
      <c r="C512" s="32"/>
      <c r="D512" s="33"/>
      <c r="E512" s="34"/>
      <c r="F512" s="34"/>
      <c r="G512" s="35"/>
      <c r="H512" s="34"/>
      <c r="I512" s="37"/>
    </row>
    <row r="513" ht="22.5" customHeight="1">
      <c r="A513" s="30"/>
      <c r="B513" s="31"/>
      <c r="C513" s="32"/>
      <c r="D513" s="33"/>
      <c r="E513" s="34"/>
      <c r="F513" s="34"/>
      <c r="G513" s="35"/>
      <c r="H513" s="34"/>
      <c r="I513" s="37"/>
    </row>
    <row r="514" ht="22.5" customHeight="1">
      <c r="A514" s="30"/>
      <c r="B514" s="31"/>
      <c r="C514" s="32"/>
      <c r="D514" s="33"/>
      <c r="E514" s="34"/>
      <c r="F514" s="34"/>
      <c r="G514" s="35"/>
      <c r="H514" s="34"/>
      <c r="I514" s="37"/>
    </row>
    <row r="515" ht="22.5" customHeight="1">
      <c r="A515" s="30"/>
      <c r="B515" s="40"/>
      <c r="C515" s="32"/>
      <c r="D515" s="33"/>
      <c r="E515" s="34"/>
      <c r="F515" s="34"/>
      <c r="G515" s="35"/>
      <c r="H515" s="34"/>
      <c r="I515" s="37"/>
    </row>
    <row r="516" ht="22.5" customHeight="1">
      <c r="A516" s="30"/>
      <c r="B516" s="31"/>
      <c r="C516" s="32"/>
      <c r="D516" s="33"/>
      <c r="E516" s="34"/>
      <c r="F516" s="34"/>
      <c r="G516" s="35"/>
      <c r="H516" s="34"/>
      <c r="I516" s="37"/>
    </row>
    <row r="517" ht="22.5" customHeight="1">
      <c r="A517" s="30"/>
      <c r="B517" s="40"/>
      <c r="C517" s="32"/>
      <c r="D517" s="33"/>
      <c r="E517" s="34"/>
      <c r="F517" s="34"/>
      <c r="G517" s="35"/>
      <c r="H517" s="34"/>
      <c r="I517" s="37"/>
    </row>
    <row r="518" ht="22.5" customHeight="1">
      <c r="A518" s="30"/>
      <c r="B518" s="31"/>
      <c r="C518" s="32"/>
      <c r="D518" s="33"/>
      <c r="E518" s="34"/>
      <c r="F518" s="34"/>
      <c r="G518" s="35"/>
      <c r="H518" s="34"/>
      <c r="I518" s="37"/>
    </row>
    <row r="519" ht="22.5" customHeight="1">
      <c r="A519" s="30"/>
      <c r="B519" s="31"/>
      <c r="C519" s="32"/>
      <c r="D519" s="33"/>
      <c r="E519" s="34"/>
      <c r="F519" s="34"/>
      <c r="G519" s="35"/>
      <c r="H519" s="34"/>
      <c r="I519" s="37"/>
    </row>
    <row r="520" ht="22.5" customHeight="1">
      <c r="A520" s="30"/>
      <c r="B520" s="31"/>
      <c r="C520" s="32"/>
      <c r="D520" s="33"/>
      <c r="E520" s="34"/>
      <c r="F520" s="34"/>
      <c r="G520" s="35"/>
      <c r="H520" s="34"/>
      <c r="I520" s="37"/>
    </row>
    <row r="521" ht="22.5" customHeight="1">
      <c r="A521" s="30"/>
      <c r="B521" s="31"/>
      <c r="C521" s="32"/>
      <c r="D521" s="33"/>
      <c r="E521" s="34"/>
      <c r="F521" s="34"/>
      <c r="G521" s="35"/>
      <c r="H521" s="34"/>
      <c r="I521" s="37"/>
    </row>
    <row r="522" ht="22.5" customHeight="1">
      <c r="A522" s="30"/>
      <c r="B522" s="40"/>
      <c r="C522" s="32"/>
      <c r="D522" s="33"/>
      <c r="E522" s="34"/>
      <c r="F522" s="34"/>
      <c r="G522" s="35"/>
      <c r="H522" s="34"/>
      <c r="I522" s="37"/>
    </row>
    <row r="523" ht="22.5" customHeight="1">
      <c r="A523" s="30"/>
      <c r="B523" s="31"/>
      <c r="C523" s="32"/>
      <c r="D523" s="33"/>
      <c r="E523" s="34"/>
      <c r="F523" s="34"/>
      <c r="G523" s="35"/>
      <c r="H523" s="34"/>
      <c r="I523" s="37"/>
    </row>
    <row r="524" ht="22.5" customHeight="1">
      <c r="A524" s="30"/>
      <c r="B524" s="31"/>
      <c r="C524" s="32"/>
      <c r="D524" s="33"/>
      <c r="E524" s="34"/>
      <c r="F524" s="34"/>
      <c r="G524" s="35"/>
      <c r="H524" s="34"/>
      <c r="I524" s="37"/>
    </row>
    <row r="525" ht="22.5" customHeight="1">
      <c r="A525" s="30"/>
      <c r="B525" s="31"/>
      <c r="C525" s="32"/>
      <c r="D525" s="33"/>
      <c r="E525" s="34"/>
      <c r="F525" s="34"/>
      <c r="G525" s="35"/>
      <c r="H525" s="34"/>
      <c r="I525" s="37"/>
    </row>
    <row r="526" ht="22.5" customHeight="1">
      <c r="A526" s="30"/>
      <c r="B526" s="31"/>
      <c r="C526" s="32"/>
      <c r="D526" s="33"/>
      <c r="E526" s="34"/>
      <c r="F526" s="34"/>
      <c r="G526" s="35"/>
      <c r="H526" s="34"/>
      <c r="I526" s="37"/>
    </row>
    <row r="527" ht="22.5" customHeight="1">
      <c r="A527" s="30"/>
      <c r="B527" s="31"/>
      <c r="C527" s="32"/>
      <c r="D527" s="33"/>
      <c r="E527" s="34"/>
      <c r="F527" s="34"/>
      <c r="G527" s="35"/>
      <c r="H527" s="34"/>
      <c r="I527" s="37"/>
    </row>
    <row r="528" ht="22.5" customHeight="1">
      <c r="A528" s="30"/>
      <c r="B528" s="31"/>
      <c r="C528" s="32"/>
      <c r="D528" s="33"/>
      <c r="E528" s="34"/>
      <c r="F528" s="34"/>
      <c r="G528" s="35"/>
      <c r="H528" s="34"/>
      <c r="I528" s="37"/>
    </row>
    <row r="529" ht="22.5" customHeight="1">
      <c r="A529" s="30"/>
      <c r="B529" s="31"/>
      <c r="C529" s="32"/>
      <c r="D529" s="33"/>
      <c r="E529" s="34"/>
      <c r="F529" s="34"/>
      <c r="G529" s="35"/>
      <c r="H529" s="34"/>
      <c r="I529" s="37"/>
    </row>
    <row r="530" ht="22.5" customHeight="1">
      <c r="A530" s="30"/>
      <c r="B530" s="31"/>
      <c r="C530" s="32"/>
      <c r="D530" s="33"/>
      <c r="E530" s="34"/>
      <c r="F530" s="34"/>
      <c r="G530" s="35"/>
      <c r="H530" s="34"/>
      <c r="I530" s="37"/>
    </row>
    <row r="531" ht="22.5" customHeight="1">
      <c r="A531" s="30"/>
      <c r="B531" s="31"/>
      <c r="C531" s="32"/>
      <c r="D531" s="33"/>
      <c r="E531" s="34"/>
      <c r="F531" s="34"/>
      <c r="G531" s="35"/>
      <c r="H531" s="34"/>
      <c r="I531" s="37"/>
    </row>
    <row r="532" ht="22.5" customHeight="1">
      <c r="A532" s="30"/>
      <c r="B532" s="31"/>
      <c r="C532" s="32"/>
      <c r="D532" s="33"/>
      <c r="E532" s="34"/>
      <c r="F532" s="34"/>
      <c r="G532" s="35"/>
      <c r="H532" s="34"/>
      <c r="I532" s="37"/>
    </row>
    <row r="533" ht="22.5" customHeight="1">
      <c r="A533" s="30"/>
      <c r="B533" s="31"/>
      <c r="C533" s="32"/>
      <c r="D533" s="33"/>
      <c r="E533" s="34"/>
      <c r="F533" s="34"/>
      <c r="G533" s="35"/>
      <c r="H533" s="34"/>
      <c r="I533" s="37"/>
    </row>
    <row r="534" ht="22.5" customHeight="1">
      <c r="A534" s="30"/>
      <c r="B534" s="31"/>
      <c r="C534" s="32"/>
      <c r="D534" s="33"/>
      <c r="E534" s="34"/>
      <c r="F534" s="34"/>
      <c r="G534" s="35"/>
      <c r="H534" s="34"/>
      <c r="I534" s="37"/>
    </row>
    <row r="535" ht="22.5" customHeight="1">
      <c r="A535" s="30"/>
      <c r="B535" s="31"/>
      <c r="C535" s="32"/>
      <c r="D535" s="33"/>
      <c r="E535" s="34"/>
      <c r="F535" s="34"/>
      <c r="G535" s="35"/>
      <c r="H535" s="34"/>
      <c r="I535" s="37"/>
    </row>
    <row r="536" ht="22.5" customHeight="1">
      <c r="A536" s="30"/>
      <c r="B536" s="31"/>
      <c r="C536" s="32"/>
      <c r="D536" s="33"/>
      <c r="E536" s="34"/>
      <c r="F536" s="34"/>
      <c r="G536" s="35"/>
      <c r="H536" s="34"/>
      <c r="I536" s="37"/>
    </row>
    <row r="537" ht="22.5" customHeight="1">
      <c r="A537" s="30"/>
      <c r="B537" s="31"/>
      <c r="C537" s="32"/>
      <c r="D537" s="33"/>
      <c r="E537" s="34"/>
      <c r="F537" s="34"/>
      <c r="G537" s="35"/>
      <c r="H537" s="34"/>
      <c r="I537" s="37"/>
    </row>
    <row r="538" ht="22.5" customHeight="1">
      <c r="A538" s="30"/>
      <c r="B538" s="31"/>
      <c r="C538" s="32"/>
      <c r="D538" s="33"/>
      <c r="E538" s="34"/>
      <c r="F538" s="34"/>
      <c r="G538" s="35"/>
      <c r="H538" s="34"/>
      <c r="I538" s="37"/>
    </row>
    <row r="539" ht="22.5" customHeight="1">
      <c r="A539" s="30"/>
      <c r="B539" s="31"/>
      <c r="C539" s="32"/>
      <c r="D539" s="33"/>
      <c r="E539" s="34"/>
      <c r="F539" s="34"/>
      <c r="G539" s="35"/>
      <c r="H539" s="34"/>
      <c r="I539" s="37"/>
    </row>
    <row r="540" ht="22.5" customHeight="1">
      <c r="A540" s="30"/>
      <c r="B540" s="31"/>
      <c r="C540" s="32"/>
      <c r="D540" s="33"/>
      <c r="E540" s="34"/>
      <c r="F540" s="34"/>
      <c r="G540" s="35"/>
      <c r="H540" s="34"/>
      <c r="I540" s="37"/>
    </row>
    <row r="541" ht="22.5" customHeight="1">
      <c r="A541" s="30"/>
      <c r="B541" s="31"/>
      <c r="C541" s="32"/>
      <c r="D541" s="33"/>
      <c r="E541" s="34"/>
      <c r="F541" s="34"/>
      <c r="G541" s="35"/>
      <c r="H541" s="34"/>
      <c r="I541" s="37"/>
    </row>
    <row r="542" ht="22.5" customHeight="1">
      <c r="A542" s="30"/>
      <c r="B542" s="31"/>
      <c r="C542" s="32"/>
      <c r="D542" s="33"/>
      <c r="E542" s="34"/>
      <c r="F542" s="34"/>
      <c r="G542" s="35"/>
      <c r="H542" s="34"/>
      <c r="I542" s="37"/>
    </row>
    <row r="543" ht="22.5" customHeight="1">
      <c r="A543" s="30"/>
      <c r="B543" s="31"/>
      <c r="C543" s="32"/>
      <c r="D543" s="33"/>
      <c r="E543" s="34"/>
      <c r="F543" s="34"/>
      <c r="G543" s="35"/>
      <c r="H543" s="34"/>
      <c r="I543" s="37"/>
    </row>
    <row r="544" ht="22.5" customHeight="1">
      <c r="A544" s="30"/>
      <c r="B544" s="40"/>
      <c r="C544" s="32"/>
      <c r="D544" s="33"/>
      <c r="E544" s="34"/>
      <c r="F544" s="34"/>
      <c r="G544" s="35"/>
      <c r="H544" s="34"/>
      <c r="I544" s="37"/>
    </row>
    <row r="545" ht="22.5" customHeight="1">
      <c r="A545" s="30"/>
      <c r="B545" s="31"/>
      <c r="C545" s="32"/>
      <c r="D545" s="33"/>
      <c r="E545" s="34"/>
      <c r="F545" s="34"/>
      <c r="G545" s="35"/>
      <c r="H545" s="34"/>
      <c r="I545" s="37"/>
    </row>
    <row r="546" ht="22.5" customHeight="1">
      <c r="A546" s="30"/>
      <c r="B546" s="31"/>
      <c r="C546" s="32"/>
      <c r="D546" s="33"/>
      <c r="E546" s="34"/>
      <c r="F546" s="34"/>
      <c r="G546" s="35"/>
      <c r="H546" s="34"/>
      <c r="I546" s="37"/>
    </row>
    <row r="547" ht="22.5" customHeight="1">
      <c r="A547" s="30"/>
      <c r="B547" s="31"/>
      <c r="C547" s="32"/>
      <c r="D547" s="33"/>
      <c r="E547" s="34"/>
      <c r="F547" s="34"/>
      <c r="G547" s="35"/>
      <c r="H547" s="34"/>
      <c r="I547" s="37"/>
    </row>
    <row r="548" ht="22.5" customHeight="1">
      <c r="A548" s="30"/>
      <c r="B548" s="31"/>
      <c r="C548" s="32"/>
      <c r="D548" s="33"/>
      <c r="E548" s="34"/>
      <c r="F548" s="34"/>
      <c r="G548" s="35"/>
      <c r="H548" s="34"/>
      <c r="I548" s="38"/>
    </row>
    <row r="549" ht="22.5" customHeight="1">
      <c r="A549" s="30"/>
      <c r="B549" s="39"/>
      <c r="C549" s="32"/>
      <c r="D549" s="33"/>
      <c r="E549" s="34"/>
      <c r="F549" s="34"/>
      <c r="G549" s="35"/>
      <c r="H549" s="34"/>
      <c r="I549" s="37"/>
    </row>
    <row r="550" ht="22.5" customHeight="1">
      <c r="A550" s="30"/>
      <c r="B550" s="31"/>
      <c r="C550" s="32"/>
      <c r="D550" s="33"/>
      <c r="E550" s="34"/>
      <c r="F550" s="34"/>
      <c r="G550" s="35"/>
      <c r="H550" s="34"/>
      <c r="I550" s="37"/>
    </row>
    <row r="551" ht="22.5" customHeight="1">
      <c r="A551" s="30"/>
      <c r="B551" s="31"/>
      <c r="C551" s="32"/>
      <c r="D551" s="33"/>
      <c r="E551" s="34"/>
      <c r="F551" s="34"/>
      <c r="G551" s="35"/>
      <c r="H551" s="34"/>
      <c r="I551" s="37"/>
    </row>
    <row r="552" ht="22.5" customHeight="1">
      <c r="A552" s="30"/>
      <c r="B552" s="31"/>
      <c r="C552" s="32"/>
      <c r="D552" s="33"/>
      <c r="E552" s="34"/>
      <c r="F552" s="34"/>
      <c r="G552" s="35"/>
      <c r="H552" s="34"/>
      <c r="I552" s="37"/>
    </row>
    <row r="553" ht="22.5" customHeight="1">
      <c r="A553" s="30"/>
      <c r="B553" s="39"/>
      <c r="C553" s="32"/>
      <c r="D553" s="33"/>
      <c r="E553" s="34"/>
      <c r="F553" s="34"/>
      <c r="G553" s="35"/>
      <c r="H553" s="34"/>
      <c r="I553" s="37"/>
    </row>
    <row r="554" ht="22.5" customHeight="1">
      <c r="A554" s="30"/>
      <c r="B554" s="31"/>
      <c r="C554" s="32"/>
      <c r="D554" s="33"/>
      <c r="E554" s="34"/>
      <c r="F554" s="34"/>
      <c r="G554" s="35"/>
      <c r="H554" s="34"/>
      <c r="I554" s="37"/>
    </row>
    <row r="555" ht="22.5" customHeight="1">
      <c r="A555" s="30"/>
      <c r="B555" s="39"/>
      <c r="C555" s="32"/>
      <c r="D555" s="33"/>
      <c r="E555" s="34"/>
      <c r="F555" s="34"/>
      <c r="G555" s="35"/>
      <c r="H555" s="34"/>
      <c r="I555" s="37"/>
    </row>
    <row r="556" ht="22.5" customHeight="1">
      <c r="A556" s="30"/>
      <c r="B556" s="31"/>
      <c r="C556" s="32"/>
      <c r="D556" s="33"/>
      <c r="E556" s="34"/>
      <c r="F556" s="34"/>
      <c r="G556" s="35"/>
      <c r="H556" s="34"/>
      <c r="I556" s="37"/>
    </row>
    <row r="557" ht="22.5" customHeight="1">
      <c r="A557" s="30"/>
      <c r="B557" s="31"/>
      <c r="C557" s="32"/>
      <c r="D557" s="33"/>
      <c r="E557" s="34"/>
      <c r="F557" s="34"/>
      <c r="G557" s="35"/>
      <c r="H557" s="34"/>
      <c r="I557" s="37"/>
    </row>
    <row r="558" ht="22.5" customHeight="1">
      <c r="A558" s="30"/>
      <c r="B558" s="31"/>
      <c r="C558" s="32"/>
      <c r="D558" s="33"/>
      <c r="E558" s="34"/>
      <c r="F558" s="34"/>
      <c r="G558" s="35"/>
      <c r="H558" s="34"/>
      <c r="I558" s="37"/>
    </row>
    <row r="559" ht="22.5" customHeight="1">
      <c r="A559" s="30"/>
      <c r="B559" s="31"/>
      <c r="C559" s="32"/>
      <c r="D559" s="33"/>
      <c r="E559" s="34"/>
      <c r="F559" s="34"/>
      <c r="G559" s="35"/>
      <c r="H559" s="34"/>
      <c r="I559" s="37"/>
    </row>
    <row r="560" ht="22.5" customHeight="1">
      <c r="A560" s="30"/>
      <c r="B560" s="31"/>
      <c r="C560" s="32"/>
      <c r="D560" s="33"/>
      <c r="E560" s="34"/>
      <c r="F560" s="34"/>
      <c r="G560" s="35"/>
      <c r="H560" s="34"/>
      <c r="I560" s="37"/>
    </row>
    <row r="561" ht="22.5" customHeight="1">
      <c r="A561" s="30"/>
      <c r="B561" s="31"/>
      <c r="C561" s="32"/>
      <c r="D561" s="33"/>
      <c r="E561" s="34"/>
      <c r="F561" s="34"/>
      <c r="G561" s="35"/>
      <c r="H561" s="34"/>
      <c r="I561" s="37"/>
    </row>
    <row r="562" ht="22.5" customHeight="1">
      <c r="A562" s="30"/>
      <c r="B562" s="31"/>
      <c r="C562" s="32"/>
      <c r="D562" s="33"/>
      <c r="E562" s="34"/>
      <c r="F562" s="34"/>
      <c r="G562" s="35"/>
      <c r="H562" s="34"/>
      <c r="I562" s="37"/>
    </row>
    <row r="563" ht="22.5" customHeight="1">
      <c r="A563" s="30"/>
      <c r="B563" s="31"/>
      <c r="C563" s="32"/>
      <c r="D563" s="33"/>
      <c r="E563" s="34"/>
      <c r="F563" s="34"/>
      <c r="G563" s="35"/>
      <c r="H563" s="34"/>
      <c r="I563" s="37"/>
    </row>
    <row r="564" ht="22.5" customHeight="1">
      <c r="A564" s="30"/>
      <c r="B564" s="31"/>
      <c r="C564" s="32"/>
      <c r="D564" s="33"/>
      <c r="E564" s="34"/>
      <c r="F564" s="34"/>
      <c r="G564" s="35"/>
      <c r="H564" s="34"/>
      <c r="I564" s="37"/>
    </row>
    <row r="565" ht="22.5" customHeight="1">
      <c r="A565" s="30"/>
      <c r="B565" s="31"/>
      <c r="C565" s="32"/>
      <c r="D565" s="33"/>
      <c r="E565" s="34"/>
      <c r="F565" s="34"/>
      <c r="G565" s="35"/>
      <c r="H565" s="34"/>
      <c r="I565" s="37"/>
    </row>
    <row r="566" ht="22.5" customHeight="1">
      <c r="A566" s="30"/>
      <c r="B566" s="40"/>
      <c r="C566" s="32"/>
      <c r="D566" s="33"/>
      <c r="E566" s="34"/>
      <c r="F566" s="34"/>
      <c r="G566" s="35"/>
      <c r="H566" s="34"/>
      <c r="I566" s="37"/>
    </row>
    <row r="567" ht="22.5" customHeight="1">
      <c r="A567" s="30"/>
      <c r="B567" s="31"/>
      <c r="C567" s="32"/>
      <c r="D567" s="33"/>
      <c r="E567" s="34"/>
      <c r="F567" s="34"/>
      <c r="G567" s="35"/>
      <c r="H567" s="34"/>
      <c r="I567" s="37"/>
    </row>
    <row r="568" ht="22.5" customHeight="1">
      <c r="A568" s="30"/>
      <c r="B568" s="31"/>
      <c r="C568" s="32"/>
      <c r="D568" s="33"/>
      <c r="E568" s="34"/>
      <c r="F568" s="34"/>
      <c r="G568" s="35"/>
      <c r="H568" s="34"/>
      <c r="I568" s="37"/>
    </row>
    <row r="569" ht="22.5" customHeight="1">
      <c r="A569" s="30"/>
      <c r="B569" s="31"/>
      <c r="C569" s="32"/>
      <c r="D569" s="33"/>
      <c r="E569" s="34"/>
      <c r="F569" s="34"/>
      <c r="G569" s="35"/>
      <c r="H569" s="34"/>
      <c r="I569" s="37"/>
    </row>
    <row r="570" ht="22.5" customHeight="1">
      <c r="A570" s="30"/>
      <c r="B570" s="31"/>
      <c r="C570" s="32"/>
      <c r="D570" s="33"/>
      <c r="E570" s="34"/>
      <c r="F570" s="34"/>
      <c r="G570" s="35"/>
      <c r="H570" s="34"/>
      <c r="I570" s="37"/>
    </row>
    <row r="571" ht="22.5" customHeight="1">
      <c r="A571" s="30"/>
      <c r="B571" s="31"/>
      <c r="C571" s="32"/>
      <c r="D571" s="33"/>
      <c r="E571" s="34"/>
      <c r="F571" s="34"/>
      <c r="G571" s="35"/>
      <c r="H571" s="34"/>
      <c r="I571" s="37"/>
    </row>
    <row r="572" ht="22.5" customHeight="1">
      <c r="A572" s="30"/>
      <c r="B572" s="31"/>
      <c r="C572" s="32"/>
      <c r="D572" s="33"/>
      <c r="E572" s="34"/>
      <c r="F572" s="34"/>
      <c r="G572" s="35"/>
      <c r="H572" s="34"/>
      <c r="I572" s="37"/>
    </row>
    <row r="573" ht="22.5" customHeight="1">
      <c r="A573" s="30"/>
      <c r="B573" s="39"/>
      <c r="C573" s="32"/>
      <c r="D573" s="33"/>
      <c r="E573" s="34"/>
      <c r="F573" s="34"/>
      <c r="G573" s="35"/>
      <c r="H573" s="34"/>
      <c r="I573" s="37"/>
    </row>
    <row r="574" ht="22.5" customHeight="1">
      <c r="A574" s="30"/>
      <c r="B574" s="39"/>
      <c r="C574" s="32"/>
      <c r="D574" s="33"/>
      <c r="E574" s="34"/>
      <c r="F574" s="34"/>
      <c r="G574" s="35"/>
      <c r="H574" s="34"/>
      <c r="I574" s="37"/>
    </row>
    <row r="575" ht="22.5" customHeight="1">
      <c r="A575" s="30"/>
      <c r="B575" s="39"/>
      <c r="C575" s="32"/>
      <c r="D575" s="33"/>
      <c r="E575" s="34"/>
      <c r="F575" s="34"/>
      <c r="G575" s="35"/>
      <c r="H575" s="34"/>
      <c r="I575" s="37"/>
    </row>
    <row r="576" ht="22.5" customHeight="1">
      <c r="A576" s="30"/>
      <c r="B576" s="40"/>
      <c r="C576" s="32"/>
      <c r="D576" s="33"/>
      <c r="E576" s="34"/>
      <c r="F576" s="34"/>
      <c r="G576" s="35"/>
      <c r="H576" s="34"/>
      <c r="I576" s="37"/>
    </row>
    <row r="577" ht="22.5" customHeight="1">
      <c r="A577" s="30"/>
      <c r="B577" s="31"/>
      <c r="C577" s="32"/>
      <c r="D577" s="33"/>
      <c r="E577" s="34"/>
      <c r="F577" s="34"/>
      <c r="G577" s="35"/>
      <c r="H577" s="34"/>
      <c r="I577" s="37"/>
    </row>
    <row r="578" ht="22.5" customHeight="1">
      <c r="A578" s="30"/>
      <c r="B578" s="31"/>
      <c r="C578" s="32"/>
      <c r="D578" s="33"/>
      <c r="E578" s="34"/>
      <c r="F578" s="34"/>
      <c r="G578" s="35"/>
      <c r="H578" s="34"/>
      <c r="I578" s="37"/>
    </row>
    <row r="579" ht="22.5" customHeight="1">
      <c r="A579" s="30"/>
      <c r="B579" s="31"/>
      <c r="C579" s="32"/>
      <c r="D579" s="33"/>
      <c r="E579" s="34"/>
      <c r="F579" s="34"/>
      <c r="G579" s="35"/>
      <c r="H579" s="34"/>
      <c r="I579" s="37"/>
    </row>
    <row r="580" ht="22.5" customHeight="1">
      <c r="A580" s="30"/>
      <c r="B580" s="31"/>
      <c r="C580" s="32"/>
      <c r="D580" s="33"/>
      <c r="E580" s="34"/>
      <c r="F580" s="34"/>
      <c r="G580" s="35"/>
      <c r="H580" s="34"/>
      <c r="I580" s="37"/>
    </row>
    <row r="581" ht="22.5" customHeight="1">
      <c r="A581" s="30"/>
      <c r="B581" s="31"/>
      <c r="C581" s="32"/>
      <c r="D581" s="33"/>
      <c r="E581" s="34"/>
      <c r="F581" s="34"/>
      <c r="G581" s="35"/>
      <c r="H581" s="34"/>
      <c r="I581" s="37"/>
    </row>
    <row r="582" ht="22.5" customHeight="1">
      <c r="A582" s="30"/>
      <c r="B582" s="31"/>
      <c r="C582" s="32"/>
      <c r="D582" s="33"/>
      <c r="E582" s="34"/>
      <c r="F582" s="34"/>
      <c r="G582" s="35"/>
      <c r="H582" s="34"/>
      <c r="I582" s="37"/>
    </row>
    <row r="583" ht="22.5" customHeight="1">
      <c r="A583" s="30"/>
      <c r="B583" s="31"/>
      <c r="C583" s="32"/>
      <c r="D583" s="33"/>
      <c r="E583" s="34"/>
      <c r="F583" s="34"/>
      <c r="G583" s="35"/>
      <c r="H583" s="34"/>
      <c r="I583" s="37"/>
    </row>
    <row r="584" ht="22.5" customHeight="1">
      <c r="A584" s="30"/>
      <c r="B584" s="31"/>
      <c r="C584" s="32"/>
      <c r="D584" s="33"/>
      <c r="E584" s="34"/>
      <c r="F584" s="34"/>
      <c r="G584" s="35"/>
      <c r="H584" s="34"/>
      <c r="I584" s="37"/>
    </row>
    <row r="585" ht="22.5" customHeight="1">
      <c r="A585" s="30"/>
      <c r="B585" s="31"/>
      <c r="C585" s="32"/>
      <c r="D585" s="33"/>
      <c r="E585" s="34"/>
      <c r="F585" s="34"/>
      <c r="G585" s="35"/>
      <c r="H585" s="34"/>
      <c r="I585" s="37"/>
    </row>
    <row r="586" ht="22.5" customHeight="1">
      <c r="A586" s="30"/>
      <c r="B586" s="40"/>
      <c r="C586" s="32"/>
      <c r="D586" s="33"/>
      <c r="E586" s="34"/>
      <c r="F586" s="34"/>
      <c r="G586" s="35"/>
      <c r="H586" s="34"/>
      <c r="I586" s="37"/>
    </row>
    <row r="587" ht="22.5" customHeight="1">
      <c r="A587" s="30"/>
      <c r="B587" s="31"/>
      <c r="C587" s="32"/>
      <c r="D587" s="33"/>
      <c r="E587" s="34"/>
      <c r="F587" s="34"/>
      <c r="G587" s="35"/>
      <c r="H587" s="34"/>
      <c r="I587" s="37"/>
    </row>
    <row r="588" ht="22.5" customHeight="1">
      <c r="A588" s="30"/>
      <c r="B588" s="31"/>
      <c r="C588" s="32"/>
      <c r="D588" s="33"/>
      <c r="E588" s="34"/>
      <c r="F588" s="34"/>
      <c r="G588" s="35"/>
      <c r="H588" s="34"/>
      <c r="I588" s="37"/>
    </row>
    <row r="589" ht="22.5" customHeight="1">
      <c r="A589" s="30"/>
      <c r="B589" s="31"/>
      <c r="C589" s="32"/>
      <c r="D589" s="33"/>
      <c r="E589" s="34"/>
      <c r="F589" s="34"/>
      <c r="G589" s="35"/>
      <c r="H589" s="34"/>
      <c r="I589" s="37"/>
    </row>
    <row r="590" ht="22.5" customHeight="1">
      <c r="A590" s="30"/>
      <c r="B590" s="40"/>
      <c r="C590" s="32"/>
      <c r="D590" s="33"/>
      <c r="E590" s="34"/>
      <c r="F590" s="34"/>
      <c r="G590" s="35"/>
      <c r="H590" s="34"/>
      <c r="I590" s="37"/>
    </row>
    <row r="591" ht="22.5" customHeight="1">
      <c r="A591" s="30"/>
      <c r="B591" s="31"/>
      <c r="C591" s="32"/>
      <c r="D591" s="33"/>
      <c r="E591" s="34"/>
      <c r="F591" s="34"/>
      <c r="G591" s="35"/>
      <c r="H591" s="34"/>
      <c r="I591" s="37"/>
    </row>
    <row r="592" ht="22.5" customHeight="1">
      <c r="A592" s="30"/>
      <c r="B592" s="31"/>
      <c r="C592" s="32"/>
      <c r="D592" s="33"/>
      <c r="E592" s="34"/>
      <c r="F592" s="34"/>
      <c r="G592" s="35"/>
      <c r="H592" s="34"/>
      <c r="I592" s="37"/>
    </row>
    <row r="593" ht="22.5" customHeight="1">
      <c r="A593" s="30"/>
      <c r="B593" s="31"/>
      <c r="C593" s="32"/>
      <c r="D593" s="33"/>
      <c r="E593" s="34"/>
      <c r="F593" s="34"/>
      <c r="G593" s="35"/>
      <c r="H593" s="34"/>
      <c r="I593" s="37"/>
    </row>
    <row r="594" ht="22.5" customHeight="1">
      <c r="A594" s="30"/>
      <c r="B594" s="31"/>
      <c r="C594" s="32"/>
      <c r="D594" s="33"/>
      <c r="E594" s="34"/>
      <c r="F594" s="34"/>
      <c r="G594" s="35"/>
      <c r="H594" s="34"/>
      <c r="I594" s="37"/>
    </row>
    <row r="595" ht="22.5" customHeight="1">
      <c r="A595" s="30"/>
      <c r="B595" s="31"/>
      <c r="C595" s="32"/>
      <c r="D595" s="33"/>
      <c r="E595" s="34"/>
      <c r="F595" s="34"/>
      <c r="G595" s="35"/>
      <c r="H595" s="34"/>
      <c r="I595" s="37"/>
    </row>
    <row r="596" ht="22.5" customHeight="1">
      <c r="A596" s="30"/>
      <c r="B596" s="31"/>
      <c r="C596" s="32"/>
      <c r="D596" s="33"/>
      <c r="E596" s="34"/>
      <c r="F596" s="34"/>
      <c r="G596" s="35"/>
      <c r="H596" s="34"/>
      <c r="I596" s="37"/>
    </row>
    <row r="597" ht="22.5" customHeight="1">
      <c r="A597" s="30"/>
      <c r="B597" s="31"/>
      <c r="C597" s="32"/>
      <c r="D597" s="33"/>
      <c r="E597" s="34"/>
      <c r="F597" s="34"/>
      <c r="G597" s="35"/>
      <c r="H597" s="34"/>
      <c r="I597" s="37"/>
    </row>
    <row r="598" ht="22.5" customHeight="1">
      <c r="A598" s="30"/>
      <c r="B598" s="31"/>
      <c r="C598" s="32"/>
      <c r="D598" s="33"/>
      <c r="E598" s="34"/>
      <c r="F598" s="34"/>
      <c r="G598" s="35"/>
      <c r="H598" s="34"/>
      <c r="I598" s="37"/>
    </row>
    <row r="599" ht="22.5" customHeight="1">
      <c r="A599" s="30"/>
      <c r="B599" s="31"/>
      <c r="C599" s="32"/>
      <c r="D599" s="33"/>
      <c r="E599" s="34"/>
      <c r="F599" s="34"/>
      <c r="G599" s="35"/>
      <c r="H599" s="34"/>
      <c r="I599" s="37"/>
    </row>
    <row r="600" ht="22.5" customHeight="1">
      <c r="A600" s="30"/>
      <c r="B600" s="31"/>
      <c r="C600" s="32"/>
      <c r="D600" s="33"/>
      <c r="E600" s="34"/>
      <c r="F600" s="34"/>
      <c r="G600" s="35"/>
      <c r="H600" s="34"/>
      <c r="I600" s="37"/>
    </row>
    <row r="601" ht="22.5" customHeight="1">
      <c r="A601" s="30"/>
      <c r="B601" s="31"/>
      <c r="C601" s="32"/>
      <c r="D601" s="33"/>
      <c r="E601" s="34"/>
      <c r="F601" s="34"/>
      <c r="G601" s="35"/>
      <c r="H601" s="34"/>
      <c r="I601" s="37"/>
    </row>
    <row r="602" ht="22.5" customHeight="1">
      <c r="A602" s="30"/>
      <c r="B602" s="31"/>
      <c r="C602" s="32"/>
      <c r="D602" s="33"/>
      <c r="E602" s="34"/>
      <c r="F602" s="34"/>
      <c r="G602" s="35"/>
      <c r="H602" s="34"/>
      <c r="I602" s="37"/>
    </row>
    <row r="603" ht="22.5" customHeight="1">
      <c r="A603" s="30"/>
      <c r="B603" s="31"/>
      <c r="C603" s="32"/>
      <c r="D603" s="33"/>
      <c r="E603" s="34"/>
      <c r="F603" s="34"/>
      <c r="G603" s="35"/>
      <c r="H603" s="34"/>
      <c r="I603" s="37"/>
    </row>
    <row r="604" ht="22.5" customHeight="1">
      <c r="A604" s="30"/>
      <c r="B604" s="31"/>
      <c r="C604" s="32"/>
      <c r="D604" s="33"/>
      <c r="E604" s="34"/>
      <c r="F604" s="34"/>
      <c r="G604" s="35"/>
      <c r="H604" s="34"/>
      <c r="I604" s="37"/>
    </row>
    <row r="605" ht="22.5" customHeight="1">
      <c r="A605" s="30"/>
      <c r="B605" s="40"/>
      <c r="C605" s="32"/>
      <c r="D605" s="33"/>
      <c r="E605" s="34"/>
      <c r="F605" s="34"/>
      <c r="G605" s="35"/>
      <c r="H605" s="34"/>
      <c r="I605" s="37"/>
    </row>
    <row r="606" ht="22.5" customHeight="1">
      <c r="A606" s="30"/>
      <c r="B606" s="31"/>
      <c r="C606" s="32"/>
      <c r="D606" s="33"/>
      <c r="E606" s="34"/>
      <c r="F606" s="34"/>
      <c r="G606" s="35"/>
      <c r="H606" s="34"/>
      <c r="I606" s="37"/>
    </row>
    <row r="607" ht="22.5" customHeight="1">
      <c r="A607" s="30"/>
      <c r="B607" s="40"/>
      <c r="C607" s="32"/>
      <c r="D607" s="33"/>
      <c r="E607" s="34"/>
      <c r="F607" s="34"/>
      <c r="G607" s="35"/>
      <c r="H607" s="34"/>
      <c r="I607" s="37"/>
    </row>
    <row r="608" ht="22.5" customHeight="1">
      <c r="A608" s="30"/>
      <c r="B608" s="31"/>
      <c r="C608" s="32"/>
      <c r="D608" s="33"/>
      <c r="E608" s="34"/>
      <c r="F608" s="34"/>
      <c r="G608" s="35"/>
      <c r="H608" s="34"/>
      <c r="I608" s="37"/>
    </row>
    <row r="609" ht="22.5" customHeight="1">
      <c r="A609" s="30"/>
      <c r="B609" s="31"/>
      <c r="C609" s="32"/>
      <c r="D609" s="33"/>
      <c r="E609" s="34"/>
      <c r="F609" s="34"/>
      <c r="G609" s="35"/>
      <c r="H609" s="34"/>
      <c r="I609" s="37"/>
    </row>
    <row r="610" ht="22.5" customHeight="1">
      <c r="A610" s="30"/>
      <c r="B610" s="31"/>
      <c r="C610" s="32"/>
      <c r="D610" s="33"/>
      <c r="E610" s="34"/>
      <c r="F610" s="34"/>
      <c r="G610" s="35"/>
      <c r="H610" s="34"/>
      <c r="I610" s="37"/>
    </row>
    <row r="611" ht="22.5" customHeight="1">
      <c r="A611" s="30"/>
      <c r="B611" s="31"/>
      <c r="C611" s="32"/>
      <c r="D611" s="33"/>
      <c r="E611" s="34"/>
      <c r="F611" s="34"/>
      <c r="G611" s="35"/>
      <c r="H611" s="34"/>
      <c r="I611" s="37"/>
    </row>
    <row r="612" ht="22.5" customHeight="1">
      <c r="A612" s="30"/>
      <c r="B612" s="40"/>
      <c r="C612" s="32"/>
      <c r="D612" s="33"/>
      <c r="E612" s="34"/>
      <c r="F612" s="34"/>
      <c r="G612" s="35"/>
      <c r="H612" s="34"/>
      <c r="I612" s="37"/>
    </row>
    <row r="613" ht="22.5" customHeight="1">
      <c r="A613" s="30"/>
      <c r="B613" s="31"/>
      <c r="C613" s="32"/>
      <c r="D613" s="33"/>
      <c r="E613" s="34"/>
      <c r="F613" s="34"/>
      <c r="G613" s="35"/>
      <c r="H613" s="34"/>
      <c r="I613" s="37"/>
    </row>
    <row r="614" ht="22.5" customHeight="1">
      <c r="A614" s="30"/>
      <c r="B614" s="31"/>
      <c r="C614" s="32"/>
      <c r="D614" s="33"/>
      <c r="E614" s="34"/>
      <c r="F614" s="34"/>
      <c r="G614" s="35"/>
      <c r="H614" s="34"/>
      <c r="I614" s="37"/>
    </row>
    <row r="615" ht="22.5" customHeight="1">
      <c r="A615" s="30"/>
      <c r="B615" s="31"/>
      <c r="C615" s="32"/>
      <c r="D615" s="33"/>
      <c r="E615" s="34"/>
      <c r="F615" s="34"/>
      <c r="G615" s="35"/>
      <c r="H615" s="34"/>
      <c r="I615" s="37"/>
    </row>
    <row r="616" ht="22.5" customHeight="1">
      <c r="A616" s="30"/>
      <c r="B616" s="31"/>
      <c r="C616" s="32"/>
      <c r="D616" s="33"/>
      <c r="E616" s="34"/>
      <c r="F616" s="34"/>
      <c r="G616" s="35"/>
      <c r="H616" s="34"/>
      <c r="I616" s="37"/>
    </row>
    <row r="617" ht="22.5" customHeight="1">
      <c r="A617" s="30"/>
      <c r="B617" s="31"/>
      <c r="C617" s="32"/>
      <c r="D617" s="33"/>
      <c r="E617" s="34"/>
      <c r="F617" s="34"/>
      <c r="G617" s="35"/>
      <c r="H617" s="34"/>
      <c r="I617" s="37"/>
    </row>
    <row r="618" ht="22.5" customHeight="1">
      <c r="A618" s="30"/>
      <c r="B618" s="31"/>
      <c r="C618" s="32"/>
      <c r="D618" s="33"/>
      <c r="E618" s="34"/>
      <c r="F618" s="34"/>
      <c r="G618" s="35"/>
      <c r="H618" s="34"/>
      <c r="I618" s="37"/>
    </row>
    <row r="619" ht="22.5" customHeight="1">
      <c r="A619" s="30"/>
      <c r="B619" s="31"/>
      <c r="C619" s="32"/>
      <c r="D619" s="33"/>
      <c r="E619" s="34"/>
      <c r="F619" s="34"/>
      <c r="G619" s="35"/>
      <c r="H619" s="34"/>
      <c r="I619" s="37"/>
    </row>
    <row r="620" ht="22.5" customHeight="1">
      <c r="A620" s="30"/>
      <c r="B620" s="31"/>
      <c r="C620" s="32"/>
      <c r="D620" s="33"/>
      <c r="E620" s="34"/>
      <c r="F620" s="34"/>
      <c r="G620" s="35"/>
      <c r="H620" s="34"/>
      <c r="I620" s="37"/>
    </row>
    <row r="621" ht="22.5" customHeight="1">
      <c r="A621" s="30"/>
      <c r="B621" s="31"/>
      <c r="C621" s="32"/>
      <c r="D621" s="33"/>
      <c r="E621" s="34"/>
      <c r="F621" s="34"/>
      <c r="G621" s="35"/>
      <c r="H621" s="34"/>
      <c r="I621" s="37"/>
    </row>
    <row r="622" ht="22.5" customHeight="1">
      <c r="A622" s="30"/>
      <c r="B622" s="31"/>
      <c r="C622" s="32"/>
      <c r="D622" s="33"/>
      <c r="E622" s="34"/>
      <c r="F622" s="34"/>
      <c r="G622" s="35"/>
      <c r="H622" s="34"/>
      <c r="I622" s="37"/>
    </row>
    <row r="623" ht="22.5" customHeight="1">
      <c r="A623" s="30"/>
      <c r="B623" s="31"/>
      <c r="C623" s="32"/>
      <c r="D623" s="33"/>
      <c r="E623" s="34"/>
      <c r="F623" s="34"/>
      <c r="G623" s="35"/>
      <c r="H623" s="34"/>
      <c r="I623" s="37"/>
    </row>
    <row r="624" ht="22.5" customHeight="1">
      <c r="A624" s="30"/>
      <c r="B624" s="31"/>
      <c r="C624" s="32"/>
      <c r="D624" s="33"/>
      <c r="E624" s="34"/>
      <c r="F624" s="34"/>
      <c r="G624" s="35"/>
      <c r="H624" s="34"/>
      <c r="I624" s="37"/>
    </row>
    <row r="625" ht="22.5" customHeight="1">
      <c r="A625" s="30"/>
      <c r="B625" s="31"/>
      <c r="C625" s="32"/>
      <c r="D625" s="33"/>
      <c r="E625" s="34"/>
      <c r="F625" s="34"/>
      <c r="G625" s="35"/>
      <c r="H625" s="34"/>
      <c r="I625" s="37"/>
    </row>
    <row r="626" ht="22.5" customHeight="1">
      <c r="A626" s="30"/>
      <c r="B626" s="31"/>
      <c r="C626" s="32"/>
      <c r="D626" s="33"/>
      <c r="E626" s="34"/>
      <c r="F626" s="34"/>
      <c r="G626" s="35"/>
      <c r="H626" s="34"/>
      <c r="I626" s="37"/>
    </row>
    <row r="627" ht="22.5" customHeight="1">
      <c r="A627" s="30"/>
      <c r="B627" s="31"/>
      <c r="C627" s="32"/>
      <c r="D627" s="33"/>
      <c r="E627" s="34"/>
      <c r="F627" s="34"/>
      <c r="G627" s="35"/>
      <c r="H627" s="34"/>
      <c r="I627" s="37"/>
    </row>
    <row r="628" ht="22.5" customHeight="1">
      <c r="A628" s="30"/>
      <c r="B628" s="31"/>
      <c r="C628" s="32"/>
      <c r="D628" s="33"/>
      <c r="E628" s="34"/>
      <c r="F628" s="34"/>
      <c r="G628" s="35"/>
      <c r="H628" s="34"/>
      <c r="I628" s="37"/>
    </row>
    <row r="629" ht="22.5" customHeight="1">
      <c r="A629" s="30"/>
      <c r="B629" s="31"/>
      <c r="C629" s="32"/>
      <c r="D629" s="33"/>
      <c r="E629" s="34"/>
      <c r="F629" s="34"/>
      <c r="G629" s="35"/>
      <c r="H629" s="34"/>
      <c r="I629" s="37"/>
    </row>
    <row r="630" ht="22.5" customHeight="1">
      <c r="A630" s="30"/>
      <c r="B630" s="31"/>
      <c r="C630" s="32"/>
      <c r="D630" s="33"/>
      <c r="E630" s="34"/>
      <c r="F630" s="34"/>
      <c r="G630" s="35"/>
      <c r="H630" s="34"/>
      <c r="I630" s="37"/>
    </row>
    <row r="631" ht="22.5" customHeight="1">
      <c r="A631" s="30"/>
      <c r="B631" s="31"/>
      <c r="C631" s="32"/>
      <c r="D631" s="33"/>
      <c r="E631" s="34"/>
      <c r="F631" s="34"/>
      <c r="G631" s="35"/>
      <c r="H631" s="34"/>
      <c r="I631" s="37"/>
    </row>
    <row r="632" ht="22.5" customHeight="1">
      <c r="A632" s="30"/>
      <c r="B632" s="31"/>
      <c r="C632" s="32"/>
      <c r="D632" s="33"/>
      <c r="E632" s="34"/>
      <c r="F632" s="34"/>
      <c r="G632" s="35"/>
      <c r="H632" s="34"/>
      <c r="I632" s="37"/>
    </row>
    <row r="633" ht="22.5" customHeight="1">
      <c r="A633" s="30"/>
      <c r="B633" s="31"/>
      <c r="C633" s="32"/>
      <c r="D633" s="33"/>
      <c r="E633" s="34"/>
      <c r="F633" s="34"/>
      <c r="G633" s="35"/>
      <c r="H633" s="34"/>
      <c r="I633" s="37"/>
    </row>
    <row r="634" ht="22.5" customHeight="1">
      <c r="A634" s="30"/>
      <c r="B634" s="40"/>
      <c r="C634" s="32"/>
      <c r="D634" s="33"/>
      <c r="E634" s="34"/>
      <c r="F634" s="34"/>
      <c r="G634" s="35"/>
      <c r="H634" s="34"/>
      <c r="I634" s="37"/>
    </row>
    <row r="635" ht="22.5" customHeight="1">
      <c r="A635" s="30"/>
      <c r="B635" s="31"/>
      <c r="C635" s="32"/>
      <c r="D635" s="33"/>
      <c r="E635" s="34"/>
      <c r="F635" s="34"/>
      <c r="G635" s="35"/>
      <c r="H635" s="34"/>
      <c r="I635" s="37"/>
    </row>
    <row r="636" ht="22.5" customHeight="1">
      <c r="A636" s="30"/>
      <c r="B636" s="31"/>
      <c r="C636" s="32"/>
      <c r="D636" s="33"/>
      <c r="E636" s="34"/>
      <c r="F636" s="34"/>
      <c r="G636" s="35"/>
      <c r="H636" s="34"/>
      <c r="I636" s="37"/>
    </row>
    <row r="637" ht="22.5" customHeight="1">
      <c r="A637" s="30"/>
      <c r="B637" s="31"/>
      <c r="C637" s="32"/>
      <c r="D637" s="33"/>
      <c r="E637" s="34"/>
      <c r="F637" s="34"/>
      <c r="G637" s="35"/>
      <c r="H637" s="34"/>
      <c r="I637" s="37"/>
    </row>
    <row r="638" ht="22.5" customHeight="1">
      <c r="A638" s="30"/>
      <c r="B638" s="31"/>
      <c r="C638" s="32"/>
      <c r="D638" s="33"/>
      <c r="E638" s="34"/>
      <c r="F638" s="34"/>
      <c r="G638" s="35"/>
      <c r="H638" s="34"/>
      <c r="I638" s="38"/>
    </row>
    <row r="639" ht="22.5" customHeight="1">
      <c r="A639" s="30"/>
      <c r="B639" s="39"/>
      <c r="C639" s="32"/>
      <c r="D639" s="33"/>
      <c r="E639" s="34"/>
      <c r="F639" s="34"/>
      <c r="G639" s="35"/>
      <c r="H639" s="34"/>
      <c r="I639" s="37"/>
    </row>
    <row r="640" ht="22.5" customHeight="1">
      <c r="A640" s="30"/>
      <c r="B640" s="31"/>
      <c r="C640" s="32"/>
      <c r="D640" s="33"/>
      <c r="E640" s="34"/>
      <c r="F640" s="34"/>
      <c r="G640" s="35"/>
      <c r="H640" s="34"/>
      <c r="I640" s="37"/>
    </row>
    <row r="641" ht="22.5" customHeight="1">
      <c r="A641" s="30"/>
      <c r="B641" s="31"/>
      <c r="C641" s="32"/>
      <c r="D641" s="33"/>
      <c r="E641" s="34"/>
      <c r="F641" s="34"/>
      <c r="G641" s="35"/>
      <c r="H641" s="34"/>
      <c r="I641" s="37"/>
    </row>
    <row r="642" ht="22.5" customHeight="1">
      <c r="A642" s="30"/>
      <c r="B642" s="31"/>
      <c r="C642" s="32"/>
      <c r="D642" s="33"/>
      <c r="E642" s="34"/>
      <c r="F642" s="34"/>
      <c r="G642" s="35"/>
      <c r="H642" s="34"/>
      <c r="I642" s="37"/>
    </row>
    <row r="643" ht="22.5" customHeight="1">
      <c r="A643" s="30"/>
      <c r="B643" s="39"/>
      <c r="C643" s="32"/>
      <c r="D643" s="33"/>
      <c r="E643" s="34"/>
      <c r="F643" s="34"/>
      <c r="G643" s="35"/>
      <c r="H643" s="34"/>
      <c r="I643" s="37"/>
    </row>
    <row r="644" ht="22.5" customHeight="1">
      <c r="A644" s="30"/>
      <c r="B644" s="31"/>
      <c r="C644" s="32"/>
      <c r="D644" s="33"/>
      <c r="E644" s="34"/>
      <c r="F644" s="34"/>
      <c r="G644" s="35"/>
      <c r="H644" s="34"/>
      <c r="I644" s="37"/>
    </row>
    <row r="645" ht="22.5" customHeight="1">
      <c r="A645" s="30"/>
      <c r="B645" s="39"/>
      <c r="C645" s="32"/>
      <c r="D645" s="33"/>
      <c r="E645" s="34"/>
      <c r="F645" s="34"/>
      <c r="G645" s="35"/>
      <c r="H645" s="34"/>
      <c r="I645" s="37"/>
    </row>
    <row r="646" ht="22.5" customHeight="1">
      <c r="A646" s="30"/>
      <c r="B646" s="31"/>
      <c r="C646" s="32"/>
      <c r="D646" s="33"/>
      <c r="E646" s="34"/>
      <c r="F646" s="34"/>
      <c r="G646" s="35"/>
      <c r="H646" s="34"/>
      <c r="I646" s="37"/>
    </row>
    <row r="647" ht="22.5" customHeight="1">
      <c r="A647" s="30"/>
      <c r="B647" s="31"/>
      <c r="C647" s="32"/>
      <c r="D647" s="33"/>
      <c r="E647" s="34"/>
      <c r="F647" s="34"/>
      <c r="G647" s="35"/>
      <c r="H647" s="34"/>
      <c r="I647" s="37"/>
    </row>
    <row r="648" ht="22.5" customHeight="1">
      <c r="A648" s="30"/>
      <c r="B648" s="31"/>
      <c r="C648" s="32"/>
      <c r="D648" s="33"/>
      <c r="E648" s="34"/>
      <c r="F648" s="34"/>
      <c r="G648" s="35"/>
      <c r="H648" s="34"/>
      <c r="I648" s="37"/>
    </row>
    <row r="649" ht="22.5" customHeight="1">
      <c r="A649" s="30"/>
      <c r="B649" s="31"/>
      <c r="C649" s="32"/>
      <c r="D649" s="33"/>
      <c r="E649" s="34"/>
      <c r="F649" s="34"/>
      <c r="G649" s="35"/>
      <c r="H649" s="34"/>
      <c r="I649" s="37"/>
    </row>
    <row r="650" ht="22.5" customHeight="1">
      <c r="A650" s="30"/>
      <c r="B650" s="31"/>
      <c r="C650" s="32"/>
      <c r="D650" s="33"/>
      <c r="E650" s="34"/>
      <c r="F650" s="34"/>
      <c r="G650" s="35"/>
      <c r="H650" s="34"/>
      <c r="I650" s="37"/>
    </row>
    <row r="651" ht="22.5" customHeight="1">
      <c r="A651" s="30"/>
      <c r="B651" s="31"/>
      <c r="C651" s="32"/>
      <c r="D651" s="33"/>
      <c r="E651" s="34"/>
      <c r="F651" s="34"/>
      <c r="G651" s="35"/>
      <c r="H651" s="34"/>
      <c r="I651" s="37"/>
    </row>
    <row r="652" ht="22.5" customHeight="1">
      <c r="A652" s="30"/>
      <c r="B652" s="31"/>
      <c r="C652" s="32"/>
      <c r="D652" s="33"/>
      <c r="E652" s="34"/>
      <c r="F652" s="34"/>
      <c r="G652" s="35"/>
      <c r="H652" s="34"/>
      <c r="I652" s="37"/>
    </row>
    <row r="653" ht="22.5" customHeight="1">
      <c r="A653" s="30"/>
      <c r="B653" s="31"/>
      <c r="C653" s="32"/>
      <c r="D653" s="33"/>
      <c r="E653" s="34"/>
      <c r="F653" s="34"/>
      <c r="G653" s="35"/>
      <c r="H653" s="34"/>
      <c r="I653" s="37"/>
    </row>
    <row r="654" ht="22.5" customHeight="1">
      <c r="A654" s="30"/>
      <c r="B654" s="31"/>
      <c r="C654" s="32"/>
      <c r="D654" s="33"/>
      <c r="E654" s="34"/>
      <c r="F654" s="34"/>
      <c r="G654" s="35"/>
      <c r="H654" s="34"/>
      <c r="I654" s="37"/>
    </row>
    <row r="655" ht="22.5" customHeight="1">
      <c r="A655" s="30"/>
      <c r="B655" s="31"/>
      <c r="C655" s="32"/>
      <c r="D655" s="33"/>
      <c r="E655" s="34"/>
      <c r="F655" s="34"/>
      <c r="G655" s="35"/>
      <c r="H655" s="34"/>
      <c r="I655" s="37"/>
    </row>
    <row r="656" ht="22.5" customHeight="1">
      <c r="A656" s="30"/>
      <c r="B656" s="40"/>
      <c r="C656" s="32"/>
      <c r="D656" s="33"/>
      <c r="E656" s="34"/>
      <c r="F656" s="34"/>
      <c r="G656" s="35"/>
      <c r="H656" s="34"/>
      <c r="I656" s="37"/>
    </row>
    <row r="657" ht="22.5" customHeight="1">
      <c r="A657" s="30"/>
      <c r="B657" s="31"/>
      <c r="C657" s="32"/>
      <c r="D657" s="33"/>
      <c r="E657" s="34"/>
      <c r="F657" s="34"/>
      <c r="G657" s="35"/>
      <c r="H657" s="34"/>
      <c r="I657" s="37"/>
    </row>
    <row r="658" ht="22.5" customHeight="1">
      <c r="A658" s="30"/>
      <c r="B658" s="31"/>
      <c r="C658" s="32"/>
      <c r="D658" s="33"/>
      <c r="E658" s="34"/>
      <c r="F658" s="34"/>
      <c r="G658" s="35"/>
      <c r="H658" s="34"/>
      <c r="I658" s="37"/>
    </row>
    <row r="659" ht="22.5" customHeight="1">
      <c r="A659" s="30"/>
      <c r="B659" s="31"/>
      <c r="C659" s="32"/>
      <c r="D659" s="33"/>
      <c r="E659" s="34"/>
      <c r="F659" s="34"/>
      <c r="G659" s="35"/>
      <c r="H659" s="34"/>
      <c r="I659" s="37"/>
    </row>
    <row r="660" ht="22.5" customHeight="1">
      <c r="A660" s="30"/>
      <c r="B660" s="31"/>
      <c r="C660" s="32"/>
      <c r="D660" s="33"/>
      <c r="E660" s="34"/>
      <c r="F660" s="34"/>
      <c r="G660" s="35"/>
      <c r="H660" s="34"/>
      <c r="I660" s="37"/>
    </row>
    <row r="661" ht="22.5" customHeight="1">
      <c r="A661" s="30"/>
      <c r="B661" s="31"/>
      <c r="C661" s="32"/>
      <c r="D661" s="33"/>
      <c r="E661" s="34"/>
      <c r="F661" s="34"/>
      <c r="G661" s="35"/>
      <c r="H661" s="34"/>
      <c r="I661" s="37"/>
    </row>
    <row r="662" ht="22.5" customHeight="1">
      <c r="A662" s="30"/>
      <c r="B662" s="31"/>
      <c r="C662" s="32"/>
      <c r="D662" s="33"/>
      <c r="E662" s="34"/>
      <c r="F662" s="34"/>
      <c r="G662" s="35"/>
      <c r="H662" s="34"/>
      <c r="I662" s="37"/>
    </row>
    <row r="663" ht="22.5" customHeight="1">
      <c r="A663" s="30"/>
      <c r="B663" s="39"/>
      <c r="C663" s="32"/>
      <c r="D663" s="33"/>
      <c r="E663" s="34"/>
      <c r="F663" s="34"/>
      <c r="G663" s="35"/>
      <c r="H663" s="34"/>
      <c r="I663" s="37"/>
    </row>
    <row r="664" ht="22.5" customHeight="1">
      <c r="A664" s="30"/>
      <c r="B664" s="39"/>
      <c r="C664" s="32"/>
      <c r="D664" s="33"/>
      <c r="E664" s="34"/>
      <c r="F664" s="34"/>
      <c r="G664" s="35"/>
      <c r="H664" s="34"/>
      <c r="I664" s="37"/>
    </row>
    <row r="665" ht="22.5" customHeight="1">
      <c r="A665" s="30"/>
      <c r="B665" s="39"/>
      <c r="C665" s="32"/>
      <c r="D665" s="33"/>
      <c r="E665" s="34"/>
      <c r="F665" s="34"/>
      <c r="G665" s="35"/>
      <c r="H665" s="34"/>
      <c r="I665" s="37"/>
    </row>
    <row r="666" ht="22.5" customHeight="1">
      <c r="A666" s="30"/>
      <c r="B666" s="40"/>
      <c r="C666" s="32"/>
      <c r="D666" s="33"/>
      <c r="E666" s="34"/>
      <c r="F666" s="34"/>
      <c r="G666" s="35"/>
      <c r="H666" s="34"/>
      <c r="I666" s="37"/>
    </row>
    <row r="667" ht="22.5" customHeight="1">
      <c r="A667" s="30"/>
      <c r="B667" s="31"/>
      <c r="C667" s="32"/>
      <c r="D667" s="33"/>
      <c r="E667" s="34"/>
      <c r="F667" s="34"/>
      <c r="G667" s="35"/>
      <c r="H667" s="34"/>
      <c r="I667" s="37"/>
    </row>
    <row r="668" ht="22.5" customHeight="1">
      <c r="A668" s="30"/>
      <c r="B668" s="31"/>
      <c r="C668" s="32"/>
      <c r="D668" s="33"/>
      <c r="E668" s="34"/>
      <c r="F668" s="34"/>
      <c r="G668" s="35"/>
      <c r="H668" s="34"/>
      <c r="I668" s="37"/>
    </row>
    <row r="669" ht="22.5" customHeight="1">
      <c r="A669" s="30"/>
      <c r="B669" s="31"/>
      <c r="C669" s="32"/>
      <c r="D669" s="33"/>
      <c r="E669" s="34"/>
      <c r="F669" s="34"/>
      <c r="G669" s="35"/>
      <c r="H669" s="34"/>
      <c r="I669" s="37"/>
    </row>
    <row r="670" ht="22.5" customHeight="1">
      <c r="A670" s="30"/>
      <c r="B670" s="31"/>
      <c r="C670" s="32"/>
      <c r="D670" s="33"/>
      <c r="E670" s="34"/>
      <c r="F670" s="34"/>
      <c r="G670" s="35"/>
      <c r="H670" s="34"/>
      <c r="I670" s="37"/>
    </row>
    <row r="671" ht="22.5" customHeight="1">
      <c r="A671" s="30"/>
      <c r="B671" s="31"/>
      <c r="C671" s="32"/>
      <c r="D671" s="33"/>
      <c r="E671" s="34"/>
      <c r="F671" s="34"/>
      <c r="G671" s="35"/>
      <c r="H671" s="34"/>
      <c r="I671" s="37"/>
    </row>
    <row r="672" ht="22.5" customHeight="1">
      <c r="A672" s="30"/>
      <c r="B672" s="31"/>
      <c r="C672" s="32"/>
      <c r="D672" s="33"/>
      <c r="E672" s="34"/>
      <c r="F672" s="34"/>
      <c r="G672" s="35"/>
      <c r="H672" s="34"/>
      <c r="I672" s="37"/>
    </row>
    <row r="673" ht="22.5" customHeight="1">
      <c r="A673" s="30"/>
      <c r="B673" s="31"/>
      <c r="C673" s="32"/>
      <c r="D673" s="33"/>
      <c r="E673" s="34"/>
      <c r="F673" s="34"/>
      <c r="G673" s="35"/>
      <c r="H673" s="34"/>
      <c r="I673" s="37"/>
    </row>
    <row r="674" ht="22.5" customHeight="1">
      <c r="A674" s="30"/>
      <c r="B674" s="31"/>
      <c r="C674" s="32"/>
      <c r="D674" s="33"/>
      <c r="E674" s="34"/>
      <c r="F674" s="34"/>
      <c r="G674" s="35"/>
      <c r="H674" s="34"/>
      <c r="I674" s="37"/>
    </row>
    <row r="675" ht="22.5" customHeight="1">
      <c r="A675" s="30"/>
      <c r="B675" s="31"/>
      <c r="C675" s="32"/>
      <c r="D675" s="33"/>
      <c r="E675" s="34"/>
      <c r="F675" s="34"/>
      <c r="G675" s="35"/>
      <c r="H675" s="34"/>
      <c r="I675" s="37"/>
    </row>
    <row r="676" ht="22.5" customHeight="1">
      <c r="A676" s="30"/>
      <c r="B676" s="40"/>
      <c r="C676" s="32"/>
      <c r="D676" s="33"/>
      <c r="E676" s="34"/>
      <c r="F676" s="34"/>
      <c r="G676" s="35"/>
      <c r="H676" s="34"/>
      <c r="I676" s="37"/>
    </row>
    <row r="677" ht="22.5" customHeight="1">
      <c r="A677" s="30"/>
      <c r="B677" s="31"/>
      <c r="C677" s="32"/>
      <c r="D677" s="33"/>
      <c r="E677" s="34"/>
      <c r="F677" s="34"/>
      <c r="G677" s="35"/>
      <c r="H677" s="34"/>
      <c r="I677" s="37"/>
    </row>
    <row r="678" ht="22.5" customHeight="1">
      <c r="A678" s="30"/>
      <c r="B678" s="31"/>
      <c r="C678" s="32"/>
      <c r="D678" s="33"/>
      <c r="E678" s="34"/>
      <c r="F678" s="34"/>
      <c r="G678" s="35"/>
      <c r="H678" s="34"/>
      <c r="I678" s="37"/>
    </row>
    <row r="679" ht="22.5" customHeight="1">
      <c r="A679" s="30"/>
      <c r="B679" s="31"/>
      <c r="C679" s="32"/>
      <c r="D679" s="33"/>
      <c r="E679" s="34"/>
      <c r="F679" s="34"/>
      <c r="G679" s="35"/>
      <c r="H679" s="34"/>
      <c r="I679" s="37"/>
    </row>
    <row r="680" ht="22.5" customHeight="1">
      <c r="A680" s="30"/>
      <c r="B680" s="40"/>
      <c r="C680" s="32"/>
      <c r="D680" s="33"/>
      <c r="E680" s="34"/>
      <c r="F680" s="34"/>
      <c r="G680" s="35"/>
      <c r="H680" s="34"/>
      <c r="I680" s="37"/>
    </row>
    <row r="681" ht="22.5" customHeight="1">
      <c r="A681" s="30"/>
      <c r="B681" s="31"/>
      <c r="C681" s="32"/>
      <c r="D681" s="33"/>
      <c r="E681" s="34"/>
      <c r="F681" s="34"/>
      <c r="G681" s="35"/>
      <c r="H681" s="34"/>
      <c r="I681" s="37"/>
    </row>
    <row r="682" ht="22.5" customHeight="1">
      <c r="A682" s="30"/>
      <c r="B682" s="31"/>
      <c r="C682" s="32"/>
      <c r="D682" s="33"/>
      <c r="E682" s="34"/>
      <c r="F682" s="34"/>
      <c r="G682" s="35"/>
      <c r="H682" s="34"/>
      <c r="I682" s="37"/>
    </row>
    <row r="683" ht="22.5" customHeight="1">
      <c r="A683" s="30"/>
      <c r="B683" s="31"/>
      <c r="C683" s="32"/>
      <c r="D683" s="33"/>
      <c r="E683" s="34"/>
      <c r="F683" s="34"/>
      <c r="G683" s="35"/>
      <c r="H683" s="34"/>
      <c r="I683" s="37"/>
    </row>
    <row r="684" ht="22.5" customHeight="1">
      <c r="A684" s="30"/>
      <c r="B684" s="31"/>
      <c r="C684" s="32"/>
      <c r="D684" s="33"/>
      <c r="E684" s="34"/>
      <c r="F684" s="34"/>
      <c r="G684" s="35"/>
      <c r="H684" s="34"/>
      <c r="I684" s="37"/>
    </row>
    <row r="685" ht="22.5" customHeight="1">
      <c r="A685" s="30"/>
      <c r="B685" s="31"/>
      <c r="C685" s="32"/>
      <c r="D685" s="33"/>
      <c r="E685" s="34"/>
      <c r="F685" s="34"/>
      <c r="G685" s="35"/>
      <c r="H685" s="34"/>
      <c r="I685" s="37"/>
    </row>
    <row r="686" ht="22.5" customHeight="1">
      <c r="A686" s="30"/>
      <c r="B686" s="31"/>
      <c r="C686" s="32"/>
      <c r="D686" s="33"/>
      <c r="E686" s="34"/>
      <c r="F686" s="34"/>
      <c r="G686" s="35"/>
      <c r="H686" s="34"/>
      <c r="I686" s="37"/>
    </row>
    <row r="687" ht="22.5" customHeight="1">
      <c r="A687" s="30"/>
      <c r="B687" s="31"/>
      <c r="C687" s="32"/>
      <c r="D687" s="33"/>
      <c r="E687" s="34"/>
      <c r="F687" s="34"/>
      <c r="G687" s="35"/>
      <c r="H687" s="34"/>
      <c r="I687" s="37"/>
    </row>
    <row r="688" ht="22.5" customHeight="1">
      <c r="A688" s="30"/>
      <c r="B688" s="31"/>
      <c r="C688" s="32"/>
      <c r="D688" s="33"/>
      <c r="E688" s="34"/>
      <c r="F688" s="34"/>
      <c r="G688" s="35"/>
      <c r="H688" s="34"/>
      <c r="I688" s="37"/>
    </row>
    <row r="689" ht="22.5" customHeight="1">
      <c r="A689" s="30"/>
      <c r="B689" s="31"/>
      <c r="C689" s="32"/>
      <c r="D689" s="33"/>
      <c r="E689" s="34"/>
      <c r="F689" s="34"/>
      <c r="G689" s="35"/>
      <c r="H689" s="34"/>
      <c r="I689" s="37"/>
    </row>
    <row r="690" ht="22.5" customHeight="1">
      <c r="A690" s="30"/>
      <c r="B690" s="31"/>
      <c r="C690" s="32"/>
      <c r="D690" s="33"/>
      <c r="E690" s="34"/>
      <c r="F690" s="34"/>
      <c r="G690" s="35"/>
      <c r="H690" s="34"/>
      <c r="I690" s="37"/>
    </row>
    <row r="691" ht="22.5" customHeight="1">
      <c r="A691" s="30"/>
      <c r="B691" s="31"/>
      <c r="C691" s="32"/>
      <c r="D691" s="33"/>
      <c r="E691" s="34"/>
      <c r="F691" s="34"/>
      <c r="G691" s="35"/>
      <c r="H691" s="34"/>
      <c r="I691" s="37"/>
    </row>
    <row r="692" ht="22.5" customHeight="1">
      <c r="A692" s="30"/>
      <c r="B692" s="31"/>
      <c r="C692" s="32"/>
      <c r="D692" s="33"/>
      <c r="E692" s="34"/>
      <c r="F692" s="34"/>
      <c r="G692" s="35"/>
      <c r="H692" s="34"/>
      <c r="I692" s="37"/>
    </row>
    <row r="693" ht="22.5" customHeight="1">
      <c r="A693" s="30"/>
      <c r="B693" s="31"/>
      <c r="C693" s="32"/>
      <c r="D693" s="33"/>
      <c r="E693" s="34"/>
      <c r="F693" s="34"/>
      <c r="G693" s="35"/>
      <c r="H693" s="34"/>
      <c r="I693" s="37"/>
    </row>
    <row r="694" ht="22.5" customHeight="1">
      <c r="A694" s="30"/>
      <c r="B694" s="31"/>
      <c r="C694" s="32"/>
      <c r="D694" s="33"/>
      <c r="E694" s="34"/>
      <c r="F694" s="34"/>
      <c r="G694" s="35"/>
      <c r="H694" s="34"/>
      <c r="I694" s="37"/>
    </row>
    <row r="695" ht="22.5" customHeight="1">
      <c r="A695" s="30"/>
      <c r="B695" s="40"/>
      <c r="C695" s="32"/>
      <c r="D695" s="33"/>
      <c r="E695" s="34"/>
      <c r="F695" s="34"/>
      <c r="G695" s="35"/>
      <c r="H695" s="34"/>
      <c r="I695" s="37"/>
    </row>
    <row r="696" ht="22.5" customHeight="1">
      <c r="A696" s="30"/>
      <c r="B696" s="31"/>
      <c r="C696" s="32"/>
      <c r="D696" s="33"/>
      <c r="E696" s="34"/>
      <c r="F696" s="34"/>
      <c r="G696" s="35"/>
      <c r="H696" s="34"/>
      <c r="I696" s="37"/>
    </row>
    <row r="697" ht="22.5" customHeight="1">
      <c r="A697" s="30"/>
      <c r="B697" s="40"/>
      <c r="C697" s="32"/>
      <c r="D697" s="33"/>
      <c r="E697" s="34"/>
      <c r="F697" s="34"/>
      <c r="G697" s="35"/>
      <c r="H697" s="34"/>
      <c r="I697" s="37"/>
    </row>
    <row r="698" ht="22.5" customHeight="1">
      <c r="A698" s="30"/>
      <c r="B698" s="31"/>
      <c r="C698" s="32"/>
      <c r="D698" s="33"/>
      <c r="E698" s="34"/>
      <c r="F698" s="34"/>
      <c r="G698" s="35"/>
      <c r="H698" s="34"/>
      <c r="I698" s="37"/>
    </row>
    <row r="699" ht="22.5" customHeight="1">
      <c r="A699" s="30"/>
      <c r="B699" s="31"/>
      <c r="C699" s="32"/>
      <c r="D699" s="33"/>
      <c r="E699" s="34"/>
      <c r="F699" s="34"/>
      <c r="G699" s="35"/>
      <c r="H699" s="34"/>
      <c r="I699" s="37"/>
    </row>
    <row r="700" ht="22.5" customHeight="1">
      <c r="A700" s="30"/>
      <c r="B700" s="31"/>
      <c r="C700" s="32"/>
      <c r="D700" s="33"/>
      <c r="E700" s="34"/>
      <c r="F700" s="34"/>
      <c r="G700" s="35"/>
      <c r="H700" s="34"/>
      <c r="I700" s="37"/>
    </row>
    <row r="701" ht="22.5" customHeight="1">
      <c r="A701" s="30"/>
      <c r="B701" s="31"/>
      <c r="C701" s="32"/>
      <c r="D701" s="33"/>
      <c r="E701" s="34"/>
      <c r="F701" s="34"/>
      <c r="G701" s="35"/>
      <c r="H701" s="34"/>
      <c r="I701" s="37"/>
    </row>
    <row r="702" ht="22.5" customHeight="1">
      <c r="A702" s="30"/>
      <c r="B702" s="40"/>
      <c r="C702" s="32"/>
      <c r="D702" s="33"/>
      <c r="E702" s="34"/>
      <c r="F702" s="34"/>
      <c r="G702" s="35"/>
      <c r="H702" s="34"/>
      <c r="I702" s="37"/>
    </row>
    <row r="703" ht="22.5" customHeight="1">
      <c r="A703" s="30"/>
      <c r="B703" s="31"/>
      <c r="C703" s="32"/>
      <c r="D703" s="33"/>
      <c r="E703" s="34"/>
      <c r="F703" s="34"/>
      <c r="G703" s="35"/>
      <c r="H703" s="34"/>
      <c r="I703" s="37"/>
    </row>
    <row r="704" ht="22.5" customHeight="1">
      <c r="A704" s="30"/>
      <c r="B704" s="31"/>
      <c r="C704" s="32"/>
      <c r="D704" s="33"/>
      <c r="E704" s="34"/>
      <c r="F704" s="34"/>
      <c r="G704" s="35"/>
      <c r="H704" s="34"/>
      <c r="I704" s="37"/>
    </row>
    <row r="705" ht="22.5" customHeight="1">
      <c r="A705" s="30"/>
      <c r="B705" s="31"/>
      <c r="C705" s="32"/>
      <c r="D705" s="33"/>
      <c r="E705" s="34"/>
      <c r="F705" s="34"/>
      <c r="G705" s="35"/>
      <c r="H705" s="34"/>
      <c r="I705" s="37"/>
    </row>
    <row r="706" ht="22.5" customHeight="1">
      <c r="A706" s="30"/>
      <c r="B706" s="31"/>
      <c r="C706" s="32"/>
      <c r="D706" s="33"/>
      <c r="E706" s="34"/>
      <c r="F706" s="34"/>
      <c r="G706" s="35"/>
      <c r="H706" s="34"/>
      <c r="I706" s="37"/>
    </row>
    <row r="707" ht="22.5" customHeight="1">
      <c r="A707" s="30"/>
      <c r="B707" s="31"/>
      <c r="C707" s="32"/>
      <c r="D707" s="33"/>
      <c r="E707" s="34"/>
      <c r="F707" s="34"/>
      <c r="G707" s="35"/>
      <c r="H707" s="34"/>
      <c r="I707" s="37"/>
    </row>
    <row r="708" ht="22.5" customHeight="1">
      <c r="A708" s="30"/>
      <c r="B708" s="31"/>
      <c r="C708" s="32"/>
      <c r="D708" s="33"/>
      <c r="E708" s="34"/>
      <c r="F708" s="34"/>
      <c r="G708" s="35"/>
      <c r="H708" s="34"/>
      <c r="I708" s="37"/>
    </row>
    <row r="709" ht="22.5" customHeight="1">
      <c r="A709" s="30"/>
      <c r="B709" s="31"/>
      <c r="C709" s="32"/>
      <c r="D709" s="33"/>
      <c r="E709" s="34"/>
      <c r="F709" s="34"/>
      <c r="G709" s="35"/>
      <c r="H709" s="34"/>
      <c r="I709" s="37"/>
    </row>
    <row r="710" ht="22.5" customHeight="1">
      <c r="A710" s="30"/>
      <c r="B710" s="31"/>
      <c r="C710" s="32"/>
      <c r="D710" s="33"/>
      <c r="E710" s="34"/>
      <c r="F710" s="34"/>
      <c r="G710" s="35"/>
      <c r="H710" s="34"/>
      <c r="I710" s="37"/>
    </row>
    <row r="711" ht="22.5" customHeight="1">
      <c r="A711" s="30"/>
      <c r="B711" s="31"/>
      <c r="C711" s="32"/>
      <c r="D711" s="33"/>
      <c r="E711" s="34"/>
      <c r="F711" s="34"/>
      <c r="G711" s="35"/>
      <c r="H711" s="34"/>
      <c r="I711" s="37"/>
    </row>
    <row r="712" ht="22.5" customHeight="1">
      <c r="A712" s="30"/>
      <c r="B712" s="31"/>
      <c r="C712" s="32"/>
      <c r="D712" s="33"/>
      <c r="E712" s="34"/>
      <c r="F712" s="34"/>
      <c r="G712" s="35"/>
      <c r="H712" s="34"/>
      <c r="I712" s="37"/>
    </row>
    <row r="713" ht="22.5" customHeight="1">
      <c r="A713" s="30"/>
      <c r="B713" s="31"/>
      <c r="C713" s="32"/>
      <c r="D713" s="33"/>
      <c r="E713" s="34"/>
      <c r="F713" s="34"/>
      <c r="G713" s="35"/>
      <c r="H713" s="34"/>
      <c r="I713" s="37"/>
    </row>
    <row r="714" ht="22.5" customHeight="1">
      <c r="A714" s="30"/>
      <c r="B714" s="31"/>
      <c r="C714" s="32"/>
      <c r="D714" s="33"/>
      <c r="E714" s="34"/>
      <c r="F714" s="34"/>
      <c r="G714" s="35"/>
      <c r="H714" s="34"/>
      <c r="I714" s="37"/>
    </row>
    <row r="715" ht="22.5" customHeight="1">
      <c r="A715" s="30"/>
      <c r="B715" s="31"/>
      <c r="C715" s="32"/>
      <c r="D715" s="33"/>
      <c r="E715" s="34"/>
      <c r="F715" s="34"/>
      <c r="G715" s="35"/>
      <c r="H715" s="34"/>
      <c r="I715" s="37"/>
    </row>
    <row r="716" ht="22.5" customHeight="1">
      <c r="A716" s="30"/>
      <c r="B716" s="31"/>
      <c r="C716" s="32"/>
      <c r="D716" s="33"/>
      <c r="E716" s="34"/>
      <c r="F716" s="34"/>
      <c r="G716" s="35"/>
      <c r="H716" s="34"/>
      <c r="I716" s="37"/>
    </row>
    <row r="717" ht="22.5" customHeight="1">
      <c r="A717" s="30"/>
      <c r="B717" s="31"/>
      <c r="C717" s="32"/>
      <c r="D717" s="33"/>
      <c r="E717" s="34"/>
      <c r="F717" s="34"/>
      <c r="G717" s="35"/>
      <c r="H717" s="34"/>
      <c r="I717" s="37"/>
    </row>
    <row r="718" ht="22.5" customHeight="1">
      <c r="A718" s="30"/>
      <c r="B718" s="31"/>
      <c r="C718" s="32"/>
      <c r="D718" s="33"/>
      <c r="E718" s="34"/>
      <c r="F718" s="34"/>
      <c r="G718" s="35"/>
      <c r="H718" s="34"/>
      <c r="I718" s="37"/>
    </row>
    <row r="719" ht="22.5" customHeight="1">
      <c r="A719" s="30"/>
      <c r="B719" s="31"/>
      <c r="C719" s="32"/>
      <c r="D719" s="33"/>
      <c r="E719" s="34"/>
      <c r="F719" s="34"/>
      <c r="G719" s="35"/>
      <c r="H719" s="34"/>
      <c r="I719" s="37"/>
    </row>
    <row r="720" ht="22.5" customHeight="1">
      <c r="A720" s="30"/>
      <c r="B720" s="31"/>
      <c r="C720" s="32"/>
      <c r="D720" s="33"/>
      <c r="E720" s="34"/>
      <c r="F720" s="34"/>
      <c r="G720" s="35"/>
      <c r="H720" s="34"/>
      <c r="I720" s="37"/>
    </row>
    <row r="721" ht="22.5" customHeight="1">
      <c r="A721" s="30"/>
      <c r="B721" s="31"/>
      <c r="C721" s="32"/>
      <c r="D721" s="33"/>
      <c r="E721" s="34"/>
      <c r="F721" s="34"/>
      <c r="G721" s="35"/>
      <c r="H721" s="34"/>
      <c r="I721" s="37"/>
    </row>
    <row r="722" ht="22.5" customHeight="1">
      <c r="A722" s="30"/>
      <c r="B722" s="31"/>
      <c r="C722" s="32"/>
      <c r="D722" s="33"/>
      <c r="E722" s="34"/>
      <c r="F722" s="34"/>
      <c r="G722" s="35"/>
      <c r="H722" s="34"/>
      <c r="I722" s="37"/>
    </row>
    <row r="723" ht="22.5" customHeight="1">
      <c r="A723" s="30"/>
      <c r="B723" s="31"/>
      <c r="C723" s="32"/>
      <c r="D723" s="33"/>
      <c r="E723" s="34"/>
      <c r="F723" s="34"/>
      <c r="G723" s="35"/>
      <c r="H723" s="34"/>
      <c r="I723" s="37"/>
    </row>
    <row r="724" ht="22.5" customHeight="1">
      <c r="A724" s="30"/>
      <c r="B724" s="40"/>
      <c r="C724" s="32"/>
      <c r="D724" s="33"/>
      <c r="E724" s="34"/>
      <c r="F724" s="34"/>
      <c r="G724" s="35"/>
      <c r="H724" s="34"/>
      <c r="I724" s="37"/>
    </row>
    <row r="725" ht="22.5" customHeight="1">
      <c r="A725" s="30"/>
      <c r="B725" s="31"/>
      <c r="C725" s="32"/>
      <c r="D725" s="33"/>
      <c r="E725" s="34"/>
      <c r="F725" s="34"/>
      <c r="G725" s="35"/>
      <c r="H725" s="34"/>
      <c r="I725" s="37"/>
    </row>
    <row r="726" ht="22.5" customHeight="1">
      <c r="A726" s="30"/>
      <c r="B726" s="31"/>
      <c r="C726" s="32"/>
      <c r="D726" s="33"/>
      <c r="E726" s="34"/>
      <c r="F726" s="34"/>
      <c r="G726" s="35"/>
      <c r="H726" s="34"/>
      <c r="I726" s="37"/>
    </row>
    <row r="727" ht="22.5" customHeight="1">
      <c r="A727" s="30"/>
      <c r="B727" s="31"/>
      <c r="C727" s="32"/>
      <c r="D727" s="33"/>
      <c r="E727" s="34"/>
      <c r="F727" s="34"/>
      <c r="G727" s="35"/>
      <c r="H727" s="34"/>
      <c r="I727" s="37"/>
    </row>
    <row r="728" ht="22.5" customHeight="1">
      <c r="A728" s="30"/>
      <c r="B728" s="31"/>
      <c r="C728" s="32"/>
      <c r="D728" s="33"/>
      <c r="E728" s="34"/>
      <c r="F728" s="34"/>
      <c r="G728" s="35"/>
      <c r="H728" s="34"/>
      <c r="I728" s="38"/>
    </row>
    <row r="729" ht="22.5" customHeight="1">
      <c r="A729" s="30"/>
      <c r="B729" s="39"/>
      <c r="C729" s="32"/>
      <c r="D729" s="33"/>
      <c r="E729" s="34"/>
      <c r="F729" s="34"/>
      <c r="G729" s="35"/>
      <c r="H729" s="34"/>
      <c r="I729" s="37"/>
    </row>
    <row r="730" ht="22.5" customHeight="1">
      <c r="A730" s="30"/>
      <c r="B730" s="31"/>
      <c r="C730" s="32"/>
      <c r="D730" s="33"/>
      <c r="E730" s="34"/>
      <c r="F730" s="34"/>
      <c r="G730" s="35"/>
      <c r="H730" s="34"/>
      <c r="I730" s="37"/>
    </row>
    <row r="731" ht="22.5" customHeight="1">
      <c r="A731" s="30"/>
      <c r="B731" s="31"/>
      <c r="C731" s="32"/>
      <c r="D731" s="33"/>
      <c r="E731" s="34"/>
      <c r="F731" s="34"/>
      <c r="G731" s="35"/>
      <c r="H731" s="34"/>
      <c r="I731" s="37"/>
    </row>
    <row r="732" ht="22.5" customHeight="1">
      <c r="A732" s="30"/>
      <c r="B732" s="31"/>
      <c r="C732" s="32"/>
      <c r="D732" s="33"/>
      <c r="E732" s="34"/>
      <c r="F732" s="34"/>
      <c r="G732" s="35"/>
      <c r="H732" s="34"/>
      <c r="I732" s="37"/>
    </row>
    <row r="733" ht="22.5" customHeight="1">
      <c r="A733" s="30"/>
      <c r="B733" s="39"/>
      <c r="C733" s="32"/>
      <c r="D733" s="33"/>
      <c r="E733" s="34"/>
      <c r="F733" s="34"/>
      <c r="G733" s="35"/>
      <c r="H733" s="34"/>
      <c r="I733" s="37"/>
    </row>
    <row r="734" ht="22.5" customHeight="1">
      <c r="A734" s="30"/>
      <c r="B734" s="31"/>
      <c r="C734" s="32"/>
      <c r="D734" s="33"/>
      <c r="E734" s="34"/>
      <c r="F734" s="34"/>
      <c r="G734" s="35"/>
      <c r="H734" s="34"/>
      <c r="I734" s="37"/>
    </row>
    <row r="735" ht="22.5" customHeight="1">
      <c r="A735" s="30"/>
      <c r="B735" s="39"/>
      <c r="C735" s="32"/>
      <c r="D735" s="33"/>
      <c r="E735" s="34"/>
      <c r="F735" s="34"/>
      <c r="G735" s="35"/>
      <c r="H735" s="34"/>
      <c r="I735" s="37"/>
    </row>
    <row r="736" ht="22.5" customHeight="1">
      <c r="A736" s="30"/>
      <c r="B736" s="31"/>
      <c r="C736" s="32"/>
      <c r="D736" s="33"/>
      <c r="E736" s="34"/>
      <c r="F736" s="34"/>
      <c r="G736" s="35"/>
      <c r="H736" s="34"/>
      <c r="I736" s="37"/>
    </row>
    <row r="737" ht="22.5" customHeight="1">
      <c r="A737" s="30"/>
      <c r="B737" s="31"/>
      <c r="C737" s="32"/>
      <c r="D737" s="33"/>
      <c r="E737" s="34"/>
      <c r="F737" s="34"/>
      <c r="G737" s="35"/>
      <c r="H737" s="34"/>
      <c r="I737" s="37"/>
    </row>
    <row r="738" ht="22.5" customHeight="1">
      <c r="A738" s="30"/>
      <c r="B738" s="31"/>
      <c r="C738" s="32"/>
      <c r="D738" s="33"/>
      <c r="E738" s="34"/>
      <c r="F738" s="34"/>
      <c r="G738" s="35"/>
      <c r="H738" s="34"/>
      <c r="I738" s="37"/>
    </row>
    <row r="739" ht="22.5" customHeight="1">
      <c r="A739" s="30"/>
      <c r="B739" s="31"/>
      <c r="C739" s="32"/>
      <c r="D739" s="33"/>
      <c r="E739" s="34"/>
      <c r="F739" s="34"/>
      <c r="G739" s="35"/>
      <c r="H739" s="34"/>
      <c r="I739" s="37"/>
    </row>
    <row r="740" ht="22.5" customHeight="1">
      <c r="A740" s="30"/>
      <c r="B740" s="31"/>
      <c r="C740" s="32"/>
      <c r="D740" s="33"/>
      <c r="E740" s="34"/>
      <c r="F740" s="34"/>
      <c r="G740" s="35"/>
      <c r="H740" s="34"/>
      <c r="I740" s="37"/>
    </row>
    <row r="741" ht="22.5" customHeight="1">
      <c r="A741" s="30"/>
      <c r="B741" s="31"/>
      <c r="C741" s="32"/>
      <c r="D741" s="33"/>
      <c r="E741" s="34"/>
      <c r="F741" s="34"/>
      <c r="G741" s="35"/>
      <c r="H741" s="34"/>
      <c r="I741" s="37"/>
    </row>
    <row r="742" ht="22.5" customHeight="1">
      <c r="A742" s="30"/>
      <c r="B742" s="31"/>
      <c r="C742" s="32"/>
      <c r="D742" s="33"/>
      <c r="E742" s="34"/>
      <c r="F742" s="34"/>
      <c r="G742" s="35"/>
      <c r="H742" s="34"/>
      <c r="I742" s="37"/>
    </row>
    <row r="743" ht="22.5" customHeight="1">
      <c r="A743" s="30"/>
      <c r="B743" s="31"/>
      <c r="C743" s="32"/>
      <c r="D743" s="33"/>
      <c r="E743" s="34"/>
      <c r="F743" s="34"/>
      <c r="G743" s="35"/>
      <c r="H743" s="34"/>
      <c r="I743" s="37"/>
    </row>
    <row r="744" ht="22.5" customHeight="1">
      <c r="A744" s="30"/>
      <c r="B744" s="31"/>
      <c r="C744" s="32"/>
      <c r="D744" s="33"/>
      <c r="E744" s="34"/>
      <c r="F744" s="34"/>
      <c r="G744" s="35"/>
      <c r="H744" s="34"/>
      <c r="I744" s="37"/>
    </row>
    <row r="745" ht="22.5" customHeight="1">
      <c r="A745" s="30"/>
      <c r="B745" s="31"/>
      <c r="C745" s="32"/>
      <c r="D745" s="33"/>
      <c r="E745" s="34"/>
      <c r="F745" s="34"/>
      <c r="G745" s="35"/>
      <c r="H745" s="34"/>
      <c r="I745" s="37"/>
    </row>
    <row r="746" ht="22.5" customHeight="1">
      <c r="A746" s="30"/>
      <c r="B746" s="40"/>
      <c r="C746" s="32"/>
      <c r="D746" s="33"/>
      <c r="E746" s="34"/>
      <c r="F746" s="34"/>
      <c r="G746" s="35"/>
      <c r="H746" s="34"/>
      <c r="I746" s="37"/>
    </row>
    <row r="747" ht="22.5" customHeight="1">
      <c r="A747" s="30"/>
      <c r="B747" s="31"/>
      <c r="C747" s="32"/>
      <c r="D747" s="33"/>
      <c r="E747" s="34"/>
      <c r="F747" s="34"/>
      <c r="G747" s="35"/>
      <c r="H747" s="34"/>
      <c r="I747" s="37"/>
    </row>
    <row r="748" ht="22.5" customHeight="1">
      <c r="A748" s="30"/>
      <c r="B748" s="31"/>
      <c r="C748" s="32"/>
      <c r="D748" s="33"/>
      <c r="E748" s="34"/>
      <c r="F748" s="34"/>
      <c r="G748" s="35"/>
      <c r="H748" s="34"/>
      <c r="I748" s="37"/>
    </row>
    <row r="749" ht="22.5" customHeight="1">
      <c r="A749" s="30"/>
      <c r="B749" s="31"/>
      <c r="C749" s="32"/>
      <c r="D749" s="33"/>
      <c r="E749" s="34"/>
      <c r="F749" s="34"/>
      <c r="G749" s="35"/>
      <c r="H749" s="34"/>
      <c r="I749" s="37"/>
    </row>
    <row r="750" ht="22.5" customHeight="1">
      <c r="A750" s="30"/>
      <c r="B750" s="31"/>
      <c r="C750" s="32"/>
      <c r="D750" s="33"/>
      <c r="E750" s="34"/>
      <c r="F750" s="34"/>
      <c r="G750" s="35"/>
      <c r="H750" s="34"/>
      <c r="I750" s="37"/>
    </row>
    <row r="751" ht="22.5" customHeight="1">
      <c r="A751" s="30"/>
      <c r="B751" s="31"/>
      <c r="C751" s="32"/>
      <c r="D751" s="33"/>
      <c r="E751" s="34"/>
      <c r="F751" s="34"/>
      <c r="G751" s="35"/>
      <c r="H751" s="34"/>
      <c r="I751" s="37"/>
    </row>
    <row r="752" ht="22.5" customHeight="1">
      <c r="A752" s="30"/>
      <c r="B752" s="31"/>
      <c r="C752" s="32"/>
      <c r="D752" s="33"/>
      <c r="E752" s="34"/>
      <c r="F752" s="34"/>
      <c r="G752" s="35"/>
      <c r="H752" s="34"/>
      <c r="I752" s="37"/>
    </row>
    <row r="753" ht="22.5" customHeight="1">
      <c r="A753" s="30"/>
      <c r="B753" s="39"/>
      <c r="C753" s="32"/>
      <c r="D753" s="33"/>
      <c r="E753" s="34"/>
      <c r="F753" s="34"/>
      <c r="G753" s="35"/>
      <c r="H753" s="34"/>
      <c r="I753" s="37"/>
    </row>
    <row r="754" ht="22.5" customHeight="1">
      <c r="A754" s="30"/>
      <c r="B754" s="39"/>
      <c r="C754" s="32"/>
      <c r="D754" s="33"/>
      <c r="E754" s="34"/>
      <c r="F754" s="34"/>
      <c r="G754" s="35"/>
      <c r="H754" s="34"/>
      <c r="I754" s="37"/>
    </row>
    <row r="755" ht="22.5" customHeight="1">
      <c r="A755" s="30"/>
      <c r="B755" s="39"/>
      <c r="C755" s="32"/>
      <c r="D755" s="33"/>
      <c r="E755" s="34"/>
      <c r="F755" s="34"/>
      <c r="G755" s="35"/>
      <c r="H755" s="34"/>
      <c r="I755" s="37"/>
    </row>
    <row r="756" ht="22.5" customHeight="1">
      <c r="A756" s="30"/>
      <c r="B756" s="40"/>
      <c r="C756" s="32"/>
      <c r="D756" s="33"/>
      <c r="E756" s="34"/>
      <c r="F756" s="34"/>
      <c r="G756" s="35"/>
      <c r="H756" s="34"/>
      <c r="I756" s="37"/>
    </row>
    <row r="757" ht="22.5" customHeight="1">
      <c r="A757" s="30"/>
      <c r="B757" s="31"/>
      <c r="C757" s="32"/>
      <c r="D757" s="33"/>
      <c r="E757" s="34"/>
      <c r="F757" s="34"/>
      <c r="G757" s="35"/>
      <c r="H757" s="34"/>
      <c r="I757" s="37"/>
    </row>
    <row r="758" ht="22.5" customHeight="1">
      <c r="A758" s="30"/>
      <c r="B758" s="31"/>
      <c r="C758" s="32"/>
      <c r="D758" s="33"/>
      <c r="E758" s="34"/>
      <c r="F758" s="34"/>
      <c r="G758" s="35"/>
      <c r="H758" s="34"/>
      <c r="I758" s="37"/>
    </row>
    <row r="759" ht="22.5" customHeight="1">
      <c r="A759" s="30"/>
      <c r="B759" s="31"/>
      <c r="C759" s="32"/>
      <c r="D759" s="33"/>
      <c r="E759" s="34"/>
      <c r="F759" s="34"/>
      <c r="G759" s="35"/>
      <c r="H759" s="34"/>
      <c r="I759" s="37"/>
    </row>
    <row r="760" ht="22.5" customHeight="1">
      <c r="A760" s="30"/>
      <c r="B760" s="31"/>
      <c r="C760" s="32"/>
      <c r="D760" s="33"/>
      <c r="E760" s="34"/>
      <c r="F760" s="34"/>
      <c r="G760" s="35"/>
      <c r="H760" s="34"/>
      <c r="I760" s="37"/>
    </row>
    <row r="761" ht="22.5" customHeight="1">
      <c r="A761" s="30"/>
      <c r="B761" s="31"/>
      <c r="C761" s="32"/>
      <c r="D761" s="33"/>
      <c r="E761" s="34"/>
      <c r="F761" s="34"/>
      <c r="G761" s="35"/>
      <c r="H761" s="34"/>
      <c r="I761" s="37"/>
    </row>
    <row r="762" ht="22.5" customHeight="1">
      <c r="A762" s="30"/>
      <c r="B762" s="31"/>
      <c r="C762" s="32"/>
      <c r="D762" s="33"/>
      <c r="E762" s="34"/>
      <c r="F762" s="34"/>
      <c r="G762" s="35"/>
      <c r="H762" s="34"/>
      <c r="I762" s="37"/>
    </row>
    <row r="763" ht="22.5" customHeight="1">
      <c r="A763" s="30"/>
      <c r="B763" s="31"/>
      <c r="C763" s="32"/>
      <c r="D763" s="33"/>
      <c r="E763" s="34"/>
      <c r="F763" s="34"/>
      <c r="G763" s="35"/>
      <c r="H763" s="34"/>
      <c r="I763" s="37"/>
    </row>
    <row r="764" ht="22.5" customHeight="1">
      <c r="A764" s="30"/>
      <c r="B764" s="31"/>
      <c r="C764" s="32"/>
      <c r="D764" s="33"/>
      <c r="E764" s="34"/>
      <c r="F764" s="34"/>
      <c r="G764" s="35"/>
      <c r="H764" s="34"/>
      <c r="I764" s="37"/>
    </row>
    <row r="765" ht="22.5" customHeight="1">
      <c r="A765" s="30"/>
      <c r="B765" s="31"/>
      <c r="C765" s="32"/>
      <c r="D765" s="33"/>
      <c r="E765" s="34"/>
      <c r="F765" s="34"/>
      <c r="G765" s="35"/>
      <c r="H765" s="34"/>
      <c r="I765" s="37"/>
    </row>
    <row r="766" ht="22.5" customHeight="1">
      <c r="A766" s="30"/>
      <c r="B766" s="40"/>
      <c r="C766" s="32"/>
      <c r="D766" s="33"/>
      <c r="E766" s="34"/>
      <c r="F766" s="34"/>
      <c r="G766" s="35"/>
      <c r="H766" s="34"/>
      <c r="I766" s="37"/>
    </row>
    <row r="767" ht="22.5" customHeight="1">
      <c r="A767" s="30"/>
      <c r="B767" s="31"/>
      <c r="C767" s="32"/>
      <c r="D767" s="33"/>
      <c r="E767" s="34"/>
      <c r="F767" s="34"/>
      <c r="G767" s="35"/>
      <c r="H767" s="34"/>
      <c r="I767" s="37"/>
    </row>
    <row r="768" ht="22.5" customHeight="1">
      <c r="A768" s="30"/>
      <c r="B768" s="31"/>
      <c r="C768" s="32"/>
      <c r="D768" s="33"/>
      <c r="E768" s="34"/>
      <c r="F768" s="34"/>
      <c r="G768" s="35"/>
      <c r="H768" s="34"/>
      <c r="I768" s="37"/>
    </row>
    <row r="769" ht="22.5" customHeight="1">
      <c r="A769" s="30"/>
      <c r="B769" s="31"/>
      <c r="C769" s="32"/>
      <c r="D769" s="33"/>
      <c r="E769" s="34"/>
      <c r="F769" s="34"/>
      <c r="G769" s="35"/>
      <c r="H769" s="34"/>
      <c r="I769" s="37"/>
    </row>
    <row r="770" ht="22.5" customHeight="1">
      <c r="A770" s="30"/>
      <c r="B770" s="40"/>
      <c r="C770" s="32"/>
      <c r="D770" s="33"/>
      <c r="E770" s="34"/>
      <c r="F770" s="34"/>
      <c r="G770" s="35"/>
      <c r="H770" s="34"/>
      <c r="I770" s="37"/>
    </row>
    <row r="771" ht="22.5" customHeight="1">
      <c r="A771" s="30"/>
      <c r="B771" s="31"/>
      <c r="C771" s="32"/>
      <c r="D771" s="33"/>
      <c r="E771" s="34"/>
      <c r="F771" s="34"/>
      <c r="G771" s="35"/>
      <c r="H771" s="34"/>
      <c r="I771" s="37"/>
    </row>
    <row r="772" ht="22.5" customHeight="1">
      <c r="A772" s="30"/>
      <c r="B772" s="31"/>
      <c r="C772" s="32"/>
      <c r="D772" s="33"/>
      <c r="E772" s="34"/>
      <c r="F772" s="34"/>
      <c r="G772" s="35"/>
      <c r="H772" s="34"/>
      <c r="I772" s="37"/>
    </row>
    <row r="773" ht="22.5" customHeight="1">
      <c r="A773" s="30"/>
      <c r="B773" s="31"/>
      <c r="C773" s="32"/>
      <c r="D773" s="33"/>
      <c r="E773" s="34"/>
      <c r="F773" s="34"/>
      <c r="G773" s="35"/>
      <c r="H773" s="34"/>
      <c r="I773" s="37"/>
    </row>
    <row r="774" ht="22.5" customHeight="1">
      <c r="A774" s="30"/>
      <c r="B774" s="31"/>
      <c r="C774" s="32"/>
      <c r="D774" s="33"/>
      <c r="E774" s="34"/>
      <c r="F774" s="34"/>
      <c r="G774" s="35"/>
      <c r="H774" s="34"/>
      <c r="I774" s="37"/>
    </row>
    <row r="775" ht="22.5" customHeight="1">
      <c r="A775" s="30"/>
      <c r="B775" s="31"/>
      <c r="C775" s="32"/>
      <c r="D775" s="33"/>
      <c r="E775" s="34"/>
      <c r="F775" s="34"/>
      <c r="G775" s="35"/>
      <c r="H775" s="34"/>
      <c r="I775" s="37"/>
    </row>
    <row r="776" ht="22.5" customHeight="1">
      <c r="A776" s="30"/>
      <c r="B776" s="31"/>
      <c r="C776" s="32"/>
      <c r="D776" s="33"/>
      <c r="E776" s="34"/>
      <c r="F776" s="34"/>
      <c r="G776" s="35"/>
      <c r="H776" s="34"/>
      <c r="I776" s="37"/>
    </row>
    <row r="777" ht="22.5" customHeight="1">
      <c r="A777" s="30"/>
      <c r="B777" s="31"/>
      <c r="C777" s="32"/>
      <c r="D777" s="33"/>
      <c r="E777" s="34"/>
      <c r="F777" s="34"/>
      <c r="G777" s="35"/>
      <c r="H777" s="34"/>
      <c r="I777" s="37"/>
    </row>
    <row r="778" ht="22.5" customHeight="1">
      <c r="A778" s="30"/>
      <c r="B778" s="31"/>
      <c r="C778" s="32"/>
      <c r="D778" s="33"/>
      <c r="E778" s="34"/>
      <c r="F778" s="34"/>
      <c r="G778" s="35"/>
      <c r="H778" s="34"/>
      <c r="I778" s="37"/>
    </row>
    <row r="779" ht="22.5" customHeight="1">
      <c r="A779" s="30"/>
      <c r="B779" s="31"/>
      <c r="C779" s="32"/>
      <c r="D779" s="33"/>
      <c r="E779" s="34"/>
      <c r="F779" s="34"/>
      <c r="G779" s="35"/>
      <c r="H779" s="34"/>
      <c r="I779" s="37"/>
    </row>
    <row r="780" ht="22.5" customHeight="1">
      <c r="A780" s="30"/>
      <c r="B780" s="31"/>
      <c r="C780" s="32"/>
      <c r="D780" s="33"/>
      <c r="E780" s="34"/>
      <c r="F780" s="34"/>
      <c r="G780" s="35"/>
      <c r="H780" s="34"/>
      <c r="I780" s="37"/>
    </row>
    <row r="781" ht="22.5" customHeight="1">
      <c r="A781" s="30"/>
      <c r="B781" s="31"/>
      <c r="C781" s="32"/>
      <c r="D781" s="33"/>
      <c r="E781" s="34"/>
      <c r="F781" s="34"/>
      <c r="G781" s="35"/>
      <c r="H781" s="34"/>
      <c r="I781" s="37"/>
    </row>
    <row r="782" ht="22.5" customHeight="1">
      <c r="A782" s="30"/>
      <c r="B782" s="31"/>
      <c r="C782" s="32"/>
      <c r="D782" s="33"/>
      <c r="E782" s="34"/>
      <c r="F782" s="34"/>
      <c r="G782" s="35"/>
      <c r="H782" s="34"/>
      <c r="I782" s="37"/>
    </row>
    <row r="783" ht="22.5" customHeight="1">
      <c r="A783" s="30"/>
      <c r="B783" s="31"/>
      <c r="C783" s="32"/>
      <c r="D783" s="33"/>
      <c r="E783" s="34"/>
      <c r="F783" s="34"/>
      <c r="G783" s="35"/>
      <c r="H783" s="34"/>
      <c r="I783" s="37"/>
    </row>
    <row r="784" ht="22.5" customHeight="1">
      <c r="A784" s="30"/>
      <c r="B784" s="31"/>
      <c r="C784" s="32"/>
      <c r="D784" s="33"/>
      <c r="E784" s="34"/>
      <c r="F784" s="34"/>
      <c r="G784" s="35"/>
      <c r="H784" s="34"/>
      <c r="I784" s="37"/>
    </row>
    <row r="785" ht="22.5" customHeight="1">
      <c r="A785" s="30"/>
      <c r="B785" s="40"/>
      <c r="C785" s="32"/>
      <c r="D785" s="33"/>
      <c r="E785" s="34"/>
      <c r="F785" s="34"/>
      <c r="G785" s="35"/>
      <c r="H785" s="34"/>
      <c r="I785" s="37"/>
    </row>
    <row r="786" ht="22.5" customHeight="1">
      <c r="A786" s="30"/>
      <c r="B786" s="31"/>
      <c r="C786" s="32"/>
      <c r="D786" s="33"/>
      <c r="E786" s="34"/>
      <c r="F786" s="34"/>
      <c r="G786" s="35"/>
      <c r="H786" s="34"/>
      <c r="I786" s="37"/>
    </row>
    <row r="787" ht="22.5" customHeight="1">
      <c r="A787" s="30"/>
      <c r="B787" s="40"/>
      <c r="C787" s="32"/>
      <c r="D787" s="33"/>
      <c r="E787" s="34"/>
      <c r="F787" s="34"/>
      <c r="G787" s="35"/>
      <c r="H787" s="34"/>
      <c r="I787" s="37"/>
    </row>
    <row r="788" ht="22.5" customHeight="1">
      <c r="A788" s="30"/>
      <c r="B788" s="31"/>
      <c r="C788" s="32"/>
      <c r="D788" s="33"/>
      <c r="E788" s="34"/>
      <c r="F788" s="34"/>
      <c r="G788" s="35"/>
      <c r="H788" s="34"/>
      <c r="I788" s="37"/>
    </row>
    <row r="789" ht="22.5" customHeight="1">
      <c r="A789" s="30"/>
      <c r="B789" s="31"/>
      <c r="C789" s="32"/>
      <c r="D789" s="33"/>
      <c r="E789" s="34"/>
      <c r="F789" s="34"/>
      <c r="G789" s="35"/>
      <c r="H789" s="34"/>
      <c r="I789" s="37"/>
    </row>
    <row r="790" ht="22.5" customHeight="1">
      <c r="A790" s="30"/>
      <c r="B790" s="31"/>
      <c r="C790" s="32"/>
      <c r="D790" s="33"/>
      <c r="E790" s="34"/>
      <c r="F790" s="34"/>
      <c r="G790" s="35"/>
      <c r="H790" s="34"/>
      <c r="I790" s="37"/>
    </row>
    <row r="791" ht="22.5" customHeight="1">
      <c r="A791" s="30"/>
      <c r="B791" s="31"/>
      <c r="C791" s="32"/>
      <c r="D791" s="33"/>
      <c r="E791" s="34"/>
      <c r="F791" s="34"/>
      <c r="G791" s="35"/>
      <c r="H791" s="34"/>
      <c r="I791" s="37"/>
    </row>
    <row r="792" ht="22.5" customHeight="1">
      <c r="A792" s="30"/>
      <c r="B792" s="40"/>
      <c r="C792" s="32"/>
      <c r="D792" s="33"/>
      <c r="E792" s="34"/>
      <c r="F792" s="34"/>
      <c r="G792" s="35"/>
      <c r="H792" s="34"/>
      <c r="I792" s="37"/>
    </row>
    <row r="793" ht="22.5" customHeight="1">
      <c r="A793" s="30"/>
      <c r="B793" s="31"/>
      <c r="C793" s="32"/>
      <c r="D793" s="33"/>
      <c r="E793" s="34"/>
      <c r="F793" s="34"/>
      <c r="G793" s="35"/>
      <c r="H793" s="34"/>
      <c r="I793" s="37"/>
    </row>
    <row r="794" ht="22.5" customHeight="1">
      <c r="A794" s="30"/>
      <c r="B794" s="31"/>
      <c r="C794" s="32"/>
      <c r="D794" s="33"/>
      <c r="E794" s="34"/>
      <c r="F794" s="34"/>
      <c r="G794" s="35"/>
      <c r="H794" s="34"/>
      <c r="I794" s="37"/>
    </row>
    <row r="795" ht="22.5" customHeight="1">
      <c r="A795" s="30"/>
      <c r="B795" s="31"/>
      <c r="C795" s="32"/>
      <c r="D795" s="33"/>
      <c r="E795" s="34"/>
      <c r="F795" s="34"/>
      <c r="G795" s="35"/>
      <c r="H795" s="34"/>
      <c r="I795" s="37"/>
    </row>
    <row r="796" ht="22.5" customHeight="1">
      <c r="A796" s="30"/>
      <c r="B796" s="31"/>
      <c r="C796" s="32"/>
      <c r="D796" s="33"/>
      <c r="E796" s="34"/>
      <c r="F796" s="34"/>
      <c r="G796" s="35"/>
      <c r="H796" s="34"/>
      <c r="I796" s="37"/>
    </row>
    <row r="797" ht="22.5" customHeight="1">
      <c r="A797" s="30"/>
      <c r="B797" s="31"/>
      <c r="C797" s="32"/>
      <c r="D797" s="33"/>
      <c r="E797" s="34"/>
      <c r="F797" s="34"/>
      <c r="G797" s="35"/>
      <c r="H797" s="34"/>
      <c r="I797" s="37"/>
    </row>
    <row r="798" ht="22.5" customHeight="1">
      <c r="A798" s="30"/>
      <c r="B798" s="31"/>
      <c r="C798" s="32"/>
      <c r="D798" s="33"/>
      <c r="E798" s="34"/>
      <c r="F798" s="34"/>
      <c r="G798" s="35"/>
      <c r="H798" s="34"/>
      <c r="I798" s="37"/>
    </row>
    <row r="799" ht="22.5" customHeight="1">
      <c r="A799" s="30"/>
      <c r="B799" s="31"/>
      <c r="C799" s="32"/>
      <c r="D799" s="33"/>
      <c r="E799" s="34"/>
      <c r="F799" s="34"/>
      <c r="G799" s="35"/>
      <c r="H799" s="34"/>
      <c r="I799" s="37"/>
    </row>
    <row r="800" ht="22.5" customHeight="1">
      <c r="A800" s="30"/>
      <c r="B800" s="31"/>
      <c r="C800" s="32"/>
      <c r="D800" s="33"/>
      <c r="E800" s="34"/>
      <c r="F800" s="34"/>
      <c r="G800" s="35"/>
      <c r="H800" s="34"/>
      <c r="I800" s="37"/>
    </row>
    <row r="801" ht="22.5" customHeight="1">
      <c r="A801" s="30"/>
      <c r="B801" s="31"/>
      <c r="C801" s="32"/>
      <c r="D801" s="33"/>
      <c r="E801" s="34"/>
      <c r="F801" s="34"/>
      <c r="G801" s="35"/>
      <c r="H801" s="34"/>
      <c r="I801" s="37"/>
    </row>
    <row r="802" ht="22.5" customHeight="1">
      <c r="A802" s="30"/>
      <c r="B802" s="31"/>
      <c r="C802" s="32"/>
      <c r="D802" s="33"/>
      <c r="E802" s="34"/>
      <c r="F802" s="34"/>
      <c r="G802" s="35"/>
      <c r="H802" s="34"/>
      <c r="I802" s="37"/>
    </row>
    <row r="803" ht="22.5" customHeight="1">
      <c r="A803" s="30"/>
      <c r="B803" s="31"/>
      <c r="C803" s="32"/>
      <c r="D803" s="33"/>
      <c r="E803" s="34"/>
      <c r="F803" s="34"/>
      <c r="G803" s="35"/>
      <c r="H803" s="34"/>
      <c r="I803" s="37"/>
    </row>
    <row r="804" ht="22.5" customHeight="1">
      <c r="A804" s="30"/>
      <c r="B804" s="31"/>
      <c r="C804" s="32"/>
      <c r="D804" s="33"/>
      <c r="E804" s="34"/>
      <c r="F804" s="34"/>
      <c r="G804" s="35"/>
      <c r="H804" s="34"/>
      <c r="I804" s="37"/>
    </row>
    <row r="805" ht="22.5" customHeight="1">
      <c r="A805" s="30"/>
      <c r="B805" s="31"/>
      <c r="C805" s="32"/>
      <c r="D805" s="33"/>
      <c r="E805" s="34"/>
      <c r="F805" s="34"/>
      <c r="G805" s="35"/>
      <c r="H805" s="34"/>
      <c r="I805" s="37"/>
    </row>
    <row r="806" ht="22.5" customHeight="1">
      <c r="A806" s="30"/>
      <c r="B806" s="31"/>
      <c r="C806" s="32"/>
      <c r="D806" s="33"/>
      <c r="E806" s="34"/>
      <c r="F806" s="34"/>
      <c r="G806" s="35"/>
      <c r="H806" s="34"/>
      <c r="I806" s="37"/>
    </row>
    <row r="807" ht="22.5" customHeight="1">
      <c r="A807" s="30"/>
      <c r="B807" s="31"/>
      <c r="C807" s="32"/>
      <c r="D807" s="33"/>
      <c r="E807" s="34"/>
      <c r="F807" s="34"/>
      <c r="G807" s="35"/>
      <c r="H807" s="34"/>
      <c r="I807" s="37"/>
    </row>
    <row r="808" ht="22.5" customHeight="1">
      <c r="A808" s="30"/>
      <c r="B808" s="31"/>
      <c r="C808" s="32"/>
      <c r="D808" s="33"/>
      <c r="E808" s="34"/>
      <c r="F808" s="34"/>
      <c r="G808" s="35"/>
      <c r="H808" s="34"/>
      <c r="I808" s="37"/>
    </row>
    <row r="809" ht="22.5" customHeight="1">
      <c r="A809" s="30"/>
      <c r="B809" s="31"/>
      <c r="C809" s="32"/>
      <c r="D809" s="33"/>
      <c r="E809" s="34"/>
      <c r="F809" s="34"/>
      <c r="G809" s="35"/>
      <c r="H809" s="34"/>
      <c r="I809" s="37"/>
    </row>
    <row r="810" ht="22.5" customHeight="1">
      <c r="A810" s="30"/>
      <c r="B810" s="31"/>
      <c r="C810" s="32"/>
      <c r="D810" s="33"/>
      <c r="E810" s="34"/>
      <c r="F810" s="34"/>
      <c r="G810" s="35"/>
      <c r="H810" s="34"/>
      <c r="I810" s="37"/>
    </row>
    <row r="811" ht="22.5" customHeight="1">
      <c r="A811" s="30"/>
      <c r="B811" s="31"/>
      <c r="C811" s="32"/>
      <c r="D811" s="33"/>
      <c r="E811" s="34"/>
      <c r="F811" s="34"/>
      <c r="G811" s="35"/>
      <c r="H811" s="34"/>
      <c r="I811" s="37"/>
    </row>
    <row r="812" ht="22.5" customHeight="1">
      <c r="A812" s="30"/>
      <c r="B812" s="31"/>
      <c r="C812" s="32"/>
      <c r="D812" s="33"/>
      <c r="E812" s="34"/>
      <c r="F812" s="34"/>
      <c r="G812" s="35"/>
      <c r="H812" s="34"/>
      <c r="I812" s="37"/>
    </row>
    <row r="813" ht="22.5" customHeight="1">
      <c r="A813" s="30"/>
      <c r="B813" s="31"/>
      <c r="C813" s="32"/>
      <c r="D813" s="33"/>
      <c r="E813" s="34"/>
      <c r="F813" s="34"/>
      <c r="G813" s="35"/>
      <c r="H813" s="34"/>
      <c r="I813" s="37"/>
    </row>
    <row r="814" ht="22.5" customHeight="1">
      <c r="A814" s="30"/>
      <c r="B814" s="40"/>
      <c r="C814" s="32"/>
      <c r="D814" s="33"/>
      <c r="E814" s="34"/>
      <c r="F814" s="34"/>
      <c r="G814" s="35"/>
      <c r="H814" s="34"/>
      <c r="I814" s="37"/>
    </row>
    <row r="815" ht="22.5" customHeight="1">
      <c r="A815" s="30"/>
      <c r="B815" s="31"/>
      <c r="C815" s="32"/>
      <c r="D815" s="33"/>
      <c r="E815" s="34"/>
      <c r="F815" s="34"/>
      <c r="G815" s="35"/>
      <c r="H815" s="34"/>
      <c r="I815" s="37"/>
    </row>
    <row r="816" ht="22.5" customHeight="1">
      <c r="A816" s="30"/>
      <c r="B816" s="31"/>
      <c r="C816" s="32"/>
      <c r="D816" s="33"/>
      <c r="E816" s="34"/>
      <c r="F816" s="34"/>
      <c r="G816" s="35"/>
      <c r="H816" s="34"/>
      <c r="I816" s="37"/>
    </row>
    <row r="817" ht="22.5" customHeight="1">
      <c r="A817" s="30"/>
      <c r="B817" s="31"/>
      <c r="C817" s="32"/>
      <c r="D817" s="33"/>
      <c r="E817" s="34"/>
      <c r="F817" s="34"/>
      <c r="G817" s="35"/>
      <c r="H817" s="34"/>
      <c r="I817" s="37"/>
    </row>
    <row r="818" ht="22.5" customHeight="1">
      <c r="A818" s="30"/>
      <c r="B818" s="31"/>
      <c r="C818" s="32"/>
      <c r="D818" s="33"/>
      <c r="E818" s="34"/>
      <c r="F818" s="34"/>
      <c r="G818" s="35"/>
      <c r="H818" s="34"/>
      <c r="I818" s="38"/>
    </row>
    <row r="819" ht="22.5" customHeight="1">
      <c r="A819" s="30"/>
      <c r="B819" s="39"/>
      <c r="C819" s="32"/>
      <c r="D819" s="33"/>
      <c r="E819" s="34"/>
      <c r="F819" s="34"/>
      <c r="G819" s="35"/>
      <c r="H819" s="34"/>
      <c r="I819" s="37"/>
    </row>
    <row r="820" ht="22.5" customHeight="1">
      <c r="A820" s="30"/>
      <c r="B820" s="31"/>
      <c r="C820" s="32"/>
      <c r="D820" s="33"/>
      <c r="E820" s="34"/>
      <c r="F820" s="34"/>
      <c r="G820" s="35"/>
      <c r="H820" s="34"/>
      <c r="I820" s="37"/>
    </row>
    <row r="821" ht="22.5" customHeight="1">
      <c r="A821" s="30"/>
      <c r="B821" s="31"/>
      <c r="C821" s="32"/>
      <c r="D821" s="33"/>
      <c r="E821" s="34"/>
      <c r="F821" s="34"/>
      <c r="G821" s="35"/>
      <c r="H821" s="34"/>
      <c r="I821" s="37"/>
    </row>
    <row r="822" ht="22.5" customHeight="1">
      <c r="A822" s="30"/>
      <c r="B822" s="31"/>
      <c r="C822" s="32"/>
      <c r="D822" s="33"/>
      <c r="E822" s="34"/>
      <c r="F822" s="34"/>
      <c r="G822" s="35"/>
      <c r="H822" s="34"/>
      <c r="I822" s="37"/>
    </row>
    <row r="823" ht="22.5" customHeight="1">
      <c r="A823" s="30"/>
      <c r="B823" s="39"/>
      <c r="C823" s="32"/>
      <c r="D823" s="33"/>
      <c r="E823" s="34"/>
      <c r="F823" s="34"/>
      <c r="G823" s="35"/>
      <c r="H823" s="34"/>
      <c r="I823" s="37"/>
    </row>
    <row r="824" ht="22.5" customHeight="1">
      <c r="A824" s="30"/>
      <c r="B824" s="31"/>
      <c r="C824" s="32"/>
      <c r="D824" s="33"/>
      <c r="E824" s="34"/>
      <c r="F824" s="34"/>
      <c r="G824" s="35"/>
      <c r="H824" s="34"/>
      <c r="I824" s="37"/>
    </row>
    <row r="825" ht="22.5" customHeight="1">
      <c r="A825" s="30"/>
      <c r="B825" s="39"/>
      <c r="C825" s="32"/>
      <c r="D825" s="33"/>
      <c r="E825" s="34"/>
      <c r="F825" s="34"/>
      <c r="G825" s="35"/>
      <c r="H825" s="34"/>
      <c r="I825" s="37"/>
    </row>
    <row r="826" ht="22.5" customHeight="1">
      <c r="A826" s="30"/>
      <c r="B826" s="31"/>
      <c r="C826" s="32"/>
      <c r="D826" s="33"/>
      <c r="E826" s="34"/>
      <c r="F826" s="34"/>
      <c r="G826" s="35"/>
      <c r="H826" s="34"/>
      <c r="I826" s="37"/>
    </row>
    <row r="827" ht="22.5" customHeight="1">
      <c r="A827" s="30"/>
      <c r="B827" s="31"/>
      <c r="C827" s="32"/>
      <c r="D827" s="33"/>
      <c r="E827" s="34"/>
      <c r="F827" s="34"/>
      <c r="G827" s="35"/>
      <c r="H827" s="34"/>
      <c r="I827" s="37"/>
    </row>
    <row r="828" ht="22.5" customHeight="1">
      <c r="A828" s="30"/>
      <c r="B828" s="31"/>
      <c r="C828" s="32"/>
      <c r="D828" s="33"/>
      <c r="E828" s="34"/>
      <c r="F828" s="34"/>
      <c r="G828" s="35"/>
      <c r="H828" s="34"/>
      <c r="I828" s="37"/>
    </row>
    <row r="829" ht="22.5" customHeight="1">
      <c r="A829" s="30"/>
      <c r="B829" s="31"/>
      <c r="C829" s="32"/>
      <c r="D829" s="33"/>
      <c r="E829" s="34"/>
      <c r="F829" s="34"/>
      <c r="G829" s="35"/>
      <c r="H829" s="34"/>
      <c r="I829" s="37"/>
    </row>
    <row r="830" ht="22.5" customHeight="1">
      <c r="A830" s="30"/>
      <c r="B830" s="31"/>
      <c r="C830" s="32"/>
      <c r="D830" s="33"/>
      <c r="E830" s="34"/>
      <c r="F830" s="34"/>
      <c r="G830" s="35"/>
      <c r="H830" s="34"/>
      <c r="I830" s="37"/>
    </row>
    <row r="831" ht="22.5" customHeight="1">
      <c r="A831" s="30"/>
      <c r="B831" s="31"/>
      <c r="C831" s="32"/>
      <c r="D831" s="33"/>
      <c r="E831" s="34"/>
      <c r="F831" s="34"/>
      <c r="G831" s="35"/>
      <c r="H831" s="34"/>
      <c r="I831" s="37"/>
    </row>
    <row r="832" ht="22.5" customHeight="1">
      <c r="A832" s="30"/>
      <c r="B832" s="31"/>
      <c r="C832" s="32"/>
      <c r="D832" s="33"/>
      <c r="E832" s="34"/>
      <c r="F832" s="34"/>
      <c r="G832" s="35"/>
      <c r="H832" s="34"/>
      <c r="I832" s="37"/>
    </row>
    <row r="833" ht="22.5" customHeight="1">
      <c r="A833" s="30"/>
      <c r="B833" s="31"/>
      <c r="C833" s="32"/>
      <c r="D833" s="33"/>
      <c r="E833" s="34"/>
      <c r="F833" s="34"/>
      <c r="G833" s="35"/>
      <c r="H833" s="34"/>
      <c r="I833" s="37"/>
    </row>
    <row r="834" ht="22.5" customHeight="1">
      <c r="A834" s="30"/>
      <c r="B834" s="31"/>
      <c r="C834" s="32"/>
      <c r="D834" s="33"/>
      <c r="E834" s="34"/>
      <c r="F834" s="34"/>
      <c r="G834" s="35"/>
      <c r="H834" s="34"/>
      <c r="I834" s="37"/>
    </row>
    <row r="835" ht="22.5" customHeight="1">
      <c r="A835" s="30"/>
      <c r="B835" s="31"/>
      <c r="C835" s="32"/>
      <c r="D835" s="33"/>
      <c r="E835" s="34"/>
      <c r="F835" s="34"/>
      <c r="G835" s="35"/>
      <c r="H835" s="34"/>
      <c r="I835" s="37"/>
    </row>
    <row r="836" ht="22.5" customHeight="1">
      <c r="A836" s="30"/>
      <c r="B836" s="40"/>
      <c r="C836" s="32"/>
      <c r="D836" s="33"/>
      <c r="E836" s="34"/>
      <c r="F836" s="34"/>
      <c r="G836" s="35"/>
      <c r="H836" s="34"/>
      <c r="I836" s="37"/>
    </row>
    <row r="837" ht="22.5" customHeight="1">
      <c r="A837" s="30"/>
      <c r="B837" s="31"/>
      <c r="C837" s="32"/>
      <c r="D837" s="33"/>
      <c r="E837" s="34"/>
      <c r="F837" s="34"/>
      <c r="G837" s="35"/>
      <c r="H837" s="34"/>
      <c r="I837" s="37"/>
    </row>
    <row r="838" ht="22.5" customHeight="1">
      <c r="A838" s="30"/>
      <c r="B838" s="31"/>
      <c r="C838" s="32"/>
      <c r="D838" s="33"/>
      <c r="E838" s="34"/>
      <c r="F838" s="34"/>
      <c r="G838" s="35"/>
      <c r="H838" s="34"/>
      <c r="I838" s="37"/>
    </row>
    <row r="839" ht="22.5" customHeight="1">
      <c r="A839" s="30"/>
      <c r="B839" s="31"/>
      <c r="C839" s="32"/>
      <c r="D839" s="33"/>
      <c r="E839" s="34"/>
      <c r="F839" s="34"/>
      <c r="G839" s="35"/>
      <c r="H839" s="34"/>
      <c r="I839" s="37"/>
    </row>
    <row r="840" ht="22.5" customHeight="1">
      <c r="A840" s="30"/>
      <c r="B840" s="31"/>
      <c r="C840" s="32"/>
      <c r="D840" s="33"/>
      <c r="E840" s="34"/>
      <c r="F840" s="34"/>
      <c r="G840" s="35"/>
      <c r="H840" s="34"/>
      <c r="I840" s="37"/>
    </row>
    <row r="841" ht="22.5" customHeight="1">
      <c r="A841" s="30"/>
      <c r="B841" s="31"/>
      <c r="C841" s="32"/>
      <c r="D841" s="33"/>
      <c r="E841" s="34"/>
      <c r="F841" s="34"/>
      <c r="G841" s="35"/>
      <c r="H841" s="34"/>
      <c r="I841" s="37"/>
    </row>
    <row r="842" ht="22.5" customHeight="1">
      <c r="A842" s="30"/>
      <c r="B842" s="31"/>
      <c r="C842" s="32"/>
      <c r="D842" s="33"/>
      <c r="E842" s="34"/>
      <c r="F842" s="34"/>
      <c r="G842" s="35"/>
      <c r="H842" s="34"/>
      <c r="I842" s="37"/>
    </row>
    <row r="843" ht="22.5" customHeight="1">
      <c r="A843" s="30"/>
      <c r="B843" s="39"/>
      <c r="C843" s="32"/>
      <c r="D843" s="33"/>
      <c r="E843" s="34"/>
      <c r="F843" s="34"/>
      <c r="G843" s="35"/>
      <c r="H843" s="34"/>
      <c r="I843" s="37"/>
    </row>
    <row r="844" ht="22.5" customHeight="1">
      <c r="A844" s="30"/>
      <c r="B844" s="39"/>
      <c r="C844" s="32"/>
      <c r="D844" s="33"/>
      <c r="E844" s="34"/>
      <c r="F844" s="34"/>
      <c r="G844" s="35"/>
      <c r="H844" s="34"/>
      <c r="I844" s="37"/>
    </row>
    <row r="845" ht="22.5" customHeight="1">
      <c r="A845" s="30"/>
      <c r="B845" s="39"/>
      <c r="C845" s="32"/>
      <c r="D845" s="33"/>
      <c r="E845" s="34"/>
      <c r="F845" s="34"/>
      <c r="G845" s="35"/>
      <c r="H845" s="34"/>
      <c r="I845" s="37"/>
    </row>
    <row r="846" ht="22.5" customHeight="1">
      <c r="A846" s="30"/>
      <c r="B846" s="40"/>
      <c r="C846" s="32"/>
      <c r="D846" s="33"/>
      <c r="E846" s="34"/>
      <c r="F846" s="34"/>
      <c r="G846" s="35"/>
      <c r="H846" s="34"/>
      <c r="I846" s="37"/>
    </row>
    <row r="847" ht="22.5" customHeight="1">
      <c r="A847" s="30"/>
      <c r="B847" s="31"/>
      <c r="C847" s="32"/>
      <c r="D847" s="33"/>
      <c r="E847" s="34"/>
      <c r="F847" s="34"/>
      <c r="G847" s="35"/>
      <c r="H847" s="34"/>
      <c r="I847" s="37"/>
    </row>
    <row r="848" ht="22.5" customHeight="1">
      <c r="A848" s="30"/>
      <c r="B848" s="31"/>
      <c r="C848" s="32"/>
      <c r="D848" s="33"/>
      <c r="E848" s="34"/>
      <c r="F848" s="34"/>
      <c r="G848" s="35"/>
      <c r="H848" s="34"/>
      <c r="I848" s="37"/>
    </row>
    <row r="849" ht="22.5" customHeight="1">
      <c r="A849" s="30"/>
      <c r="B849" s="31"/>
      <c r="C849" s="32"/>
      <c r="D849" s="33"/>
      <c r="E849" s="34"/>
      <c r="F849" s="34"/>
      <c r="G849" s="35"/>
      <c r="H849" s="34"/>
      <c r="I849" s="37"/>
    </row>
    <row r="850" ht="22.5" customHeight="1">
      <c r="A850" s="30"/>
      <c r="B850" s="31"/>
      <c r="C850" s="32"/>
      <c r="D850" s="33"/>
      <c r="E850" s="34"/>
      <c r="F850" s="34"/>
      <c r="G850" s="35"/>
      <c r="H850" s="34"/>
      <c r="I850" s="37"/>
    </row>
    <row r="851" ht="22.5" customHeight="1">
      <c r="A851" s="30"/>
      <c r="B851" s="31"/>
      <c r="C851" s="32"/>
      <c r="D851" s="33"/>
      <c r="E851" s="34"/>
      <c r="F851" s="34"/>
      <c r="G851" s="35"/>
      <c r="H851" s="34"/>
      <c r="I851" s="37"/>
    </row>
    <row r="852" ht="22.5" customHeight="1">
      <c r="A852" s="30"/>
      <c r="B852" s="31"/>
      <c r="C852" s="32"/>
      <c r="D852" s="33"/>
      <c r="E852" s="34"/>
      <c r="F852" s="34"/>
      <c r="G852" s="35"/>
      <c r="H852" s="34"/>
      <c r="I852" s="37"/>
    </row>
    <row r="853" ht="22.5" customHeight="1">
      <c r="A853" s="30"/>
      <c r="B853" s="31"/>
      <c r="C853" s="32"/>
      <c r="D853" s="33"/>
      <c r="E853" s="34"/>
      <c r="F853" s="34"/>
      <c r="G853" s="35"/>
      <c r="H853" s="34"/>
      <c r="I853" s="37"/>
    </row>
    <row r="854" ht="22.5" customHeight="1">
      <c r="A854" s="30"/>
      <c r="B854" s="31"/>
      <c r="C854" s="32"/>
      <c r="D854" s="33"/>
      <c r="E854" s="34"/>
      <c r="F854" s="34"/>
      <c r="G854" s="35"/>
      <c r="H854" s="34"/>
      <c r="I854" s="37"/>
    </row>
    <row r="855" ht="22.5" customHeight="1">
      <c r="A855" s="30"/>
      <c r="B855" s="31"/>
      <c r="C855" s="32"/>
      <c r="D855" s="33"/>
      <c r="E855" s="34"/>
      <c r="F855" s="34"/>
      <c r="G855" s="35"/>
      <c r="H855" s="34"/>
      <c r="I855" s="37"/>
    </row>
    <row r="856" ht="22.5" customHeight="1">
      <c r="A856" s="30"/>
      <c r="B856" s="40"/>
      <c r="C856" s="32"/>
      <c r="D856" s="33"/>
      <c r="E856" s="34"/>
      <c r="F856" s="34"/>
      <c r="G856" s="35"/>
      <c r="H856" s="34"/>
      <c r="I856" s="37"/>
    </row>
    <row r="857" ht="22.5" customHeight="1">
      <c r="A857" s="30"/>
      <c r="B857" s="31"/>
      <c r="C857" s="32"/>
      <c r="D857" s="33"/>
      <c r="E857" s="34"/>
      <c r="F857" s="34"/>
      <c r="G857" s="35"/>
      <c r="H857" s="34"/>
      <c r="I857" s="37"/>
    </row>
    <row r="858" ht="22.5" customHeight="1">
      <c r="A858" s="30"/>
      <c r="B858" s="31"/>
      <c r="C858" s="32"/>
      <c r="D858" s="33"/>
      <c r="E858" s="34"/>
      <c r="F858" s="34"/>
      <c r="G858" s="35"/>
      <c r="H858" s="34"/>
      <c r="I858" s="37"/>
    </row>
    <row r="859" ht="22.5" customHeight="1">
      <c r="A859" s="30"/>
      <c r="B859" s="31"/>
      <c r="C859" s="32"/>
      <c r="D859" s="33"/>
      <c r="E859" s="34"/>
      <c r="F859" s="34"/>
      <c r="G859" s="35"/>
      <c r="H859" s="34"/>
      <c r="I859" s="37"/>
    </row>
    <row r="860" ht="22.5" customHeight="1">
      <c r="A860" s="30"/>
      <c r="B860" s="40"/>
      <c r="C860" s="32"/>
      <c r="D860" s="33"/>
      <c r="E860" s="34"/>
      <c r="F860" s="34"/>
      <c r="G860" s="35"/>
      <c r="H860" s="34"/>
      <c r="I860" s="37"/>
    </row>
    <row r="861" ht="22.5" customHeight="1">
      <c r="A861" s="30"/>
      <c r="B861" s="31"/>
      <c r="C861" s="32"/>
      <c r="D861" s="33"/>
      <c r="E861" s="34"/>
      <c r="F861" s="34"/>
      <c r="G861" s="35"/>
      <c r="H861" s="34"/>
      <c r="I861" s="37"/>
    </row>
    <row r="862" ht="22.5" customHeight="1">
      <c r="A862" s="30"/>
      <c r="B862" s="31"/>
      <c r="C862" s="32"/>
      <c r="D862" s="33"/>
      <c r="E862" s="34"/>
      <c r="F862" s="34"/>
      <c r="G862" s="35"/>
      <c r="H862" s="34"/>
      <c r="I862" s="37"/>
    </row>
    <row r="863" ht="22.5" customHeight="1">
      <c r="A863" s="30"/>
      <c r="B863" s="31"/>
      <c r="C863" s="32"/>
      <c r="D863" s="33"/>
      <c r="E863" s="34"/>
      <c r="F863" s="34"/>
      <c r="G863" s="35"/>
      <c r="H863" s="34"/>
      <c r="I863" s="37"/>
    </row>
    <row r="864" ht="22.5" customHeight="1">
      <c r="A864" s="30"/>
      <c r="B864" s="31"/>
      <c r="C864" s="32"/>
      <c r="D864" s="33"/>
      <c r="E864" s="34"/>
      <c r="F864" s="34"/>
      <c r="G864" s="35"/>
      <c r="H864" s="34"/>
      <c r="I864" s="37"/>
    </row>
    <row r="865" ht="22.5" customHeight="1">
      <c r="A865" s="30"/>
      <c r="B865" s="31"/>
      <c r="C865" s="32"/>
      <c r="D865" s="33"/>
      <c r="E865" s="34"/>
      <c r="F865" s="34"/>
      <c r="G865" s="35"/>
      <c r="H865" s="34"/>
      <c r="I865" s="37"/>
    </row>
    <row r="866" ht="22.5" customHeight="1">
      <c r="A866" s="30"/>
      <c r="B866" s="31"/>
      <c r="C866" s="32"/>
      <c r="D866" s="33"/>
      <c r="E866" s="34"/>
      <c r="F866" s="34"/>
      <c r="G866" s="35"/>
      <c r="H866" s="34"/>
      <c r="I866" s="37"/>
    </row>
    <row r="867" ht="22.5" customHeight="1">
      <c r="A867" s="30"/>
      <c r="B867" s="31"/>
      <c r="C867" s="32"/>
      <c r="D867" s="33"/>
      <c r="E867" s="34"/>
      <c r="F867" s="34"/>
      <c r="G867" s="35"/>
      <c r="H867" s="34"/>
      <c r="I867" s="37"/>
    </row>
    <row r="868" ht="22.5" customHeight="1">
      <c r="A868" s="30"/>
      <c r="B868" s="31"/>
      <c r="C868" s="32"/>
      <c r="D868" s="33"/>
      <c r="E868" s="34"/>
      <c r="F868" s="34"/>
      <c r="G868" s="35"/>
      <c r="H868" s="34"/>
      <c r="I868" s="37"/>
    </row>
    <row r="869" ht="22.5" customHeight="1">
      <c r="A869" s="30"/>
      <c r="B869" s="31"/>
      <c r="C869" s="32"/>
      <c r="D869" s="33"/>
      <c r="E869" s="34"/>
      <c r="F869" s="34"/>
      <c r="G869" s="35"/>
      <c r="H869" s="34"/>
      <c r="I869" s="37"/>
    </row>
    <row r="870" ht="22.5" customHeight="1">
      <c r="A870" s="30"/>
      <c r="B870" s="31"/>
      <c r="C870" s="32"/>
      <c r="D870" s="33"/>
      <c r="E870" s="34"/>
      <c r="F870" s="34"/>
      <c r="G870" s="35"/>
      <c r="H870" s="34"/>
      <c r="I870" s="37"/>
    </row>
    <row r="871" ht="22.5" customHeight="1">
      <c r="A871" s="30"/>
      <c r="B871" s="31"/>
      <c r="C871" s="32"/>
      <c r="D871" s="33"/>
      <c r="E871" s="34"/>
      <c r="F871" s="34"/>
      <c r="G871" s="35"/>
      <c r="H871" s="34"/>
      <c r="I871" s="37"/>
    </row>
    <row r="872" ht="22.5" customHeight="1">
      <c r="A872" s="30"/>
      <c r="B872" s="31"/>
      <c r="C872" s="32"/>
      <c r="D872" s="33"/>
      <c r="E872" s="34"/>
      <c r="F872" s="34"/>
      <c r="G872" s="35"/>
      <c r="H872" s="34"/>
      <c r="I872" s="37"/>
    </row>
    <row r="873" ht="22.5" customHeight="1">
      <c r="A873" s="30"/>
      <c r="B873" s="31"/>
      <c r="C873" s="32"/>
      <c r="D873" s="33"/>
      <c r="E873" s="34"/>
      <c r="F873" s="34"/>
      <c r="G873" s="35"/>
      <c r="H873" s="34"/>
      <c r="I873" s="37"/>
    </row>
    <row r="874" ht="22.5" customHeight="1">
      <c r="A874" s="30"/>
      <c r="B874" s="31"/>
      <c r="C874" s="32"/>
      <c r="D874" s="33"/>
      <c r="E874" s="34"/>
      <c r="F874" s="34"/>
      <c r="G874" s="35"/>
      <c r="H874" s="34"/>
      <c r="I874" s="37"/>
    </row>
    <row r="875" ht="22.5" customHeight="1">
      <c r="A875" s="30"/>
      <c r="B875" s="40"/>
      <c r="C875" s="32"/>
      <c r="D875" s="33"/>
      <c r="E875" s="34"/>
      <c r="F875" s="34"/>
      <c r="G875" s="35"/>
      <c r="H875" s="34"/>
      <c r="I875" s="37"/>
    </row>
    <row r="876" ht="22.5" customHeight="1">
      <c r="A876" s="30"/>
      <c r="B876" s="31"/>
      <c r="C876" s="32"/>
      <c r="D876" s="33"/>
      <c r="E876" s="34"/>
      <c r="F876" s="34"/>
      <c r="G876" s="35"/>
      <c r="H876" s="34"/>
      <c r="I876" s="37"/>
    </row>
    <row r="877" ht="22.5" customHeight="1">
      <c r="A877" s="30"/>
      <c r="B877" s="40"/>
      <c r="C877" s="32"/>
      <c r="D877" s="33"/>
      <c r="E877" s="34"/>
      <c r="F877" s="34"/>
      <c r="G877" s="35"/>
      <c r="H877" s="34"/>
      <c r="I877" s="37"/>
    </row>
    <row r="878" ht="22.5" customHeight="1">
      <c r="A878" s="30"/>
      <c r="B878" s="31"/>
      <c r="C878" s="32"/>
      <c r="D878" s="33"/>
      <c r="E878" s="34"/>
      <c r="F878" s="34"/>
      <c r="G878" s="35"/>
      <c r="H878" s="34"/>
      <c r="I878" s="37"/>
    </row>
    <row r="879" ht="22.5" customHeight="1">
      <c r="A879" s="30"/>
      <c r="B879" s="31"/>
      <c r="C879" s="32"/>
      <c r="D879" s="33"/>
      <c r="E879" s="34"/>
      <c r="F879" s="34"/>
      <c r="G879" s="35"/>
      <c r="H879" s="34"/>
      <c r="I879" s="37"/>
    </row>
    <row r="880" ht="22.5" customHeight="1">
      <c r="A880" s="30"/>
      <c r="B880" s="31"/>
      <c r="C880" s="32"/>
      <c r="D880" s="33"/>
      <c r="E880" s="34"/>
      <c r="F880" s="34"/>
      <c r="G880" s="35"/>
      <c r="H880" s="34"/>
      <c r="I880" s="37"/>
    </row>
    <row r="881" ht="22.5" customHeight="1">
      <c r="A881" s="30"/>
      <c r="B881" s="31"/>
      <c r="C881" s="32"/>
      <c r="D881" s="33"/>
      <c r="E881" s="34"/>
      <c r="F881" s="34"/>
      <c r="G881" s="35"/>
      <c r="H881" s="34"/>
      <c r="I881" s="37"/>
    </row>
    <row r="882" ht="22.5" customHeight="1">
      <c r="A882" s="30"/>
      <c r="B882" s="40"/>
      <c r="C882" s="32"/>
      <c r="D882" s="33"/>
      <c r="E882" s="34"/>
      <c r="F882" s="34"/>
      <c r="G882" s="35"/>
      <c r="H882" s="34"/>
      <c r="I882" s="37"/>
    </row>
    <row r="883" ht="22.5" customHeight="1">
      <c r="A883" s="30"/>
      <c r="B883" s="31"/>
      <c r="C883" s="32"/>
      <c r="D883" s="33"/>
      <c r="E883" s="34"/>
      <c r="F883" s="34"/>
      <c r="G883" s="35"/>
      <c r="H883" s="34"/>
      <c r="I883" s="37"/>
    </row>
    <row r="884" ht="22.5" customHeight="1">
      <c r="A884" s="30"/>
      <c r="B884" s="31"/>
      <c r="C884" s="32"/>
      <c r="D884" s="33"/>
      <c r="E884" s="34"/>
      <c r="F884" s="34"/>
      <c r="G884" s="35"/>
      <c r="H884" s="34"/>
      <c r="I884" s="37"/>
    </row>
    <row r="885" ht="22.5" customHeight="1">
      <c r="A885" s="30"/>
      <c r="B885" s="31"/>
      <c r="C885" s="32"/>
      <c r="D885" s="33"/>
      <c r="E885" s="34"/>
      <c r="F885" s="34"/>
      <c r="G885" s="35"/>
      <c r="H885" s="34"/>
      <c r="I885" s="37"/>
    </row>
    <row r="886" ht="22.5" customHeight="1">
      <c r="A886" s="30"/>
      <c r="B886" s="31"/>
      <c r="C886" s="32"/>
      <c r="D886" s="33"/>
      <c r="E886" s="34"/>
      <c r="F886" s="34"/>
      <c r="G886" s="35"/>
      <c r="H886" s="34"/>
      <c r="I886" s="37"/>
    </row>
    <row r="887" ht="22.5" customHeight="1">
      <c r="A887" s="30"/>
      <c r="B887" s="31"/>
      <c r="C887" s="32"/>
      <c r="D887" s="33"/>
      <c r="E887" s="34"/>
      <c r="F887" s="34"/>
      <c r="G887" s="35"/>
      <c r="H887" s="34"/>
      <c r="I887" s="37"/>
    </row>
    <row r="888" ht="22.5" customHeight="1">
      <c r="A888" s="30"/>
      <c r="B888" s="31"/>
      <c r="C888" s="32"/>
      <c r="D888" s="33"/>
      <c r="E888" s="34"/>
      <c r="F888" s="34"/>
      <c r="G888" s="35"/>
      <c r="H888" s="34"/>
      <c r="I888" s="37"/>
    </row>
    <row r="889" ht="22.5" customHeight="1">
      <c r="A889" s="30"/>
      <c r="B889" s="31"/>
      <c r="C889" s="32"/>
      <c r="D889" s="33"/>
      <c r="E889" s="34"/>
      <c r="F889" s="34"/>
      <c r="G889" s="35"/>
      <c r="H889" s="34"/>
      <c r="I889" s="37"/>
    </row>
    <row r="890" ht="22.5" customHeight="1">
      <c r="A890" s="30"/>
      <c r="B890" s="31"/>
      <c r="C890" s="32"/>
      <c r="D890" s="33"/>
      <c r="E890" s="34"/>
      <c r="F890" s="34"/>
      <c r="G890" s="35"/>
      <c r="H890" s="34"/>
      <c r="I890" s="37"/>
    </row>
    <row r="891" ht="22.5" customHeight="1">
      <c r="A891" s="30"/>
      <c r="B891" s="31"/>
      <c r="C891" s="32"/>
      <c r="D891" s="33"/>
      <c r="E891" s="34"/>
      <c r="F891" s="34"/>
      <c r="G891" s="35"/>
      <c r="H891" s="34"/>
      <c r="I891" s="37"/>
    </row>
    <row r="892" ht="22.5" customHeight="1">
      <c r="A892" s="30"/>
      <c r="B892" s="31"/>
      <c r="C892" s="32"/>
      <c r="D892" s="33"/>
      <c r="E892" s="34"/>
      <c r="F892" s="34"/>
      <c r="G892" s="35"/>
      <c r="H892" s="34"/>
      <c r="I892" s="37"/>
    </row>
    <row r="893" ht="22.5" customHeight="1">
      <c r="A893" s="30"/>
      <c r="B893" s="31"/>
      <c r="C893" s="32"/>
      <c r="D893" s="33"/>
      <c r="E893" s="34"/>
      <c r="F893" s="34"/>
      <c r="G893" s="35"/>
      <c r="H893" s="34"/>
      <c r="I893" s="37"/>
    </row>
    <row r="894" ht="22.5" customHeight="1">
      <c r="A894" s="30"/>
      <c r="B894" s="31"/>
      <c r="C894" s="32"/>
      <c r="D894" s="33"/>
      <c r="E894" s="34"/>
      <c r="F894" s="34"/>
      <c r="G894" s="35"/>
      <c r="H894" s="34"/>
      <c r="I894" s="37"/>
    </row>
    <row r="895" ht="22.5" customHeight="1">
      <c r="A895" s="30"/>
      <c r="B895" s="31"/>
      <c r="C895" s="32"/>
      <c r="D895" s="33"/>
      <c r="E895" s="34"/>
      <c r="F895" s="34"/>
      <c r="G895" s="35"/>
      <c r="H895" s="34"/>
      <c r="I895" s="37"/>
    </row>
    <row r="896" ht="22.5" customHeight="1">
      <c r="A896" s="30"/>
      <c r="B896" s="31"/>
      <c r="C896" s="32"/>
      <c r="D896" s="33"/>
      <c r="E896" s="34"/>
      <c r="F896" s="34"/>
      <c r="G896" s="35"/>
      <c r="H896" s="34"/>
      <c r="I896" s="37"/>
    </row>
    <row r="897" ht="22.5" customHeight="1">
      <c r="A897" s="30"/>
      <c r="B897" s="31"/>
      <c r="C897" s="32"/>
      <c r="D897" s="33"/>
      <c r="E897" s="34"/>
      <c r="F897" s="34"/>
      <c r="G897" s="35"/>
      <c r="H897" s="34"/>
      <c r="I897" s="37"/>
    </row>
    <row r="898" ht="22.5" customHeight="1">
      <c r="A898" s="30"/>
      <c r="B898" s="31"/>
      <c r="C898" s="32"/>
      <c r="D898" s="33"/>
      <c r="E898" s="34"/>
      <c r="F898" s="34"/>
      <c r="G898" s="35"/>
      <c r="H898" s="34"/>
      <c r="I898" s="37"/>
    </row>
    <row r="899" ht="22.5" customHeight="1">
      <c r="A899" s="30"/>
      <c r="B899" s="31"/>
      <c r="C899" s="32"/>
      <c r="D899" s="33"/>
      <c r="E899" s="34"/>
      <c r="F899" s="34"/>
      <c r="G899" s="35"/>
      <c r="H899" s="34"/>
      <c r="I899" s="37"/>
    </row>
    <row r="900" ht="22.5" customHeight="1">
      <c r="A900" s="30"/>
      <c r="B900" s="31"/>
      <c r="C900" s="32"/>
      <c r="D900" s="33"/>
      <c r="E900" s="34"/>
      <c r="F900" s="34"/>
      <c r="G900" s="35"/>
      <c r="H900" s="34"/>
      <c r="I900" s="37"/>
    </row>
    <row r="901" ht="22.5" customHeight="1">
      <c r="A901" s="30"/>
      <c r="B901" s="31"/>
      <c r="C901" s="32"/>
      <c r="D901" s="33"/>
      <c r="E901" s="34"/>
      <c r="F901" s="34"/>
      <c r="G901" s="35"/>
      <c r="H901" s="34"/>
      <c r="I901" s="37"/>
    </row>
    <row r="902" ht="22.5" customHeight="1">
      <c r="A902" s="30"/>
      <c r="B902" s="31"/>
      <c r="C902" s="32"/>
      <c r="D902" s="33"/>
      <c r="E902" s="34"/>
      <c r="F902" s="34"/>
      <c r="G902" s="35"/>
      <c r="H902" s="34"/>
      <c r="I902" s="37"/>
    </row>
    <row r="903" ht="22.5" customHeight="1">
      <c r="A903" s="30"/>
      <c r="B903" s="31"/>
      <c r="C903" s="32"/>
      <c r="D903" s="33"/>
      <c r="E903" s="34"/>
      <c r="F903" s="34"/>
      <c r="G903" s="35"/>
      <c r="H903" s="34"/>
      <c r="I903" s="37"/>
    </row>
    <row r="904" ht="22.5" customHeight="1">
      <c r="A904" s="30"/>
      <c r="B904" s="40"/>
      <c r="C904" s="32"/>
      <c r="D904" s="33"/>
      <c r="E904" s="34"/>
      <c r="F904" s="34"/>
      <c r="G904" s="35"/>
      <c r="H904" s="34"/>
      <c r="I904" s="37"/>
    </row>
    <row r="905" ht="22.5" customHeight="1">
      <c r="A905" s="30"/>
      <c r="B905" s="31"/>
      <c r="C905" s="32"/>
      <c r="D905" s="33"/>
      <c r="E905" s="34"/>
      <c r="F905" s="34"/>
      <c r="G905" s="35"/>
      <c r="H905" s="34"/>
      <c r="I905" s="37"/>
    </row>
    <row r="906" ht="22.5" customHeight="1">
      <c r="A906" s="30"/>
      <c r="B906" s="31"/>
      <c r="C906" s="32"/>
      <c r="D906" s="33"/>
      <c r="E906" s="34"/>
      <c r="F906" s="34"/>
      <c r="G906" s="35"/>
      <c r="H906" s="34"/>
      <c r="I906" s="37"/>
    </row>
    <row r="907" ht="22.5" customHeight="1">
      <c r="A907" s="30"/>
      <c r="B907" s="31"/>
      <c r="C907" s="32"/>
      <c r="D907" s="33"/>
      <c r="E907" s="34"/>
      <c r="F907" s="34"/>
      <c r="G907" s="35"/>
      <c r="H907" s="34"/>
      <c r="I907" s="37"/>
    </row>
    <row r="908" ht="22.5" customHeight="1">
      <c r="A908" s="30"/>
      <c r="B908" s="31"/>
      <c r="C908" s="32"/>
      <c r="D908" s="33"/>
      <c r="E908" s="34"/>
      <c r="F908" s="34"/>
      <c r="G908" s="35"/>
      <c r="H908" s="34"/>
      <c r="I908" s="38"/>
    </row>
    <row r="909" ht="22.5" customHeight="1">
      <c r="A909" s="30"/>
      <c r="B909" s="39"/>
      <c r="C909" s="32"/>
      <c r="D909" s="33"/>
      <c r="E909" s="34"/>
      <c r="F909" s="34"/>
      <c r="G909" s="35"/>
      <c r="H909" s="34"/>
      <c r="I909" s="37"/>
    </row>
    <row r="910" ht="22.5" customHeight="1">
      <c r="A910" s="30"/>
      <c r="B910" s="31"/>
      <c r="C910" s="32"/>
      <c r="D910" s="33"/>
      <c r="E910" s="34"/>
      <c r="F910" s="34"/>
      <c r="G910" s="35"/>
      <c r="H910" s="34"/>
      <c r="I910" s="37"/>
    </row>
    <row r="911" ht="22.5" customHeight="1">
      <c r="A911" s="30"/>
      <c r="B911" s="31"/>
      <c r="C911" s="32"/>
      <c r="D911" s="33"/>
      <c r="E911" s="34"/>
      <c r="F911" s="34"/>
      <c r="G911" s="35"/>
      <c r="H911" s="34"/>
      <c r="I911" s="37"/>
    </row>
    <row r="912" ht="22.5" customHeight="1">
      <c r="A912" s="30"/>
      <c r="B912" s="31"/>
      <c r="C912" s="32"/>
      <c r="D912" s="33"/>
      <c r="E912" s="34"/>
      <c r="F912" s="34"/>
      <c r="G912" s="35"/>
      <c r="H912" s="34"/>
      <c r="I912" s="37"/>
    </row>
    <row r="913" ht="22.5" customHeight="1">
      <c r="A913" s="30"/>
      <c r="B913" s="39"/>
      <c r="C913" s="32"/>
      <c r="D913" s="33"/>
      <c r="E913" s="34"/>
      <c r="F913" s="34"/>
      <c r="G913" s="35"/>
      <c r="H913" s="34"/>
      <c r="I913" s="37"/>
    </row>
    <row r="914" ht="22.5" customHeight="1">
      <c r="A914" s="30"/>
      <c r="B914" s="31"/>
      <c r="C914" s="32"/>
      <c r="D914" s="33"/>
      <c r="E914" s="34"/>
      <c r="F914" s="34"/>
      <c r="G914" s="35"/>
      <c r="H914" s="34"/>
      <c r="I914" s="37"/>
    </row>
    <row r="915" ht="22.5" customHeight="1">
      <c r="A915" s="30"/>
      <c r="B915" s="39"/>
      <c r="C915" s="32"/>
      <c r="D915" s="33"/>
      <c r="E915" s="34"/>
      <c r="F915" s="34"/>
      <c r="G915" s="35"/>
      <c r="H915" s="34"/>
      <c r="I915" s="37"/>
    </row>
    <row r="916" ht="22.5" customHeight="1">
      <c r="A916" s="30"/>
      <c r="B916" s="31"/>
      <c r="C916" s="32"/>
      <c r="D916" s="33"/>
      <c r="E916" s="34"/>
      <c r="F916" s="34"/>
      <c r="G916" s="35"/>
      <c r="H916" s="34"/>
      <c r="I916" s="37"/>
    </row>
    <row r="917" ht="22.5" customHeight="1">
      <c r="A917" s="30"/>
      <c r="B917" s="31"/>
      <c r="C917" s="32"/>
      <c r="D917" s="33"/>
      <c r="E917" s="34"/>
      <c r="F917" s="34"/>
      <c r="G917" s="35"/>
      <c r="H917" s="34"/>
      <c r="I917" s="37"/>
    </row>
    <row r="918" ht="22.5" customHeight="1">
      <c r="A918" s="30"/>
      <c r="B918" s="31"/>
      <c r="C918" s="32"/>
      <c r="D918" s="33"/>
      <c r="E918" s="34"/>
      <c r="F918" s="34"/>
      <c r="G918" s="35"/>
      <c r="H918" s="34"/>
      <c r="I918" s="37"/>
    </row>
    <row r="919" ht="22.5" customHeight="1">
      <c r="A919" s="30"/>
      <c r="B919" s="31"/>
      <c r="C919" s="32"/>
      <c r="D919" s="33"/>
      <c r="E919" s="34"/>
      <c r="F919" s="34"/>
      <c r="G919" s="35"/>
      <c r="H919" s="34"/>
      <c r="I919" s="37"/>
    </row>
    <row r="920" ht="22.5" customHeight="1">
      <c r="A920" s="30"/>
      <c r="B920" s="31"/>
      <c r="C920" s="32"/>
      <c r="D920" s="33"/>
      <c r="E920" s="34"/>
      <c r="F920" s="34"/>
      <c r="G920" s="35"/>
      <c r="H920" s="34"/>
      <c r="I920" s="37"/>
    </row>
    <row r="921" ht="22.5" customHeight="1">
      <c r="A921" s="30"/>
      <c r="B921" s="31"/>
      <c r="C921" s="32"/>
      <c r="D921" s="33"/>
      <c r="E921" s="34"/>
      <c r="F921" s="34"/>
      <c r="G921" s="35"/>
      <c r="H921" s="34"/>
      <c r="I921" s="37"/>
    </row>
    <row r="922" ht="22.5" customHeight="1">
      <c r="A922" s="30"/>
      <c r="B922" s="31"/>
      <c r="C922" s="32"/>
      <c r="D922" s="33"/>
      <c r="E922" s="34"/>
      <c r="F922" s="34"/>
      <c r="G922" s="35"/>
      <c r="H922" s="34"/>
      <c r="I922" s="37"/>
    </row>
    <row r="923" ht="22.5" customHeight="1">
      <c r="A923" s="30"/>
      <c r="B923" s="31"/>
      <c r="C923" s="32"/>
      <c r="D923" s="33"/>
      <c r="E923" s="34"/>
      <c r="F923" s="34"/>
      <c r="G923" s="35"/>
      <c r="H923" s="34"/>
      <c r="I923" s="37"/>
    </row>
    <row r="924" ht="22.5" customHeight="1">
      <c r="A924" s="30"/>
      <c r="B924" s="31"/>
      <c r="C924" s="32"/>
      <c r="D924" s="33"/>
      <c r="E924" s="34"/>
      <c r="F924" s="34"/>
      <c r="G924" s="35"/>
      <c r="H924" s="34"/>
      <c r="I924" s="37"/>
    </row>
    <row r="925" ht="22.5" customHeight="1">
      <c r="A925" s="30"/>
      <c r="B925" s="31"/>
      <c r="C925" s="32"/>
      <c r="D925" s="33"/>
      <c r="E925" s="34"/>
      <c r="F925" s="34"/>
      <c r="G925" s="35"/>
      <c r="H925" s="34"/>
      <c r="I925" s="37"/>
    </row>
    <row r="926" ht="22.5" customHeight="1">
      <c r="A926" s="30"/>
      <c r="B926" s="40"/>
      <c r="C926" s="32"/>
      <c r="D926" s="33"/>
      <c r="E926" s="34"/>
      <c r="F926" s="34"/>
      <c r="G926" s="35"/>
      <c r="H926" s="34"/>
      <c r="I926" s="37"/>
    </row>
    <row r="927" ht="22.5" customHeight="1">
      <c r="A927" s="30"/>
      <c r="B927" s="31"/>
      <c r="C927" s="32"/>
      <c r="D927" s="33"/>
      <c r="E927" s="34"/>
      <c r="F927" s="34"/>
      <c r="G927" s="35"/>
      <c r="H927" s="34"/>
      <c r="I927" s="37"/>
    </row>
    <row r="928" ht="22.5" customHeight="1">
      <c r="A928" s="30"/>
      <c r="B928" s="31"/>
      <c r="C928" s="32"/>
      <c r="D928" s="33"/>
      <c r="E928" s="34"/>
      <c r="F928" s="34"/>
      <c r="G928" s="35"/>
      <c r="H928" s="34"/>
      <c r="I928" s="37"/>
    </row>
    <row r="929" ht="22.5" customHeight="1">
      <c r="A929" s="30"/>
      <c r="B929" s="31"/>
      <c r="C929" s="32"/>
      <c r="D929" s="33"/>
      <c r="E929" s="34"/>
      <c r="F929" s="34"/>
      <c r="G929" s="35"/>
      <c r="H929" s="34"/>
      <c r="I929" s="37"/>
    </row>
    <row r="930" ht="22.5" customHeight="1">
      <c r="A930" s="30"/>
      <c r="B930" s="31"/>
      <c r="C930" s="32"/>
      <c r="D930" s="33"/>
      <c r="E930" s="34"/>
      <c r="F930" s="34"/>
      <c r="G930" s="35"/>
      <c r="H930" s="34"/>
      <c r="I930" s="37"/>
    </row>
    <row r="931" ht="22.5" customHeight="1">
      <c r="A931" s="30"/>
      <c r="B931" s="31"/>
      <c r="C931" s="32"/>
      <c r="D931" s="33"/>
      <c r="E931" s="34"/>
      <c r="F931" s="34"/>
      <c r="G931" s="35"/>
      <c r="H931" s="34"/>
      <c r="I931" s="37"/>
    </row>
    <row r="932" ht="22.5" customHeight="1">
      <c r="A932" s="30"/>
      <c r="B932" s="31"/>
      <c r="C932" s="32"/>
      <c r="D932" s="33"/>
      <c r="E932" s="34"/>
      <c r="F932" s="34"/>
      <c r="G932" s="35"/>
      <c r="H932" s="34"/>
      <c r="I932" s="37"/>
    </row>
    <row r="933" ht="22.5" customHeight="1">
      <c r="A933" s="30"/>
      <c r="B933" s="39"/>
      <c r="C933" s="32"/>
      <c r="D933" s="33"/>
      <c r="E933" s="34"/>
      <c r="F933" s="34"/>
      <c r="G933" s="35"/>
      <c r="H933" s="34"/>
      <c r="I933" s="37"/>
    </row>
    <row r="934" ht="22.5" customHeight="1">
      <c r="A934" s="30"/>
      <c r="B934" s="39"/>
      <c r="C934" s="32"/>
      <c r="D934" s="33"/>
      <c r="E934" s="34"/>
      <c r="F934" s="34"/>
      <c r="G934" s="35"/>
      <c r="H934" s="34"/>
      <c r="I934" s="37"/>
    </row>
    <row r="935" ht="22.5" customHeight="1">
      <c r="A935" s="30"/>
      <c r="B935" s="39"/>
      <c r="C935" s="32"/>
      <c r="D935" s="33"/>
      <c r="E935" s="34"/>
      <c r="F935" s="34"/>
      <c r="G935" s="35"/>
      <c r="H935" s="34"/>
      <c r="I935" s="37"/>
    </row>
    <row r="936" ht="22.5" customHeight="1">
      <c r="A936" s="30"/>
      <c r="B936" s="40"/>
      <c r="C936" s="32"/>
      <c r="D936" s="33"/>
      <c r="E936" s="34"/>
      <c r="F936" s="34"/>
      <c r="G936" s="35"/>
      <c r="H936" s="34"/>
      <c r="I936" s="37"/>
    </row>
    <row r="937" ht="22.5" customHeight="1">
      <c r="A937" s="30"/>
      <c r="B937" s="31"/>
      <c r="C937" s="32"/>
      <c r="D937" s="33"/>
      <c r="E937" s="34"/>
      <c r="F937" s="34"/>
      <c r="G937" s="35"/>
      <c r="H937" s="34"/>
      <c r="I937" s="37"/>
    </row>
    <row r="938" ht="22.5" customHeight="1">
      <c r="A938" s="30"/>
      <c r="B938" s="31"/>
      <c r="C938" s="32"/>
      <c r="D938" s="33"/>
      <c r="E938" s="34"/>
      <c r="F938" s="34"/>
      <c r="G938" s="35"/>
      <c r="H938" s="34"/>
      <c r="I938" s="37"/>
    </row>
    <row r="939" ht="22.5" customHeight="1">
      <c r="A939" s="30"/>
      <c r="B939" s="31"/>
      <c r="C939" s="32"/>
      <c r="D939" s="33"/>
      <c r="E939" s="34"/>
      <c r="F939" s="34"/>
      <c r="G939" s="35"/>
      <c r="H939" s="34"/>
      <c r="I939" s="37"/>
    </row>
    <row r="940" ht="22.5" customHeight="1">
      <c r="A940" s="30"/>
      <c r="B940" s="31"/>
      <c r="C940" s="32"/>
      <c r="D940" s="33"/>
      <c r="E940" s="34"/>
      <c r="F940" s="34"/>
      <c r="G940" s="35"/>
      <c r="H940" s="34"/>
      <c r="I940" s="37"/>
    </row>
    <row r="941" ht="22.5" customHeight="1">
      <c r="A941" s="30"/>
      <c r="B941" s="31"/>
      <c r="C941" s="32"/>
      <c r="D941" s="33"/>
      <c r="E941" s="34"/>
      <c r="F941" s="34"/>
      <c r="G941" s="35"/>
      <c r="H941" s="34"/>
      <c r="I941" s="37"/>
    </row>
    <row r="942" ht="22.5" customHeight="1">
      <c r="A942" s="30"/>
      <c r="B942" s="31"/>
      <c r="C942" s="32"/>
      <c r="D942" s="33"/>
      <c r="E942" s="34"/>
      <c r="F942" s="34"/>
      <c r="G942" s="35"/>
      <c r="H942" s="34"/>
      <c r="I942" s="37"/>
    </row>
    <row r="943" ht="22.5" customHeight="1">
      <c r="A943" s="30"/>
      <c r="B943" s="31"/>
      <c r="C943" s="32"/>
      <c r="D943" s="33"/>
      <c r="E943" s="34"/>
      <c r="F943" s="34"/>
      <c r="G943" s="35"/>
      <c r="H943" s="34"/>
      <c r="I943" s="37"/>
    </row>
    <row r="944" ht="22.5" customHeight="1">
      <c r="A944" s="30"/>
      <c r="B944" s="31"/>
      <c r="C944" s="32"/>
      <c r="D944" s="33"/>
      <c r="E944" s="34"/>
      <c r="F944" s="34"/>
      <c r="G944" s="35"/>
      <c r="H944" s="34"/>
      <c r="I944" s="37"/>
    </row>
    <row r="945" ht="22.5" customHeight="1">
      <c r="A945" s="30"/>
      <c r="B945" s="31"/>
      <c r="C945" s="32"/>
      <c r="D945" s="33"/>
      <c r="E945" s="34"/>
      <c r="F945" s="34"/>
      <c r="G945" s="35"/>
      <c r="H945" s="34"/>
      <c r="I945" s="37"/>
    </row>
    <row r="946" ht="22.5" customHeight="1">
      <c r="A946" s="30"/>
      <c r="B946" s="40"/>
      <c r="C946" s="32"/>
      <c r="D946" s="33"/>
      <c r="E946" s="34"/>
      <c r="F946" s="34"/>
      <c r="G946" s="35"/>
      <c r="H946" s="34"/>
      <c r="I946" s="37"/>
    </row>
    <row r="947" ht="22.5" customHeight="1">
      <c r="A947" s="30"/>
      <c r="B947" s="31"/>
      <c r="C947" s="32"/>
      <c r="D947" s="33"/>
      <c r="E947" s="34"/>
      <c r="F947" s="34"/>
      <c r="G947" s="35"/>
      <c r="H947" s="34"/>
      <c r="I947" s="37"/>
    </row>
    <row r="948" ht="22.5" customHeight="1">
      <c r="A948" s="30"/>
      <c r="B948" s="31"/>
      <c r="C948" s="32"/>
      <c r="D948" s="33"/>
      <c r="E948" s="34"/>
      <c r="F948" s="34"/>
      <c r="G948" s="35"/>
      <c r="H948" s="34"/>
      <c r="I948" s="37"/>
    </row>
    <row r="949" ht="22.5" customHeight="1">
      <c r="A949" s="30"/>
      <c r="B949" s="31"/>
      <c r="C949" s="32"/>
      <c r="D949" s="33"/>
      <c r="E949" s="34"/>
      <c r="F949" s="34"/>
      <c r="G949" s="35"/>
      <c r="H949" s="34"/>
      <c r="I949" s="37"/>
    </row>
    <row r="950" ht="22.5" customHeight="1">
      <c r="A950" s="30"/>
      <c r="B950" s="40"/>
      <c r="C950" s="32"/>
      <c r="D950" s="33"/>
      <c r="E950" s="34"/>
      <c r="F950" s="34"/>
      <c r="G950" s="35"/>
      <c r="H950" s="34"/>
      <c r="I950" s="37"/>
    </row>
    <row r="951" ht="22.5" customHeight="1">
      <c r="A951" s="30"/>
      <c r="B951" s="31"/>
      <c r="C951" s="32"/>
      <c r="D951" s="33"/>
      <c r="E951" s="34"/>
      <c r="F951" s="34"/>
      <c r="G951" s="35"/>
      <c r="H951" s="34"/>
      <c r="I951" s="37"/>
    </row>
    <row r="952" ht="22.5" customHeight="1">
      <c r="A952" s="30"/>
      <c r="B952" s="31"/>
      <c r="C952" s="32"/>
      <c r="D952" s="33"/>
      <c r="E952" s="34"/>
      <c r="F952" s="34"/>
      <c r="G952" s="35"/>
      <c r="H952" s="34"/>
      <c r="I952" s="37"/>
    </row>
    <row r="953" ht="22.5" customHeight="1">
      <c r="A953" s="30"/>
      <c r="B953" s="31"/>
      <c r="C953" s="32"/>
      <c r="D953" s="33"/>
      <c r="E953" s="34"/>
      <c r="F953" s="34"/>
      <c r="G953" s="35"/>
      <c r="H953" s="34"/>
      <c r="I953" s="37"/>
    </row>
    <row r="954" ht="22.5" customHeight="1">
      <c r="A954" s="30"/>
      <c r="B954" s="31"/>
      <c r="C954" s="32"/>
      <c r="D954" s="33"/>
      <c r="E954" s="34"/>
      <c r="F954" s="34"/>
      <c r="G954" s="35"/>
      <c r="H954" s="34"/>
      <c r="I954" s="37"/>
    </row>
    <row r="955" ht="22.5" customHeight="1">
      <c r="A955" s="30"/>
      <c r="B955" s="31"/>
      <c r="C955" s="32"/>
      <c r="D955" s="33"/>
      <c r="E955" s="34"/>
      <c r="F955" s="34"/>
      <c r="G955" s="35"/>
      <c r="H955" s="34"/>
      <c r="I955" s="37"/>
    </row>
    <row r="956" ht="22.5" customHeight="1">
      <c r="A956" s="30"/>
      <c r="B956" s="31"/>
      <c r="C956" s="32"/>
      <c r="D956" s="33"/>
      <c r="E956" s="34"/>
      <c r="F956" s="34"/>
      <c r="G956" s="35"/>
      <c r="H956" s="34"/>
      <c r="I956" s="37"/>
    </row>
    <row r="957" ht="22.5" customHeight="1">
      <c r="A957" s="30"/>
      <c r="B957" s="31"/>
      <c r="C957" s="32"/>
      <c r="D957" s="33"/>
      <c r="E957" s="34"/>
      <c r="F957" s="34"/>
      <c r="G957" s="35"/>
      <c r="H957" s="34"/>
      <c r="I957" s="37"/>
    </row>
    <row r="958" ht="22.5" customHeight="1">
      <c r="A958" s="30"/>
      <c r="B958" s="31"/>
      <c r="C958" s="32"/>
      <c r="D958" s="33"/>
      <c r="E958" s="34"/>
      <c r="F958" s="34"/>
      <c r="G958" s="35"/>
      <c r="H958" s="34"/>
      <c r="I958" s="37"/>
    </row>
    <row r="959" ht="22.5" customHeight="1">
      <c r="A959" s="30"/>
      <c r="B959" s="31"/>
      <c r="C959" s="32"/>
      <c r="D959" s="33"/>
      <c r="E959" s="34"/>
      <c r="F959" s="34"/>
      <c r="G959" s="35"/>
      <c r="H959" s="34"/>
      <c r="I959" s="37"/>
    </row>
    <row r="960" ht="22.5" customHeight="1">
      <c r="A960" s="30"/>
      <c r="B960" s="31"/>
      <c r="C960" s="32"/>
      <c r="D960" s="33"/>
      <c r="E960" s="34"/>
      <c r="F960" s="34"/>
      <c r="G960" s="35"/>
      <c r="H960" s="34"/>
      <c r="I960" s="37"/>
    </row>
    <row r="961" ht="22.5" customHeight="1">
      <c r="A961" s="30"/>
      <c r="B961" s="31"/>
      <c r="C961" s="32"/>
      <c r="D961" s="33"/>
      <c r="E961" s="34"/>
      <c r="F961" s="34"/>
      <c r="G961" s="35"/>
      <c r="H961" s="34"/>
      <c r="I961" s="37"/>
    </row>
    <row r="962" ht="22.5" customHeight="1">
      <c r="A962" s="30"/>
      <c r="B962" s="31"/>
      <c r="C962" s="32"/>
      <c r="D962" s="33"/>
      <c r="E962" s="34"/>
      <c r="F962" s="34"/>
      <c r="G962" s="35"/>
      <c r="H962" s="34"/>
      <c r="I962" s="37"/>
    </row>
    <row r="963" ht="22.5" customHeight="1">
      <c r="A963" s="30"/>
      <c r="B963" s="31"/>
      <c r="C963" s="32"/>
      <c r="D963" s="33"/>
      <c r="E963" s="34"/>
      <c r="F963" s="34"/>
      <c r="G963" s="35"/>
      <c r="H963" s="34"/>
      <c r="I963" s="37"/>
    </row>
    <row r="964" ht="22.5" customHeight="1">
      <c r="A964" s="30"/>
      <c r="B964" s="31"/>
      <c r="C964" s="32"/>
      <c r="D964" s="33"/>
      <c r="E964" s="34"/>
      <c r="F964" s="34"/>
      <c r="G964" s="35"/>
      <c r="H964" s="34"/>
      <c r="I964" s="37"/>
    </row>
    <row r="965" ht="22.5" customHeight="1">
      <c r="A965" s="30"/>
      <c r="B965" s="40"/>
      <c r="C965" s="32"/>
      <c r="D965" s="33"/>
      <c r="E965" s="34"/>
      <c r="F965" s="34"/>
      <c r="G965" s="35"/>
      <c r="H965" s="34"/>
      <c r="I965" s="37"/>
    </row>
    <row r="966" ht="22.5" customHeight="1">
      <c r="A966" s="30"/>
      <c r="B966" s="31"/>
      <c r="C966" s="32"/>
      <c r="D966" s="33"/>
      <c r="E966" s="34"/>
      <c r="F966" s="34"/>
      <c r="G966" s="35"/>
      <c r="H966" s="34"/>
      <c r="I966" s="37"/>
    </row>
    <row r="967" ht="22.5" customHeight="1">
      <c r="A967" s="30"/>
      <c r="B967" s="40"/>
      <c r="C967" s="32"/>
      <c r="D967" s="33"/>
      <c r="E967" s="34"/>
      <c r="F967" s="34"/>
      <c r="G967" s="35"/>
      <c r="H967" s="34"/>
      <c r="I967" s="37"/>
    </row>
    <row r="968" ht="22.5" customHeight="1">
      <c r="A968" s="30"/>
      <c r="B968" s="31"/>
      <c r="C968" s="32"/>
      <c r="D968" s="33"/>
      <c r="E968" s="34"/>
      <c r="F968" s="34"/>
      <c r="G968" s="35"/>
      <c r="H968" s="34"/>
      <c r="I968" s="37"/>
    </row>
    <row r="969" ht="22.5" customHeight="1">
      <c r="A969" s="30"/>
      <c r="B969" s="31"/>
      <c r="C969" s="32"/>
      <c r="D969" s="33"/>
      <c r="E969" s="34"/>
      <c r="F969" s="34"/>
      <c r="G969" s="35"/>
      <c r="H969" s="34"/>
      <c r="I969" s="37"/>
    </row>
    <row r="970" ht="22.5" customHeight="1">
      <c r="A970" s="30"/>
      <c r="B970" s="31"/>
      <c r="C970" s="32"/>
      <c r="D970" s="33"/>
      <c r="E970" s="34"/>
      <c r="F970" s="34"/>
      <c r="G970" s="35"/>
      <c r="H970" s="34"/>
      <c r="I970" s="37"/>
    </row>
    <row r="971" ht="22.5" customHeight="1">
      <c r="A971" s="30"/>
      <c r="B971" s="31"/>
      <c r="C971" s="32"/>
      <c r="D971" s="33"/>
      <c r="E971" s="34"/>
      <c r="F971" s="34"/>
      <c r="G971" s="35"/>
      <c r="H971" s="34"/>
      <c r="I971" s="37"/>
    </row>
    <row r="972" ht="22.5" customHeight="1">
      <c r="A972" s="30"/>
      <c r="B972" s="40"/>
      <c r="C972" s="32"/>
      <c r="D972" s="33"/>
      <c r="E972" s="34"/>
      <c r="F972" s="34"/>
      <c r="G972" s="35"/>
      <c r="H972" s="34"/>
      <c r="I972" s="37"/>
    </row>
    <row r="973" ht="22.5" customHeight="1">
      <c r="A973" s="30"/>
      <c r="B973" s="31"/>
      <c r="C973" s="32"/>
      <c r="D973" s="33"/>
      <c r="E973" s="34"/>
      <c r="F973" s="34"/>
      <c r="G973" s="35"/>
      <c r="H973" s="34"/>
      <c r="I973" s="37"/>
    </row>
    <row r="974" ht="22.5" customHeight="1">
      <c r="A974" s="30"/>
      <c r="B974" s="31"/>
      <c r="C974" s="32"/>
      <c r="D974" s="33"/>
      <c r="E974" s="34"/>
      <c r="F974" s="34"/>
      <c r="G974" s="35"/>
      <c r="H974" s="34"/>
      <c r="I974" s="37"/>
    </row>
    <row r="975" ht="22.5" customHeight="1">
      <c r="A975" s="30"/>
      <c r="B975" s="31"/>
      <c r="C975" s="32"/>
      <c r="D975" s="33"/>
      <c r="E975" s="34"/>
      <c r="F975" s="34"/>
      <c r="G975" s="35"/>
      <c r="H975" s="34"/>
      <c r="I975" s="37"/>
    </row>
    <row r="976" ht="22.5" customHeight="1">
      <c r="A976" s="30"/>
      <c r="B976" s="31"/>
      <c r="C976" s="32"/>
      <c r="D976" s="33"/>
      <c r="E976" s="34"/>
      <c r="F976" s="34"/>
      <c r="G976" s="35"/>
      <c r="H976" s="34"/>
      <c r="I976" s="37"/>
    </row>
    <row r="977" ht="22.5" customHeight="1">
      <c r="A977" s="30"/>
      <c r="B977" s="31"/>
      <c r="C977" s="32"/>
      <c r="D977" s="33"/>
      <c r="E977" s="34"/>
      <c r="F977" s="34"/>
      <c r="G977" s="35"/>
      <c r="H977" s="34"/>
      <c r="I977" s="37"/>
    </row>
    <row r="978" ht="22.5" customHeight="1">
      <c r="A978" s="30"/>
      <c r="B978" s="31"/>
      <c r="C978" s="32"/>
      <c r="D978" s="33"/>
      <c r="E978" s="34"/>
      <c r="F978" s="34"/>
      <c r="G978" s="35"/>
      <c r="H978" s="34"/>
      <c r="I978" s="37"/>
    </row>
    <row r="979" ht="22.5" customHeight="1">
      <c r="A979" s="30"/>
      <c r="B979" s="31"/>
      <c r="C979" s="32"/>
      <c r="D979" s="33"/>
      <c r="E979" s="34"/>
      <c r="F979" s="34"/>
      <c r="G979" s="35"/>
      <c r="H979" s="34"/>
      <c r="I979" s="37"/>
    </row>
    <row r="980" ht="22.5" customHeight="1">
      <c r="A980" s="30"/>
      <c r="B980" s="31"/>
      <c r="C980" s="32"/>
      <c r="D980" s="33"/>
      <c r="E980" s="34"/>
      <c r="F980" s="34"/>
      <c r="G980" s="35"/>
      <c r="H980" s="34"/>
      <c r="I980" s="37"/>
    </row>
    <row r="981" ht="22.5" customHeight="1">
      <c r="A981" s="30"/>
      <c r="B981" s="31"/>
      <c r="C981" s="32"/>
      <c r="D981" s="33"/>
      <c r="E981" s="34"/>
      <c r="F981" s="34"/>
      <c r="G981" s="35"/>
      <c r="H981" s="34"/>
      <c r="I981" s="37"/>
    </row>
    <row r="982" ht="22.5" customHeight="1">
      <c r="A982" s="30"/>
      <c r="B982" s="31"/>
      <c r="C982" s="32"/>
      <c r="D982" s="33"/>
      <c r="E982" s="34"/>
      <c r="F982" s="34"/>
      <c r="G982" s="35"/>
      <c r="H982" s="34"/>
      <c r="I982" s="37"/>
    </row>
    <row r="983" ht="22.5" customHeight="1">
      <c r="A983" s="30"/>
      <c r="B983" s="31"/>
      <c r="C983" s="32"/>
      <c r="D983" s="33"/>
      <c r="E983" s="34"/>
      <c r="F983" s="34"/>
      <c r="G983" s="35"/>
      <c r="H983" s="34"/>
      <c r="I983" s="37"/>
    </row>
    <row r="984" ht="22.5" customHeight="1">
      <c r="A984" s="30"/>
      <c r="B984" s="31"/>
      <c r="C984" s="32"/>
      <c r="D984" s="33"/>
      <c r="E984" s="34"/>
      <c r="F984" s="34"/>
      <c r="G984" s="35"/>
      <c r="H984" s="34"/>
      <c r="I984" s="37"/>
    </row>
    <row r="985" ht="22.5" customHeight="1">
      <c r="A985" s="30"/>
      <c r="B985" s="31"/>
      <c r="C985" s="32"/>
      <c r="D985" s="33"/>
      <c r="E985" s="34"/>
      <c r="F985" s="34"/>
      <c r="G985" s="35"/>
      <c r="H985" s="34"/>
      <c r="I985" s="37"/>
    </row>
    <row r="986" ht="22.5" customHeight="1">
      <c r="A986" s="30"/>
      <c r="B986" s="31"/>
      <c r="C986" s="32"/>
      <c r="D986" s="33"/>
      <c r="E986" s="34"/>
      <c r="F986" s="34"/>
      <c r="G986" s="35"/>
      <c r="H986" s="34"/>
      <c r="I986" s="37"/>
    </row>
    <row r="987" ht="22.5" customHeight="1">
      <c r="A987" s="30"/>
      <c r="B987" s="31"/>
      <c r="C987" s="32"/>
      <c r="D987" s="33"/>
      <c r="E987" s="34"/>
      <c r="F987" s="34"/>
      <c r="G987" s="35"/>
      <c r="H987" s="34"/>
      <c r="I987" s="37"/>
    </row>
    <row r="988" ht="22.5" customHeight="1">
      <c r="A988" s="30"/>
      <c r="B988" s="31"/>
      <c r="C988" s="32"/>
      <c r="D988" s="33"/>
      <c r="E988" s="34"/>
      <c r="F988" s="34"/>
      <c r="G988" s="35"/>
      <c r="H988" s="34"/>
      <c r="I988" s="37"/>
    </row>
    <row r="989" ht="22.5" customHeight="1">
      <c r="A989" s="30"/>
      <c r="B989" s="31"/>
      <c r="C989" s="32"/>
      <c r="D989" s="33"/>
      <c r="E989" s="34"/>
      <c r="F989" s="34"/>
      <c r="G989" s="35"/>
      <c r="H989" s="34"/>
      <c r="I989" s="37"/>
    </row>
    <row r="990" ht="22.5" customHeight="1">
      <c r="A990" s="30"/>
      <c r="B990" s="31"/>
      <c r="C990" s="32"/>
      <c r="D990" s="33"/>
      <c r="E990" s="34"/>
      <c r="F990" s="34"/>
      <c r="G990" s="35"/>
      <c r="H990" s="34"/>
      <c r="I990" s="37"/>
    </row>
    <row r="991" ht="22.5" customHeight="1">
      <c r="A991" s="30"/>
      <c r="B991" s="31"/>
      <c r="C991" s="32"/>
      <c r="D991" s="33"/>
      <c r="E991" s="34"/>
      <c r="F991" s="34"/>
      <c r="G991" s="35"/>
      <c r="H991" s="34"/>
      <c r="I991" s="37"/>
    </row>
    <row r="992" ht="22.5" customHeight="1">
      <c r="A992" s="30"/>
      <c r="B992" s="31"/>
      <c r="C992" s="32"/>
      <c r="D992" s="33"/>
      <c r="E992" s="34"/>
      <c r="F992" s="34"/>
      <c r="G992" s="35"/>
      <c r="H992" s="34"/>
      <c r="I992" s="37"/>
    </row>
    <row r="993" ht="22.5" customHeight="1">
      <c r="A993" s="30"/>
      <c r="B993" s="31"/>
      <c r="C993" s="32"/>
      <c r="D993" s="33"/>
      <c r="E993" s="34"/>
      <c r="F993" s="34"/>
      <c r="G993" s="35"/>
      <c r="H993" s="34"/>
      <c r="I993" s="37"/>
    </row>
    <row r="994" ht="22.5" customHeight="1">
      <c r="A994" s="30"/>
      <c r="B994" s="40"/>
      <c r="C994" s="32"/>
      <c r="D994" s="33"/>
      <c r="E994" s="34"/>
      <c r="F994" s="34"/>
      <c r="G994" s="35"/>
      <c r="H994" s="34"/>
      <c r="I994" s="37"/>
    </row>
    <row r="995" ht="22.5" customHeight="1">
      <c r="A995" s="30"/>
      <c r="B995" s="31"/>
      <c r="C995" s="32"/>
      <c r="D995" s="33"/>
      <c r="E995" s="34"/>
      <c r="F995" s="34"/>
      <c r="G995" s="35"/>
      <c r="H995" s="34"/>
      <c r="I995" s="37"/>
    </row>
    <row r="996" ht="22.5" customHeight="1">
      <c r="A996" s="30"/>
      <c r="B996" s="31"/>
      <c r="C996" s="32"/>
      <c r="D996" s="33"/>
      <c r="E996" s="34"/>
      <c r="F996" s="34"/>
      <c r="G996" s="35"/>
      <c r="H996" s="34"/>
      <c r="I996" s="37"/>
    </row>
    <row r="997" ht="22.5" customHeight="1">
      <c r="A997" s="30"/>
      <c r="B997" s="31"/>
      <c r="C997" s="32"/>
      <c r="D997" s="33"/>
      <c r="E997" s="34"/>
      <c r="F997" s="34"/>
      <c r="G997" s="35"/>
      <c r="H997" s="34"/>
      <c r="I997" s="37"/>
    </row>
    <row r="998" ht="22.5" customHeight="1">
      <c r="A998" s="30"/>
      <c r="B998" s="31"/>
      <c r="C998" s="32"/>
      <c r="D998" s="33"/>
      <c r="E998" s="34"/>
      <c r="F998" s="34"/>
      <c r="G998" s="35"/>
      <c r="H998" s="34"/>
      <c r="I998" s="38"/>
    </row>
    <row r="999" ht="22.5" customHeight="1">
      <c r="A999" s="30"/>
      <c r="B999" s="39"/>
      <c r="C999" s="32"/>
      <c r="D999" s="33"/>
      <c r="E999" s="34"/>
      <c r="F999" s="34"/>
      <c r="G999" s="35"/>
      <c r="H999" s="34"/>
      <c r="I999" s="37"/>
    </row>
    <row r="1000" ht="22.5" customHeight="1">
      <c r="A1000" s="30"/>
      <c r="B1000" s="31"/>
      <c r="C1000" s="32"/>
      <c r="D1000" s="33"/>
      <c r="E1000" s="34"/>
      <c r="F1000" s="34"/>
      <c r="G1000" s="35"/>
      <c r="H1000" s="34"/>
      <c r="I1000" s="37"/>
    </row>
    <row r="1001" ht="22.5" customHeight="1">
      <c r="A1001" s="30"/>
      <c r="B1001" s="31"/>
      <c r="C1001" s="32"/>
      <c r="D1001" s="33"/>
      <c r="E1001" s="34"/>
      <c r="F1001" s="34"/>
      <c r="G1001" s="35"/>
      <c r="H1001" s="34"/>
      <c r="I1001" s="37"/>
    </row>
    <row r="1002" ht="22.5" customHeight="1">
      <c r="A1002" s="30"/>
      <c r="B1002" s="31"/>
      <c r="C1002" s="32"/>
      <c r="D1002" s="33"/>
      <c r="E1002" s="34"/>
      <c r="F1002" s="34"/>
      <c r="G1002" s="35"/>
      <c r="H1002" s="34"/>
      <c r="I1002" s="37"/>
    </row>
    <row r="1003" ht="22.5" customHeight="1">
      <c r="A1003" s="30"/>
      <c r="B1003" s="39"/>
      <c r="C1003" s="32"/>
      <c r="D1003" s="33"/>
      <c r="E1003" s="34"/>
      <c r="F1003" s="34"/>
      <c r="G1003" s="35"/>
      <c r="H1003" s="34"/>
      <c r="I1003" s="37"/>
    </row>
    <row r="1004" ht="22.5" customHeight="1">
      <c r="A1004" s="30"/>
      <c r="B1004" s="31"/>
      <c r="C1004" s="32"/>
      <c r="D1004" s="33"/>
      <c r="E1004" s="34"/>
      <c r="F1004" s="34"/>
      <c r="G1004" s="35"/>
      <c r="H1004" s="34"/>
      <c r="I1004" s="37"/>
    </row>
    <row r="1005" ht="22.5" customHeight="1">
      <c r="A1005" s="30"/>
      <c r="B1005" s="39"/>
      <c r="C1005" s="32"/>
      <c r="D1005" s="33"/>
      <c r="E1005" s="34"/>
      <c r="F1005" s="34"/>
      <c r="G1005" s="35"/>
      <c r="H1005" s="34"/>
      <c r="I1005" s="37"/>
    </row>
    <row r="1006" ht="22.5" customHeight="1">
      <c r="A1006" s="30"/>
      <c r="B1006" s="31"/>
      <c r="C1006" s="32"/>
      <c r="D1006" s="33"/>
      <c r="E1006" s="34"/>
      <c r="F1006" s="34"/>
      <c r="G1006" s="35"/>
      <c r="H1006" s="34"/>
      <c r="I1006" s="37"/>
    </row>
    <row r="1007" ht="22.5" customHeight="1">
      <c r="A1007" s="30"/>
      <c r="B1007" s="31"/>
      <c r="C1007" s="32"/>
      <c r="D1007" s="33"/>
      <c r="E1007" s="34"/>
      <c r="F1007" s="34"/>
      <c r="G1007" s="35"/>
      <c r="H1007" s="34"/>
      <c r="I1007" s="37"/>
    </row>
    <row r="1008" ht="22.5" customHeight="1">
      <c r="A1008" s="30"/>
      <c r="B1008" s="31"/>
      <c r="C1008" s="32"/>
      <c r="D1008" s="33"/>
      <c r="E1008" s="34"/>
      <c r="F1008" s="34"/>
      <c r="G1008" s="35"/>
      <c r="H1008" s="34"/>
      <c r="I1008" s="37"/>
    </row>
    <row r="1009" ht="22.5" customHeight="1">
      <c r="A1009" s="30"/>
      <c r="B1009" s="31"/>
      <c r="C1009" s="32"/>
      <c r="D1009" s="33"/>
      <c r="E1009" s="34"/>
      <c r="F1009" s="34"/>
      <c r="G1009" s="35"/>
      <c r="H1009" s="34"/>
      <c r="I1009" s="37"/>
    </row>
    <row r="1010" ht="22.5" customHeight="1">
      <c r="A1010" s="30"/>
      <c r="B1010" s="31"/>
      <c r="C1010" s="32"/>
      <c r="D1010" s="33"/>
      <c r="E1010" s="34"/>
      <c r="F1010" s="34"/>
      <c r="G1010" s="35"/>
      <c r="H1010" s="34"/>
      <c r="I1010" s="37"/>
    </row>
    <row r="1011" ht="22.5" customHeight="1">
      <c r="A1011" s="30"/>
      <c r="B1011" s="31"/>
      <c r="C1011" s="32"/>
      <c r="D1011" s="33"/>
      <c r="E1011" s="34"/>
      <c r="F1011" s="34"/>
      <c r="G1011" s="35"/>
      <c r="H1011" s="34"/>
      <c r="I1011" s="37"/>
    </row>
    <row r="1012" ht="22.5" customHeight="1">
      <c r="A1012" s="30"/>
      <c r="B1012" s="31"/>
      <c r="C1012" s="32"/>
      <c r="D1012" s="33"/>
      <c r="E1012" s="34"/>
      <c r="F1012" s="34"/>
      <c r="G1012" s="35"/>
      <c r="H1012" s="34"/>
      <c r="I1012" s="37"/>
    </row>
    <row r="1013" ht="22.5" customHeight="1">
      <c r="A1013" s="30"/>
      <c r="B1013" s="31"/>
      <c r="C1013" s="32"/>
      <c r="D1013" s="33"/>
      <c r="E1013" s="34"/>
      <c r="F1013" s="34"/>
      <c r="G1013" s="35"/>
      <c r="H1013" s="34"/>
      <c r="I1013" s="37"/>
    </row>
    <row r="1014" ht="22.5" customHeight="1">
      <c r="A1014" s="30"/>
      <c r="B1014" s="31"/>
      <c r="C1014" s="32"/>
      <c r="D1014" s="33"/>
      <c r="E1014" s="34"/>
      <c r="F1014" s="34"/>
      <c r="G1014" s="35"/>
      <c r="H1014" s="34"/>
      <c r="I1014" s="37"/>
    </row>
    <row r="1015" ht="22.5" customHeight="1">
      <c r="A1015" s="30"/>
      <c r="B1015" s="31"/>
      <c r="C1015" s="32"/>
      <c r="D1015" s="33"/>
      <c r="E1015" s="34"/>
      <c r="F1015" s="34"/>
      <c r="G1015" s="35"/>
      <c r="H1015" s="34"/>
      <c r="I1015" s="37"/>
    </row>
    <row r="1016" ht="22.5" customHeight="1">
      <c r="A1016" s="30"/>
      <c r="B1016" s="40"/>
      <c r="C1016" s="32"/>
      <c r="D1016" s="33"/>
      <c r="E1016" s="34"/>
      <c r="F1016" s="34"/>
      <c r="G1016" s="35"/>
      <c r="H1016" s="34"/>
      <c r="I1016" s="37"/>
    </row>
    <row r="1017" ht="22.5" customHeight="1">
      <c r="A1017" s="30"/>
      <c r="B1017" s="31"/>
      <c r="C1017" s="32"/>
      <c r="D1017" s="33"/>
      <c r="E1017" s="34"/>
      <c r="F1017" s="34"/>
      <c r="G1017" s="35"/>
      <c r="H1017" s="34"/>
      <c r="I1017" s="37"/>
    </row>
    <row r="1018" ht="22.5" customHeight="1">
      <c r="A1018" s="30"/>
      <c r="B1018" s="31"/>
      <c r="C1018" s="32"/>
      <c r="D1018" s="33"/>
      <c r="E1018" s="34"/>
      <c r="F1018" s="34"/>
      <c r="G1018" s="35"/>
      <c r="H1018" s="34"/>
      <c r="I1018" s="37"/>
    </row>
    <row r="1019" ht="22.5" customHeight="1">
      <c r="A1019" s="30"/>
      <c r="B1019" s="31"/>
      <c r="C1019" s="32"/>
      <c r="D1019" s="33"/>
      <c r="E1019" s="34"/>
      <c r="F1019" s="34"/>
      <c r="G1019" s="35"/>
      <c r="H1019" s="34"/>
      <c r="I1019" s="37"/>
    </row>
    <row r="1020" ht="22.5" customHeight="1">
      <c r="A1020" s="30"/>
      <c r="B1020" s="31"/>
      <c r="C1020" s="32"/>
      <c r="D1020" s="33"/>
      <c r="E1020" s="34"/>
      <c r="F1020" s="34"/>
      <c r="G1020" s="35"/>
      <c r="H1020" s="34"/>
      <c r="I1020" s="37"/>
    </row>
    <row r="1021" ht="22.5" customHeight="1">
      <c r="A1021" s="30"/>
      <c r="B1021" s="31"/>
      <c r="C1021" s="32"/>
      <c r="D1021" s="33"/>
      <c r="E1021" s="34"/>
      <c r="F1021" s="34"/>
      <c r="G1021" s="35"/>
      <c r="H1021" s="34"/>
      <c r="I1021" s="37"/>
    </row>
    <row r="1022" ht="22.5" customHeight="1">
      <c r="A1022" s="30"/>
      <c r="B1022" s="31"/>
      <c r="C1022" s="32"/>
      <c r="D1022" s="33"/>
      <c r="E1022" s="34"/>
      <c r="F1022" s="34"/>
      <c r="G1022" s="35"/>
      <c r="H1022" s="34"/>
      <c r="I1022" s="37"/>
    </row>
    <row r="1023" ht="22.5" customHeight="1">
      <c r="A1023" s="30"/>
      <c r="B1023" s="39"/>
      <c r="C1023" s="32"/>
      <c r="D1023" s="33"/>
      <c r="E1023" s="34"/>
      <c r="F1023" s="34"/>
      <c r="G1023" s="35"/>
      <c r="H1023" s="34"/>
      <c r="I1023" s="37"/>
    </row>
    <row r="1024" ht="22.5" customHeight="1">
      <c r="A1024" s="30"/>
      <c r="B1024" s="39"/>
      <c r="C1024" s="32"/>
      <c r="D1024" s="33"/>
      <c r="E1024" s="34"/>
      <c r="F1024" s="34"/>
      <c r="G1024" s="35"/>
      <c r="H1024" s="34"/>
      <c r="I1024" s="37"/>
    </row>
    <row r="1025" ht="22.5" customHeight="1">
      <c r="A1025" s="30"/>
      <c r="B1025" s="39"/>
      <c r="C1025" s="32"/>
      <c r="D1025" s="33"/>
      <c r="E1025" s="34"/>
      <c r="F1025" s="34"/>
      <c r="G1025" s="35"/>
      <c r="H1025" s="34"/>
      <c r="I1025" s="37"/>
    </row>
    <row r="1026" ht="22.5" customHeight="1">
      <c r="A1026" s="30"/>
      <c r="B1026" s="40"/>
      <c r="C1026" s="32"/>
      <c r="D1026" s="33"/>
      <c r="E1026" s="34"/>
      <c r="F1026" s="34"/>
      <c r="G1026" s="35"/>
      <c r="H1026" s="34"/>
      <c r="I1026" s="37"/>
    </row>
    <row r="1027" ht="22.5" customHeight="1">
      <c r="A1027" s="30"/>
      <c r="B1027" s="31"/>
      <c r="C1027" s="32"/>
      <c r="D1027" s="33"/>
      <c r="E1027" s="34"/>
      <c r="F1027" s="34"/>
      <c r="G1027" s="35"/>
      <c r="H1027" s="34"/>
      <c r="I1027" s="37"/>
    </row>
    <row r="1028" ht="22.5" customHeight="1">
      <c r="A1028" s="30"/>
      <c r="B1028" s="31"/>
      <c r="C1028" s="32"/>
      <c r="D1028" s="33"/>
      <c r="E1028" s="34"/>
      <c r="F1028" s="34"/>
      <c r="G1028" s="35"/>
      <c r="H1028" s="34"/>
      <c r="I1028" s="37"/>
    </row>
    <row r="1029" ht="22.5" customHeight="1">
      <c r="A1029" s="30"/>
      <c r="B1029" s="31"/>
      <c r="C1029" s="32"/>
      <c r="D1029" s="33"/>
      <c r="E1029" s="34"/>
      <c r="F1029" s="34"/>
      <c r="G1029" s="35"/>
      <c r="H1029" s="34"/>
      <c r="I1029" s="37"/>
    </row>
    <row r="1030" ht="22.5" customHeight="1">
      <c r="A1030" s="30"/>
      <c r="B1030" s="31"/>
      <c r="C1030" s="32"/>
      <c r="D1030" s="33"/>
      <c r="E1030" s="34"/>
      <c r="F1030" s="34"/>
      <c r="G1030" s="35"/>
      <c r="H1030" s="34"/>
      <c r="I1030" s="37"/>
    </row>
    <row r="1031" ht="22.5" customHeight="1">
      <c r="A1031" s="30"/>
      <c r="B1031" s="31"/>
      <c r="C1031" s="32"/>
      <c r="D1031" s="33"/>
      <c r="E1031" s="34"/>
      <c r="F1031" s="34"/>
      <c r="G1031" s="35"/>
      <c r="H1031" s="34"/>
      <c r="I1031" s="37"/>
    </row>
    <row r="1032" ht="22.5" customHeight="1">
      <c r="A1032" s="30"/>
      <c r="B1032" s="31"/>
      <c r="C1032" s="32"/>
      <c r="D1032" s="33"/>
      <c r="E1032" s="34"/>
      <c r="F1032" s="34"/>
      <c r="G1032" s="35"/>
      <c r="H1032" s="34"/>
      <c r="I1032" s="37"/>
    </row>
    <row r="1033" ht="22.5" customHeight="1">
      <c r="A1033" s="30"/>
      <c r="B1033" s="31"/>
      <c r="C1033" s="32"/>
      <c r="D1033" s="33"/>
      <c r="E1033" s="34"/>
      <c r="F1033" s="34"/>
      <c r="G1033" s="35"/>
      <c r="H1033" s="34"/>
      <c r="I1033" s="37"/>
    </row>
    <row r="1034" ht="22.5" customHeight="1">
      <c r="A1034" s="30"/>
      <c r="B1034" s="31"/>
      <c r="C1034" s="32"/>
      <c r="D1034" s="33"/>
      <c r="E1034" s="34"/>
      <c r="F1034" s="34"/>
      <c r="G1034" s="35"/>
      <c r="H1034" s="34"/>
      <c r="I1034" s="37"/>
    </row>
    <row r="1035" ht="22.5" customHeight="1">
      <c r="A1035" s="30"/>
      <c r="B1035" s="31"/>
      <c r="C1035" s="32"/>
      <c r="D1035" s="33"/>
      <c r="E1035" s="34"/>
      <c r="F1035" s="34"/>
      <c r="G1035" s="35"/>
      <c r="H1035" s="34"/>
      <c r="I1035" s="37"/>
    </row>
    <row r="1036" ht="22.5" customHeight="1">
      <c r="A1036" s="30"/>
      <c r="B1036" s="40"/>
      <c r="C1036" s="32"/>
      <c r="D1036" s="33"/>
      <c r="E1036" s="34"/>
      <c r="F1036" s="34"/>
      <c r="G1036" s="35"/>
      <c r="H1036" s="34"/>
      <c r="I1036" s="37"/>
    </row>
    <row r="1037" ht="22.5" customHeight="1">
      <c r="A1037" s="30"/>
      <c r="B1037" s="31"/>
      <c r="C1037" s="32"/>
      <c r="D1037" s="33"/>
      <c r="E1037" s="34"/>
      <c r="F1037" s="34"/>
      <c r="G1037" s="35"/>
      <c r="H1037" s="34"/>
      <c r="I1037" s="37"/>
    </row>
    <row r="1038" ht="22.5" customHeight="1">
      <c r="A1038" s="30"/>
      <c r="B1038" s="31"/>
      <c r="C1038" s="32"/>
      <c r="D1038" s="33"/>
      <c r="E1038" s="34"/>
      <c r="F1038" s="34"/>
      <c r="G1038" s="35"/>
      <c r="H1038" s="34"/>
      <c r="I1038" s="37"/>
    </row>
    <row r="1039" ht="22.5" customHeight="1">
      <c r="A1039" s="30"/>
      <c r="B1039" s="31"/>
      <c r="C1039" s="32"/>
      <c r="D1039" s="33"/>
      <c r="E1039" s="34"/>
      <c r="F1039" s="34"/>
      <c r="G1039" s="35"/>
      <c r="H1039" s="34"/>
      <c r="I1039" s="37"/>
    </row>
    <row r="1040" ht="22.5" customHeight="1">
      <c r="A1040" s="30"/>
      <c r="B1040" s="40"/>
      <c r="C1040" s="32"/>
      <c r="D1040" s="33"/>
      <c r="E1040" s="34"/>
      <c r="F1040" s="34"/>
      <c r="G1040" s="35"/>
      <c r="H1040" s="34"/>
      <c r="I1040" s="37"/>
    </row>
    <row r="1041" ht="22.5" customHeight="1">
      <c r="A1041" s="30"/>
      <c r="B1041" s="31"/>
      <c r="C1041" s="32"/>
      <c r="D1041" s="33"/>
      <c r="E1041" s="34"/>
      <c r="F1041" s="34"/>
      <c r="G1041" s="35"/>
      <c r="H1041" s="34"/>
      <c r="I1041" s="37"/>
    </row>
    <row r="1042" ht="22.5" customHeight="1">
      <c r="A1042" s="30"/>
      <c r="B1042" s="31"/>
      <c r="C1042" s="32"/>
      <c r="D1042" s="33"/>
      <c r="E1042" s="34"/>
      <c r="F1042" s="34"/>
      <c r="G1042" s="35"/>
      <c r="H1042" s="34"/>
      <c r="I1042" s="37"/>
    </row>
    <row r="1043" ht="22.5" customHeight="1">
      <c r="A1043" s="30"/>
      <c r="B1043" s="31"/>
      <c r="C1043" s="32"/>
      <c r="D1043" s="33"/>
      <c r="E1043" s="34"/>
      <c r="F1043" s="34"/>
      <c r="G1043" s="35"/>
      <c r="H1043" s="34"/>
      <c r="I1043" s="37"/>
    </row>
    <row r="1044" ht="22.5" customHeight="1">
      <c r="A1044" s="30"/>
      <c r="B1044" s="31"/>
      <c r="C1044" s="32"/>
      <c r="D1044" s="33"/>
      <c r="E1044" s="34"/>
      <c r="F1044" s="34"/>
      <c r="G1044" s="35"/>
      <c r="H1044" s="34"/>
      <c r="I1044" s="37"/>
    </row>
    <row r="1045" ht="22.5" customHeight="1">
      <c r="A1045" s="30"/>
      <c r="B1045" s="31"/>
      <c r="C1045" s="32"/>
      <c r="D1045" s="33"/>
      <c r="E1045" s="34"/>
      <c r="F1045" s="34"/>
      <c r="G1045" s="35"/>
      <c r="H1045" s="34"/>
      <c r="I1045" s="37"/>
    </row>
    <row r="1046" ht="22.5" customHeight="1">
      <c r="A1046" s="30"/>
      <c r="B1046" s="31"/>
      <c r="C1046" s="32"/>
      <c r="D1046" s="33"/>
      <c r="E1046" s="34"/>
      <c r="F1046" s="34"/>
      <c r="G1046" s="35"/>
      <c r="H1046" s="34"/>
      <c r="I1046" s="37"/>
    </row>
    <row r="1047" ht="22.5" customHeight="1">
      <c r="A1047" s="30"/>
      <c r="B1047" s="31"/>
      <c r="C1047" s="32"/>
      <c r="D1047" s="33"/>
      <c r="E1047" s="34"/>
      <c r="F1047" s="34"/>
      <c r="G1047" s="35"/>
      <c r="H1047" s="34"/>
      <c r="I1047" s="37"/>
    </row>
    <row r="1048" ht="22.5" customHeight="1">
      <c r="A1048" s="30"/>
      <c r="B1048" s="31"/>
      <c r="C1048" s="32"/>
      <c r="D1048" s="33"/>
      <c r="E1048" s="34"/>
      <c r="F1048" s="34"/>
      <c r="G1048" s="35"/>
      <c r="H1048" s="34"/>
      <c r="I1048" s="37"/>
    </row>
    <row r="1049" ht="22.5" customHeight="1">
      <c r="A1049" s="30"/>
      <c r="B1049" s="31"/>
      <c r="C1049" s="32"/>
      <c r="D1049" s="33"/>
      <c r="E1049" s="34"/>
      <c r="F1049" s="34"/>
      <c r="G1049" s="35"/>
      <c r="H1049" s="34"/>
      <c r="I1049" s="37"/>
    </row>
    <row r="1050" ht="22.5" customHeight="1">
      <c r="A1050" s="30"/>
      <c r="B1050" s="31"/>
      <c r="C1050" s="32"/>
      <c r="D1050" s="33"/>
      <c r="E1050" s="34"/>
      <c r="F1050" s="34"/>
      <c r="G1050" s="35"/>
      <c r="H1050" s="34"/>
      <c r="I1050" s="37"/>
    </row>
    <row r="1051" ht="22.5" customHeight="1">
      <c r="A1051" s="30"/>
      <c r="B1051" s="31"/>
      <c r="C1051" s="32"/>
      <c r="D1051" s="33"/>
      <c r="E1051" s="34"/>
      <c r="F1051" s="34"/>
      <c r="G1051" s="35"/>
      <c r="H1051" s="34"/>
      <c r="I1051" s="37"/>
    </row>
    <row r="1052" ht="22.5" customHeight="1">
      <c r="A1052" s="30"/>
      <c r="B1052" s="31"/>
      <c r="C1052" s="32"/>
      <c r="D1052" s="33"/>
      <c r="E1052" s="34"/>
      <c r="F1052" s="34"/>
      <c r="G1052" s="35"/>
      <c r="H1052" s="34"/>
      <c r="I1052" s="37"/>
    </row>
    <row r="1053" ht="22.5" customHeight="1">
      <c r="A1053" s="30"/>
      <c r="B1053" s="31"/>
      <c r="C1053" s="32"/>
      <c r="D1053" s="33"/>
      <c r="E1053" s="34"/>
      <c r="F1053" s="34"/>
      <c r="G1053" s="35"/>
      <c r="H1053" s="34"/>
      <c r="I1053" s="37"/>
    </row>
    <row r="1054" ht="22.5" customHeight="1">
      <c r="A1054" s="30"/>
      <c r="B1054" s="31"/>
      <c r="C1054" s="32"/>
      <c r="D1054" s="33"/>
      <c r="E1054" s="34"/>
      <c r="F1054" s="34"/>
      <c r="G1054" s="35"/>
      <c r="H1054" s="34"/>
      <c r="I1054" s="37"/>
    </row>
    <row r="1055" ht="22.5" customHeight="1">
      <c r="A1055" s="30"/>
      <c r="B1055" s="40"/>
      <c r="C1055" s="32"/>
      <c r="D1055" s="33"/>
      <c r="E1055" s="34"/>
      <c r="F1055" s="34"/>
      <c r="G1055" s="35"/>
      <c r="H1055" s="34"/>
      <c r="I1055" s="37"/>
    </row>
    <row r="1056" ht="22.5" customHeight="1">
      <c r="A1056" s="30"/>
      <c r="B1056" s="31"/>
      <c r="C1056" s="32"/>
      <c r="D1056" s="33"/>
      <c r="E1056" s="34"/>
      <c r="F1056" s="34"/>
      <c r="G1056" s="35"/>
      <c r="H1056" s="34"/>
      <c r="I1056" s="37"/>
    </row>
    <row r="1057" ht="22.5" customHeight="1">
      <c r="A1057" s="30"/>
      <c r="B1057" s="40"/>
      <c r="C1057" s="32"/>
      <c r="D1057" s="33"/>
      <c r="E1057" s="34"/>
      <c r="F1057" s="34"/>
      <c r="G1057" s="35"/>
      <c r="H1057" s="34"/>
      <c r="I1057" s="37"/>
    </row>
    <row r="1058" ht="22.5" customHeight="1">
      <c r="A1058" s="30"/>
      <c r="B1058" s="31"/>
      <c r="C1058" s="32"/>
      <c r="D1058" s="33"/>
      <c r="E1058" s="34"/>
      <c r="F1058" s="34"/>
      <c r="G1058" s="35"/>
      <c r="H1058" s="34"/>
      <c r="I1058" s="37"/>
    </row>
    <row r="1059" ht="22.5" customHeight="1">
      <c r="A1059" s="30"/>
      <c r="B1059" s="31"/>
      <c r="C1059" s="32"/>
      <c r="D1059" s="33"/>
      <c r="E1059" s="34"/>
      <c r="F1059" s="34"/>
      <c r="G1059" s="35"/>
      <c r="H1059" s="34"/>
      <c r="I1059" s="37"/>
    </row>
    <row r="1060" ht="22.5" customHeight="1">
      <c r="A1060" s="30"/>
      <c r="B1060" s="31"/>
      <c r="C1060" s="32"/>
      <c r="D1060" s="33"/>
      <c r="E1060" s="34"/>
      <c r="F1060" s="34"/>
      <c r="G1060" s="35"/>
      <c r="H1060" s="34"/>
      <c r="I1060" s="37"/>
    </row>
    <row r="1061" ht="22.5" customHeight="1">
      <c r="A1061" s="30"/>
      <c r="B1061" s="31"/>
      <c r="C1061" s="32"/>
      <c r="D1061" s="33"/>
      <c r="E1061" s="34"/>
      <c r="F1061" s="34"/>
      <c r="G1061" s="35"/>
      <c r="H1061" s="34"/>
      <c r="I1061" s="37"/>
    </row>
    <row r="1062" ht="22.5" customHeight="1">
      <c r="A1062" s="30"/>
      <c r="B1062" s="40"/>
      <c r="C1062" s="32"/>
      <c r="D1062" s="33"/>
      <c r="E1062" s="34"/>
      <c r="F1062" s="34"/>
      <c r="G1062" s="35"/>
      <c r="H1062" s="34"/>
      <c r="I1062" s="37"/>
    </row>
    <row r="1063" ht="22.5" customHeight="1">
      <c r="A1063" s="30"/>
      <c r="B1063" s="31"/>
      <c r="C1063" s="32"/>
      <c r="D1063" s="33"/>
      <c r="E1063" s="34"/>
      <c r="F1063" s="34"/>
      <c r="G1063" s="35"/>
      <c r="H1063" s="34"/>
      <c r="I1063" s="37"/>
    </row>
    <row r="1064" ht="22.5" customHeight="1">
      <c r="A1064" s="30"/>
      <c r="B1064" s="31"/>
      <c r="C1064" s="32"/>
      <c r="D1064" s="33"/>
      <c r="E1064" s="34"/>
      <c r="F1064" s="34"/>
      <c r="G1064" s="35"/>
      <c r="H1064" s="34"/>
      <c r="I1064" s="37"/>
    </row>
    <row r="1065" ht="22.5" customHeight="1">
      <c r="A1065" s="30"/>
      <c r="B1065" s="31"/>
      <c r="C1065" s="32"/>
      <c r="D1065" s="33"/>
      <c r="E1065" s="34"/>
      <c r="F1065" s="34"/>
      <c r="G1065" s="35"/>
      <c r="H1065" s="34"/>
      <c r="I1065" s="37"/>
    </row>
    <row r="1066" ht="22.5" customHeight="1">
      <c r="A1066" s="30"/>
      <c r="B1066" s="31"/>
      <c r="C1066" s="32"/>
      <c r="D1066" s="33"/>
      <c r="E1066" s="34"/>
      <c r="F1066" s="34"/>
      <c r="G1066" s="35"/>
      <c r="H1066" s="34"/>
      <c r="I1066" s="37"/>
    </row>
    <row r="1067" ht="22.5" customHeight="1">
      <c r="A1067" s="30"/>
      <c r="B1067" s="31"/>
      <c r="C1067" s="32"/>
      <c r="D1067" s="33"/>
      <c r="E1067" s="34"/>
      <c r="F1067" s="34"/>
      <c r="G1067" s="35"/>
      <c r="H1067" s="34"/>
      <c r="I1067" s="37"/>
    </row>
    <row r="1068" ht="22.5" customHeight="1">
      <c r="A1068" s="30"/>
      <c r="B1068" s="31"/>
      <c r="C1068" s="32"/>
      <c r="D1068" s="33"/>
      <c r="E1068" s="34"/>
      <c r="F1068" s="34"/>
      <c r="G1068" s="35"/>
      <c r="H1068" s="34"/>
      <c r="I1068" s="37"/>
    </row>
    <row r="1069" ht="22.5" customHeight="1">
      <c r="A1069" s="30"/>
      <c r="B1069" s="31"/>
      <c r="C1069" s="32"/>
      <c r="D1069" s="33"/>
      <c r="E1069" s="34"/>
      <c r="F1069" s="34"/>
      <c r="G1069" s="35"/>
      <c r="H1069" s="34"/>
      <c r="I1069" s="37"/>
    </row>
    <row r="1070" ht="22.5" customHeight="1">
      <c r="A1070" s="30"/>
      <c r="B1070" s="31"/>
      <c r="C1070" s="32"/>
      <c r="D1070" s="33"/>
      <c r="E1070" s="34"/>
      <c r="F1070" s="34"/>
      <c r="G1070" s="35"/>
      <c r="H1070" s="34"/>
      <c r="I1070" s="37"/>
    </row>
    <row r="1071" ht="22.5" customHeight="1">
      <c r="A1071" s="30"/>
      <c r="B1071" s="31"/>
      <c r="C1071" s="32"/>
      <c r="D1071" s="33"/>
      <c r="E1071" s="34"/>
      <c r="F1071" s="34"/>
      <c r="G1071" s="35"/>
      <c r="H1071" s="34"/>
      <c r="I1071" s="37"/>
    </row>
    <row r="1072" ht="22.5" customHeight="1">
      <c r="A1072" s="30"/>
      <c r="B1072" s="31"/>
      <c r="C1072" s="32"/>
      <c r="D1072" s="33"/>
      <c r="E1072" s="34"/>
      <c r="F1072" s="34"/>
      <c r="G1072" s="35"/>
      <c r="H1072" s="34"/>
      <c r="I1072" s="37"/>
    </row>
    <row r="1073" ht="22.5" customHeight="1">
      <c r="A1073" s="30"/>
      <c r="B1073" s="31"/>
      <c r="C1073" s="32"/>
      <c r="D1073" s="33"/>
      <c r="E1073" s="34"/>
      <c r="F1073" s="34"/>
      <c r="G1073" s="35"/>
      <c r="H1073" s="34"/>
      <c r="I1073" s="37"/>
    </row>
    <row r="1074" ht="22.5" customHeight="1">
      <c r="A1074" s="30"/>
      <c r="B1074" s="31"/>
      <c r="C1074" s="32"/>
      <c r="D1074" s="33"/>
      <c r="E1074" s="34"/>
      <c r="F1074" s="34"/>
      <c r="G1074" s="35"/>
      <c r="H1074" s="34"/>
      <c r="I1074" s="37"/>
    </row>
    <row r="1075" ht="22.5" customHeight="1">
      <c r="A1075" s="30"/>
      <c r="B1075" s="31"/>
      <c r="C1075" s="32"/>
      <c r="D1075" s="33"/>
      <c r="E1075" s="34"/>
      <c r="F1075" s="34"/>
      <c r="G1075" s="35"/>
      <c r="H1075" s="34"/>
      <c r="I1075" s="37"/>
    </row>
    <row r="1076" ht="22.5" customHeight="1">
      <c r="A1076" s="30"/>
      <c r="B1076" s="31"/>
      <c r="C1076" s="32"/>
      <c r="D1076" s="33"/>
      <c r="E1076" s="34"/>
      <c r="F1076" s="34"/>
      <c r="G1076" s="35"/>
      <c r="H1076" s="34"/>
      <c r="I1076" s="37"/>
    </row>
    <row r="1077" ht="22.5" customHeight="1">
      <c r="A1077" s="30"/>
      <c r="B1077" s="31"/>
      <c r="C1077" s="32"/>
      <c r="D1077" s="33"/>
      <c r="E1077" s="34"/>
      <c r="F1077" s="34"/>
      <c r="G1077" s="35"/>
      <c r="H1077" s="34"/>
      <c r="I1077" s="37"/>
    </row>
    <row r="1078" ht="22.5" customHeight="1">
      <c r="A1078" s="30"/>
      <c r="B1078" s="31"/>
      <c r="C1078" s="32"/>
      <c r="D1078" s="33"/>
      <c r="E1078" s="34"/>
      <c r="F1078" s="34"/>
      <c r="G1078" s="35"/>
      <c r="H1078" s="34"/>
      <c r="I1078" s="37"/>
    </row>
    <row r="1079" ht="22.5" customHeight="1">
      <c r="A1079" s="30"/>
      <c r="B1079" s="31"/>
      <c r="C1079" s="32"/>
      <c r="D1079" s="33"/>
      <c r="E1079" s="34"/>
      <c r="F1079" s="34"/>
      <c r="G1079" s="35"/>
      <c r="H1079" s="34"/>
      <c r="I1079" s="37"/>
    </row>
    <row r="1080" ht="22.5" customHeight="1">
      <c r="A1080" s="30"/>
      <c r="B1080" s="31"/>
      <c r="C1080" s="32"/>
      <c r="D1080" s="33"/>
      <c r="E1080" s="34"/>
      <c r="F1080" s="34"/>
      <c r="G1080" s="35"/>
      <c r="H1080" s="34"/>
      <c r="I1080" s="37"/>
    </row>
    <row r="1081" ht="22.5" customHeight="1">
      <c r="A1081" s="30"/>
      <c r="B1081" s="31"/>
      <c r="C1081" s="32"/>
      <c r="D1081" s="33"/>
      <c r="E1081" s="34"/>
      <c r="F1081" s="34"/>
      <c r="G1081" s="35"/>
      <c r="H1081" s="34"/>
      <c r="I1081" s="37"/>
    </row>
    <row r="1082" ht="22.5" customHeight="1">
      <c r="A1082" s="30"/>
      <c r="B1082" s="31"/>
      <c r="C1082" s="32"/>
      <c r="D1082" s="33"/>
      <c r="E1082" s="34"/>
      <c r="F1082" s="34"/>
      <c r="G1082" s="35"/>
      <c r="H1082" s="34"/>
      <c r="I1082" s="37"/>
    </row>
    <row r="1083" ht="22.5" customHeight="1">
      <c r="A1083" s="30"/>
      <c r="B1083" s="31"/>
      <c r="C1083" s="32"/>
      <c r="D1083" s="33"/>
      <c r="E1083" s="34"/>
      <c r="F1083" s="34"/>
      <c r="G1083" s="35"/>
      <c r="H1083" s="34"/>
      <c r="I1083" s="37"/>
    </row>
    <row r="1084" ht="22.5" customHeight="1">
      <c r="A1084" s="30"/>
      <c r="B1084" s="40"/>
      <c r="C1084" s="32"/>
      <c r="D1084" s="33"/>
      <c r="E1084" s="34"/>
      <c r="F1084" s="34"/>
      <c r="G1084" s="35"/>
      <c r="H1084" s="34"/>
      <c r="I1084" s="37"/>
    </row>
    <row r="1085" ht="22.5" customHeight="1">
      <c r="A1085" s="30"/>
      <c r="B1085" s="31"/>
      <c r="C1085" s="32"/>
      <c r="D1085" s="33"/>
      <c r="E1085" s="34"/>
      <c r="F1085" s="34"/>
      <c r="G1085" s="35"/>
      <c r="H1085" s="34"/>
      <c r="I1085" s="37"/>
    </row>
    <row r="1086" ht="22.5" customHeight="1">
      <c r="A1086" s="30"/>
      <c r="B1086" s="31"/>
      <c r="C1086" s="32"/>
      <c r="D1086" s="33"/>
      <c r="E1086" s="34"/>
      <c r="F1086" s="34"/>
      <c r="G1086" s="35"/>
      <c r="H1086" s="34"/>
      <c r="I1086" s="37"/>
    </row>
    <row r="1087" ht="22.5" customHeight="1">
      <c r="A1087" s="30"/>
      <c r="B1087" s="31"/>
      <c r="C1087" s="32"/>
      <c r="D1087" s="33"/>
      <c r="E1087" s="34"/>
      <c r="F1087" s="34"/>
      <c r="G1087" s="35"/>
      <c r="H1087" s="34"/>
      <c r="I1087" s="37"/>
    </row>
    <row r="1088" ht="22.5" customHeight="1">
      <c r="A1088" s="30"/>
      <c r="B1088" s="31"/>
      <c r="C1088" s="32"/>
      <c r="D1088" s="33"/>
      <c r="E1088" s="34"/>
      <c r="F1088" s="34"/>
      <c r="G1088" s="35"/>
      <c r="H1088" s="34"/>
      <c r="I1088" s="38"/>
    </row>
    <row r="1089" ht="22.5" customHeight="1">
      <c r="A1089" s="30"/>
      <c r="B1089" s="39"/>
      <c r="C1089" s="32"/>
      <c r="D1089" s="33"/>
      <c r="E1089" s="34"/>
      <c r="F1089" s="34"/>
      <c r="G1089" s="35"/>
      <c r="H1089" s="34"/>
      <c r="I1089" s="37"/>
    </row>
    <row r="1090" ht="22.5" customHeight="1">
      <c r="A1090" s="30"/>
      <c r="B1090" s="31"/>
      <c r="C1090" s="32"/>
      <c r="D1090" s="33"/>
      <c r="E1090" s="34"/>
      <c r="F1090" s="34"/>
      <c r="G1090" s="35"/>
      <c r="H1090" s="34"/>
      <c r="I1090" s="37"/>
    </row>
    <row r="1091" ht="22.5" customHeight="1">
      <c r="A1091" s="30"/>
      <c r="B1091" s="31"/>
      <c r="C1091" s="32"/>
      <c r="D1091" s="33"/>
      <c r="E1091" s="34"/>
      <c r="F1091" s="34"/>
      <c r="G1091" s="35"/>
      <c r="H1091" s="34"/>
      <c r="I1091" s="37"/>
    </row>
    <row r="1092" ht="22.5" customHeight="1">
      <c r="A1092" s="30"/>
      <c r="B1092" s="31"/>
      <c r="C1092" s="32"/>
      <c r="D1092" s="33"/>
      <c r="E1092" s="34"/>
      <c r="F1092" s="34"/>
      <c r="G1092" s="35"/>
      <c r="H1092" s="34"/>
      <c r="I1092" s="37"/>
    </row>
    <row r="1093" ht="22.5" customHeight="1">
      <c r="A1093" s="30"/>
      <c r="B1093" s="39"/>
      <c r="C1093" s="32"/>
      <c r="D1093" s="33"/>
      <c r="E1093" s="34"/>
      <c r="F1093" s="34"/>
      <c r="G1093" s="35"/>
      <c r="H1093" s="34"/>
      <c r="I1093" s="37"/>
    </row>
    <row r="1094" ht="22.5" customHeight="1">
      <c r="A1094" s="30"/>
      <c r="B1094" s="31"/>
      <c r="C1094" s="32"/>
      <c r="D1094" s="33"/>
      <c r="E1094" s="34"/>
      <c r="F1094" s="34"/>
      <c r="G1094" s="35"/>
      <c r="H1094" s="34"/>
      <c r="I1094" s="37"/>
    </row>
    <row r="1095" ht="22.5" customHeight="1">
      <c r="A1095" s="30"/>
      <c r="B1095" s="39"/>
      <c r="C1095" s="32"/>
      <c r="D1095" s="33"/>
      <c r="E1095" s="34"/>
      <c r="F1095" s="34"/>
      <c r="G1095" s="35"/>
      <c r="H1095" s="34"/>
      <c r="I1095" s="37"/>
    </row>
    <row r="1096" ht="22.5" customHeight="1">
      <c r="A1096" s="30"/>
      <c r="B1096" s="31"/>
      <c r="C1096" s="32"/>
      <c r="D1096" s="33"/>
      <c r="E1096" s="34"/>
      <c r="F1096" s="34"/>
      <c r="G1096" s="35"/>
      <c r="H1096" s="34"/>
      <c r="I1096" s="37"/>
    </row>
    <row r="1097" ht="22.5" customHeight="1">
      <c r="A1097" s="30"/>
      <c r="B1097" s="31"/>
      <c r="C1097" s="32"/>
      <c r="D1097" s="33"/>
      <c r="E1097" s="34"/>
      <c r="F1097" s="34"/>
      <c r="G1097" s="35"/>
      <c r="H1097" s="34"/>
      <c r="I1097" s="37"/>
    </row>
    <row r="1098" ht="22.5" customHeight="1">
      <c r="A1098" s="30"/>
      <c r="B1098" s="31"/>
      <c r="C1098" s="32"/>
      <c r="D1098" s="33"/>
      <c r="E1098" s="34"/>
      <c r="F1098" s="34"/>
      <c r="G1098" s="35"/>
      <c r="H1098" s="34"/>
      <c r="I1098" s="37"/>
    </row>
    <row r="1099" ht="22.5" customHeight="1">
      <c r="A1099" s="30"/>
      <c r="B1099" s="31"/>
      <c r="C1099" s="32"/>
      <c r="D1099" s="33"/>
      <c r="E1099" s="34"/>
      <c r="F1099" s="34"/>
      <c r="G1099" s="35"/>
      <c r="H1099" s="34"/>
      <c r="I1099" s="37"/>
    </row>
    <row r="1100" ht="22.5" customHeight="1">
      <c r="A1100" s="30"/>
      <c r="B1100" s="31"/>
      <c r="C1100" s="32"/>
      <c r="D1100" s="33"/>
      <c r="E1100" s="34"/>
      <c r="F1100" s="34"/>
      <c r="G1100" s="35"/>
      <c r="H1100" s="34"/>
      <c r="I1100" s="37"/>
    </row>
    <row r="1101" ht="22.5" customHeight="1">
      <c r="A1101" s="30"/>
      <c r="B1101" s="31"/>
      <c r="C1101" s="32"/>
      <c r="D1101" s="33"/>
      <c r="E1101" s="34"/>
      <c r="F1101" s="34"/>
      <c r="G1101" s="35"/>
      <c r="H1101" s="34"/>
      <c r="I1101" s="37"/>
    </row>
    <row r="1102" ht="22.5" customHeight="1">
      <c r="A1102" s="30"/>
      <c r="B1102" s="31"/>
      <c r="C1102" s="32"/>
      <c r="D1102" s="33"/>
      <c r="E1102" s="34"/>
      <c r="F1102" s="34"/>
      <c r="G1102" s="35"/>
      <c r="H1102" s="34"/>
      <c r="I1102" s="37"/>
    </row>
    <row r="1103" ht="22.5" customHeight="1">
      <c r="A1103" s="30"/>
      <c r="B1103" s="31"/>
      <c r="C1103" s="32"/>
      <c r="D1103" s="33"/>
      <c r="E1103" s="34"/>
      <c r="F1103" s="34"/>
      <c r="G1103" s="35"/>
      <c r="H1103" s="34"/>
      <c r="I1103" s="37"/>
    </row>
    <row r="1104" ht="22.5" customHeight="1">
      <c r="A1104" s="30"/>
      <c r="B1104" s="31"/>
      <c r="C1104" s="32"/>
      <c r="D1104" s="33"/>
      <c r="E1104" s="34"/>
      <c r="F1104" s="34"/>
      <c r="G1104" s="35"/>
      <c r="H1104" s="34"/>
      <c r="I1104" s="37"/>
    </row>
    <row r="1105" ht="22.5" customHeight="1">
      <c r="A1105" s="30"/>
      <c r="B1105" s="31"/>
      <c r="C1105" s="32"/>
      <c r="D1105" s="33"/>
      <c r="E1105" s="34"/>
      <c r="F1105" s="34"/>
      <c r="G1105" s="35"/>
      <c r="H1105" s="34"/>
      <c r="I1105" s="37"/>
    </row>
    <row r="1106" ht="22.5" customHeight="1">
      <c r="A1106" s="30"/>
      <c r="B1106" s="40"/>
      <c r="C1106" s="32"/>
      <c r="D1106" s="33"/>
      <c r="E1106" s="34"/>
      <c r="F1106" s="34"/>
      <c r="G1106" s="35"/>
      <c r="H1106" s="34"/>
      <c r="I1106" s="37"/>
    </row>
    <row r="1107" ht="22.5" customHeight="1">
      <c r="A1107" s="30"/>
      <c r="B1107" s="31"/>
      <c r="C1107" s="32"/>
      <c r="D1107" s="33"/>
      <c r="E1107" s="34"/>
      <c r="F1107" s="34"/>
      <c r="G1107" s="35"/>
      <c r="H1107" s="34"/>
      <c r="I1107" s="37"/>
    </row>
    <row r="1108" ht="22.5" customHeight="1">
      <c r="A1108" s="30"/>
      <c r="B1108" s="31"/>
      <c r="C1108" s="32"/>
      <c r="D1108" s="33"/>
      <c r="E1108" s="34"/>
      <c r="F1108" s="34"/>
      <c r="G1108" s="35"/>
      <c r="H1108" s="34"/>
      <c r="I1108" s="37"/>
    </row>
    <row r="1109" ht="22.5" customHeight="1">
      <c r="A1109" s="30"/>
      <c r="B1109" s="31"/>
      <c r="C1109" s="32"/>
      <c r="D1109" s="33"/>
      <c r="E1109" s="34"/>
      <c r="F1109" s="34"/>
      <c r="G1109" s="35"/>
      <c r="H1109" s="34"/>
      <c r="I1109" s="37"/>
    </row>
    <row r="1110" ht="22.5" customHeight="1">
      <c r="A1110" s="30"/>
      <c r="B1110" s="31"/>
      <c r="C1110" s="32"/>
      <c r="D1110" s="33"/>
      <c r="E1110" s="34"/>
      <c r="F1110" s="34"/>
      <c r="G1110" s="35"/>
      <c r="H1110" s="34"/>
      <c r="I1110" s="37"/>
    </row>
    <row r="1111" ht="22.5" customHeight="1">
      <c r="A1111" s="30"/>
      <c r="B1111" s="31"/>
      <c r="C1111" s="32"/>
      <c r="D1111" s="33"/>
      <c r="E1111" s="34"/>
      <c r="F1111" s="34"/>
      <c r="G1111" s="35"/>
      <c r="H1111" s="34"/>
      <c r="I1111" s="37"/>
    </row>
    <row r="1112" ht="22.5" customHeight="1">
      <c r="A1112" s="30"/>
      <c r="B1112" s="31"/>
      <c r="C1112" s="32"/>
      <c r="D1112" s="33"/>
      <c r="E1112" s="34"/>
      <c r="F1112" s="34"/>
      <c r="G1112" s="35"/>
      <c r="H1112" s="34"/>
      <c r="I1112" s="37"/>
    </row>
    <row r="1113" ht="22.5" customHeight="1">
      <c r="A1113" s="30"/>
      <c r="B1113" s="39"/>
      <c r="C1113" s="32"/>
      <c r="D1113" s="33"/>
      <c r="E1113" s="34"/>
      <c r="F1113" s="34"/>
      <c r="G1113" s="35"/>
      <c r="H1113" s="34"/>
      <c r="I1113" s="37"/>
    </row>
    <row r="1114" ht="22.5" customHeight="1">
      <c r="A1114" s="30"/>
      <c r="B1114" s="39"/>
      <c r="C1114" s="32"/>
      <c r="D1114" s="33"/>
      <c r="E1114" s="34"/>
      <c r="F1114" s="34"/>
      <c r="G1114" s="35"/>
      <c r="H1114" s="34"/>
      <c r="I1114" s="37"/>
    </row>
    <row r="1115" ht="22.5" customHeight="1">
      <c r="A1115" s="30"/>
      <c r="B1115" s="39"/>
      <c r="C1115" s="32"/>
      <c r="D1115" s="33"/>
      <c r="E1115" s="34"/>
      <c r="F1115" s="34"/>
      <c r="G1115" s="35"/>
      <c r="H1115" s="34"/>
      <c r="I1115" s="37"/>
    </row>
    <row r="1116" ht="22.5" customHeight="1">
      <c r="A1116" s="30"/>
      <c r="B1116" s="40"/>
      <c r="C1116" s="32"/>
      <c r="D1116" s="33"/>
      <c r="E1116" s="34"/>
      <c r="F1116" s="34"/>
      <c r="G1116" s="35"/>
      <c r="H1116" s="34"/>
      <c r="I1116" s="37"/>
    </row>
    <row r="1117" ht="22.5" customHeight="1">
      <c r="A1117" s="30"/>
      <c r="B1117" s="31"/>
      <c r="C1117" s="32"/>
      <c r="D1117" s="33"/>
      <c r="E1117" s="34"/>
      <c r="F1117" s="34"/>
      <c r="G1117" s="35"/>
      <c r="H1117" s="34"/>
      <c r="I1117" s="37"/>
    </row>
    <row r="1118" ht="22.5" customHeight="1">
      <c r="A1118" s="30"/>
      <c r="B1118" s="31"/>
      <c r="C1118" s="32"/>
      <c r="D1118" s="33"/>
      <c r="E1118" s="34"/>
      <c r="F1118" s="34"/>
      <c r="G1118" s="35"/>
      <c r="H1118" s="34"/>
      <c r="I1118" s="37"/>
    </row>
    <row r="1119" ht="22.5" customHeight="1">
      <c r="A1119" s="30"/>
      <c r="B1119" s="31"/>
      <c r="C1119" s="32"/>
      <c r="D1119" s="33"/>
      <c r="E1119" s="34"/>
      <c r="F1119" s="34"/>
      <c r="G1119" s="35"/>
      <c r="H1119" s="34"/>
      <c r="I1119" s="37"/>
    </row>
    <row r="1120" ht="22.5" customHeight="1">
      <c r="A1120" s="30"/>
      <c r="B1120" s="31"/>
      <c r="C1120" s="32"/>
      <c r="D1120" s="33"/>
      <c r="E1120" s="34"/>
      <c r="F1120" s="34"/>
      <c r="G1120" s="35"/>
      <c r="H1120" s="34"/>
      <c r="I1120" s="37"/>
    </row>
    <row r="1121" ht="22.5" customHeight="1">
      <c r="A1121" s="30"/>
      <c r="B1121" s="31"/>
      <c r="C1121" s="32"/>
      <c r="D1121" s="33"/>
      <c r="E1121" s="34"/>
      <c r="F1121" s="34"/>
      <c r="G1121" s="35"/>
      <c r="H1121" s="34"/>
      <c r="I1121" s="37"/>
    </row>
    <row r="1122" ht="22.5" customHeight="1">
      <c r="A1122" s="30"/>
      <c r="B1122" s="31"/>
      <c r="C1122" s="32"/>
      <c r="D1122" s="33"/>
      <c r="E1122" s="34"/>
      <c r="F1122" s="34"/>
      <c r="G1122" s="35"/>
      <c r="H1122" s="34"/>
      <c r="I1122" s="37"/>
    </row>
    <row r="1123" ht="22.5" customHeight="1">
      <c r="A1123" s="30"/>
      <c r="B1123" s="31"/>
      <c r="C1123" s="32"/>
      <c r="D1123" s="33"/>
      <c r="E1123" s="34"/>
      <c r="F1123" s="34"/>
      <c r="G1123" s="35"/>
      <c r="H1123" s="34"/>
      <c r="I1123" s="37"/>
    </row>
    <row r="1124" ht="22.5" customHeight="1">
      <c r="A1124" s="30"/>
      <c r="B1124" s="31"/>
      <c r="C1124" s="32"/>
      <c r="D1124" s="33"/>
      <c r="E1124" s="34"/>
      <c r="F1124" s="34"/>
      <c r="G1124" s="35"/>
      <c r="H1124" s="34"/>
      <c r="I1124" s="37"/>
    </row>
    <row r="1125" ht="22.5" customHeight="1">
      <c r="A1125" s="30"/>
      <c r="B1125" s="31"/>
      <c r="C1125" s="32"/>
      <c r="D1125" s="33"/>
      <c r="E1125" s="34"/>
      <c r="F1125" s="34"/>
      <c r="G1125" s="35"/>
      <c r="H1125" s="34"/>
      <c r="I1125" s="37"/>
    </row>
    <row r="1126" ht="22.5" customHeight="1">
      <c r="A1126" s="30"/>
      <c r="B1126" s="40"/>
      <c r="C1126" s="32"/>
      <c r="D1126" s="33"/>
      <c r="E1126" s="34"/>
      <c r="F1126" s="34"/>
      <c r="G1126" s="35"/>
      <c r="H1126" s="34"/>
      <c r="I1126" s="37"/>
    </row>
    <row r="1127" ht="22.5" customHeight="1">
      <c r="A1127" s="30"/>
      <c r="B1127" s="31"/>
      <c r="C1127" s="32"/>
      <c r="D1127" s="33"/>
      <c r="E1127" s="34"/>
      <c r="F1127" s="34"/>
      <c r="G1127" s="35"/>
      <c r="H1127" s="34"/>
      <c r="I1127" s="37"/>
    </row>
    <row r="1128" ht="22.5" customHeight="1">
      <c r="A1128" s="30"/>
      <c r="B1128" s="31"/>
      <c r="C1128" s="32"/>
      <c r="D1128" s="33"/>
      <c r="E1128" s="34"/>
      <c r="F1128" s="34"/>
      <c r="G1128" s="35"/>
      <c r="H1128" s="34"/>
      <c r="I1128" s="37"/>
    </row>
    <row r="1129" ht="22.5" customHeight="1">
      <c r="A1129" s="30"/>
      <c r="B1129" s="31"/>
      <c r="C1129" s="32"/>
      <c r="D1129" s="33"/>
      <c r="E1129" s="34"/>
      <c r="F1129" s="34"/>
      <c r="G1129" s="35"/>
      <c r="H1129" s="34"/>
      <c r="I1129" s="37"/>
    </row>
    <row r="1130" ht="22.5" customHeight="1">
      <c r="A1130" s="30"/>
      <c r="B1130" s="40"/>
      <c r="C1130" s="32"/>
      <c r="D1130" s="33"/>
      <c r="E1130" s="34"/>
      <c r="F1130" s="34"/>
      <c r="G1130" s="35"/>
      <c r="H1130" s="34"/>
      <c r="I1130" s="37"/>
    </row>
    <row r="1131" ht="22.5" customHeight="1">
      <c r="A1131" s="30"/>
      <c r="B1131" s="31"/>
      <c r="C1131" s="32"/>
      <c r="D1131" s="33"/>
      <c r="E1131" s="34"/>
      <c r="F1131" s="34"/>
      <c r="G1131" s="35"/>
      <c r="H1131" s="34"/>
      <c r="I1131" s="37"/>
    </row>
    <row r="1132" ht="22.5" customHeight="1">
      <c r="A1132" s="30"/>
      <c r="B1132" s="31"/>
      <c r="C1132" s="32"/>
      <c r="D1132" s="33"/>
      <c r="E1132" s="34"/>
      <c r="F1132" s="34"/>
      <c r="G1132" s="35"/>
      <c r="H1132" s="34"/>
      <c r="I1132" s="37"/>
    </row>
    <row r="1133" ht="22.5" customHeight="1">
      <c r="A1133" s="30"/>
      <c r="B1133" s="31"/>
      <c r="C1133" s="32"/>
      <c r="D1133" s="33"/>
      <c r="E1133" s="34"/>
      <c r="F1133" s="34"/>
      <c r="G1133" s="35"/>
      <c r="H1133" s="34"/>
      <c r="I1133" s="37"/>
    </row>
    <row r="1134" ht="22.5" customHeight="1">
      <c r="A1134" s="30"/>
      <c r="B1134" s="31"/>
      <c r="C1134" s="32"/>
      <c r="D1134" s="33"/>
      <c r="E1134" s="34"/>
      <c r="F1134" s="34"/>
      <c r="G1134" s="35"/>
      <c r="H1134" s="34"/>
      <c r="I1134" s="37"/>
    </row>
    <row r="1135" ht="22.5" customHeight="1">
      <c r="A1135" s="30"/>
      <c r="B1135" s="31"/>
      <c r="C1135" s="32"/>
      <c r="D1135" s="33"/>
      <c r="E1135" s="34"/>
      <c r="F1135" s="34"/>
      <c r="G1135" s="35"/>
      <c r="H1135" s="34"/>
      <c r="I1135" s="37"/>
    </row>
    <row r="1136" ht="22.5" customHeight="1">
      <c r="A1136" s="30"/>
      <c r="B1136" s="31"/>
      <c r="C1136" s="32"/>
      <c r="D1136" s="33"/>
      <c r="E1136" s="34"/>
      <c r="F1136" s="34"/>
      <c r="G1136" s="35"/>
      <c r="H1136" s="34"/>
      <c r="I1136" s="37"/>
    </row>
    <row r="1137" ht="22.5" customHeight="1">
      <c r="A1137" s="30"/>
      <c r="B1137" s="31"/>
      <c r="C1137" s="32"/>
      <c r="D1137" s="33"/>
      <c r="E1137" s="34"/>
      <c r="F1137" s="34"/>
      <c r="G1137" s="35"/>
      <c r="H1137" s="34"/>
      <c r="I1137" s="37"/>
    </row>
    <row r="1138" ht="22.5" customHeight="1">
      <c r="A1138" s="30"/>
      <c r="B1138" s="31"/>
      <c r="C1138" s="32"/>
      <c r="D1138" s="33"/>
      <c r="E1138" s="34"/>
      <c r="F1138" s="34"/>
      <c r="G1138" s="35"/>
      <c r="H1138" s="34"/>
      <c r="I1138" s="37"/>
    </row>
    <row r="1139" ht="22.5" customHeight="1">
      <c r="A1139" s="30"/>
      <c r="B1139" s="31"/>
      <c r="C1139" s="32"/>
      <c r="D1139" s="33"/>
      <c r="E1139" s="34"/>
      <c r="F1139" s="34"/>
      <c r="G1139" s="35"/>
      <c r="H1139" s="34"/>
      <c r="I1139" s="37"/>
    </row>
    <row r="1140" ht="22.5" customHeight="1">
      <c r="A1140" s="30"/>
      <c r="B1140" s="31"/>
      <c r="C1140" s="32"/>
      <c r="D1140" s="33"/>
      <c r="E1140" s="34"/>
      <c r="F1140" s="34"/>
      <c r="G1140" s="35"/>
      <c r="H1140" s="34"/>
      <c r="I1140" s="37"/>
    </row>
    <row r="1141" ht="22.5" customHeight="1">
      <c r="A1141" s="30"/>
      <c r="B1141" s="31"/>
      <c r="C1141" s="32"/>
      <c r="D1141" s="33"/>
      <c r="E1141" s="34"/>
      <c r="F1141" s="34"/>
      <c r="G1141" s="35"/>
      <c r="H1141" s="34"/>
      <c r="I1141" s="37"/>
    </row>
    <row r="1142" ht="22.5" customHeight="1">
      <c r="A1142" s="30"/>
      <c r="B1142" s="31"/>
      <c r="C1142" s="32"/>
      <c r="D1142" s="33"/>
      <c r="E1142" s="34"/>
      <c r="F1142" s="34"/>
      <c r="G1142" s="35"/>
      <c r="H1142" s="34"/>
      <c r="I1142" s="37"/>
    </row>
    <row r="1143" ht="22.5" customHeight="1">
      <c r="A1143" s="30"/>
      <c r="B1143" s="31"/>
      <c r="C1143" s="32"/>
      <c r="D1143" s="33"/>
      <c r="E1143" s="34"/>
      <c r="F1143" s="34"/>
      <c r="G1143" s="35"/>
      <c r="H1143" s="34"/>
      <c r="I1143" s="37"/>
    </row>
    <row r="1144" ht="22.5" customHeight="1">
      <c r="A1144" s="30"/>
      <c r="B1144" s="31"/>
      <c r="C1144" s="32"/>
      <c r="D1144" s="33"/>
      <c r="E1144" s="34"/>
      <c r="F1144" s="34"/>
      <c r="G1144" s="35"/>
      <c r="H1144" s="34"/>
      <c r="I1144" s="37"/>
    </row>
    <row r="1145" ht="22.5" customHeight="1">
      <c r="A1145" s="30"/>
      <c r="B1145" s="40"/>
      <c r="C1145" s="32"/>
      <c r="D1145" s="33"/>
      <c r="E1145" s="34"/>
      <c r="F1145" s="34"/>
      <c r="G1145" s="35"/>
      <c r="H1145" s="34"/>
      <c r="I1145" s="37"/>
    </row>
    <row r="1146" ht="22.5" customHeight="1">
      <c r="A1146" s="30"/>
      <c r="B1146" s="31"/>
      <c r="C1146" s="32"/>
      <c r="D1146" s="33"/>
      <c r="E1146" s="34"/>
      <c r="F1146" s="34"/>
      <c r="G1146" s="35"/>
      <c r="H1146" s="34"/>
      <c r="I1146" s="37"/>
    </row>
    <row r="1147" ht="22.5" customHeight="1">
      <c r="A1147" s="30"/>
      <c r="B1147" s="40"/>
      <c r="C1147" s="32"/>
      <c r="D1147" s="33"/>
      <c r="E1147" s="34"/>
      <c r="F1147" s="34"/>
      <c r="G1147" s="35"/>
      <c r="H1147" s="34"/>
      <c r="I1147" s="37"/>
    </row>
    <row r="1148" ht="22.5" customHeight="1">
      <c r="A1148" s="30"/>
      <c r="B1148" s="31"/>
      <c r="C1148" s="32"/>
      <c r="D1148" s="33"/>
      <c r="E1148" s="34"/>
      <c r="F1148" s="34"/>
      <c r="G1148" s="35"/>
      <c r="H1148" s="34"/>
      <c r="I1148" s="37"/>
    </row>
    <row r="1149" ht="22.5" customHeight="1">
      <c r="A1149" s="30"/>
      <c r="B1149" s="31"/>
      <c r="C1149" s="32"/>
      <c r="D1149" s="33"/>
      <c r="E1149" s="34"/>
      <c r="F1149" s="34"/>
      <c r="G1149" s="35"/>
      <c r="H1149" s="34"/>
      <c r="I1149" s="37"/>
    </row>
    <row r="1150" ht="22.5" customHeight="1">
      <c r="A1150" s="30"/>
      <c r="B1150" s="31"/>
      <c r="C1150" s="32"/>
      <c r="D1150" s="33"/>
      <c r="E1150" s="34"/>
      <c r="F1150" s="34"/>
      <c r="G1150" s="35"/>
      <c r="H1150" s="34"/>
      <c r="I1150" s="37"/>
    </row>
    <row r="1151" ht="22.5" customHeight="1">
      <c r="A1151" s="30"/>
      <c r="B1151" s="31"/>
      <c r="C1151" s="32"/>
      <c r="D1151" s="33"/>
      <c r="E1151" s="34"/>
      <c r="F1151" s="34"/>
      <c r="G1151" s="35"/>
      <c r="H1151" s="34"/>
      <c r="I1151" s="37"/>
    </row>
    <row r="1152" ht="22.5" customHeight="1">
      <c r="A1152" s="30"/>
      <c r="B1152" s="40"/>
      <c r="C1152" s="32"/>
      <c r="D1152" s="33"/>
      <c r="E1152" s="34"/>
      <c r="F1152" s="34"/>
      <c r="G1152" s="35"/>
      <c r="H1152" s="34"/>
      <c r="I1152" s="37"/>
    </row>
    <row r="1153" ht="22.5" customHeight="1">
      <c r="A1153" s="30"/>
      <c r="B1153" s="31"/>
      <c r="C1153" s="32"/>
      <c r="D1153" s="33"/>
      <c r="E1153" s="34"/>
      <c r="F1153" s="34"/>
      <c r="G1153" s="35"/>
      <c r="H1153" s="34"/>
      <c r="I1153" s="37"/>
    </row>
    <row r="1154" ht="22.5" customHeight="1">
      <c r="A1154" s="30"/>
      <c r="B1154" s="31"/>
      <c r="C1154" s="32"/>
      <c r="D1154" s="33"/>
      <c r="E1154" s="34"/>
      <c r="F1154" s="34"/>
      <c r="G1154" s="35"/>
      <c r="H1154" s="34"/>
      <c r="I1154" s="37"/>
    </row>
    <row r="1155" ht="22.5" customHeight="1">
      <c r="A1155" s="30"/>
      <c r="B1155" s="31"/>
      <c r="C1155" s="32"/>
      <c r="D1155" s="33"/>
      <c r="E1155" s="34"/>
      <c r="F1155" s="34"/>
      <c r="G1155" s="35"/>
      <c r="H1155" s="34"/>
      <c r="I1155" s="37"/>
    </row>
    <row r="1156" ht="22.5" customHeight="1">
      <c r="A1156" s="30"/>
      <c r="B1156" s="31"/>
      <c r="C1156" s="32"/>
      <c r="D1156" s="33"/>
      <c r="E1156" s="34"/>
      <c r="F1156" s="34"/>
      <c r="G1156" s="35"/>
      <c r="H1156" s="34"/>
      <c r="I1156" s="37"/>
    </row>
    <row r="1157" ht="22.5" customHeight="1">
      <c r="A1157" s="30"/>
      <c r="B1157" s="31"/>
      <c r="C1157" s="32"/>
      <c r="D1157" s="33"/>
      <c r="E1157" s="34"/>
      <c r="F1157" s="34"/>
      <c r="G1157" s="35"/>
      <c r="H1157" s="34"/>
      <c r="I1157" s="37"/>
    </row>
    <row r="1158" ht="22.5" customHeight="1">
      <c r="A1158" s="30"/>
      <c r="B1158" s="31"/>
      <c r="C1158" s="32"/>
      <c r="D1158" s="33"/>
      <c r="E1158" s="34"/>
      <c r="F1158" s="34"/>
      <c r="G1158" s="35"/>
      <c r="H1158" s="34"/>
      <c r="I1158" s="37"/>
    </row>
    <row r="1159" ht="22.5" customHeight="1">
      <c r="A1159" s="30"/>
      <c r="B1159" s="31"/>
      <c r="C1159" s="32"/>
      <c r="D1159" s="33"/>
      <c r="E1159" s="34"/>
      <c r="F1159" s="34"/>
      <c r="G1159" s="35"/>
      <c r="H1159" s="34"/>
      <c r="I1159" s="37"/>
    </row>
    <row r="1160" ht="22.5" customHeight="1">
      <c r="A1160" s="30"/>
      <c r="B1160" s="31"/>
      <c r="C1160" s="32"/>
      <c r="D1160" s="33"/>
      <c r="E1160" s="34"/>
      <c r="F1160" s="34"/>
      <c r="G1160" s="35"/>
      <c r="H1160" s="34"/>
      <c r="I1160" s="37"/>
    </row>
    <row r="1161" ht="22.5" customHeight="1">
      <c r="A1161" s="30"/>
      <c r="B1161" s="31"/>
      <c r="C1161" s="32"/>
      <c r="D1161" s="33"/>
      <c r="E1161" s="34"/>
      <c r="F1161" s="34"/>
      <c r="G1161" s="35"/>
      <c r="H1161" s="34"/>
      <c r="I1161" s="37"/>
    </row>
    <row r="1162" ht="22.5" customHeight="1">
      <c r="A1162" s="30"/>
      <c r="B1162" s="31"/>
      <c r="C1162" s="32"/>
      <c r="D1162" s="33"/>
      <c r="E1162" s="34"/>
      <c r="F1162" s="34"/>
      <c r="G1162" s="35"/>
      <c r="H1162" s="34"/>
      <c r="I1162" s="37"/>
    </row>
    <row r="1163" ht="22.5" customHeight="1">
      <c r="A1163" s="30"/>
      <c r="B1163" s="31"/>
      <c r="C1163" s="32"/>
      <c r="D1163" s="33"/>
      <c r="E1163" s="34"/>
      <c r="F1163" s="34"/>
      <c r="G1163" s="35"/>
      <c r="H1163" s="34"/>
      <c r="I1163" s="37"/>
    </row>
    <row r="1164" ht="22.5" customHeight="1">
      <c r="A1164" s="30"/>
      <c r="B1164" s="31"/>
      <c r="C1164" s="32"/>
      <c r="D1164" s="33"/>
      <c r="E1164" s="34"/>
      <c r="F1164" s="34"/>
      <c r="G1164" s="35"/>
      <c r="H1164" s="34"/>
      <c r="I1164" s="37"/>
    </row>
    <row r="1165" ht="22.5" customHeight="1">
      <c r="A1165" s="30"/>
      <c r="B1165" s="31"/>
      <c r="C1165" s="32"/>
      <c r="D1165" s="33"/>
      <c r="E1165" s="34"/>
      <c r="F1165" s="34"/>
      <c r="G1165" s="35"/>
      <c r="H1165" s="34"/>
      <c r="I1165" s="37"/>
    </row>
    <row r="1166" ht="22.5" customHeight="1">
      <c r="A1166" s="30"/>
      <c r="B1166" s="31"/>
      <c r="C1166" s="32"/>
      <c r="D1166" s="33"/>
      <c r="E1166" s="34"/>
      <c r="F1166" s="34"/>
      <c r="G1166" s="35"/>
      <c r="H1166" s="34"/>
      <c r="I1166" s="37"/>
    </row>
    <row r="1167" ht="22.5" customHeight="1">
      <c r="A1167" s="30"/>
      <c r="B1167" s="31"/>
      <c r="C1167" s="32"/>
      <c r="D1167" s="33"/>
      <c r="E1167" s="34"/>
      <c r="F1167" s="34"/>
      <c r="G1167" s="35"/>
      <c r="H1167" s="34"/>
      <c r="I1167" s="37"/>
    </row>
    <row r="1168" ht="22.5" customHeight="1">
      <c r="A1168" s="30"/>
      <c r="B1168" s="31"/>
      <c r="C1168" s="32"/>
      <c r="D1168" s="33"/>
      <c r="E1168" s="34"/>
      <c r="F1168" s="34"/>
      <c r="G1168" s="35"/>
      <c r="H1168" s="34"/>
      <c r="I1168" s="37"/>
    </row>
    <row r="1169" ht="22.5" customHeight="1">
      <c r="A1169" s="30"/>
      <c r="B1169" s="31"/>
      <c r="C1169" s="32"/>
      <c r="D1169" s="33"/>
      <c r="E1169" s="34"/>
      <c r="F1169" s="34"/>
      <c r="G1169" s="35"/>
      <c r="H1169" s="34"/>
      <c r="I1169" s="37"/>
    </row>
    <row r="1170" ht="22.5" customHeight="1">
      <c r="A1170" s="30"/>
      <c r="B1170" s="31"/>
      <c r="C1170" s="32"/>
      <c r="D1170" s="33"/>
      <c r="E1170" s="34"/>
      <c r="F1170" s="34"/>
      <c r="G1170" s="35"/>
      <c r="H1170" s="34"/>
      <c r="I1170" s="37"/>
    </row>
    <row r="1171" ht="22.5" customHeight="1">
      <c r="A1171" s="30"/>
      <c r="B1171" s="31"/>
      <c r="C1171" s="32"/>
      <c r="D1171" s="33"/>
      <c r="E1171" s="34"/>
      <c r="F1171" s="34"/>
      <c r="G1171" s="35"/>
      <c r="H1171" s="34"/>
      <c r="I1171" s="37"/>
    </row>
    <row r="1172" ht="22.5" customHeight="1">
      <c r="A1172" s="30"/>
      <c r="B1172" s="31"/>
      <c r="C1172" s="32"/>
      <c r="D1172" s="33"/>
      <c r="E1172" s="34"/>
      <c r="F1172" s="34"/>
      <c r="G1172" s="35"/>
      <c r="H1172" s="34"/>
      <c r="I1172" s="37"/>
    </row>
    <row r="1173" ht="22.5" customHeight="1">
      <c r="A1173" s="30"/>
      <c r="B1173" s="31"/>
      <c r="C1173" s="32"/>
      <c r="D1173" s="33"/>
      <c r="E1173" s="34"/>
      <c r="F1173" s="34"/>
      <c r="G1173" s="35"/>
      <c r="H1173" s="34"/>
      <c r="I1173" s="37"/>
    </row>
    <row r="1174" ht="22.5" customHeight="1">
      <c r="A1174" s="30"/>
      <c r="B1174" s="40"/>
      <c r="C1174" s="32"/>
      <c r="D1174" s="33"/>
      <c r="E1174" s="34"/>
      <c r="F1174" s="34"/>
      <c r="G1174" s="35"/>
      <c r="H1174" s="34"/>
      <c r="I1174" s="37"/>
    </row>
    <row r="1175" ht="22.5" customHeight="1">
      <c r="A1175" s="30"/>
      <c r="B1175" s="31"/>
      <c r="C1175" s="32"/>
      <c r="D1175" s="33"/>
      <c r="E1175" s="34"/>
      <c r="F1175" s="34"/>
      <c r="G1175" s="35"/>
      <c r="H1175" s="34"/>
      <c r="I1175" s="37"/>
    </row>
    <row r="1176" ht="22.5" customHeight="1">
      <c r="A1176" s="30"/>
      <c r="B1176" s="31"/>
      <c r="C1176" s="32"/>
      <c r="D1176" s="33"/>
      <c r="E1176" s="34"/>
      <c r="F1176" s="34"/>
      <c r="G1176" s="35"/>
      <c r="H1176" s="34"/>
      <c r="I1176" s="37"/>
    </row>
    <row r="1177" ht="22.5" customHeight="1">
      <c r="A1177" s="30"/>
      <c r="B1177" s="31"/>
      <c r="C1177" s="32"/>
      <c r="D1177" s="33"/>
      <c r="E1177" s="34"/>
      <c r="F1177" s="34"/>
      <c r="G1177" s="35"/>
      <c r="H1177" s="34"/>
      <c r="I1177" s="37"/>
    </row>
    <row r="1178" ht="22.5" customHeight="1">
      <c r="A1178" s="30"/>
      <c r="B1178" s="31"/>
      <c r="C1178" s="32"/>
      <c r="D1178" s="33"/>
      <c r="E1178" s="34"/>
      <c r="F1178" s="34"/>
      <c r="G1178" s="35"/>
      <c r="H1178" s="34"/>
      <c r="I1178" s="38"/>
    </row>
    <row r="1179" ht="22.5" customHeight="1">
      <c r="A1179" s="30"/>
      <c r="B1179" s="39"/>
      <c r="C1179" s="32"/>
      <c r="D1179" s="33"/>
      <c r="E1179" s="34"/>
      <c r="F1179" s="34"/>
      <c r="G1179" s="35"/>
      <c r="H1179" s="34"/>
      <c r="I1179" s="37"/>
    </row>
    <row r="1180" ht="22.5" customHeight="1">
      <c r="A1180" s="30"/>
      <c r="B1180" s="31"/>
      <c r="C1180" s="32"/>
      <c r="D1180" s="33"/>
      <c r="E1180" s="34"/>
      <c r="F1180" s="34"/>
      <c r="G1180" s="35"/>
      <c r="H1180" s="34"/>
      <c r="I1180" s="37"/>
    </row>
    <row r="1181" ht="22.5" customHeight="1">
      <c r="A1181" s="30"/>
      <c r="B1181" s="31"/>
      <c r="C1181" s="32"/>
      <c r="D1181" s="33"/>
      <c r="E1181" s="34"/>
      <c r="F1181" s="34"/>
      <c r="G1181" s="35"/>
      <c r="H1181" s="34"/>
      <c r="I1181" s="37"/>
    </row>
    <row r="1182" ht="22.5" customHeight="1">
      <c r="A1182" s="30"/>
      <c r="B1182" s="31"/>
      <c r="C1182" s="32"/>
      <c r="D1182" s="33"/>
      <c r="E1182" s="34"/>
      <c r="F1182" s="34"/>
      <c r="G1182" s="35"/>
      <c r="H1182" s="34"/>
      <c r="I1182" s="37"/>
    </row>
    <row r="1183" ht="22.5" customHeight="1">
      <c r="A1183" s="30"/>
      <c r="B1183" s="39"/>
      <c r="C1183" s="32"/>
      <c r="D1183" s="33"/>
      <c r="E1183" s="34"/>
      <c r="F1183" s="34"/>
      <c r="G1183" s="35"/>
      <c r="H1183" s="34"/>
      <c r="I1183" s="37"/>
    </row>
    <row r="1184" ht="22.5" customHeight="1">
      <c r="A1184" s="30"/>
      <c r="B1184" s="31"/>
      <c r="C1184" s="32"/>
      <c r="D1184" s="33"/>
      <c r="E1184" s="34"/>
      <c r="F1184" s="34"/>
      <c r="G1184" s="35"/>
      <c r="H1184" s="34"/>
      <c r="I1184" s="37"/>
    </row>
    <row r="1185" ht="22.5" customHeight="1">
      <c r="A1185" s="30"/>
      <c r="B1185" s="39"/>
      <c r="C1185" s="32"/>
      <c r="D1185" s="33"/>
      <c r="E1185" s="34"/>
      <c r="F1185" s="34"/>
      <c r="G1185" s="35"/>
      <c r="H1185" s="34"/>
      <c r="I1185" s="37"/>
    </row>
    <row r="1186" ht="22.5" customHeight="1">
      <c r="A1186" s="30"/>
      <c r="B1186" s="31"/>
      <c r="C1186" s="32"/>
      <c r="D1186" s="33"/>
      <c r="E1186" s="34"/>
      <c r="F1186" s="34"/>
      <c r="G1186" s="35"/>
      <c r="H1186" s="34"/>
      <c r="I1186" s="37"/>
    </row>
    <row r="1187" ht="22.5" customHeight="1">
      <c r="A1187" s="30"/>
      <c r="B1187" s="31"/>
      <c r="C1187" s="32"/>
      <c r="D1187" s="33"/>
      <c r="E1187" s="34"/>
      <c r="F1187" s="34"/>
      <c r="G1187" s="35"/>
      <c r="H1187" s="34"/>
      <c r="I1187" s="37"/>
    </row>
    <row r="1188" ht="22.5" customHeight="1">
      <c r="A1188" s="30"/>
      <c r="B1188" s="31"/>
      <c r="C1188" s="32"/>
      <c r="D1188" s="33"/>
      <c r="E1188" s="34"/>
      <c r="F1188" s="34"/>
      <c r="G1188" s="35"/>
      <c r="H1188" s="34"/>
      <c r="I1188" s="37"/>
    </row>
    <row r="1189" ht="22.5" customHeight="1">
      <c r="A1189" s="30"/>
      <c r="B1189" s="31"/>
      <c r="C1189" s="32"/>
      <c r="D1189" s="33"/>
      <c r="E1189" s="34"/>
      <c r="F1189" s="34"/>
      <c r="G1189" s="35"/>
      <c r="H1189" s="34"/>
      <c r="I1189" s="37"/>
    </row>
    <row r="1190" ht="22.5" customHeight="1">
      <c r="A1190" s="30"/>
      <c r="B1190" s="31"/>
      <c r="C1190" s="32"/>
      <c r="D1190" s="33"/>
      <c r="E1190" s="34"/>
      <c r="F1190" s="34"/>
      <c r="G1190" s="35"/>
      <c r="H1190" s="34"/>
      <c r="I1190" s="37"/>
    </row>
    <row r="1191" ht="22.5" customHeight="1">
      <c r="A1191" s="30"/>
      <c r="B1191" s="31"/>
      <c r="C1191" s="32"/>
      <c r="D1191" s="33"/>
      <c r="E1191" s="34"/>
      <c r="F1191" s="34"/>
      <c r="G1191" s="35"/>
      <c r="H1191" s="34"/>
      <c r="I1191" s="37"/>
    </row>
    <row r="1192" ht="22.5" customHeight="1">
      <c r="A1192" s="30"/>
      <c r="B1192" s="31"/>
      <c r="C1192" s="32"/>
      <c r="D1192" s="33"/>
      <c r="E1192" s="34"/>
      <c r="F1192" s="34"/>
      <c r="G1192" s="35"/>
      <c r="H1192" s="34"/>
      <c r="I1192" s="37"/>
    </row>
    <row r="1193" ht="22.5" customHeight="1">
      <c r="A1193" s="30"/>
      <c r="B1193" s="31"/>
      <c r="C1193" s="32"/>
      <c r="D1193" s="33"/>
      <c r="E1193" s="34"/>
      <c r="F1193" s="34"/>
      <c r="G1193" s="35"/>
      <c r="H1193" s="34"/>
      <c r="I1193" s="37"/>
    </row>
    <row r="1194" ht="22.5" customHeight="1">
      <c r="A1194" s="30"/>
      <c r="B1194" s="31"/>
      <c r="C1194" s="32"/>
      <c r="D1194" s="33"/>
      <c r="E1194" s="34"/>
      <c r="F1194" s="34"/>
      <c r="G1194" s="35"/>
      <c r="H1194" s="34"/>
      <c r="I1194" s="37"/>
    </row>
    <row r="1195" ht="22.5" customHeight="1">
      <c r="A1195" s="30"/>
      <c r="B1195" s="31"/>
      <c r="C1195" s="32"/>
      <c r="D1195" s="33"/>
      <c r="E1195" s="34"/>
      <c r="F1195" s="34"/>
      <c r="G1195" s="35"/>
      <c r="H1195" s="34"/>
      <c r="I1195" s="37"/>
    </row>
    <row r="1196" ht="22.5" customHeight="1">
      <c r="A1196" s="30"/>
      <c r="B1196" s="40"/>
      <c r="C1196" s="32"/>
      <c r="D1196" s="33"/>
      <c r="E1196" s="34"/>
      <c r="F1196" s="34"/>
      <c r="G1196" s="35"/>
      <c r="H1196" s="34"/>
      <c r="I1196" s="37"/>
    </row>
    <row r="1197" ht="22.5" customHeight="1">
      <c r="A1197" s="30"/>
      <c r="B1197" s="31"/>
      <c r="C1197" s="32"/>
      <c r="D1197" s="33"/>
      <c r="E1197" s="34"/>
      <c r="F1197" s="34"/>
      <c r="G1197" s="35"/>
      <c r="H1197" s="34"/>
      <c r="I1197" s="37"/>
    </row>
    <row r="1198" ht="22.5" customHeight="1">
      <c r="A1198" s="30"/>
      <c r="B1198" s="31"/>
      <c r="C1198" s="32"/>
      <c r="D1198" s="33"/>
      <c r="E1198" s="34"/>
      <c r="F1198" s="34"/>
      <c r="G1198" s="35"/>
      <c r="H1198" s="34"/>
      <c r="I1198" s="37"/>
    </row>
    <row r="1199" ht="22.5" customHeight="1">
      <c r="A1199" s="30"/>
      <c r="B1199" s="31"/>
      <c r="C1199" s="32"/>
      <c r="D1199" s="33"/>
      <c r="E1199" s="34"/>
      <c r="F1199" s="34"/>
      <c r="G1199" s="35"/>
      <c r="H1199" s="34"/>
      <c r="I1199" s="37"/>
    </row>
    <row r="1200" ht="22.5" customHeight="1">
      <c r="A1200" s="30"/>
      <c r="B1200" s="31"/>
      <c r="C1200" s="32"/>
      <c r="D1200" s="33"/>
      <c r="E1200" s="34"/>
      <c r="F1200" s="34"/>
      <c r="G1200" s="35"/>
      <c r="H1200" s="34"/>
      <c r="I1200" s="37"/>
    </row>
    <row r="1201" ht="22.5" customHeight="1">
      <c r="A1201" s="30"/>
      <c r="B1201" s="31"/>
      <c r="C1201" s="32"/>
      <c r="D1201" s="33"/>
      <c r="E1201" s="34"/>
      <c r="F1201" s="34"/>
      <c r="G1201" s="35"/>
      <c r="H1201" s="34"/>
      <c r="I1201" s="37"/>
    </row>
    <row r="1202" ht="22.5" customHeight="1">
      <c r="A1202" s="30"/>
      <c r="B1202" s="31"/>
      <c r="C1202" s="32"/>
      <c r="D1202" s="33"/>
      <c r="E1202" s="34"/>
      <c r="F1202" s="34"/>
      <c r="G1202" s="35"/>
      <c r="H1202" s="34"/>
      <c r="I1202" s="37"/>
    </row>
    <row r="1203" ht="22.5" customHeight="1">
      <c r="A1203" s="30"/>
      <c r="B1203" s="39"/>
      <c r="C1203" s="32"/>
      <c r="D1203" s="33"/>
      <c r="E1203" s="34"/>
      <c r="F1203" s="34"/>
      <c r="G1203" s="35"/>
      <c r="H1203" s="34"/>
      <c r="I1203" s="37"/>
    </row>
    <row r="1204" ht="22.5" customHeight="1">
      <c r="A1204" s="30"/>
      <c r="B1204" s="39"/>
      <c r="C1204" s="32"/>
      <c r="D1204" s="33"/>
      <c r="E1204" s="34"/>
      <c r="F1204" s="34"/>
      <c r="G1204" s="35"/>
      <c r="H1204" s="34"/>
      <c r="I1204" s="37"/>
    </row>
    <row r="1205" ht="22.5" customHeight="1">
      <c r="A1205" s="30"/>
      <c r="B1205" s="39"/>
      <c r="C1205" s="32"/>
      <c r="D1205" s="33"/>
      <c r="E1205" s="34"/>
      <c r="F1205" s="34"/>
      <c r="G1205" s="35"/>
      <c r="H1205" s="34"/>
      <c r="I1205" s="37"/>
    </row>
    <row r="1206" ht="22.5" customHeight="1">
      <c r="A1206" s="30"/>
      <c r="B1206" s="40"/>
      <c r="C1206" s="32"/>
      <c r="D1206" s="33"/>
      <c r="E1206" s="34"/>
      <c r="F1206" s="34"/>
      <c r="G1206" s="35"/>
      <c r="H1206" s="34"/>
      <c r="I1206" s="37"/>
    </row>
    <row r="1207" ht="22.5" customHeight="1">
      <c r="A1207" s="30"/>
      <c r="B1207" s="31"/>
      <c r="C1207" s="32"/>
      <c r="D1207" s="33"/>
      <c r="E1207" s="34"/>
      <c r="F1207" s="34"/>
      <c r="G1207" s="35"/>
      <c r="H1207" s="34"/>
      <c r="I1207" s="37"/>
    </row>
    <row r="1208" ht="22.5" customHeight="1">
      <c r="A1208" s="30"/>
      <c r="B1208" s="31"/>
      <c r="C1208" s="32"/>
      <c r="D1208" s="33"/>
      <c r="E1208" s="34"/>
      <c r="F1208" s="34"/>
      <c r="G1208" s="35"/>
      <c r="H1208" s="34"/>
      <c r="I1208" s="37"/>
    </row>
    <row r="1209" ht="22.5" customHeight="1">
      <c r="A1209" s="30"/>
      <c r="B1209" s="31"/>
      <c r="C1209" s="32"/>
      <c r="D1209" s="33"/>
      <c r="E1209" s="34"/>
      <c r="F1209" s="34"/>
      <c r="G1209" s="35"/>
      <c r="H1209" s="34"/>
      <c r="I1209" s="37"/>
    </row>
    <row r="1210" ht="22.5" customHeight="1">
      <c r="A1210" s="30"/>
      <c r="B1210" s="31"/>
      <c r="C1210" s="32"/>
      <c r="D1210" s="33"/>
      <c r="E1210" s="34"/>
      <c r="F1210" s="34"/>
      <c r="G1210" s="35"/>
      <c r="H1210" s="34"/>
      <c r="I1210" s="37"/>
    </row>
    <row r="1211" ht="22.5" customHeight="1">
      <c r="A1211" s="30"/>
      <c r="B1211" s="31"/>
      <c r="C1211" s="32"/>
      <c r="D1211" s="33"/>
      <c r="E1211" s="34"/>
      <c r="F1211" s="34"/>
      <c r="G1211" s="35"/>
      <c r="H1211" s="34"/>
      <c r="I1211" s="37"/>
    </row>
    <row r="1212" ht="22.5" customHeight="1">
      <c r="A1212" s="30"/>
      <c r="B1212" s="31"/>
      <c r="C1212" s="32"/>
      <c r="D1212" s="33"/>
      <c r="E1212" s="34"/>
      <c r="F1212" s="34"/>
      <c r="G1212" s="35"/>
      <c r="H1212" s="34"/>
      <c r="I1212" s="37"/>
    </row>
    <row r="1213" ht="22.5" customHeight="1">
      <c r="A1213" s="30"/>
      <c r="B1213" s="31"/>
      <c r="C1213" s="32"/>
      <c r="D1213" s="33"/>
      <c r="E1213" s="34"/>
      <c r="F1213" s="34"/>
      <c r="G1213" s="35"/>
      <c r="H1213" s="34"/>
      <c r="I1213" s="37"/>
    </row>
    <row r="1214" ht="22.5" customHeight="1">
      <c r="A1214" s="30"/>
      <c r="B1214" s="31"/>
      <c r="C1214" s="32"/>
      <c r="D1214" s="33"/>
      <c r="E1214" s="34"/>
      <c r="F1214" s="34"/>
      <c r="G1214" s="35"/>
      <c r="H1214" s="34"/>
      <c r="I1214" s="37"/>
    </row>
    <row r="1215" ht="22.5" customHeight="1">
      <c r="A1215" s="30"/>
      <c r="B1215" s="31"/>
      <c r="C1215" s="32"/>
      <c r="D1215" s="33"/>
      <c r="E1215" s="34"/>
      <c r="F1215" s="34"/>
      <c r="G1215" s="35"/>
      <c r="H1215" s="34"/>
      <c r="I1215" s="37"/>
    </row>
    <row r="1216" ht="22.5" customHeight="1">
      <c r="A1216" s="30"/>
      <c r="B1216" s="40"/>
      <c r="C1216" s="32"/>
      <c r="D1216" s="33"/>
      <c r="E1216" s="34"/>
      <c r="F1216" s="34"/>
      <c r="G1216" s="35"/>
      <c r="H1216" s="34"/>
      <c r="I1216" s="37"/>
    </row>
    <row r="1217" ht="22.5" customHeight="1">
      <c r="A1217" s="30"/>
      <c r="B1217" s="31"/>
      <c r="C1217" s="32"/>
      <c r="D1217" s="33"/>
      <c r="E1217" s="34"/>
      <c r="F1217" s="34"/>
      <c r="G1217" s="35"/>
      <c r="H1217" s="34"/>
      <c r="I1217" s="37"/>
    </row>
    <row r="1218" ht="22.5" customHeight="1">
      <c r="A1218" s="30"/>
      <c r="B1218" s="31"/>
      <c r="C1218" s="32"/>
      <c r="D1218" s="33"/>
      <c r="E1218" s="34"/>
      <c r="F1218" s="34"/>
      <c r="G1218" s="35"/>
      <c r="H1218" s="34"/>
      <c r="I1218" s="37"/>
    </row>
    <row r="1219" ht="22.5" customHeight="1">
      <c r="A1219" s="30"/>
      <c r="B1219" s="31"/>
      <c r="C1219" s="32"/>
      <c r="D1219" s="33"/>
      <c r="E1219" s="34"/>
      <c r="F1219" s="34"/>
      <c r="G1219" s="35"/>
      <c r="H1219" s="34"/>
      <c r="I1219" s="37"/>
    </row>
    <row r="1220" ht="22.5" customHeight="1">
      <c r="A1220" s="30"/>
      <c r="B1220" s="40"/>
      <c r="C1220" s="32"/>
      <c r="D1220" s="33"/>
      <c r="E1220" s="34"/>
      <c r="F1220" s="34"/>
      <c r="G1220" s="35"/>
      <c r="H1220" s="34"/>
      <c r="I1220" s="37"/>
    </row>
    <row r="1221" ht="22.5" customHeight="1">
      <c r="A1221" s="30"/>
      <c r="B1221" s="31"/>
      <c r="C1221" s="32"/>
      <c r="D1221" s="33"/>
      <c r="E1221" s="34"/>
      <c r="F1221" s="34"/>
      <c r="G1221" s="35"/>
      <c r="H1221" s="34"/>
      <c r="I1221" s="37"/>
    </row>
    <row r="1222" ht="22.5" customHeight="1">
      <c r="A1222" s="30"/>
      <c r="B1222" s="31"/>
      <c r="C1222" s="32"/>
      <c r="D1222" s="33"/>
      <c r="E1222" s="34"/>
      <c r="F1222" s="34"/>
      <c r="G1222" s="35"/>
      <c r="H1222" s="34"/>
      <c r="I1222" s="37"/>
    </row>
    <row r="1223" ht="22.5" customHeight="1">
      <c r="A1223" s="30"/>
      <c r="B1223" s="31"/>
      <c r="C1223" s="32"/>
      <c r="D1223" s="33"/>
      <c r="E1223" s="34"/>
      <c r="F1223" s="34"/>
      <c r="G1223" s="35"/>
      <c r="H1223" s="34"/>
      <c r="I1223" s="37"/>
    </row>
    <row r="1224" ht="22.5" customHeight="1">
      <c r="A1224" s="30"/>
      <c r="B1224" s="31"/>
      <c r="C1224" s="32"/>
      <c r="D1224" s="33"/>
      <c r="E1224" s="34"/>
      <c r="F1224" s="34"/>
      <c r="G1224" s="35"/>
      <c r="H1224" s="34"/>
      <c r="I1224" s="37"/>
    </row>
    <row r="1225" ht="22.5" customHeight="1">
      <c r="A1225" s="30"/>
      <c r="B1225" s="31"/>
      <c r="C1225" s="32"/>
      <c r="D1225" s="33"/>
      <c r="E1225" s="34"/>
      <c r="F1225" s="34"/>
      <c r="G1225" s="35"/>
      <c r="H1225" s="34"/>
      <c r="I1225" s="37"/>
    </row>
    <row r="1226" ht="22.5" customHeight="1">
      <c r="A1226" s="30"/>
      <c r="B1226" s="31"/>
      <c r="C1226" s="32"/>
      <c r="D1226" s="33"/>
      <c r="E1226" s="34"/>
      <c r="F1226" s="34"/>
      <c r="G1226" s="35"/>
      <c r="H1226" s="34"/>
      <c r="I1226" s="37"/>
    </row>
    <row r="1227" ht="22.5" customHeight="1">
      <c r="A1227" s="30"/>
      <c r="B1227" s="31"/>
      <c r="C1227" s="32"/>
      <c r="D1227" s="33"/>
      <c r="E1227" s="34"/>
      <c r="F1227" s="34"/>
      <c r="G1227" s="35"/>
      <c r="H1227" s="34"/>
      <c r="I1227" s="37"/>
    </row>
    <row r="1228" ht="22.5" customHeight="1">
      <c r="A1228" s="30"/>
      <c r="B1228" s="31"/>
      <c r="C1228" s="32"/>
      <c r="D1228" s="33"/>
      <c r="E1228" s="34"/>
      <c r="F1228" s="34"/>
      <c r="G1228" s="35"/>
      <c r="H1228" s="34"/>
      <c r="I1228" s="37"/>
    </row>
    <row r="1229" ht="22.5" customHeight="1">
      <c r="A1229" s="30"/>
      <c r="B1229" s="31"/>
      <c r="C1229" s="32"/>
      <c r="D1229" s="33"/>
      <c r="E1229" s="34"/>
      <c r="F1229" s="34"/>
      <c r="G1229" s="35"/>
      <c r="H1229" s="34"/>
      <c r="I1229" s="37"/>
    </row>
    <row r="1230" ht="22.5" customHeight="1">
      <c r="A1230" s="30"/>
      <c r="B1230" s="31"/>
      <c r="C1230" s="32"/>
      <c r="D1230" s="33"/>
      <c r="E1230" s="34"/>
      <c r="F1230" s="34"/>
      <c r="G1230" s="35"/>
      <c r="H1230" s="34"/>
      <c r="I1230" s="37"/>
    </row>
    <row r="1231" ht="22.5" customHeight="1">
      <c r="A1231" s="30"/>
      <c r="B1231" s="31"/>
      <c r="C1231" s="32"/>
      <c r="D1231" s="33"/>
      <c r="E1231" s="34"/>
      <c r="F1231" s="34"/>
      <c r="G1231" s="35"/>
      <c r="H1231" s="34"/>
      <c r="I1231" s="37"/>
    </row>
    <row r="1232" ht="22.5" customHeight="1">
      <c r="A1232" s="30"/>
      <c r="B1232" s="31"/>
      <c r="C1232" s="32"/>
      <c r="D1232" s="33"/>
      <c r="E1232" s="34"/>
      <c r="F1232" s="34"/>
      <c r="G1232" s="35"/>
      <c r="H1232" s="34"/>
      <c r="I1232" s="37"/>
    </row>
    <row r="1233" ht="22.5" customHeight="1">
      <c r="A1233" s="30"/>
      <c r="B1233" s="31"/>
      <c r="C1233" s="32"/>
      <c r="D1233" s="33"/>
      <c r="E1233" s="34"/>
      <c r="F1233" s="34"/>
      <c r="G1233" s="35"/>
      <c r="H1233" s="34"/>
      <c r="I1233" s="37"/>
    </row>
    <row r="1234" ht="22.5" customHeight="1">
      <c r="A1234" s="30"/>
      <c r="B1234" s="31"/>
      <c r="C1234" s="32"/>
      <c r="D1234" s="33"/>
      <c r="E1234" s="34"/>
      <c r="F1234" s="34"/>
      <c r="G1234" s="35"/>
      <c r="H1234" s="34"/>
      <c r="I1234" s="37"/>
    </row>
    <row r="1235" ht="22.5" customHeight="1">
      <c r="A1235" s="30"/>
      <c r="B1235" s="40"/>
      <c r="C1235" s="32"/>
      <c r="D1235" s="33"/>
      <c r="E1235" s="34"/>
      <c r="F1235" s="34"/>
      <c r="G1235" s="35"/>
      <c r="H1235" s="34"/>
      <c r="I1235" s="37"/>
    </row>
    <row r="1236" ht="22.5" customHeight="1">
      <c r="A1236" s="30"/>
      <c r="B1236" s="31"/>
      <c r="C1236" s="32"/>
      <c r="D1236" s="33"/>
      <c r="E1236" s="34"/>
      <c r="F1236" s="34"/>
      <c r="G1236" s="35"/>
      <c r="H1236" s="34"/>
      <c r="I1236" s="37"/>
    </row>
    <row r="1237" ht="22.5" customHeight="1">
      <c r="A1237" s="30"/>
      <c r="B1237" s="40"/>
      <c r="C1237" s="32"/>
      <c r="D1237" s="33"/>
      <c r="E1237" s="34"/>
      <c r="F1237" s="34"/>
      <c r="G1237" s="35"/>
      <c r="H1237" s="34"/>
      <c r="I1237" s="37"/>
    </row>
    <row r="1238" ht="22.5" customHeight="1">
      <c r="A1238" s="30"/>
      <c r="B1238" s="31"/>
      <c r="C1238" s="32"/>
      <c r="D1238" s="33"/>
      <c r="E1238" s="34"/>
      <c r="F1238" s="34"/>
      <c r="G1238" s="35"/>
      <c r="H1238" s="34"/>
      <c r="I1238" s="37"/>
    </row>
    <row r="1239" ht="22.5" customHeight="1">
      <c r="A1239" s="30"/>
      <c r="B1239" s="31"/>
      <c r="C1239" s="32"/>
      <c r="D1239" s="33"/>
      <c r="E1239" s="34"/>
      <c r="F1239" s="34"/>
      <c r="G1239" s="35"/>
      <c r="H1239" s="34"/>
      <c r="I1239" s="37"/>
    </row>
    <row r="1240" ht="22.5" customHeight="1">
      <c r="A1240" s="30"/>
      <c r="B1240" s="31"/>
      <c r="C1240" s="32"/>
      <c r="D1240" s="33"/>
      <c r="E1240" s="34"/>
      <c r="F1240" s="34"/>
      <c r="G1240" s="35"/>
      <c r="H1240" s="34"/>
      <c r="I1240" s="37"/>
    </row>
    <row r="1241" ht="22.5" customHeight="1">
      <c r="A1241" s="30"/>
      <c r="B1241" s="31"/>
      <c r="C1241" s="32"/>
      <c r="D1241" s="33"/>
      <c r="E1241" s="34"/>
      <c r="F1241" s="34"/>
      <c r="G1241" s="35"/>
      <c r="H1241" s="34"/>
      <c r="I1241" s="37"/>
    </row>
    <row r="1242" ht="22.5" customHeight="1">
      <c r="A1242" s="30"/>
      <c r="B1242" s="40"/>
      <c r="C1242" s="32"/>
      <c r="D1242" s="33"/>
      <c r="E1242" s="34"/>
      <c r="F1242" s="34"/>
      <c r="G1242" s="35"/>
      <c r="H1242" s="34"/>
      <c r="I1242" s="37"/>
    </row>
    <row r="1243" ht="22.5" customHeight="1">
      <c r="A1243" s="30"/>
      <c r="B1243" s="31"/>
      <c r="C1243" s="32"/>
      <c r="D1243" s="33"/>
      <c r="E1243" s="34"/>
      <c r="F1243" s="34"/>
      <c r="G1243" s="35"/>
      <c r="H1243" s="34"/>
      <c r="I1243" s="37"/>
    </row>
    <row r="1244" ht="22.5" customHeight="1">
      <c r="A1244" s="30"/>
      <c r="B1244" s="31"/>
      <c r="C1244" s="32"/>
      <c r="D1244" s="33"/>
      <c r="E1244" s="34"/>
      <c r="F1244" s="34"/>
      <c r="G1244" s="35"/>
      <c r="H1244" s="34"/>
      <c r="I1244" s="37"/>
    </row>
    <row r="1245" ht="22.5" customHeight="1">
      <c r="A1245" s="30"/>
      <c r="B1245" s="31"/>
      <c r="C1245" s="32"/>
      <c r="D1245" s="33"/>
      <c r="E1245" s="34"/>
      <c r="F1245" s="34"/>
      <c r="G1245" s="35"/>
      <c r="H1245" s="34"/>
      <c r="I1245" s="37"/>
    </row>
    <row r="1246" ht="22.5" customHeight="1">
      <c r="A1246" s="30"/>
      <c r="B1246" s="31"/>
      <c r="C1246" s="32"/>
      <c r="D1246" s="33"/>
      <c r="E1246" s="34"/>
      <c r="F1246" s="34"/>
      <c r="G1246" s="35"/>
      <c r="H1246" s="34"/>
      <c r="I1246" s="37"/>
    </row>
    <row r="1247" ht="22.5" customHeight="1">
      <c r="A1247" s="30"/>
      <c r="B1247" s="31"/>
      <c r="C1247" s="32"/>
      <c r="D1247" s="33"/>
      <c r="E1247" s="34"/>
      <c r="F1247" s="34"/>
      <c r="G1247" s="35"/>
      <c r="H1247" s="34"/>
      <c r="I1247" s="37"/>
    </row>
    <row r="1248" ht="22.5" customHeight="1">
      <c r="A1248" s="30"/>
      <c r="B1248" s="31"/>
      <c r="C1248" s="32"/>
      <c r="D1248" s="33"/>
      <c r="E1248" s="34"/>
      <c r="F1248" s="34"/>
      <c r="G1248" s="35"/>
      <c r="H1248" s="34"/>
      <c r="I1248" s="37"/>
    </row>
    <row r="1249" ht="22.5" customHeight="1">
      <c r="A1249" s="30"/>
      <c r="B1249" s="31"/>
      <c r="C1249" s="32"/>
      <c r="D1249" s="33"/>
      <c r="E1249" s="34"/>
      <c r="F1249" s="34"/>
      <c r="G1249" s="35"/>
      <c r="H1249" s="34"/>
      <c r="I1249" s="37"/>
    </row>
    <row r="1250" ht="22.5" customHeight="1">
      <c r="A1250" s="30"/>
      <c r="B1250" s="31"/>
      <c r="C1250" s="32"/>
      <c r="D1250" s="33"/>
      <c r="E1250" s="34"/>
      <c r="F1250" s="34"/>
      <c r="G1250" s="35"/>
      <c r="H1250" s="34"/>
      <c r="I1250" s="37"/>
    </row>
    <row r="1251" ht="22.5" customHeight="1">
      <c r="A1251" s="30"/>
      <c r="B1251" s="31"/>
      <c r="C1251" s="32"/>
      <c r="D1251" s="33"/>
      <c r="E1251" s="34"/>
      <c r="F1251" s="34"/>
      <c r="G1251" s="35"/>
      <c r="H1251" s="34"/>
      <c r="I1251" s="37"/>
    </row>
    <row r="1252" ht="22.5" customHeight="1">
      <c r="A1252" s="30"/>
      <c r="B1252" s="31"/>
      <c r="C1252" s="32"/>
      <c r="D1252" s="33"/>
      <c r="E1252" s="34"/>
      <c r="F1252" s="34"/>
      <c r="G1252" s="35"/>
      <c r="H1252" s="34"/>
      <c r="I1252" s="37"/>
    </row>
    <row r="1253" ht="22.5" customHeight="1">
      <c r="A1253" s="30"/>
      <c r="B1253" s="31"/>
      <c r="C1253" s="32"/>
      <c r="D1253" s="33"/>
      <c r="E1253" s="34"/>
      <c r="F1253" s="34"/>
      <c r="G1253" s="35"/>
      <c r="H1253" s="34"/>
      <c r="I1253" s="37"/>
    </row>
    <row r="1254" ht="22.5" customHeight="1">
      <c r="A1254" s="30"/>
      <c r="B1254" s="31"/>
      <c r="C1254" s="32"/>
      <c r="D1254" s="33"/>
      <c r="E1254" s="34"/>
      <c r="F1254" s="34"/>
      <c r="G1254" s="35"/>
      <c r="H1254" s="34"/>
      <c r="I1254" s="37"/>
    </row>
    <row r="1255" ht="22.5" customHeight="1">
      <c r="A1255" s="30"/>
      <c r="B1255" s="31"/>
      <c r="C1255" s="32"/>
      <c r="D1255" s="33"/>
      <c r="E1255" s="34"/>
      <c r="F1255" s="34"/>
      <c r="G1255" s="35"/>
      <c r="H1255" s="34"/>
      <c r="I1255" s="37"/>
    </row>
    <row r="1256" ht="22.5" customHeight="1">
      <c r="A1256" s="30"/>
      <c r="B1256" s="31"/>
      <c r="C1256" s="32"/>
      <c r="D1256" s="33"/>
      <c r="E1256" s="34"/>
      <c r="F1256" s="34"/>
      <c r="G1256" s="35"/>
      <c r="H1256" s="34"/>
      <c r="I1256" s="37"/>
    </row>
    <row r="1257" ht="22.5" customHeight="1">
      <c r="A1257" s="30"/>
      <c r="B1257" s="31"/>
      <c r="C1257" s="32"/>
      <c r="D1257" s="33"/>
      <c r="E1257" s="34"/>
      <c r="F1257" s="34"/>
      <c r="G1257" s="35"/>
      <c r="H1257" s="34"/>
      <c r="I1257" s="37"/>
    </row>
    <row r="1258" ht="22.5" customHeight="1">
      <c r="A1258" s="30"/>
      <c r="B1258" s="31"/>
      <c r="C1258" s="32"/>
      <c r="D1258" s="33"/>
      <c r="E1258" s="34"/>
      <c r="F1258" s="34"/>
      <c r="G1258" s="35"/>
      <c r="H1258" s="34"/>
      <c r="I1258" s="37"/>
    </row>
    <row r="1259" ht="22.5" customHeight="1">
      <c r="A1259" s="30"/>
      <c r="B1259" s="31"/>
      <c r="C1259" s="32"/>
      <c r="D1259" s="33"/>
      <c r="E1259" s="34"/>
      <c r="F1259" s="34"/>
      <c r="G1259" s="35"/>
      <c r="H1259" s="34"/>
      <c r="I1259" s="37"/>
    </row>
    <row r="1260" ht="22.5" customHeight="1">
      <c r="A1260" s="30"/>
      <c r="B1260" s="31"/>
      <c r="C1260" s="32"/>
      <c r="D1260" s="33"/>
      <c r="E1260" s="34"/>
      <c r="F1260" s="34"/>
      <c r="G1260" s="35"/>
      <c r="H1260" s="34"/>
      <c r="I1260" s="37"/>
    </row>
    <row r="1261" ht="22.5" customHeight="1">
      <c r="A1261" s="30"/>
      <c r="B1261" s="31"/>
      <c r="C1261" s="32"/>
      <c r="D1261" s="33"/>
      <c r="E1261" s="34"/>
      <c r="F1261" s="34"/>
      <c r="G1261" s="35"/>
      <c r="H1261" s="34"/>
      <c r="I1261" s="37"/>
    </row>
    <row r="1262" ht="22.5" customHeight="1">
      <c r="A1262" s="30"/>
      <c r="B1262" s="31"/>
      <c r="C1262" s="32"/>
      <c r="D1262" s="33"/>
      <c r="E1262" s="34"/>
      <c r="F1262" s="34"/>
      <c r="G1262" s="35"/>
      <c r="H1262" s="34"/>
      <c r="I1262" s="37"/>
    </row>
    <row r="1263" ht="22.5" customHeight="1">
      <c r="A1263" s="30"/>
      <c r="B1263" s="31"/>
      <c r="C1263" s="32"/>
      <c r="D1263" s="33"/>
      <c r="E1263" s="34"/>
      <c r="F1263" s="34"/>
      <c r="G1263" s="35"/>
      <c r="H1263" s="34"/>
      <c r="I1263" s="37"/>
    </row>
    <row r="1264" ht="22.5" customHeight="1">
      <c r="A1264" s="30"/>
      <c r="B1264" s="40"/>
      <c r="C1264" s="32"/>
      <c r="D1264" s="33"/>
      <c r="E1264" s="34"/>
      <c r="F1264" s="34"/>
      <c r="G1264" s="35"/>
      <c r="H1264" s="34"/>
      <c r="I1264" s="37"/>
    </row>
    <row r="1265" ht="22.5" customHeight="1">
      <c r="A1265" s="30"/>
      <c r="B1265" s="31"/>
      <c r="C1265" s="32"/>
      <c r="D1265" s="33"/>
      <c r="E1265" s="34"/>
      <c r="F1265" s="34"/>
      <c r="G1265" s="35"/>
      <c r="H1265" s="34"/>
      <c r="I1265" s="37"/>
    </row>
    <row r="1266" ht="22.5" customHeight="1">
      <c r="A1266" s="30"/>
      <c r="B1266" s="31"/>
      <c r="C1266" s="32"/>
      <c r="D1266" s="33"/>
      <c r="E1266" s="34"/>
      <c r="F1266" s="34"/>
      <c r="G1266" s="35"/>
      <c r="H1266" s="34"/>
      <c r="I1266" s="37"/>
    </row>
    <row r="1267" ht="22.5" customHeight="1">
      <c r="A1267" s="30"/>
      <c r="B1267" s="31"/>
      <c r="C1267" s="32"/>
      <c r="D1267" s="33"/>
      <c r="E1267" s="34"/>
      <c r="F1267" s="34"/>
      <c r="G1267" s="35"/>
      <c r="H1267" s="34"/>
      <c r="I1267" s="37"/>
    </row>
    <row r="1268" ht="22.5" customHeight="1">
      <c r="A1268" s="30"/>
      <c r="B1268" s="31"/>
      <c r="C1268" s="32"/>
      <c r="D1268" s="33"/>
      <c r="E1268" s="34"/>
      <c r="F1268" s="34"/>
      <c r="G1268" s="35"/>
      <c r="H1268" s="34"/>
      <c r="I1268" s="38"/>
    </row>
    <row r="1269" ht="22.5" customHeight="1">
      <c r="A1269" s="30"/>
      <c r="B1269" s="39"/>
      <c r="C1269" s="32"/>
      <c r="D1269" s="33"/>
      <c r="E1269" s="34"/>
      <c r="F1269" s="34"/>
      <c r="G1269" s="35"/>
      <c r="H1269" s="34"/>
      <c r="I1269" s="37"/>
    </row>
    <row r="1270" ht="22.5" customHeight="1">
      <c r="A1270" s="30"/>
      <c r="B1270" s="31"/>
      <c r="C1270" s="32"/>
      <c r="D1270" s="33"/>
      <c r="E1270" s="34"/>
      <c r="F1270" s="34"/>
      <c r="G1270" s="35"/>
      <c r="H1270" s="34"/>
      <c r="I1270" s="37"/>
    </row>
    <row r="1271" ht="22.5" customHeight="1">
      <c r="A1271" s="30"/>
      <c r="B1271" s="31"/>
      <c r="C1271" s="32"/>
      <c r="D1271" s="33"/>
      <c r="E1271" s="34"/>
      <c r="F1271" s="34"/>
      <c r="G1271" s="35"/>
      <c r="H1271" s="34"/>
      <c r="I1271" s="37"/>
    </row>
    <row r="1272" ht="22.5" customHeight="1">
      <c r="A1272" s="30"/>
      <c r="B1272" s="31"/>
      <c r="C1272" s="32"/>
      <c r="D1272" s="33"/>
      <c r="E1272" s="34"/>
      <c r="F1272" s="34"/>
      <c r="G1272" s="35"/>
      <c r="H1272" s="34"/>
      <c r="I1272" s="37"/>
    </row>
    <row r="1273" ht="22.5" customHeight="1">
      <c r="A1273" s="30"/>
      <c r="B1273" s="39"/>
      <c r="C1273" s="32"/>
      <c r="D1273" s="33"/>
      <c r="E1273" s="34"/>
      <c r="F1273" s="34"/>
      <c r="G1273" s="35"/>
      <c r="H1273" s="34"/>
      <c r="I1273" s="37"/>
    </row>
    <row r="1274" ht="22.5" customHeight="1">
      <c r="A1274" s="30"/>
      <c r="B1274" s="31"/>
      <c r="C1274" s="32"/>
      <c r="D1274" s="33"/>
      <c r="E1274" s="34"/>
      <c r="F1274" s="34"/>
      <c r="G1274" s="35"/>
      <c r="H1274" s="34"/>
      <c r="I1274" s="37"/>
    </row>
    <row r="1275" ht="22.5" customHeight="1">
      <c r="A1275" s="30"/>
      <c r="B1275" s="39"/>
      <c r="C1275" s="32"/>
      <c r="D1275" s="33"/>
      <c r="E1275" s="34"/>
      <c r="F1275" s="34"/>
      <c r="G1275" s="35"/>
      <c r="H1275" s="34"/>
      <c r="I1275" s="37"/>
    </row>
    <row r="1276" ht="22.5" customHeight="1">
      <c r="A1276" s="30"/>
      <c r="B1276" s="31"/>
      <c r="C1276" s="32"/>
      <c r="D1276" s="33"/>
      <c r="E1276" s="34"/>
      <c r="F1276" s="34"/>
      <c r="G1276" s="35"/>
      <c r="H1276" s="34"/>
      <c r="I1276" s="37"/>
    </row>
    <row r="1277" ht="22.5" customHeight="1">
      <c r="A1277" s="30"/>
      <c r="B1277" s="31"/>
      <c r="C1277" s="32"/>
      <c r="D1277" s="33"/>
      <c r="E1277" s="34"/>
      <c r="F1277" s="34"/>
      <c r="G1277" s="35"/>
      <c r="H1277" s="34"/>
      <c r="I1277" s="37"/>
    </row>
    <row r="1278" ht="22.5" customHeight="1">
      <c r="A1278" s="30"/>
      <c r="B1278" s="31"/>
      <c r="C1278" s="32"/>
      <c r="D1278" s="33"/>
      <c r="E1278" s="34"/>
      <c r="F1278" s="34"/>
      <c r="G1278" s="35"/>
      <c r="H1278" s="34"/>
      <c r="I1278" s="37"/>
    </row>
    <row r="1279" ht="22.5" customHeight="1">
      <c r="A1279" s="30"/>
      <c r="B1279" s="31"/>
      <c r="C1279" s="32"/>
      <c r="D1279" s="33"/>
      <c r="E1279" s="34"/>
      <c r="F1279" s="34"/>
      <c r="G1279" s="35"/>
      <c r="H1279" s="34"/>
      <c r="I1279" s="37"/>
    </row>
    <row r="1280" ht="22.5" customHeight="1">
      <c r="A1280" s="30"/>
      <c r="B1280" s="31"/>
      <c r="C1280" s="32"/>
      <c r="D1280" s="33"/>
      <c r="E1280" s="34"/>
      <c r="F1280" s="34"/>
      <c r="G1280" s="35"/>
      <c r="H1280" s="34"/>
      <c r="I1280" s="37"/>
    </row>
    <row r="1281" ht="22.5" customHeight="1">
      <c r="A1281" s="30"/>
      <c r="B1281" s="31"/>
      <c r="C1281" s="32"/>
      <c r="D1281" s="33"/>
      <c r="E1281" s="34"/>
      <c r="F1281" s="34"/>
      <c r="G1281" s="35"/>
      <c r="H1281" s="34"/>
      <c r="I1281" s="37"/>
    </row>
    <row r="1282" ht="22.5" customHeight="1">
      <c r="A1282" s="30"/>
      <c r="B1282" s="31"/>
      <c r="C1282" s="32"/>
      <c r="D1282" s="33"/>
      <c r="E1282" s="34"/>
      <c r="F1282" s="34"/>
      <c r="G1282" s="35"/>
      <c r="H1282" s="34"/>
      <c r="I1282" s="37"/>
    </row>
    <row r="1283" ht="22.5" customHeight="1">
      <c r="A1283" s="30"/>
      <c r="B1283" s="31"/>
      <c r="C1283" s="32"/>
      <c r="D1283" s="33"/>
      <c r="E1283" s="34"/>
      <c r="F1283" s="34"/>
      <c r="G1283" s="35"/>
      <c r="H1283" s="34"/>
      <c r="I1283" s="37"/>
    </row>
    <row r="1284" ht="22.5" customHeight="1">
      <c r="A1284" s="30"/>
      <c r="B1284" s="31"/>
      <c r="C1284" s="32"/>
      <c r="D1284" s="33"/>
      <c r="E1284" s="34"/>
      <c r="F1284" s="34"/>
      <c r="G1284" s="35"/>
      <c r="H1284" s="34"/>
      <c r="I1284" s="37"/>
    </row>
    <row r="1285" ht="22.5" customHeight="1">
      <c r="A1285" s="30"/>
      <c r="B1285" s="31"/>
      <c r="C1285" s="32"/>
      <c r="D1285" s="33"/>
      <c r="E1285" s="34"/>
      <c r="F1285" s="34"/>
      <c r="G1285" s="35"/>
      <c r="H1285" s="34"/>
      <c r="I1285" s="37"/>
    </row>
    <row r="1286" ht="22.5" customHeight="1">
      <c r="A1286" s="30"/>
      <c r="B1286" s="40"/>
      <c r="C1286" s="32"/>
      <c r="D1286" s="33"/>
      <c r="E1286" s="34"/>
      <c r="F1286" s="34"/>
      <c r="G1286" s="35"/>
      <c r="H1286" s="34"/>
      <c r="I1286" s="37"/>
    </row>
    <row r="1287" ht="22.5" customHeight="1">
      <c r="A1287" s="30"/>
      <c r="B1287" s="31"/>
      <c r="C1287" s="32"/>
      <c r="D1287" s="33"/>
      <c r="E1287" s="34"/>
      <c r="F1287" s="34"/>
      <c r="G1287" s="35"/>
      <c r="H1287" s="34"/>
      <c r="I1287" s="37"/>
    </row>
    <row r="1288" ht="22.5" customHeight="1">
      <c r="A1288" s="30"/>
      <c r="B1288" s="31"/>
      <c r="C1288" s="32"/>
      <c r="D1288" s="33"/>
      <c r="E1288" s="34"/>
      <c r="F1288" s="34"/>
      <c r="G1288" s="35"/>
      <c r="H1288" s="34"/>
      <c r="I1288" s="37"/>
    </row>
    <row r="1289" ht="22.5" customHeight="1">
      <c r="A1289" s="30"/>
      <c r="B1289" s="31"/>
      <c r="C1289" s="32"/>
      <c r="D1289" s="33"/>
      <c r="E1289" s="34"/>
      <c r="F1289" s="34"/>
      <c r="G1289" s="35"/>
      <c r="H1289" s="34"/>
      <c r="I1289" s="37"/>
    </row>
    <row r="1290" ht="22.5" customHeight="1">
      <c r="A1290" s="30"/>
      <c r="B1290" s="31"/>
      <c r="C1290" s="32"/>
      <c r="D1290" s="33"/>
      <c r="E1290" s="34"/>
      <c r="F1290" s="34"/>
      <c r="G1290" s="35"/>
      <c r="H1290" s="34"/>
      <c r="I1290" s="37"/>
    </row>
    <row r="1291" ht="22.5" customHeight="1">
      <c r="A1291" s="30"/>
      <c r="B1291" s="31"/>
      <c r="C1291" s="32"/>
      <c r="D1291" s="33"/>
      <c r="E1291" s="34"/>
      <c r="F1291" s="34"/>
      <c r="G1291" s="35"/>
      <c r="H1291" s="34"/>
      <c r="I1291" s="37"/>
    </row>
    <row r="1292" ht="22.5" customHeight="1">
      <c r="A1292" s="30"/>
      <c r="B1292" s="31"/>
      <c r="C1292" s="32"/>
      <c r="D1292" s="33"/>
      <c r="E1292" s="34"/>
      <c r="F1292" s="34"/>
      <c r="G1292" s="35"/>
      <c r="H1292" s="34"/>
      <c r="I1292" s="37"/>
    </row>
    <row r="1293" ht="22.5" customHeight="1">
      <c r="A1293" s="30"/>
      <c r="B1293" s="39"/>
      <c r="C1293" s="32"/>
      <c r="D1293" s="33"/>
      <c r="E1293" s="34"/>
      <c r="F1293" s="34"/>
      <c r="G1293" s="35"/>
      <c r="H1293" s="34"/>
      <c r="I1293" s="37"/>
    </row>
    <row r="1294" ht="22.5" customHeight="1">
      <c r="A1294" s="30"/>
      <c r="B1294" s="39"/>
      <c r="C1294" s="32"/>
      <c r="D1294" s="33"/>
      <c r="E1294" s="34"/>
      <c r="F1294" s="34"/>
      <c r="G1294" s="35"/>
      <c r="H1294" s="34"/>
      <c r="I1294" s="37"/>
    </row>
    <row r="1295" ht="22.5" customHeight="1">
      <c r="A1295" s="30"/>
      <c r="B1295" s="39"/>
      <c r="C1295" s="32"/>
      <c r="D1295" s="33"/>
      <c r="E1295" s="34"/>
      <c r="F1295" s="34"/>
      <c r="G1295" s="35"/>
      <c r="H1295" s="34"/>
      <c r="I1295" s="37"/>
    </row>
    <row r="1296" ht="22.5" customHeight="1">
      <c r="A1296" s="30"/>
      <c r="B1296" s="40"/>
      <c r="C1296" s="32"/>
      <c r="D1296" s="33"/>
      <c r="E1296" s="34"/>
      <c r="F1296" s="34"/>
      <c r="G1296" s="35"/>
      <c r="H1296" s="34"/>
      <c r="I1296" s="37"/>
    </row>
    <row r="1297" ht="22.5" customHeight="1">
      <c r="A1297" s="30"/>
      <c r="B1297" s="31"/>
      <c r="C1297" s="32"/>
      <c r="D1297" s="33"/>
      <c r="E1297" s="34"/>
      <c r="F1297" s="34"/>
      <c r="G1297" s="35"/>
      <c r="H1297" s="34"/>
      <c r="I1297" s="37"/>
    </row>
    <row r="1298" ht="22.5" customHeight="1">
      <c r="A1298" s="30"/>
      <c r="B1298" s="31"/>
      <c r="C1298" s="32"/>
      <c r="D1298" s="33"/>
      <c r="E1298" s="34"/>
      <c r="F1298" s="34"/>
      <c r="G1298" s="35"/>
      <c r="H1298" s="34"/>
      <c r="I1298" s="37"/>
    </row>
    <row r="1299" ht="22.5" customHeight="1">
      <c r="A1299" s="30"/>
      <c r="B1299" s="31"/>
      <c r="C1299" s="32"/>
      <c r="D1299" s="33"/>
      <c r="E1299" s="34"/>
      <c r="F1299" s="34"/>
      <c r="G1299" s="35"/>
      <c r="H1299" s="34"/>
      <c r="I1299" s="37"/>
    </row>
    <row r="1300" ht="22.5" customHeight="1">
      <c r="A1300" s="30"/>
      <c r="B1300" s="31"/>
      <c r="C1300" s="32"/>
      <c r="D1300" s="33"/>
      <c r="E1300" s="34"/>
      <c r="F1300" s="34"/>
      <c r="G1300" s="35"/>
      <c r="H1300" s="34"/>
      <c r="I1300" s="37"/>
    </row>
    <row r="1301" ht="22.5" customHeight="1">
      <c r="A1301" s="30"/>
      <c r="B1301" s="31"/>
      <c r="C1301" s="32"/>
      <c r="D1301" s="33"/>
      <c r="E1301" s="34"/>
      <c r="F1301" s="34"/>
      <c r="G1301" s="35"/>
      <c r="H1301" s="34"/>
      <c r="I1301" s="37"/>
    </row>
    <row r="1302" ht="22.5" customHeight="1">
      <c r="A1302" s="30"/>
      <c r="B1302" s="31"/>
      <c r="C1302" s="32"/>
      <c r="D1302" s="33"/>
      <c r="E1302" s="34"/>
      <c r="F1302" s="34"/>
      <c r="G1302" s="35"/>
      <c r="H1302" s="34"/>
      <c r="I1302" s="37"/>
    </row>
    <row r="1303" ht="22.5" customHeight="1">
      <c r="A1303" s="30"/>
      <c r="B1303" s="31"/>
      <c r="C1303" s="32"/>
      <c r="D1303" s="33"/>
      <c r="E1303" s="34"/>
      <c r="F1303" s="34"/>
      <c r="G1303" s="35"/>
      <c r="H1303" s="34"/>
      <c r="I1303" s="37"/>
    </row>
    <row r="1304" ht="22.5" customHeight="1">
      <c r="A1304" s="30"/>
      <c r="B1304" s="31"/>
      <c r="C1304" s="32"/>
      <c r="D1304" s="33"/>
      <c r="E1304" s="34"/>
      <c r="F1304" s="34"/>
      <c r="G1304" s="35"/>
      <c r="H1304" s="34"/>
      <c r="I1304" s="37"/>
    </row>
    <row r="1305" ht="22.5" customHeight="1">
      <c r="A1305" s="30"/>
      <c r="B1305" s="31"/>
      <c r="C1305" s="32"/>
      <c r="D1305" s="33"/>
      <c r="E1305" s="34"/>
      <c r="F1305" s="34"/>
      <c r="G1305" s="35"/>
      <c r="H1305" s="34"/>
      <c r="I1305" s="37"/>
    </row>
    <row r="1306" ht="22.5" customHeight="1">
      <c r="A1306" s="30"/>
      <c r="B1306" s="40"/>
      <c r="C1306" s="32"/>
      <c r="D1306" s="33"/>
      <c r="E1306" s="34"/>
      <c r="F1306" s="34"/>
      <c r="G1306" s="35"/>
      <c r="H1306" s="34"/>
      <c r="I1306" s="37"/>
    </row>
    <row r="1307" ht="22.5" customHeight="1">
      <c r="A1307" s="30"/>
      <c r="B1307" s="31"/>
      <c r="C1307" s="32"/>
      <c r="D1307" s="33"/>
      <c r="E1307" s="34"/>
      <c r="F1307" s="34"/>
      <c r="G1307" s="35"/>
      <c r="H1307" s="34"/>
      <c r="I1307" s="37"/>
    </row>
    <row r="1308" ht="22.5" customHeight="1">
      <c r="A1308" s="30"/>
      <c r="B1308" s="31"/>
      <c r="C1308" s="32"/>
      <c r="D1308" s="33"/>
      <c r="E1308" s="34"/>
      <c r="F1308" s="34"/>
      <c r="G1308" s="35"/>
      <c r="H1308" s="34"/>
      <c r="I1308" s="37"/>
    </row>
    <row r="1309" ht="22.5" customHeight="1">
      <c r="A1309" s="30"/>
      <c r="B1309" s="31"/>
      <c r="C1309" s="32"/>
      <c r="D1309" s="33"/>
      <c r="E1309" s="34"/>
      <c r="F1309" s="34"/>
      <c r="G1309" s="35"/>
      <c r="H1309" s="34"/>
      <c r="I1309" s="37"/>
    </row>
    <row r="1310" ht="22.5" customHeight="1">
      <c r="A1310" s="30"/>
      <c r="B1310" s="40"/>
      <c r="C1310" s="32"/>
      <c r="D1310" s="33"/>
      <c r="E1310" s="34"/>
      <c r="F1310" s="34"/>
      <c r="G1310" s="35"/>
      <c r="H1310" s="34"/>
      <c r="I1310" s="37"/>
    </row>
    <row r="1311" ht="22.5" customHeight="1">
      <c r="A1311" s="30"/>
      <c r="B1311" s="31"/>
      <c r="C1311" s="32"/>
      <c r="D1311" s="33"/>
      <c r="E1311" s="34"/>
      <c r="F1311" s="34"/>
      <c r="G1311" s="35"/>
      <c r="H1311" s="34"/>
      <c r="I1311" s="37"/>
    </row>
    <row r="1312" ht="22.5" customHeight="1">
      <c r="A1312" s="30"/>
      <c r="B1312" s="31"/>
      <c r="C1312" s="32"/>
      <c r="D1312" s="33"/>
      <c r="E1312" s="34"/>
      <c r="F1312" s="34"/>
      <c r="G1312" s="35"/>
      <c r="H1312" s="34"/>
      <c r="I1312" s="37"/>
    </row>
    <row r="1313" ht="22.5" customHeight="1">
      <c r="A1313" s="30"/>
      <c r="B1313" s="31"/>
      <c r="C1313" s="32"/>
      <c r="D1313" s="33"/>
      <c r="E1313" s="34"/>
      <c r="F1313" s="34"/>
      <c r="G1313" s="35"/>
      <c r="H1313" s="34"/>
      <c r="I1313" s="37"/>
    </row>
    <row r="1314" ht="22.5" customHeight="1">
      <c r="A1314" s="30"/>
      <c r="B1314" s="31"/>
      <c r="C1314" s="32"/>
      <c r="D1314" s="33"/>
      <c r="E1314" s="34"/>
      <c r="F1314" s="34"/>
      <c r="G1314" s="35"/>
      <c r="H1314" s="34"/>
      <c r="I1314" s="37"/>
    </row>
    <row r="1315" ht="22.5" customHeight="1">
      <c r="A1315" s="30"/>
      <c r="B1315" s="31"/>
      <c r="C1315" s="32"/>
      <c r="D1315" s="33"/>
      <c r="E1315" s="34"/>
      <c r="F1315" s="34"/>
      <c r="G1315" s="35"/>
      <c r="H1315" s="34"/>
      <c r="I1315" s="37"/>
    </row>
    <row r="1316" ht="22.5" customHeight="1">
      <c r="A1316" s="30"/>
      <c r="B1316" s="31"/>
      <c r="C1316" s="32"/>
      <c r="D1316" s="33"/>
      <c r="E1316" s="34"/>
      <c r="F1316" s="34"/>
      <c r="G1316" s="35"/>
      <c r="H1316" s="34"/>
      <c r="I1316" s="37"/>
    </row>
    <row r="1317" ht="22.5" customHeight="1">
      <c r="A1317" s="30"/>
      <c r="B1317" s="31"/>
      <c r="C1317" s="32"/>
      <c r="D1317" s="33"/>
      <c r="E1317" s="34"/>
      <c r="F1317" s="34"/>
      <c r="G1317" s="35"/>
      <c r="H1317" s="34"/>
      <c r="I1317" s="37"/>
    </row>
    <row r="1318" ht="22.5" customHeight="1">
      <c r="A1318" s="30"/>
      <c r="B1318" s="31"/>
      <c r="C1318" s="32"/>
      <c r="D1318" s="33"/>
      <c r="E1318" s="34"/>
      <c r="F1318" s="34"/>
      <c r="G1318" s="35"/>
      <c r="H1318" s="34"/>
      <c r="I1318" s="37"/>
    </row>
    <row r="1319" ht="22.5" customHeight="1">
      <c r="A1319" s="30"/>
      <c r="B1319" s="31"/>
      <c r="C1319" s="32"/>
      <c r="D1319" s="33"/>
      <c r="E1319" s="34"/>
      <c r="F1319" s="34"/>
      <c r="G1319" s="35"/>
      <c r="H1319" s="34"/>
      <c r="I1319" s="37"/>
    </row>
    <row r="1320" ht="22.5" customHeight="1">
      <c r="A1320" s="30"/>
      <c r="B1320" s="31"/>
      <c r="C1320" s="32"/>
      <c r="D1320" s="33"/>
      <c r="E1320" s="34"/>
      <c r="F1320" s="34"/>
      <c r="G1320" s="35"/>
      <c r="H1320" s="34"/>
      <c r="I1320" s="37"/>
    </row>
    <row r="1321" ht="22.5" customHeight="1">
      <c r="A1321" s="30"/>
      <c r="B1321" s="31"/>
      <c r="C1321" s="32"/>
      <c r="D1321" s="33"/>
      <c r="E1321" s="34"/>
      <c r="F1321" s="34"/>
      <c r="G1321" s="35"/>
      <c r="H1321" s="34"/>
      <c r="I1321" s="37"/>
    </row>
    <row r="1322" ht="22.5" customHeight="1">
      <c r="A1322" s="30"/>
      <c r="B1322" s="31"/>
      <c r="C1322" s="32"/>
      <c r="D1322" s="33"/>
      <c r="E1322" s="34"/>
      <c r="F1322" s="34"/>
      <c r="G1322" s="35"/>
      <c r="H1322" s="34"/>
      <c r="I1322" s="37"/>
    </row>
    <row r="1323" ht="22.5" customHeight="1">
      <c r="A1323" s="30"/>
      <c r="B1323" s="31"/>
      <c r="C1323" s="32"/>
      <c r="D1323" s="33"/>
      <c r="E1323" s="34"/>
      <c r="F1323" s="34"/>
      <c r="G1323" s="35"/>
      <c r="H1323" s="34"/>
      <c r="I1323" s="37"/>
    </row>
    <row r="1324" ht="22.5" customHeight="1">
      <c r="A1324" s="30"/>
      <c r="B1324" s="31"/>
      <c r="C1324" s="32"/>
      <c r="D1324" s="33"/>
      <c r="E1324" s="34"/>
      <c r="F1324" s="34"/>
      <c r="G1324" s="35"/>
      <c r="H1324" s="34"/>
      <c r="I1324" s="37"/>
    </row>
    <row r="1325" ht="22.5" customHeight="1">
      <c r="A1325" s="30"/>
      <c r="B1325" s="40"/>
      <c r="C1325" s="32"/>
      <c r="D1325" s="33"/>
      <c r="E1325" s="34"/>
      <c r="F1325" s="34"/>
      <c r="G1325" s="35"/>
      <c r="H1325" s="34"/>
      <c r="I1325" s="37"/>
    </row>
    <row r="1326" ht="22.5" customHeight="1">
      <c r="A1326" s="30"/>
      <c r="B1326" s="31"/>
      <c r="C1326" s="32"/>
      <c r="D1326" s="33"/>
      <c r="E1326" s="34"/>
      <c r="F1326" s="34"/>
      <c r="G1326" s="35"/>
      <c r="H1326" s="34"/>
      <c r="I1326" s="37"/>
    </row>
    <row r="1327" ht="22.5" customHeight="1">
      <c r="A1327" s="30"/>
      <c r="B1327" s="40"/>
      <c r="C1327" s="32"/>
      <c r="D1327" s="33"/>
      <c r="E1327" s="34"/>
      <c r="F1327" s="34"/>
      <c r="G1327" s="35"/>
      <c r="H1327" s="34"/>
      <c r="I1327" s="37"/>
    </row>
    <row r="1328" ht="22.5" customHeight="1">
      <c r="A1328" s="30"/>
      <c r="B1328" s="31"/>
      <c r="C1328" s="32"/>
      <c r="D1328" s="33"/>
      <c r="E1328" s="34"/>
      <c r="F1328" s="34"/>
      <c r="G1328" s="35"/>
      <c r="H1328" s="34"/>
      <c r="I1328" s="37"/>
    </row>
    <row r="1329" ht="22.5" customHeight="1">
      <c r="A1329" s="30"/>
      <c r="B1329" s="31"/>
      <c r="C1329" s="32"/>
      <c r="D1329" s="33"/>
      <c r="E1329" s="34"/>
      <c r="F1329" s="34"/>
      <c r="G1329" s="35"/>
      <c r="H1329" s="34"/>
      <c r="I1329" s="37"/>
    </row>
    <row r="1330" ht="22.5" customHeight="1">
      <c r="A1330" s="30"/>
      <c r="B1330" s="31"/>
      <c r="C1330" s="32"/>
      <c r="D1330" s="33"/>
      <c r="E1330" s="34"/>
      <c r="F1330" s="34"/>
      <c r="G1330" s="35"/>
      <c r="H1330" s="34"/>
      <c r="I1330" s="37"/>
    </row>
    <row r="1331" ht="22.5" customHeight="1">
      <c r="A1331" s="30"/>
      <c r="B1331" s="31"/>
      <c r="C1331" s="32"/>
      <c r="D1331" s="33"/>
      <c r="E1331" s="34"/>
      <c r="F1331" s="34"/>
      <c r="G1331" s="35"/>
      <c r="H1331" s="34"/>
      <c r="I1331" s="37"/>
    </row>
    <row r="1332" ht="22.5" customHeight="1">
      <c r="A1332" s="30"/>
      <c r="B1332" s="40"/>
      <c r="C1332" s="32"/>
      <c r="D1332" s="33"/>
      <c r="E1332" s="34"/>
      <c r="F1332" s="34"/>
      <c r="G1332" s="35"/>
      <c r="H1332" s="34"/>
      <c r="I1332" s="37"/>
    </row>
    <row r="1333" ht="22.5" customHeight="1">
      <c r="A1333" s="30"/>
      <c r="B1333" s="31"/>
      <c r="C1333" s="32"/>
      <c r="D1333" s="33"/>
      <c r="E1333" s="34"/>
      <c r="F1333" s="34"/>
      <c r="G1333" s="35"/>
      <c r="H1333" s="34"/>
      <c r="I1333" s="37"/>
    </row>
    <row r="1334" ht="22.5" customHeight="1">
      <c r="A1334" s="30"/>
      <c r="B1334" s="31"/>
      <c r="C1334" s="32"/>
      <c r="D1334" s="33"/>
      <c r="E1334" s="34"/>
      <c r="F1334" s="34"/>
      <c r="G1334" s="35"/>
      <c r="H1334" s="34"/>
      <c r="I1334" s="37"/>
    </row>
    <row r="1335" ht="22.5" customHeight="1">
      <c r="A1335" s="30"/>
      <c r="B1335" s="31"/>
      <c r="C1335" s="32"/>
      <c r="D1335" s="33"/>
      <c r="E1335" s="34"/>
      <c r="F1335" s="34"/>
      <c r="G1335" s="35"/>
      <c r="H1335" s="34"/>
      <c r="I1335" s="37"/>
    </row>
    <row r="1336" ht="22.5" customHeight="1">
      <c r="A1336" s="30"/>
      <c r="B1336" s="31"/>
      <c r="C1336" s="32"/>
      <c r="D1336" s="33"/>
      <c r="E1336" s="34"/>
      <c r="F1336" s="34"/>
      <c r="G1336" s="35"/>
      <c r="H1336" s="34"/>
      <c r="I1336" s="37"/>
    </row>
    <row r="1337" ht="22.5" customHeight="1">
      <c r="A1337" s="30"/>
      <c r="B1337" s="31"/>
      <c r="C1337" s="32"/>
      <c r="D1337" s="33"/>
      <c r="E1337" s="34"/>
      <c r="F1337" s="34"/>
      <c r="G1337" s="35"/>
      <c r="H1337" s="34"/>
      <c r="I1337" s="37"/>
    </row>
    <row r="1338" ht="22.5" customHeight="1">
      <c r="A1338" s="30"/>
      <c r="B1338" s="31"/>
      <c r="C1338" s="32"/>
      <c r="D1338" s="33"/>
      <c r="E1338" s="34"/>
      <c r="F1338" s="34"/>
      <c r="G1338" s="35"/>
      <c r="H1338" s="34"/>
      <c r="I1338" s="37"/>
    </row>
    <row r="1339" ht="22.5" customHeight="1">
      <c r="A1339" s="30"/>
      <c r="B1339" s="31"/>
      <c r="C1339" s="32"/>
      <c r="D1339" s="33"/>
      <c r="E1339" s="34"/>
      <c r="F1339" s="34"/>
      <c r="G1339" s="35"/>
      <c r="H1339" s="34"/>
      <c r="I1339" s="37"/>
    </row>
    <row r="1340" ht="22.5" customHeight="1">
      <c r="A1340" s="30"/>
      <c r="B1340" s="31"/>
      <c r="C1340" s="32"/>
      <c r="D1340" s="33"/>
      <c r="E1340" s="34"/>
      <c r="F1340" s="34"/>
      <c r="G1340" s="35"/>
      <c r="H1340" s="34"/>
      <c r="I1340" s="37"/>
    </row>
    <row r="1341" ht="22.5" customHeight="1">
      <c r="A1341" s="30"/>
      <c r="B1341" s="31"/>
      <c r="C1341" s="32"/>
      <c r="D1341" s="33"/>
      <c r="E1341" s="34"/>
      <c r="F1341" s="34"/>
      <c r="G1341" s="35"/>
      <c r="H1341" s="34"/>
      <c r="I1341" s="37"/>
    </row>
    <row r="1342" ht="22.5" customHeight="1">
      <c r="A1342" s="30"/>
      <c r="B1342" s="31"/>
      <c r="C1342" s="32"/>
      <c r="D1342" s="33"/>
      <c r="E1342" s="34"/>
      <c r="F1342" s="34"/>
      <c r="G1342" s="35"/>
      <c r="H1342" s="34"/>
      <c r="I1342" s="37"/>
    </row>
    <row r="1343" ht="22.5" customHeight="1">
      <c r="A1343" s="30"/>
      <c r="B1343" s="31"/>
      <c r="C1343" s="32"/>
      <c r="D1343" s="33"/>
      <c r="E1343" s="34"/>
      <c r="F1343" s="34"/>
      <c r="G1343" s="35"/>
      <c r="H1343" s="34"/>
      <c r="I1343" s="37"/>
    </row>
    <row r="1344" ht="22.5" customHeight="1">
      <c r="A1344" s="30"/>
      <c r="B1344" s="31"/>
      <c r="C1344" s="32"/>
      <c r="D1344" s="33"/>
      <c r="E1344" s="34"/>
      <c r="F1344" s="34"/>
      <c r="G1344" s="35"/>
      <c r="H1344" s="34"/>
      <c r="I1344" s="37"/>
    </row>
    <row r="1345" ht="22.5" customHeight="1">
      <c r="A1345" s="30"/>
      <c r="B1345" s="31"/>
      <c r="C1345" s="32"/>
      <c r="D1345" s="33"/>
      <c r="E1345" s="34"/>
      <c r="F1345" s="34"/>
      <c r="G1345" s="35"/>
      <c r="H1345" s="34"/>
      <c r="I1345" s="37"/>
    </row>
    <row r="1346" ht="22.5" customHeight="1">
      <c r="A1346" s="30"/>
      <c r="B1346" s="31"/>
      <c r="C1346" s="32"/>
      <c r="D1346" s="33"/>
      <c r="E1346" s="34"/>
      <c r="F1346" s="34"/>
      <c r="G1346" s="35"/>
      <c r="H1346" s="34"/>
      <c r="I1346" s="37"/>
    </row>
    <row r="1347" ht="22.5" customHeight="1">
      <c r="A1347" s="30"/>
      <c r="B1347" s="31"/>
      <c r="C1347" s="32"/>
      <c r="D1347" s="33"/>
      <c r="E1347" s="34"/>
      <c r="F1347" s="34"/>
      <c r="G1347" s="35"/>
      <c r="H1347" s="34"/>
      <c r="I1347" s="37"/>
    </row>
    <row r="1348" ht="22.5" customHeight="1">
      <c r="A1348" s="30"/>
      <c r="B1348" s="31"/>
      <c r="C1348" s="32"/>
      <c r="D1348" s="33"/>
      <c r="E1348" s="34"/>
      <c r="F1348" s="34"/>
      <c r="G1348" s="35"/>
      <c r="H1348" s="34"/>
      <c r="I1348" s="37"/>
    </row>
    <row r="1349" ht="22.5" customHeight="1">
      <c r="A1349" s="30"/>
      <c r="B1349" s="31"/>
      <c r="C1349" s="32"/>
      <c r="D1349" s="33"/>
      <c r="E1349" s="34"/>
      <c r="F1349" s="34"/>
      <c r="G1349" s="35"/>
      <c r="H1349" s="34"/>
      <c r="I1349" s="37"/>
    </row>
    <row r="1350" ht="22.5" customHeight="1">
      <c r="A1350" s="30"/>
      <c r="B1350" s="31"/>
      <c r="C1350" s="32"/>
      <c r="D1350" s="33"/>
      <c r="E1350" s="34"/>
      <c r="F1350" s="34"/>
      <c r="G1350" s="35"/>
      <c r="H1350" s="34"/>
      <c r="I1350" s="37"/>
    </row>
    <row r="1351" ht="22.5" customHeight="1">
      <c r="A1351" s="30"/>
      <c r="B1351" s="31"/>
      <c r="C1351" s="32"/>
      <c r="D1351" s="33"/>
      <c r="E1351" s="34"/>
      <c r="F1351" s="34"/>
      <c r="G1351" s="35"/>
      <c r="H1351" s="34"/>
      <c r="I1351" s="37"/>
    </row>
    <row r="1352" ht="22.5" customHeight="1">
      <c r="A1352" s="30"/>
      <c r="B1352" s="31"/>
      <c r="C1352" s="32"/>
      <c r="D1352" s="33"/>
      <c r="E1352" s="34"/>
      <c r="F1352" s="34"/>
      <c r="G1352" s="35"/>
      <c r="H1352" s="34"/>
      <c r="I1352" s="37"/>
    </row>
    <row r="1353" ht="22.5" customHeight="1">
      <c r="A1353" s="30"/>
      <c r="B1353" s="31"/>
      <c r="C1353" s="32"/>
      <c r="D1353" s="33"/>
      <c r="E1353" s="34"/>
      <c r="F1353" s="34"/>
      <c r="G1353" s="35"/>
      <c r="H1353" s="34"/>
      <c r="I1353" s="37"/>
    </row>
    <row r="1354" ht="22.5" customHeight="1">
      <c r="A1354" s="30"/>
      <c r="B1354" s="40"/>
      <c r="C1354" s="32"/>
      <c r="D1354" s="33"/>
      <c r="E1354" s="34"/>
      <c r="F1354" s="34"/>
      <c r="G1354" s="35"/>
      <c r="H1354" s="34"/>
      <c r="I1354" s="37"/>
    </row>
    <row r="1355" ht="22.5" customHeight="1">
      <c r="A1355" s="30"/>
      <c r="B1355" s="31"/>
      <c r="C1355" s="32"/>
      <c r="D1355" s="33"/>
      <c r="E1355" s="34"/>
      <c r="F1355" s="34"/>
      <c r="G1355" s="35"/>
      <c r="H1355" s="34"/>
      <c r="I1355" s="37"/>
    </row>
    <row r="1356" ht="22.5" customHeight="1">
      <c r="A1356" s="30"/>
      <c r="B1356" s="31"/>
      <c r="C1356" s="32"/>
      <c r="D1356" s="33"/>
      <c r="E1356" s="34"/>
      <c r="F1356" s="34"/>
      <c r="G1356" s="35"/>
      <c r="H1356" s="34"/>
      <c r="I1356" s="37"/>
    </row>
    <row r="1357" ht="22.5" customHeight="1">
      <c r="A1357" s="30"/>
      <c r="B1357" s="31"/>
      <c r="C1357" s="32"/>
      <c r="D1357" s="33"/>
      <c r="E1357" s="34"/>
      <c r="F1357" s="34"/>
      <c r="G1357" s="35"/>
      <c r="H1357" s="34"/>
      <c r="I1357" s="37"/>
    </row>
    <row r="1358" ht="22.5" customHeight="1">
      <c r="A1358" s="30"/>
      <c r="B1358" s="31"/>
      <c r="C1358" s="32"/>
      <c r="D1358" s="33"/>
      <c r="E1358" s="34"/>
      <c r="F1358" s="34"/>
      <c r="G1358" s="35"/>
      <c r="H1358" s="34"/>
      <c r="I1358" s="38"/>
    </row>
    <row r="1359" ht="22.5" customHeight="1">
      <c r="A1359" s="30"/>
      <c r="B1359" s="39"/>
      <c r="C1359" s="32"/>
      <c r="D1359" s="33"/>
      <c r="E1359" s="34"/>
      <c r="F1359" s="34"/>
      <c r="G1359" s="35"/>
      <c r="H1359" s="34"/>
      <c r="I1359" s="37"/>
    </row>
    <row r="1360" ht="22.5" customHeight="1">
      <c r="A1360" s="30"/>
      <c r="B1360" s="31"/>
      <c r="C1360" s="32"/>
      <c r="D1360" s="33"/>
      <c r="E1360" s="34"/>
      <c r="F1360" s="34"/>
      <c r="G1360" s="35"/>
      <c r="H1360" s="34"/>
      <c r="I1360" s="37"/>
    </row>
    <row r="1361" ht="22.5" customHeight="1">
      <c r="A1361" s="30"/>
      <c r="B1361" s="31"/>
      <c r="C1361" s="32"/>
      <c r="D1361" s="33"/>
      <c r="E1361" s="34"/>
      <c r="F1361" s="34"/>
      <c r="G1361" s="35"/>
      <c r="H1361" s="34"/>
      <c r="I1361" s="37"/>
    </row>
    <row r="1362" ht="22.5" customHeight="1">
      <c r="A1362" s="30"/>
      <c r="B1362" s="31"/>
      <c r="C1362" s="32"/>
      <c r="D1362" s="33"/>
      <c r="E1362" s="34"/>
      <c r="F1362" s="34"/>
      <c r="G1362" s="35"/>
      <c r="H1362" s="34"/>
      <c r="I1362" s="37"/>
    </row>
    <row r="1363" ht="22.5" customHeight="1">
      <c r="A1363" s="30"/>
      <c r="B1363" s="39"/>
      <c r="C1363" s="32"/>
      <c r="D1363" s="33"/>
      <c r="E1363" s="34"/>
      <c r="F1363" s="34"/>
      <c r="G1363" s="35"/>
      <c r="H1363" s="34"/>
      <c r="I1363" s="37"/>
    </row>
    <row r="1364" ht="22.5" customHeight="1">
      <c r="A1364" s="30"/>
      <c r="B1364" s="31"/>
      <c r="C1364" s="32"/>
      <c r="D1364" s="33"/>
      <c r="E1364" s="34"/>
      <c r="F1364" s="34"/>
      <c r="G1364" s="35"/>
      <c r="H1364" s="34"/>
      <c r="I1364" s="37"/>
    </row>
    <row r="1365" ht="22.5" customHeight="1">
      <c r="A1365" s="30"/>
      <c r="B1365" s="39"/>
      <c r="C1365" s="32"/>
      <c r="D1365" s="33"/>
      <c r="E1365" s="34"/>
      <c r="F1365" s="34"/>
      <c r="G1365" s="35"/>
      <c r="H1365" s="34"/>
      <c r="I1365" s="37"/>
    </row>
    <row r="1366" ht="22.5" customHeight="1">
      <c r="A1366" s="30"/>
      <c r="B1366" s="31"/>
      <c r="C1366" s="32"/>
      <c r="D1366" s="33"/>
      <c r="E1366" s="34"/>
      <c r="F1366" s="34"/>
      <c r="G1366" s="35"/>
      <c r="H1366" s="34"/>
      <c r="I1366" s="37"/>
    </row>
    <row r="1367" ht="22.5" customHeight="1">
      <c r="A1367" s="30"/>
      <c r="B1367" s="31"/>
      <c r="C1367" s="32"/>
      <c r="D1367" s="33"/>
      <c r="E1367" s="34"/>
      <c r="F1367" s="34"/>
      <c r="G1367" s="35"/>
      <c r="H1367" s="34"/>
      <c r="I1367" s="37"/>
    </row>
    <row r="1368" ht="22.5" customHeight="1">
      <c r="A1368" s="30"/>
      <c r="B1368" s="31"/>
      <c r="C1368" s="32"/>
      <c r="D1368" s="33"/>
      <c r="E1368" s="34"/>
      <c r="F1368" s="34"/>
      <c r="G1368" s="35"/>
      <c r="H1368" s="34"/>
      <c r="I1368" s="37"/>
    </row>
    <row r="1369" ht="22.5" customHeight="1">
      <c r="A1369" s="30"/>
      <c r="B1369" s="31"/>
      <c r="C1369" s="32"/>
      <c r="D1369" s="33"/>
      <c r="E1369" s="34"/>
      <c r="F1369" s="34"/>
      <c r="G1369" s="35"/>
      <c r="H1369" s="34"/>
      <c r="I1369" s="37"/>
    </row>
    <row r="1370" ht="22.5" customHeight="1">
      <c r="A1370" s="30"/>
      <c r="B1370" s="31"/>
      <c r="C1370" s="32"/>
      <c r="D1370" s="33"/>
      <c r="E1370" s="34"/>
      <c r="F1370" s="34"/>
      <c r="G1370" s="35"/>
      <c r="H1370" s="34"/>
      <c r="I1370" s="37"/>
    </row>
    <row r="1371" ht="22.5" customHeight="1">
      <c r="A1371" s="30"/>
      <c r="B1371" s="31"/>
      <c r="C1371" s="32"/>
      <c r="D1371" s="33"/>
      <c r="E1371" s="34"/>
      <c r="F1371" s="34"/>
      <c r="G1371" s="35"/>
      <c r="H1371" s="34"/>
      <c r="I1371" s="37"/>
    </row>
    <row r="1372" ht="22.5" customHeight="1">
      <c r="A1372" s="30"/>
      <c r="B1372" s="31"/>
      <c r="C1372" s="32"/>
      <c r="D1372" s="33"/>
      <c r="E1372" s="34"/>
      <c r="F1372" s="34"/>
      <c r="G1372" s="35"/>
      <c r="H1372" s="34"/>
      <c r="I1372" s="37"/>
    </row>
    <row r="1373" ht="22.5" customHeight="1">
      <c r="A1373" s="30"/>
      <c r="B1373" s="31"/>
      <c r="C1373" s="32"/>
      <c r="D1373" s="33"/>
      <c r="E1373" s="34"/>
      <c r="F1373" s="34"/>
      <c r="G1373" s="35"/>
      <c r="H1373" s="34"/>
      <c r="I1373" s="37"/>
    </row>
    <row r="1374" ht="22.5" customHeight="1">
      <c r="A1374" s="30"/>
      <c r="B1374" s="31"/>
      <c r="C1374" s="32"/>
      <c r="D1374" s="33"/>
      <c r="E1374" s="34"/>
      <c r="F1374" s="34"/>
      <c r="G1374" s="35"/>
      <c r="H1374" s="34"/>
      <c r="I1374" s="37"/>
    </row>
    <row r="1375" ht="22.5" customHeight="1">
      <c r="A1375" s="30"/>
      <c r="B1375" s="31"/>
      <c r="C1375" s="32"/>
      <c r="D1375" s="33"/>
      <c r="E1375" s="34"/>
      <c r="F1375" s="34"/>
      <c r="G1375" s="35"/>
      <c r="H1375" s="34"/>
      <c r="I1375" s="37"/>
    </row>
    <row r="1376" ht="22.5" customHeight="1">
      <c r="A1376" s="30"/>
      <c r="B1376" s="40"/>
      <c r="C1376" s="32"/>
      <c r="D1376" s="33"/>
      <c r="E1376" s="34"/>
      <c r="F1376" s="34"/>
      <c r="G1376" s="35"/>
      <c r="H1376" s="34"/>
      <c r="I1376" s="37"/>
    </row>
    <row r="1377" ht="22.5" customHeight="1">
      <c r="A1377" s="30"/>
      <c r="B1377" s="31"/>
      <c r="C1377" s="32"/>
      <c r="D1377" s="33"/>
      <c r="E1377" s="34"/>
      <c r="F1377" s="34"/>
      <c r="G1377" s="35"/>
      <c r="H1377" s="34"/>
      <c r="I1377" s="37"/>
    </row>
    <row r="1378" ht="22.5" customHeight="1">
      <c r="A1378" s="30"/>
      <c r="B1378" s="31"/>
      <c r="C1378" s="32"/>
      <c r="D1378" s="33"/>
      <c r="E1378" s="34"/>
      <c r="F1378" s="34"/>
      <c r="G1378" s="35"/>
      <c r="H1378" s="34"/>
      <c r="I1378" s="37"/>
    </row>
    <row r="1379" ht="22.5" customHeight="1">
      <c r="A1379" s="30"/>
      <c r="B1379" s="31"/>
      <c r="C1379" s="32"/>
      <c r="D1379" s="33"/>
      <c r="E1379" s="34"/>
      <c r="F1379" s="34"/>
      <c r="G1379" s="35"/>
      <c r="H1379" s="34"/>
      <c r="I1379" s="37"/>
    </row>
    <row r="1380" ht="22.5" customHeight="1">
      <c r="A1380" s="30"/>
      <c r="B1380" s="31"/>
      <c r="C1380" s="32"/>
      <c r="D1380" s="33"/>
      <c r="E1380" s="34"/>
      <c r="F1380" s="34"/>
      <c r="G1380" s="35"/>
      <c r="H1380" s="34"/>
      <c r="I1380" s="37"/>
    </row>
    <row r="1381" ht="22.5" customHeight="1">
      <c r="A1381" s="30"/>
      <c r="B1381" s="31"/>
      <c r="C1381" s="32"/>
      <c r="D1381" s="33"/>
      <c r="E1381" s="34"/>
      <c r="F1381" s="34"/>
      <c r="G1381" s="35"/>
      <c r="H1381" s="34"/>
      <c r="I1381" s="37"/>
    </row>
    <row r="1382" ht="22.5" customHeight="1">
      <c r="A1382" s="30"/>
      <c r="B1382" s="31"/>
      <c r="C1382" s="32"/>
      <c r="D1382" s="33"/>
      <c r="E1382" s="34"/>
      <c r="F1382" s="34"/>
      <c r="G1382" s="35"/>
      <c r="H1382" s="34"/>
      <c r="I1382" s="37"/>
    </row>
    <row r="1383" ht="22.5" customHeight="1">
      <c r="A1383" s="30"/>
      <c r="B1383" s="39"/>
      <c r="C1383" s="32"/>
      <c r="D1383" s="33"/>
      <c r="E1383" s="34"/>
      <c r="F1383" s="34"/>
      <c r="G1383" s="35"/>
      <c r="H1383" s="34"/>
      <c r="I1383" s="37"/>
    </row>
    <row r="1384" ht="22.5" customHeight="1">
      <c r="A1384" s="30"/>
      <c r="B1384" s="39"/>
      <c r="C1384" s="32"/>
      <c r="D1384" s="33"/>
      <c r="E1384" s="34"/>
      <c r="F1384" s="34"/>
      <c r="G1384" s="35"/>
      <c r="H1384" s="34"/>
      <c r="I1384" s="37"/>
    </row>
    <row r="1385" ht="22.5" customHeight="1">
      <c r="A1385" s="30"/>
      <c r="B1385" s="39"/>
      <c r="C1385" s="32"/>
      <c r="D1385" s="33"/>
      <c r="E1385" s="34"/>
      <c r="F1385" s="34"/>
      <c r="G1385" s="35"/>
      <c r="H1385" s="34"/>
      <c r="I1385" s="37"/>
    </row>
    <row r="1386" ht="22.5" customHeight="1">
      <c r="A1386" s="30"/>
      <c r="B1386" s="40"/>
      <c r="C1386" s="32"/>
      <c r="D1386" s="33"/>
      <c r="E1386" s="34"/>
      <c r="F1386" s="34"/>
      <c r="G1386" s="35"/>
      <c r="H1386" s="34"/>
      <c r="I1386" s="37"/>
    </row>
    <row r="1387" ht="22.5" customHeight="1">
      <c r="A1387" s="30"/>
      <c r="B1387" s="31"/>
      <c r="C1387" s="32"/>
      <c r="D1387" s="33"/>
      <c r="E1387" s="34"/>
      <c r="F1387" s="34"/>
      <c r="G1387" s="35"/>
      <c r="H1387" s="34"/>
      <c r="I1387" s="37"/>
    </row>
    <row r="1388" ht="22.5" customHeight="1">
      <c r="A1388" s="30"/>
      <c r="B1388" s="31"/>
      <c r="C1388" s="32"/>
      <c r="D1388" s="33"/>
      <c r="E1388" s="34"/>
      <c r="F1388" s="34"/>
      <c r="G1388" s="35"/>
      <c r="H1388" s="34"/>
      <c r="I1388" s="37"/>
    </row>
    <row r="1389" ht="22.5" customHeight="1">
      <c r="A1389" s="30"/>
      <c r="B1389" s="31"/>
      <c r="C1389" s="32"/>
      <c r="D1389" s="33"/>
      <c r="E1389" s="34"/>
      <c r="F1389" s="34"/>
      <c r="G1389" s="35"/>
      <c r="H1389" s="34"/>
      <c r="I1389" s="37"/>
    </row>
    <row r="1390" ht="22.5" customHeight="1">
      <c r="A1390" s="30"/>
      <c r="B1390" s="31"/>
      <c r="C1390" s="32"/>
      <c r="D1390" s="33"/>
      <c r="E1390" s="34"/>
      <c r="F1390" s="34"/>
      <c r="G1390" s="35"/>
      <c r="H1390" s="34"/>
      <c r="I1390" s="37"/>
    </row>
    <row r="1391" ht="22.5" customHeight="1">
      <c r="A1391" s="30"/>
      <c r="B1391" s="31"/>
      <c r="C1391" s="32"/>
      <c r="D1391" s="33"/>
      <c r="E1391" s="34"/>
      <c r="F1391" s="34"/>
      <c r="G1391" s="35"/>
      <c r="H1391" s="34"/>
      <c r="I1391" s="37"/>
    </row>
    <row r="1392" ht="22.5" customHeight="1">
      <c r="A1392" s="30"/>
      <c r="B1392" s="31"/>
      <c r="C1392" s="32"/>
      <c r="D1392" s="33"/>
      <c r="E1392" s="34"/>
      <c r="F1392" s="34"/>
      <c r="G1392" s="35"/>
      <c r="H1392" s="34"/>
      <c r="I1392" s="37"/>
    </row>
    <row r="1393" ht="22.5" customHeight="1">
      <c r="A1393" s="30"/>
      <c r="B1393" s="31"/>
      <c r="C1393" s="32"/>
      <c r="D1393" s="33"/>
      <c r="E1393" s="34"/>
      <c r="F1393" s="34"/>
      <c r="G1393" s="35"/>
      <c r="H1393" s="34"/>
      <c r="I1393" s="37"/>
    </row>
    <row r="1394" ht="22.5" customHeight="1">
      <c r="A1394" s="30"/>
      <c r="B1394" s="31"/>
      <c r="C1394" s="32"/>
      <c r="D1394" s="33"/>
      <c r="E1394" s="34"/>
      <c r="F1394" s="34"/>
      <c r="G1394" s="35"/>
      <c r="H1394" s="34"/>
      <c r="I1394" s="37"/>
    </row>
    <row r="1395" ht="22.5" customHeight="1">
      <c r="A1395" s="30"/>
      <c r="B1395" s="31"/>
      <c r="C1395" s="32"/>
      <c r="D1395" s="33"/>
      <c r="E1395" s="34"/>
      <c r="F1395" s="34"/>
      <c r="G1395" s="35"/>
      <c r="H1395" s="34"/>
      <c r="I1395" s="37"/>
    </row>
    <row r="1396" ht="22.5" customHeight="1">
      <c r="A1396" s="30"/>
      <c r="B1396" s="40"/>
      <c r="C1396" s="32"/>
      <c r="D1396" s="33"/>
      <c r="E1396" s="34"/>
      <c r="F1396" s="34"/>
      <c r="G1396" s="35"/>
      <c r="H1396" s="34"/>
      <c r="I1396" s="37"/>
    </row>
    <row r="1397" ht="22.5" customHeight="1">
      <c r="A1397" s="30"/>
      <c r="B1397" s="31"/>
      <c r="C1397" s="32"/>
      <c r="D1397" s="33"/>
      <c r="E1397" s="34"/>
      <c r="F1397" s="34"/>
      <c r="G1397" s="35"/>
      <c r="H1397" s="34"/>
      <c r="I1397" s="37"/>
    </row>
    <row r="1398" ht="22.5" customHeight="1">
      <c r="A1398" s="30"/>
      <c r="B1398" s="31"/>
      <c r="C1398" s="32"/>
      <c r="D1398" s="33"/>
      <c r="E1398" s="34"/>
      <c r="F1398" s="34"/>
      <c r="G1398" s="35"/>
      <c r="H1398" s="34"/>
      <c r="I1398" s="37"/>
    </row>
    <row r="1399" ht="22.5" customHeight="1">
      <c r="A1399" s="30"/>
      <c r="B1399" s="31"/>
      <c r="C1399" s="32"/>
      <c r="D1399" s="33"/>
      <c r="E1399" s="34"/>
      <c r="F1399" s="34"/>
      <c r="G1399" s="35"/>
      <c r="H1399" s="34"/>
      <c r="I1399" s="37"/>
    </row>
    <row r="1400" ht="22.5" customHeight="1">
      <c r="A1400" s="30"/>
      <c r="B1400" s="40"/>
      <c r="C1400" s="32"/>
      <c r="D1400" s="33"/>
      <c r="E1400" s="34"/>
      <c r="F1400" s="34"/>
      <c r="G1400" s="35"/>
      <c r="H1400" s="34"/>
      <c r="I1400" s="37"/>
    </row>
    <row r="1401" ht="22.5" customHeight="1">
      <c r="A1401" s="30"/>
      <c r="B1401" s="31"/>
      <c r="C1401" s="32"/>
      <c r="D1401" s="33"/>
      <c r="E1401" s="34"/>
      <c r="F1401" s="34"/>
      <c r="G1401" s="35"/>
      <c r="H1401" s="34"/>
      <c r="I1401" s="37"/>
    </row>
    <row r="1402" ht="22.5" customHeight="1">
      <c r="A1402" s="30"/>
      <c r="B1402" s="31"/>
      <c r="C1402" s="32"/>
      <c r="D1402" s="33"/>
      <c r="E1402" s="34"/>
      <c r="F1402" s="34"/>
      <c r="G1402" s="35"/>
      <c r="H1402" s="34"/>
      <c r="I1402" s="37"/>
    </row>
    <row r="1403" ht="22.5" customHeight="1">
      <c r="A1403" s="30"/>
      <c r="B1403" s="31"/>
      <c r="C1403" s="32"/>
      <c r="D1403" s="33"/>
      <c r="E1403" s="34"/>
      <c r="F1403" s="34"/>
      <c r="G1403" s="35"/>
      <c r="H1403" s="34"/>
      <c r="I1403" s="37"/>
    </row>
    <row r="1404" ht="22.5" customHeight="1">
      <c r="A1404" s="30"/>
      <c r="B1404" s="31"/>
      <c r="C1404" s="32"/>
      <c r="D1404" s="33"/>
      <c r="E1404" s="34"/>
      <c r="F1404" s="34"/>
      <c r="G1404" s="35"/>
      <c r="H1404" s="34"/>
      <c r="I1404" s="37"/>
    </row>
    <row r="1405" ht="22.5" customHeight="1">
      <c r="A1405" s="30"/>
      <c r="B1405" s="31"/>
      <c r="C1405" s="32"/>
      <c r="D1405" s="33"/>
      <c r="E1405" s="34"/>
      <c r="F1405" s="34"/>
      <c r="G1405" s="35"/>
      <c r="H1405" s="34"/>
      <c r="I1405" s="37"/>
    </row>
    <row r="1406" ht="22.5" customHeight="1">
      <c r="A1406" s="30"/>
      <c r="B1406" s="31"/>
      <c r="C1406" s="32"/>
      <c r="D1406" s="33"/>
      <c r="E1406" s="34"/>
      <c r="F1406" s="34"/>
      <c r="G1406" s="35"/>
      <c r="H1406" s="34"/>
      <c r="I1406" s="37"/>
    </row>
    <row r="1407" ht="22.5" customHeight="1">
      <c r="A1407" s="30"/>
      <c r="B1407" s="31"/>
      <c r="C1407" s="32"/>
      <c r="D1407" s="33"/>
      <c r="E1407" s="34"/>
      <c r="F1407" s="34"/>
      <c r="G1407" s="35"/>
      <c r="H1407" s="34"/>
      <c r="I1407" s="37"/>
    </row>
    <row r="1408" ht="22.5" customHeight="1">
      <c r="A1408" s="30"/>
      <c r="B1408" s="31"/>
      <c r="C1408" s="32"/>
      <c r="D1408" s="33"/>
      <c r="E1408" s="34"/>
      <c r="F1408" s="34"/>
      <c r="G1408" s="35"/>
      <c r="H1408" s="34"/>
      <c r="I1408" s="37"/>
    </row>
    <row r="1409" ht="22.5" customHeight="1">
      <c r="A1409" s="30"/>
      <c r="B1409" s="31"/>
      <c r="C1409" s="32"/>
      <c r="D1409" s="33"/>
      <c r="E1409" s="34"/>
      <c r="F1409" s="34"/>
      <c r="G1409" s="35"/>
      <c r="H1409" s="34"/>
      <c r="I1409" s="37"/>
    </row>
    <row r="1410" ht="22.5" customHeight="1">
      <c r="A1410" s="30"/>
      <c r="B1410" s="31"/>
      <c r="C1410" s="32"/>
      <c r="D1410" s="33"/>
      <c r="E1410" s="34"/>
      <c r="F1410" s="34"/>
      <c r="G1410" s="35"/>
      <c r="H1410" s="34"/>
      <c r="I1410" s="37"/>
    </row>
    <row r="1411" ht="22.5" customHeight="1">
      <c r="A1411" s="30"/>
      <c r="B1411" s="31"/>
      <c r="C1411" s="32"/>
      <c r="D1411" s="33"/>
      <c r="E1411" s="34"/>
      <c r="F1411" s="34"/>
      <c r="G1411" s="35"/>
      <c r="H1411" s="34"/>
      <c r="I1411" s="37"/>
    </row>
    <row r="1412" ht="22.5" customHeight="1">
      <c r="A1412" s="30"/>
      <c r="B1412" s="31"/>
      <c r="C1412" s="32"/>
      <c r="D1412" s="33"/>
      <c r="E1412" s="34"/>
      <c r="F1412" s="34"/>
      <c r="G1412" s="35"/>
      <c r="H1412" s="34"/>
      <c r="I1412" s="37"/>
    </row>
    <row r="1413" ht="22.5" customHeight="1">
      <c r="A1413" s="30"/>
      <c r="B1413" s="31"/>
      <c r="C1413" s="32"/>
      <c r="D1413" s="33"/>
      <c r="E1413" s="34"/>
      <c r="F1413" s="34"/>
      <c r="G1413" s="35"/>
      <c r="H1413" s="34"/>
      <c r="I1413" s="37"/>
    </row>
    <row r="1414" ht="22.5" customHeight="1">
      <c r="A1414" s="30"/>
      <c r="B1414" s="31"/>
      <c r="C1414" s="32"/>
      <c r="D1414" s="33"/>
      <c r="E1414" s="34"/>
      <c r="F1414" s="34"/>
      <c r="G1414" s="35"/>
      <c r="H1414" s="34"/>
      <c r="I1414" s="37"/>
    </row>
    <row r="1415" ht="22.5" customHeight="1">
      <c r="A1415" s="30"/>
      <c r="B1415" s="40"/>
      <c r="C1415" s="32"/>
      <c r="D1415" s="33"/>
      <c r="E1415" s="34"/>
      <c r="F1415" s="34"/>
      <c r="G1415" s="35"/>
      <c r="H1415" s="34"/>
      <c r="I1415" s="37"/>
    </row>
    <row r="1416" ht="22.5" customHeight="1">
      <c r="A1416" s="30"/>
      <c r="B1416" s="31"/>
      <c r="C1416" s="32"/>
      <c r="D1416" s="33"/>
      <c r="E1416" s="34"/>
      <c r="F1416" s="34"/>
      <c r="G1416" s="35"/>
      <c r="H1416" s="34"/>
      <c r="I1416" s="37"/>
    </row>
    <row r="1417" ht="22.5" customHeight="1">
      <c r="A1417" s="30"/>
      <c r="B1417" s="40"/>
      <c r="C1417" s="32"/>
      <c r="D1417" s="33"/>
      <c r="E1417" s="34"/>
      <c r="F1417" s="34"/>
      <c r="G1417" s="35"/>
      <c r="H1417" s="34"/>
      <c r="I1417" s="37"/>
    </row>
    <row r="1418" ht="22.5" customHeight="1">
      <c r="A1418" s="30"/>
      <c r="B1418" s="31"/>
      <c r="C1418" s="32"/>
      <c r="D1418" s="33"/>
      <c r="E1418" s="34"/>
      <c r="F1418" s="34"/>
      <c r="G1418" s="35"/>
      <c r="H1418" s="34"/>
      <c r="I1418" s="37"/>
    </row>
    <row r="1419" ht="22.5" customHeight="1">
      <c r="A1419" s="30"/>
      <c r="B1419" s="31"/>
      <c r="C1419" s="32"/>
      <c r="D1419" s="33"/>
      <c r="E1419" s="34"/>
      <c r="F1419" s="34"/>
      <c r="G1419" s="35"/>
      <c r="H1419" s="34"/>
      <c r="I1419" s="37"/>
    </row>
    <row r="1420" ht="22.5" customHeight="1">
      <c r="A1420" s="30"/>
      <c r="B1420" s="31"/>
      <c r="C1420" s="32"/>
      <c r="D1420" s="33"/>
      <c r="E1420" s="34"/>
      <c r="F1420" s="34"/>
      <c r="G1420" s="35"/>
      <c r="H1420" s="34"/>
      <c r="I1420" s="37"/>
    </row>
    <row r="1421" ht="22.5" customHeight="1">
      <c r="A1421" s="30"/>
      <c r="B1421" s="31"/>
      <c r="C1421" s="32"/>
      <c r="D1421" s="33"/>
      <c r="E1421" s="34"/>
      <c r="F1421" s="34"/>
      <c r="G1421" s="35"/>
      <c r="H1421" s="34"/>
      <c r="I1421" s="37"/>
    </row>
    <row r="1422" ht="22.5" customHeight="1">
      <c r="A1422" s="30"/>
      <c r="B1422" s="40"/>
      <c r="C1422" s="32"/>
      <c r="D1422" s="33"/>
      <c r="E1422" s="34"/>
      <c r="F1422" s="34"/>
      <c r="G1422" s="35"/>
      <c r="H1422" s="34"/>
      <c r="I1422" s="37"/>
    </row>
    <row r="1423" ht="22.5" customHeight="1">
      <c r="A1423" s="30"/>
      <c r="B1423" s="31"/>
      <c r="C1423" s="32"/>
      <c r="D1423" s="33"/>
      <c r="E1423" s="34"/>
      <c r="F1423" s="34"/>
      <c r="G1423" s="35"/>
      <c r="H1423" s="34"/>
      <c r="I1423" s="37"/>
    </row>
    <row r="1424" ht="22.5" customHeight="1">
      <c r="A1424" s="30"/>
      <c r="B1424" s="31"/>
      <c r="C1424" s="32"/>
      <c r="D1424" s="33"/>
      <c r="E1424" s="34"/>
      <c r="F1424" s="34"/>
      <c r="G1424" s="35"/>
      <c r="H1424" s="34"/>
      <c r="I1424" s="37"/>
    </row>
    <row r="1425" ht="22.5" customHeight="1">
      <c r="A1425" s="30"/>
      <c r="B1425" s="31"/>
      <c r="C1425" s="32"/>
      <c r="D1425" s="33"/>
      <c r="E1425" s="34"/>
      <c r="F1425" s="34"/>
      <c r="G1425" s="35"/>
      <c r="H1425" s="34"/>
      <c r="I1425" s="37"/>
    </row>
    <row r="1426" ht="22.5" customHeight="1">
      <c r="A1426" s="30"/>
      <c r="B1426" s="31"/>
      <c r="C1426" s="32"/>
      <c r="D1426" s="33"/>
      <c r="E1426" s="34"/>
      <c r="F1426" s="34"/>
      <c r="G1426" s="35"/>
      <c r="H1426" s="34"/>
      <c r="I1426" s="37"/>
    </row>
    <row r="1427" ht="22.5" customHeight="1">
      <c r="A1427" s="30"/>
      <c r="B1427" s="31"/>
      <c r="C1427" s="32"/>
      <c r="D1427" s="33"/>
      <c r="E1427" s="34"/>
      <c r="F1427" s="34"/>
      <c r="G1427" s="35"/>
      <c r="H1427" s="34"/>
      <c r="I1427" s="37"/>
    </row>
    <row r="1428" ht="22.5" customHeight="1">
      <c r="A1428" s="30"/>
      <c r="B1428" s="31"/>
      <c r="C1428" s="32"/>
      <c r="D1428" s="33"/>
      <c r="E1428" s="34"/>
      <c r="F1428" s="34"/>
      <c r="G1428" s="35"/>
      <c r="H1428" s="34"/>
      <c r="I1428" s="37"/>
    </row>
    <row r="1429" ht="22.5" customHeight="1">
      <c r="A1429" s="30"/>
      <c r="B1429" s="31"/>
      <c r="C1429" s="32"/>
      <c r="D1429" s="33"/>
      <c r="E1429" s="34"/>
      <c r="F1429" s="34"/>
      <c r="G1429" s="35"/>
      <c r="H1429" s="34"/>
      <c r="I1429" s="37"/>
    </row>
    <row r="1430" ht="22.5" customHeight="1">
      <c r="A1430" s="30"/>
      <c r="B1430" s="31"/>
      <c r="C1430" s="32"/>
      <c r="D1430" s="33"/>
      <c r="E1430" s="34"/>
      <c r="F1430" s="34"/>
      <c r="G1430" s="35"/>
      <c r="H1430" s="34"/>
      <c r="I1430" s="37"/>
    </row>
    <row r="1431" ht="22.5" customHeight="1">
      <c r="A1431" s="30"/>
      <c r="B1431" s="31"/>
      <c r="C1431" s="32"/>
      <c r="D1431" s="33"/>
      <c r="E1431" s="34"/>
      <c r="F1431" s="34"/>
      <c r="G1431" s="35"/>
      <c r="H1431" s="34"/>
      <c r="I1431" s="37"/>
    </row>
    <row r="1432" ht="22.5" customHeight="1">
      <c r="A1432" s="30"/>
      <c r="B1432" s="31"/>
      <c r="C1432" s="32"/>
      <c r="D1432" s="33"/>
      <c r="E1432" s="34"/>
      <c r="F1432" s="34"/>
      <c r="G1432" s="35"/>
      <c r="H1432" s="34"/>
      <c r="I1432" s="37"/>
    </row>
    <row r="1433" ht="22.5" customHeight="1">
      <c r="A1433" s="30"/>
      <c r="B1433" s="31"/>
      <c r="C1433" s="32"/>
      <c r="D1433" s="33"/>
      <c r="E1433" s="34"/>
      <c r="F1433" s="34"/>
      <c r="G1433" s="35"/>
      <c r="H1433" s="34"/>
      <c r="I1433" s="37"/>
    </row>
    <row r="1434" ht="22.5" customHeight="1">
      <c r="A1434" s="30"/>
      <c r="B1434" s="31"/>
      <c r="C1434" s="32"/>
      <c r="D1434" s="33"/>
      <c r="E1434" s="34"/>
      <c r="F1434" s="34"/>
      <c r="G1434" s="35"/>
      <c r="H1434" s="34"/>
      <c r="I1434" s="37"/>
    </row>
    <row r="1435" ht="22.5" customHeight="1">
      <c r="A1435" s="30"/>
      <c r="B1435" s="31"/>
      <c r="C1435" s="32"/>
      <c r="D1435" s="33"/>
      <c r="E1435" s="34"/>
      <c r="F1435" s="34"/>
      <c r="G1435" s="35"/>
      <c r="H1435" s="34"/>
      <c r="I1435" s="37"/>
    </row>
    <row r="1436" ht="22.5" customHeight="1">
      <c r="A1436" s="30"/>
      <c r="B1436" s="31"/>
      <c r="C1436" s="32"/>
      <c r="D1436" s="33"/>
      <c r="E1436" s="34"/>
      <c r="F1436" s="34"/>
      <c r="G1436" s="35"/>
      <c r="H1436" s="34"/>
      <c r="I1436" s="37"/>
    </row>
    <row r="1437" ht="22.5" customHeight="1">
      <c r="A1437" s="30"/>
      <c r="B1437" s="31"/>
      <c r="C1437" s="32"/>
      <c r="D1437" s="33"/>
      <c r="E1437" s="34"/>
      <c r="F1437" s="34"/>
      <c r="G1437" s="35"/>
      <c r="H1437" s="34"/>
      <c r="I1437" s="37"/>
    </row>
    <row r="1438" ht="22.5" customHeight="1">
      <c r="A1438" s="30"/>
      <c r="B1438" s="31"/>
      <c r="C1438" s="32"/>
      <c r="D1438" s="33"/>
      <c r="E1438" s="34"/>
      <c r="F1438" s="34"/>
      <c r="G1438" s="35"/>
      <c r="H1438" s="34"/>
      <c r="I1438" s="37"/>
    </row>
    <row r="1439" ht="22.5" customHeight="1">
      <c r="A1439" s="30"/>
      <c r="B1439" s="31"/>
      <c r="C1439" s="32"/>
      <c r="D1439" s="33"/>
      <c r="E1439" s="34"/>
      <c r="F1439" s="34"/>
      <c r="G1439" s="35"/>
      <c r="H1439" s="34"/>
      <c r="I1439" s="37"/>
    </row>
    <row r="1440" ht="22.5" customHeight="1">
      <c r="A1440" s="30"/>
      <c r="B1440" s="31"/>
      <c r="C1440" s="32"/>
      <c r="D1440" s="33"/>
      <c r="E1440" s="34"/>
      <c r="F1440" s="34"/>
      <c r="G1440" s="35"/>
      <c r="H1440" s="34"/>
      <c r="I1440" s="37"/>
    </row>
    <row r="1441" ht="22.5" customHeight="1">
      <c r="A1441" s="30"/>
      <c r="B1441" s="31"/>
      <c r="C1441" s="32"/>
      <c r="D1441" s="33"/>
      <c r="E1441" s="34"/>
      <c r="F1441" s="34"/>
      <c r="G1441" s="35"/>
      <c r="H1441" s="34"/>
      <c r="I1441" s="37"/>
    </row>
    <row r="1442" ht="22.5" customHeight="1">
      <c r="A1442" s="30"/>
      <c r="B1442" s="31"/>
      <c r="C1442" s="32"/>
      <c r="D1442" s="33"/>
      <c r="E1442" s="34"/>
      <c r="F1442" s="34"/>
      <c r="G1442" s="35"/>
      <c r="H1442" s="34"/>
      <c r="I1442" s="37"/>
    </row>
    <row r="1443" ht="22.5" customHeight="1">
      <c r="A1443" s="30"/>
      <c r="B1443" s="31"/>
      <c r="C1443" s="32"/>
      <c r="D1443" s="33"/>
      <c r="E1443" s="34"/>
      <c r="F1443" s="34"/>
      <c r="G1443" s="35"/>
      <c r="H1443" s="34"/>
      <c r="I1443" s="37"/>
    </row>
    <row r="1444" ht="22.5" customHeight="1">
      <c r="A1444" s="30"/>
      <c r="B1444" s="40"/>
      <c r="C1444" s="32"/>
      <c r="D1444" s="33"/>
      <c r="E1444" s="34"/>
      <c r="F1444" s="34"/>
      <c r="G1444" s="35"/>
      <c r="H1444" s="34"/>
      <c r="I1444" s="37"/>
    </row>
    <row r="1445" ht="22.5" customHeight="1">
      <c r="A1445" s="30"/>
      <c r="B1445" s="31"/>
      <c r="C1445" s="32"/>
      <c r="D1445" s="33"/>
      <c r="E1445" s="34"/>
      <c r="F1445" s="34"/>
      <c r="G1445" s="35"/>
      <c r="H1445" s="34"/>
      <c r="I1445" s="37"/>
    </row>
    <row r="1446" ht="22.5" customHeight="1">
      <c r="A1446" s="30"/>
      <c r="B1446" s="31"/>
      <c r="C1446" s="32"/>
      <c r="D1446" s="33"/>
      <c r="E1446" s="34"/>
      <c r="F1446" s="34"/>
      <c r="G1446" s="35"/>
      <c r="H1446" s="34"/>
      <c r="I1446" s="37"/>
    </row>
    <row r="1447" ht="22.5" customHeight="1">
      <c r="A1447" s="30"/>
      <c r="B1447" s="31"/>
      <c r="C1447" s="32"/>
      <c r="D1447" s="33"/>
      <c r="E1447" s="34"/>
      <c r="F1447" s="34"/>
      <c r="G1447" s="35"/>
      <c r="H1447" s="34"/>
      <c r="I1447" s="37"/>
    </row>
    <row r="1448" ht="22.5" customHeight="1">
      <c r="A1448" s="30"/>
      <c r="B1448" s="31"/>
      <c r="C1448" s="32"/>
      <c r="D1448" s="33"/>
      <c r="E1448" s="34"/>
      <c r="F1448" s="34"/>
      <c r="G1448" s="35"/>
      <c r="H1448" s="34"/>
      <c r="I1448" s="38"/>
    </row>
    <row r="1449" ht="22.5" customHeight="1">
      <c r="A1449" s="30"/>
      <c r="B1449" s="39"/>
      <c r="C1449" s="32"/>
      <c r="D1449" s="33"/>
      <c r="E1449" s="34"/>
      <c r="F1449" s="34"/>
      <c r="G1449" s="35"/>
      <c r="H1449" s="34"/>
      <c r="I1449" s="37"/>
    </row>
    <row r="1450" ht="22.5" customHeight="1">
      <c r="A1450" s="30"/>
      <c r="B1450" s="31"/>
      <c r="C1450" s="32"/>
      <c r="D1450" s="33"/>
      <c r="E1450" s="34"/>
      <c r="F1450" s="34"/>
      <c r="G1450" s="35"/>
      <c r="H1450" s="34"/>
      <c r="I1450" s="37"/>
    </row>
    <row r="1451" ht="22.5" customHeight="1">
      <c r="A1451" s="30"/>
      <c r="B1451" s="31"/>
      <c r="C1451" s="32"/>
      <c r="D1451" s="33"/>
      <c r="E1451" s="34"/>
      <c r="F1451" s="34"/>
      <c r="G1451" s="35"/>
      <c r="H1451" s="34"/>
      <c r="I1451" s="37"/>
    </row>
    <row r="1452" ht="22.5" customHeight="1">
      <c r="A1452" s="30"/>
      <c r="B1452" s="31"/>
      <c r="C1452" s="32"/>
      <c r="D1452" s="33"/>
      <c r="E1452" s="34"/>
      <c r="F1452" s="34"/>
      <c r="G1452" s="35"/>
      <c r="H1452" s="34"/>
      <c r="I1452" s="37"/>
    </row>
    <row r="1453" ht="22.5" customHeight="1">
      <c r="A1453" s="30"/>
      <c r="B1453" s="39"/>
      <c r="C1453" s="32"/>
      <c r="D1453" s="33"/>
      <c r="E1453" s="34"/>
      <c r="F1453" s="34"/>
      <c r="G1453" s="35"/>
      <c r="H1453" s="34"/>
      <c r="I1453" s="37"/>
    </row>
    <row r="1454" ht="22.5" customHeight="1">
      <c r="A1454" s="30"/>
      <c r="B1454" s="31"/>
      <c r="C1454" s="32"/>
      <c r="D1454" s="33"/>
      <c r="E1454" s="34"/>
      <c r="F1454" s="34"/>
      <c r="G1454" s="35"/>
      <c r="H1454" s="34"/>
      <c r="I1454" s="37"/>
    </row>
    <row r="1455" ht="22.5" customHeight="1">
      <c r="A1455" s="30"/>
      <c r="B1455" s="39"/>
      <c r="C1455" s="32"/>
      <c r="D1455" s="33"/>
      <c r="E1455" s="34"/>
      <c r="F1455" s="34"/>
      <c r="G1455" s="35"/>
      <c r="H1455" s="34"/>
      <c r="I1455" s="37"/>
    </row>
    <row r="1456" ht="22.5" customHeight="1">
      <c r="A1456" s="30"/>
      <c r="B1456" s="31"/>
      <c r="C1456" s="32"/>
      <c r="D1456" s="33"/>
      <c r="E1456" s="34"/>
      <c r="F1456" s="34"/>
      <c r="G1456" s="35"/>
      <c r="H1456" s="34"/>
      <c r="I1456" s="37"/>
    </row>
    <row r="1457" ht="22.5" customHeight="1">
      <c r="A1457" s="30"/>
      <c r="B1457" s="31"/>
      <c r="C1457" s="32"/>
      <c r="D1457" s="33"/>
      <c r="E1457" s="34"/>
      <c r="F1457" s="34"/>
      <c r="G1457" s="35"/>
      <c r="H1457" s="34"/>
      <c r="I1457" s="37"/>
    </row>
    <row r="1458" ht="22.5" customHeight="1">
      <c r="A1458" s="30"/>
      <c r="B1458" s="31"/>
      <c r="C1458" s="32"/>
      <c r="D1458" s="33"/>
      <c r="E1458" s="34"/>
      <c r="F1458" s="34"/>
      <c r="G1458" s="35"/>
      <c r="H1458" s="34"/>
      <c r="I1458" s="37"/>
    </row>
    <row r="1459" ht="22.5" customHeight="1">
      <c r="A1459" s="30"/>
      <c r="B1459" s="31"/>
      <c r="C1459" s="32"/>
      <c r="D1459" s="33"/>
      <c r="E1459" s="34"/>
      <c r="F1459" s="34"/>
      <c r="G1459" s="35"/>
      <c r="H1459" s="34"/>
      <c r="I1459" s="37"/>
    </row>
    <row r="1460" ht="22.5" customHeight="1">
      <c r="A1460" s="30"/>
      <c r="B1460" s="31"/>
      <c r="C1460" s="32"/>
      <c r="D1460" s="33"/>
      <c r="E1460" s="34"/>
      <c r="F1460" s="34"/>
      <c r="G1460" s="35"/>
      <c r="H1460" s="34"/>
      <c r="I1460" s="37"/>
    </row>
    <row r="1461" ht="22.5" customHeight="1">
      <c r="A1461" s="30"/>
      <c r="B1461" s="31"/>
      <c r="C1461" s="32"/>
      <c r="D1461" s="33"/>
      <c r="E1461" s="34"/>
      <c r="F1461" s="34"/>
      <c r="G1461" s="35"/>
      <c r="H1461" s="34"/>
      <c r="I1461" s="37"/>
    </row>
    <row r="1462" ht="22.5" customHeight="1">
      <c r="A1462" s="30"/>
      <c r="B1462" s="31"/>
      <c r="C1462" s="32"/>
      <c r="D1462" s="33"/>
      <c r="E1462" s="34"/>
      <c r="F1462" s="34"/>
      <c r="G1462" s="35"/>
      <c r="H1462" s="34"/>
      <c r="I1462" s="37"/>
    </row>
    <row r="1463" ht="22.5" customHeight="1">
      <c r="A1463" s="30"/>
      <c r="B1463" s="31"/>
      <c r="C1463" s="32"/>
      <c r="D1463" s="33"/>
      <c r="E1463" s="34"/>
      <c r="F1463" s="34"/>
      <c r="G1463" s="35"/>
      <c r="H1463" s="34"/>
      <c r="I1463" s="37"/>
    </row>
    <row r="1464" ht="22.5" customHeight="1">
      <c r="A1464" s="30"/>
      <c r="B1464" s="31"/>
      <c r="C1464" s="32"/>
      <c r="D1464" s="33"/>
      <c r="E1464" s="34"/>
      <c r="F1464" s="34"/>
      <c r="G1464" s="35"/>
      <c r="H1464" s="34"/>
      <c r="I1464" s="37"/>
    </row>
    <row r="1465" ht="22.5" customHeight="1">
      <c r="A1465" s="30"/>
      <c r="B1465" s="31"/>
      <c r="C1465" s="32"/>
      <c r="D1465" s="33"/>
      <c r="E1465" s="34"/>
      <c r="F1465" s="34"/>
      <c r="G1465" s="35"/>
      <c r="H1465" s="34"/>
      <c r="I1465" s="37"/>
    </row>
    <row r="1466" ht="22.5" customHeight="1">
      <c r="A1466" s="30"/>
      <c r="B1466" s="40"/>
      <c r="C1466" s="32"/>
      <c r="D1466" s="33"/>
      <c r="E1466" s="34"/>
      <c r="F1466" s="34"/>
      <c r="G1466" s="35"/>
      <c r="H1466" s="34"/>
      <c r="I1466" s="37"/>
    </row>
    <row r="1467" ht="22.5" customHeight="1">
      <c r="A1467" s="30"/>
      <c r="B1467" s="31"/>
      <c r="C1467" s="32"/>
      <c r="D1467" s="33"/>
      <c r="E1467" s="34"/>
      <c r="F1467" s="34"/>
      <c r="G1467" s="35"/>
      <c r="H1467" s="34"/>
      <c r="I1467" s="37"/>
    </row>
    <row r="1468" ht="22.5" customHeight="1">
      <c r="A1468" s="30"/>
      <c r="B1468" s="31"/>
      <c r="C1468" s="32"/>
      <c r="D1468" s="33"/>
      <c r="E1468" s="34"/>
      <c r="F1468" s="34"/>
      <c r="G1468" s="35"/>
      <c r="H1468" s="34"/>
      <c r="I1468" s="37"/>
    </row>
    <row r="1469" ht="22.5" customHeight="1">
      <c r="A1469" s="30"/>
      <c r="B1469" s="31"/>
      <c r="C1469" s="32"/>
      <c r="D1469" s="33"/>
      <c r="E1469" s="34"/>
      <c r="F1469" s="34"/>
      <c r="G1469" s="35"/>
      <c r="H1469" s="34"/>
      <c r="I1469" s="37"/>
    </row>
    <row r="1470" ht="22.5" customHeight="1">
      <c r="A1470" s="30"/>
      <c r="B1470" s="31"/>
      <c r="C1470" s="32"/>
      <c r="D1470" s="33"/>
      <c r="E1470" s="34"/>
      <c r="F1470" s="34"/>
      <c r="G1470" s="35"/>
      <c r="H1470" s="34"/>
      <c r="I1470" s="37"/>
    </row>
    <row r="1471" ht="22.5" customHeight="1">
      <c r="A1471" s="30"/>
      <c r="B1471" s="31"/>
      <c r="C1471" s="32"/>
      <c r="D1471" s="33"/>
      <c r="E1471" s="34"/>
      <c r="F1471" s="34"/>
      <c r="G1471" s="35"/>
      <c r="H1471" s="34"/>
      <c r="I1471" s="37"/>
    </row>
    <row r="1472" ht="22.5" customHeight="1">
      <c r="A1472" s="30"/>
      <c r="B1472" s="31"/>
      <c r="C1472" s="32"/>
      <c r="D1472" s="33"/>
      <c r="E1472" s="34"/>
      <c r="F1472" s="34"/>
      <c r="G1472" s="35"/>
      <c r="H1472" s="34"/>
      <c r="I1472" s="37"/>
    </row>
    <row r="1473" ht="22.5" customHeight="1">
      <c r="A1473" s="30"/>
      <c r="B1473" s="39"/>
      <c r="C1473" s="32"/>
      <c r="D1473" s="33"/>
      <c r="E1473" s="34"/>
      <c r="F1473" s="34"/>
      <c r="G1473" s="35"/>
      <c r="H1473" s="34"/>
      <c r="I1473" s="37"/>
    </row>
    <row r="1474" ht="22.5" customHeight="1">
      <c r="A1474" s="30"/>
      <c r="B1474" s="39"/>
      <c r="C1474" s="32"/>
      <c r="D1474" s="33"/>
      <c r="E1474" s="34"/>
      <c r="F1474" s="34"/>
      <c r="G1474" s="35"/>
      <c r="H1474" s="34"/>
      <c r="I1474" s="37"/>
    </row>
    <row r="1475" ht="22.5" customHeight="1">
      <c r="A1475" s="30"/>
      <c r="B1475" s="39"/>
      <c r="C1475" s="32"/>
      <c r="D1475" s="33"/>
      <c r="E1475" s="34"/>
      <c r="F1475" s="34"/>
      <c r="G1475" s="35"/>
      <c r="H1475" s="34"/>
      <c r="I1475" s="37"/>
    </row>
    <row r="1476" ht="22.5" customHeight="1">
      <c r="A1476" s="30"/>
      <c r="B1476" s="40"/>
      <c r="C1476" s="32"/>
      <c r="D1476" s="33"/>
      <c r="E1476" s="34"/>
      <c r="F1476" s="34"/>
      <c r="G1476" s="35"/>
      <c r="H1476" s="34"/>
      <c r="I1476" s="37"/>
    </row>
    <row r="1477" ht="22.5" customHeight="1">
      <c r="A1477" s="30"/>
      <c r="B1477" s="31"/>
      <c r="C1477" s="32"/>
      <c r="D1477" s="33"/>
      <c r="E1477" s="34"/>
      <c r="F1477" s="34"/>
      <c r="G1477" s="35"/>
      <c r="H1477" s="34"/>
      <c r="I1477" s="37"/>
    </row>
    <row r="1478" ht="22.5" customHeight="1">
      <c r="A1478" s="30"/>
      <c r="B1478" s="31"/>
      <c r="C1478" s="32"/>
      <c r="D1478" s="33"/>
      <c r="E1478" s="34"/>
      <c r="F1478" s="34"/>
      <c r="G1478" s="35"/>
      <c r="H1478" s="34"/>
      <c r="I1478" s="37"/>
    </row>
    <row r="1479" ht="22.5" customHeight="1">
      <c r="A1479" s="30"/>
      <c r="B1479" s="31"/>
      <c r="C1479" s="32"/>
      <c r="D1479" s="33"/>
      <c r="E1479" s="34"/>
      <c r="F1479" s="34"/>
      <c r="G1479" s="35"/>
      <c r="H1479" s="34"/>
      <c r="I1479" s="37"/>
    </row>
    <row r="1480" ht="22.5" customHeight="1">
      <c r="A1480" s="30"/>
      <c r="B1480" s="31"/>
      <c r="C1480" s="32"/>
      <c r="D1480" s="33"/>
      <c r="E1480" s="34"/>
      <c r="F1480" s="34"/>
      <c r="G1480" s="35"/>
      <c r="H1480" s="34"/>
      <c r="I1480" s="37"/>
    </row>
    <row r="1481" ht="22.5" customHeight="1">
      <c r="A1481" s="30"/>
      <c r="B1481" s="31"/>
      <c r="C1481" s="32"/>
      <c r="D1481" s="33"/>
      <c r="E1481" s="34"/>
      <c r="F1481" s="34"/>
      <c r="G1481" s="35"/>
      <c r="H1481" s="34"/>
      <c r="I1481" s="37"/>
    </row>
    <row r="1482" ht="22.5" customHeight="1">
      <c r="A1482" s="30"/>
      <c r="B1482" s="31"/>
      <c r="C1482" s="32"/>
      <c r="D1482" s="33"/>
      <c r="E1482" s="34"/>
      <c r="F1482" s="34"/>
      <c r="G1482" s="35"/>
      <c r="H1482" s="34"/>
      <c r="I1482" s="37"/>
    </row>
    <row r="1483" ht="22.5" customHeight="1">
      <c r="A1483" s="30"/>
      <c r="B1483" s="31"/>
      <c r="C1483" s="32"/>
      <c r="D1483" s="33"/>
      <c r="E1483" s="34"/>
      <c r="F1483" s="34"/>
      <c r="G1483" s="35"/>
      <c r="H1483" s="34"/>
      <c r="I1483" s="37"/>
    </row>
    <row r="1484" ht="22.5" customHeight="1">
      <c r="A1484" s="30"/>
      <c r="B1484" s="31"/>
      <c r="C1484" s="32"/>
      <c r="D1484" s="33"/>
      <c r="E1484" s="34"/>
      <c r="F1484" s="34"/>
      <c r="G1484" s="35"/>
      <c r="H1484" s="34"/>
      <c r="I1484" s="37"/>
    </row>
    <row r="1485" ht="22.5" customHeight="1">
      <c r="A1485" s="30"/>
      <c r="B1485" s="31"/>
      <c r="C1485" s="32"/>
      <c r="D1485" s="33"/>
      <c r="E1485" s="34"/>
      <c r="F1485" s="34"/>
      <c r="G1485" s="35"/>
      <c r="H1485" s="34"/>
      <c r="I1485" s="37"/>
    </row>
    <row r="1486" ht="22.5" customHeight="1">
      <c r="A1486" s="30"/>
      <c r="B1486" s="40"/>
      <c r="C1486" s="32"/>
      <c r="D1486" s="33"/>
      <c r="E1486" s="34"/>
      <c r="F1486" s="34"/>
      <c r="G1486" s="35"/>
      <c r="H1486" s="34"/>
      <c r="I1486" s="37"/>
    </row>
    <row r="1487" ht="22.5" customHeight="1">
      <c r="A1487" s="30"/>
      <c r="B1487" s="31"/>
      <c r="C1487" s="32"/>
      <c r="D1487" s="33"/>
      <c r="E1487" s="34"/>
      <c r="F1487" s="34"/>
      <c r="G1487" s="35"/>
      <c r="H1487" s="34"/>
      <c r="I1487" s="37"/>
    </row>
    <row r="1488" ht="22.5" customHeight="1">
      <c r="A1488" s="30"/>
      <c r="B1488" s="31"/>
      <c r="C1488" s="32"/>
      <c r="D1488" s="33"/>
      <c r="E1488" s="34"/>
      <c r="F1488" s="34"/>
      <c r="G1488" s="35"/>
      <c r="H1488" s="34"/>
      <c r="I1488" s="37"/>
    </row>
    <row r="1489" ht="22.5" customHeight="1">
      <c r="A1489" s="30"/>
      <c r="B1489" s="31"/>
      <c r="C1489" s="32"/>
      <c r="D1489" s="33"/>
      <c r="E1489" s="34"/>
      <c r="F1489" s="34"/>
      <c r="G1489" s="35"/>
      <c r="H1489" s="34"/>
      <c r="I1489" s="37"/>
    </row>
    <row r="1490" ht="22.5" customHeight="1">
      <c r="A1490" s="30"/>
      <c r="B1490" s="40"/>
      <c r="C1490" s="32"/>
      <c r="D1490" s="33"/>
      <c r="E1490" s="34"/>
      <c r="F1490" s="34"/>
      <c r="G1490" s="35"/>
      <c r="H1490" s="34"/>
      <c r="I1490" s="37"/>
    </row>
    <row r="1491" ht="22.5" customHeight="1">
      <c r="A1491" s="30"/>
      <c r="B1491" s="31"/>
      <c r="C1491" s="32"/>
      <c r="D1491" s="33"/>
      <c r="E1491" s="34"/>
      <c r="F1491" s="34"/>
      <c r="G1491" s="35"/>
      <c r="H1491" s="34"/>
      <c r="I1491" s="37"/>
    </row>
    <row r="1492" ht="22.5" customHeight="1">
      <c r="A1492" s="30"/>
      <c r="B1492" s="31"/>
      <c r="C1492" s="32"/>
      <c r="D1492" s="33"/>
      <c r="E1492" s="34"/>
      <c r="F1492" s="34"/>
      <c r="G1492" s="35"/>
      <c r="H1492" s="34"/>
      <c r="I1492" s="37"/>
    </row>
    <row r="1493" ht="22.5" customHeight="1">
      <c r="A1493" s="30"/>
      <c r="B1493" s="31"/>
      <c r="C1493" s="32"/>
      <c r="D1493" s="33"/>
      <c r="E1493" s="34"/>
      <c r="F1493" s="34"/>
      <c r="G1493" s="35"/>
      <c r="H1493" s="34"/>
      <c r="I1493" s="37"/>
    </row>
    <row r="1494" ht="22.5" customHeight="1">
      <c r="A1494" s="30"/>
      <c r="B1494" s="31"/>
      <c r="C1494" s="32"/>
      <c r="D1494" s="33"/>
      <c r="E1494" s="34"/>
      <c r="F1494" s="34"/>
      <c r="G1494" s="35"/>
      <c r="H1494" s="34"/>
      <c r="I1494" s="37"/>
    </row>
    <row r="1495" ht="22.5" customHeight="1">
      <c r="A1495" s="30"/>
      <c r="B1495" s="31"/>
      <c r="C1495" s="32"/>
      <c r="D1495" s="33"/>
      <c r="E1495" s="34"/>
      <c r="F1495" s="34"/>
      <c r="G1495" s="35"/>
      <c r="H1495" s="34"/>
      <c r="I1495" s="37"/>
    </row>
    <row r="1496" ht="22.5" customHeight="1">
      <c r="A1496" s="30"/>
      <c r="B1496" s="31"/>
      <c r="C1496" s="32"/>
      <c r="D1496" s="33"/>
      <c r="E1496" s="34"/>
      <c r="F1496" s="34"/>
      <c r="G1496" s="35"/>
      <c r="H1496" s="34"/>
      <c r="I1496" s="37"/>
    </row>
    <row r="1497" ht="22.5" customHeight="1">
      <c r="A1497" s="30"/>
      <c r="B1497" s="31"/>
      <c r="C1497" s="32"/>
      <c r="D1497" s="33"/>
      <c r="E1497" s="34"/>
      <c r="F1497" s="34"/>
      <c r="G1497" s="35"/>
      <c r="H1497" s="34"/>
      <c r="I1497" s="37"/>
    </row>
    <row r="1498" ht="22.5" customHeight="1">
      <c r="A1498" s="30"/>
      <c r="B1498" s="31"/>
      <c r="C1498" s="32"/>
      <c r="D1498" s="33"/>
      <c r="E1498" s="34"/>
      <c r="F1498" s="34"/>
      <c r="G1498" s="35"/>
      <c r="H1498" s="34"/>
      <c r="I1498" s="37"/>
    </row>
    <row r="1499" ht="22.5" customHeight="1">
      <c r="A1499" s="30"/>
      <c r="B1499" s="31"/>
      <c r="C1499" s="32"/>
      <c r="D1499" s="33"/>
      <c r="E1499" s="34"/>
      <c r="F1499" s="34"/>
      <c r="G1499" s="35"/>
      <c r="H1499" s="34"/>
      <c r="I1499" s="37"/>
    </row>
    <row r="1500" ht="22.5" customHeight="1">
      <c r="A1500" s="30"/>
      <c r="B1500" s="31"/>
      <c r="C1500" s="32"/>
      <c r="D1500" s="33"/>
      <c r="E1500" s="34"/>
      <c r="F1500" s="34"/>
      <c r="G1500" s="35"/>
      <c r="H1500" s="34"/>
      <c r="I1500" s="37"/>
    </row>
    <row r="1501" ht="22.5" customHeight="1">
      <c r="A1501" s="30"/>
      <c r="B1501" s="31"/>
      <c r="C1501" s="32"/>
      <c r="D1501" s="33"/>
      <c r="E1501" s="34"/>
      <c r="F1501" s="34"/>
      <c r="G1501" s="35"/>
      <c r="H1501" s="34"/>
      <c r="I1501" s="37"/>
    </row>
    <row r="1502" ht="22.5" customHeight="1">
      <c r="A1502" s="30"/>
      <c r="B1502" s="31"/>
      <c r="C1502" s="32"/>
      <c r="D1502" s="33"/>
      <c r="E1502" s="34"/>
      <c r="F1502" s="34"/>
      <c r="G1502" s="35"/>
      <c r="H1502" s="34"/>
      <c r="I1502" s="37"/>
    </row>
    <row r="1503" ht="22.5" customHeight="1">
      <c r="A1503" s="30"/>
      <c r="B1503" s="31"/>
      <c r="C1503" s="32"/>
      <c r="D1503" s="33"/>
      <c r="E1503" s="34"/>
      <c r="F1503" s="34"/>
      <c r="G1503" s="35"/>
      <c r="H1503" s="34"/>
      <c r="I1503" s="37"/>
    </row>
    <row r="1504" ht="22.5" customHeight="1">
      <c r="A1504" s="30"/>
      <c r="B1504" s="31"/>
      <c r="C1504" s="32"/>
      <c r="D1504" s="33"/>
      <c r="E1504" s="34"/>
      <c r="F1504" s="34"/>
      <c r="G1504" s="35"/>
      <c r="H1504" s="34"/>
      <c r="I1504" s="37"/>
    </row>
    <row r="1505" ht="22.5" customHeight="1">
      <c r="A1505" s="30"/>
      <c r="B1505" s="40"/>
      <c r="C1505" s="32"/>
      <c r="D1505" s="33"/>
      <c r="E1505" s="34"/>
      <c r="F1505" s="34"/>
      <c r="G1505" s="35"/>
      <c r="H1505" s="34"/>
      <c r="I1505" s="37"/>
    </row>
    <row r="1506" ht="22.5" customHeight="1">
      <c r="A1506" s="30"/>
      <c r="B1506" s="31"/>
      <c r="C1506" s="32"/>
      <c r="D1506" s="33"/>
      <c r="E1506" s="34"/>
      <c r="F1506" s="34"/>
      <c r="G1506" s="35"/>
      <c r="H1506" s="34"/>
      <c r="I1506" s="37"/>
    </row>
    <row r="1507" ht="22.5" customHeight="1">
      <c r="A1507" s="30"/>
      <c r="B1507" s="40"/>
      <c r="C1507" s="32"/>
      <c r="D1507" s="33"/>
      <c r="E1507" s="34"/>
      <c r="F1507" s="34"/>
      <c r="G1507" s="35"/>
      <c r="H1507" s="34"/>
      <c r="I1507" s="37"/>
    </row>
    <row r="1508" ht="22.5" customHeight="1">
      <c r="A1508" s="30"/>
      <c r="B1508" s="31"/>
      <c r="C1508" s="32"/>
      <c r="D1508" s="33"/>
      <c r="E1508" s="34"/>
      <c r="F1508" s="34"/>
      <c r="G1508" s="35"/>
      <c r="H1508" s="34"/>
      <c r="I1508" s="37"/>
    </row>
    <row r="1509" ht="22.5" customHeight="1">
      <c r="A1509" s="30"/>
      <c r="B1509" s="31"/>
      <c r="C1509" s="32"/>
      <c r="D1509" s="33"/>
      <c r="E1509" s="34"/>
      <c r="F1509" s="34"/>
      <c r="G1509" s="35"/>
      <c r="H1509" s="34"/>
      <c r="I1509" s="37"/>
    </row>
    <row r="1510" ht="22.5" customHeight="1">
      <c r="A1510" s="30"/>
      <c r="B1510" s="31"/>
      <c r="C1510" s="32"/>
      <c r="D1510" s="33"/>
      <c r="E1510" s="34"/>
      <c r="F1510" s="34"/>
      <c r="G1510" s="35"/>
      <c r="H1510" s="34"/>
      <c r="I1510" s="37"/>
    </row>
    <row r="1511" ht="22.5" customHeight="1">
      <c r="A1511" s="30"/>
      <c r="B1511" s="31"/>
      <c r="C1511" s="32"/>
      <c r="D1511" s="33"/>
      <c r="E1511" s="34"/>
      <c r="F1511" s="34"/>
      <c r="G1511" s="35"/>
      <c r="H1511" s="34"/>
      <c r="I1511" s="37"/>
    </row>
    <row r="1512" ht="22.5" customHeight="1">
      <c r="A1512" s="30"/>
      <c r="B1512" s="40"/>
      <c r="C1512" s="32"/>
      <c r="D1512" s="33"/>
      <c r="E1512" s="34"/>
      <c r="F1512" s="34"/>
      <c r="G1512" s="35"/>
      <c r="H1512" s="34"/>
      <c r="I1512" s="37"/>
    </row>
    <row r="1513" ht="22.5" customHeight="1">
      <c r="A1513" s="30"/>
      <c r="B1513" s="31"/>
      <c r="C1513" s="32"/>
      <c r="D1513" s="33"/>
      <c r="E1513" s="34"/>
      <c r="F1513" s="34"/>
      <c r="G1513" s="35"/>
      <c r="H1513" s="34"/>
      <c r="I1513" s="37"/>
    </row>
    <row r="1514" ht="22.5" customHeight="1">
      <c r="A1514" s="30"/>
      <c r="B1514" s="31"/>
      <c r="C1514" s="32"/>
      <c r="D1514" s="33"/>
      <c r="E1514" s="34"/>
      <c r="F1514" s="34"/>
      <c r="G1514" s="35"/>
      <c r="H1514" s="34"/>
      <c r="I1514" s="37"/>
    </row>
    <row r="1515" ht="22.5" customHeight="1">
      <c r="A1515" s="30"/>
      <c r="B1515" s="31"/>
      <c r="C1515" s="32"/>
      <c r="D1515" s="33"/>
      <c r="E1515" s="34"/>
      <c r="F1515" s="34"/>
      <c r="G1515" s="35"/>
      <c r="H1515" s="34"/>
      <c r="I1515" s="37"/>
    </row>
    <row r="1516" ht="22.5" customHeight="1">
      <c r="A1516" s="30"/>
      <c r="B1516" s="31"/>
      <c r="C1516" s="32"/>
      <c r="D1516" s="33"/>
      <c r="E1516" s="34"/>
      <c r="F1516" s="34"/>
      <c r="G1516" s="35"/>
      <c r="H1516" s="34"/>
      <c r="I1516" s="37"/>
    </row>
    <row r="1517" ht="22.5" customHeight="1">
      <c r="A1517" s="30"/>
      <c r="B1517" s="31"/>
      <c r="C1517" s="32"/>
      <c r="D1517" s="33"/>
      <c r="E1517" s="34"/>
      <c r="F1517" s="34"/>
      <c r="G1517" s="35"/>
      <c r="H1517" s="34"/>
      <c r="I1517" s="37"/>
    </row>
    <row r="1518" ht="22.5" customHeight="1">
      <c r="A1518" s="30"/>
      <c r="B1518" s="31"/>
      <c r="C1518" s="32"/>
      <c r="D1518" s="33"/>
      <c r="E1518" s="34"/>
      <c r="F1518" s="34"/>
      <c r="G1518" s="35"/>
      <c r="H1518" s="34"/>
      <c r="I1518" s="37"/>
    </row>
    <row r="1519" ht="22.5" customHeight="1">
      <c r="A1519" s="30"/>
      <c r="B1519" s="31"/>
      <c r="C1519" s="32"/>
      <c r="D1519" s="33"/>
      <c r="E1519" s="34"/>
      <c r="F1519" s="34"/>
      <c r="G1519" s="35"/>
      <c r="H1519" s="34"/>
      <c r="I1519" s="37"/>
    </row>
    <row r="1520" ht="22.5" customHeight="1">
      <c r="A1520" s="30"/>
      <c r="B1520" s="31"/>
      <c r="C1520" s="32"/>
      <c r="D1520" s="33"/>
      <c r="E1520" s="34"/>
      <c r="F1520" s="34"/>
      <c r="G1520" s="35"/>
      <c r="H1520" s="34"/>
      <c r="I1520" s="37"/>
    </row>
    <row r="1521" ht="22.5" customHeight="1">
      <c r="A1521" s="30"/>
      <c r="B1521" s="31"/>
      <c r="C1521" s="32"/>
      <c r="D1521" s="33"/>
      <c r="E1521" s="34"/>
      <c r="F1521" s="34"/>
      <c r="G1521" s="35"/>
      <c r="H1521" s="34"/>
      <c r="I1521" s="37"/>
    </row>
    <row r="1522" ht="22.5" customHeight="1">
      <c r="A1522" s="30"/>
      <c r="B1522" s="31"/>
      <c r="C1522" s="32"/>
      <c r="D1522" s="33"/>
      <c r="E1522" s="34"/>
      <c r="F1522" s="34"/>
      <c r="G1522" s="35"/>
      <c r="H1522" s="34"/>
      <c r="I1522" s="37"/>
    </row>
    <row r="1523" ht="22.5" customHeight="1">
      <c r="A1523" s="30"/>
      <c r="B1523" s="31"/>
      <c r="C1523" s="32"/>
      <c r="D1523" s="33"/>
      <c r="E1523" s="34"/>
      <c r="F1523" s="34"/>
      <c r="G1523" s="35"/>
      <c r="H1523" s="34"/>
      <c r="I1523" s="37"/>
    </row>
    <row r="1524" ht="22.5" customHeight="1">
      <c r="A1524" s="30"/>
      <c r="B1524" s="31"/>
      <c r="C1524" s="32"/>
      <c r="D1524" s="33"/>
      <c r="E1524" s="34"/>
      <c r="F1524" s="34"/>
      <c r="G1524" s="35"/>
      <c r="H1524" s="34"/>
      <c r="I1524" s="37"/>
    </row>
    <row r="1525" ht="22.5" customHeight="1">
      <c r="A1525" s="30"/>
      <c r="B1525" s="31"/>
      <c r="C1525" s="32"/>
      <c r="D1525" s="33"/>
      <c r="E1525" s="34"/>
      <c r="F1525" s="34"/>
      <c r="G1525" s="35"/>
      <c r="H1525" s="34"/>
      <c r="I1525" s="37"/>
    </row>
    <row r="1526" ht="22.5" customHeight="1">
      <c r="A1526" s="30"/>
      <c r="B1526" s="31"/>
      <c r="C1526" s="32"/>
      <c r="D1526" s="33"/>
      <c r="E1526" s="34"/>
      <c r="F1526" s="34"/>
      <c r="G1526" s="35"/>
      <c r="H1526" s="34"/>
      <c r="I1526" s="37"/>
    </row>
    <row r="1527" ht="22.5" customHeight="1">
      <c r="A1527" s="30"/>
      <c r="B1527" s="31"/>
      <c r="C1527" s="32"/>
      <c r="D1527" s="33"/>
      <c r="E1527" s="34"/>
      <c r="F1527" s="34"/>
      <c r="G1527" s="35"/>
      <c r="H1527" s="34"/>
      <c r="I1527" s="37"/>
    </row>
    <row r="1528" ht="22.5" customHeight="1">
      <c r="A1528" s="30"/>
      <c r="B1528" s="31"/>
      <c r="C1528" s="32"/>
      <c r="D1528" s="33"/>
      <c r="E1528" s="34"/>
      <c r="F1528" s="34"/>
      <c r="G1528" s="35"/>
      <c r="H1528" s="34"/>
      <c r="I1528" s="37"/>
    </row>
    <row r="1529" ht="22.5" customHeight="1">
      <c r="A1529" s="30"/>
      <c r="B1529" s="31"/>
      <c r="C1529" s="32"/>
      <c r="D1529" s="33"/>
      <c r="E1529" s="34"/>
      <c r="F1529" s="34"/>
      <c r="G1529" s="35"/>
      <c r="H1529" s="34"/>
      <c r="I1529" s="37"/>
    </row>
    <row r="1530" ht="22.5" customHeight="1">
      <c r="A1530" s="30"/>
      <c r="B1530" s="31"/>
      <c r="C1530" s="32"/>
      <c r="D1530" s="33"/>
      <c r="E1530" s="34"/>
      <c r="F1530" s="34"/>
      <c r="G1530" s="35"/>
      <c r="H1530" s="34"/>
      <c r="I1530" s="37"/>
    </row>
    <row r="1531" ht="22.5" customHeight="1">
      <c r="A1531" s="30"/>
      <c r="B1531" s="31"/>
      <c r="C1531" s="32"/>
      <c r="D1531" s="33"/>
      <c r="E1531" s="34"/>
      <c r="F1531" s="34"/>
      <c r="G1531" s="35"/>
      <c r="H1531" s="34"/>
      <c r="I1531" s="37"/>
    </row>
    <row r="1532" ht="22.5" customHeight="1">
      <c r="A1532" s="30"/>
      <c r="B1532" s="31"/>
      <c r="C1532" s="32"/>
      <c r="D1532" s="33"/>
      <c r="E1532" s="34"/>
      <c r="F1532" s="34"/>
      <c r="G1532" s="35"/>
      <c r="H1532" s="34"/>
      <c r="I1532" s="37"/>
    </row>
    <row r="1533" ht="22.5" customHeight="1">
      <c r="A1533" s="30"/>
      <c r="B1533" s="31"/>
      <c r="C1533" s="32"/>
      <c r="D1533" s="33"/>
      <c r="E1533" s="34"/>
      <c r="F1533" s="34"/>
      <c r="G1533" s="35"/>
      <c r="H1533" s="34"/>
      <c r="I1533" s="37"/>
    </row>
    <row r="1534" ht="22.5" customHeight="1">
      <c r="A1534" s="30"/>
      <c r="B1534" s="40"/>
      <c r="C1534" s="32"/>
      <c r="D1534" s="33"/>
      <c r="E1534" s="34"/>
      <c r="F1534" s="34"/>
      <c r="G1534" s="35"/>
      <c r="H1534" s="34"/>
      <c r="I1534" s="37"/>
    </row>
    <row r="1535" ht="22.5" customHeight="1">
      <c r="A1535" s="30"/>
      <c r="B1535" s="31"/>
      <c r="C1535" s="32"/>
      <c r="D1535" s="33"/>
      <c r="E1535" s="34"/>
      <c r="F1535" s="34"/>
      <c r="G1535" s="35"/>
      <c r="H1535" s="34"/>
      <c r="I1535" s="37"/>
    </row>
    <row r="1536" ht="22.5" customHeight="1">
      <c r="A1536" s="30"/>
      <c r="B1536" s="31"/>
      <c r="C1536" s="32"/>
      <c r="D1536" s="33"/>
      <c r="E1536" s="34"/>
      <c r="F1536" s="34"/>
      <c r="G1536" s="35"/>
      <c r="H1536" s="34"/>
      <c r="I1536" s="37"/>
    </row>
    <row r="1537" ht="22.5" customHeight="1">
      <c r="A1537" s="30"/>
      <c r="B1537" s="31"/>
      <c r="C1537" s="32"/>
      <c r="D1537" s="33"/>
      <c r="E1537" s="34"/>
      <c r="F1537" s="34"/>
      <c r="G1537" s="35"/>
      <c r="H1537" s="34"/>
      <c r="I1537" s="37"/>
    </row>
    <row r="1538" ht="22.5" customHeight="1">
      <c r="A1538" s="30"/>
      <c r="B1538" s="31"/>
      <c r="C1538" s="32"/>
      <c r="D1538" s="33"/>
      <c r="E1538" s="34"/>
      <c r="F1538" s="34"/>
      <c r="G1538" s="35"/>
      <c r="H1538" s="34"/>
      <c r="I1538" s="38"/>
    </row>
    <row r="1539" ht="22.5" customHeight="1">
      <c r="A1539" s="30"/>
      <c r="B1539" s="39"/>
      <c r="C1539" s="32"/>
      <c r="D1539" s="33"/>
      <c r="E1539" s="34"/>
      <c r="F1539" s="34"/>
      <c r="G1539" s="35"/>
      <c r="H1539" s="34"/>
      <c r="I1539" s="37"/>
    </row>
    <row r="1540" ht="22.5" customHeight="1">
      <c r="A1540" s="30"/>
      <c r="B1540" s="31"/>
      <c r="C1540" s="32"/>
      <c r="D1540" s="33"/>
      <c r="E1540" s="34"/>
      <c r="F1540" s="34"/>
      <c r="G1540" s="35"/>
      <c r="H1540" s="34"/>
      <c r="I1540" s="37"/>
    </row>
    <row r="1541" ht="22.5" customHeight="1">
      <c r="A1541" s="30"/>
      <c r="B1541" s="31"/>
      <c r="C1541" s="32"/>
      <c r="D1541" s="33"/>
      <c r="E1541" s="34"/>
      <c r="F1541" s="34"/>
      <c r="G1541" s="35"/>
      <c r="H1541" s="34"/>
      <c r="I1541" s="37"/>
    </row>
    <row r="1542" ht="22.5" customHeight="1">
      <c r="A1542" s="30"/>
      <c r="B1542" s="31"/>
      <c r="C1542" s="32"/>
      <c r="D1542" s="33"/>
      <c r="E1542" s="34"/>
      <c r="F1542" s="34"/>
      <c r="G1542" s="35"/>
      <c r="H1542" s="34"/>
      <c r="I1542" s="37"/>
    </row>
    <row r="1543" ht="22.5" customHeight="1">
      <c r="A1543" s="30"/>
      <c r="B1543" s="39"/>
      <c r="C1543" s="32"/>
      <c r="D1543" s="33"/>
      <c r="E1543" s="34"/>
      <c r="F1543" s="34"/>
      <c r="G1543" s="35"/>
      <c r="H1543" s="34"/>
      <c r="I1543" s="37"/>
    </row>
    <row r="1544" ht="22.5" customHeight="1">
      <c r="A1544" s="30"/>
      <c r="B1544" s="31"/>
      <c r="C1544" s="32"/>
      <c r="D1544" s="33"/>
      <c r="E1544" s="34"/>
      <c r="F1544" s="34"/>
      <c r="G1544" s="35"/>
      <c r="H1544" s="34"/>
      <c r="I1544" s="37"/>
    </row>
    <row r="1545" ht="22.5" customHeight="1">
      <c r="A1545" s="30"/>
      <c r="B1545" s="39"/>
      <c r="C1545" s="32"/>
      <c r="D1545" s="33"/>
      <c r="E1545" s="34"/>
      <c r="F1545" s="34"/>
      <c r="G1545" s="35"/>
      <c r="H1545" s="34"/>
      <c r="I1545" s="37"/>
    </row>
    <row r="1546" ht="22.5" customHeight="1">
      <c r="A1546" s="30"/>
      <c r="B1546" s="31"/>
      <c r="C1546" s="32"/>
      <c r="D1546" s="33"/>
      <c r="E1546" s="34"/>
      <c r="F1546" s="34"/>
      <c r="G1546" s="35"/>
      <c r="H1546" s="34"/>
      <c r="I1546" s="37"/>
    </row>
    <row r="1547" ht="22.5" customHeight="1">
      <c r="A1547" s="30"/>
      <c r="B1547" s="31"/>
      <c r="C1547" s="32"/>
      <c r="D1547" s="33"/>
      <c r="E1547" s="34"/>
      <c r="F1547" s="34"/>
      <c r="G1547" s="35"/>
      <c r="H1547" s="34"/>
      <c r="I1547" s="37"/>
    </row>
    <row r="1548" ht="22.5" customHeight="1">
      <c r="A1548" s="30"/>
      <c r="B1548" s="31"/>
      <c r="C1548" s="32"/>
      <c r="D1548" s="33"/>
      <c r="E1548" s="34"/>
      <c r="F1548" s="34"/>
      <c r="G1548" s="35"/>
      <c r="H1548" s="34"/>
      <c r="I1548" s="37"/>
    </row>
    <row r="1549" ht="22.5" customHeight="1">
      <c r="A1549" s="30"/>
      <c r="B1549" s="31"/>
      <c r="C1549" s="32"/>
      <c r="D1549" s="33"/>
      <c r="E1549" s="34"/>
      <c r="F1549" s="34"/>
      <c r="G1549" s="35"/>
      <c r="H1549" s="34"/>
      <c r="I1549" s="37"/>
    </row>
    <row r="1550" ht="22.5" customHeight="1">
      <c r="A1550" s="30"/>
      <c r="B1550" s="31"/>
      <c r="C1550" s="32"/>
      <c r="D1550" s="33"/>
      <c r="E1550" s="34"/>
      <c r="F1550" s="34"/>
      <c r="G1550" s="35"/>
      <c r="H1550" s="34"/>
      <c r="I1550" s="37"/>
    </row>
    <row r="1551" ht="22.5" customHeight="1">
      <c r="A1551" s="30"/>
      <c r="B1551" s="31"/>
      <c r="C1551" s="32"/>
      <c r="D1551" s="33"/>
      <c r="E1551" s="34"/>
      <c r="F1551" s="34"/>
      <c r="G1551" s="35"/>
      <c r="H1551" s="34"/>
      <c r="I1551" s="37"/>
    </row>
    <row r="1552" ht="22.5" customHeight="1">
      <c r="A1552" s="30"/>
      <c r="B1552" s="31"/>
      <c r="C1552" s="32"/>
      <c r="D1552" s="33"/>
      <c r="E1552" s="34"/>
      <c r="F1552" s="34"/>
      <c r="G1552" s="35"/>
      <c r="H1552" s="34"/>
      <c r="I1552" s="37"/>
    </row>
    <row r="1553" ht="22.5" customHeight="1">
      <c r="A1553" s="30"/>
      <c r="B1553" s="31"/>
      <c r="C1553" s="32"/>
      <c r="D1553" s="33"/>
      <c r="E1553" s="34"/>
      <c r="F1553" s="34"/>
      <c r="G1553" s="35"/>
      <c r="H1553" s="34"/>
      <c r="I1553" s="37"/>
    </row>
    <row r="1554" ht="22.5" customHeight="1">
      <c r="A1554" s="30"/>
      <c r="B1554" s="31"/>
      <c r="C1554" s="32"/>
      <c r="D1554" s="33"/>
      <c r="E1554" s="34"/>
      <c r="F1554" s="34"/>
      <c r="G1554" s="35"/>
      <c r="H1554" s="34"/>
      <c r="I1554" s="37"/>
    </row>
    <row r="1555" ht="22.5" customHeight="1">
      <c r="A1555" s="30"/>
      <c r="B1555" s="31"/>
      <c r="C1555" s="32"/>
      <c r="D1555" s="33"/>
      <c r="E1555" s="34"/>
      <c r="F1555" s="34"/>
      <c r="G1555" s="35"/>
      <c r="H1555" s="34"/>
      <c r="I1555" s="37"/>
    </row>
    <row r="1556" ht="22.5" customHeight="1">
      <c r="A1556" s="30"/>
      <c r="B1556" s="40"/>
      <c r="C1556" s="32"/>
      <c r="D1556" s="33"/>
      <c r="E1556" s="34"/>
      <c r="F1556" s="34"/>
      <c r="G1556" s="35"/>
      <c r="H1556" s="34"/>
      <c r="I1556" s="37"/>
    </row>
    <row r="1557" ht="22.5" customHeight="1">
      <c r="A1557" s="30"/>
      <c r="B1557" s="31"/>
      <c r="C1557" s="32"/>
      <c r="D1557" s="33"/>
      <c r="E1557" s="34"/>
      <c r="F1557" s="34"/>
      <c r="G1557" s="35"/>
      <c r="H1557" s="34"/>
      <c r="I1557" s="37"/>
    </row>
    <row r="1558" ht="22.5" customHeight="1">
      <c r="A1558" s="30"/>
      <c r="B1558" s="31"/>
      <c r="C1558" s="32"/>
      <c r="D1558" s="33"/>
      <c r="E1558" s="34"/>
      <c r="F1558" s="34"/>
      <c r="G1558" s="35"/>
      <c r="H1558" s="34"/>
      <c r="I1558" s="37"/>
    </row>
    <row r="1559" ht="22.5" customHeight="1">
      <c r="A1559" s="30"/>
      <c r="B1559" s="31"/>
      <c r="C1559" s="32"/>
      <c r="D1559" s="33"/>
      <c r="E1559" s="34"/>
      <c r="F1559" s="34"/>
      <c r="G1559" s="35"/>
      <c r="H1559" s="34"/>
      <c r="I1559" s="37"/>
    </row>
    <row r="1560" ht="22.5" customHeight="1">
      <c r="A1560" s="30"/>
      <c r="B1560" s="31"/>
      <c r="C1560" s="32"/>
      <c r="D1560" s="33"/>
      <c r="E1560" s="34"/>
      <c r="F1560" s="34"/>
      <c r="G1560" s="35"/>
      <c r="H1560" s="34"/>
      <c r="I1560" s="37"/>
    </row>
    <row r="1561" ht="22.5" customHeight="1">
      <c r="A1561" s="30"/>
      <c r="B1561" s="31"/>
      <c r="C1561" s="32"/>
      <c r="D1561" s="33"/>
      <c r="E1561" s="34"/>
      <c r="F1561" s="34"/>
      <c r="G1561" s="35"/>
      <c r="H1561" s="34"/>
      <c r="I1561" s="37"/>
    </row>
    <row r="1562" ht="22.5" customHeight="1">
      <c r="A1562" s="30"/>
      <c r="B1562" s="31"/>
      <c r="C1562" s="32"/>
      <c r="D1562" s="33"/>
      <c r="E1562" s="34"/>
      <c r="F1562" s="34"/>
      <c r="G1562" s="35"/>
      <c r="H1562" s="34"/>
      <c r="I1562" s="37"/>
    </row>
    <row r="1563" ht="22.5" customHeight="1">
      <c r="A1563" s="30"/>
      <c r="B1563" s="39"/>
      <c r="C1563" s="32"/>
      <c r="D1563" s="33"/>
      <c r="E1563" s="34"/>
      <c r="F1563" s="34"/>
      <c r="G1563" s="35"/>
      <c r="H1563" s="34"/>
      <c r="I1563" s="37"/>
    </row>
    <row r="1564" ht="22.5" customHeight="1">
      <c r="A1564" s="30"/>
      <c r="B1564" s="39"/>
      <c r="C1564" s="32"/>
      <c r="D1564" s="33"/>
      <c r="E1564" s="34"/>
      <c r="F1564" s="34"/>
      <c r="G1564" s="35"/>
      <c r="H1564" s="34"/>
      <c r="I1564" s="37"/>
    </row>
    <row r="1565" ht="22.5" customHeight="1">
      <c r="A1565" s="30"/>
      <c r="B1565" s="39"/>
      <c r="C1565" s="32"/>
      <c r="D1565" s="33"/>
      <c r="E1565" s="34"/>
      <c r="F1565" s="34"/>
      <c r="G1565" s="35"/>
      <c r="H1565" s="34"/>
      <c r="I1565" s="37"/>
    </row>
    <row r="1566" ht="22.5" customHeight="1">
      <c r="A1566" s="30"/>
      <c r="B1566" s="40"/>
      <c r="C1566" s="32"/>
      <c r="D1566" s="33"/>
      <c r="E1566" s="34"/>
      <c r="F1566" s="34"/>
      <c r="G1566" s="35"/>
      <c r="H1566" s="34"/>
      <c r="I1566" s="37"/>
    </row>
    <row r="1567" ht="22.5" customHeight="1">
      <c r="A1567" s="30"/>
      <c r="B1567" s="31"/>
      <c r="C1567" s="32"/>
      <c r="D1567" s="33"/>
      <c r="E1567" s="34"/>
      <c r="F1567" s="34"/>
      <c r="G1567" s="35"/>
      <c r="H1567" s="34"/>
      <c r="I1567" s="37"/>
    </row>
    <row r="1568" ht="22.5" customHeight="1">
      <c r="A1568" s="30"/>
      <c r="B1568" s="31"/>
      <c r="C1568" s="32"/>
      <c r="D1568" s="33"/>
      <c r="E1568" s="34"/>
      <c r="F1568" s="34"/>
      <c r="G1568" s="35"/>
      <c r="H1568" s="34"/>
      <c r="I1568" s="37"/>
    </row>
    <row r="1569" ht="22.5" customHeight="1">
      <c r="A1569" s="30"/>
      <c r="B1569" s="31"/>
      <c r="C1569" s="32"/>
      <c r="D1569" s="33"/>
      <c r="E1569" s="34"/>
      <c r="F1569" s="34"/>
      <c r="G1569" s="35"/>
      <c r="H1569" s="34"/>
      <c r="I1569" s="37"/>
    </row>
    <row r="1570" ht="22.5" customHeight="1">
      <c r="A1570" s="30"/>
      <c r="B1570" s="31"/>
      <c r="C1570" s="32"/>
      <c r="D1570" s="33"/>
      <c r="E1570" s="34"/>
      <c r="F1570" s="34"/>
      <c r="G1570" s="35"/>
      <c r="H1570" s="34"/>
      <c r="I1570" s="37"/>
    </row>
    <row r="1571" ht="22.5" customHeight="1">
      <c r="A1571" s="30"/>
      <c r="B1571" s="31"/>
      <c r="C1571" s="32"/>
      <c r="D1571" s="33"/>
      <c r="E1571" s="34"/>
      <c r="F1571" s="34"/>
      <c r="G1571" s="35"/>
      <c r="H1571" s="34"/>
      <c r="I1571" s="37"/>
    </row>
    <row r="1572" ht="22.5" customHeight="1">
      <c r="A1572" s="30"/>
      <c r="B1572" s="31"/>
      <c r="C1572" s="32"/>
      <c r="D1572" s="33"/>
      <c r="E1572" s="34"/>
      <c r="F1572" s="34"/>
      <c r="G1572" s="35"/>
      <c r="H1572" s="34"/>
      <c r="I1572" s="37"/>
    </row>
    <row r="1573" ht="22.5" customHeight="1">
      <c r="A1573" s="30"/>
      <c r="B1573" s="31"/>
      <c r="C1573" s="32"/>
      <c r="D1573" s="33"/>
      <c r="E1573" s="34"/>
      <c r="F1573" s="34"/>
      <c r="G1573" s="35"/>
      <c r="H1573" s="34"/>
      <c r="I1573" s="37"/>
    </row>
    <row r="1574" ht="22.5" customHeight="1">
      <c r="A1574" s="30"/>
      <c r="B1574" s="31"/>
      <c r="C1574" s="32"/>
      <c r="D1574" s="33"/>
      <c r="E1574" s="34"/>
      <c r="F1574" s="34"/>
      <c r="G1574" s="35"/>
      <c r="H1574" s="34"/>
      <c r="I1574" s="37"/>
    </row>
    <row r="1575" ht="22.5" customHeight="1">
      <c r="A1575" s="30"/>
      <c r="B1575" s="31"/>
      <c r="C1575" s="32"/>
      <c r="D1575" s="33"/>
      <c r="E1575" s="34"/>
      <c r="F1575" s="34"/>
      <c r="G1575" s="35"/>
      <c r="H1575" s="34"/>
      <c r="I1575" s="37"/>
    </row>
    <row r="1576" ht="22.5" customHeight="1">
      <c r="A1576" s="30"/>
      <c r="B1576" s="40"/>
      <c r="C1576" s="32"/>
      <c r="D1576" s="33"/>
      <c r="E1576" s="34"/>
      <c r="F1576" s="34"/>
      <c r="G1576" s="35"/>
      <c r="H1576" s="34"/>
      <c r="I1576" s="37"/>
    </row>
    <row r="1577" ht="22.5" customHeight="1">
      <c r="A1577" s="30"/>
      <c r="B1577" s="31"/>
      <c r="C1577" s="32"/>
      <c r="D1577" s="33"/>
      <c r="E1577" s="34"/>
      <c r="F1577" s="34"/>
      <c r="G1577" s="35"/>
      <c r="H1577" s="34"/>
      <c r="I1577" s="37"/>
    </row>
    <row r="1578" ht="22.5" customHeight="1">
      <c r="A1578" s="30"/>
      <c r="B1578" s="31"/>
      <c r="C1578" s="32"/>
      <c r="D1578" s="33"/>
      <c r="E1578" s="34"/>
      <c r="F1578" s="34"/>
      <c r="G1578" s="35"/>
      <c r="H1578" s="34"/>
      <c r="I1578" s="37"/>
    </row>
    <row r="1579" ht="22.5" customHeight="1">
      <c r="A1579" s="30"/>
      <c r="B1579" s="31"/>
      <c r="C1579" s="32"/>
      <c r="D1579" s="33"/>
      <c r="E1579" s="34"/>
      <c r="F1579" s="34"/>
      <c r="G1579" s="35"/>
      <c r="H1579" s="34"/>
      <c r="I1579" s="37"/>
    </row>
    <row r="1580" ht="22.5" customHeight="1">
      <c r="A1580" s="30"/>
      <c r="B1580" s="40"/>
      <c r="C1580" s="32"/>
      <c r="D1580" s="33"/>
      <c r="E1580" s="34"/>
      <c r="F1580" s="34"/>
      <c r="G1580" s="35"/>
      <c r="H1580" s="34"/>
      <c r="I1580" s="37"/>
    </row>
    <row r="1581" ht="22.5" customHeight="1">
      <c r="A1581" s="30"/>
      <c r="B1581" s="31"/>
      <c r="C1581" s="32"/>
      <c r="D1581" s="33"/>
      <c r="E1581" s="34"/>
      <c r="F1581" s="34"/>
      <c r="G1581" s="35"/>
      <c r="H1581" s="34"/>
      <c r="I1581" s="37"/>
    </row>
    <row r="1582" ht="22.5" customHeight="1">
      <c r="A1582" s="30"/>
      <c r="B1582" s="31"/>
      <c r="C1582" s="32"/>
      <c r="D1582" s="33"/>
      <c r="E1582" s="34"/>
      <c r="F1582" s="34"/>
      <c r="G1582" s="35"/>
      <c r="H1582" s="34"/>
      <c r="I1582" s="37"/>
    </row>
    <row r="1583" ht="22.5" customHeight="1">
      <c r="A1583" s="30"/>
      <c r="B1583" s="31"/>
      <c r="C1583" s="32"/>
      <c r="D1583" s="33"/>
      <c r="E1583" s="34"/>
      <c r="F1583" s="34"/>
      <c r="G1583" s="35"/>
      <c r="H1583" s="34"/>
      <c r="I1583" s="37"/>
    </row>
    <row r="1584" ht="22.5" customHeight="1">
      <c r="A1584" s="30"/>
      <c r="B1584" s="31"/>
      <c r="C1584" s="32"/>
      <c r="D1584" s="33"/>
      <c r="E1584" s="34"/>
      <c r="F1584" s="34"/>
      <c r="G1584" s="35"/>
      <c r="H1584" s="34"/>
      <c r="I1584" s="37"/>
    </row>
    <row r="1585" ht="22.5" customHeight="1">
      <c r="A1585" s="30"/>
      <c r="B1585" s="31"/>
      <c r="C1585" s="32"/>
      <c r="D1585" s="33"/>
      <c r="E1585" s="34"/>
      <c r="F1585" s="34"/>
      <c r="G1585" s="35"/>
      <c r="H1585" s="34"/>
      <c r="I1585" s="37"/>
    </row>
    <row r="1586" ht="22.5" customHeight="1">
      <c r="A1586" s="30"/>
      <c r="B1586" s="31"/>
      <c r="C1586" s="32"/>
      <c r="D1586" s="33"/>
      <c r="E1586" s="34"/>
      <c r="F1586" s="34"/>
      <c r="G1586" s="35"/>
      <c r="H1586" s="34"/>
      <c r="I1586" s="37"/>
    </row>
    <row r="1587" ht="22.5" customHeight="1">
      <c r="A1587" s="30"/>
      <c r="B1587" s="31"/>
      <c r="C1587" s="32"/>
      <c r="D1587" s="33"/>
      <c r="E1587" s="34"/>
      <c r="F1587" s="34"/>
      <c r="G1587" s="35"/>
      <c r="H1587" s="34"/>
      <c r="I1587" s="37"/>
    </row>
    <row r="1588" ht="22.5" customHeight="1">
      <c r="A1588" s="30"/>
      <c r="B1588" s="31"/>
      <c r="C1588" s="32"/>
      <c r="D1588" s="33"/>
      <c r="E1588" s="34"/>
      <c r="F1588" s="34"/>
      <c r="G1588" s="35"/>
      <c r="H1588" s="34"/>
      <c r="I1588" s="37"/>
    </row>
    <row r="1589" ht="22.5" customHeight="1">
      <c r="A1589" s="30"/>
      <c r="B1589" s="31"/>
      <c r="C1589" s="32"/>
      <c r="D1589" s="33"/>
      <c r="E1589" s="34"/>
      <c r="F1589" s="34"/>
      <c r="G1589" s="35"/>
      <c r="H1589" s="34"/>
      <c r="I1589" s="37"/>
    </row>
    <row r="1590" ht="22.5" customHeight="1">
      <c r="A1590" s="30"/>
      <c r="B1590" s="31"/>
      <c r="C1590" s="32"/>
      <c r="D1590" s="33"/>
      <c r="E1590" s="34"/>
      <c r="F1590" s="34"/>
      <c r="G1590" s="35"/>
      <c r="H1590" s="34"/>
      <c r="I1590" s="37"/>
    </row>
    <row r="1591" ht="22.5" customHeight="1">
      <c r="A1591" s="30"/>
      <c r="B1591" s="31"/>
      <c r="C1591" s="32"/>
      <c r="D1591" s="33"/>
      <c r="E1591" s="34"/>
      <c r="F1591" s="34"/>
      <c r="G1591" s="35"/>
      <c r="H1591" s="34"/>
      <c r="I1591" s="37"/>
    </row>
    <row r="1592" ht="22.5" customHeight="1">
      <c r="A1592" s="30"/>
      <c r="B1592" s="31"/>
      <c r="C1592" s="32"/>
      <c r="D1592" s="33"/>
      <c r="E1592" s="34"/>
      <c r="F1592" s="34"/>
      <c r="G1592" s="35"/>
      <c r="H1592" s="34"/>
      <c r="I1592" s="37"/>
    </row>
    <row r="1593" ht="22.5" customHeight="1">
      <c r="A1593" s="30"/>
      <c r="B1593" s="31"/>
      <c r="C1593" s="32"/>
      <c r="D1593" s="33"/>
      <c r="E1593" s="34"/>
      <c r="F1593" s="34"/>
      <c r="G1593" s="35"/>
      <c r="H1593" s="34"/>
      <c r="I1593" s="37"/>
    </row>
    <row r="1594" ht="22.5" customHeight="1">
      <c r="A1594" s="30"/>
      <c r="B1594" s="31"/>
      <c r="C1594" s="32"/>
      <c r="D1594" s="33"/>
      <c r="E1594" s="34"/>
      <c r="F1594" s="34"/>
      <c r="G1594" s="35"/>
      <c r="H1594" s="34"/>
      <c r="I1594" s="37"/>
    </row>
    <row r="1595" ht="22.5" customHeight="1">
      <c r="A1595" s="30"/>
      <c r="B1595" s="40"/>
      <c r="C1595" s="32"/>
      <c r="D1595" s="33"/>
      <c r="E1595" s="34"/>
      <c r="F1595" s="34"/>
      <c r="G1595" s="35"/>
      <c r="H1595" s="34"/>
      <c r="I1595" s="37"/>
    </row>
    <row r="1596" ht="22.5" customHeight="1">
      <c r="A1596" s="30"/>
      <c r="B1596" s="31"/>
      <c r="C1596" s="32"/>
      <c r="D1596" s="33"/>
      <c r="E1596" s="34"/>
      <c r="F1596" s="34"/>
      <c r="G1596" s="35"/>
      <c r="H1596" s="34"/>
      <c r="I1596" s="37"/>
    </row>
    <row r="1597" ht="22.5" customHeight="1">
      <c r="A1597" s="30"/>
      <c r="B1597" s="40"/>
      <c r="C1597" s="32"/>
      <c r="D1597" s="33"/>
      <c r="E1597" s="34"/>
      <c r="F1597" s="34"/>
      <c r="G1597" s="35"/>
      <c r="H1597" s="34"/>
      <c r="I1597" s="37"/>
    </row>
    <row r="1598" ht="22.5" customHeight="1">
      <c r="A1598" s="30"/>
      <c r="B1598" s="31"/>
      <c r="C1598" s="32"/>
      <c r="D1598" s="33"/>
      <c r="E1598" s="34"/>
      <c r="F1598" s="34"/>
      <c r="G1598" s="35"/>
      <c r="H1598" s="34"/>
      <c r="I1598" s="37"/>
    </row>
    <row r="1599" ht="22.5" customHeight="1">
      <c r="A1599" s="30"/>
      <c r="B1599" s="31"/>
      <c r="C1599" s="32"/>
      <c r="D1599" s="33"/>
      <c r="E1599" s="34"/>
      <c r="F1599" s="34"/>
      <c r="G1599" s="35"/>
      <c r="H1599" s="34"/>
      <c r="I1599" s="37"/>
    </row>
    <row r="1600" ht="22.5" customHeight="1">
      <c r="A1600" s="30"/>
      <c r="B1600" s="31"/>
      <c r="C1600" s="32"/>
      <c r="D1600" s="33"/>
      <c r="E1600" s="34"/>
      <c r="F1600" s="34"/>
      <c r="G1600" s="35"/>
      <c r="H1600" s="34"/>
      <c r="I1600" s="37"/>
    </row>
    <row r="1601" ht="22.5" customHeight="1">
      <c r="A1601" s="30"/>
      <c r="B1601" s="31"/>
      <c r="C1601" s="32"/>
      <c r="D1601" s="33"/>
      <c r="E1601" s="34"/>
      <c r="F1601" s="34"/>
      <c r="G1601" s="35"/>
      <c r="H1601" s="34"/>
      <c r="I1601" s="37"/>
    </row>
    <row r="1602" ht="22.5" customHeight="1">
      <c r="A1602" s="30"/>
      <c r="B1602" s="40"/>
      <c r="C1602" s="32"/>
      <c r="D1602" s="33"/>
      <c r="E1602" s="34"/>
      <c r="F1602" s="34"/>
      <c r="G1602" s="35"/>
      <c r="H1602" s="34"/>
      <c r="I1602" s="37"/>
    </row>
    <row r="1603" ht="22.5" customHeight="1">
      <c r="A1603" s="30"/>
      <c r="B1603" s="31"/>
      <c r="C1603" s="32"/>
      <c r="D1603" s="33"/>
      <c r="E1603" s="34"/>
      <c r="F1603" s="34"/>
      <c r="G1603" s="35"/>
      <c r="H1603" s="34"/>
      <c r="I1603" s="37"/>
    </row>
    <row r="1604" ht="22.5" customHeight="1">
      <c r="A1604" s="30"/>
      <c r="B1604" s="31"/>
      <c r="C1604" s="32"/>
      <c r="D1604" s="33"/>
      <c r="E1604" s="34"/>
      <c r="F1604" s="34"/>
      <c r="G1604" s="35"/>
      <c r="H1604" s="34"/>
      <c r="I1604" s="37"/>
    </row>
    <row r="1605" ht="22.5" customHeight="1">
      <c r="A1605" s="30"/>
      <c r="B1605" s="31"/>
      <c r="C1605" s="32"/>
      <c r="D1605" s="33"/>
      <c r="E1605" s="34"/>
      <c r="F1605" s="34"/>
      <c r="G1605" s="35"/>
      <c r="H1605" s="34"/>
      <c r="I1605" s="37"/>
    </row>
    <row r="1606" ht="22.5" customHeight="1">
      <c r="A1606" s="30"/>
      <c r="B1606" s="31"/>
      <c r="C1606" s="32"/>
      <c r="D1606" s="33"/>
      <c r="E1606" s="34"/>
      <c r="F1606" s="34"/>
      <c r="G1606" s="35"/>
      <c r="H1606" s="34"/>
      <c r="I1606" s="37"/>
    </row>
    <row r="1607" ht="22.5" customHeight="1">
      <c r="A1607" s="30"/>
      <c r="B1607" s="31"/>
      <c r="C1607" s="32"/>
      <c r="D1607" s="33"/>
      <c r="E1607" s="34"/>
      <c r="F1607" s="34"/>
      <c r="G1607" s="35"/>
      <c r="H1607" s="34"/>
      <c r="I1607" s="37"/>
    </row>
    <row r="1608" ht="22.5" customHeight="1">
      <c r="A1608" s="30"/>
      <c r="B1608" s="31"/>
      <c r="C1608" s="32"/>
      <c r="D1608" s="33"/>
      <c r="E1608" s="34"/>
      <c r="F1608" s="34"/>
      <c r="G1608" s="35"/>
      <c r="H1608" s="34"/>
      <c r="I1608" s="37"/>
    </row>
    <row r="1609" ht="22.5" customHeight="1">
      <c r="A1609" s="30"/>
      <c r="B1609" s="31"/>
      <c r="C1609" s="32"/>
      <c r="D1609" s="33"/>
      <c r="E1609" s="34"/>
      <c r="F1609" s="34"/>
      <c r="G1609" s="35"/>
      <c r="H1609" s="34"/>
      <c r="I1609" s="37"/>
    </row>
    <row r="1610" ht="22.5" customHeight="1">
      <c r="A1610" s="30"/>
      <c r="B1610" s="31"/>
      <c r="C1610" s="32"/>
      <c r="D1610" s="33"/>
      <c r="E1610" s="34"/>
      <c r="F1610" s="34"/>
      <c r="G1610" s="35"/>
      <c r="H1610" s="34"/>
      <c r="I1610" s="37"/>
    </row>
    <row r="1611" ht="22.5" customHeight="1">
      <c r="A1611" s="30"/>
      <c r="B1611" s="31"/>
      <c r="C1611" s="32"/>
      <c r="D1611" s="33"/>
      <c r="E1611" s="34"/>
      <c r="F1611" s="34"/>
      <c r="G1611" s="35"/>
      <c r="H1611" s="34"/>
      <c r="I1611" s="37"/>
    </row>
    <row r="1612" ht="22.5" customHeight="1">
      <c r="A1612" s="30"/>
      <c r="B1612" s="31"/>
      <c r="C1612" s="32"/>
      <c r="D1612" s="33"/>
      <c r="E1612" s="34"/>
      <c r="F1612" s="34"/>
      <c r="G1612" s="35"/>
      <c r="H1612" s="34"/>
      <c r="I1612" s="37"/>
    </row>
    <row r="1613" ht="22.5" customHeight="1">
      <c r="A1613" s="30"/>
      <c r="B1613" s="31"/>
      <c r="C1613" s="32"/>
      <c r="D1613" s="33"/>
      <c r="E1613" s="34"/>
      <c r="F1613" s="34"/>
      <c r="G1613" s="35"/>
      <c r="H1613" s="34"/>
      <c r="I1613" s="37"/>
    </row>
    <row r="1614" ht="22.5" customHeight="1">
      <c r="A1614" s="30"/>
      <c r="B1614" s="31"/>
      <c r="C1614" s="32"/>
      <c r="D1614" s="33"/>
      <c r="E1614" s="34"/>
      <c r="F1614" s="34"/>
      <c r="G1614" s="35"/>
      <c r="H1614" s="34"/>
      <c r="I1614" s="37"/>
    </row>
    <row r="1615" ht="22.5" customHeight="1">
      <c r="A1615" s="30"/>
      <c r="B1615" s="31"/>
      <c r="C1615" s="32"/>
      <c r="D1615" s="33"/>
      <c r="E1615" s="34"/>
      <c r="F1615" s="34"/>
      <c r="G1615" s="35"/>
      <c r="H1615" s="34"/>
      <c r="I1615" s="37"/>
    </row>
    <row r="1616" ht="22.5" customHeight="1">
      <c r="A1616" s="30"/>
      <c r="B1616" s="31"/>
      <c r="C1616" s="32"/>
      <c r="D1616" s="33"/>
      <c r="E1616" s="34"/>
      <c r="F1616" s="34"/>
      <c r="G1616" s="35"/>
      <c r="H1616" s="34"/>
      <c r="I1616" s="37"/>
    </row>
    <row r="1617" ht="22.5" customHeight="1">
      <c r="A1617" s="30"/>
      <c r="B1617" s="31"/>
      <c r="C1617" s="32"/>
      <c r="D1617" s="33"/>
      <c r="E1617" s="34"/>
      <c r="F1617" s="34"/>
      <c r="G1617" s="35"/>
      <c r="H1617" s="34"/>
      <c r="I1617" s="37"/>
    </row>
    <row r="1618" ht="22.5" customHeight="1">
      <c r="A1618" s="30"/>
      <c r="B1618" s="31"/>
      <c r="C1618" s="32"/>
      <c r="D1618" s="33"/>
      <c r="E1618" s="34"/>
      <c r="F1618" s="34"/>
      <c r="G1618" s="35"/>
      <c r="H1618" s="34"/>
      <c r="I1618" s="37"/>
    </row>
    <row r="1619" ht="22.5" customHeight="1">
      <c r="A1619" s="30"/>
      <c r="B1619" s="31"/>
      <c r="C1619" s="32"/>
      <c r="D1619" s="33"/>
      <c r="E1619" s="34"/>
      <c r="F1619" s="34"/>
      <c r="G1619" s="35"/>
      <c r="H1619" s="34"/>
      <c r="I1619" s="37"/>
    </row>
    <row r="1620" ht="22.5" customHeight="1">
      <c r="A1620" s="30"/>
      <c r="B1620" s="31"/>
      <c r="C1620" s="32"/>
      <c r="D1620" s="33"/>
      <c r="E1620" s="34"/>
      <c r="F1620" s="34"/>
      <c r="G1620" s="35"/>
      <c r="H1620" s="34"/>
      <c r="I1620" s="37"/>
    </row>
    <row r="1621" ht="22.5" customHeight="1">
      <c r="A1621" s="30"/>
      <c r="B1621" s="31"/>
      <c r="C1621" s="32"/>
      <c r="D1621" s="33"/>
      <c r="E1621" s="34"/>
      <c r="F1621" s="34"/>
      <c r="G1621" s="35"/>
      <c r="H1621" s="34"/>
      <c r="I1621" s="37"/>
    </row>
    <row r="1622" ht="22.5" customHeight="1">
      <c r="A1622" s="30"/>
      <c r="B1622" s="31"/>
      <c r="C1622" s="32"/>
      <c r="D1622" s="33"/>
      <c r="E1622" s="34"/>
      <c r="F1622" s="34"/>
      <c r="G1622" s="35"/>
      <c r="H1622" s="34"/>
      <c r="I1622" s="37"/>
    </row>
    <row r="1623" ht="22.5" customHeight="1">
      <c r="A1623" s="30"/>
      <c r="B1623" s="31"/>
      <c r="C1623" s="32"/>
      <c r="D1623" s="33"/>
      <c r="E1623" s="34"/>
      <c r="F1623" s="34"/>
      <c r="G1623" s="35"/>
      <c r="H1623" s="34"/>
      <c r="I1623" s="37"/>
    </row>
    <row r="1624" ht="22.5" customHeight="1">
      <c r="A1624" s="30"/>
      <c r="B1624" s="31"/>
      <c r="C1624" s="30"/>
      <c r="D1624" s="33"/>
      <c r="E1624" s="34"/>
      <c r="F1624" s="34"/>
      <c r="G1624" s="36"/>
      <c r="H1624" s="34"/>
      <c r="I1624" s="37"/>
    </row>
    <row r="1625" ht="22.5" customHeight="1">
      <c r="A1625" s="30"/>
      <c r="B1625" s="31"/>
      <c r="C1625" s="30"/>
      <c r="D1625" s="33"/>
      <c r="E1625" s="34"/>
      <c r="F1625" s="34"/>
      <c r="G1625" s="36"/>
      <c r="H1625" s="34"/>
      <c r="I1625" s="37"/>
    </row>
    <row r="1626" ht="22.5" customHeight="1">
      <c r="A1626" s="30"/>
      <c r="B1626" s="31"/>
      <c r="C1626" s="30"/>
      <c r="D1626" s="33"/>
      <c r="E1626" s="34"/>
      <c r="F1626" s="34"/>
      <c r="G1626" s="36"/>
      <c r="H1626" s="34"/>
      <c r="I1626" s="37"/>
    </row>
    <row r="1627" ht="22.5" customHeight="1">
      <c r="A1627" s="30"/>
      <c r="B1627" s="31"/>
      <c r="C1627" s="30"/>
      <c r="D1627" s="33"/>
      <c r="E1627" s="34"/>
      <c r="F1627" s="34"/>
      <c r="G1627" s="36"/>
      <c r="H1627" s="34"/>
      <c r="I1627" s="37"/>
    </row>
    <row r="1628" ht="22.5" customHeight="1">
      <c r="A1628" s="30"/>
      <c r="B1628" s="31"/>
      <c r="C1628" s="30"/>
      <c r="D1628" s="33"/>
      <c r="E1628" s="34"/>
      <c r="F1628" s="34"/>
      <c r="G1628" s="36"/>
      <c r="H1628" s="34"/>
      <c r="I1628" s="37"/>
    </row>
    <row r="1629" ht="22.5" customHeight="1">
      <c r="A1629" s="30"/>
      <c r="B1629" s="31"/>
      <c r="C1629" s="30"/>
      <c r="D1629" s="33"/>
      <c r="E1629" s="34"/>
      <c r="F1629" s="34"/>
      <c r="G1629" s="36"/>
      <c r="H1629" s="34"/>
      <c r="I1629" s="37"/>
    </row>
    <row r="1630" ht="22.5" customHeight="1">
      <c r="A1630" s="30"/>
      <c r="B1630" s="31"/>
      <c r="C1630" s="30"/>
      <c r="D1630" s="33"/>
      <c r="E1630" s="34"/>
      <c r="F1630" s="34"/>
      <c r="G1630" s="36"/>
      <c r="H1630" s="34"/>
      <c r="I1630" s="37"/>
    </row>
    <row r="1631" ht="22.5" customHeight="1">
      <c r="A1631" s="30"/>
      <c r="B1631" s="31"/>
      <c r="C1631" s="30"/>
      <c r="D1631" s="33"/>
      <c r="E1631" s="34"/>
      <c r="F1631" s="34"/>
      <c r="G1631" s="36"/>
      <c r="H1631" s="34"/>
      <c r="I1631" s="37"/>
    </row>
    <row r="1632" ht="22.5" customHeight="1">
      <c r="A1632" s="30"/>
      <c r="B1632" s="31"/>
      <c r="C1632" s="30"/>
      <c r="D1632" s="33"/>
      <c r="E1632" s="34"/>
      <c r="F1632" s="34"/>
      <c r="G1632" s="36"/>
      <c r="H1632" s="34"/>
      <c r="I1632" s="37"/>
    </row>
    <row r="1633" ht="22.5" customHeight="1">
      <c r="A1633" s="30"/>
      <c r="B1633" s="31"/>
      <c r="C1633" s="30"/>
      <c r="D1633" s="33"/>
      <c r="E1633" s="34"/>
      <c r="F1633" s="34"/>
      <c r="G1633" s="36"/>
      <c r="H1633" s="34"/>
      <c r="I1633" s="37"/>
    </row>
    <row r="1634" ht="22.5" customHeight="1">
      <c r="A1634" s="30"/>
      <c r="B1634" s="31"/>
      <c r="C1634" s="30"/>
      <c r="D1634" s="33"/>
      <c r="E1634" s="34"/>
      <c r="F1634" s="34"/>
      <c r="G1634" s="36"/>
      <c r="H1634" s="34"/>
      <c r="I1634" s="37"/>
    </row>
    <row r="1635" ht="22.5" customHeight="1">
      <c r="A1635" s="30"/>
      <c r="B1635" s="31"/>
      <c r="C1635" s="30"/>
      <c r="D1635" s="33"/>
      <c r="E1635" s="34"/>
      <c r="F1635" s="34"/>
      <c r="G1635" s="36"/>
      <c r="H1635" s="34"/>
      <c r="I1635" s="37"/>
    </row>
    <row r="1636" ht="22.5" customHeight="1">
      <c r="A1636" s="30"/>
      <c r="B1636" s="31"/>
      <c r="C1636" s="30"/>
      <c r="D1636" s="33"/>
      <c r="E1636" s="34"/>
      <c r="F1636" s="34"/>
      <c r="G1636" s="36"/>
      <c r="H1636" s="34"/>
      <c r="I1636" s="37"/>
    </row>
    <row r="1637" ht="22.5" customHeight="1">
      <c r="A1637" s="30"/>
      <c r="B1637" s="31"/>
      <c r="C1637" s="30"/>
      <c r="D1637" s="33"/>
      <c r="E1637" s="34"/>
      <c r="F1637" s="34"/>
      <c r="G1637" s="36"/>
      <c r="H1637" s="34"/>
      <c r="I1637" s="37"/>
    </row>
    <row r="1638" ht="22.5" customHeight="1">
      <c r="A1638" s="30"/>
      <c r="B1638" s="31"/>
      <c r="C1638" s="30"/>
      <c r="D1638" s="33"/>
      <c r="E1638" s="34"/>
      <c r="F1638" s="34"/>
      <c r="G1638" s="36"/>
      <c r="H1638" s="34"/>
      <c r="I1638" s="37"/>
    </row>
    <row r="1639" ht="22.5" customHeight="1">
      <c r="A1639" s="30"/>
      <c r="B1639" s="31"/>
      <c r="C1639" s="30"/>
      <c r="D1639" s="33"/>
      <c r="E1639" s="34"/>
      <c r="F1639" s="34"/>
      <c r="G1639" s="36"/>
      <c r="H1639" s="34"/>
      <c r="I1639" s="37"/>
    </row>
    <row r="1640" ht="22.5" customHeight="1">
      <c r="A1640" s="30"/>
      <c r="B1640" s="31"/>
      <c r="C1640" s="30"/>
      <c r="D1640" s="33"/>
      <c r="E1640" s="34"/>
      <c r="F1640" s="34"/>
      <c r="G1640" s="36"/>
      <c r="H1640" s="34"/>
      <c r="I1640" s="37"/>
    </row>
    <row r="1641" ht="22.5" customHeight="1">
      <c r="A1641" s="30"/>
      <c r="B1641" s="31"/>
      <c r="C1641" s="30"/>
      <c r="D1641" s="33"/>
      <c r="E1641" s="34"/>
      <c r="F1641" s="34"/>
      <c r="G1641" s="36"/>
      <c r="H1641" s="34"/>
      <c r="I1641" s="37"/>
    </row>
    <row r="1642" ht="22.5" customHeight="1">
      <c r="A1642" s="30"/>
      <c r="B1642" s="31"/>
      <c r="C1642" s="30"/>
      <c r="D1642" s="33"/>
      <c r="E1642" s="34"/>
      <c r="F1642" s="34"/>
      <c r="G1642" s="36"/>
      <c r="H1642" s="34"/>
      <c r="I1642" s="37"/>
    </row>
    <row r="1643" ht="22.5" customHeight="1">
      <c r="A1643" s="30"/>
      <c r="B1643" s="31"/>
      <c r="C1643" s="30"/>
      <c r="D1643" s="33"/>
      <c r="E1643" s="34"/>
      <c r="F1643" s="34"/>
      <c r="G1643" s="36"/>
      <c r="H1643" s="34"/>
      <c r="I1643" s="37"/>
    </row>
    <row r="1644" ht="22.5" customHeight="1">
      <c r="A1644" s="30"/>
      <c r="B1644" s="31"/>
      <c r="C1644" s="30"/>
      <c r="D1644" s="33"/>
      <c r="E1644" s="34"/>
      <c r="F1644" s="34"/>
      <c r="G1644" s="36"/>
      <c r="H1644" s="34"/>
      <c r="I1644" s="37"/>
    </row>
    <row r="1645" ht="22.5" customHeight="1">
      <c r="A1645" s="30"/>
      <c r="B1645" s="31"/>
      <c r="C1645" s="30"/>
      <c r="D1645" s="33"/>
      <c r="E1645" s="34"/>
      <c r="F1645" s="34"/>
      <c r="G1645" s="36"/>
      <c r="H1645" s="34"/>
      <c r="I1645" s="37"/>
    </row>
    <row r="1646" ht="22.5" customHeight="1">
      <c r="A1646" s="30"/>
      <c r="B1646" s="31"/>
      <c r="C1646" s="30"/>
      <c r="D1646" s="33"/>
      <c r="E1646" s="34"/>
      <c r="F1646" s="34"/>
      <c r="G1646" s="36"/>
      <c r="H1646" s="34"/>
      <c r="I1646" s="37"/>
    </row>
    <row r="1647" ht="22.5" customHeight="1">
      <c r="A1647" s="30"/>
      <c r="B1647" s="31"/>
      <c r="C1647" s="30"/>
      <c r="D1647" s="33"/>
      <c r="E1647" s="34"/>
      <c r="F1647" s="34"/>
      <c r="G1647" s="36"/>
      <c r="H1647" s="34"/>
      <c r="I1647" s="37"/>
    </row>
    <row r="1648" ht="22.5" customHeight="1">
      <c r="A1648" s="30"/>
      <c r="B1648" s="31"/>
      <c r="C1648" s="30"/>
      <c r="D1648" s="33"/>
      <c r="E1648" s="34"/>
      <c r="F1648" s="34"/>
      <c r="G1648" s="36"/>
      <c r="H1648" s="34"/>
      <c r="I1648" s="37"/>
    </row>
    <row r="1649" ht="22.5" customHeight="1">
      <c r="A1649" s="30"/>
      <c r="B1649" s="31"/>
      <c r="C1649" s="30"/>
      <c r="D1649" s="33"/>
      <c r="E1649" s="34"/>
      <c r="F1649" s="34"/>
      <c r="G1649" s="36"/>
      <c r="H1649" s="34"/>
      <c r="I1649" s="37"/>
    </row>
    <row r="1650" ht="22.5" customHeight="1">
      <c r="A1650" s="30"/>
      <c r="B1650" s="31"/>
      <c r="C1650" s="30"/>
      <c r="D1650" s="33"/>
      <c r="E1650" s="34"/>
      <c r="F1650" s="34"/>
      <c r="G1650" s="36"/>
      <c r="H1650" s="34"/>
      <c r="I1650" s="37"/>
    </row>
    <row r="1651" ht="22.5" customHeight="1">
      <c r="A1651" s="30"/>
      <c r="B1651" s="31"/>
      <c r="C1651" s="30"/>
      <c r="D1651" s="33"/>
      <c r="E1651" s="34"/>
      <c r="F1651" s="34"/>
      <c r="G1651" s="36"/>
      <c r="H1651" s="34"/>
      <c r="I1651" s="37"/>
    </row>
    <row r="1652" ht="22.5" customHeight="1">
      <c r="A1652" s="30"/>
      <c r="B1652" s="31"/>
      <c r="C1652" s="30"/>
      <c r="D1652" s="33"/>
      <c r="E1652" s="34"/>
      <c r="F1652" s="34"/>
      <c r="G1652" s="36"/>
      <c r="H1652" s="34"/>
      <c r="I1652" s="37"/>
    </row>
    <row r="1653" ht="22.5" customHeight="1">
      <c r="A1653" s="30"/>
      <c r="B1653" s="31"/>
      <c r="C1653" s="30"/>
      <c r="D1653" s="33"/>
      <c r="E1653" s="34"/>
      <c r="F1653" s="34"/>
      <c r="G1653" s="36"/>
      <c r="H1653" s="34"/>
      <c r="I1653" s="37"/>
    </row>
    <row r="1654" ht="22.5" customHeight="1">
      <c r="A1654" s="30"/>
      <c r="B1654" s="31"/>
      <c r="C1654" s="30"/>
      <c r="D1654" s="33"/>
      <c r="E1654" s="34"/>
      <c r="F1654" s="34"/>
      <c r="G1654" s="36"/>
      <c r="H1654" s="34"/>
      <c r="I1654" s="37"/>
    </row>
    <row r="1655" ht="22.5" customHeight="1">
      <c r="A1655" s="30"/>
      <c r="B1655" s="31"/>
      <c r="C1655" s="30"/>
      <c r="D1655" s="33"/>
      <c r="E1655" s="34"/>
      <c r="F1655" s="34"/>
      <c r="G1655" s="36"/>
      <c r="H1655" s="34"/>
      <c r="I1655" s="37"/>
    </row>
    <row r="1656" ht="22.5" customHeight="1">
      <c r="A1656" s="30"/>
      <c r="B1656" s="31"/>
      <c r="C1656" s="30"/>
      <c r="D1656" s="33"/>
      <c r="E1656" s="34"/>
      <c r="F1656" s="34"/>
      <c r="G1656" s="36"/>
      <c r="H1656" s="34"/>
      <c r="I1656" s="37"/>
    </row>
    <row r="1657" ht="22.5" customHeight="1">
      <c r="A1657" s="30"/>
      <c r="B1657" s="31"/>
      <c r="C1657" s="30"/>
      <c r="D1657" s="33"/>
      <c r="E1657" s="34"/>
      <c r="F1657" s="34"/>
      <c r="G1657" s="36"/>
      <c r="H1657" s="34"/>
      <c r="I1657" s="37"/>
    </row>
    <row r="1658" ht="22.5" customHeight="1">
      <c r="A1658" s="30"/>
      <c r="B1658" s="31"/>
      <c r="C1658" s="30"/>
      <c r="D1658" s="33"/>
      <c r="E1658" s="34"/>
      <c r="F1658" s="34"/>
      <c r="G1658" s="36"/>
      <c r="H1658" s="34"/>
      <c r="I1658" s="37"/>
    </row>
    <row r="1659" ht="22.5" customHeight="1">
      <c r="A1659" s="30"/>
      <c r="B1659" s="31"/>
      <c r="C1659" s="30"/>
      <c r="D1659" s="33"/>
      <c r="E1659" s="34"/>
      <c r="F1659" s="34"/>
      <c r="G1659" s="36"/>
      <c r="H1659" s="34"/>
      <c r="I1659" s="37"/>
    </row>
    <row r="1660" ht="22.5" customHeight="1">
      <c r="A1660" s="30"/>
      <c r="B1660" s="31"/>
      <c r="C1660" s="30"/>
      <c r="D1660" s="33"/>
      <c r="E1660" s="34"/>
      <c r="F1660" s="34"/>
      <c r="G1660" s="36"/>
      <c r="H1660" s="34"/>
      <c r="I1660" s="37"/>
    </row>
    <row r="1661" ht="22.5" customHeight="1">
      <c r="A1661" s="30"/>
      <c r="B1661" s="31"/>
      <c r="C1661" s="30"/>
      <c r="D1661" s="33"/>
      <c r="E1661" s="34"/>
      <c r="F1661" s="34"/>
      <c r="G1661" s="36"/>
      <c r="H1661" s="34"/>
      <c r="I1661" s="37"/>
    </row>
    <row r="1662" ht="22.5" customHeight="1">
      <c r="A1662" s="30"/>
      <c r="B1662" s="31"/>
      <c r="C1662" s="30"/>
      <c r="D1662" s="33"/>
      <c r="E1662" s="34"/>
      <c r="F1662" s="34"/>
      <c r="G1662" s="36"/>
      <c r="H1662" s="34"/>
      <c r="I1662" s="37"/>
    </row>
    <row r="1663" ht="22.5" customHeight="1">
      <c r="A1663" s="30"/>
      <c r="B1663" s="31"/>
      <c r="C1663" s="30"/>
      <c r="D1663" s="33"/>
      <c r="E1663" s="34"/>
      <c r="F1663" s="34"/>
      <c r="G1663" s="36"/>
      <c r="H1663" s="34"/>
      <c r="I1663" s="37"/>
    </row>
    <row r="1664" ht="22.5" customHeight="1">
      <c r="A1664" s="30"/>
      <c r="B1664" s="31"/>
      <c r="C1664" s="30"/>
      <c r="D1664" s="33"/>
      <c r="E1664" s="34"/>
      <c r="F1664" s="34"/>
      <c r="G1664" s="36"/>
      <c r="H1664" s="34"/>
      <c r="I1664" s="37"/>
    </row>
    <row r="1665" ht="22.5" customHeight="1">
      <c r="A1665" s="30"/>
      <c r="B1665" s="31"/>
      <c r="C1665" s="30"/>
      <c r="D1665" s="33"/>
      <c r="E1665" s="34"/>
      <c r="F1665" s="34"/>
      <c r="G1665" s="36"/>
      <c r="H1665" s="34"/>
      <c r="I1665" s="37"/>
    </row>
    <row r="1666" ht="22.5" customHeight="1">
      <c r="A1666" s="30"/>
      <c r="B1666" s="31"/>
      <c r="C1666" s="30"/>
      <c r="D1666" s="33"/>
      <c r="E1666" s="34"/>
      <c r="F1666" s="34"/>
      <c r="G1666" s="36"/>
      <c r="H1666" s="34"/>
      <c r="I1666" s="37"/>
    </row>
    <row r="1667" ht="22.5" customHeight="1">
      <c r="A1667" s="30"/>
      <c r="B1667" s="31"/>
      <c r="C1667" s="30"/>
      <c r="D1667" s="33"/>
      <c r="E1667" s="34"/>
      <c r="F1667" s="34"/>
      <c r="G1667" s="36"/>
      <c r="H1667" s="34"/>
      <c r="I1667" s="37"/>
    </row>
    <row r="1668" ht="22.5" customHeight="1">
      <c r="A1668" s="30"/>
      <c r="B1668" s="31"/>
      <c r="C1668" s="30"/>
      <c r="D1668" s="33"/>
      <c r="E1668" s="34"/>
      <c r="F1668" s="34"/>
      <c r="G1668" s="36"/>
      <c r="H1668" s="34"/>
      <c r="I1668" s="37"/>
    </row>
    <row r="1669" ht="22.5" customHeight="1">
      <c r="A1669" s="30"/>
      <c r="B1669" s="31"/>
      <c r="C1669" s="30"/>
      <c r="D1669" s="33"/>
      <c r="E1669" s="34"/>
      <c r="F1669" s="34"/>
      <c r="G1669" s="36"/>
      <c r="H1669" s="34"/>
      <c r="I1669" s="37"/>
    </row>
    <row r="1670" ht="22.5" customHeight="1">
      <c r="A1670" s="30"/>
      <c r="B1670" s="31"/>
      <c r="C1670" s="30"/>
      <c r="D1670" s="33"/>
      <c r="E1670" s="34"/>
      <c r="F1670" s="34"/>
      <c r="G1670" s="36"/>
      <c r="H1670" s="34"/>
      <c r="I1670" s="37"/>
    </row>
    <row r="1671" ht="22.5" customHeight="1">
      <c r="A1671" s="30"/>
      <c r="B1671" s="31"/>
      <c r="C1671" s="30"/>
      <c r="D1671" s="33"/>
      <c r="E1671" s="34"/>
      <c r="F1671" s="34"/>
      <c r="G1671" s="36"/>
      <c r="H1671" s="34"/>
      <c r="I1671" s="37"/>
    </row>
    <row r="1672" ht="22.5" customHeight="1">
      <c r="A1672" s="30"/>
      <c r="B1672" s="31"/>
      <c r="C1672" s="30"/>
      <c r="D1672" s="33"/>
      <c r="E1672" s="34"/>
      <c r="F1672" s="34"/>
      <c r="G1672" s="36"/>
      <c r="H1672" s="34"/>
      <c r="I1672" s="37"/>
    </row>
    <row r="1673" ht="22.5" customHeight="1">
      <c r="A1673" s="30"/>
      <c r="B1673" s="31"/>
      <c r="C1673" s="30"/>
      <c r="D1673" s="33"/>
      <c r="E1673" s="34"/>
      <c r="F1673" s="34"/>
      <c r="G1673" s="36"/>
      <c r="H1673" s="34"/>
      <c r="I1673" s="37"/>
    </row>
    <row r="1674" ht="22.5" customHeight="1">
      <c r="A1674" s="30"/>
      <c r="B1674" s="31"/>
      <c r="C1674" s="30"/>
      <c r="D1674" s="33"/>
      <c r="E1674" s="34"/>
      <c r="F1674" s="34"/>
      <c r="G1674" s="36"/>
      <c r="H1674" s="34"/>
      <c r="I1674" s="37"/>
    </row>
    <row r="1675" ht="22.5" customHeight="1">
      <c r="A1675" s="30"/>
      <c r="B1675" s="31"/>
      <c r="C1675" s="30"/>
      <c r="D1675" s="33"/>
      <c r="E1675" s="34"/>
      <c r="F1675" s="34"/>
      <c r="G1675" s="36"/>
      <c r="H1675" s="34"/>
      <c r="I1675" s="37"/>
    </row>
    <row r="1676" ht="22.5" customHeight="1">
      <c r="A1676" s="30"/>
      <c r="B1676" s="31"/>
      <c r="C1676" s="30"/>
      <c r="D1676" s="33"/>
      <c r="E1676" s="34"/>
      <c r="F1676" s="34"/>
      <c r="G1676" s="36"/>
      <c r="H1676" s="34"/>
      <c r="I1676" s="37"/>
    </row>
    <row r="1677" ht="22.5" customHeight="1">
      <c r="A1677" s="30"/>
      <c r="B1677" s="31"/>
      <c r="C1677" s="30"/>
      <c r="D1677" s="33"/>
      <c r="E1677" s="34"/>
      <c r="F1677" s="34"/>
      <c r="G1677" s="36"/>
      <c r="H1677" s="34"/>
      <c r="I1677" s="37"/>
    </row>
    <row r="1678" ht="22.5" customHeight="1">
      <c r="A1678" s="30"/>
      <c r="B1678" s="31"/>
      <c r="C1678" s="30"/>
      <c r="D1678" s="33"/>
      <c r="E1678" s="34"/>
      <c r="F1678" s="34"/>
      <c r="G1678" s="36"/>
      <c r="H1678" s="34"/>
      <c r="I1678" s="37"/>
    </row>
    <row r="1679" ht="22.5" customHeight="1">
      <c r="A1679" s="30"/>
      <c r="B1679" s="31"/>
      <c r="C1679" s="30"/>
      <c r="D1679" s="33"/>
      <c r="E1679" s="34"/>
      <c r="F1679" s="34"/>
      <c r="G1679" s="36"/>
      <c r="H1679" s="34"/>
      <c r="I1679" s="37"/>
    </row>
    <row r="1680" ht="22.5" customHeight="1">
      <c r="A1680" s="30"/>
      <c r="B1680" s="31"/>
      <c r="C1680" s="30"/>
      <c r="D1680" s="33"/>
      <c r="E1680" s="34"/>
      <c r="F1680" s="34"/>
      <c r="G1680" s="36"/>
      <c r="H1680" s="34"/>
      <c r="I1680" s="37"/>
    </row>
    <row r="1681" ht="22.5" customHeight="1">
      <c r="A1681" s="30"/>
      <c r="B1681" s="31"/>
      <c r="C1681" s="30"/>
      <c r="D1681" s="33"/>
      <c r="E1681" s="34"/>
      <c r="F1681" s="34"/>
      <c r="G1681" s="36"/>
      <c r="H1681" s="34"/>
      <c r="I1681" s="37"/>
    </row>
    <row r="1682" ht="22.5" customHeight="1">
      <c r="A1682" s="30"/>
      <c r="B1682" s="31"/>
      <c r="C1682" s="30"/>
      <c r="D1682" s="33"/>
      <c r="E1682" s="34"/>
      <c r="F1682" s="34"/>
      <c r="G1682" s="36"/>
      <c r="H1682" s="34"/>
      <c r="I1682" s="37"/>
    </row>
    <row r="1683" ht="22.5" customHeight="1">
      <c r="A1683" s="30"/>
      <c r="B1683" s="31"/>
      <c r="C1683" s="30"/>
      <c r="D1683" s="33"/>
      <c r="E1683" s="34"/>
      <c r="F1683" s="34"/>
      <c r="G1683" s="36"/>
      <c r="H1683" s="34"/>
      <c r="I1683" s="37"/>
    </row>
    <row r="1684" ht="22.5" customHeight="1">
      <c r="A1684" s="30"/>
      <c r="B1684" s="31"/>
      <c r="C1684" s="30"/>
      <c r="D1684" s="33"/>
      <c r="E1684" s="34"/>
      <c r="F1684" s="34"/>
      <c r="G1684" s="36"/>
      <c r="H1684" s="34"/>
      <c r="I1684" s="37"/>
    </row>
    <row r="1685" ht="22.5" customHeight="1">
      <c r="A1685" s="30"/>
      <c r="B1685" s="31"/>
      <c r="C1685" s="30"/>
      <c r="D1685" s="33"/>
      <c r="E1685" s="34"/>
      <c r="F1685" s="34"/>
      <c r="G1685" s="36"/>
      <c r="H1685" s="34"/>
      <c r="I1685" s="37"/>
    </row>
    <row r="1686" ht="22.5" customHeight="1">
      <c r="A1686" s="30"/>
      <c r="B1686" s="31"/>
      <c r="C1686" s="30"/>
      <c r="D1686" s="33"/>
      <c r="E1686" s="34"/>
      <c r="F1686" s="34"/>
      <c r="G1686" s="36"/>
      <c r="H1686" s="34"/>
      <c r="I1686" s="37"/>
    </row>
    <row r="1687" ht="22.5" customHeight="1">
      <c r="A1687" s="30"/>
      <c r="B1687" s="31"/>
      <c r="C1687" s="30"/>
      <c r="D1687" s="33"/>
      <c r="E1687" s="34"/>
      <c r="F1687" s="34"/>
      <c r="G1687" s="36"/>
      <c r="H1687" s="34"/>
      <c r="I1687" s="37"/>
    </row>
    <row r="1688" ht="22.5" customHeight="1">
      <c r="A1688" s="30"/>
      <c r="B1688" s="31"/>
      <c r="C1688" s="30"/>
      <c r="D1688" s="33"/>
      <c r="E1688" s="34"/>
      <c r="F1688" s="34"/>
      <c r="G1688" s="36"/>
      <c r="H1688" s="34"/>
      <c r="I1688" s="37"/>
    </row>
    <row r="1689" ht="22.5" customHeight="1">
      <c r="A1689" s="30"/>
      <c r="B1689" s="31"/>
      <c r="C1689" s="30"/>
      <c r="D1689" s="33"/>
      <c r="E1689" s="34"/>
      <c r="F1689" s="34"/>
      <c r="G1689" s="36"/>
      <c r="H1689" s="34"/>
      <c r="I1689" s="37"/>
    </row>
    <row r="1690" ht="22.5" customHeight="1">
      <c r="A1690" s="30"/>
      <c r="B1690" s="31"/>
      <c r="C1690" s="30"/>
      <c r="D1690" s="33"/>
      <c r="E1690" s="34"/>
      <c r="F1690" s="34"/>
      <c r="G1690" s="36"/>
      <c r="H1690" s="34"/>
      <c r="I1690" s="37"/>
    </row>
    <row r="1691" ht="22.5" customHeight="1">
      <c r="A1691" s="30"/>
      <c r="B1691" s="31"/>
      <c r="C1691" s="30"/>
      <c r="D1691" s="33"/>
      <c r="E1691" s="34"/>
      <c r="F1691" s="34"/>
      <c r="G1691" s="36"/>
      <c r="H1691" s="34"/>
      <c r="I1691" s="37"/>
    </row>
    <row r="1692" ht="22.5" customHeight="1">
      <c r="A1692" s="30"/>
      <c r="B1692" s="31"/>
      <c r="C1692" s="30"/>
      <c r="D1692" s="33"/>
      <c r="E1692" s="34"/>
      <c r="F1692" s="34"/>
      <c r="G1692" s="36"/>
      <c r="H1692" s="34"/>
      <c r="I1692" s="37"/>
    </row>
    <row r="1693" ht="22.5" customHeight="1">
      <c r="A1693" s="30"/>
      <c r="B1693" s="31"/>
      <c r="C1693" s="30"/>
      <c r="D1693" s="33"/>
      <c r="E1693" s="34"/>
      <c r="F1693" s="34"/>
      <c r="G1693" s="36"/>
      <c r="H1693" s="34"/>
      <c r="I1693" s="37"/>
    </row>
    <row r="1694" ht="22.5" customHeight="1">
      <c r="A1694" s="30"/>
      <c r="B1694" s="31"/>
      <c r="C1694" s="30"/>
      <c r="D1694" s="33"/>
      <c r="E1694" s="34"/>
      <c r="F1694" s="34"/>
      <c r="G1694" s="36"/>
      <c r="H1694" s="34"/>
      <c r="I1694" s="37"/>
    </row>
    <row r="1695" ht="22.5" customHeight="1">
      <c r="A1695" s="30"/>
      <c r="B1695" s="31"/>
      <c r="C1695" s="30"/>
      <c r="D1695" s="33"/>
      <c r="E1695" s="34"/>
      <c r="F1695" s="34"/>
      <c r="G1695" s="36"/>
      <c r="H1695" s="34"/>
      <c r="I1695" s="37"/>
    </row>
    <row r="1696" ht="22.5" customHeight="1">
      <c r="A1696" s="30"/>
      <c r="B1696" s="31"/>
      <c r="C1696" s="30"/>
      <c r="D1696" s="33"/>
      <c r="E1696" s="34"/>
      <c r="F1696" s="34"/>
      <c r="G1696" s="36"/>
      <c r="H1696" s="34"/>
      <c r="I1696" s="37"/>
    </row>
    <row r="1697" ht="22.5" customHeight="1">
      <c r="A1697" s="30"/>
      <c r="B1697" s="31"/>
      <c r="C1697" s="30"/>
      <c r="D1697" s="33"/>
      <c r="E1697" s="34"/>
      <c r="F1697" s="34"/>
      <c r="G1697" s="36"/>
      <c r="H1697" s="34"/>
      <c r="I1697" s="37"/>
    </row>
    <row r="1698" ht="22.5" customHeight="1">
      <c r="A1698" s="30"/>
      <c r="B1698" s="31"/>
      <c r="C1698" s="30"/>
      <c r="D1698" s="33"/>
      <c r="E1698" s="34"/>
      <c r="F1698" s="34"/>
      <c r="G1698" s="36"/>
      <c r="H1698" s="34"/>
      <c r="I1698" s="37"/>
    </row>
    <row r="1699" ht="22.5" customHeight="1">
      <c r="A1699" s="30"/>
      <c r="B1699" s="31"/>
      <c r="C1699" s="30"/>
      <c r="D1699" s="33"/>
      <c r="E1699" s="34"/>
      <c r="F1699" s="34"/>
      <c r="G1699" s="36"/>
      <c r="H1699" s="34"/>
      <c r="I1699" s="37"/>
    </row>
    <row r="1700" ht="22.5" customHeight="1">
      <c r="A1700" s="30"/>
      <c r="B1700" s="31"/>
      <c r="C1700" s="30"/>
      <c r="D1700" s="33"/>
      <c r="E1700" s="34"/>
      <c r="F1700" s="34"/>
      <c r="G1700" s="36"/>
      <c r="H1700" s="34"/>
      <c r="I1700" s="37"/>
    </row>
    <row r="1701" ht="22.5" customHeight="1">
      <c r="A1701" s="30"/>
      <c r="B1701" s="31"/>
      <c r="C1701" s="30"/>
      <c r="D1701" s="33"/>
      <c r="E1701" s="34"/>
      <c r="F1701" s="34"/>
      <c r="G1701" s="36"/>
      <c r="H1701" s="34"/>
      <c r="I1701" s="37"/>
    </row>
    <row r="1702" ht="22.5" customHeight="1">
      <c r="A1702" s="41"/>
      <c r="B1702" s="42"/>
      <c r="C1702" s="41"/>
      <c r="D1702" s="43"/>
      <c r="E1702" s="44"/>
      <c r="F1702" s="44"/>
      <c r="G1702" s="45"/>
      <c r="H1702" s="44"/>
      <c r="I1702" s="46"/>
    </row>
  </sheetData>
  <conditionalFormatting sqref="A5:I1702">
    <cfRule type="expression" dxfId="23" priority="1">
      <formula>$F5="BOLSA DE OXIGÊNIO"</formula>
    </cfRule>
  </conditionalFormatting>
  <conditionalFormatting sqref="A5:I1702">
    <cfRule type="expression" dxfId="6" priority="2">
      <formula>$F5="BOLSA SALV. ALTURA (MERET)"</formula>
    </cfRule>
  </conditionalFormatting>
  <conditionalFormatting sqref="A5:I1702">
    <cfRule type="expression" dxfId="7" priority="3">
      <formula>$F5="BOX 01"</formula>
    </cfRule>
  </conditionalFormatting>
  <conditionalFormatting sqref="A5:I1702">
    <cfRule type="expression" dxfId="8" priority="4">
      <formula>$F5="BOX 02"</formula>
    </cfRule>
  </conditionalFormatting>
  <conditionalFormatting sqref="A5:I1702">
    <cfRule type="expression" dxfId="9" priority="5">
      <formula>$F5="BOX 03"</formula>
    </cfRule>
  </conditionalFormatting>
  <conditionalFormatting sqref="A5:I1702">
    <cfRule type="expression" dxfId="10" priority="6">
      <formula>$F5="BOX 04"</formula>
    </cfRule>
  </conditionalFormatting>
  <conditionalFormatting sqref="A5:I1702">
    <cfRule type="expression" dxfId="11" priority="7">
      <formula>$F5="BOX 05"</formula>
    </cfRule>
  </conditionalFormatting>
  <conditionalFormatting sqref="A5:I1702">
    <cfRule type="expression" dxfId="12" priority="8">
      <formula>$F5="BOX CENTRAL"</formula>
    </cfRule>
  </conditionalFormatting>
  <conditionalFormatting sqref="A5:I1702">
    <cfRule type="expression" dxfId="13" priority="9">
      <formula>$F5="BOX SUPERIOR 01"</formula>
    </cfRule>
  </conditionalFormatting>
  <conditionalFormatting sqref="A5:I1702">
    <cfRule type="expression" dxfId="14" priority="10">
      <formula>$F5="CABINE"</formula>
    </cfRule>
  </conditionalFormatting>
  <conditionalFormatting sqref="A5:I1702">
    <cfRule type="expression" dxfId="15" priority="11">
      <formula>$F5="CARROCERIA"</formula>
    </cfRule>
  </conditionalFormatting>
  <conditionalFormatting sqref="A5:I1702">
    <cfRule type="expression" dxfId="16" priority="12">
      <formula>$F5="CAIXA DE FERRAMENTA"</formula>
    </cfRule>
  </conditionalFormatting>
  <conditionalFormatting sqref="A5:I1702">
    <cfRule type="expression" dxfId="17" priority="13">
      <formula>$F5="BOLSA DE SALV. ALTURA"</formula>
    </cfRule>
  </conditionalFormatting>
  <conditionalFormatting sqref="A5:I1702">
    <cfRule type="expression" dxfId="18" priority="14">
      <formula>$F5="BOLSA DE SALV ALTURA VERMELHA LACRADA"</formula>
    </cfRule>
  </conditionalFormatting>
  <conditionalFormatting sqref="A5:I1702">
    <cfRule type="expression" dxfId="19" priority="15">
      <formula>$F5="BOLSA DE SALV ALTURA CINZA LACRADA"</formula>
    </cfRule>
  </conditionalFormatting>
  <conditionalFormatting sqref="A5:I1702">
    <cfRule type="expression" dxfId="20" priority="16">
      <formula>$F5="BOX 06"</formula>
    </cfRule>
  </conditionalFormatting>
  <conditionalFormatting sqref="A5:I1702">
    <cfRule type="expression" dxfId="21" priority="17">
      <formula>$F5="BOX 07"</formula>
    </cfRule>
  </conditionalFormatting>
  <conditionalFormatting sqref="A5:I1702">
    <cfRule type="expression" dxfId="22" priority="18">
      <formula>$F5="BOX 08"</formula>
    </cfRule>
  </conditionalFormatting>
  <conditionalFormatting sqref="A5:I1624">
    <cfRule type="expression" dxfId="24" priority="19">
      <formula>$F5="BOX TRASEIRO"</formula>
    </cfRule>
  </conditionalFormatting>
  <conditionalFormatting sqref="A1">
    <cfRule type="notContainsBlanks" dxfId="30" priority="20">
      <formula>LEN(TRIM(A1))&gt;0</formula>
    </cfRule>
  </conditionalFormatting>
  <conditionalFormatting sqref="A5:I1624">
    <cfRule type="expression" dxfId="31" priority="21">
      <formula>$F5="MATERIAL DE MERGULHO"</formula>
    </cfRule>
  </conditionalFormatting>
  <conditionalFormatting sqref="A5:I1624">
    <cfRule type="expression" dxfId="32" priority="22">
      <formula>$F5="SETOR DE MEIOS"</formula>
    </cfRule>
  </conditionalFormatting>
  <dataValidations>
    <dataValidation type="list" allowBlank="1" sqref="B2">
      <formula1>'Cadastro Automático VTRSEÇÃOMIL'!$C$1:$C1702</formula1>
    </dataValidation>
    <dataValidation allowBlank="1" showDropDown="1" sqref="B5:B1702"/>
    <dataValidation type="list" allowBlank="1" sqref="B1">
      <formula1>'Cadastro Automático VTRSEÇÃOMIL'!$B$1:$B1702</formula1>
    </dataValidation>
  </dataValidations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1"/>
  <tableParts count="2">
    <tablePart r:id="rId4"/>
    <tablePart r:id="rId5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A9999"/>
    <outlinePr summaryBelow="0" summaryRight="0"/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20.38"/>
    <col customWidth="1" min="2" max="2" width="50.13"/>
    <col customWidth="1" min="3" max="3" width="9.5"/>
    <col customWidth="1" min="4" max="4" width="12.25"/>
    <col customWidth="1" min="5" max="5" width="17.75"/>
    <col customWidth="1" min="6" max="6" width="30.5"/>
    <col customWidth="1" min="7" max="7" width="14.25"/>
    <col customWidth="1" min="8" max="8" width="31.25"/>
    <col customWidth="1" min="9" max="9" width="81.38"/>
  </cols>
  <sheetData>
    <row r="1" ht="21.0" customHeight="1">
      <c r="A1" s="1" t="s">
        <v>0</v>
      </c>
      <c r="B1" s="2" t="s">
        <v>26</v>
      </c>
      <c r="C1" s="3"/>
      <c r="D1" s="3"/>
      <c r="E1" s="3"/>
      <c r="F1" s="3"/>
      <c r="G1" s="4"/>
      <c r="H1" s="61"/>
      <c r="I1" s="5"/>
    </row>
    <row r="2" ht="17.25" customHeight="1">
      <c r="A2" s="1" t="s">
        <v>2</v>
      </c>
      <c r="B2" s="2" t="s">
        <v>27</v>
      </c>
      <c r="C2" s="3"/>
      <c r="D2" s="3"/>
      <c r="E2" s="3"/>
      <c r="F2" s="3"/>
      <c r="G2" s="62"/>
      <c r="H2" s="63"/>
      <c r="I2" s="64"/>
    </row>
    <row r="3" ht="30.0" customHeight="1">
      <c r="A3" s="3"/>
      <c r="B3" s="48"/>
      <c r="C3" s="3"/>
      <c r="D3" s="3"/>
      <c r="E3" s="3"/>
      <c r="F3" s="3"/>
      <c r="G3" s="4"/>
      <c r="H3" s="63"/>
      <c r="I3" s="8"/>
    </row>
    <row r="4" ht="37.5" customHeight="1">
      <c r="A4" s="9" t="s">
        <v>14</v>
      </c>
      <c r="B4" s="10" t="s">
        <v>4</v>
      </c>
      <c r="C4" s="11" t="s">
        <v>5</v>
      </c>
      <c r="D4" s="12" t="s">
        <v>6</v>
      </c>
      <c r="E4" s="12" t="s">
        <v>0</v>
      </c>
      <c r="F4" s="12" t="s">
        <v>7</v>
      </c>
      <c r="G4" s="11" t="s">
        <v>8</v>
      </c>
      <c r="H4" s="50" t="s">
        <v>9</v>
      </c>
      <c r="I4" s="59" t="s">
        <v>15</v>
      </c>
    </row>
    <row r="5" ht="22.5" customHeight="1">
      <c r="A5" s="22"/>
      <c r="B5" s="23"/>
      <c r="C5" s="24"/>
      <c r="D5" s="25"/>
      <c r="E5" s="26"/>
      <c r="F5" s="26"/>
      <c r="G5" s="27"/>
      <c r="H5" s="26"/>
      <c r="I5" s="29"/>
    </row>
    <row r="6" ht="25.5" customHeight="1">
      <c r="A6" s="30">
        <f>IFERROR(__xludf.DUMMYFUNCTION("IF(B2&lt;&gt;"""",FILTER('Planilhas compilada ordem alfab'!A2:I1703,'Planilhas compilada ordem alfab'!E2:E1703=B1,'Planilhas compilada ordem alfab'!F2:F1703=B2),FILTER('Planilhas compilada ordem alfab'!A2:I1703,'Planilhas compilada ordem alfab'!E2:E1703=B1))"),450.0)</f>
        <v>450</v>
      </c>
      <c r="B6" s="31" t="str">
        <f>IFERROR(__xludf.DUMMYFUNCTION("""COMPUTED_VALUE"""),"ADAPTADOR PARA ROSCA DO COMPRESSOR")</f>
        <v>ADAPTADOR PARA ROSCA DO COMPRESSOR</v>
      </c>
      <c r="C6" s="32">
        <f>IFERROR(__xludf.DUMMYFUNCTION("""COMPUTED_VALUE"""),8.0)</f>
        <v>8</v>
      </c>
      <c r="D6" s="33" t="str">
        <f>IFERROR(__xludf.DUMMYFUNCTION("""COMPUTED_VALUE"""),"SEÇÃO")</f>
        <v>SEÇÃO</v>
      </c>
      <c r="E6" s="34" t="str">
        <f>IFERROR(__xludf.DUMMYFUNCTION("""COMPUTED_VALUE"""),"3 - 1ª CIA OP")</f>
        <v>3 - 1ª CIA OP</v>
      </c>
      <c r="F6" s="34" t="str">
        <f>IFERROR(__xludf.DUMMYFUNCTION("""COMPUTED_VALUE"""),"SALA DE MERGULHO")</f>
        <v>SALA DE MERGULHO</v>
      </c>
      <c r="G6" s="35">
        <f>IFERROR(__xludf.DUMMYFUNCTION("""COMPUTED_VALUE"""),45912.0)</f>
        <v>45912</v>
      </c>
      <c r="H6" s="34"/>
      <c r="I6" s="37"/>
    </row>
    <row r="7" ht="22.5" customHeight="1">
      <c r="A7" s="30">
        <f>IFERROR(__xludf.DUMMYFUNCTION("""COMPUTED_VALUE"""),449.0)</f>
        <v>449</v>
      </c>
      <c r="B7" s="31" t="str">
        <f>IFERROR(__xludf.DUMMYFUNCTION("""COMPUTED_VALUE"""),"CILINDRO DE MERGULHO")</f>
        <v>CILINDRO DE MERGULHO</v>
      </c>
      <c r="C7" s="32">
        <f>IFERROR(__xludf.DUMMYFUNCTION("""COMPUTED_VALUE"""),26.0)</f>
        <v>26</v>
      </c>
      <c r="D7" s="33" t="str">
        <f>IFERROR(__xludf.DUMMYFUNCTION("""COMPUTED_VALUE"""),"SEÇÃO")</f>
        <v>SEÇÃO</v>
      </c>
      <c r="E7" s="34" t="str">
        <f>IFERROR(__xludf.DUMMYFUNCTION("""COMPUTED_VALUE"""),"3 - 1ª CIA OP")</f>
        <v>3 - 1ª CIA OP</v>
      </c>
      <c r="F7" s="34" t="str">
        <f>IFERROR(__xludf.DUMMYFUNCTION("""COMPUTED_VALUE"""),"SALA DE MERGULHO")</f>
        <v>SALA DE MERGULHO</v>
      </c>
      <c r="G7" s="35">
        <f>IFERROR(__xludf.DUMMYFUNCTION("""COMPUTED_VALUE"""),45623.0)</f>
        <v>45623</v>
      </c>
      <c r="H7" s="34"/>
      <c r="I7" s="37" t="str">
        <f>IFERROR(__xludf.DUMMYFUNCTION("""COMPUTED_VALUE"""),"OBS: UM DOS CILINDROS PERTENCE AO TEN ALVES")</f>
        <v>OBS: UM DOS CILINDROS PERTENCE AO TEN ALVES</v>
      </c>
    </row>
    <row r="8" ht="22.5" customHeight="1">
      <c r="A8" s="30">
        <f>IFERROR(__xludf.DUMMYFUNCTION("""COMPUTED_VALUE"""),1364.0)</f>
        <v>1364</v>
      </c>
      <c r="B8" s="31" t="str">
        <f>IFERROR(__xludf.DUMMYFUNCTION("""COMPUTED_VALUE"""),"COMPRESSOR DE AR RESPIRAVEL -")</f>
        <v>COMPRESSOR DE AR RESPIRAVEL -</v>
      </c>
      <c r="C8" s="32">
        <f>IFERROR(__xludf.DUMMYFUNCTION("""COMPUTED_VALUE"""),1.0)</f>
        <v>1</v>
      </c>
      <c r="D8" s="33" t="str">
        <f>IFERROR(__xludf.DUMMYFUNCTION("""COMPUTED_VALUE"""),"SEÇÃO")</f>
        <v>SEÇÃO</v>
      </c>
      <c r="E8" s="34" t="str">
        <f>IFERROR(__xludf.DUMMYFUNCTION("""COMPUTED_VALUE"""),"3 - 1ª CIA OP")</f>
        <v>3 - 1ª CIA OP</v>
      </c>
      <c r="F8" s="34" t="str">
        <f>IFERROR(__xludf.DUMMYFUNCTION("""COMPUTED_VALUE"""),"SALA DE MERGULHO")</f>
        <v>SALA DE MERGULHO</v>
      </c>
      <c r="G8" s="35">
        <f>IFERROR(__xludf.DUMMYFUNCTION("""COMPUTED_VALUE"""),7.6898733E7)</f>
        <v>76898733</v>
      </c>
      <c r="H8" s="34"/>
      <c r="I8" s="38" t="str">
        <f>IFERROR(__xludf.DUMMYFUNCTION("""COMPUTED_VALUE"""),"LUXON - GMC300/ET")</f>
        <v>LUXON - GMC300/ET</v>
      </c>
    </row>
    <row r="9" ht="22.5" customHeight="1">
      <c r="A9" s="30"/>
      <c r="B9" s="39"/>
      <c r="C9" s="32"/>
      <c r="D9" s="33"/>
      <c r="E9" s="34"/>
      <c r="F9" s="34"/>
      <c r="G9" s="35"/>
      <c r="H9" s="34"/>
      <c r="I9" s="37"/>
    </row>
    <row r="10" ht="22.5" customHeight="1">
      <c r="A10" s="30"/>
      <c r="B10" s="31"/>
      <c r="C10" s="32"/>
      <c r="D10" s="33"/>
      <c r="E10" s="34"/>
      <c r="F10" s="34"/>
      <c r="G10" s="35"/>
      <c r="H10" s="34"/>
      <c r="I10" s="37"/>
    </row>
    <row r="11" ht="22.5" customHeight="1">
      <c r="A11" s="30"/>
      <c r="B11" s="31"/>
      <c r="C11" s="32"/>
      <c r="D11" s="33"/>
      <c r="E11" s="34"/>
      <c r="F11" s="34"/>
      <c r="G11" s="35"/>
      <c r="H11" s="34"/>
      <c r="I11" s="37"/>
    </row>
    <row r="12" ht="22.5" customHeight="1">
      <c r="A12" s="30"/>
      <c r="B12" s="31"/>
      <c r="C12" s="32"/>
      <c r="D12" s="33"/>
      <c r="E12" s="34"/>
      <c r="F12" s="34"/>
      <c r="G12" s="35"/>
      <c r="H12" s="34"/>
      <c r="I12" s="37"/>
    </row>
    <row r="13" ht="22.5" customHeight="1">
      <c r="A13" s="30"/>
      <c r="B13" s="39"/>
      <c r="C13" s="32"/>
      <c r="D13" s="33"/>
      <c r="E13" s="34"/>
      <c r="F13" s="34"/>
      <c r="G13" s="35"/>
      <c r="H13" s="34"/>
      <c r="I13" s="37"/>
    </row>
    <row r="14" ht="22.5" customHeight="1">
      <c r="A14" s="30"/>
      <c r="B14" s="31"/>
      <c r="C14" s="32"/>
      <c r="D14" s="33"/>
      <c r="E14" s="34"/>
      <c r="F14" s="34"/>
      <c r="G14" s="35"/>
      <c r="H14" s="34"/>
      <c r="I14" s="37"/>
    </row>
    <row r="15" ht="22.5" customHeight="1">
      <c r="A15" s="30"/>
      <c r="B15" s="39"/>
      <c r="C15" s="32"/>
      <c r="D15" s="33"/>
      <c r="E15" s="34"/>
      <c r="F15" s="34"/>
      <c r="G15" s="35"/>
      <c r="H15" s="34"/>
      <c r="I15" s="37"/>
    </row>
    <row r="16" ht="22.5" customHeight="1">
      <c r="A16" s="30"/>
      <c r="B16" s="31"/>
      <c r="C16" s="32"/>
      <c r="D16" s="33"/>
      <c r="E16" s="34"/>
      <c r="F16" s="34"/>
      <c r="G16" s="35"/>
      <c r="H16" s="34"/>
      <c r="I16" s="37"/>
    </row>
    <row r="17" ht="22.5" customHeight="1">
      <c r="A17" s="30"/>
      <c r="B17" s="31"/>
      <c r="C17" s="32"/>
      <c r="D17" s="33"/>
      <c r="E17" s="34"/>
      <c r="F17" s="34"/>
      <c r="G17" s="35"/>
      <c r="H17" s="34"/>
      <c r="I17" s="37"/>
    </row>
    <row r="18" ht="22.5" customHeight="1">
      <c r="A18" s="30"/>
      <c r="B18" s="31"/>
      <c r="C18" s="32"/>
      <c r="D18" s="33"/>
      <c r="E18" s="34"/>
      <c r="F18" s="34"/>
      <c r="G18" s="35"/>
      <c r="H18" s="34"/>
      <c r="I18" s="37"/>
    </row>
    <row r="19" ht="22.5" customHeight="1">
      <c r="A19" s="30"/>
      <c r="B19" s="31"/>
      <c r="C19" s="32"/>
      <c r="D19" s="33"/>
      <c r="E19" s="34"/>
      <c r="F19" s="34"/>
      <c r="G19" s="35"/>
      <c r="H19" s="34"/>
      <c r="I19" s="37"/>
    </row>
    <row r="20" ht="22.5" customHeight="1">
      <c r="A20" s="30"/>
      <c r="B20" s="31"/>
      <c r="C20" s="32"/>
      <c r="D20" s="33"/>
      <c r="E20" s="34"/>
      <c r="F20" s="34"/>
      <c r="G20" s="35"/>
      <c r="H20" s="34"/>
      <c r="I20" s="37"/>
    </row>
    <row r="21" ht="22.5" customHeight="1">
      <c r="A21" s="30"/>
      <c r="B21" s="31"/>
      <c r="C21" s="32"/>
      <c r="D21" s="33"/>
      <c r="E21" s="34"/>
      <c r="F21" s="34"/>
      <c r="G21" s="35"/>
      <c r="H21" s="34"/>
      <c r="I21" s="37"/>
    </row>
    <row r="22" ht="22.5" customHeight="1">
      <c r="A22" s="30"/>
      <c r="B22" s="31"/>
      <c r="C22" s="32"/>
      <c r="D22" s="33"/>
      <c r="E22" s="34"/>
      <c r="F22" s="34"/>
      <c r="G22" s="35"/>
      <c r="H22" s="34"/>
      <c r="I22" s="37"/>
    </row>
    <row r="23" ht="22.5" customHeight="1">
      <c r="A23" s="30"/>
      <c r="B23" s="31"/>
      <c r="C23" s="32"/>
      <c r="D23" s="33"/>
      <c r="E23" s="34"/>
      <c r="F23" s="34"/>
      <c r="G23" s="35"/>
      <c r="H23" s="34"/>
      <c r="I23" s="37"/>
    </row>
    <row r="24" ht="22.5" customHeight="1">
      <c r="A24" s="30"/>
      <c r="B24" s="31"/>
      <c r="C24" s="32"/>
      <c r="D24" s="33"/>
      <c r="E24" s="34"/>
      <c r="F24" s="34"/>
      <c r="G24" s="35"/>
      <c r="H24" s="34"/>
      <c r="I24" s="37"/>
    </row>
    <row r="25" ht="22.5" customHeight="1">
      <c r="A25" s="30"/>
      <c r="B25" s="31"/>
      <c r="C25" s="32"/>
      <c r="D25" s="33"/>
      <c r="E25" s="34"/>
      <c r="F25" s="34"/>
      <c r="G25" s="35"/>
      <c r="H25" s="34"/>
      <c r="I25" s="37"/>
    </row>
    <row r="26" ht="22.5" customHeight="1">
      <c r="A26" s="30"/>
      <c r="B26" s="40"/>
      <c r="C26" s="32"/>
      <c r="D26" s="33"/>
      <c r="E26" s="34"/>
      <c r="F26" s="34"/>
      <c r="G26" s="35"/>
      <c r="H26" s="34"/>
      <c r="I26" s="37"/>
    </row>
    <row r="27" ht="22.5" customHeight="1">
      <c r="A27" s="30"/>
      <c r="B27" s="31"/>
      <c r="C27" s="32"/>
      <c r="D27" s="33"/>
      <c r="E27" s="34"/>
      <c r="F27" s="34"/>
      <c r="G27" s="35"/>
      <c r="H27" s="34"/>
      <c r="I27" s="37"/>
    </row>
    <row r="28" ht="22.5" customHeight="1">
      <c r="A28" s="30"/>
      <c r="B28" s="31"/>
      <c r="C28" s="32"/>
      <c r="D28" s="33"/>
      <c r="E28" s="34"/>
      <c r="F28" s="34"/>
      <c r="G28" s="35"/>
      <c r="H28" s="34"/>
      <c r="I28" s="37"/>
    </row>
    <row r="29" ht="22.5" customHeight="1">
      <c r="A29" s="30"/>
      <c r="B29" s="31"/>
      <c r="C29" s="32"/>
      <c r="D29" s="33"/>
      <c r="E29" s="34"/>
      <c r="F29" s="34"/>
      <c r="G29" s="35"/>
      <c r="H29" s="34"/>
      <c r="I29" s="37"/>
    </row>
    <row r="30" ht="22.5" customHeight="1">
      <c r="A30" s="30"/>
      <c r="B30" s="31"/>
      <c r="C30" s="32"/>
      <c r="D30" s="33"/>
      <c r="E30" s="34"/>
      <c r="F30" s="34"/>
      <c r="G30" s="35"/>
      <c r="H30" s="34"/>
      <c r="I30" s="37"/>
    </row>
    <row r="31" ht="22.5" customHeight="1">
      <c r="A31" s="30"/>
      <c r="B31" s="31"/>
      <c r="C31" s="32"/>
      <c r="D31" s="33"/>
      <c r="E31" s="34"/>
      <c r="F31" s="34"/>
      <c r="G31" s="35"/>
      <c r="H31" s="34"/>
      <c r="I31" s="37"/>
    </row>
    <row r="32" ht="22.5" customHeight="1">
      <c r="A32" s="30"/>
      <c r="B32" s="31"/>
      <c r="C32" s="32"/>
      <c r="D32" s="33"/>
      <c r="E32" s="34"/>
      <c r="F32" s="34"/>
      <c r="G32" s="35"/>
      <c r="H32" s="34"/>
      <c r="I32" s="37"/>
    </row>
    <row r="33" ht="22.5" customHeight="1">
      <c r="A33" s="30"/>
      <c r="B33" s="39"/>
      <c r="C33" s="32"/>
      <c r="D33" s="33"/>
      <c r="E33" s="34"/>
      <c r="F33" s="34"/>
      <c r="G33" s="35"/>
      <c r="H33" s="34"/>
      <c r="I33" s="37"/>
    </row>
    <row r="34" ht="22.5" customHeight="1">
      <c r="A34" s="30"/>
      <c r="B34" s="39"/>
      <c r="C34" s="32"/>
      <c r="D34" s="33"/>
      <c r="E34" s="34"/>
      <c r="F34" s="34"/>
      <c r="G34" s="35"/>
      <c r="H34" s="34"/>
      <c r="I34" s="37"/>
    </row>
    <row r="35" ht="22.5" customHeight="1">
      <c r="A35" s="30"/>
      <c r="B35" s="39"/>
      <c r="C35" s="32"/>
      <c r="D35" s="33"/>
      <c r="E35" s="34"/>
      <c r="F35" s="34"/>
      <c r="G35" s="35"/>
      <c r="H35" s="34"/>
      <c r="I35" s="37"/>
    </row>
    <row r="36" ht="22.5" customHeight="1">
      <c r="A36" s="30"/>
      <c r="B36" s="40"/>
      <c r="C36" s="32"/>
      <c r="D36" s="33"/>
      <c r="E36" s="34"/>
      <c r="F36" s="34"/>
      <c r="G36" s="35"/>
      <c r="H36" s="34"/>
      <c r="I36" s="37"/>
    </row>
    <row r="37" ht="22.5" customHeight="1">
      <c r="A37" s="30"/>
      <c r="B37" s="31"/>
      <c r="C37" s="32"/>
      <c r="D37" s="33"/>
      <c r="E37" s="34"/>
      <c r="F37" s="34"/>
      <c r="G37" s="35"/>
      <c r="H37" s="34"/>
      <c r="I37" s="37"/>
    </row>
    <row r="38" ht="22.5" customHeight="1">
      <c r="A38" s="30"/>
      <c r="B38" s="31"/>
      <c r="C38" s="32"/>
      <c r="D38" s="33"/>
      <c r="E38" s="34"/>
      <c r="F38" s="34"/>
      <c r="G38" s="35"/>
      <c r="H38" s="34"/>
      <c r="I38" s="37"/>
    </row>
    <row r="39" ht="22.5" customHeight="1">
      <c r="A39" s="30"/>
      <c r="B39" s="31"/>
      <c r="C39" s="32"/>
      <c r="D39" s="33"/>
      <c r="E39" s="34"/>
      <c r="F39" s="34"/>
      <c r="G39" s="35"/>
      <c r="H39" s="34"/>
      <c r="I39" s="37"/>
    </row>
    <row r="40" ht="22.5" customHeight="1">
      <c r="A40" s="30"/>
      <c r="B40" s="31"/>
      <c r="C40" s="32"/>
      <c r="D40" s="33"/>
      <c r="E40" s="34"/>
      <c r="F40" s="34"/>
      <c r="G40" s="35"/>
      <c r="H40" s="34"/>
      <c r="I40" s="37"/>
    </row>
    <row r="41" ht="22.5" customHeight="1">
      <c r="A41" s="30"/>
      <c r="B41" s="31"/>
      <c r="C41" s="32"/>
      <c r="D41" s="33"/>
      <c r="E41" s="34"/>
      <c r="F41" s="34"/>
      <c r="G41" s="35"/>
      <c r="H41" s="34"/>
      <c r="I41" s="37"/>
    </row>
    <row r="42" ht="22.5" customHeight="1">
      <c r="A42" s="30"/>
      <c r="B42" s="31"/>
      <c r="C42" s="32"/>
      <c r="D42" s="33"/>
      <c r="E42" s="34"/>
      <c r="F42" s="34"/>
      <c r="G42" s="35"/>
      <c r="H42" s="34"/>
      <c r="I42" s="37"/>
    </row>
    <row r="43" ht="22.5" customHeight="1">
      <c r="A43" s="30"/>
      <c r="B43" s="31"/>
      <c r="C43" s="32"/>
      <c r="D43" s="33"/>
      <c r="E43" s="34"/>
      <c r="F43" s="34"/>
      <c r="G43" s="35"/>
      <c r="H43" s="34"/>
      <c r="I43" s="37"/>
    </row>
    <row r="44" ht="22.5" customHeight="1">
      <c r="A44" s="30"/>
      <c r="B44" s="31"/>
      <c r="C44" s="32"/>
      <c r="D44" s="33"/>
      <c r="E44" s="34"/>
      <c r="F44" s="34"/>
      <c r="G44" s="35"/>
      <c r="H44" s="34"/>
      <c r="I44" s="37"/>
    </row>
    <row r="45" ht="22.5" customHeight="1">
      <c r="A45" s="30"/>
      <c r="B45" s="31"/>
      <c r="C45" s="32"/>
      <c r="D45" s="33"/>
      <c r="E45" s="34"/>
      <c r="F45" s="34"/>
      <c r="G45" s="35"/>
      <c r="H45" s="34"/>
      <c r="I45" s="37"/>
    </row>
    <row r="46" ht="22.5" customHeight="1">
      <c r="A46" s="30"/>
      <c r="B46" s="40"/>
      <c r="C46" s="32"/>
      <c r="D46" s="33"/>
      <c r="E46" s="34"/>
      <c r="F46" s="34"/>
      <c r="G46" s="35"/>
      <c r="H46" s="34"/>
      <c r="I46" s="37"/>
    </row>
    <row r="47" ht="22.5" customHeight="1">
      <c r="A47" s="30"/>
      <c r="B47" s="31"/>
      <c r="C47" s="32"/>
      <c r="D47" s="33"/>
      <c r="E47" s="34"/>
      <c r="F47" s="34"/>
      <c r="G47" s="35"/>
      <c r="H47" s="34"/>
      <c r="I47" s="37"/>
    </row>
    <row r="48" ht="22.5" customHeight="1">
      <c r="A48" s="30"/>
      <c r="B48" s="31"/>
      <c r="C48" s="32"/>
      <c r="D48" s="33"/>
      <c r="E48" s="34"/>
      <c r="F48" s="34"/>
      <c r="G48" s="35"/>
      <c r="H48" s="34"/>
      <c r="I48" s="37"/>
    </row>
    <row r="49" ht="22.5" customHeight="1">
      <c r="A49" s="30"/>
      <c r="B49" s="31"/>
      <c r="C49" s="32"/>
      <c r="D49" s="33"/>
      <c r="E49" s="34"/>
      <c r="F49" s="34"/>
      <c r="G49" s="35"/>
      <c r="H49" s="34"/>
      <c r="I49" s="37"/>
    </row>
    <row r="50" ht="22.5" customHeight="1">
      <c r="A50" s="30"/>
      <c r="B50" s="40"/>
      <c r="C50" s="32"/>
      <c r="D50" s="33"/>
      <c r="E50" s="34"/>
      <c r="F50" s="34"/>
      <c r="G50" s="35"/>
      <c r="H50" s="34"/>
      <c r="I50" s="37"/>
    </row>
    <row r="51" ht="22.5" customHeight="1">
      <c r="A51" s="30"/>
      <c r="B51" s="31"/>
      <c r="C51" s="32"/>
      <c r="D51" s="33"/>
      <c r="E51" s="34"/>
      <c r="F51" s="34"/>
      <c r="G51" s="35"/>
      <c r="H51" s="34"/>
      <c r="I51" s="37"/>
    </row>
    <row r="52" ht="22.5" customHeight="1">
      <c r="A52" s="30"/>
      <c r="B52" s="31"/>
      <c r="C52" s="32"/>
      <c r="D52" s="33"/>
      <c r="E52" s="34"/>
      <c r="F52" s="34"/>
      <c r="G52" s="35"/>
      <c r="H52" s="34"/>
      <c r="I52" s="37"/>
    </row>
    <row r="53" ht="22.5" customHeight="1">
      <c r="A53" s="30"/>
      <c r="B53" s="31"/>
      <c r="C53" s="32"/>
      <c r="D53" s="33"/>
      <c r="E53" s="34"/>
      <c r="F53" s="34"/>
      <c r="G53" s="35"/>
      <c r="H53" s="34"/>
      <c r="I53" s="37"/>
    </row>
    <row r="54" ht="22.5" customHeight="1">
      <c r="A54" s="30"/>
      <c r="B54" s="31"/>
      <c r="C54" s="32"/>
      <c r="D54" s="33"/>
      <c r="E54" s="34"/>
      <c r="F54" s="34"/>
      <c r="G54" s="35"/>
      <c r="H54" s="34"/>
      <c r="I54" s="37"/>
    </row>
    <row r="55" ht="22.5" customHeight="1">
      <c r="A55" s="30"/>
      <c r="B55" s="31"/>
      <c r="C55" s="32"/>
      <c r="D55" s="33"/>
      <c r="E55" s="34"/>
      <c r="F55" s="34"/>
      <c r="G55" s="35"/>
      <c r="H55" s="34"/>
      <c r="I55" s="37"/>
    </row>
    <row r="56" ht="22.5" customHeight="1">
      <c r="A56" s="30"/>
      <c r="B56" s="31"/>
      <c r="C56" s="32"/>
      <c r="D56" s="33"/>
      <c r="E56" s="34"/>
      <c r="F56" s="34"/>
      <c r="G56" s="35"/>
      <c r="H56" s="34"/>
      <c r="I56" s="37"/>
    </row>
    <row r="57" ht="22.5" customHeight="1">
      <c r="A57" s="30"/>
      <c r="B57" s="31"/>
      <c r="C57" s="32"/>
      <c r="D57" s="33"/>
      <c r="E57" s="34"/>
      <c r="F57" s="34"/>
      <c r="G57" s="35"/>
      <c r="H57" s="34"/>
      <c r="I57" s="37"/>
    </row>
    <row r="58" ht="22.5" customHeight="1">
      <c r="A58" s="30"/>
      <c r="B58" s="31"/>
      <c r="C58" s="32"/>
      <c r="D58" s="33"/>
      <c r="E58" s="34"/>
      <c r="F58" s="34"/>
      <c r="G58" s="35"/>
      <c r="H58" s="34"/>
      <c r="I58" s="37"/>
    </row>
    <row r="59" ht="22.5" customHeight="1">
      <c r="A59" s="30"/>
      <c r="B59" s="31"/>
      <c r="C59" s="32"/>
      <c r="D59" s="33"/>
      <c r="E59" s="34"/>
      <c r="F59" s="34"/>
      <c r="G59" s="35"/>
      <c r="H59" s="34"/>
      <c r="I59" s="37"/>
    </row>
    <row r="60" ht="22.5" customHeight="1">
      <c r="A60" s="30"/>
      <c r="B60" s="31"/>
      <c r="C60" s="32"/>
      <c r="D60" s="33"/>
      <c r="E60" s="34"/>
      <c r="F60" s="34"/>
      <c r="G60" s="35"/>
      <c r="H60" s="34"/>
      <c r="I60" s="37"/>
    </row>
    <row r="61" ht="22.5" customHeight="1">
      <c r="A61" s="30"/>
      <c r="B61" s="31"/>
      <c r="C61" s="32"/>
      <c r="D61" s="33"/>
      <c r="E61" s="34"/>
      <c r="F61" s="34"/>
      <c r="G61" s="35"/>
      <c r="H61" s="34"/>
      <c r="I61" s="37"/>
    </row>
    <row r="62" ht="22.5" customHeight="1">
      <c r="A62" s="30"/>
      <c r="B62" s="31"/>
      <c r="C62" s="32"/>
      <c r="D62" s="33"/>
      <c r="E62" s="34"/>
      <c r="F62" s="34"/>
      <c r="G62" s="35"/>
      <c r="H62" s="34"/>
      <c r="I62" s="37"/>
    </row>
    <row r="63" ht="22.5" customHeight="1">
      <c r="A63" s="30"/>
      <c r="B63" s="31"/>
      <c r="C63" s="32"/>
      <c r="D63" s="33"/>
      <c r="E63" s="34"/>
      <c r="F63" s="34"/>
      <c r="G63" s="35"/>
      <c r="H63" s="34"/>
      <c r="I63" s="37"/>
    </row>
    <row r="64" ht="22.5" customHeight="1">
      <c r="A64" s="30"/>
      <c r="B64" s="31"/>
      <c r="C64" s="32"/>
      <c r="D64" s="33"/>
      <c r="E64" s="34"/>
      <c r="F64" s="34"/>
      <c r="G64" s="35"/>
      <c r="H64" s="34"/>
      <c r="I64" s="37"/>
    </row>
    <row r="65" ht="22.5" customHeight="1">
      <c r="A65" s="30"/>
      <c r="B65" s="40"/>
      <c r="C65" s="32"/>
      <c r="D65" s="33"/>
      <c r="E65" s="34"/>
      <c r="F65" s="34"/>
      <c r="G65" s="35"/>
      <c r="H65" s="34"/>
      <c r="I65" s="37"/>
    </row>
    <row r="66" ht="22.5" customHeight="1">
      <c r="A66" s="30"/>
      <c r="B66" s="31"/>
      <c r="C66" s="32"/>
      <c r="D66" s="33"/>
      <c r="E66" s="34"/>
      <c r="F66" s="34"/>
      <c r="G66" s="35"/>
      <c r="H66" s="34"/>
      <c r="I66" s="37"/>
    </row>
    <row r="67" ht="22.5" customHeight="1">
      <c r="A67" s="30"/>
      <c r="B67" s="40"/>
      <c r="C67" s="32"/>
      <c r="D67" s="33"/>
      <c r="E67" s="34"/>
      <c r="F67" s="34"/>
      <c r="G67" s="35"/>
      <c r="H67" s="34"/>
      <c r="I67" s="37"/>
    </row>
    <row r="68" ht="22.5" customHeight="1">
      <c r="A68" s="30"/>
      <c r="B68" s="31"/>
      <c r="C68" s="32"/>
      <c r="D68" s="33"/>
      <c r="E68" s="34"/>
      <c r="F68" s="34"/>
      <c r="G68" s="35"/>
      <c r="H68" s="34"/>
      <c r="I68" s="37"/>
    </row>
    <row r="69" ht="22.5" customHeight="1">
      <c r="A69" s="30"/>
      <c r="B69" s="31"/>
      <c r="C69" s="32"/>
      <c r="D69" s="33"/>
      <c r="E69" s="34"/>
      <c r="F69" s="34"/>
      <c r="G69" s="35"/>
      <c r="H69" s="34"/>
      <c r="I69" s="37"/>
    </row>
    <row r="70" ht="22.5" customHeight="1">
      <c r="A70" s="30"/>
      <c r="B70" s="31"/>
      <c r="C70" s="32"/>
      <c r="D70" s="33"/>
      <c r="E70" s="34"/>
      <c r="F70" s="34"/>
      <c r="G70" s="35"/>
      <c r="H70" s="34"/>
      <c r="I70" s="37"/>
    </row>
    <row r="71" ht="22.5" customHeight="1">
      <c r="A71" s="30"/>
      <c r="B71" s="31"/>
      <c r="C71" s="32"/>
      <c r="D71" s="33"/>
      <c r="E71" s="34"/>
      <c r="F71" s="34"/>
      <c r="G71" s="35"/>
      <c r="H71" s="34"/>
      <c r="I71" s="37"/>
    </row>
    <row r="72" ht="22.5" customHeight="1">
      <c r="A72" s="30"/>
      <c r="B72" s="40"/>
      <c r="C72" s="32"/>
      <c r="D72" s="33"/>
      <c r="E72" s="34"/>
      <c r="F72" s="34"/>
      <c r="G72" s="35"/>
      <c r="H72" s="34"/>
      <c r="I72" s="37"/>
    </row>
    <row r="73" ht="22.5" customHeight="1">
      <c r="A73" s="30"/>
      <c r="B73" s="31"/>
      <c r="C73" s="32"/>
      <c r="D73" s="33"/>
      <c r="E73" s="34"/>
      <c r="F73" s="34"/>
      <c r="G73" s="35"/>
      <c r="H73" s="34"/>
      <c r="I73" s="37"/>
    </row>
    <row r="74" ht="22.5" customHeight="1">
      <c r="A74" s="30"/>
      <c r="B74" s="31"/>
      <c r="C74" s="32"/>
      <c r="D74" s="33"/>
      <c r="E74" s="34"/>
      <c r="F74" s="34"/>
      <c r="G74" s="35"/>
      <c r="H74" s="34"/>
      <c r="I74" s="37"/>
    </row>
    <row r="75" ht="22.5" customHeight="1">
      <c r="A75" s="30"/>
      <c r="B75" s="31"/>
      <c r="C75" s="32"/>
      <c r="D75" s="33"/>
      <c r="E75" s="34"/>
      <c r="F75" s="34"/>
      <c r="G75" s="35"/>
      <c r="H75" s="34"/>
      <c r="I75" s="37"/>
    </row>
    <row r="76" ht="22.5" customHeight="1">
      <c r="A76" s="30"/>
      <c r="B76" s="31"/>
      <c r="C76" s="32"/>
      <c r="D76" s="33"/>
      <c r="E76" s="34"/>
      <c r="F76" s="34"/>
      <c r="G76" s="35"/>
      <c r="H76" s="34"/>
      <c r="I76" s="37"/>
    </row>
    <row r="77" ht="22.5" customHeight="1">
      <c r="A77" s="30"/>
      <c r="B77" s="31"/>
      <c r="C77" s="32"/>
      <c r="D77" s="33"/>
      <c r="E77" s="34"/>
      <c r="F77" s="34"/>
      <c r="G77" s="35"/>
      <c r="H77" s="34"/>
      <c r="I77" s="37"/>
    </row>
    <row r="78" ht="22.5" customHeight="1">
      <c r="A78" s="30"/>
      <c r="B78" s="31"/>
      <c r="C78" s="32"/>
      <c r="D78" s="33"/>
      <c r="E78" s="34"/>
      <c r="F78" s="34"/>
      <c r="G78" s="35"/>
      <c r="H78" s="34"/>
      <c r="I78" s="37"/>
    </row>
    <row r="79" ht="22.5" customHeight="1">
      <c r="A79" s="30"/>
      <c r="B79" s="31"/>
      <c r="C79" s="32"/>
      <c r="D79" s="33"/>
      <c r="E79" s="34"/>
      <c r="F79" s="34"/>
      <c r="G79" s="35"/>
      <c r="H79" s="34"/>
      <c r="I79" s="37"/>
    </row>
    <row r="80" ht="22.5" customHeight="1">
      <c r="A80" s="30"/>
      <c r="B80" s="31"/>
      <c r="C80" s="32"/>
      <c r="D80" s="33"/>
      <c r="E80" s="34"/>
      <c r="F80" s="34"/>
      <c r="G80" s="35"/>
      <c r="H80" s="34"/>
      <c r="I80" s="37"/>
    </row>
    <row r="81" ht="22.5" customHeight="1">
      <c r="A81" s="30"/>
      <c r="B81" s="31"/>
      <c r="C81" s="32"/>
      <c r="D81" s="33"/>
      <c r="E81" s="34"/>
      <c r="F81" s="34"/>
      <c r="G81" s="35"/>
      <c r="H81" s="34"/>
      <c r="I81" s="37"/>
    </row>
    <row r="82" ht="22.5" customHeight="1">
      <c r="A82" s="30"/>
      <c r="B82" s="31"/>
      <c r="C82" s="32"/>
      <c r="D82" s="33"/>
      <c r="E82" s="34"/>
      <c r="F82" s="34"/>
      <c r="G82" s="35"/>
      <c r="H82" s="34"/>
      <c r="I82" s="37"/>
    </row>
    <row r="83" ht="22.5" customHeight="1">
      <c r="A83" s="30"/>
      <c r="B83" s="31"/>
      <c r="C83" s="32"/>
      <c r="D83" s="33"/>
      <c r="E83" s="34"/>
      <c r="F83" s="34"/>
      <c r="G83" s="35"/>
      <c r="H83" s="34"/>
      <c r="I83" s="37"/>
    </row>
    <row r="84" ht="22.5" customHeight="1">
      <c r="A84" s="30"/>
      <c r="B84" s="31"/>
      <c r="C84" s="32"/>
      <c r="D84" s="33"/>
      <c r="E84" s="34"/>
      <c r="F84" s="34"/>
      <c r="G84" s="35"/>
      <c r="H84" s="34"/>
      <c r="I84" s="37"/>
    </row>
    <row r="85" ht="22.5" customHeight="1">
      <c r="A85" s="30"/>
      <c r="B85" s="31"/>
      <c r="C85" s="32"/>
      <c r="D85" s="33"/>
      <c r="E85" s="34"/>
      <c r="F85" s="34"/>
      <c r="G85" s="35"/>
      <c r="H85" s="34"/>
      <c r="I85" s="37"/>
    </row>
    <row r="86" ht="22.5" customHeight="1">
      <c r="A86" s="30"/>
      <c r="B86" s="31"/>
      <c r="C86" s="32"/>
      <c r="D86" s="33"/>
      <c r="E86" s="34"/>
      <c r="F86" s="34"/>
      <c r="G86" s="35"/>
      <c r="H86" s="34"/>
      <c r="I86" s="37"/>
    </row>
    <row r="87" ht="22.5" customHeight="1">
      <c r="A87" s="30"/>
      <c r="B87" s="31"/>
      <c r="C87" s="32"/>
      <c r="D87" s="33"/>
      <c r="E87" s="34"/>
      <c r="F87" s="34"/>
      <c r="G87" s="35"/>
      <c r="H87" s="34"/>
      <c r="I87" s="37"/>
    </row>
    <row r="88" ht="22.5" customHeight="1">
      <c r="A88" s="30"/>
      <c r="B88" s="31"/>
      <c r="C88" s="32"/>
      <c r="D88" s="33"/>
      <c r="E88" s="34"/>
      <c r="F88" s="34"/>
      <c r="G88" s="35"/>
      <c r="H88" s="34"/>
      <c r="I88" s="37"/>
    </row>
    <row r="89" ht="22.5" customHeight="1">
      <c r="A89" s="30"/>
      <c r="B89" s="31"/>
      <c r="C89" s="32"/>
      <c r="D89" s="33"/>
      <c r="E89" s="34"/>
      <c r="F89" s="34"/>
      <c r="G89" s="35"/>
      <c r="H89" s="34"/>
      <c r="I89" s="37"/>
    </row>
    <row r="90" ht="22.5" customHeight="1">
      <c r="A90" s="30"/>
      <c r="B90" s="31"/>
      <c r="C90" s="32"/>
      <c r="D90" s="33"/>
      <c r="E90" s="34"/>
      <c r="F90" s="34"/>
      <c r="G90" s="35"/>
      <c r="H90" s="34"/>
      <c r="I90" s="37"/>
    </row>
    <row r="91" ht="22.5" customHeight="1">
      <c r="A91" s="30"/>
      <c r="B91" s="31"/>
      <c r="C91" s="32"/>
      <c r="D91" s="33"/>
      <c r="E91" s="34"/>
      <c r="F91" s="34"/>
      <c r="G91" s="35"/>
      <c r="H91" s="34"/>
      <c r="I91" s="37"/>
    </row>
    <row r="92" ht="22.5" customHeight="1">
      <c r="A92" s="30"/>
      <c r="B92" s="31"/>
      <c r="C92" s="32"/>
      <c r="D92" s="33"/>
      <c r="E92" s="34"/>
      <c r="F92" s="34"/>
      <c r="G92" s="35"/>
      <c r="H92" s="34"/>
      <c r="I92" s="37"/>
    </row>
    <row r="93" ht="22.5" customHeight="1">
      <c r="A93" s="30"/>
      <c r="B93" s="31"/>
      <c r="C93" s="32"/>
      <c r="D93" s="33"/>
      <c r="E93" s="34"/>
      <c r="F93" s="34"/>
      <c r="G93" s="35"/>
      <c r="H93" s="34"/>
      <c r="I93" s="37"/>
    </row>
    <row r="94" ht="22.5" customHeight="1">
      <c r="A94" s="30"/>
      <c r="B94" s="40"/>
      <c r="C94" s="32"/>
      <c r="D94" s="33"/>
      <c r="E94" s="34"/>
      <c r="F94" s="34"/>
      <c r="G94" s="35"/>
      <c r="H94" s="34"/>
      <c r="I94" s="37"/>
    </row>
    <row r="95" ht="22.5" customHeight="1">
      <c r="A95" s="30"/>
      <c r="B95" s="31"/>
      <c r="C95" s="32"/>
      <c r="D95" s="33"/>
      <c r="E95" s="34"/>
      <c r="F95" s="34"/>
      <c r="G95" s="35"/>
      <c r="H95" s="34"/>
      <c r="I95" s="37"/>
    </row>
    <row r="96" ht="22.5" customHeight="1">
      <c r="A96" s="30"/>
      <c r="B96" s="31"/>
      <c r="C96" s="32"/>
      <c r="D96" s="33"/>
      <c r="E96" s="34"/>
      <c r="F96" s="34"/>
      <c r="G96" s="35"/>
      <c r="H96" s="34"/>
      <c r="I96" s="37"/>
    </row>
    <row r="97" ht="22.5" customHeight="1">
      <c r="A97" s="30"/>
      <c r="B97" s="31"/>
      <c r="C97" s="32"/>
      <c r="D97" s="33"/>
      <c r="E97" s="34"/>
      <c r="F97" s="34"/>
      <c r="G97" s="35"/>
      <c r="H97" s="34"/>
      <c r="I97" s="37"/>
    </row>
    <row r="98" ht="22.5" customHeight="1">
      <c r="A98" s="30"/>
      <c r="B98" s="31"/>
      <c r="C98" s="32"/>
      <c r="D98" s="33"/>
      <c r="E98" s="34"/>
      <c r="F98" s="34"/>
      <c r="G98" s="35"/>
      <c r="H98" s="34"/>
      <c r="I98" s="38"/>
    </row>
    <row r="99" ht="22.5" customHeight="1">
      <c r="A99" s="30"/>
      <c r="B99" s="39"/>
      <c r="C99" s="32"/>
      <c r="D99" s="33"/>
      <c r="E99" s="34"/>
      <c r="F99" s="34"/>
      <c r="G99" s="35"/>
      <c r="H99" s="34"/>
      <c r="I99" s="37"/>
    </row>
    <row r="100" ht="22.5" customHeight="1">
      <c r="A100" s="30"/>
      <c r="B100" s="31"/>
      <c r="C100" s="32"/>
      <c r="D100" s="33"/>
      <c r="E100" s="34"/>
      <c r="F100" s="34"/>
      <c r="G100" s="35"/>
      <c r="H100" s="34"/>
      <c r="I100" s="37"/>
    </row>
    <row r="101" ht="22.5" customHeight="1">
      <c r="A101" s="30"/>
      <c r="B101" s="31"/>
      <c r="C101" s="32"/>
      <c r="D101" s="33"/>
      <c r="E101" s="34"/>
      <c r="F101" s="34"/>
      <c r="G101" s="35"/>
      <c r="H101" s="34"/>
      <c r="I101" s="37"/>
    </row>
    <row r="102" ht="22.5" customHeight="1">
      <c r="A102" s="30"/>
      <c r="B102" s="31"/>
      <c r="C102" s="32"/>
      <c r="D102" s="33"/>
      <c r="E102" s="34"/>
      <c r="F102" s="34"/>
      <c r="G102" s="35"/>
      <c r="H102" s="34"/>
      <c r="I102" s="37"/>
    </row>
    <row r="103" ht="22.5" customHeight="1">
      <c r="A103" s="30"/>
      <c r="B103" s="39"/>
      <c r="C103" s="32"/>
      <c r="D103" s="33"/>
      <c r="E103" s="34"/>
      <c r="F103" s="34"/>
      <c r="G103" s="35"/>
      <c r="H103" s="34"/>
      <c r="I103" s="37"/>
    </row>
    <row r="104" ht="22.5" customHeight="1">
      <c r="A104" s="30"/>
      <c r="B104" s="31"/>
      <c r="C104" s="32"/>
      <c r="D104" s="33"/>
      <c r="E104" s="34"/>
      <c r="F104" s="34"/>
      <c r="G104" s="35"/>
      <c r="H104" s="34"/>
      <c r="I104" s="37"/>
    </row>
    <row r="105" ht="22.5" customHeight="1">
      <c r="A105" s="30"/>
      <c r="B105" s="39"/>
      <c r="C105" s="32"/>
      <c r="D105" s="33"/>
      <c r="E105" s="34"/>
      <c r="F105" s="34"/>
      <c r="G105" s="35"/>
      <c r="H105" s="34"/>
      <c r="I105" s="37"/>
    </row>
    <row r="106" ht="22.5" customHeight="1">
      <c r="A106" s="30"/>
      <c r="B106" s="31"/>
      <c r="C106" s="32"/>
      <c r="D106" s="33"/>
      <c r="E106" s="34"/>
      <c r="F106" s="34"/>
      <c r="G106" s="35"/>
      <c r="H106" s="34"/>
      <c r="I106" s="37"/>
    </row>
    <row r="107" ht="22.5" customHeight="1">
      <c r="A107" s="30"/>
      <c r="B107" s="31"/>
      <c r="C107" s="32"/>
      <c r="D107" s="33"/>
      <c r="E107" s="34"/>
      <c r="F107" s="34"/>
      <c r="G107" s="35"/>
      <c r="H107" s="34"/>
      <c r="I107" s="37"/>
    </row>
    <row r="108" ht="22.5" customHeight="1">
      <c r="A108" s="30"/>
      <c r="B108" s="31"/>
      <c r="C108" s="32"/>
      <c r="D108" s="33"/>
      <c r="E108" s="34"/>
      <c r="F108" s="34"/>
      <c r="G108" s="35"/>
      <c r="H108" s="34"/>
      <c r="I108" s="37"/>
    </row>
    <row r="109" ht="22.5" customHeight="1">
      <c r="A109" s="30"/>
      <c r="B109" s="31"/>
      <c r="C109" s="32"/>
      <c r="D109" s="33"/>
      <c r="E109" s="34"/>
      <c r="F109" s="34"/>
      <c r="G109" s="35"/>
      <c r="H109" s="34"/>
      <c r="I109" s="37"/>
    </row>
    <row r="110" ht="22.5" customHeight="1">
      <c r="A110" s="30"/>
      <c r="B110" s="31"/>
      <c r="C110" s="32"/>
      <c r="D110" s="33"/>
      <c r="E110" s="34"/>
      <c r="F110" s="34"/>
      <c r="G110" s="35"/>
      <c r="H110" s="34"/>
      <c r="I110" s="37"/>
    </row>
    <row r="111" ht="22.5" customHeight="1">
      <c r="A111" s="30"/>
      <c r="B111" s="31"/>
      <c r="C111" s="32"/>
      <c r="D111" s="33"/>
      <c r="E111" s="34"/>
      <c r="F111" s="34"/>
      <c r="G111" s="35"/>
      <c r="H111" s="34"/>
      <c r="I111" s="37"/>
    </row>
    <row r="112" ht="22.5" customHeight="1">
      <c r="A112" s="30"/>
      <c r="B112" s="31"/>
      <c r="C112" s="32"/>
      <c r="D112" s="33"/>
      <c r="E112" s="34"/>
      <c r="F112" s="34"/>
      <c r="G112" s="35"/>
      <c r="H112" s="34"/>
      <c r="I112" s="37"/>
    </row>
    <row r="113" ht="22.5" customHeight="1">
      <c r="A113" s="30"/>
      <c r="B113" s="31"/>
      <c r="C113" s="32"/>
      <c r="D113" s="33"/>
      <c r="E113" s="34"/>
      <c r="F113" s="34"/>
      <c r="G113" s="35"/>
      <c r="H113" s="34"/>
      <c r="I113" s="37"/>
    </row>
    <row r="114" ht="22.5" customHeight="1">
      <c r="A114" s="30"/>
      <c r="B114" s="31"/>
      <c r="C114" s="32"/>
      <c r="D114" s="33"/>
      <c r="E114" s="34"/>
      <c r="F114" s="34"/>
      <c r="G114" s="35"/>
      <c r="H114" s="34"/>
      <c r="I114" s="37"/>
    </row>
    <row r="115" ht="22.5" customHeight="1">
      <c r="A115" s="30"/>
      <c r="B115" s="31"/>
      <c r="C115" s="32"/>
      <c r="D115" s="33"/>
      <c r="E115" s="34"/>
      <c r="F115" s="34"/>
      <c r="G115" s="35"/>
      <c r="H115" s="34"/>
      <c r="I115" s="37"/>
    </row>
    <row r="116" ht="22.5" customHeight="1">
      <c r="A116" s="30"/>
      <c r="B116" s="40"/>
      <c r="C116" s="32"/>
      <c r="D116" s="33"/>
      <c r="E116" s="34"/>
      <c r="F116" s="34"/>
      <c r="G116" s="35"/>
      <c r="H116" s="34"/>
      <c r="I116" s="37"/>
    </row>
    <row r="117" ht="22.5" customHeight="1">
      <c r="A117" s="30"/>
      <c r="B117" s="31"/>
      <c r="C117" s="32"/>
      <c r="D117" s="33"/>
      <c r="E117" s="34"/>
      <c r="F117" s="34"/>
      <c r="G117" s="35"/>
      <c r="H117" s="34"/>
      <c r="I117" s="37"/>
    </row>
    <row r="118" ht="22.5" customHeight="1">
      <c r="A118" s="30"/>
      <c r="B118" s="31"/>
      <c r="C118" s="32"/>
      <c r="D118" s="33"/>
      <c r="E118" s="34"/>
      <c r="F118" s="34"/>
      <c r="G118" s="35"/>
      <c r="H118" s="34"/>
      <c r="I118" s="37"/>
    </row>
    <row r="119" ht="22.5" customHeight="1">
      <c r="A119" s="30"/>
      <c r="B119" s="31"/>
      <c r="C119" s="32"/>
      <c r="D119" s="33"/>
      <c r="E119" s="34"/>
      <c r="F119" s="34"/>
      <c r="G119" s="35"/>
      <c r="H119" s="34"/>
      <c r="I119" s="37"/>
    </row>
    <row r="120" ht="22.5" customHeight="1">
      <c r="A120" s="30"/>
      <c r="B120" s="31"/>
      <c r="C120" s="32"/>
      <c r="D120" s="33"/>
      <c r="E120" s="34"/>
      <c r="F120" s="34"/>
      <c r="G120" s="35"/>
      <c r="H120" s="34"/>
      <c r="I120" s="37"/>
    </row>
    <row r="121" ht="22.5" customHeight="1">
      <c r="A121" s="30"/>
      <c r="B121" s="31"/>
      <c r="C121" s="32"/>
      <c r="D121" s="33"/>
      <c r="E121" s="34"/>
      <c r="F121" s="34"/>
      <c r="G121" s="35"/>
      <c r="H121" s="34"/>
      <c r="I121" s="37"/>
    </row>
    <row r="122" ht="22.5" customHeight="1">
      <c r="A122" s="30"/>
      <c r="B122" s="31"/>
      <c r="C122" s="32"/>
      <c r="D122" s="33"/>
      <c r="E122" s="34"/>
      <c r="F122" s="34"/>
      <c r="G122" s="35"/>
      <c r="H122" s="34"/>
      <c r="I122" s="37"/>
    </row>
    <row r="123" ht="22.5" customHeight="1">
      <c r="A123" s="30"/>
      <c r="B123" s="39"/>
      <c r="C123" s="32"/>
      <c r="D123" s="33"/>
      <c r="E123" s="34"/>
      <c r="F123" s="34"/>
      <c r="G123" s="35"/>
      <c r="H123" s="34"/>
      <c r="I123" s="37"/>
    </row>
    <row r="124" ht="22.5" customHeight="1">
      <c r="A124" s="30"/>
      <c r="B124" s="39"/>
      <c r="C124" s="32"/>
      <c r="D124" s="33"/>
      <c r="E124" s="34"/>
      <c r="F124" s="34"/>
      <c r="G124" s="35"/>
      <c r="H124" s="34"/>
      <c r="I124" s="37"/>
    </row>
    <row r="125" ht="22.5" customHeight="1">
      <c r="A125" s="30"/>
      <c r="B125" s="39"/>
      <c r="C125" s="32"/>
      <c r="D125" s="33"/>
      <c r="E125" s="34"/>
      <c r="F125" s="34"/>
      <c r="G125" s="35"/>
      <c r="H125" s="34"/>
      <c r="I125" s="37"/>
    </row>
    <row r="126" ht="22.5" customHeight="1">
      <c r="A126" s="30"/>
      <c r="B126" s="40"/>
      <c r="C126" s="32"/>
      <c r="D126" s="33"/>
      <c r="E126" s="34"/>
      <c r="F126" s="34"/>
      <c r="G126" s="35"/>
      <c r="H126" s="34"/>
      <c r="I126" s="37"/>
    </row>
    <row r="127" ht="22.5" customHeight="1">
      <c r="A127" s="30"/>
      <c r="B127" s="31"/>
      <c r="C127" s="32"/>
      <c r="D127" s="33"/>
      <c r="E127" s="34"/>
      <c r="F127" s="34"/>
      <c r="G127" s="35"/>
      <c r="H127" s="34"/>
      <c r="I127" s="37"/>
    </row>
    <row r="128" ht="22.5" customHeight="1">
      <c r="A128" s="30"/>
      <c r="B128" s="31"/>
      <c r="C128" s="32"/>
      <c r="D128" s="33"/>
      <c r="E128" s="34"/>
      <c r="F128" s="34"/>
      <c r="G128" s="35"/>
      <c r="H128" s="34"/>
      <c r="I128" s="37"/>
    </row>
    <row r="129" ht="22.5" customHeight="1">
      <c r="A129" s="30"/>
      <c r="B129" s="31"/>
      <c r="C129" s="32"/>
      <c r="D129" s="33"/>
      <c r="E129" s="34"/>
      <c r="F129" s="34"/>
      <c r="G129" s="35"/>
      <c r="H129" s="34"/>
      <c r="I129" s="37"/>
    </row>
    <row r="130" ht="22.5" customHeight="1">
      <c r="A130" s="30"/>
      <c r="B130" s="31"/>
      <c r="C130" s="32"/>
      <c r="D130" s="33"/>
      <c r="E130" s="34"/>
      <c r="F130" s="34"/>
      <c r="G130" s="35"/>
      <c r="H130" s="34"/>
      <c r="I130" s="37"/>
    </row>
    <row r="131" ht="22.5" customHeight="1">
      <c r="A131" s="30"/>
      <c r="B131" s="31"/>
      <c r="C131" s="32"/>
      <c r="D131" s="33"/>
      <c r="E131" s="34"/>
      <c r="F131" s="34"/>
      <c r="G131" s="35"/>
      <c r="H131" s="34"/>
      <c r="I131" s="37"/>
    </row>
    <row r="132" ht="22.5" customHeight="1">
      <c r="A132" s="30"/>
      <c r="B132" s="31"/>
      <c r="C132" s="32"/>
      <c r="D132" s="33"/>
      <c r="E132" s="34"/>
      <c r="F132" s="34"/>
      <c r="G132" s="35"/>
      <c r="H132" s="34"/>
      <c r="I132" s="37"/>
    </row>
    <row r="133" ht="22.5" customHeight="1">
      <c r="A133" s="30"/>
      <c r="B133" s="31"/>
      <c r="C133" s="32"/>
      <c r="D133" s="33"/>
      <c r="E133" s="34"/>
      <c r="F133" s="34"/>
      <c r="G133" s="35"/>
      <c r="H133" s="34"/>
      <c r="I133" s="37"/>
    </row>
    <row r="134" ht="22.5" customHeight="1">
      <c r="A134" s="30"/>
      <c r="B134" s="31"/>
      <c r="C134" s="32"/>
      <c r="D134" s="33"/>
      <c r="E134" s="34"/>
      <c r="F134" s="34"/>
      <c r="G134" s="35"/>
      <c r="H134" s="34"/>
      <c r="I134" s="37"/>
    </row>
    <row r="135" ht="22.5" customHeight="1">
      <c r="A135" s="30"/>
      <c r="B135" s="31"/>
      <c r="C135" s="32"/>
      <c r="D135" s="33"/>
      <c r="E135" s="34"/>
      <c r="F135" s="34"/>
      <c r="G135" s="35"/>
      <c r="H135" s="34"/>
      <c r="I135" s="37"/>
    </row>
    <row r="136" ht="22.5" customHeight="1">
      <c r="A136" s="30"/>
      <c r="B136" s="40"/>
      <c r="C136" s="32"/>
      <c r="D136" s="33"/>
      <c r="E136" s="34"/>
      <c r="F136" s="34"/>
      <c r="G136" s="35"/>
      <c r="H136" s="34"/>
      <c r="I136" s="37"/>
    </row>
    <row r="137" ht="22.5" customHeight="1">
      <c r="A137" s="30"/>
      <c r="B137" s="31"/>
      <c r="C137" s="32"/>
      <c r="D137" s="33"/>
      <c r="E137" s="34"/>
      <c r="F137" s="34"/>
      <c r="G137" s="35"/>
      <c r="H137" s="34"/>
      <c r="I137" s="37"/>
    </row>
    <row r="138" ht="22.5" customHeight="1">
      <c r="A138" s="30"/>
      <c r="B138" s="31"/>
      <c r="C138" s="32"/>
      <c r="D138" s="33"/>
      <c r="E138" s="34"/>
      <c r="F138" s="34"/>
      <c r="G138" s="35"/>
      <c r="H138" s="34"/>
      <c r="I138" s="37"/>
    </row>
    <row r="139" ht="22.5" customHeight="1">
      <c r="A139" s="30"/>
      <c r="B139" s="31"/>
      <c r="C139" s="32"/>
      <c r="D139" s="33"/>
      <c r="E139" s="34"/>
      <c r="F139" s="34"/>
      <c r="G139" s="35"/>
      <c r="H139" s="34"/>
      <c r="I139" s="37"/>
    </row>
    <row r="140" ht="22.5" customHeight="1">
      <c r="A140" s="30"/>
      <c r="B140" s="40"/>
      <c r="C140" s="32"/>
      <c r="D140" s="33"/>
      <c r="E140" s="34"/>
      <c r="F140" s="34"/>
      <c r="G140" s="35"/>
      <c r="H140" s="34"/>
      <c r="I140" s="37"/>
    </row>
    <row r="141" ht="22.5" customHeight="1">
      <c r="A141" s="30"/>
      <c r="B141" s="31"/>
      <c r="C141" s="32"/>
      <c r="D141" s="33"/>
      <c r="E141" s="34"/>
      <c r="F141" s="34"/>
      <c r="G141" s="35"/>
      <c r="H141" s="34"/>
      <c r="I141" s="37"/>
    </row>
    <row r="142" ht="22.5" customHeight="1">
      <c r="A142" s="30"/>
      <c r="B142" s="31"/>
      <c r="C142" s="32"/>
      <c r="D142" s="33"/>
      <c r="E142" s="34"/>
      <c r="F142" s="34"/>
      <c r="G142" s="35"/>
      <c r="H142" s="34"/>
      <c r="I142" s="37"/>
    </row>
    <row r="143" ht="22.5" customHeight="1">
      <c r="A143" s="30"/>
      <c r="B143" s="31"/>
      <c r="C143" s="32"/>
      <c r="D143" s="33"/>
      <c r="E143" s="34"/>
      <c r="F143" s="34"/>
      <c r="G143" s="35"/>
      <c r="H143" s="34"/>
      <c r="I143" s="37"/>
    </row>
    <row r="144" ht="22.5" customHeight="1">
      <c r="A144" s="30"/>
      <c r="B144" s="31"/>
      <c r="C144" s="32"/>
      <c r="D144" s="33"/>
      <c r="E144" s="34"/>
      <c r="F144" s="34"/>
      <c r="G144" s="35"/>
      <c r="H144" s="34"/>
      <c r="I144" s="37"/>
    </row>
    <row r="145" ht="22.5" customHeight="1">
      <c r="A145" s="30"/>
      <c r="B145" s="31"/>
      <c r="C145" s="32"/>
      <c r="D145" s="33"/>
      <c r="E145" s="34"/>
      <c r="F145" s="34"/>
      <c r="G145" s="35"/>
      <c r="H145" s="34"/>
      <c r="I145" s="37"/>
    </row>
    <row r="146" ht="22.5" customHeight="1">
      <c r="A146" s="30"/>
      <c r="B146" s="31"/>
      <c r="C146" s="32"/>
      <c r="D146" s="33"/>
      <c r="E146" s="34"/>
      <c r="F146" s="34"/>
      <c r="G146" s="35"/>
      <c r="H146" s="34"/>
      <c r="I146" s="37"/>
    </row>
    <row r="147" ht="22.5" customHeight="1">
      <c r="A147" s="30"/>
      <c r="B147" s="31"/>
      <c r="C147" s="32"/>
      <c r="D147" s="33"/>
      <c r="E147" s="34"/>
      <c r="F147" s="34"/>
      <c r="G147" s="35"/>
      <c r="H147" s="34"/>
      <c r="I147" s="37"/>
    </row>
    <row r="148" ht="22.5" customHeight="1">
      <c r="A148" s="30"/>
      <c r="B148" s="31"/>
      <c r="C148" s="32"/>
      <c r="D148" s="33"/>
      <c r="E148" s="34"/>
      <c r="F148" s="34"/>
      <c r="G148" s="35"/>
      <c r="H148" s="34"/>
      <c r="I148" s="37"/>
    </row>
    <row r="149" ht="22.5" customHeight="1">
      <c r="A149" s="30"/>
      <c r="B149" s="31"/>
      <c r="C149" s="32"/>
      <c r="D149" s="33"/>
      <c r="E149" s="34"/>
      <c r="F149" s="34"/>
      <c r="G149" s="35"/>
      <c r="H149" s="34"/>
      <c r="I149" s="37"/>
    </row>
    <row r="150" ht="22.5" customHeight="1">
      <c r="A150" s="30"/>
      <c r="B150" s="31"/>
      <c r="C150" s="32"/>
      <c r="D150" s="33"/>
      <c r="E150" s="34"/>
      <c r="F150" s="34"/>
      <c r="G150" s="35"/>
      <c r="H150" s="34"/>
      <c r="I150" s="37"/>
    </row>
    <row r="151" ht="22.5" customHeight="1">
      <c r="A151" s="30"/>
      <c r="B151" s="31"/>
      <c r="C151" s="32"/>
      <c r="D151" s="33"/>
      <c r="E151" s="34"/>
      <c r="F151" s="34"/>
      <c r="G151" s="35"/>
      <c r="H151" s="34"/>
      <c r="I151" s="37"/>
    </row>
    <row r="152" ht="22.5" customHeight="1">
      <c r="A152" s="30"/>
      <c r="B152" s="31"/>
      <c r="C152" s="32"/>
      <c r="D152" s="33"/>
      <c r="E152" s="34"/>
      <c r="F152" s="34"/>
      <c r="G152" s="35"/>
      <c r="H152" s="34"/>
      <c r="I152" s="37"/>
    </row>
    <row r="153" ht="22.5" customHeight="1">
      <c r="A153" s="30"/>
      <c r="B153" s="31"/>
      <c r="C153" s="32"/>
      <c r="D153" s="33"/>
      <c r="E153" s="34"/>
      <c r="F153" s="34"/>
      <c r="G153" s="35"/>
      <c r="H153" s="34"/>
      <c r="I153" s="37"/>
    </row>
    <row r="154" ht="22.5" customHeight="1">
      <c r="A154" s="30"/>
      <c r="B154" s="31"/>
      <c r="C154" s="32"/>
      <c r="D154" s="33"/>
      <c r="E154" s="34"/>
      <c r="F154" s="34"/>
      <c r="G154" s="35"/>
      <c r="H154" s="34"/>
      <c r="I154" s="37"/>
    </row>
    <row r="155" ht="22.5" customHeight="1">
      <c r="A155" s="30"/>
      <c r="B155" s="40"/>
      <c r="C155" s="32"/>
      <c r="D155" s="33"/>
      <c r="E155" s="34"/>
      <c r="F155" s="34"/>
      <c r="G155" s="35"/>
      <c r="H155" s="34"/>
      <c r="I155" s="37"/>
    </row>
    <row r="156" ht="22.5" customHeight="1">
      <c r="A156" s="30"/>
      <c r="B156" s="31"/>
      <c r="C156" s="32"/>
      <c r="D156" s="33"/>
      <c r="E156" s="34"/>
      <c r="F156" s="34"/>
      <c r="G156" s="35"/>
      <c r="H156" s="34"/>
      <c r="I156" s="37"/>
    </row>
    <row r="157" ht="22.5" customHeight="1">
      <c r="A157" s="30"/>
      <c r="B157" s="40"/>
      <c r="C157" s="32"/>
      <c r="D157" s="33"/>
      <c r="E157" s="34"/>
      <c r="F157" s="34"/>
      <c r="G157" s="35"/>
      <c r="H157" s="34"/>
      <c r="I157" s="37"/>
    </row>
    <row r="158" ht="22.5" customHeight="1">
      <c r="A158" s="30"/>
      <c r="B158" s="31"/>
      <c r="C158" s="32"/>
      <c r="D158" s="33"/>
      <c r="E158" s="34"/>
      <c r="F158" s="34"/>
      <c r="G158" s="35"/>
      <c r="H158" s="34"/>
      <c r="I158" s="37"/>
    </row>
    <row r="159" ht="22.5" customHeight="1">
      <c r="A159" s="30"/>
      <c r="B159" s="31"/>
      <c r="C159" s="32"/>
      <c r="D159" s="33"/>
      <c r="E159" s="34"/>
      <c r="F159" s="34"/>
      <c r="G159" s="35"/>
      <c r="H159" s="34"/>
      <c r="I159" s="37"/>
    </row>
    <row r="160" ht="22.5" customHeight="1">
      <c r="A160" s="30"/>
      <c r="B160" s="31"/>
      <c r="C160" s="32"/>
      <c r="D160" s="33"/>
      <c r="E160" s="34"/>
      <c r="F160" s="34"/>
      <c r="G160" s="35"/>
      <c r="H160" s="34"/>
      <c r="I160" s="37"/>
    </row>
    <row r="161" ht="22.5" customHeight="1">
      <c r="A161" s="30"/>
      <c r="B161" s="31"/>
      <c r="C161" s="32"/>
      <c r="D161" s="33"/>
      <c r="E161" s="34"/>
      <c r="F161" s="34"/>
      <c r="G161" s="35"/>
      <c r="H161" s="34"/>
      <c r="I161" s="37"/>
    </row>
    <row r="162" ht="22.5" customHeight="1">
      <c r="A162" s="30"/>
      <c r="B162" s="40"/>
      <c r="C162" s="32"/>
      <c r="D162" s="33"/>
      <c r="E162" s="34"/>
      <c r="F162" s="34"/>
      <c r="G162" s="35"/>
      <c r="H162" s="34"/>
      <c r="I162" s="37"/>
    </row>
    <row r="163" ht="22.5" customHeight="1">
      <c r="A163" s="30"/>
      <c r="B163" s="31"/>
      <c r="C163" s="32"/>
      <c r="D163" s="33"/>
      <c r="E163" s="34"/>
      <c r="F163" s="34"/>
      <c r="G163" s="35"/>
      <c r="H163" s="34"/>
      <c r="I163" s="37"/>
    </row>
    <row r="164" ht="22.5" customHeight="1">
      <c r="A164" s="30"/>
      <c r="B164" s="31"/>
      <c r="C164" s="32"/>
      <c r="D164" s="33"/>
      <c r="E164" s="34"/>
      <c r="F164" s="34"/>
      <c r="G164" s="35"/>
      <c r="H164" s="34"/>
      <c r="I164" s="37"/>
    </row>
    <row r="165" ht="22.5" customHeight="1">
      <c r="A165" s="30"/>
      <c r="B165" s="31"/>
      <c r="C165" s="32"/>
      <c r="D165" s="33"/>
      <c r="E165" s="34"/>
      <c r="F165" s="34"/>
      <c r="G165" s="35"/>
      <c r="H165" s="34"/>
      <c r="I165" s="37"/>
    </row>
    <row r="166" ht="22.5" customHeight="1">
      <c r="A166" s="30"/>
      <c r="B166" s="31"/>
      <c r="C166" s="32"/>
      <c r="D166" s="33"/>
      <c r="E166" s="34"/>
      <c r="F166" s="34"/>
      <c r="G166" s="35"/>
      <c r="H166" s="34"/>
      <c r="I166" s="37"/>
    </row>
    <row r="167" ht="22.5" customHeight="1">
      <c r="A167" s="30"/>
      <c r="B167" s="31"/>
      <c r="C167" s="32"/>
      <c r="D167" s="33"/>
      <c r="E167" s="34"/>
      <c r="F167" s="34"/>
      <c r="G167" s="35"/>
      <c r="H167" s="34"/>
      <c r="I167" s="37"/>
    </row>
    <row r="168" ht="22.5" customHeight="1">
      <c r="A168" s="30"/>
      <c r="B168" s="31"/>
      <c r="C168" s="32"/>
      <c r="D168" s="33"/>
      <c r="E168" s="34"/>
      <c r="F168" s="34"/>
      <c r="G168" s="35"/>
      <c r="H168" s="34"/>
      <c r="I168" s="37"/>
    </row>
    <row r="169" ht="22.5" customHeight="1">
      <c r="A169" s="30"/>
      <c r="B169" s="31"/>
      <c r="C169" s="32"/>
      <c r="D169" s="33"/>
      <c r="E169" s="34"/>
      <c r="F169" s="34"/>
      <c r="G169" s="35"/>
      <c r="H169" s="34"/>
      <c r="I169" s="37"/>
    </row>
    <row r="170" ht="22.5" customHeight="1">
      <c r="A170" s="30"/>
      <c r="B170" s="31"/>
      <c r="C170" s="32"/>
      <c r="D170" s="33"/>
      <c r="E170" s="34"/>
      <c r="F170" s="34"/>
      <c r="G170" s="35"/>
      <c r="H170" s="34"/>
      <c r="I170" s="37"/>
    </row>
    <row r="171" ht="22.5" customHeight="1">
      <c r="A171" s="30"/>
      <c r="B171" s="31"/>
      <c r="C171" s="32"/>
      <c r="D171" s="33"/>
      <c r="E171" s="34"/>
      <c r="F171" s="34"/>
      <c r="G171" s="35"/>
      <c r="H171" s="34"/>
      <c r="I171" s="37"/>
    </row>
    <row r="172" ht="22.5" customHeight="1">
      <c r="A172" s="30"/>
      <c r="B172" s="31"/>
      <c r="C172" s="32"/>
      <c r="D172" s="33"/>
      <c r="E172" s="34"/>
      <c r="F172" s="34"/>
      <c r="G172" s="35"/>
      <c r="H172" s="34"/>
      <c r="I172" s="37"/>
    </row>
    <row r="173" ht="22.5" customHeight="1">
      <c r="A173" s="30"/>
      <c r="B173" s="31"/>
      <c r="C173" s="32"/>
      <c r="D173" s="33"/>
      <c r="E173" s="34"/>
      <c r="F173" s="34"/>
      <c r="G173" s="35"/>
      <c r="H173" s="34"/>
      <c r="I173" s="37"/>
    </row>
    <row r="174" ht="22.5" customHeight="1">
      <c r="A174" s="30"/>
      <c r="B174" s="31"/>
      <c r="C174" s="32"/>
      <c r="D174" s="33"/>
      <c r="E174" s="34"/>
      <c r="F174" s="34"/>
      <c r="G174" s="35"/>
      <c r="H174" s="34"/>
      <c r="I174" s="37"/>
    </row>
    <row r="175" ht="22.5" customHeight="1">
      <c r="A175" s="30"/>
      <c r="B175" s="31"/>
      <c r="C175" s="32"/>
      <c r="D175" s="33"/>
      <c r="E175" s="34"/>
      <c r="F175" s="34"/>
      <c r="G175" s="35"/>
      <c r="H175" s="34"/>
      <c r="I175" s="37"/>
    </row>
    <row r="176" ht="22.5" customHeight="1">
      <c r="A176" s="30"/>
      <c r="B176" s="31"/>
      <c r="C176" s="32"/>
      <c r="D176" s="33"/>
      <c r="E176" s="34"/>
      <c r="F176" s="34"/>
      <c r="G176" s="35"/>
      <c r="H176" s="34"/>
      <c r="I176" s="37"/>
    </row>
    <row r="177" ht="22.5" customHeight="1">
      <c r="A177" s="30"/>
      <c r="B177" s="31"/>
      <c r="C177" s="32"/>
      <c r="D177" s="33"/>
      <c r="E177" s="34"/>
      <c r="F177" s="34"/>
      <c r="G177" s="35"/>
      <c r="H177" s="34"/>
      <c r="I177" s="37"/>
    </row>
    <row r="178" ht="22.5" customHeight="1">
      <c r="A178" s="30"/>
      <c r="B178" s="31"/>
      <c r="C178" s="32"/>
      <c r="D178" s="33"/>
      <c r="E178" s="34"/>
      <c r="F178" s="34"/>
      <c r="G178" s="35"/>
      <c r="H178" s="34"/>
      <c r="I178" s="37"/>
    </row>
    <row r="179" ht="22.5" customHeight="1">
      <c r="A179" s="30"/>
      <c r="B179" s="31"/>
      <c r="C179" s="32"/>
      <c r="D179" s="33"/>
      <c r="E179" s="34"/>
      <c r="F179" s="34"/>
      <c r="G179" s="35"/>
      <c r="H179" s="34"/>
      <c r="I179" s="37"/>
    </row>
    <row r="180" ht="22.5" customHeight="1">
      <c r="A180" s="30"/>
      <c r="B180" s="31"/>
      <c r="C180" s="32"/>
      <c r="D180" s="33"/>
      <c r="E180" s="34"/>
      <c r="F180" s="34"/>
      <c r="G180" s="35"/>
      <c r="H180" s="34"/>
      <c r="I180" s="37"/>
    </row>
    <row r="181" ht="22.5" customHeight="1">
      <c r="A181" s="30"/>
      <c r="B181" s="31"/>
      <c r="C181" s="32"/>
      <c r="D181" s="33"/>
      <c r="E181" s="34"/>
      <c r="F181" s="34"/>
      <c r="G181" s="35"/>
      <c r="H181" s="34"/>
      <c r="I181" s="37"/>
    </row>
    <row r="182" ht="22.5" customHeight="1">
      <c r="A182" s="30"/>
      <c r="B182" s="31"/>
      <c r="C182" s="32"/>
      <c r="D182" s="33"/>
      <c r="E182" s="34"/>
      <c r="F182" s="34"/>
      <c r="G182" s="35"/>
      <c r="H182" s="34"/>
      <c r="I182" s="37"/>
    </row>
    <row r="183" ht="22.5" customHeight="1">
      <c r="A183" s="30"/>
      <c r="B183" s="31"/>
      <c r="C183" s="32"/>
      <c r="D183" s="33"/>
      <c r="E183" s="34"/>
      <c r="F183" s="34"/>
      <c r="G183" s="35"/>
      <c r="H183" s="34"/>
      <c r="I183" s="37"/>
    </row>
    <row r="184" ht="22.5" customHeight="1">
      <c r="A184" s="30"/>
      <c r="B184" s="40"/>
      <c r="C184" s="32"/>
      <c r="D184" s="33"/>
      <c r="E184" s="34"/>
      <c r="F184" s="34"/>
      <c r="G184" s="35"/>
      <c r="H184" s="34"/>
      <c r="I184" s="37"/>
    </row>
    <row r="185" ht="22.5" customHeight="1">
      <c r="A185" s="30"/>
      <c r="B185" s="31"/>
      <c r="C185" s="32"/>
      <c r="D185" s="33"/>
      <c r="E185" s="34"/>
      <c r="F185" s="34"/>
      <c r="G185" s="35"/>
      <c r="H185" s="34"/>
      <c r="I185" s="37"/>
    </row>
    <row r="186" ht="22.5" customHeight="1">
      <c r="A186" s="30"/>
      <c r="B186" s="31"/>
      <c r="C186" s="32"/>
      <c r="D186" s="33"/>
      <c r="E186" s="34"/>
      <c r="F186" s="34"/>
      <c r="G186" s="35"/>
      <c r="H186" s="34"/>
      <c r="I186" s="37"/>
    </row>
    <row r="187" ht="22.5" customHeight="1">
      <c r="A187" s="30"/>
      <c r="B187" s="31"/>
      <c r="C187" s="32"/>
      <c r="D187" s="33"/>
      <c r="E187" s="34"/>
      <c r="F187" s="34"/>
      <c r="G187" s="35"/>
      <c r="H187" s="34"/>
      <c r="I187" s="37"/>
    </row>
    <row r="188" ht="22.5" customHeight="1">
      <c r="A188" s="30"/>
      <c r="B188" s="31"/>
      <c r="C188" s="32"/>
      <c r="D188" s="33"/>
      <c r="E188" s="34"/>
      <c r="F188" s="34"/>
      <c r="G188" s="35"/>
      <c r="H188" s="34"/>
      <c r="I188" s="38"/>
    </row>
    <row r="189" ht="22.5" customHeight="1">
      <c r="A189" s="30"/>
      <c r="B189" s="39"/>
      <c r="C189" s="32"/>
      <c r="D189" s="33"/>
      <c r="E189" s="34"/>
      <c r="F189" s="34"/>
      <c r="G189" s="35"/>
      <c r="H189" s="34"/>
      <c r="I189" s="37"/>
    </row>
    <row r="190" ht="22.5" customHeight="1">
      <c r="A190" s="30"/>
      <c r="B190" s="31"/>
      <c r="C190" s="32"/>
      <c r="D190" s="33"/>
      <c r="E190" s="34"/>
      <c r="F190" s="34"/>
      <c r="G190" s="35"/>
      <c r="H190" s="34"/>
      <c r="I190" s="37"/>
    </row>
    <row r="191" ht="22.5" customHeight="1">
      <c r="A191" s="30"/>
      <c r="B191" s="31"/>
      <c r="C191" s="32"/>
      <c r="D191" s="33"/>
      <c r="E191" s="34"/>
      <c r="F191" s="34"/>
      <c r="G191" s="35"/>
      <c r="H191" s="34"/>
      <c r="I191" s="37"/>
    </row>
    <row r="192" ht="22.5" customHeight="1">
      <c r="A192" s="30"/>
      <c r="B192" s="31"/>
      <c r="C192" s="32"/>
      <c r="D192" s="33"/>
      <c r="E192" s="34"/>
      <c r="F192" s="34"/>
      <c r="G192" s="35"/>
      <c r="H192" s="34"/>
      <c r="I192" s="37"/>
    </row>
    <row r="193" ht="22.5" customHeight="1">
      <c r="A193" s="30"/>
      <c r="B193" s="39"/>
      <c r="C193" s="32"/>
      <c r="D193" s="33"/>
      <c r="E193" s="34"/>
      <c r="F193" s="34"/>
      <c r="G193" s="35"/>
      <c r="H193" s="34"/>
      <c r="I193" s="37"/>
    </row>
    <row r="194" ht="22.5" customHeight="1">
      <c r="A194" s="30"/>
      <c r="B194" s="31"/>
      <c r="C194" s="32"/>
      <c r="D194" s="33"/>
      <c r="E194" s="34"/>
      <c r="F194" s="34"/>
      <c r="G194" s="35"/>
      <c r="H194" s="34"/>
      <c r="I194" s="37"/>
    </row>
    <row r="195" ht="22.5" customHeight="1">
      <c r="A195" s="30"/>
      <c r="B195" s="39"/>
      <c r="C195" s="32"/>
      <c r="D195" s="33"/>
      <c r="E195" s="34"/>
      <c r="F195" s="34"/>
      <c r="G195" s="35"/>
      <c r="H195" s="34"/>
      <c r="I195" s="37"/>
    </row>
    <row r="196" ht="22.5" customHeight="1">
      <c r="A196" s="30"/>
      <c r="B196" s="31"/>
      <c r="C196" s="32"/>
      <c r="D196" s="33"/>
      <c r="E196" s="34"/>
      <c r="F196" s="34"/>
      <c r="G196" s="35"/>
      <c r="H196" s="34"/>
      <c r="I196" s="37"/>
    </row>
    <row r="197" ht="22.5" customHeight="1">
      <c r="A197" s="30"/>
      <c r="B197" s="31"/>
      <c r="C197" s="32"/>
      <c r="D197" s="33"/>
      <c r="E197" s="34"/>
      <c r="F197" s="34"/>
      <c r="G197" s="35"/>
      <c r="H197" s="34"/>
      <c r="I197" s="37"/>
    </row>
    <row r="198" ht="22.5" customHeight="1">
      <c r="A198" s="30"/>
      <c r="B198" s="31"/>
      <c r="C198" s="32"/>
      <c r="D198" s="33"/>
      <c r="E198" s="34"/>
      <c r="F198" s="34"/>
      <c r="G198" s="35"/>
      <c r="H198" s="34"/>
      <c r="I198" s="37"/>
    </row>
    <row r="199" ht="22.5" customHeight="1">
      <c r="A199" s="30"/>
      <c r="B199" s="31"/>
      <c r="C199" s="32"/>
      <c r="D199" s="33"/>
      <c r="E199" s="34"/>
      <c r="F199" s="34"/>
      <c r="G199" s="35"/>
      <c r="H199" s="34"/>
      <c r="I199" s="37"/>
    </row>
    <row r="200" ht="22.5" customHeight="1">
      <c r="A200" s="30"/>
      <c r="B200" s="31"/>
      <c r="C200" s="32"/>
      <c r="D200" s="33"/>
      <c r="E200" s="34"/>
      <c r="F200" s="34"/>
      <c r="G200" s="35"/>
      <c r="H200" s="34"/>
      <c r="I200" s="37"/>
    </row>
    <row r="201" ht="22.5" customHeight="1">
      <c r="A201" s="30"/>
      <c r="B201" s="31"/>
      <c r="C201" s="32"/>
      <c r="D201" s="33"/>
      <c r="E201" s="34"/>
      <c r="F201" s="34"/>
      <c r="G201" s="35"/>
      <c r="H201" s="34"/>
      <c r="I201" s="37"/>
    </row>
    <row r="202" ht="22.5" customHeight="1">
      <c r="A202" s="30"/>
      <c r="B202" s="31"/>
      <c r="C202" s="32"/>
      <c r="D202" s="33"/>
      <c r="E202" s="34"/>
      <c r="F202" s="34"/>
      <c r="G202" s="35"/>
      <c r="H202" s="34"/>
      <c r="I202" s="37"/>
    </row>
    <row r="203" ht="22.5" customHeight="1">
      <c r="A203" s="30"/>
      <c r="B203" s="31"/>
      <c r="C203" s="32"/>
      <c r="D203" s="33"/>
      <c r="E203" s="34"/>
      <c r="F203" s="34"/>
      <c r="G203" s="35"/>
      <c r="H203" s="34"/>
      <c r="I203" s="37"/>
    </row>
    <row r="204" ht="22.5" customHeight="1">
      <c r="A204" s="30"/>
      <c r="B204" s="31"/>
      <c r="C204" s="32"/>
      <c r="D204" s="33"/>
      <c r="E204" s="34"/>
      <c r="F204" s="34"/>
      <c r="G204" s="35"/>
      <c r="H204" s="34"/>
      <c r="I204" s="37"/>
    </row>
    <row r="205" ht="22.5" customHeight="1">
      <c r="A205" s="30"/>
      <c r="B205" s="31"/>
      <c r="C205" s="32"/>
      <c r="D205" s="33"/>
      <c r="E205" s="34"/>
      <c r="F205" s="34"/>
      <c r="G205" s="35"/>
      <c r="H205" s="34"/>
      <c r="I205" s="37"/>
    </row>
    <row r="206" ht="22.5" customHeight="1">
      <c r="A206" s="30"/>
      <c r="B206" s="40"/>
      <c r="C206" s="32"/>
      <c r="D206" s="33"/>
      <c r="E206" s="34"/>
      <c r="F206" s="34"/>
      <c r="G206" s="35"/>
      <c r="H206" s="34"/>
      <c r="I206" s="37"/>
    </row>
    <row r="207" ht="22.5" customHeight="1">
      <c r="A207" s="30"/>
      <c r="B207" s="31"/>
      <c r="C207" s="32"/>
      <c r="D207" s="33"/>
      <c r="E207" s="34"/>
      <c r="F207" s="34"/>
      <c r="G207" s="35"/>
      <c r="H207" s="34"/>
      <c r="I207" s="37"/>
    </row>
    <row r="208" ht="22.5" customHeight="1">
      <c r="A208" s="30"/>
      <c r="B208" s="31"/>
      <c r="C208" s="32"/>
      <c r="D208" s="33"/>
      <c r="E208" s="34"/>
      <c r="F208" s="34"/>
      <c r="G208" s="35"/>
      <c r="H208" s="34"/>
      <c r="I208" s="37"/>
    </row>
    <row r="209" ht="22.5" customHeight="1">
      <c r="A209" s="30"/>
      <c r="B209" s="31"/>
      <c r="C209" s="32"/>
      <c r="D209" s="33"/>
      <c r="E209" s="34"/>
      <c r="F209" s="34"/>
      <c r="G209" s="35"/>
      <c r="H209" s="34"/>
      <c r="I209" s="37"/>
    </row>
    <row r="210" ht="22.5" customHeight="1">
      <c r="A210" s="30"/>
      <c r="B210" s="31"/>
      <c r="C210" s="32"/>
      <c r="D210" s="33"/>
      <c r="E210" s="34"/>
      <c r="F210" s="34"/>
      <c r="G210" s="35"/>
      <c r="H210" s="34"/>
      <c r="I210" s="37"/>
    </row>
    <row r="211" ht="22.5" customHeight="1">
      <c r="A211" s="30"/>
      <c r="B211" s="31"/>
      <c r="C211" s="32"/>
      <c r="D211" s="33"/>
      <c r="E211" s="34"/>
      <c r="F211" s="34"/>
      <c r="G211" s="35"/>
      <c r="H211" s="34"/>
      <c r="I211" s="37"/>
    </row>
    <row r="212" ht="22.5" customHeight="1">
      <c r="A212" s="30"/>
      <c r="B212" s="31"/>
      <c r="C212" s="32"/>
      <c r="D212" s="33"/>
      <c r="E212" s="34"/>
      <c r="F212" s="34"/>
      <c r="G212" s="35"/>
      <c r="H212" s="34"/>
      <c r="I212" s="37"/>
    </row>
    <row r="213" ht="22.5" customHeight="1">
      <c r="A213" s="30"/>
      <c r="B213" s="39"/>
      <c r="C213" s="32"/>
      <c r="D213" s="33"/>
      <c r="E213" s="34"/>
      <c r="F213" s="34"/>
      <c r="G213" s="35"/>
      <c r="H213" s="34"/>
      <c r="I213" s="37"/>
    </row>
    <row r="214" ht="22.5" customHeight="1">
      <c r="A214" s="30"/>
      <c r="B214" s="39"/>
      <c r="C214" s="32"/>
      <c r="D214" s="33"/>
      <c r="E214" s="34"/>
      <c r="F214" s="34"/>
      <c r="G214" s="35"/>
      <c r="H214" s="34"/>
      <c r="I214" s="37"/>
    </row>
    <row r="215" ht="22.5" customHeight="1">
      <c r="A215" s="30"/>
      <c r="B215" s="39"/>
      <c r="C215" s="32"/>
      <c r="D215" s="33"/>
      <c r="E215" s="34"/>
      <c r="F215" s="34"/>
      <c r="G215" s="35"/>
      <c r="H215" s="34"/>
      <c r="I215" s="37"/>
    </row>
    <row r="216" ht="22.5" customHeight="1">
      <c r="A216" s="30"/>
      <c r="B216" s="40"/>
      <c r="C216" s="32"/>
      <c r="D216" s="33"/>
      <c r="E216" s="34"/>
      <c r="F216" s="34"/>
      <c r="G216" s="35"/>
      <c r="H216" s="34"/>
      <c r="I216" s="37"/>
    </row>
    <row r="217" ht="22.5" customHeight="1">
      <c r="A217" s="30"/>
      <c r="B217" s="31"/>
      <c r="C217" s="32"/>
      <c r="D217" s="33"/>
      <c r="E217" s="34"/>
      <c r="F217" s="34"/>
      <c r="G217" s="35"/>
      <c r="H217" s="34"/>
      <c r="I217" s="37"/>
    </row>
    <row r="218" ht="22.5" customHeight="1">
      <c r="A218" s="30"/>
      <c r="B218" s="31"/>
      <c r="C218" s="32"/>
      <c r="D218" s="33"/>
      <c r="E218" s="34"/>
      <c r="F218" s="34"/>
      <c r="G218" s="35"/>
      <c r="H218" s="34"/>
      <c r="I218" s="37"/>
    </row>
    <row r="219" ht="22.5" customHeight="1">
      <c r="A219" s="30"/>
      <c r="B219" s="31"/>
      <c r="C219" s="32"/>
      <c r="D219" s="33"/>
      <c r="E219" s="34"/>
      <c r="F219" s="34"/>
      <c r="G219" s="35"/>
      <c r="H219" s="34"/>
      <c r="I219" s="37"/>
    </row>
    <row r="220" ht="22.5" customHeight="1">
      <c r="A220" s="30"/>
      <c r="B220" s="31"/>
      <c r="C220" s="32"/>
      <c r="D220" s="33"/>
      <c r="E220" s="34"/>
      <c r="F220" s="34"/>
      <c r="G220" s="35"/>
      <c r="H220" s="34"/>
      <c r="I220" s="37"/>
    </row>
    <row r="221" ht="22.5" customHeight="1">
      <c r="A221" s="30"/>
      <c r="B221" s="31"/>
      <c r="C221" s="32"/>
      <c r="D221" s="33"/>
      <c r="E221" s="34"/>
      <c r="F221" s="34"/>
      <c r="G221" s="35"/>
      <c r="H221" s="34"/>
      <c r="I221" s="37"/>
    </row>
    <row r="222" ht="22.5" customHeight="1">
      <c r="A222" s="30"/>
      <c r="B222" s="31"/>
      <c r="C222" s="32"/>
      <c r="D222" s="33"/>
      <c r="E222" s="34"/>
      <c r="F222" s="34"/>
      <c r="G222" s="35"/>
      <c r="H222" s="34"/>
      <c r="I222" s="37"/>
    </row>
    <row r="223" ht="22.5" customHeight="1">
      <c r="A223" s="30"/>
      <c r="B223" s="31"/>
      <c r="C223" s="32"/>
      <c r="D223" s="33"/>
      <c r="E223" s="34"/>
      <c r="F223" s="34"/>
      <c r="G223" s="35"/>
      <c r="H223" s="34"/>
      <c r="I223" s="37"/>
    </row>
    <row r="224" ht="22.5" customHeight="1">
      <c r="A224" s="30"/>
      <c r="B224" s="31"/>
      <c r="C224" s="32"/>
      <c r="D224" s="33"/>
      <c r="E224" s="34"/>
      <c r="F224" s="34"/>
      <c r="G224" s="35"/>
      <c r="H224" s="34"/>
      <c r="I224" s="37"/>
    </row>
    <row r="225" ht="22.5" customHeight="1">
      <c r="A225" s="30"/>
      <c r="B225" s="31"/>
      <c r="C225" s="32"/>
      <c r="D225" s="33"/>
      <c r="E225" s="34"/>
      <c r="F225" s="34"/>
      <c r="G225" s="35"/>
      <c r="H225" s="34"/>
      <c r="I225" s="37"/>
    </row>
    <row r="226" ht="22.5" customHeight="1">
      <c r="A226" s="30"/>
      <c r="B226" s="40"/>
      <c r="C226" s="32"/>
      <c r="D226" s="33"/>
      <c r="E226" s="34"/>
      <c r="F226" s="34"/>
      <c r="G226" s="35"/>
      <c r="H226" s="34"/>
      <c r="I226" s="37"/>
    </row>
    <row r="227" ht="22.5" customHeight="1">
      <c r="A227" s="30"/>
      <c r="B227" s="31"/>
      <c r="C227" s="32"/>
      <c r="D227" s="33"/>
      <c r="E227" s="34"/>
      <c r="F227" s="34"/>
      <c r="G227" s="35"/>
      <c r="H227" s="34"/>
      <c r="I227" s="37"/>
    </row>
    <row r="228" ht="22.5" customHeight="1">
      <c r="A228" s="30"/>
      <c r="B228" s="31"/>
      <c r="C228" s="32"/>
      <c r="D228" s="33"/>
      <c r="E228" s="34"/>
      <c r="F228" s="34"/>
      <c r="G228" s="35"/>
      <c r="H228" s="34"/>
      <c r="I228" s="37"/>
    </row>
    <row r="229" ht="22.5" customHeight="1">
      <c r="A229" s="30"/>
      <c r="B229" s="31"/>
      <c r="C229" s="32"/>
      <c r="D229" s="33"/>
      <c r="E229" s="34"/>
      <c r="F229" s="34"/>
      <c r="G229" s="35"/>
      <c r="H229" s="34"/>
      <c r="I229" s="37"/>
    </row>
    <row r="230" ht="22.5" customHeight="1">
      <c r="A230" s="30"/>
      <c r="B230" s="40"/>
      <c r="C230" s="32"/>
      <c r="D230" s="33"/>
      <c r="E230" s="34"/>
      <c r="F230" s="34"/>
      <c r="G230" s="35"/>
      <c r="H230" s="34"/>
      <c r="I230" s="37"/>
    </row>
    <row r="231" ht="22.5" customHeight="1">
      <c r="A231" s="30"/>
      <c r="B231" s="31"/>
      <c r="C231" s="32"/>
      <c r="D231" s="33"/>
      <c r="E231" s="34"/>
      <c r="F231" s="34"/>
      <c r="G231" s="35"/>
      <c r="H231" s="34"/>
      <c r="I231" s="37"/>
    </row>
    <row r="232" ht="22.5" customHeight="1">
      <c r="A232" s="30"/>
      <c r="B232" s="31"/>
      <c r="C232" s="32"/>
      <c r="D232" s="33"/>
      <c r="E232" s="34"/>
      <c r="F232" s="34"/>
      <c r="G232" s="35"/>
      <c r="H232" s="34"/>
      <c r="I232" s="37"/>
    </row>
    <row r="233" ht="22.5" customHeight="1">
      <c r="A233" s="30"/>
      <c r="B233" s="31"/>
      <c r="C233" s="32"/>
      <c r="D233" s="33"/>
      <c r="E233" s="34"/>
      <c r="F233" s="34"/>
      <c r="G233" s="35"/>
      <c r="H233" s="34"/>
      <c r="I233" s="37"/>
    </row>
    <row r="234" ht="22.5" customHeight="1">
      <c r="A234" s="30"/>
      <c r="B234" s="31"/>
      <c r="C234" s="32"/>
      <c r="D234" s="33"/>
      <c r="E234" s="34"/>
      <c r="F234" s="34"/>
      <c r="G234" s="35"/>
      <c r="H234" s="34"/>
      <c r="I234" s="37"/>
    </row>
    <row r="235" ht="22.5" customHeight="1">
      <c r="A235" s="30"/>
      <c r="B235" s="31"/>
      <c r="C235" s="32"/>
      <c r="D235" s="33"/>
      <c r="E235" s="34"/>
      <c r="F235" s="34"/>
      <c r="G235" s="35"/>
      <c r="H235" s="34"/>
      <c r="I235" s="37"/>
    </row>
    <row r="236" ht="22.5" customHeight="1">
      <c r="A236" s="30"/>
      <c r="B236" s="31"/>
      <c r="C236" s="32"/>
      <c r="D236" s="33"/>
      <c r="E236" s="34"/>
      <c r="F236" s="34"/>
      <c r="G236" s="35"/>
      <c r="H236" s="34"/>
      <c r="I236" s="37"/>
    </row>
    <row r="237" ht="22.5" customHeight="1">
      <c r="A237" s="30"/>
      <c r="B237" s="31"/>
      <c r="C237" s="32"/>
      <c r="D237" s="33"/>
      <c r="E237" s="34"/>
      <c r="F237" s="34"/>
      <c r="G237" s="35"/>
      <c r="H237" s="34"/>
      <c r="I237" s="37"/>
    </row>
    <row r="238" ht="22.5" customHeight="1">
      <c r="A238" s="30"/>
      <c r="B238" s="31"/>
      <c r="C238" s="32"/>
      <c r="D238" s="33"/>
      <c r="E238" s="34"/>
      <c r="F238" s="34"/>
      <c r="G238" s="35"/>
      <c r="H238" s="34"/>
      <c r="I238" s="37"/>
    </row>
    <row r="239" ht="22.5" customHeight="1">
      <c r="A239" s="30"/>
      <c r="B239" s="31"/>
      <c r="C239" s="32"/>
      <c r="D239" s="33"/>
      <c r="E239" s="34"/>
      <c r="F239" s="34"/>
      <c r="G239" s="35"/>
      <c r="H239" s="34"/>
      <c r="I239" s="37"/>
    </row>
    <row r="240" ht="22.5" customHeight="1">
      <c r="A240" s="30"/>
      <c r="B240" s="31"/>
      <c r="C240" s="32"/>
      <c r="D240" s="33"/>
      <c r="E240" s="34"/>
      <c r="F240" s="34"/>
      <c r="G240" s="35"/>
      <c r="H240" s="34"/>
      <c r="I240" s="37"/>
    </row>
    <row r="241" ht="22.5" customHeight="1">
      <c r="A241" s="30"/>
      <c r="B241" s="31"/>
      <c r="C241" s="32"/>
      <c r="D241" s="33"/>
      <c r="E241" s="34"/>
      <c r="F241" s="34"/>
      <c r="G241" s="35"/>
      <c r="H241" s="34"/>
      <c r="I241" s="37"/>
    </row>
    <row r="242" ht="22.5" customHeight="1">
      <c r="A242" s="30"/>
      <c r="B242" s="31"/>
      <c r="C242" s="32"/>
      <c r="D242" s="33"/>
      <c r="E242" s="34"/>
      <c r="F242" s="34"/>
      <c r="G242" s="35"/>
      <c r="H242" s="34"/>
      <c r="I242" s="37"/>
    </row>
    <row r="243" ht="22.5" customHeight="1">
      <c r="A243" s="30"/>
      <c r="B243" s="31"/>
      <c r="C243" s="32"/>
      <c r="D243" s="33"/>
      <c r="E243" s="34"/>
      <c r="F243" s="34"/>
      <c r="G243" s="35"/>
      <c r="H243" s="34"/>
      <c r="I243" s="37"/>
    </row>
    <row r="244" ht="22.5" customHeight="1">
      <c r="A244" s="30"/>
      <c r="B244" s="31"/>
      <c r="C244" s="32"/>
      <c r="D244" s="33"/>
      <c r="E244" s="34"/>
      <c r="F244" s="34"/>
      <c r="G244" s="35"/>
      <c r="H244" s="34"/>
      <c r="I244" s="37"/>
    </row>
    <row r="245" ht="22.5" customHeight="1">
      <c r="A245" s="30"/>
      <c r="B245" s="40"/>
      <c r="C245" s="32"/>
      <c r="D245" s="33"/>
      <c r="E245" s="34"/>
      <c r="F245" s="34"/>
      <c r="G245" s="35"/>
      <c r="H245" s="34"/>
      <c r="I245" s="37"/>
    </row>
    <row r="246" ht="22.5" customHeight="1">
      <c r="A246" s="30"/>
      <c r="B246" s="31"/>
      <c r="C246" s="32"/>
      <c r="D246" s="33"/>
      <c r="E246" s="34"/>
      <c r="F246" s="34"/>
      <c r="G246" s="35"/>
      <c r="H246" s="34"/>
      <c r="I246" s="37"/>
    </row>
    <row r="247" ht="22.5" customHeight="1">
      <c r="A247" s="30"/>
      <c r="B247" s="40"/>
      <c r="C247" s="32"/>
      <c r="D247" s="33"/>
      <c r="E247" s="34"/>
      <c r="F247" s="34"/>
      <c r="G247" s="35"/>
      <c r="H247" s="34"/>
      <c r="I247" s="37"/>
    </row>
    <row r="248" ht="22.5" customHeight="1">
      <c r="A248" s="30"/>
      <c r="B248" s="31"/>
      <c r="C248" s="32"/>
      <c r="D248" s="33"/>
      <c r="E248" s="34"/>
      <c r="F248" s="34"/>
      <c r="G248" s="35"/>
      <c r="H248" s="34"/>
      <c r="I248" s="37"/>
    </row>
    <row r="249" ht="22.5" customHeight="1">
      <c r="A249" s="30"/>
      <c r="B249" s="31"/>
      <c r="C249" s="32"/>
      <c r="D249" s="33"/>
      <c r="E249" s="34"/>
      <c r="F249" s="34"/>
      <c r="G249" s="35"/>
      <c r="H249" s="34"/>
      <c r="I249" s="37"/>
    </row>
    <row r="250" ht="22.5" customHeight="1">
      <c r="A250" s="30"/>
      <c r="B250" s="31"/>
      <c r="C250" s="32"/>
      <c r="D250" s="33"/>
      <c r="E250" s="34"/>
      <c r="F250" s="34"/>
      <c r="G250" s="35"/>
      <c r="H250" s="34"/>
      <c r="I250" s="37"/>
    </row>
    <row r="251" ht="22.5" customHeight="1">
      <c r="A251" s="30"/>
      <c r="B251" s="31"/>
      <c r="C251" s="32"/>
      <c r="D251" s="33"/>
      <c r="E251" s="34"/>
      <c r="F251" s="34"/>
      <c r="G251" s="35"/>
      <c r="H251" s="34"/>
      <c r="I251" s="37"/>
    </row>
    <row r="252" ht="22.5" customHeight="1">
      <c r="A252" s="30"/>
      <c r="B252" s="40"/>
      <c r="C252" s="32"/>
      <c r="D252" s="33"/>
      <c r="E252" s="34"/>
      <c r="F252" s="34"/>
      <c r="G252" s="35"/>
      <c r="H252" s="34"/>
      <c r="I252" s="37"/>
    </row>
    <row r="253" ht="22.5" customHeight="1">
      <c r="A253" s="30"/>
      <c r="B253" s="31"/>
      <c r="C253" s="32"/>
      <c r="D253" s="33"/>
      <c r="E253" s="34"/>
      <c r="F253" s="34"/>
      <c r="G253" s="35"/>
      <c r="H253" s="34"/>
      <c r="I253" s="37"/>
    </row>
    <row r="254" ht="22.5" customHeight="1">
      <c r="A254" s="30"/>
      <c r="B254" s="31"/>
      <c r="C254" s="32"/>
      <c r="D254" s="33"/>
      <c r="E254" s="34"/>
      <c r="F254" s="34"/>
      <c r="G254" s="35"/>
      <c r="H254" s="34"/>
      <c r="I254" s="37"/>
    </row>
    <row r="255" ht="22.5" customHeight="1">
      <c r="A255" s="30"/>
      <c r="B255" s="31"/>
      <c r="C255" s="32"/>
      <c r="D255" s="33"/>
      <c r="E255" s="34"/>
      <c r="F255" s="34"/>
      <c r="G255" s="35"/>
      <c r="H255" s="34"/>
      <c r="I255" s="37"/>
    </row>
    <row r="256" ht="22.5" customHeight="1">
      <c r="A256" s="30"/>
      <c r="B256" s="31"/>
      <c r="C256" s="32"/>
      <c r="D256" s="33"/>
      <c r="E256" s="34"/>
      <c r="F256" s="34"/>
      <c r="G256" s="35"/>
      <c r="H256" s="34"/>
      <c r="I256" s="37"/>
    </row>
    <row r="257" ht="22.5" customHeight="1">
      <c r="A257" s="30"/>
      <c r="B257" s="31"/>
      <c r="C257" s="32"/>
      <c r="D257" s="33"/>
      <c r="E257" s="34"/>
      <c r="F257" s="34"/>
      <c r="G257" s="35"/>
      <c r="H257" s="34"/>
      <c r="I257" s="37"/>
    </row>
    <row r="258" ht="22.5" customHeight="1">
      <c r="A258" s="30"/>
      <c r="B258" s="31"/>
      <c r="C258" s="32"/>
      <c r="D258" s="33"/>
      <c r="E258" s="34"/>
      <c r="F258" s="34"/>
      <c r="G258" s="35"/>
      <c r="H258" s="34"/>
      <c r="I258" s="37"/>
    </row>
    <row r="259" ht="22.5" customHeight="1">
      <c r="A259" s="30"/>
      <c r="B259" s="31"/>
      <c r="C259" s="32"/>
      <c r="D259" s="33"/>
      <c r="E259" s="34"/>
      <c r="F259" s="34"/>
      <c r="G259" s="35"/>
      <c r="H259" s="34"/>
      <c r="I259" s="37"/>
    </row>
    <row r="260" ht="22.5" customHeight="1">
      <c r="A260" s="30"/>
      <c r="B260" s="31"/>
      <c r="C260" s="32"/>
      <c r="D260" s="33"/>
      <c r="E260" s="34"/>
      <c r="F260" s="34"/>
      <c r="G260" s="35"/>
      <c r="H260" s="34"/>
      <c r="I260" s="37"/>
    </row>
    <row r="261" ht="22.5" customHeight="1">
      <c r="A261" s="30"/>
      <c r="B261" s="31"/>
      <c r="C261" s="32"/>
      <c r="D261" s="33"/>
      <c r="E261" s="34"/>
      <c r="F261" s="34"/>
      <c r="G261" s="35"/>
      <c r="H261" s="34"/>
      <c r="I261" s="37"/>
    </row>
    <row r="262" ht="22.5" customHeight="1">
      <c r="A262" s="30"/>
      <c r="B262" s="31"/>
      <c r="C262" s="32"/>
      <c r="D262" s="33"/>
      <c r="E262" s="34"/>
      <c r="F262" s="34"/>
      <c r="G262" s="35"/>
      <c r="H262" s="34"/>
      <c r="I262" s="37"/>
    </row>
    <row r="263" ht="22.5" customHeight="1">
      <c r="A263" s="30"/>
      <c r="B263" s="31"/>
      <c r="C263" s="32"/>
      <c r="D263" s="33"/>
      <c r="E263" s="34"/>
      <c r="F263" s="34"/>
      <c r="G263" s="35"/>
      <c r="H263" s="34"/>
      <c r="I263" s="37"/>
    </row>
    <row r="264" ht="22.5" customHeight="1">
      <c r="A264" s="30"/>
      <c r="B264" s="31"/>
      <c r="C264" s="32"/>
      <c r="D264" s="33"/>
      <c r="E264" s="34"/>
      <c r="F264" s="34"/>
      <c r="G264" s="35"/>
      <c r="H264" s="34"/>
      <c r="I264" s="37"/>
    </row>
    <row r="265" ht="22.5" customHeight="1">
      <c r="A265" s="30"/>
      <c r="B265" s="31"/>
      <c r="C265" s="32"/>
      <c r="D265" s="33"/>
      <c r="E265" s="34"/>
      <c r="F265" s="34"/>
      <c r="G265" s="35"/>
      <c r="H265" s="34"/>
      <c r="I265" s="37"/>
    </row>
    <row r="266" ht="22.5" customHeight="1">
      <c r="A266" s="30"/>
      <c r="B266" s="31"/>
      <c r="C266" s="32"/>
      <c r="D266" s="33"/>
      <c r="E266" s="34"/>
      <c r="F266" s="34"/>
      <c r="G266" s="35"/>
      <c r="H266" s="34"/>
      <c r="I266" s="37"/>
    </row>
    <row r="267" ht="22.5" customHeight="1">
      <c r="A267" s="30"/>
      <c r="B267" s="31"/>
      <c r="C267" s="32"/>
      <c r="D267" s="33"/>
      <c r="E267" s="34"/>
      <c r="F267" s="34"/>
      <c r="G267" s="35"/>
      <c r="H267" s="34"/>
      <c r="I267" s="37"/>
    </row>
    <row r="268" ht="22.5" customHeight="1">
      <c r="A268" s="30"/>
      <c r="B268" s="31"/>
      <c r="C268" s="32"/>
      <c r="D268" s="33"/>
      <c r="E268" s="34"/>
      <c r="F268" s="34"/>
      <c r="G268" s="35"/>
      <c r="H268" s="34"/>
      <c r="I268" s="37"/>
    </row>
    <row r="269" ht="22.5" customHeight="1">
      <c r="A269" s="30"/>
      <c r="B269" s="31"/>
      <c r="C269" s="32"/>
      <c r="D269" s="33"/>
      <c r="E269" s="34"/>
      <c r="F269" s="34"/>
      <c r="G269" s="35"/>
      <c r="H269" s="34"/>
      <c r="I269" s="37"/>
    </row>
    <row r="270" ht="22.5" customHeight="1">
      <c r="A270" s="30"/>
      <c r="B270" s="31"/>
      <c r="C270" s="32"/>
      <c r="D270" s="33"/>
      <c r="E270" s="34"/>
      <c r="F270" s="34"/>
      <c r="G270" s="35"/>
      <c r="H270" s="34"/>
      <c r="I270" s="37"/>
    </row>
    <row r="271" ht="22.5" customHeight="1">
      <c r="A271" s="30"/>
      <c r="B271" s="31"/>
      <c r="C271" s="32"/>
      <c r="D271" s="33"/>
      <c r="E271" s="34"/>
      <c r="F271" s="34"/>
      <c r="G271" s="35"/>
      <c r="H271" s="34"/>
      <c r="I271" s="37"/>
    </row>
    <row r="272" ht="22.5" customHeight="1">
      <c r="A272" s="30"/>
      <c r="B272" s="31"/>
      <c r="C272" s="32"/>
      <c r="D272" s="33"/>
      <c r="E272" s="34"/>
      <c r="F272" s="34"/>
      <c r="G272" s="35"/>
      <c r="H272" s="34"/>
      <c r="I272" s="37"/>
    </row>
    <row r="273" ht="22.5" customHeight="1">
      <c r="A273" s="30"/>
      <c r="B273" s="31"/>
      <c r="C273" s="32"/>
      <c r="D273" s="33"/>
      <c r="E273" s="34"/>
      <c r="F273" s="34"/>
      <c r="G273" s="35"/>
      <c r="H273" s="34"/>
      <c r="I273" s="37"/>
    </row>
    <row r="274" ht="22.5" customHeight="1">
      <c r="A274" s="30"/>
      <c r="B274" s="40"/>
      <c r="C274" s="32"/>
      <c r="D274" s="33"/>
      <c r="E274" s="34"/>
      <c r="F274" s="34"/>
      <c r="G274" s="35"/>
      <c r="H274" s="34"/>
      <c r="I274" s="37"/>
    </row>
    <row r="275" ht="22.5" customHeight="1">
      <c r="A275" s="30"/>
      <c r="B275" s="31"/>
      <c r="C275" s="32"/>
      <c r="D275" s="33"/>
      <c r="E275" s="34"/>
      <c r="F275" s="34"/>
      <c r="G275" s="35"/>
      <c r="H275" s="34"/>
      <c r="I275" s="37"/>
    </row>
    <row r="276" ht="22.5" customHeight="1">
      <c r="A276" s="30"/>
      <c r="B276" s="31"/>
      <c r="C276" s="32"/>
      <c r="D276" s="33"/>
      <c r="E276" s="34"/>
      <c r="F276" s="34"/>
      <c r="G276" s="35"/>
      <c r="H276" s="34"/>
      <c r="I276" s="37"/>
    </row>
    <row r="277" ht="22.5" customHeight="1">
      <c r="A277" s="30"/>
      <c r="B277" s="31"/>
      <c r="C277" s="32"/>
      <c r="D277" s="33"/>
      <c r="E277" s="34"/>
      <c r="F277" s="34"/>
      <c r="G277" s="35"/>
      <c r="H277" s="34"/>
      <c r="I277" s="37"/>
    </row>
    <row r="278" ht="22.5" customHeight="1">
      <c r="A278" s="30"/>
      <c r="B278" s="31"/>
      <c r="C278" s="32"/>
      <c r="D278" s="33"/>
      <c r="E278" s="34"/>
      <c r="F278" s="34"/>
      <c r="G278" s="35"/>
      <c r="H278" s="34"/>
      <c r="I278" s="38"/>
    </row>
    <row r="279" ht="22.5" customHeight="1">
      <c r="A279" s="30"/>
      <c r="B279" s="39"/>
      <c r="C279" s="32"/>
      <c r="D279" s="33"/>
      <c r="E279" s="34"/>
      <c r="F279" s="34"/>
      <c r="G279" s="35"/>
      <c r="H279" s="34"/>
      <c r="I279" s="37"/>
    </row>
    <row r="280" ht="22.5" customHeight="1">
      <c r="A280" s="30"/>
      <c r="B280" s="31"/>
      <c r="C280" s="32"/>
      <c r="D280" s="33"/>
      <c r="E280" s="34"/>
      <c r="F280" s="34"/>
      <c r="G280" s="35"/>
      <c r="H280" s="34"/>
      <c r="I280" s="37"/>
    </row>
    <row r="281" ht="22.5" customHeight="1">
      <c r="A281" s="30"/>
      <c r="B281" s="31"/>
      <c r="C281" s="32"/>
      <c r="D281" s="33"/>
      <c r="E281" s="34"/>
      <c r="F281" s="34"/>
      <c r="G281" s="35"/>
      <c r="H281" s="34"/>
      <c r="I281" s="37"/>
    </row>
    <row r="282" ht="22.5" customHeight="1">
      <c r="A282" s="30"/>
      <c r="B282" s="31"/>
      <c r="C282" s="32"/>
      <c r="D282" s="33"/>
      <c r="E282" s="34"/>
      <c r="F282" s="34"/>
      <c r="G282" s="35"/>
      <c r="H282" s="34"/>
      <c r="I282" s="37"/>
    </row>
    <row r="283" ht="22.5" customHeight="1">
      <c r="A283" s="30"/>
      <c r="B283" s="39"/>
      <c r="C283" s="32"/>
      <c r="D283" s="33"/>
      <c r="E283" s="34"/>
      <c r="F283" s="34"/>
      <c r="G283" s="35"/>
      <c r="H283" s="34"/>
      <c r="I283" s="37"/>
    </row>
    <row r="284" ht="22.5" customHeight="1">
      <c r="A284" s="30"/>
      <c r="B284" s="31"/>
      <c r="C284" s="32"/>
      <c r="D284" s="33"/>
      <c r="E284" s="34"/>
      <c r="F284" s="34"/>
      <c r="G284" s="35"/>
      <c r="H284" s="34"/>
      <c r="I284" s="37"/>
    </row>
    <row r="285" ht="22.5" customHeight="1">
      <c r="A285" s="30"/>
      <c r="B285" s="39"/>
      <c r="C285" s="32"/>
      <c r="D285" s="33"/>
      <c r="E285" s="34"/>
      <c r="F285" s="34"/>
      <c r="G285" s="35"/>
      <c r="H285" s="34"/>
      <c r="I285" s="37"/>
    </row>
    <row r="286" ht="22.5" customHeight="1">
      <c r="A286" s="30"/>
      <c r="B286" s="31"/>
      <c r="C286" s="32"/>
      <c r="D286" s="33"/>
      <c r="E286" s="34"/>
      <c r="F286" s="34"/>
      <c r="G286" s="35"/>
      <c r="H286" s="34"/>
      <c r="I286" s="37"/>
    </row>
    <row r="287" ht="22.5" customHeight="1">
      <c r="A287" s="30"/>
      <c r="B287" s="31"/>
      <c r="C287" s="32"/>
      <c r="D287" s="33"/>
      <c r="E287" s="34"/>
      <c r="F287" s="34"/>
      <c r="G287" s="35"/>
      <c r="H287" s="34"/>
      <c r="I287" s="37"/>
    </row>
    <row r="288" ht="22.5" customHeight="1">
      <c r="A288" s="30"/>
      <c r="B288" s="31"/>
      <c r="C288" s="32"/>
      <c r="D288" s="33"/>
      <c r="E288" s="34"/>
      <c r="F288" s="34"/>
      <c r="G288" s="35"/>
      <c r="H288" s="34"/>
      <c r="I288" s="37"/>
    </row>
    <row r="289" ht="22.5" customHeight="1">
      <c r="A289" s="30"/>
      <c r="B289" s="31"/>
      <c r="C289" s="32"/>
      <c r="D289" s="33"/>
      <c r="E289" s="34"/>
      <c r="F289" s="34"/>
      <c r="G289" s="35"/>
      <c r="H289" s="34"/>
      <c r="I289" s="37"/>
    </row>
    <row r="290" ht="22.5" customHeight="1">
      <c r="A290" s="30"/>
      <c r="B290" s="31"/>
      <c r="C290" s="32"/>
      <c r="D290" s="33"/>
      <c r="E290" s="34"/>
      <c r="F290" s="34"/>
      <c r="G290" s="35"/>
      <c r="H290" s="34"/>
      <c r="I290" s="37"/>
    </row>
    <row r="291" ht="22.5" customHeight="1">
      <c r="A291" s="30"/>
      <c r="B291" s="31"/>
      <c r="C291" s="32"/>
      <c r="D291" s="33"/>
      <c r="E291" s="34"/>
      <c r="F291" s="34"/>
      <c r="G291" s="35"/>
      <c r="H291" s="34"/>
      <c r="I291" s="37"/>
    </row>
    <row r="292" ht="22.5" customHeight="1">
      <c r="A292" s="30"/>
      <c r="B292" s="31"/>
      <c r="C292" s="32"/>
      <c r="D292" s="33"/>
      <c r="E292" s="34"/>
      <c r="F292" s="34"/>
      <c r="G292" s="35"/>
      <c r="H292" s="34"/>
      <c r="I292" s="37"/>
    </row>
    <row r="293" ht="22.5" customHeight="1">
      <c r="A293" s="30"/>
      <c r="B293" s="31"/>
      <c r="C293" s="32"/>
      <c r="D293" s="33"/>
      <c r="E293" s="34"/>
      <c r="F293" s="34"/>
      <c r="G293" s="35"/>
      <c r="H293" s="34"/>
      <c r="I293" s="37"/>
    </row>
    <row r="294" ht="22.5" customHeight="1">
      <c r="A294" s="30"/>
      <c r="B294" s="31"/>
      <c r="C294" s="32"/>
      <c r="D294" s="33"/>
      <c r="E294" s="34"/>
      <c r="F294" s="34"/>
      <c r="G294" s="35"/>
      <c r="H294" s="34"/>
      <c r="I294" s="37"/>
    </row>
    <row r="295" ht="22.5" customHeight="1">
      <c r="A295" s="30"/>
      <c r="B295" s="31"/>
      <c r="C295" s="32"/>
      <c r="D295" s="33"/>
      <c r="E295" s="34"/>
      <c r="F295" s="34"/>
      <c r="G295" s="35"/>
      <c r="H295" s="34"/>
      <c r="I295" s="37"/>
    </row>
    <row r="296" ht="22.5" customHeight="1">
      <c r="A296" s="30"/>
      <c r="B296" s="40"/>
      <c r="C296" s="32"/>
      <c r="D296" s="33"/>
      <c r="E296" s="34"/>
      <c r="F296" s="34"/>
      <c r="G296" s="35"/>
      <c r="H296" s="34"/>
      <c r="I296" s="37"/>
    </row>
    <row r="297" ht="22.5" customHeight="1">
      <c r="A297" s="30"/>
      <c r="B297" s="31"/>
      <c r="C297" s="32"/>
      <c r="D297" s="33"/>
      <c r="E297" s="34"/>
      <c r="F297" s="34"/>
      <c r="G297" s="35"/>
      <c r="H297" s="34"/>
      <c r="I297" s="37"/>
    </row>
    <row r="298" ht="22.5" customHeight="1">
      <c r="A298" s="30"/>
      <c r="B298" s="31"/>
      <c r="C298" s="32"/>
      <c r="D298" s="33"/>
      <c r="E298" s="34"/>
      <c r="F298" s="34"/>
      <c r="G298" s="35"/>
      <c r="H298" s="34"/>
      <c r="I298" s="37"/>
    </row>
    <row r="299" ht="22.5" customHeight="1">
      <c r="A299" s="30"/>
      <c r="B299" s="31"/>
      <c r="C299" s="32"/>
      <c r="D299" s="33"/>
      <c r="E299" s="34"/>
      <c r="F299" s="34"/>
      <c r="G299" s="35"/>
      <c r="H299" s="34"/>
      <c r="I299" s="37"/>
    </row>
    <row r="300" ht="22.5" customHeight="1">
      <c r="A300" s="30"/>
      <c r="B300" s="31"/>
      <c r="C300" s="32"/>
      <c r="D300" s="33"/>
      <c r="E300" s="34"/>
      <c r="F300" s="34"/>
      <c r="G300" s="35"/>
      <c r="H300" s="34"/>
      <c r="I300" s="37"/>
    </row>
    <row r="301" ht="22.5" customHeight="1">
      <c r="A301" s="30"/>
      <c r="B301" s="31"/>
      <c r="C301" s="32"/>
      <c r="D301" s="33"/>
      <c r="E301" s="34"/>
      <c r="F301" s="34"/>
      <c r="G301" s="35"/>
      <c r="H301" s="34"/>
      <c r="I301" s="37"/>
    </row>
    <row r="302" ht="22.5" customHeight="1">
      <c r="A302" s="30"/>
      <c r="B302" s="31"/>
      <c r="C302" s="32"/>
      <c r="D302" s="33"/>
      <c r="E302" s="34"/>
      <c r="F302" s="34"/>
      <c r="G302" s="35"/>
      <c r="H302" s="34"/>
      <c r="I302" s="37"/>
    </row>
    <row r="303" ht="22.5" customHeight="1">
      <c r="A303" s="30"/>
      <c r="B303" s="39"/>
      <c r="C303" s="32"/>
      <c r="D303" s="33"/>
      <c r="E303" s="34"/>
      <c r="F303" s="34"/>
      <c r="G303" s="35"/>
      <c r="H303" s="34"/>
      <c r="I303" s="37"/>
    </row>
    <row r="304" ht="22.5" customHeight="1">
      <c r="A304" s="30"/>
      <c r="B304" s="39"/>
      <c r="C304" s="32"/>
      <c r="D304" s="33"/>
      <c r="E304" s="34"/>
      <c r="F304" s="34"/>
      <c r="G304" s="35"/>
      <c r="H304" s="34"/>
      <c r="I304" s="37"/>
    </row>
    <row r="305" ht="22.5" customHeight="1">
      <c r="A305" s="30"/>
      <c r="B305" s="39"/>
      <c r="C305" s="32"/>
      <c r="D305" s="33"/>
      <c r="E305" s="34"/>
      <c r="F305" s="34"/>
      <c r="G305" s="35"/>
      <c r="H305" s="34"/>
      <c r="I305" s="37"/>
    </row>
    <row r="306" ht="22.5" customHeight="1">
      <c r="A306" s="30"/>
      <c r="B306" s="40"/>
      <c r="C306" s="32"/>
      <c r="D306" s="33"/>
      <c r="E306" s="34"/>
      <c r="F306" s="34"/>
      <c r="G306" s="35"/>
      <c r="H306" s="34"/>
      <c r="I306" s="37"/>
    </row>
    <row r="307" ht="22.5" customHeight="1">
      <c r="A307" s="30"/>
      <c r="B307" s="31"/>
      <c r="C307" s="32"/>
      <c r="D307" s="33"/>
      <c r="E307" s="34"/>
      <c r="F307" s="34"/>
      <c r="G307" s="35"/>
      <c r="H307" s="34"/>
      <c r="I307" s="37"/>
    </row>
    <row r="308" ht="22.5" customHeight="1">
      <c r="A308" s="30"/>
      <c r="B308" s="31"/>
      <c r="C308" s="32"/>
      <c r="D308" s="33"/>
      <c r="E308" s="34"/>
      <c r="F308" s="34"/>
      <c r="G308" s="35"/>
      <c r="H308" s="34"/>
      <c r="I308" s="37"/>
    </row>
    <row r="309" ht="22.5" customHeight="1">
      <c r="A309" s="30"/>
      <c r="B309" s="31"/>
      <c r="C309" s="32"/>
      <c r="D309" s="33"/>
      <c r="E309" s="34"/>
      <c r="F309" s="34"/>
      <c r="G309" s="35"/>
      <c r="H309" s="34"/>
      <c r="I309" s="37"/>
    </row>
    <row r="310" ht="22.5" customHeight="1">
      <c r="A310" s="30"/>
      <c r="B310" s="31"/>
      <c r="C310" s="32"/>
      <c r="D310" s="33"/>
      <c r="E310" s="34"/>
      <c r="F310" s="34"/>
      <c r="G310" s="35"/>
      <c r="H310" s="34"/>
      <c r="I310" s="37"/>
    </row>
    <row r="311" ht="22.5" customHeight="1">
      <c r="A311" s="30"/>
      <c r="B311" s="31"/>
      <c r="C311" s="32"/>
      <c r="D311" s="33"/>
      <c r="E311" s="34"/>
      <c r="F311" s="34"/>
      <c r="G311" s="35"/>
      <c r="H311" s="34"/>
      <c r="I311" s="37"/>
    </row>
    <row r="312" ht="22.5" customHeight="1">
      <c r="A312" s="30"/>
      <c r="B312" s="31"/>
      <c r="C312" s="32"/>
      <c r="D312" s="33"/>
      <c r="E312" s="34"/>
      <c r="F312" s="34"/>
      <c r="G312" s="35"/>
      <c r="H312" s="34"/>
      <c r="I312" s="37"/>
    </row>
    <row r="313" ht="22.5" customHeight="1">
      <c r="A313" s="30"/>
      <c r="B313" s="31"/>
      <c r="C313" s="32"/>
      <c r="D313" s="33"/>
      <c r="E313" s="34"/>
      <c r="F313" s="34"/>
      <c r="G313" s="35"/>
      <c r="H313" s="34"/>
      <c r="I313" s="37"/>
    </row>
    <row r="314" ht="22.5" customHeight="1">
      <c r="A314" s="30"/>
      <c r="B314" s="31"/>
      <c r="C314" s="32"/>
      <c r="D314" s="33"/>
      <c r="E314" s="34"/>
      <c r="F314" s="34"/>
      <c r="G314" s="35"/>
      <c r="H314" s="34"/>
      <c r="I314" s="37"/>
    </row>
    <row r="315" ht="22.5" customHeight="1">
      <c r="A315" s="30"/>
      <c r="B315" s="31"/>
      <c r="C315" s="32"/>
      <c r="D315" s="33"/>
      <c r="E315" s="34"/>
      <c r="F315" s="34"/>
      <c r="G315" s="35"/>
      <c r="H315" s="34"/>
      <c r="I315" s="37"/>
    </row>
    <row r="316" ht="22.5" customHeight="1">
      <c r="A316" s="30"/>
      <c r="B316" s="40"/>
      <c r="C316" s="32"/>
      <c r="D316" s="33"/>
      <c r="E316" s="34"/>
      <c r="F316" s="34"/>
      <c r="G316" s="35"/>
      <c r="H316" s="34"/>
      <c r="I316" s="37"/>
    </row>
    <row r="317" ht="22.5" customHeight="1">
      <c r="A317" s="30"/>
      <c r="B317" s="31"/>
      <c r="C317" s="32"/>
      <c r="D317" s="33"/>
      <c r="E317" s="34"/>
      <c r="F317" s="34"/>
      <c r="G317" s="35"/>
      <c r="H317" s="34"/>
      <c r="I317" s="37"/>
    </row>
    <row r="318" ht="22.5" customHeight="1">
      <c r="A318" s="30"/>
      <c r="B318" s="31"/>
      <c r="C318" s="32"/>
      <c r="D318" s="33"/>
      <c r="E318" s="34"/>
      <c r="F318" s="34"/>
      <c r="G318" s="35"/>
      <c r="H318" s="34"/>
      <c r="I318" s="37"/>
    </row>
    <row r="319" ht="22.5" customHeight="1">
      <c r="A319" s="30"/>
      <c r="B319" s="31"/>
      <c r="C319" s="32"/>
      <c r="D319" s="33"/>
      <c r="E319" s="34"/>
      <c r="F319" s="34"/>
      <c r="G319" s="35"/>
      <c r="H319" s="34"/>
      <c r="I319" s="37"/>
    </row>
    <row r="320" ht="22.5" customHeight="1">
      <c r="A320" s="30"/>
      <c r="B320" s="40"/>
      <c r="C320" s="32"/>
      <c r="D320" s="33"/>
      <c r="E320" s="34"/>
      <c r="F320" s="34"/>
      <c r="G320" s="35"/>
      <c r="H320" s="34"/>
      <c r="I320" s="37"/>
    </row>
    <row r="321" ht="22.5" customHeight="1">
      <c r="A321" s="30"/>
      <c r="B321" s="31"/>
      <c r="C321" s="32"/>
      <c r="D321" s="33"/>
      <c r="E321" s="34"/>
      <c r="F321" s="34"/>
      <c r="G321" s="35"/>
      <c r="H321" s="34"/>
      <c r="I321" s="37"/>
    </row>
    <row r="322" ht="22.5" customHeight="1">
      <c r="A322" s="30"/>
      <c r="B322" s="31"/>
      <c r="C322" s="32"/>
      <c r="D322" s="33"/>
      <c r="E322" s="34"/>
      <c r="F322" s="34"/>
      <c r="G322" s="35"/>
      <c r="H322" s="34"/>
      <c r="I322" s="37"/>
    </row>
    <row r="323" ht="22.5" customHeight="1">
      <c r="A323" s="30"/>
      <c r="B323" s="31"/>
      <c r="C323" s="32"/>
      <c r="D323" s="33"/>
      <c r="E323" s="34"/>
      <c r="F323" s="34"/>
      <c r="G323" s="35"/>
      <c r="H323" s="34"/>
      <c r="I323" s="37"/>
    </row>
    <row r="324" ht="22.5" customHeight="1">
      <c r="A324" s="30"/>
      <c r="B324" s="31"/>
      <c r="C324" s="32"/>
      <c r="D324" s="33"/>
      <c r="E324" s="34"/>
      <c r="F324" s="34"/>
      <c r="G324" s="35"/>
      <c r="H324" s="34"/>
      <c r="I324" s="37"/>
    </row>
    <row r="325" ht="22.5" customHeight="1">
      <c r="A325" s="30"/>
      <c r="B325" s="31"/>
      <c r="C325" s="32"/>
      <c r="D325" s="33"/>
      <c r="E325" s="34"/>
      <c r="F325" s="34"/>
      <c r="G325" s="35"/>
      <c r="H325" s="34"/>
      <c r="I325" s="37"/>
    </row>
    <row r="326" ht="22.5" customHeight="1">
      <c r="A326" s="30"/>
      <c r="B326" s="31"/>
      <c r="C326" s="32"/>
      <c r="D326" s="33"/>
      <c r="E326" s="34"/>
      <c r="F326" s="34"/>
      <c r="G326" s="35"/>
      <c r="H326" s="34"/>
      <c r="I326" s="37"/>
    </row>
    <row r="327" ht="22.5" customHeight="1">
      <c r="A327" s="30"/>
      <c r="B327" s="31"/>
      <c r="C327" s="32"/>
      <c r="D327" s="33"/>
      <c r="E327" s="34"/>
      <c r="F327" s="34"/>
      <c r="G327" s="35"/>
      <c r="H327" s="34"/>
      <c r="I327" s="37"/>
    </row>
    <row r="328" ht="22.5" customHeight="1">
      <c r="A328" s="30"/>
      <c r="B328" s="31"/>
      <c r="C328" s="32"/>
      <c r="D328" s="33"/>
      <c r="E328" s="34"/>
      <c r="F328" s="34"/>
      <c r="G328" s="35"/>
      <c r="H328" s="34"/>
      <c r="I328" s="37"/>
    </row>
    <row r="329" ht="22.5" customHeight="1">
      <c r="A329" s="30"/>
      <c r="B329" s="31"/>
      <c r="C329" s="32"/>
      <c r="D329" s="33"/>
      <c r="E329" s="34"/>
      <c r="F329" s="34"/>
      <c r="G329" s="35"/>
      <c r="H329" s="34"/>
      <c r="I329" s="37"/>
    </row>
    <row r="330" ht="22.5" customHeight="1">
      <c r="A330" s="30"/>
      <c r="B330" s="31"/>
      <c r="C330" s="32"/>
      <c r="D330" s="33"/>
      <c r="E330" s="34"/>
      <c r="F330" s="34"/>
      <c r="G330" s="35"/>
      <c r="H330" s="34"/>
      <c r="I330" s="37"/>
    </row>
    <row r="331" ht="22.5" customHeight="1">
      <c r="A331" s="30"/>
      <c r="B331" s="31"/>
      <c r="C331" s="32"/>
      <c r="D331" s="33"/>
      <c r="E331" s="34"/>
      <c r="F331" s="34"/>
      <c r="G331" s="35"/>
      <c r="H331" s="34"/>
      <c r="I331" s="37"/>
    </row>
    <row r="332" ht="22.5" customHeight="1">
      <c r="A332" s="30"/>
      <c r="B332" s="31"/>
      <c r="C332" s="32"/>
      <c r="D332" s="33"/>
      <c r="E332" s="34"/>
      <c r="F332" s="34"/>
      <c r="G332" s="35"/>
      <c r="H332" s="34"/>
      <c r="I332" s="37"/>
    </row>
    <row r="333" ht="22.5" customHeight="1">
      <c r="A333" s="30"/>
      <c r="B333" s="31"/>
      <c r="C333" s="32"/>
      <c r="D333" s="33"/>
      <c r="E333" s="34"/>
      <c r="F333" s="34"/>
      <c r="G333" s="35"/>
      <c r="H333" s="34"/>
      <c r="I333" s="37"/>
    </row>
    <row r="334" ht="22.5" customHeight="1">
      <c r="A334" s="30"/>
      <c r="B334" s="31"/>
      <c r="C334" s="32"/>
      <c r="D334" s="33"/>
      <c r="E334" s="34"/>
      <c r="F334" s="34"/>
      <c r="G334" s="35"/>
      <c r="H334" s="34"/>
      <c r="I334" s="37"/>
    </row>
    <row r="335" ht="22.5" customHeight="1">
      <c r="A335" s="30"/>
      <c r="B335" s="40"/>
      <c r="C335" s="32"/>
      <c r="D335" s="33"/>
      <c r="E335" s="34"/>
      <c r="F335" s="34"/>
      <c r="G335" s="35"/>
      <c r="H335" s="34"/>
      <c r="I335" s="37"/>
    </row>
    <row r="336" ht="22.5" customHeight="1">
      <c r="A336" s="30"/>
      <c r="B336" s="31"/>
      <c r="C336" s="32"/>
      <c r="D336" s="33"/>
      <c r="E336" s="34"/>
      <c r="F336" s="34"/>
      <c r="G336" s="35"/>
      <c r="H336" s="34"/>
      <c r="I336" s="37"/>
    </row>
    <row r="337" ht="22.5" customHeight="1">
      <c r="A337" s="30"/>
      <c r="B337" s="40"/>
      <c r="C337" s="32"/>
      <c r="D337" s="33"/>
      <c r="E337" s="34"/>
      <c r="F337" s="34"/>
      <c r="G337" s="35"/>
      <c r="H337" s="34"/>
      <c r="I337" s="37"/>
    </row>
    <row r="338" ht="22.5" customHeight="1">
      <c r="A338" s="30"/>
      <c r="B338" s="31"/>
      <c r="C338" s="32"/>
      <c r="D338" s="33"/>
      <c r="E338" s="34"/>
      <c r="F338" s="34"/>
      <c r="G338" s="35"/>
      <c r="H338" s="34"/>
      <c r="I338" s="37"/>
    </row>
    <row r="339" ht="22.5" customHeight="1">
      <c r="A339" s="30"/>
      <c r="B339" s="31"/>
      <c r="C339" s="32"/>
      <c r="D339" s="33"/>
      <c r="E339" s="34"/>
      <c r="F339" s="34"/>
      <c r="G339" s="35"/>
      <c r="H339" s="34"/>
      <c r="I339" s="37"/>
    </row>
    <row r="340" ht="22.5" customHeight="1">
      <c r="A340" s="30"/>
      <c r="B340" s="31"/>
      <c r="C340" s="32"/>
      <c r="D340" s="33"/>
      <c r="E340" s="34"/>
      <c r="F340" s="34"/>
      <c r="G340" s="35"/>
      <c r="H340" s="34"/>
      <c r="I340" s="37"/>
    </row>
    <row r="341" ht="22.5" customHeight="1">
      <c r="A341" s="30"/>
      <c r="B341" s="31"/>
      <c r="C341" s="32"/>
      <c r="D341" s="33"/>
      <c r="E341" s="34"/>
      <c r="F341" s="34"/>
      <c r="G341" s="35"/>
      <c r="H341" s="34"/>
      <c r="I341" s="37"/>
    </row>
    <row r="342" ht="22.5" customHeight="1">
      <c r="A342" s="30"/>
      <c r="B342" s="40"/>
      <c r="C342" s="32"/>
      <c r="D342" s="33"/>
      <c r="E342" s="34"/>
      <c r="F342" s="34"/>
      <c r="G342" s="35"/>
      <c r="H342" s="34"/>
      <c r="I342" s="37"/>
    </row>
    <row r="343" ht="22.5" customHeight="1">
      <c r="A343" s="30"/>
      <c r="B343" s="31"/>
      <c r="C343" s="32"/>
      <c r="D343" s="33"/>
      <c r="E343" s="34"/>
      <c r="F343" s="34"/>
      <c r="G343" s="35"/>
      <c r="H343" s="34"/>
      <c r="I343" s="37"/>
    </row>
    <row r="344" ht="22.5" customHeight="1">
      <c r="A344" s="30"/>
      <c r="B344" s="31"/>
      <c r="C344" s="32"/>
      <c r="D344" s="33"/>
      <c r="E344" s="34"/>
      <c r="F344" s="34"/>
      <c r="G344" s="35"/>
      <c r="H344" s="34"/>
      <c r="I344" s="37"/>
    </row>
    <row r="345" ht="22.5" customHeight="1">
      <c r="A345" s="30"/>
      <c r="B345" s="31"/>
      <c r="C345" s="32"/>
      <c r="D345" s="33"/>
      <c r="E345" s="34"/>
      <c r="F345" s="34"/>
      <c r="G345" s="35"/>
      <c r="H345" s="34"/>
      <c r="I345" s="37"/>
    </row>
    <row r="346" ht="22.5" customHeight="1">
      <c r="A346" s="30"/>
      <c r="B346" s="31"/>
      <c r="C346" s="32"/>
      <c r="D346" s="33"/>
      <c r="E346" s="34"/>
      <c r="F346" s="34"/>
      <c r="G346" s="35"/>
      <c r="H346" s="34"/>
      <c r="I346" s="37"/>
    </row>
    <row r="347" ht="22.5" customHeight="1">
      <c r="A347" s="30"/>
      <c r="B347" s="31"/>
      <c r="C347" s="32"/>
      <c r="D347" s="33"/>
      <c r="E347" s="34"/>
      <c r="F347" s="34"/>
      <c r="G347" s="35"/>
      <c r="H347" s="34"/>
      <c r="I347" s="37"/>
    </row>
    <row r="348" ht="22.5" customHeight="1">
      <c r="A348" s="30"/>
      <c r="B348" s="31"/>
      <c r="C348" s="32"/>
      <c r="D348" s="33"/>
      <c r="E348" s="34"/>
      <c r="F348" s="34"/>
      <c r="G348" s="35"/>
      <c r="H348" s="34"/>
      <c r="I348" s="37"/>
    </row>
    <row r="349" ht="22.5" customHeight="1">
      <c r="A349" s="30"/>
      <c r="B349" s="31"/>
      <c r="C349" s="32"/>
      <c r="D349" s="33"/>
      <c r="E349" s="34"/>
      <c r="F349" s="34"/>
      <c r="G349" s="35"/>
      <c r="H349" s="34"/>
      <c r="I349" s="37"/>
    </row>
    <row r="350" ht="22.5" customHeight="1">
      <c r="A350" s="30"/>
      <c r="B350" s="31"/>
      <c r="C350" s="32"/>
      <c r="D350" s="33"/>
      <c r="E350" s="34"/>
      <c r="F350" s="34"/>
      <c r="G350" s="35"/>
      <c r="H350" s="34"/>
      <c r="I350" s="37"/>
    </row>
    <row r="351" ht="22.5" customHeight="1">
      <c r="A351" s="30"/>
      <c r="B351" s="31"/>
      <c r="C351" s="32"/>
      <c r="D351" s="33"/>
      <c r="E351" s="34"/>
      <c r="F351" s="34"/>
      <c r="G351" s="35"/>
      <c r="H351" s="34"/>
      <c r="I351" s="37"/>
    </row>
    <row r="352" ht="22.5" customHeight="1">
      <c r="A352" s="30"/>
      <c r="B352" s="31"/>
      <c r="C352" s="32"/>
      <c r="D352" s="33"/>
      <c r="E352" s="34"/>
      <c r="F352" s="34"/>
      <c r="G352" s="35"/>
      <c r="H352" s="34"/>
      <c r="I352" s="37"/>
    </row>
    <row r="353" ht="22.5" customHeight="1">
      <c r="A353" s="30"/>
      <c r="B353" s="31"/>
      <c r="C353" s="32"/>
      <c r="D353" s="33"/>
      <c r="E353" s="34"/>
      <c r="F353" s="34"/>
      <c r="G353" s="35"/>
      <c r="H353" s="34"/>
      <c r="I353" s="37"/>
    </row>
    <row r="354" ht="22.5" customHeight="1">
      <c r="A354" s="30"/>
      <c r="B354" s="31"/>
      <c r="C354" s="32"/>
      <c r="D354" s="33"/>
      <c r="E354" s="34"/>
      <c r="F354" s="34"/>
      <c r="G354" s="35"/>
      <c r="H354" s="34"/>
      <c r="I354" s="37"/>
    </row>
    <row r="355" ht="22.5" customHeight="1">
      <c r="A355" s="30"/>
      <c r="B355" s="31"/>
      <c r="C355" s="32"/>
      <c r="D355" s="33"/>
      <c r="E355" s="34"/>
      <c r="F355" s="34"/>
      <c r="G355" s="35"/>
      <c r="H355" s="34"/>
      <c r="I355" s="37"/>
    </row>
    <row r="356" ht="22.5" customHeight="1">
      <c r="A356" s="30"/>
      <c r="B356" s="31"/>
      <c r="C356" s="32"/>
      <c r="D356" s="33"/>
      <c r="E356" s="34"/>
      <c r="F356" s="34"/>
      <c r="G356" s="35"/>
      <c r="H356" s="34"/>
      <c r="I356" s="37"/>
    </row>
    <row r="357" ht="22.5" customHeight="1">
      <c r="A357" s="30"/>
      <c r="B357" s="31"/>
      <c r="C357" s="32"/>
      <c r="D357" s="33"/>
      <c r="E357" s="34"/>
      <c r="F357" s="34"/>
      <c r="G357" s="35"/>
      <c r="H357" s="34"/>
      <c r="I357" s="37"/>
    </row>
    <row r="358" ht="22.5" customHeight="1">
      <c r="A358" s="30"/>
      <c r="B358" s="31"/>
      <c r="C358" s="32"/>
      <c r="D358" s="33"/>
      <c r="E358" s="34"/>
      <c r="F358" s="34"/>
      <c r="G358" s="35"/>
      <c r="H358" s="34"/>
      <c r="I358" s="37"/>
    </row>
    <row r="359" ht="22.5" customHeight="1">
      <c r="A359" s="30"/>
      <c r="B359" s="31"/>
      <c r="C359" s="32"/>
      <c r="D359" s="33"/>
      <c r="E359" s="34"/>
      <c r="F359" s="34"/>
      <c r="G359" s="35"/>
      <c r="H359" s="34"/>
      <c r="I359" s="37"/>
    </row>
    <row r="360" ht="22.5" customHeight="1">
      <c r="A360" s="30"/>
      <c r="B360" s="31"/>
      <c r="C360" s="32"/>
      <c r="D360" s="33"/>
      <c r="E360" s="34"/>
      <c r="F360" s="34"/>
      <c r="G360" s="35"/>
      <c r="H360" s="34"/>
      <c r="I360" s="37"/>
    </row>
    <row r="361" ht="22.5" customHeight="1">
      <c r="A361" s="30"/>
      <c r="B361" s="31"/>
      <c r="C361" s="32"/>
      <c r="D361" s="33"/>
      <c r="E361" s="34"/>
      <c r="F361" s="34"/>
      <c r="G361" s="35"/>
      <c r="H361" s="34"/>
      <c r="I361" s="37"/>
    </row>
    <row r="362" ht="22.5" customHeight="1">
      <c r="A362" s="30"/>
      <c r="B362" s="31"/>
      <c r="C362" s="32"/>
      <c r="D362" s="33"/>
      <c r="E362" s="34"/>
      <c r="F362" s="34"/>
      <c r="G362" s="35"/>
      <c r="H362" s="34"/>
      <c r="I362" s="37"/>
    </row>
    <row r="363" ht="22.5" customHeight="1">
      <c r="A363" s="30"/>
      <c r="B363" s="31"/>
      <c r="C363" s="32"/>
      <c r="D363" s="33"/>
      <c r="E363" s="34"/>
      <c r="F363" s="34"/>
      <c r="G363" s="35"/>
      <c r="H363" s="34"/>
      <c r="I363" s="37"/>
    </row>
    <row r="364" ht="22.5" customHeight="1">
      <c r="A364" s="30"/>
      <c r="B364" s="40"/>
      <c r="C364" s="32"/>
      <c r="D364" s="33"/>
      <c r="E364" s="34"/>
      <c r="F364" s="34"/>
      <c r="G364" s="35"/>
      <c r="H364" s="34"/>
      <c r="I364" s="37"/>
    </row>
    <row r="365" ht="22.5" customHeight="1">
      <c r="A365" s="30"/>
      <c r="B365" s="31"/>
      <c r="C365" s="32"/>
      <c r="D365" s="33"/>
      <c r="E365" s="34"/>
      <c r="F365" s="34"/>
      <c r="G365" s="35"/>
      <c r="H365" s="34"/>
      <c r="I365" s="37"/>
    </row>
    <row r="366" ht="22.5" customHeight="1">
      <c r="A366" s="30"/>
      <c r="B366" s="31"/>
      <c r="C366" s="32"/>
      <c r="D366" s="33"/>
      <c r="E366" s="34"/>
      <c r="F366" s="34"/>
      <c r="G366" s="35"/>
      <c r="H366" s="34"/>
      <c r="I366" s="37"/>
    </row>
    <row r="367" ht="22.5" customHeight="1">
      <c r="A367" s="30"/>
      <c r="B367" s="31"/>
      <c r="C367" s="32"/>
      <c r="D367" s="33"/>
      <c r="E367" s="34"/>
      <c r="F367" s="34"/>
      <c r="G367" s="35"/>
      <c r="H367" s="34"/>
      <c r="I367" s="37"/>
    </row>
    <row r="368" ht="22.5" customHeight="1">
      <c r="A368" s="30"/>
      <c r="B368" s="31"/>
      <c r="C368" s="32"/>
      <c r="D368" s="33"/>
      <c r="E368" s="34"/>
      <c r="F368" s="34"/>
      <c r="G368" s="35"/>
      <c r="H368" s="34"/>
      <c r="I368" s="38"/>
    </row>
    <row r="369" ht="22.5" customHeight="1">
      <c r="A369" s="30"/>
      <c r="B369" s="39"/>
      <c r="C369" s="32"/>
      <c r="D369" s="33"/>
      <c r="E369" s="34"/>
      <c r="F369" s="34"/>
      <c r="G369" s="35"/>
      <c r="H369" s="34"/>
      <c r="I369" s="37"/>
    </row>
    <row r="370" ht="22.5" customHeight="1">
      <c r="A370" s="30"/>
      <c r="B370" s="31"/>
      <c r="C370" s="32"/>
      <c r="D370" s="33"/>
      <c r="E370" s="34"/>
      <c r="F370" s="34"/>
      <c r="G370" s="35"/>
      <c r="H370" s="34"/>
      <c r="I370" s="37"/>
    </row>
    <row r="371" ht="22.5" customHeight="1">
      <c r="A371" s="30"/>
      <c r="B371" s="31"/>
      <c r="C371" s="32"/>
      <c r="D371" s="33"/>
      <c r="E371" s="34"/>
      <c r="F371" s="34"/>
      <c r="G371" s="35"/>
      <c r="H371" s="34"/>
      <c r="I371" s="37"/>
    </row>
    <row r="372" ht="22.5" customHeight="1">
      <c r="A372" s="30"/>
      <c r="B372" s="31"/>
      <c r="C372" s="32"/>
      <c r="D372" s="33"/>
      <c r="E372" s="34"/>
      <c r="F372" s="34"/>
      <c r="G372" s="35"/>
      <c r="H372" s="34"/>
      <c r="I372" s="37"/>
    </row>
    <row r="373" ht="22.5" customHeight="1">
      <c r="A373" s="30"/>
      <c r="B373" s="39"/>
      <c r="C373" s="32"/>
      <c r="D373" s="33"/>
      <c r="E373" s="34"/>
      <c r="F373" s="34"/>
      <c r="G373" s="35"/>
      <c r="H373" s="34"/>
      <c r="I373" s="37"/>
    </row>
    <row r="374" ht="22.5" customHeight="1">
      <c r="A374" s="30"/>
      <c r="B374" s="31"/>
      <c r="C374" s="32"/>
      <c r="D374" s="33"/>
      <c r="E374" s="34"/>
      <c r="F374" s="34"/>
      <c r="G374" s="35"/>
      <c r="H374" s="34"/>
      <c r="I374" s="37"/>
    </row>
    <row r="375" ht="22.5" customHeight="1">
      <c r="A375" s="30"/>
      <c r="B375" s="39"/>
      <c r="C375" s="32"/>
      <c r="D375" s="33"/>
      <c r="E375" s="34"/>
      <c r="F375" s="34"/>
      <c r="G375" s="35"/>
      <c r="H375" s="34"/>
      <c r="I375" s="37"/>
    </row>
    <row r="376" ht="22.5" customHeight="1">
      <c r="A376" s="30"/>
      <c r="B376" s="31"/>
      <c r="C376" s="32"/>
      <c r="D376" s="33"/>
      <c r="E376" s="34"/>
      <c r="F376" s="34"/>
      <c r="G376" s="35"/>
      <c r="H376" s="34"/>
      <c r="I376" s="37"/>
    </row>
    <row r="377" ht="22.5" customHeight="1">
      <c r="A377" s="30"/>
      <c r="B377" s="31"/>
      <c r="C377" s="32"/>
      <c r="D377" s="33"/>
      <c r="E377" s="34"/>
      <c r="F377" s="34"/>
      <c r="G377" s="35"/>
      <c r="H377" s="34"/>
      <c r="I377" s="37"/>
    </row>
    <row r="378" ht="22.5" customHeight="1">
      <c r="A378" s="30"/>
      <c r="B378" s="31"/>
      <c r="C378" s="32"/>
      <c r="D378" s="33"/>
      <c r="E378" s="34"/>
      <c r="F378" s="34"/>
      <c r="G378" s="35"/>
      <c r="H378" s="34"/>
      <c r="I378" s="37"/>
    </row>
    <row r="379" ht="22.5" customHeight="1">
      <c r="A379" s="30"/>
      <c r="B379" s="31"/>
      <c r="C379" s="32"/>
      <c r="D379" s="33"/>
      <c r="E379" s="34"/>
      <c r="F379" s="34"/>
      <c r="G379" s="35"/>
      <c r="H379" s="34"/>
      <c r="I379" s="37"/>
    </row>
    <row r="380" ht="22.5" customHeight="1">
      <c r="A380" s="30"/>
      <c r="B380" s="31"/>
      <c r="C380" s="32"/>
      <c r="D380" s="33"/>
      <c r="E380" s="34"/>
      <c r="F380" s="34"/>
      <c r="G380" s="35"/>
      <c r="H380" s="34"/>
      <c r="I380" s="37"/>
    </row>
    <row r="381" ht="22.5" customHeight="1">
      <c r="A381" s="30"/>
      <c r="B381" s="31"/>
      <c r="C381" s="32"/>
      <c r="D381" s="33"/>
      <c r="E381" s="34"/>
      <c r="F381" s="34"/>
      <c r="G381" s="35"/>
      <c r="H381" s="34"/>
      <c r="I381" s="37"/>
    </row>
    <row r="382" ht="22.5" customHeight="1">
      <c r="A382" s="30"/>
      <c r="B382" s="31"/>
      <c r="C382" s="32"/>
      <c r="D382" s="33"/>
      <c r="E382" s="34"/>
      <c r="F382" s="34"/>
      <c r="G382" s="35"/>
      <c r="H382" s="34"/>
      <c r="I382" s="37"/>
    </row>
    <row r="383" ht="22.5" customHeight="1">
      <c r="A383" s="30"/>
      <c r="B383" s="31"/>
      <c r="C383" s="32"/>
      <c r="D383" s="33"/>
      <c r="E383" s="34"/>
      <c r="F383" s="34"/>
      <c r="G383" s="35"/>
      <c r="H383" s="34"/>
      <c r="I383" s="37"/>
    </row>
    <row r="384" ht="22.5" customHeight="1">
      <c r="A384" s="30"/>
      <c r="B384" s="31"/>
      <c r="C384" s="32"/>
      <c r="D384" s="33"/>
      <c r="E384" s="34"/>
      <c r="F384" s="34"/>
      <c r="G384" s="35"/>
      <c r="H384" s="34"/>
      <c r="I384" s="37"/>
    </row>
    <row r="385" ht="22.5" customHeight="1">
      <c r="A385" s="30"/>
      <c r="B385" s="31"/>
      <c r="C385" s="32"/>
      <c r="D385" s="33"/>
      <c r="E385" s="34"/>
      <c r="F385" s="34"/>
      <c r="G385" s="35"/>
      <c r="H385" s="34"/>
      <c r="I385" s="37"/>
    </row>
    <row r="386" ht="22.5" customHeight="1">
      <c r="A386" s="30"/>
      <c r="B386" s="40"/>
      <c r="C386" s="32"/>
      <c r="D386" s="33"/>
      <c r="E386" s="34"/>
      <c r="F386" s="34"/>
      <c r="G386" s="35"/>
      <c r="H386" s="34"/>
      <c r="I386" s="37"/>
    </row>
    <row r="387" ht="22.5" customHeight="1">
      <c r="A387" s="30"/>
      <c r="B387" s="31"/>
      <c r="C387" s="32"/>
      <c r="D387" s="33"/>
      <c r="E387" s="34"/>
      <c r="F387" s="34"/>
      <c r="G387" s="35"/>
      <c r="H387" s="34"/>
      <c r="I387" s="37"/>
    </row>
    <row r="388" ht="22.5" customHeight="1">
      <c r="A388" s="30"/>
      <c r="B388" s="31"/>
      <c r="C388" s="32"/>
      <c r="D388" s="33"/>
      <c r="E388" s="34"/>
      <c r="F388" s="34"/>
      <c r="G388" s="35"/>
      <c r="H388" s="34"/>
      <c r="I388" s="37"/>
    </row>
    <row r="389" ht="22.5" customHeight="1">
      <c r="A389" s="30"/>
      <c r="B389" s="31"/>
      <c r="C389" s="32"/>
      <c r="D389" s="33"/>
      <c r="E389" s="34"/>
      <c r="F389" s="34"/>
      <c r="G389" s="35"/>
      <c r="H389" s="34"/>
      <c r="I389" s="37"/>
    </row>
    <row r="390" ht="22.5" customHeight="1">
      <c r="A390" s="30"/>
      <c r="B390" s="31"/>
      <c r="C390" s="32"/>
      <c r="D390" s="33"/>
      <c r="E390" s="34"/>
      <c r="F390" s="34"/>
      <c r="G390" s="35"/>
      <c r="H390" s="34"/>
      <c r="I390" s="37"/>
    </row>
    <row r="391" ht="22.5" customHeight="1">
      <c r="A391" s="30"/>
      <c r="B391" s="31"/>
      <c r="C391" s="32"/>
      <c r="D391" s="33"/>
      <c r="E391" s="34"/>
      <c r="F391" s="34"/>
      <c r="G391" s="35"/>
      <c r="H391" s="34"/>
      <c r="I391" s="37"/>
    </row>
    <row r="392" ht="22.5" customHeight="1">
      <c r="A392" s="30"/>
      <c r="B392" s="31"/>
      <c r="C392" s="32"/>
      <c r="D392" s="33"/>
      <c r="E392" s="34"/>
      <c r="F392" s="34"/>
      <c r="G392" s="35"/>
      <c r="H392" s="34"/>
      <c r="I392" s="37"/>
    </row>
    <row r="393" ht="22.5" customHeight="1">
      <c r="A393" s="30"/>
      <c r="B393" s="39"/>
      <c r="C393" s="32"/>
      <c r="D393" s="33"/>
      <c r="E393" s="34"/>
      <c r="F393" s="34"/>
      <c r="G393" s="35"/>
      <c r="H393" s="34"/>
      <c r="I393" s="37"/>
    </row>
    <row r="394" ht="22.5" customHeight="1">
      <c r="A394" s="30"/>
      <c r="B394" s="39"/>
      <c r="C394" s="32"/>
      <c r="D394" s="33"/>
      <c r="E394" s="34"/>
      <c r="F394" s="34"/>
      <c r="G394" s="35"/>
      <c r="H394" s="34"/>
      <c r="I394" s="37"/>
    </row>
    <row r="395" ht="22.5" customHeight="1">
      <c r="A395" s="30"/>
      <c r="B395" s="39"/>
      <c r="C395" s="32"/>
      <c r="D395" s="33"/>
      <c r="E395" s="34"/>
      <c r="F395" s="34"/>
      <c r="G395" s="35"/>
      <c r="H395" s="34"/>
      <c r="I395" s="37"/>
    </row>
    <row r="396" ht="22.5" customHeight="1">
      <c r="A396" s="30"/>
      <c r="B396" s="40"/>
      <c r="C396" s="32"/>
      <c r="D396" s="33"/>
      <c r="E396" s="34"/>
      <c r="F396" s="34"/>
      <c r="G396" s="35"/>
      <c r="H396" s="34"/>
      <c r="I396" s="37"/>
    </row>
    <row r="397" ht="22.5" customHeight="1">
      <c r="A397" s="30"/>
      <c r="B397" s="31"/>
      <c r="C397" s="32"/>
      <c r="D397" s="33"/>
      <c r="E397" s="34"/>
      <c r="F397" s="34"/>
      <c r="G397" s="35"/>
      <c r="H397" s="34"/>
      <c r="I397" s="37"/>
    </row>
    <row r="398" ht="22.5" customHeight="1">
      <c r="A398" s="30"/>
      <c r="B398" s="31"/>
      <c r="C398" s="32"/>
      <c r="D398" s="33"/>
      <c r="E398" s="34"/>
      <c r="F398" s="34"/>
      <c r="G398" s="35"/>
      <c r="H398" s="34"/>
      <c r="I398" s="37"/>
    </row>
    <row r="399" ht="22.5" customHeight="1">
      <c r="A399" s="30"/>
      <c r="B399" s="31"/>
      <c r="C399" s="32"/>
      <c r="D399" s="33"/>
      <c r="E399" s="34"/>
      <c r="F399" s="34"/>
      <c r="G399" s="35"/>
      <c r="H399" s="34"/>
      <c r="I399" s="37"/>
    </row>
    <row r="400" ht="22.5" customHeight="1">
      <c r="A400" s="30"/>
      <c r="B400" s="31"/>
      <c r="C400" s="32"/>
      <c r="D400" s="33"/>
      <c r="E400" s="34"/>
      <c r="F400" s="34"/>
      <c r="G400" s="35"/>
      <c r="H400" s="34"/>
      <c r="I400" s="37"/>
    </row>
    <row r="401" ht="22.5" customHeight="1">
      <c r="A401" s="30"/>
      <c r="B401" s="31"/>
      <c r="C401" s="32"/>
      <c r="D401" s="33"/>
      <c r="E401" s="34"/>
      <c r="F401" s="34"/>
      <c r="G401" s="35"/>
      <c r="H401" s="34"/>
      <c r="I401" s="37"/>
    </row>
    <row r="402" ht="22.5" customHeight="1">
      <c r="A402" s="30"/>
      <c r="B402" s="31"/>
      <c r="C402" s="32"/>
      <c r="D402" s="33"/>
      <c r="E402" s="34"/>
      <c r="F402" s="34"/>
      <c r="G402" s="35"/>
      <c r="H402" s="34"/>
      <c r="I402" s="37"/>
    </row>
    <row r="403" ht="22.5" customHeight="1">
      <c r="A403" s="30"/>
      <c r="B403" s="31"/>
      <c r="C403" s="32"/>
      <c r="D403" s="33"/>
      <c r="E403" s="34"/>
      <c r="F403" s="34"/>
      <c r="G403" s="35"/>
      <c r="H403" s="34"/>
      <c r="I403" s="37"/>
    </row>
    <row r="404" ht="22.5" customHeight="1">
      <c r="A404" s="30"/>
      <c r="B404" s="31"/>
      <c r="C404" s="32"/>
      <c r="D404" s="33"/>
      <c r="E404" s="34"/>
      <c r="F404" s="34"/>
      <c r="G404" s="35"/>
      <c r="H404" s="34"/>
      <c r="I404" s="37"/>
    </row>
    <row r="405" ht="22.5" customHeight="1">
      <c r="A405" s="30"/>
      <c r="B405" s="31"/>
      <c r="C405" s="32"/>
      <c r="D405" s="33"/>
      <c r="E405" s="34"/>
      <c r="F405" s="34"/>
      <c r="G405" s="35"/>
      <c r="H405" s="34"/>
      <c r="I405" s="37"/>
    </row>
    <row r="406" ht="22.5" customHeight="1">
      <c r="A406" s="30"/>
      <c r="B406" s="40"/>
      <c r="C406" s="32"/>
      <c r="D406" s="33"/>
      <c r="E406" s="34"/>
      <c r="F406" s="34"/>
      <c r="G406" s="35"/>
      <c r="H406" s="34"/>
      <c r="I406" s="37"/>
    </row>
    <row r="407" ht="22.5" customHeight="1">
      <c r="A407" s="30"/>
      <c r="B407" s="31"/>
      <c r="C407" s="32"/>
      <c r="D407" s="33"/>
      <c r="E407" s="34"/>
      <c r="F407" s="34"/>
      <c r="G407" s="35"/>
      <c r="H407" s="34"/>
      <c r="I407" s="37"/>
    </row>
    <row r="408" ht="22.5" customHeight="1">
      <c r="A408" s="30"/>
      <c r="B408" s="31"/>
      <c r="C408" s="32"/>
      <c r="D408" s="33"/>
      <c r="E408" s="34"/>
      <c r="F408" s="34"/>
      <c r="G408" s="35"/>
      <c r="H408" s="34"/>
      <c r="I408" s="37"/>
    </row>
    <row r="409" ht="22.5" customHeight="1">
      <c r="A409" s="30"/>
      <c r="B409" s="31"/>
      <c r="C409" s="32"/>
      <c r="D409" s="33"/>
      <c r="E409" s="34"/>
      <c r="F409" s="34"/>
      <c r="G409" s="35"/>
      <c r="H409" s="34"/>
      <c r="I409" s="37"/>
    </row>
    <row r="410" ht="22.5" customHeight="1">
      <c r="A410" s="30"/>
      <c r="B410" s="40"/>
      <c r="C410" s="32"/>
      <c r="D410" s="33"/>
      <c r="E410" s="34"/>
      <c r="F410" s="34"/>
      <c r="G410" s="35"/>
      <c r="H410" s="34"/>
      <c r="I410" s="37"/>
    </row>
    <row r="411" ht="22.5" customHeight="1">
      <c r="A411" s="30"/>
      <c r="B411" s="31"/>
      <c r="C411" s="32"/>
      <c r="D411" s="33"/>
      <c r="E411" s="34"/>
      <c r="F411" s="34"/>
      <c r="G411" s="35"/>
      <c r="H411" s="34"/>
      <c r="I411" s="37"/>
    </row>
    <row r="412" ht="22.5" customHeight="1">
      <c r="A412" s="30"/>
      <c r="B412" s="31"/>
      <c r="C412" s="32"/>
      <c r="D412" s="33"/>
      <c r="E412" s="34"/>
      <c r="F412" s="34"/>
      <c r="G412" s="35"/>
      <c r="H412" s="34"/>
      <c r="I412" s="37"/>
    </row>
    <row r="413" ht="22.5" customHeight="1">
      <c r="A413" s="30"/>
      <c r="B413" s="31"/>
      <c r="C413" s="32"/>
      <c r="D413" s="33"/>
      <c r="E413" s="34"/>
      <c r="F413" s="34"/>
      <c r="G413" s="35"/>
      <c r="H413" s="34"/>
      <c r="I413" s="37"/>
    </row>
    <row r="414" ht="22.5" customHeight="1">
      <c r="A414" s="30"/>
      <c r="B414" s="31"/>
      <c r="C414" s="32"/>
      <c r="D414" s="33"/>
      <c r="E414" s="34"/>
      <c r="F414" s="34"/>
      <c r="G414" s="35"/>
      <c r="H414" s="34"/>
      <c r="I414" s="37"/>
    </row>
    <row r="415" ht="22.5" customHeight="1">
      <c r="A415" s="30"/>
      <c r="B415" s="31"/>
      <c r="C415" s="32"/>
      <c r="D415" s="33"/>
      <c r="E415" s="34"/>
      <c r="F415" s="34"/>
      <c r="G415" s="35"/>
      <c r="H415" s="34"/>
      <c r="I415" s="37"/>
    </row>
    <row r="416" ht="22.5" customHeight="1">
      <c r="A416" s="30"/>
      <c r="B416" s="31"/>
      <c r="C416" s="32"/>
      <c r="D416" s="33"/>
      <c r="E416" s="34"/>
      <c r="F416" s="34"/>
      <c r="G416" s="35"/>
      <c r="H416" s="34"/>
      <c r="I416" s="37"/>
    </row>
    <row r="417" ht="22.5" customHeight="1">
      <c r="A417" s="30"/>
      <c r="B417" s="31"/>
      <c r="C417" s="32"/>
      <c r="D417" s="33"/>
      <c r="E417" s="34"/>
      <c r="F417" s="34"/>
      <c r="G417" s="35"/>
      <c r="H417" s="34"/>
      <c r="I417" s="37"/>
    </row>
    <row r="418" ht="22.5" customHeight="1">
      <c r="A418" s="30"/>
      <c r="B418" s="31"/>
      <c r="C418" s="32"/>
      <c r="D418" s="33"/>
      <c r="E418" s="34"/>
      <c r="F418" s="34"/>
      <c r="G418" s="35"/>
      <c r="H418" s="34"/>
      <c r="I418" s="37"/>
    </row>
    <row r="419" ht="22.5" customHeight="1">
      <c r="A419" s="30"/>
      <c r="B419" s="31"/>
      <c r="C419" s="32"/>
      <c r="D419" s="33"/>
      <c r="E419" s="34"/>
      <c r="F419" s="34"/>
      <c r="G419" s="35"/>
      <c r="H419" s="34"/>
      <c r="I419" s="37"/>
    </row>
    <row r="420" ht="22.5" customHeight="1">
      <c r="A420" s="30"/>
      <c r="B420" s="31"/>
      <c r="C420" s="32"/>
      <c r="D420" s="33"/>
      <c r="E420" s="34"/>
      <c r="F420" s="34"/>
      <c r="G420" s="35"/>
      <c r="H420" s="34"/>
      <c r="I420" s="37"/>
    </row>
    <row r="421" ht="22.5" customHeight="1">
      <c r="A421" s="30"/>
      <c r="B421" s="31"/>
      <c r="C421" s="32"/>
      <c r="D421" s="33"/>
      <c r="E421" s="34"/>
      <c r="F421" s="34"/>
      <c r="G421" s="35"/>
      <c r="H421" s="34"/>
      <c r="I421" s="37"/>
    </row>
    <row r="422" ht="22.5" customHeight="1">
      <c r="A422" s="30"/>
      <c r="B422" s="31"/>
      <c r="C422" s="32"/>
      <c r="D422" s="33"/>
      <c r="E422" s="34"/>
      <c r="F422" s="34"/>
      <c r="G422" s="35"/>
      <c r="H422" s="34"/>
      <c r="I422" s="37"/>
    </row>
    <row r="423" ht="22.5" customHeight="1">
      <c r="A423" s="30"/>
      <c r="B423" s="31"/>
      <c r="C423" s="32"/>
      <c r="D423" s="33"/>
      <c r="E423" s="34"/>
      <c r="F423" s="34"/>
      <c r="G423" s="35"/>
      <c r="H423" s="34"/>
      <c r="I423" s="37"/>
    </row>
    <row r="424" ht="22.5" customHeight="1">
      <c r="A424" s="30"/>
      <c r="B424" s="31"/>
      <c r="C424" s="32"/>
      <c r="D424" s="33"/>
      <c r="E424" s="34"/>
      <c r="F424" s="34"/>
      <c r="G424" s="35"/>
      <c r="H424" s="34"/>
      <c r="I424" s="37"/>
    </row>
    <row r="425" ht="22.5" customHeight="1">
      <c r="A425" s="30"/>
      <c r="B425" s="40"/>
      <c r="C425" s="32"/>
      <c r="D425" s="33"/>
      <c r="E425" s="34"/>
      <c r="F425" s="34"/>
      <c r="G425" s="35"/>
      <c r="H425" s="34"/>
      <c r="I425" s="37"/>
    </row>
    <row r="426" ht="22.5" customHeight="1">
      <c r="A426" s="30"/>
      <c r="B426" s="31"/>
      <c r="C426" s="32"/>
      <c r="D426" s="33"/>
      <c r="E426" s="34"/>
      <c r="F426" s="34"/>
      <c r="G426" s="35"/>
      <c r="H426" s="34"/>
      <c r="I426" s="37"/>
    </row>
    <row r="427" ht="22.5" customHeight="1">
      <c r="A427" s="30"/>
      <c r="B427" s="40"/>
      <c r="C427" s="32"/>
      <c r="D427" s="33"/>
      <c r="E427" s="34"/>
      <c r="F427" s="34"/>
      <c r="G427" s="35"/>
      <c r="H427" s="34"/>
      <c r="I427" s="37"/>
    </row>
    <row r="428" ht="22.5" customHeight="1">
      <c r="A428" s="30"/>
      <c r="B428" s="31"/>
      <c r="C428" s="32"/>
      <c r="D428" s="33"/>
      <c r="E428" s="34"/>
      <c r="F428" s="34"/>
      <c r="G428" s="35"/>
      <c r="H428" s="34"/>
      <c r="I428" s="37"/>
    </row>
    <row r="429" ht="22.5" customHeight="1">
      <c r="A429" s="30"/>
      <c r="B429" s="31"/>
      <c r="C429" s="32"/>
      <c r="D429" s="33"/>
      <c r="E429" s="34"/>
      <c r="F429" s="34"/>
      <c r="G429" s="35"/>
      <c r="H429" s="34"/>
      <c r="I429" s="37"/>
    </row>
    <row r="430" ht="22.5" customHeight="1">
      <c r="A430" s="30"/>
      <c r="B430" s="31"/>
      <c r="C430" s="32"/>
      <c r="D430" s="33"/>
      <c r="E430" s="34"/>
      <c r="F430" s="34"/>
      <c r="G430" s="35"/>
      <c r="H430" s="34"/>
      <c r="I430" s="37"/>
    </row>
    <row r="431" ht="22.5" customHeight="1">
      <c r="A431" s="30"/>
      <c r="B431" s="31"/>
      <c r="C431" s="32"/>
      <c r="D431" s="33"/>
      <c r="E431" s="34"/>
      <c r="F431" s="34"/>
      <c r="G431" s="35"/>
      <c r="H431" s="34"/>
      <c r="I431" s="37"/>
    </row>
    <row r="432" ht="22.5" customHeight="1">
      <c r="A432" s="30"/>
      <c r="B432" s="40"/>
      <c r="C432" s="32"/>
      <c r="D432" s="33"/>
      <c r="E432" s="34"/>
      <c r="F432" s="34"/>
      <c r="G432" s="35"/>
      <c r="H432" s="34"/>
      <c r="I432" s="37"/>
    </row>
    <row r="433" ht="22.5" customHeight="1">
      <c r="A433" s="30"/>
      <c r="B433" s="31"/>
      <c r="C433" s="32"/>
      <c r="D433" s="33"/>
      <c r="E433" s="34"/>
      <c r="F433" s="34"/>
      <c r="G433" s="35"/>
      <c r="H433" s="34"/>
      <c r="I433" s="37"/>
    </row>
    <row r="434" ht="22.5" customHeight="1">
      <c r="A434" s="30"/>
      <c r="B434" s="31"/>
      <c r="C434" s="32"/>
      <c r="D434" s="33"/>
      <c r="E434" s="34"/>
      <c r="F434" s="34"/>
      <c r="G434" s="35"/>
      <c r="H434" s="34"/>
      <c r="I434" s="37"/>
    </row>
    <row r="435" ht="22.5" customHeight="1">
      <c r="A435" s="30"/>
      <c r="B435" s="31"/>
      <c r="C435" s="32"/>
      <c r="D435" s="33"/>
      <c r="E435" s="34"/>
      <c r="F435" s="34"/>
      <c r="G435" s="35"/>
      <c r="H435" s="34"/>
      <c r="I435" s="37"/>
    </row>
    <row r="436" ht="22.5" customHeight="1">
      <c r="A436" s="30"/>
      <c r="B436" s="31"/>
      <c r="C436" s="32"/>
      <c r="D436" s="33"/>
      <c r="E436" s="34"/>
      <c r="F436" s="34"/>
      <c r="G436" s="35"/>
      <c r="H436" s="34"/>
      <c r="I436" s="37"/>
    </row>
    <row r="437" ht="22.5" customHeight="1">
      <c r="A437" s="30"/>
      <c r="B437" s="31"/>
      <c r="C437" s="32"/>
      <c r="D437" s="33"/>
      <c r="E437" s="34"/>
      <c r="F437" s="34"/>
      <c r="G437" s="35"/>
      <c r="H437" s="34"/>
      <c r="I437" s="37"/>
    </row>
    <row r="438" ht="22.5" customHeight="1">
      <c r="A438" s="30"/>
      <c r="B438" s="31"/>
      <c r="C438" s="32"/>
      <c r="D438" s="33"/>
      <c r="E438" s="34"/>
      <c r="F438" s="34"/>
      <c r="G438" s="35"/>
      <c r="H438" s="34"/>
      <c r="I438" s="37"/>
    </row>
    <row r="439" ht="22.5" customHeight="1">
      <c r="A439" s="30"/>
      <c r="B439" s="31"/>
      <c r="C439" s="32"/>
      <c r="D439" s="33"/>
      <c r="E439" s="34"/>
      <c r="F439" s="34"/>
      <c r="G439" s="35"/>
      <c r="H439" s="34"/>
      <c r="I439" s="37"/>
    </row>
    <row r="440" ht="22.5" customHeight="1">
      <c r="A440" s="30"/>
      <c r="B440" s="31"/>
      <c r="C440" s="32"/>
      <c r="D440" s="33"/>
      <c r="E440" s="34"/>
      <c r="F440" s="34"/>
      <c r="G440" s="35"/>
      <c r="H440" s="34"/>
      <c r="I440" s="37"/>
    </row>
    <row r="441" ht="22.5" customHeight="1">
      <c r="A441" s="30"/>
      <c r="B441" s="31"/>
      <c r="C441" s="32"/>
      <c r="D441" s="33"/>
      <c r="E441" s="34"/>
      <c r="F441" s="34"/>
      <c r="G441" s="35"/>
      <c r="H441" s="34"/>
      <c r="I441" s="37"/>
    </row>
    <row r="442" ht="22.5" customHeight="1">
      <c r="A442" s="30"/>
      <c r="B442" s="31"/>
      <c r="C442" s="32"/>
      <c r="D442" s="33"/>
      <c r="E442" s="34"/>
      <c r="F442" s="34"/>
      <c r="G442" s="35"/>
      <c r="H442" s="34"/>
      <c r="I442" s="37"/>
    </row>
    <row r="443" ht="22.5" customHeight="1">
      <c r="A443" s="30"/>
      <c r="B443" s="31"/>
      <c r="C443" s="32"/>
      <c r="D443" s="33"/>
      <c r="E443" s="34"/>
      <c r="F443" s="34"/>
      <c r="G443" s="35"/>
      <c r="H443" s="34"/>
      <c r="I443" s="37"/>
    </row>
    <row r="444" ht="22.5" customHeight="1">
      <c r="A444" s="30"/>
      <c r="B444" s="31"/>
      <c r="C444" s="32"/>
      <c r="D444" s="33"/>
      <c r="E444" s="34"/>
      <c r="F444" s="34"/>
      <c r="G444" s="35"/>
      <c r="H444" s="34"/>
      <c r="I444" s="37"/>
    </row>
    <row r="445" ht="22.5" customHeight="1">
      <c r="A445" s="30"/>
      <c r="B445" s="31"/>
      <c r="C445" s="32"/>
      <c r="D445" s="33"/>
      <c r="E445" s="34"/>
      <c r="F445" s="34"/>
      <c r="G445" s="35"/>
      <c r="H445" s="34"/>
      <c r="I445" s="37"/>
    </row>
    <row r="446" ht="22.5" customHeight="1">
      <c r="A446" s="30"/>
      <c r="B446" s="31"/>
      <c r="C446" s="32"/>
      <c r="D446" s="33"/>
      <c r="E446" s="34"/>
      <c r="F446" s="34"/>
      <c r="G446" s="35"/>
      <c r="H446" s="34"/>
      <c r="I446" s="37"/>
    </row>
    <row r="447" ht="22.5" customHeight="1">
      <c r="A447" s="30"/>
      <c r="B447" s="31"/>
      <c r="C447" s="32"/>
      <c r="D447" s="33"/>
      <c r="E447" s="34"/>
      <c r="F447" s="34"/>
      <c r="G447" s="35"/>
      <c r="H447" s="34"/>
      <c r="I447" s="37"/>
    </row>
    <row r="448" ht="22.5" customHeight="1">
      <c r="A448" s="30"/>
      <c r="B448" s="31"/>
      <c r="C448" s="32"/>
      <c r="D448" s="33"/>
      <c r="E448" s="34"/>
      <c r="F448" s="34"/>
      <c r="G448" s="35"/>
      <c r="H448" s="34"/>
      <c r="I448" s="37"/>
    </row>
    <row r="449" ht="22.5" customHeight="1">
      <c r="A449" s="30"/>
      <c r="B449" s="31"/>
      <c r="C449" s="32"/>
      <c r="D449" s="33"/>
      <c r="E449" s="34"/>
      <c r="F449" s="34"/>
      <c r="G449" s="35"/>
      <c r="H449" s="34"/>
      <c r="I449" s="37"/>
    </row>
    <row r="450" ht="22.5" customHeight="1">
      <c r="A450" s="30"/>
      <c r="B450" s="31"/>
      <c r="C450" s="32"/>
      <c r="D450" s="33"/>
      <c r="E450" s="34"/>
      <c r="F450" s="34"/>
      <c r="G450" s="35"/>
      <c r="H450" s="34"/>
      <c r="I450" s="37"/>
    </row>
    <row r="451" ht="22.5" customHeight="1">
      <c r="A451" s="30"/>
      <c r="B451" s="31"/>
      <c r="C451" s="32"/>
      <c r="D451" s="33"/>
      <c r="E451" s="34"/>
      <c r="F451" s="34"/>
      <c r="G451" s="35"/>
      <c r="H451" s="34"/>
      <c r="I451" s="37"/>
    </row>
    <row r="452" ht="22.5" customHeight="1">
      <c r="A452" s="30"/>
      <c r="B452" s="31"/>
      <c r="C452" s="32"/>
      <c r="D452" s="33"/>
      <c r="E452" s="34"/>
      <c r="F452" s="34"/>
      <c r="G452" s="35"/>
      <c r="H452" s="34"/>
      <c r="I452" s="37"/>
    </row>
    <row r="453" ht="22.5" customHeight="1">
      <c r="A453" s="30"/>
      <c r="B453" s="31"/>
      <c r="C453" s="32"/>
      <c r="D453" s="33"/>
      <c r="E453" s="34"/>
      <c r="F453" s="34"/>
      <c r="G453" s="35"/>
      <c r="H453" s="34"/>
      <c r="I453" s="37"/>
    </row>
    <row r="454" ht="22.5" customHeight="1">
      <c r="A454" s="30"/>
      <c r="B454" s="40"/>
      <c r="C454" s="32"/>
      <c r="D454" s="33"/>
      <c r="E454" s="34"/>
      <c r="F454" s="34"/>
      <c r="G454" s="35"/>
      <c r="H454" s="34"/>
      <c r="I454" s="37"/>
    </row>
    <row r="455" ht="22.5" customHeight="1">
      <c r="A455" s="30"/>
      <c r="B455" s="31"/>
      <c r="C455" s="32"/>
      <c r="D455" s="33"/>
      <c r="E455" s="34"/>
      <c r="F455" s="34"/>
      <c r="G455" s="35"/>
      <c r="H455" s="34"/>
      <c r="I455" s="37"/>
    </row>
    <row r="456" ht="22.5" customHeight="1">
      <c r="A456" s="30"/>
      <c r="B456" s="31"/>
      <c r="C456" s="32"/>
      <c r="D456" s="33"/>
      <c r="E456" s="34"/>
      <c r="F456" s="34"/>
      <c r="G456" s="35"/>
      <c r="H456" s="34"/>
      <c r="I456" s="37"/>
    </row>
    <row r="457" ht="22.5" customHeight="1">
      <c r="A457" s="30"/>
      <c r="B457" s="31"/>
      <c r="C457" s="32"/>
      <c r="D457" s="33"/>
      <c r="E457" s="34"/>
      <c r="F457" s="34"/>
      <c r="G457" s="35"/>
      <c r="H457" s="34"/>
      <c r="I457" s="37"/>
    </row>
    <row r="458" ht="22.5" customHeight="1">
      <c r="A458" s="30"/>
      <c r="B458" s="31"/>
      <c r="C458" s="32"/>
      <c r="D458" s="33"/>
      <c r="E458" s="34"/>
      <c r="F458" s="34"/>
      <c r="G458" s="35"/>
      <c r="H458" s="34"/>
      <c r="I458" s="38"/>
    </row>
    <row r="459" ht="22.5" customHeight="1">
      <c r="A459" s="30"/>
      <c r="B459" s="39"/>
      <c r="C459" s="32"/>
      <c r="D459" s="33"/>
      <c r="E459" s="34"/>
      <c r="F459" s="34"/>
      <c r="G459" s="35"/>
      <c r="H459" s="34"/>
      <c r="I459" s="37"/>
    </row>
    <row r="460" ht="22.5" customHeight="1">
      <c r="A460" s="30"/>
      <c r="B460" s="31"/>
      <c r="C460" s="32"/>
      <c r="D460" s="33"/>
      <c r="E460" s="34"/>
      <c r="F460" s="34"/>
      <c r="G460" s="35"/>
      <c r="H460" s="34"/>
      <c r="I460" s="37"/>
    </row>
    <row r="461" ht="22.5" customHeight="1">
      <c r="A461" s="30"/>
      <c r="B461" s="31"/>
      <c r="C461" s="32"/>
      <c r="D461" s="33"/>
      <c r="E461" s="34"/>
      <c r="F461" s="34"/>
      <c r="G461" s="35"/>
      <c r="H461" s="34"/>
      <c r="I461" s="37"/>
    </row>
    <row r="462" ht="22.5" customHeight="1">
      <c r="A462" s="30"/>
      <c r="B462" s="31"/>
      <c r="C462" s="32"/>
      <c r="D462" s="33"/>
      <c r="E462" s="34"/>
      <c r="F462" s="34"/>
      <c r="G462" s="35"/>
      <c r="H462" s="34"/>
      <c r="I462" s="37"/>
    </row>
    <row r="463" ht="22.5" customHeight="1">
      <c r="A463" s="30"/>
      <c r="B463" s="39"/>
      <c r="C463" s="32"/>
      <c r="D463" s="33"/>
      <c r="E463" s="34"/>
      <c r="F463" s="34"/>
      <c r="G463" s="35"/>
      <c r="H463" s="34"/>
      <c r="I463" s="37"/>
    </row>
    <row r="464" ht="22.5" customHeight="1">
      <c r="A464" s="30"/>
      <c r="B464" s="31"/>
      <c r="C464" s="32"/>
      <c r="D464" s="33"/>
      <c r="E464" s="34"/>
      <c r="F464" s="34"/>
      <c r="G464" s="35"/>
      <c r="H464" s="34"/>
      <c r="I464" s="37"/>
    </row>
    <row r="465" ht="22.5" customHeight="1">
      <c r="A465" s="30"/>
      <c r="B465" s="39"/>
      <c r="C465" s="32"/>
      <c r="D465" s="33"/>
      <c r="E465" s="34"/>
      <c r="F465" s="34"/>
      <c r="G465" s="35"/>
      <c r="H465" s="34"/>
      <c r="I465" s="37"/>
    </row>
    <row r="466" ht="22.5" customHeight="1">
      <c r="A466" s="30"/>
      <c r="B466" s="31"/>
      <c r="C466" s="32"/>
      <c r="D466" s="33"/>
      <c r="E466" s="34"/>
      <c r="F466" s="34"/>
      <c r="G466" s="35"/>
      <c r="H466" s="34"/>
      <c r="I466" s="37"/>
    </row>
    <row r="467" ht="22.5" customHeight="1">
      <c r="A467" s="30"/>
      <c r="B467" s="31"/>
      <c r="C467" s="32"/>
      <c r="D467" s="33"/>
      <c r="E467" s="34"/>
      <c r="F467" s="34"/>
      <c r="G467" s="35"/>
      <c r="H467" s="34"/>
      <c r="I467" s="37"/>
    </row>
    <row r="468" ht="22.5" customHeight="1">
      <c r="A468" s="30"/>
      <c r="B468" s="31"/>
      <c r="C468" s="32"/>
      <c r="D468" s="33"/>
      <c r="E468" s="34"/>
      <c r="F468" s="34"/>
      <c r="G468" s="35"/>
      <c r="H468" s="34"/>
      <c r="I468" s="37"/>
    </row>
    <row r="469" ht="22.5" customHeight="1">
      <c r="A469" s="30"/>
      <c r="B469" s="31"/>
      <c r="C469" s="32"/>
      <c r="D469" s="33"/>
      <c r="E469" s="34"/>
      <c r="F469" s="34"/>
      <c r="G469" s="35"/>
      <c r="H469" s="34"/>
      <c r="I469" s="37"/>
    </row>
    <row r="470" ht="22.5" customHeight="1">
      <c r="A470" s="30"/>
      <c r="B470" s="31"/>
      <c r="C470" s="32"/>
      <c r="D470" s="33"/>
      <c r="E470" s="34"/>
      <c r="F470" s="34"/>
      <c r="G470" s="35"/>
      <c r="H470" s="34"/>
      <c r="I470" s="37"/>
    </row>
    <row r="471" ht="22.5" customHeight="1">
      <c r="A471" s="30"/>
      <c r="B471" s="31"/>
      <c r="C471" s="32"/>
      <c r="D471" s="33"/>
      <c r="E471" s="34"/>
      <c r="F471" s="34"/>
      <c r="G471" s="35"/>
      <c r="H471" s="34"/>
      <c r="I471" s="37"/>
    </row>
    <row r="472" ht="22.5" customHeight="1">
      <c r="A472" s="30"/>
      <c r="B472" s="31"/>
      <c r="C472" s="32"/>
      <c r="D472" s="33"/>
      <c r="E472" s="34"/>
      <c r="F472" s="34"/>
      <c r="G472" s="35"/>
      <c r="H472" s="34"/>
      <c r="I472" s="37"/>
    </row>
    <row r="473" ht="22.5" customHeight="1">
      <c r="A473" s="30"/>
      <c r="B473" s="31"/>
      <c r="C473" s="32"/>
      <c r="D473" s="33"/>
      <c r="E473" s="34"/>
      <c r="F473" s="34"/>
      <c r="G473" s="35"/>
      <c r="H473" s="34"/>
      <c r="I473" s="37"/>
    </row>
    <row r="474" ht="22.5" customHeight="1">
      <c r="A474" s="30"/>
      <c r="B474" s="31"/>
      <c r="C474" s="32"/>
      <c r="D474" s="33"/>
      <c r="E474" s="34"/>
      <c r="F474" s="34"/>
      <c r="G474" s="35"/>
      <c r="H474" s="34"/>
      <c r="I474" s="37"/>
    </row>
    <row r="475" ht="22.5" customHeight="1">
      <c r="A475" s="30"/>
      <c r="B475" s="31"/>
      <c r="C475" s="32"/>
      <c r="D475" s="33"/>
      <c r="E475" s="34"/>
      <c r="F475" s="34"/>
      <c r="G475" s="35"/>
      <c r="H475" s="34"/>
      <c r="I475" s="37"/>
    </row>
    <row r="476" ht="22.5" customHeight="1">
      <c r="A476" s="30"/>
      <c r="B476" s="40"/>
      <c r="C476" s="32"/>
      <c r="D476" s="33"/>
      <c r="E476" s="34"/>
      <c r="F476" s="34"/>
      <c r="G476" s="35"/>
      <c r="H476" s="34"/>
      <c r="I476" s="37"/>
    </row>
    <row r="477" ht="22.5" customHeight="1">
      <c r="A477" s="30"/>
      <c r="B477" s="31"/>
      <c r="C477" s="32"/>
      <c r="D477" s="33"/>
      <c r="E477" s="34"/>
      <c r="F477" s="34"/>
      <c r="G477" s="35"/>
      <c r="H477" s="34"/>
      <c r="I477" s="37"/>
    </row>
    <row r="478" ht="22.5" customHeight="1">
      <c r="A478" s="30"/>
      <c r="B478" s="31"/>
      <c r="C478" s="32"/>
      <c r="D478" s="33"/>
      <c r="E478" s="34"/>
      <c r="F478" s="34"/>
      <c r="G478" s="35"/>
      <c r="H478" s="34"/>
      <c r="I478" s="37"/>
    </row>
    <row r="479" ht="22.5" customHeight="1">
      <c r="A479" s="30"/>
      <c r="B479" s="31"/>
      <c r="C479" s="32"/>
      <c r="D479" s="33"/>
      <c r="E479" s="34"/>
      <c r="F479" s="34"/>
      <c r="G479" s="35"/>
      <c r="H479" s="34"/>
      <c r="I479" s="37"/>
    </row>
    <row r="480" ht="22.5" customHeight="1">
      <c r="A480" s="30"/>
      <c r="B480" s="31"/>
      <c r="C480" s="32"/>
      <c r="D480" s="33"/>
      <c r="E480" s="34"/>
      <c r="F480" s="34"/>
      <c r="G480" s="35"/>
      <c r="H480" s="34"/>
      <c r="I480" s="37"/>
    </row>
    <row r="481" ht="22.5" customHeight="1">
      <c r="A481" s="30"/>
      <c r="B481" s="31"/>
      <c r="C481" s="32"/>
      <c r="D481" s="33"/>
      <c r="E481" s="34"/>
      <c r="F481" s="34"/>
      <c r="G481" s="35"/>
      <c r="H481" s="34"/>
      <c r="I481" s="37"/>
    </row>
    <row r="482" ht="22.5" customHeight="1">
      <c r="A482" s="30"/>
      <c r="B482" s="31"/>
      <c r="C482" s="32"/>
      <c r="D482" s="33"/>
      <c r="E482" s="34"/>
      <c r="F482" s="34"/>
      <c r="G482" s="35"/>
      <c r="H482" s="34"/>
      <c r="I482" s="37"/>
    </row>
    <row r="483" ht="22.5" customHeight="1">
      <c r="A483" s="30"/>
      <c r="B483" s="39"/>
      <c r="C483" s="32"/>
      <c r="D483" s="33"/>
      <c r="E483" s="34"/>
      <c r="F483" s="34"/>
      <c r="G483" s="35"/>
      <c r="H483" s="34"/>
      <c r="I483" s="37"/>
    </row>
    <row r="484" ht="22.5" customHeight="1">
      <c r="A484" s="30"/>
      <c r="B484" s="39"/>
      <c r="C484" s="32"/>
      <c r="D484" s="33"/>
      <c r="E484" s="34"/>
      <c r="F484" s="34"/>
      <c r="G484" s="35"/>
      <c r="H484" s="34"/>
      <c r="I484" s="37"/>
    </row>
    <row r="485" ht="22.5" customHeight="1">
      <c r="A485" s="30"/>
      <c r="B485" s="39"/>
      <c r="C485" s="32"/>
      <c r="D485" s="33"/>
      <c r="E485" s="34"/>
      <c r="F485" s="34"/>
      <c r="G485" s="35"/>
      <c r="H485" s="34"/>
      <c r="I485" s="37"/>
    </row>
    <row r="486" ht="22.5" customHeight="1">
      <c r="A486" s="30"/>
      <c r="B486" s="40"/>
      <c r="C486" s="32"/>
      <c r="D486" s="33"/>
      <c r="E486" s="34"/>
      <c r="F486" s="34"/>
      <c r="G486" s="35"/>
      <c r="H486" s="34"/>
      <c r="I486" s="37"/>
    </row>
    <row r="487" ht="22.5" customHeight="1">
      <c r="A487" s="30"/>
      <c r="B487" s="31"/>
      <c r="C487" s="32"/>
      <c r="D487" s="33"/>
      <c r="E487" s="34"/>
      <c r="F487" s="34"/>
      <c r="G487" s="35"/>
      <c r="H487" s="34"/>
      <c r="I487" s="37"/>
    </row>
    <row r="488" ht="22.5" customHeight="1">
      <c r="A488" s="30"/>
      <c r="B488" s="31"/>
      <c r="C488" s="32"/>
      <c r="D488" s="33"/>
      <c r="E488" s="34"/>
      <c r="F488" s="34"/>
      <c r="G488" s="35"/>
      <c r="H488" s="34"/>
      <c r="I488" s="37"/>
    </row>
    <row r="489" ht="22.5" customHeight="1">
      <c r="A489" s="30"/>
      <c r="B489" s="31"/>
      <c r="C489" s="32"/>
      <c r="D489" s="33"/>
      <c r="E489" s="34"/>
      <c r="F489" s="34"/>
      <c r="G489" s="35"/>
      <c r="H489" s="34"/>
      <c r="I489" s="37"/>
    </row>
    <row r="490" ht="22.5" customHeight="1">
      <c r="A490" s="30"/>
      <c r="B490" s="31"/>
      <c r="C490" s="32"/>
      <c r="D490" s="33"/>
      <c r="E490" s="34"/>
      <c r="F490" s="34"/>
      <c r="G490" s="35"/>
      <c r="H490" s="34"/>
      <c r="I490" s="37"/>
    </row>
    <row r="491" ht="22.5" customHeight="1">
      <c r="A491" s="30"/>
      <c r="B491" s="31"/>
      <c r="C491" s="32"/>
      <c r="D491" s="33"/>
      <c r="E491" s="34"/>
      <c r="F491" s="34"/>
      <c r="G491" s="35"/>
      <c r="H491" s="34"/>
      <c r="I491" s="37"/>
    </row>
    <row r="492" ht="22.5" customHeight="1">
      <c r="A492" s="30"/>
      <c r="B492" s="31"/>
      <c r="C492" s="32"/>
      <c r="D492" s="33"/>
      <c r="E492" s="34"/>
      <c r="F492" s="34"/>
      <c r="G492" s="35"/>
      <c r="H492" s="34"/>
      <c r="I492" s="37"/>
    </row>
    <row r="493" ht="22.5" customHeight="1">
      <c r="A493" s="30"/>
      <c r="B493" s="31"/>
      <c r="C493" s="32"/>
      <c r="D493" s="33"/>
      <c r="E493" s="34"/>
      <c r="F493" s="34"/>
      <c r="G493" s="35"/>
      <c r="H493" s="34"/>
      <c r="I493" s="37"/>
    </row>
    <row r="494" ht="22.5" customHeight="1">
      <c r="A494" s="30"/>
      <c r="B494" s="31"/>
      <c r="C494" s="32"/>
      <c r="D494" s="33"/>
      <c r="E494" s="34"/>
      <c r="F494" s="34"/>
      <c r="G494" s="35"/>
      <c r="H494" s="34"/>
      <c r="I494" s="37"/>
    </row>
    <row r="495" ht="22.5" customHeight="1">
      <c r="A495" s="30"/>
      <c r="B495" s="31"/>
      <c r="C495" s="32"/>
      <c r="D495" s="33"/>
      <c r="E495" s="34"/>
      <c r="F495" s="34"/>
      <c r="G495" s="35"/>
      <c r="H495" s="34"/>
      <c r="I495" s="37"/>
    </row>
    <row r="496" ht="22.5" customHeight="1">
      <c r="A496" s="30"/>
      <c r="B496" s="40"/>
      <c r="C496" s="32"/>
      <c r="D496" s="33"/>
      <c r="E496" s="34"/>
      <c r="F496" s="34"/>
      <c r="G496" s="35"/>
      <c r="H496" s="34"/>
      <c r="I496" s="37"/>
    </row>
    <row r="497" ht="22.5" customHeight="1">
      <c r="A497" s="30"/>
      <c r="B497" s="31"/>
      <c r="C497" s="32"/>
      <c r="D497" s="33"/>
      <c r="E497" s="34"/>
      <c r="F497" s="34"/>
      <c r="G497" s="35"/>
      <c r="H497" s="34"/>
      <c r="I497" s="37"/>
    </row>
    <row r="498" ht="22.5" customHeight="1">
      <c r="A498" s="30"/>
      <c r="B498" s="31"/>
      <c r="C498" s="32"/>
      <c r="D498" s="33"/>
      <c r="E498" s="34"/>
      <c r="F498" s="34"/>
      <c r="G498" s="35"/>
      <c r="H498" s="34"/>
      <c r="I498" s="37"/>
    </row>
    <row r="499" ht="22.5" customHeight="1">
      <c r="A499" s="30"/>
      <c r="B499" s="31"/>
      <c r="C499" s="32"/>
      <c r="D499" s="33"/>
      <c r="E499" s="34"/>
      <c r="F499" s="34"/>
      <c r="G499" s="35"/>
      <c r="H499" s="34"/>
      <c r="I499" s="37"/>
    </row>
    <row r="500" ht="22.5" customHeight="1">
      <c r="A500" s="30"/>
      <c r="B500" s="40"/>
      <c r="C500" s="32"/>
      <c r="D500" s="33"/>
      <c r="E500" s="34"/>
      <c r="F500" s="34"/>
      <c r="G500" s="35"/>
      <c r="H500" s="34"/>
      <c r="I500" s="37"/>
    </row>
    <row r="501" ht="22.5" customHeight="1">
      <c r="A501" s="30"/>
      <c r="B501" s="31"/>
      <c r="C501" s="32"/>
      <c r="D501" s="33"/>
      <c r="E501" s="34"/>
      <c r="F501" s="34"/>
      <c r="G501" s="35"/>
      <c r="H501" s="34"/>
      <c r="I501" s="37"/>
    </row>
    <row r="502" ht="22.5" customHeight="1">
      <c r="A502" s="30"/>
      <c r="B502" s="31"/>
      <c r="C502" s="32"/>
      <c r="D502" s="33"/>
      <c r="E502" s="34"/>
      <c r="F502" s="34"/>
      <c r="G502" s="35"/>
      <c r="H502" s="34"/>
      <c r="I502" s="37"/>
    </row>
    <row r="503" ht="22.5" customHeight="1">
      <c r="A503" s="30"/>
      <c r="B503" s="31"/>
      <c r="C503" s="32"/>
      <c r="D503" s="33"/>
      <c r="E503" s="34"/>
      <c r="F503" s="34"/>
      <c r="G503" s="35"/>
      <c r="H503" s="34"/>
      <c r="I503" s="37"/>
    </row>
    <row r="504" ht="22.5" customHeight="1">
      <c r="A504" s="30"/>
      <c r="B504" s="31"/>
      <c r="C504" s="32"/>
      <c r="D504" s="33"/>
      <c r="E504" s="34"/>
      <c r="F504" s="34"/>
      <c r="G504" s="35"/>
      <c r="H504" s="34"/>
      <c r="I504" s="37"/>
    </row>
    <row r="505" ht="22.5" customHeight="1">
      <c r="A505" s="30"/>
      <c r="B505" s="31"/>
      <c r="C505" s="32"/>
      <c r="D505" s="33"/>
      <c r="E505" s="34"/>
      <c r="F505" s="34"/>
      <c r="G505" s="35"/>
      <c r="H505" s="34"/>
      <c r="I505" s="37"/>
    </row>
    <row r="506" ht="22.5" customHeight="1">
      <c r="A506" s="30"/>
      <c r="B506" s="31"/>
      <c r="C506" s="32"/>
      <c r="D506" s="33"/>
      <c r="E506" s="34"/>
      <c r="F506" s="34"/>
      <c r="G506" s="35"/>
      <c r="H506" s="34"/>
      <c r="I506" s="37"/>
    </row>
    <row r="507" ht="22.5" customHeight="1">
      <c r="A507" s="30"/>
      <c r="B507" s="31"/>
      <c r="C507" s="32"/>
      <c r="D507" s="33"/>
      <c r="E507" s="34"/>
      <c r="F507" s="34"/>
      <c r="G507" s="35"/>
      <c r="H507" s="34"/>
      <c r="I507" s="37"/>
    </row>
    <row r="508" ht="22.5" customHeight="1">
      <c r="A508" s="30"/>
      <c r="B508" s="31"/>
      <c r="C508" s="32"/>
      <c r="D508" s="33"/>
      <c r="E508" s="34"/>
      <c r="F508" s="34"/>
      <c r="G508" s="35"/>
      <c r="H508" s="34"/>
      <c r="I508" s="37"/>
    </row>
    <row r="509" ht="22.5" customHeight="1">
      <c r="A509" s="30"/>
      <c r="B509" s="31"/>
      <c r="C509" s="32"/>
      <c r="D509" s="33"/>
      <c r="E509" s="34"/>
      <c r="F509" s="34"/>
      <c r="G509" s="35"/>
      <c r="H509" s="34"/>
      <c r="I509" s="37"/>
    </row>
    <row r="510" ht="22.5" customHeight="1">
      <c r="A510" s="30"/>
      <c r="B510" s="31"/>
      <c r="C510" s="32"/>
      <c r="D510" s="33"/>
      <c r="E510" s="34"/>
      <c r="F510" s="34"/>
      <c r="G510" s="35"/>
      <c r="H510" s="34"/>
      <c r="I510" s="37"/>
    </row>
    <row r="511" ht="22.5" customHeight="1">
      <c r="A511" s="30"/>
      <c r="B511" s="31"/>
      <c r="C511" s="32"/>
      <c r="D511" s="33"/>
      <c r="E511" s="34"/>
      <c r="F511" s="34"/>
      <c r="G511" s="35"/>
      <c r="H511" s="34"/>
      <c r="I511" s="37"/>
    </row>
    <row r="512" ht="22.5" customHeight="1">
      <c r="A512" s="30"/>
      <c r="B512" s="31"/>
      <c r="C512" s="32"/>
      <c r="D512" s="33"/>
      <c r="E512" s="34"/>
      <c r="F512" s="34"/>
      <c r="G512" s="35"/>
      <c r="H512" s="34"/>
      <c r="I512" s="37"/>
    </row>
    <row r="513" ht="22.5" customHeight="1">
      <c r="A513" s="30"/>
      <c r="B513" s="31"/>
      <c r="C513" s="32"/>
      <c r="D513" s="33"/>
      <c r="E513" s="34"/>
      <c r="F513" s="34"/>
      <c r="G513" s="35"/>
      <c r="H513" s="34"/>
      <c r="I513" s="37"/>
    </row>
    <row r="514" ht="22.5" customHeight="1">
      <c r="A514" s="30"/>
      <c r="B514" s="31"/>
      <c r="C514" s="32"/>
      <c r="D514" s="33"/>
      <c r="E514" s="34"/>
      <c r="F514" s="34"/>
      <c r="G514" s="35"/>
      <c r="H514" s="34"/>
      <c r="I514" s="37"/>
    </row>
    <row r="515" ht="22.5" customHeight="1">
      <c r="A515" s="30"/>
      <c r="B515" s="40"/>
      <c r="C515" s="32"/>
      <c r="D515" s="33"/>
      <c r="E515" s="34"/>
      <c r="F515" s="34"/>
      <c r="G515" s="35"/>
      <c r="H515" s="34"/>
      <c r="I515" s="37"/>
    </row>
    <row r="516" ht="22.5" customHeight="1">
      <c r="A516" s="30"/>
      <c r="B516" s="31"/>
      <c r="C516" s="32"/>
      <c r="D516" s="33"/>
      <c r="E516" s="34"/>
      <c r="F516" s="34"/>
      <c r="G516" s="35"/>
      <c r="H516" s="34"/>
      <c r="I516" s="37"/>
    </row>
    <row r="517" ht="22.5" customHeight="1">
      <c r="A517" s="30"/>
      <c r="B517" s="40"/>
      <c r="C517" s="32"/>
      <c r="D517" s="33"/>
      <c r="E517" s="34"/>
      <c r="F517" s="34"/>
      <c r="G517" s="35"/>
      <c r="H517" s="34"/>
      <c r="I517" s="37"/>
    </row>
    <row r="518" ht="22.5" customHeight="1">
      <c r="A518" s="30"/>
      <c r="B518" s="31"/>
      <c r="C518" s="32"/>
      <c r="D518" s="33"/>
      <c r="E518" s="34"/>
      <c r="F518" s="34"/>
      <c r="G518" s="35"/>
      <c r="H518" s="34"/>
      <c r="I518" s="37"/>
    </row>
    <row r="519" ht="22.5" customHeight="1">
      <c r="A519" s="30"/>
      <c r="B519" s="31"/>
      <c r="C519" s="32"/>
      <c r="D519" s="33"/>
      <c r="E519" s="34"/>
      <c r="F519" s="34"/>
      <c r="G519" s="35"/>
      <c r="H519" s="34"/>
      <c r="I519" s="37"/>
    </row>
    <row r="520" ht="22.5" customHeight="1">
      <c r="A520" s="30"/>
      <c r="B520" s="31"/>
      <c r="C520" s="32"/>
      <c r="D520" s="33"/>
      <c r="E520" s="34"/>
      <c r="F520" s="34"/>
      <c r="G520" s="35"/>
      <c r="H520" s="34"/>
      <c r="I520" s="37"/>
    </row>
    <row r="521" ht="22.5" customHeight="1">
      <c r="A521" s="30"/>
      <c r="B521" s="31"/>
      <c r="C521" s="32"/>
      <c r="D521" s="33"/>
      <c r="E521" s="34"/>
      <c r="F521" s="34"/>
      <c r="G521" s="35"/>
      <c r="H521" s="34"/>
      <c r="I521" s="37"/>
    </row>
    <row r="522" ht="22.5" customHeight="1">
      <c r="A522" s="30"/>
      <c r="B522" s="40"/>
      <c r="C522" s="32"/>
      <c r="D522" s="33"/>
      <c r="E522" s="34"/>
      <c r="F522" s="34"/>
      <c r="G522" s="35"/>
      <c r="H522" s="34"/>
      <c r="I522" s="37"/>
    </row>
    <row r="523" ht="22.5" customHeight="1">
      <c r="A523" s="30"/>
      <c r="B523" s="31"/>
      <c r="C523" s="32"/>
      <c r="D523" s="33"/>
      <c r="E523" s="34"/>
      <c r="F523" s="34"/>
      <c r="G523" s="35"/>
      <c r="H523" s="34"/>
      <c r="I523" s="37"/>
    </row>
    <row r="524" ht="22.5" customHeight="1">
      <c r="A524" s="30"/>
      <c r="B524" s="31"/>
      <c r="C524" s="32"/>
      <c r="D524" s="33"/>
      <c r="E524" s="34"/>
      <c r="F524" s="34"/>
      <c r="G524" s="35"/>
      <c r="H524" s="34"/>
      <c r="I524" s="37"/>
    </row>
    <row r="525" ht="22.5" customHeight="1">
      <c r="A525" s="30"/>
      <c r="B525" s="31"/>
      <c r="C525" s="32"/>
      <c r="D525" s="33"/>
      <c r="E525" s="34"/>
      <c r="F525" s="34"/>
      <c r="G525" s="35"/>
      <c r="H525" s="34"/>
      <c r="I525" s="37"/>
    </row>
    <row r="526" ht="22.5" customHeight="1">
      <c r="A526" s="30"/>
      <c r="B526" s="31"/>
      <c r="C526" s="32"/>
      <c r="D526" s="33"/>
      <c r="E526" s="34"/>
      <c r="F526" s="34"/>
      <c r="G526" s="35"/>
      <c r="H526" s="34"/>
      <c r="I526" s="37"/>
    </row>
    <row r="527" ht="22.5" customHeight="1">
      <c r="A527" s="30"/>
      <c r="B527" s="31"/>
      <c r="C527" s="32"/>
      <c r="D527" s="33"/>
      <c r="E527" s="34"/>
      <c r="F527" s="34"/>
      <c r="G527" s="35"/>
      <c r="H527" s="34"/>
      <c r="I527" s="37"/>
    </row>
    <row r="528" ht="22.5" customHeight="1">
      <c r="A528" s="30"/>
      <c r="B528" s="31"/>
      <c r="C528" s="32"/>
      <c r="D528" s="33"/>
      <c r="E528" s="34"/>
      <c r="F528" s="34"/>
      <c r="G528" s="35"/>
      <c r="H528" s="34"/>
      <c r="I528" s="37"/>
    </row>
    <row r="529" ht="22.5" customHeight="1">
      <c r="A529" s="30"/>
      <c r="B529" s="31"/>
      <c r="C529" s="32"/>
      <c r="D529" s="33"/>
      <c r="E529" s="34"/>
      <c r="F529" s="34"/>
      <c r="G529" s="35"/>
      <c r="H529" s="34"/>
      <c r="I529" s="37"/>
    </row>
    <row r="530" ht="22.5" customHeight="1">
      <c r="A530" s="30"/>
      <c r="B530" s="31"/>
      <c r="C530" s="32"/>
      <c r="D530" s="33"/>
      <c r="E530" s="34"/>
      <c r="F530" s="34"/>
      <c r="G530" s="35"/>
      <c r="H530" s="34"/>
      <c r="I530" s="37"/>
    </row>
    <row r="531" ht="22.5" customHeight="1">
      <c r="A531" s="30"/>
      <c r="B531" s="31"/>
      <c r="C531" s="32"/>
      <c r="D531" s="33"/>
      <c r="E531" s="34"/>
      <c r="F531" s="34"/>
      <c r="G531" s="35"/>
      <c r="H531" s="34"/>
      <c r="I531" s="37"/>
    </row>
    <row r="532" ht="22.5" customHeight="1">
      <c r="A532" s="30"/>
      <c r="B532" s="31"/>
      <c r="C532" s="32"/>
      <c r="D532" s="33"/>
      <c r="E532" s="34"/>
      <c r="F532" s="34"/>
      <c r="G532" s="35"/>
      <c r="H532" s="34"/>
      <c r="I532" s="37"/>
    </row>
    <row r="533" ht="22.5" customHeight="1">
      <c r="A533" s="30"/>
      <c r="B533" s="31"/>
      <c r="C533" s="32"/>
      <c r="D533" s="33"/>
      <c r="E533" s="34"/>
      <c r="F533" s="34"/>
      <c r="G533" s="35"/>
      <c r="H533" s="34"/>
      <c r="I533" s="37"/>
    </row>
    <row r="534" ht="22.5" customHeight="1">
      <c r="A534" s="30"/>
      <c r="B534" s="31"/>
      <c r="C534" s="32"/>
      <c r="D534" s="33"/>
      <c r="E534" s="34"/>
      <c r="F534" s="34"/>
      <c r="G534" s="35"/>
      <c r="H534" s="34"/>
      <c r="I534" s="37"/>
    </row>
    <row r="535" ht="22.5" customHeight="1">
      <c r="A535" s="30"/>
      <c r="B535" s="31"/>
      <c r="C535" s="32"/>
      <c r="D535" s="33"/>
      <c r="E535" s="34"/>
      <c r="F535" s="34"/>
      <c r="G535" s="35"/>
      <c r="H535" s="34"/>
      <c r="I535" s="37"/>
    </row>
    <row r="536" ht="22.5" customHeight="1">
      <c r="A536" s="30"/>
      <c r="B536" s="31"/>
      <c r="C536" s="32"/>
      <c r="D536" s="33"/>
      <c r="E536" s="34"/>
      <c r="F536" s="34"/>
      <c r="G536" s="35"/>
      <c r="H536" s="34"/>
      <c r="I536" s="37"/>
    </row>
    <row r="537" ht="22.5" customHeight="1">
      <c r="A537" s="30"/>
      <c r="B537" s="31"/>
      <c r="C537" s="32"/>
      <c r="D537" s="33"/>
      <c r="E537" s="34"/>
      <c r="F537" s="34"/>
      <c r="G537" s="35"/>
      <c r="H537" s="34"/>
      <c r="I537" s="37"/>
    </row>
    <row r="538" ht="22.5" customHeight="1">
      <c r="A538" s="30"/>
      <c r="B538" s="31"/>
      <c r="C538" s="32"/>
      <c r="D538" s="33"/>
      <c r="E538" s="34"/>
      <c r="F538" s="34"/>
      <c r="G538" s="35"/>
      <c r="H538" s="34"/>
      <c r="I538" s="37"/>
    </row>
    <row r="539" ht="22.5" customHeight="1">
      <c r="A539" s="30"/>
      <c r="B539" s="31"/>
      <c r="C539" s="32"/>
      <c r="D539" s="33"/>
      <c r="E539" s="34"/>
      <c r="F539" s="34"/>
      <c r="G539" s="35"/>
      <c r="H539" s="34"/>
      <c r="I539" s="37"/>
    </row>
    <row r="540" ht="22.5" customHeight="1">
      <c r="A540" s="30"/>
      <c r="B540" s="31"/>
      <c r="C540" s="32"/>
      <c r="D540" s="33"/>
      <c r="E540" s="34"/>
      <c r="F540" s="34"/>
      <c r="G540" s="35"/>
      <c r="H540" s="34"/>
      <c r="I540" s="37"/>
    </row>
    <row r="541" ht="22.5" customHeight="1">
      <c r="A541" s="30"/>
      <c r="B541" s="31"/>
      <c r="C541" s="32"/>
      <c r="D541" s="33"/>
      <c r="E541" s="34"/>
      <c r="F541" s="34"/>
      <c r="G541" s="35"/>
      <c r="H541" s="34"/>
      <c r="I541" s="37"/>
    </row>
    <row r="542" ht="22.5" customHeight="1">
      <c r="A542" s="30"/>
      <c r="B542" s="31"/>
      <c r="C542" s="32"/>
      <c r="D542" s="33"/>
      <c r="E542" s="34"/>
      <c r="F542" s="34"/>
      <c r="G542" s="35"/>
      <c r="H542" s="34"/>
      <c r="I542" s="37"/>
    </row>
    <row r="543" ht="22.5" customHeight="1">
      <c r="A543" s="30"/>
      <c r="B543" s="31"/>
      <c r="C543" s="32"/>
      <c r="D543" s="33"/>
      <c r="E543" s="34"/>
      <c r="F543" s="34"/>
      <c r="G543" s="35"/>
      <c r="H543" s="34"/>
      <c r="I543" s="37"/>
    </row>
    <row r="544" ht="22.5" customHeight="1">
      <c r="A544" s="30"/>
      <c r="B544" s="40"/>
      <c r="C544" s="32"/>
      <c r="D544" s="33"/>
      <c r="E544" s="34"/>
      <c r="F544" s="34"/>
      <c r="G544" s="35"/>
      <c r="H544" s="34"/>
      <c r="I544" s="37"/>
    </row>
    <row r="545" ht="22.5" customHeight="1">
      <c r="A545" s="30"/>
      <c r="B545" s="31"/>
      <c r="C545" s="32"/>
      <c r="D545" s="33"/>
      <c r="E545" s="34"/>
      <c r="F545" s="34"/>
      <c r="G545" s="35"/>
      <c r="H545" s="34"/>
      <c r="I545" s="37"/>
    </row>
    <row r="546" ht="22.5" customHeight="1">
      <c r="A546" s="30"/>
      <c r="B546" s="31"/>
      <c r="C546" s="32"/>
      <c r="D546" s="33"/>
      <c r="E546" s="34"/>
      <c r="F546" s="34"/>
      <c r="G546" s="35"/>
      <c r="H546" s="34"/>
      <c r="I546" s="37"/>
    </row>
    <row r="547" ht="22.5" customHeight="1">
      <c r="A547" s="30"/>
      <c r="B547" s="31"/>
      <c r="C547" s="32"/>
      <c r="D547" s="33"/>
      <c r="E547" s="34"/>
      <c r="F547" s="34"/>
      <c r="G547" s="35"/>
      <c r="H547" s="34"/>
      <c r="I547" s="37"/>
    </row>
    <row r="548" ht="22.5" customHeight="1">
      <c r="A548" s="30"/>
      <c r="B548" s="31"/>
      <c r="C548" s="32"/>
      <c r="D548" s="33"/>
      <c r="E548" s="34"/>
      <c r="F548" s="34"/>
      <c r="G548" s="35"/>
      <c r="H548" s="34"/>
      <c r="I548" s="38"/>
    </row>
    <row r="549" ht="22.5" customHeight="1">
      <c r="A549" s="30"/>
      <c r="B549" s="39"/>
      <c r="C549" s="32"/>
      <c r="D549" s="33"/>
      <c r="E549" s="34"/>
      <c r="F549" s="34"/>
      <c r="G549" s="35"/>
      <c r="H549" s="34"/>
      <c r="I549" s="37"/>
    </row>
    <row r="550" ht="22.5" customHeight="1">
      <c r="A550" s="30"/>
      <c r="B550" s="31"/>
      <c r="C550" s="32"/>
      <c r="D550" s="33"/>
      <c r="E550" s="34"/>
      <c r="F550" s="34"/>
      <c r="G550" s="35"/>
      <c r="H550" s="34"/>
      <c r="I550" s="37"/>
    </row>
    <row r="551" ht="22.5" customHeight="1">
      <c r="A551" s="30"/>
      <c r="B551" s="31"/>
      <c r="C551" s="32"/>
      <c r="D551" s="33"/>
      <c r="E551" s="34"/>
      <c r="F551" s="34"/>
      <c r="G551" s="35"/>
      <c r="H551" s="34"/>
      <c r="I551" s="37"/>
    </row>
    <row r="552" ht="22.5" customHeight="1">
      <c r="A552" s="30"/>
      <c r="B552" s="31"/>
      <c r="C552" s="32"/>
      <c r="D552" s="33"/>
      <c r="E552" s="34"/>
      <c r="F552" s="34"/>
      <c r="G552" s="35"/>
      <c r="H552" s="34"/>
      <c r="I552" s="37"/>
    </row>
    <row r="553" ht="22.5" customHeight="1">
      <c r="A553" s="30"/>
      <c r="B553" s="39"/>
      <c r="C553" s="32"/>
      <c r="D553" s="33"/>
      <c r="E553" s="34"/>
      <c r="F553" s="34"/>
      <c r="G553" s="35"/>
      <c r="H553" s="34"/>
      <c r="I553" s="37"/>
    </row>
    <row r="554" ht="22.5" customHeight="1">
      <c r="A554" s="30"/>
      <c r="B554" s="31"/>
      <c r="C554" s="32"/>
      <c r="D554" s="33"/>
      <c r="E554" s="34"/>
      <c r="F554" s="34"/>
      <c r="G554" s="35"/>
      <c r="H554" s="34"/>
      <c r="I554" s="37"/>
    </row>
    <row r="555" ht="22.5" customHeight="1">
      <c r="A555" s="30"/>
      <c r="B555" s="39"/>
      <c r="C555" s="32"/>
      <c r="D555" s="33"/>
      <c r="E555" s="34"/>
      <c r="F555" s="34"/>
      <c r="G555" s="35"/>
      <c r="H555" s="34"/>
      <c r="I555" s="37"/>
    </row>
    <row r="556" ht="22.5" customHeight="1">
      <c r="A556" s="30"/>
      <c r="B556" s="31"/>
      <c r="C556" s="32"/>
      <c r="D556" s="33"/>
      <c r="E556" s="34"/>
      <c r="F556" s="34"/>
      <c r="G556" s="35"/>
      <c r="H556" s="34"/>
      <c r="I556" s="37"/>
    </row>
    <row r="557" ht="22.5" customHeight="1">
      <c r="A557" s="30"/>
      <c r="B557" s="31"/>
      <c r="C557" s="32"/>
      <c r="D557" s="33"/>
      <c r="E557" s="34"/>
      <c r="F557" s="34"/>
      <c r="G557" s="35"/>
      <c r="H557" s="34"/>
      <c r="I557" s="37"/>
    </row>
    <row r="558" ht="22.5" customHeight="1">
      <c r="A558" s="30"/>
      <c r="B558" s="31"/>
      <c r="C558" s="32"/>
      <c r="D558" s="33"/>
      <c r="E558" s="34"/>
      <c r="F558" s="34"/>
      <c r="G558" s="35"/>
      <c r="H558" s="34"/>
      <c r="I558" s="37"/>
    </row>
    <row r="559" ht="22.5" customHeight="1">
      <c r="A559" s="30"/>
      <c r="B559" s="31"/>
      <c r="C559" s="32"/>
      <c r="D559" s="33"/>
      <c r="E559" s="34"/>
      <c r="F559" s="34"/>
      <c r="G559" s="35"/>
      <c r="H559" s="34"/>
      <c r="I559" s="37"/>
    </row>
    <row r="560" ht="22.5" customHeight="1">
      <c r="A560" s="30"/>
      <c r="B560" s="31"/>
      <c r="C560" s="32"/>
      <c r="D560" s="33"/>
      <c r="E560" s="34"/>
      <c r="F560" s="34"/>
      <c r="G560" s="35"/>
      <c r="H560" s="34"/>
      <c r="I560" s="37"/>
    </row>
    <row r="561" ht="22.5" customHeight="1">
      <c r="A561" s="30"/>
      <c r="B561" s="31"/>
      <c r="C561" s="32"/>
      <c r="D561" s="33"/>
      <c r="E561" s="34"/>
      <c r="F561" s="34"/>
      <c r="G561" s="35"/>
      <c r="H561" s="34"/>
      <c r="I561" s="37"/>
    </row>
    <row r="562" ht="22.5" customHeight="1">
      <c r="A562" s="30"/>
      <c r="B562" s="31"/>
      <c r="C562" s="32"/>
      <c r="D562" s="33"/>
      <c r="E562" s="34"/>
      <c r="F562" s="34"/>
      <c r="G562" s="35"/>
      <c r="H562" s="34"/>
      <c r="I562" s="37"/>
    </row>
    <row r="563" ht="22.5" customHeight="1">
      <c r="A563" s="30"/>
      <c r="B563" s="31"/>
      <c r="C563" s="32"/>
      <c r="D563" s="33"/>
      <c r="E563" s="34"/>
      <c r="F563" s="34"/>
      <c r="G563" s="35"/>
      <c r="H563" s="34"/>
      <c r="I563" s="37"/>
    </row>
    <row r="564" ht="22.5" customHeight="1">
      <c r="A564" s="30"/>
      <c r="B564" s="31"/>
      <c r="C564" s="32"/>
      <c r="D564" s="33"/>
      <c r="E564" s="34"/>
      <c r="F564" s="34"/>
      <c r="G564" s="35"/>
      <c r="H564" s="34"/>
      <c r="I564" s="37"/>
    </row>
    <row r="565" ht="22.5" customHeight="1">
      <c r="A565" s="30"/>
      <c r="B565" s="31"/>
      <c r="C565" s="32"/>
      <c r="D565" s="33"/>
      <c r="E565" s="34"/>
      <c r="F565" s="34"/>
      <c r="G565" s="35"/>
      <c r="H565" s="34"/>
      <c r="I565" s="37"/>
    </row>
    <row r="566" ht="22.5" customHeight="1">
      <c r="A566" s="30"/>
      <c r="B566" s="40"/>
      <c r="C566" s="32"/>
      <c r="D566" s="33"/>
      <c r="E566" s="34"/>
      <c r="F566" s="34"/>
      <c r="G566" s="35"/>
      <c r="H566" s="34"/>
      <c r="I566" s="37"/>
    </row>
    <row r="567" ht="22.5" customHeight="1">
      <c r="A567" s="30"/>
      <c r="B567" s="31"/>
      <c r="C567" s="32"/>
      <c r="D567" s="33"/>
      <c r="E567" s="34"/>
      <c r="F567" s="34"/>
      <c r="G567" s="35"/>
      <c r="H567" s="34"/>
      <c r="I567" s="37"/>
    </row>
    <row r="568" ht="22.5" customHeight="1">
      <c r="A568" s="30"/>
      <c r="B568" s="31"/>
      <c r="C568" s="32"/>
      <c r="D568" s="33"/>
      <c r="E568" s="34"/>
      <c r="F568" s="34"/>
      <c r="G568" s="35"/>
      <c r="H568" s="34"/>
      <c r="I568" s="37"/>
    </row>
    <row r="569" ht="22.5" customHeight="1">
      <c r="A569" s="30"/>
      <c r="B569" s="31"/>
      <c r="C569" s="32"/>
      <c r="D569" s="33"/>
      <c r="E569" s="34"/>
      <c r="F569" s="34"/>
      <c r="G569" s="35"/>
      <c r="H569" s="34"/>
      <c r="I569" s="37"/>
    </row>
    <row r="570" ht="22.5" customHeight="1">
      <c r="A570" s="30"/>
      <c r="B570" s="31"/>
      <c r="C570" s="32"/>
      <c r="D570" s="33"/>
      <c r="E570" s="34"/>
      <c r="F570" s="34"/>
      <c r="G570" s="35"/>
      <c r="H570" s="34"/>
      <c r="I570" s="37"/>
    </row>
    <row r="571" ht="22.5" customHeight="1">
      <c r="A571" s="30"/>
      <c r="B571" s="31"/>
      <c r="C571" s="32"/>
      <c r="D571" s="33"/>
      <c r="E571" s="34"/>
      <c r="F571" s="34"/>
      <c r="G571" s="35"/>
      <c r="H571" s="34"/>
      <c r="I571" s="37"/>
    </row>
    <row r="572" ht="22.5" customHeight="1">
      <c r="A572" s="30"/>
      <c r="B572" s="31"/>
      <c r="C572" s="32"/>
      <c r="D572" s="33"/>
      <c r="E572" s="34"/>
      <c r="F572" s="34"/>
      <c r="G572" s="35"/>
      <c r="H572" s="34"/>
      <c r="I572" s="37"/>
    </row>
    <row r="573" ht="22.5" customHeight="1">
      <c r="A573" s="30"/>
      <c r="B573" s="39"/>
      <c r="C573" s="32"/>
      <c r="D573" s="33"/>
      <c r="E573" s="34"/>
      <c r="F573" s="34"/>
      <c r="G573" s="35"/>
      <c r="H573" s="34"/>
      <c r="I573" s="37"/>
    </row>
    <row r="574" ht="22.5" customHeight="1">
      <c r="A574" s="30"/>
      <c r="B574" s="39"/>
      <c r="C574" s="32"/>
      <c r="D574" s="33"/>
      <c r="E574" s="34"/>
      <c r="F574" s="34"/>
      <c r="G574" s="35"/>
      <c r="H574" s="34"/>
      <c r="I574" s="37"/>
    </row>
    <row r="575" ht="22.5" customHeight="1">
      <c r="A575" s="30"/>
      <c r="B575" s="39"/>
      <c r="C575" s="32"/>
      <c r="D575" s="33"/>
      <c r="E575" s="34"/>
      <c r="F575" s="34"/>
      <c r="G575" s="35"/>
      <c r="H575" s="34"/>
      <c r="I575" s="37"/>
    </row>
    <row r="576" ht="22.5" customHeight="1">
      <c r="A576" s="30"/>
      <c r="B576" s="40"/>
      <c r="C576" s="32"/>
      <c r="D576" s="33"/>
      <c r="E576" s="34"/>
      <c r="F576" s="34"/>
      <c r="G576" s="35"/>
      <c r="H576" s="34"/>
      <c r="I576" s="37"/>
    </row>
    <row r="577" ht="22.5" customHeight="1">
      <c r="A577" s="30"/>
      <c r="B577" s="31"/>
      <c r="C577" s="32"/>
      <c r="D577" s="33"/>
      <c r="E577" s="34"/>
      <c r="F577" s="34"/>
      <c r="G577" s="35"/>
      <c r="H577" s="34"/>
      <c r="I577" s="37"/>
    </row>
    <row r="578" ht="22.5" customHeight="1">
      <c r="A578" s="30"/>
      <c r="B578" s="31"/>
      <c r="C578" s="32"/>
      <c r="D578" s="33"/>
      <c r="E578" s="34"/>
      <c r="F578" s="34"/>
      <c r="G578" s="35"/>
      <c r="H578" s="34"/>
      <c r="I578" s="37"/>
    </row>
    <row r="579" ht="22.5" customHeight="1">
      <c r="A579" s="30"/>
      <c r="B579" s="31"/>
      <c r="C579" s="32"/>
      <c r="D579" s="33"/>
      <c r="E579" s="34"/>
      <c r="F579" s="34"/>
      <c r="G579" s="35"/>
      <c r="H579" s="34"/>
      <c r="I579" s="37"/>
    </row>
    <row r="580" ht="22.5" customHeight="1">
      <c r="A580" s="30"/>
      <c r="B580" s="31"/>
      <c r="C580" s="32"/>
      <c r="D580" s="33"/>
      <c r="E580" s="34"/>
      <c r="F580" s="34"/>
      <c r="G580" s="35"/>
      <c r="H580" s="34"/>
      <c r="I580" s="37"/>
    </row>
    <row r="581" ht="22.5" customHeight="1">
      <c r="A581" s="30"/>
      <c r="B581" s="31"/>
      <c r="C581" s="32"/>
      <c r="D581" s="33"/>
      <c r="E581" s="34"/>
      <c r="F581" s="34"/>
      <c r="G581" s="35"/>
      <c r="H581" s="34"/>
      <c r="I581" s="37"/>
    </row>
    <row r="582" ht="22.5" customHeight="1">
      <c r="A582" s="30"/>
      <c r="B582" s="31"/>
      <c r="C582" s="32"/>
      <c r="D582" s="33"/>
      <c r="E582" s="34"/>
      <c r="F582" s="34"/>
      <c r="G582" s="35"/>
      <c r="H582" s="34"/>
      <c r="I582" s="37"/>
    </row>
    <row r="583" ht="22.5" customHeight="1">
      <c r="A583" s="30"/>
      <c r="B583" s="31"/>
      <c r="C583" s="32"/>
      <c r="D583" s="33"/>
      <c r="E583" s="34"/>
      <c r="F583" s="34"/>
      <c r="G583" s="35"/>
      <c r="H583" s="34"/>
      <c r="I583" s="37"/>
    </row>
    <row r="584" ht="22.5" customHeight="1">
      <c r="A584" s="30"/>
      <c r="B584" s="31"/>
      <c r="C584" s="32"/>
      <c r="D584" s="33"/>
      <c r="E584" s="34"/>
      <c r="F584" s="34"/>
      <c r="G584" s="35"/>
      <c r="H584" s="34"/>
      <c r="I584" s="37"/>
    </row>
    <row r="585" ht="22.5" customHeight="1">
      <c r="A585" s="30"/>
      <c r="B585" s="31"/>
      <c r="C585" s="32"/>
      <c r="D585" s="33"/>
      <c r="E585" s="34"/>
      <c r="F585" s="34"/>
      <c r="G585" s="35"/>
      <c r="H585" s="34"/>
      <c r="I585" s="37"/>
    </row>
    <row r="586" ht="22.5" customHeight="1">
      <c r="A586" s="30"/>
      <c r="B586" s="40"/>
      <c r="C586" s="32"/>
      <c r="D586" s="33"/>
      <c r="E586" s="34"/>
      <c r="F586" s="34"/>
      <c r="G586" s="35"/>
      <c r="H586" s="34"/>
      <c r="I586" s="37"/>
    </row>
    <row r="587" ht="22.5" customHeight="1">
      <c r="A587" s="30"/>
      <c r="B587" s="31"/>
      <c r="C587" s="32"/>
      <c r="D587" s="33"/>
      <c r="E587" s="34"/>
      <c r="F587" s="34"/>
      <c r="G587" s="35"/>
      <c r="H587" s="34"/>
      <c r="I587" s="37"/>
    </row>
    <row r="588" ht="22.5" customHeight="1">
      <c r="A588" s="30"/>
      <c r="B588" s="31"/>
      <c r="C588" s="32"/>
      <c r="D588" s="33"/>
      <c r="E588" s="34"/>
      <c r="F588" s="34"/>
      <c r="G588" s="35"/>
      <c r="H588" s="34"/>
      <c r="I588" s="37"/>
    </row>
    <row r="589" ht="22.5" customHeight="1">
      <c r="A589" s="30"/>
      <c r="B589" s="31"/>
      <c r="C589" s="32"/>
      <c r="D589" s="33"/>
      <c r="E589" s="34"/>
      <c r="F589" s="34"/>
      <c r="G589" s="35"/>
      <c r="H589" s="34"/>
      <c r="I589" s="37"/>
    </row>
    <row r="590" ht="22.5" customHeight="1">
      <c r="A590" s="30"/>
      <c r="B590" s="40"/>
      <c r="C590" s="32"/>
      <c r="D590" s="33"/>
      <c r="E590" s="34"/>
      <c r="F590" s="34"/>
      <c r="G590" s="35"/>
      <c r="H590" s="34"/>
      <c r="I590" s="37"/>
    </row>
    <row r="591" ht="22.5" customHeight="1">
      <c r="A591" s="30"/>
      <c r="B591" s="31"/>
      <c r="C591" s="32"/>
      <c r="D591" s="33"/>
      <c r="E591" s="34"/>
      <c r="F591" s="34"/>
      <c r="G591" s="35"/>
      <c r="H591" s="34"/>
      <c r="I591" s="37"/>
    </row>
    <row r="592" ht="22.5" customHeight="1">
      <c r="A592" s="30"/>
      <c r="B592" s="31"/>
      <c r="C592" s="32"/>
      <c r="D592" s="33"/>
      <c r="E592" s="34"/>
      <c r="F592" s="34"/>
      <c r="G592" s="35"/>
      <c r="H592" s="34"/>
      <c r="I592" s="37"/>
    </row>
    <row r="593" ht="22.5" customHeight="1">
      <c r="A593" s="30"/>
      <c r="B593" s="31"/>
      <c r="C593" s="32"/>
      <c r="D593" s="33"/>
      <c r="E593" s="34"/>
      <c r="F593" s="34"/>
      <c r="G593" s="35"/>
      <c r="H593" s="34"/>
      <c r="I593" s="37"/>
    </row>
    <row r="594" ht="22.5" customHeight="1">
      <c r="A594" s="30"/>
      <c r="B594" s="31"/>
      <c r="C594" s="32"/>
      <c r="D594" s="33"/>
      <c r="E594" s="34"/>
      <c r="F594" s="34"/>
      <c r="G594" s="35"/>
      <c r="H594" s="34"/>
      <c r="I594" s="37"/>
    </row>
    <row r="595" ht="22.5" customHeight="1">
      <c r="A595" s="30"/>
      <c r="B595" s="31"/>
      <c r="C595" s="32"/>
      <c r="D595" s="33"/>
      <c r="E595" s="34"/>
      <c r="F595" s="34"/>
      <c r="G595" s="35"/>
      <c r="H595" s="34"/>
      <c r="I595" s="37"/>
    </row>
    <row r="596" ht="22.5" customHeight="1">
      <c r="A596" s="30"/>
      <c r="B596" s="31"/>
      <c r="C596" s="32"/>
      <c r="D596" s="33"/>
      <c r="E596" s="34"/>
      <c r="F596" s="34"/>
      <c r="G596" s="35"/>
      <c r="H596" s="34"/>
      <c r="I596" s="37"/>
    </row>
    <row r="597" ht="22.5" customHeight="1">
      <c r="A597" s="30"/>
      <c r="B597" s="31"/>
      <c r="C597" s="32"/>
      <c r="D597" s="33"/>
      <c r="E597" s="34"/>
      <c r="F597" s="34"/>
      <c r="G597" s="35"/>
      <c r="H597" s="34"/>
      <c r="I597" s="37"/>
    </row>
    <row r="598" ht="22.5" customHeight="1">
      <c r="A598" s="30"/>
      <c r="B598" s="31"/>
      <c r="C598" s="32"/>
      <c r="D598" s="33"/>
      <c r="E598" s="34"/>
      <c r="F598" s="34"/>
      <c r="G598" s="35"/>
      <c r="H598" s="34"/>
      <c r="I598" s="37"/>
    </row>
    <row r="599" ht="22.5" customHeight="1">
      <c r="A599" s="30"/>
      <c r="B599" s="31"/>
      <c r="C599" s="32"/>
      <c r="D599" s="33"/>
      <c r="E599" s="34"/>
      <c r="F599" s="34"/>
      <c r="G599" s="35"/>
      <c r="H599" s="34"/>
      <c r="I599" s="37"/>
    </row>
    <row r="600" ht="22.5" customHeight="1">
      <c r="A600" s="30"/>
      <c r="B600" s="31"/>
      <c r="C600" s="32"/>
      <c r="D600" s="33"/>
      <c r="E600" s="34"/>
      <c r="F600" s="34"/>
      <c r="G600" s="35"/>
      <c r="H600" s="34"/>
      <c r="I600" s="37"/>
    </row>
    <row r="601" ht="22.5" customHeight="1">
      <c r="A601" s="30"/>
      <c r="B601" s="31"/>
      <c r="C601" s="32"/>
      <c r="D601" s="33"/>
      <c r="E601" s="34"/>
      <c r="F601" s="34"/>
      <c r="G601" s="35"/>
      <c r="H601" s="34"/>
      <c r="I601" s="37"/>
    </row>
    <row r="602" ht="22.5" customHeight="1">
      <c r="A602" s="30"/>
      <c r="B602" s="31"/>
      <c r="C602" s="32"/>
      <c r="D602" s="33"/>
      <c r="E602" s="34"/>
      <c r="F602" s="34"/>
      <c r="G602" s="35"/>
      <c r="H602" s="34"/>
      <c r="I602" s="37"/>
    </row>
    <row r="603" ht="22.5" customHeight="1">
      <c r="A603" s="30"/>
      <c r="B603" s="31"/>
      <c r="C603" s="32"/>
      <c r="D603" s="33"/>
      <c r="E603" s="34"/>
      <c r="F603" s="34"/>
      <c r="G603" s="35"/>
      <c r="H603" s="34"/>
      <c r="I603" s="37"/>
    </row>
    <row r="604" ht="22.5" customHeight="1">
      <c r="A604" s="30"/>
      <c r="B604" s="31"/>
      <c r="C604" s="32"/>
      <c r="D604" s="33"/>
      <c r="E604" s="34"/>
      <c r="F604" s="34"/>
      <c r="G604" s="35"/>
      <c r="H604" s="34"/>
      <c r="I604" s="37"/>
    </row>
    <row r="605" ht="22.5" customHeight="1">
      <c r="A605" s="30"/>
      <c r="B605" s="40"/>
      <c r="C605" s="32"/>
      <c r="D605" s="33"/>
      <c r="E605" s="34"/>
      <c r="F605" s="34"/>
      <c r="G605" s="35"/>
      <c r="H605" s="34"/>
      <c r="I605" s="37"/>
    </row>
    <row r="606" ht="22.5" customHeight="1">
      <c r="A606" s="30"/>
      <c r="B606" s="31"/>
      <c r="C606" s="32"/>
      <c r="D606" s="33"/>
      <c r="E606" s="34"/>
      <c r="F606" s="34"/>
      <c r="G606" s="35"/>
      <c r="H606" s="34"/>
      <c r="I606" s="37"/>
    </row>
    <row r="607" ht="22.5" customHeight="1">
      <c r="A607" s="30"/>
      <c r="B607" s="40"/>
      <c r="C607" s="32"/>
      <c r="D607" s="33"/>
      <c r="E607" s="34"/>
      <c r="F607" s="34"/>
      <c r="G607" s="35"/>
      <c r="H607" s="34"/>
      <c r="I607" s="37"/>
    </row>
    <row r="608" ht="22.5" customHeight="1">
      <c r="A608" s="30"/>
      <c r="B608" s="31"/>
      <c r="C608" s="32"/>
      <c r="D608" s="33"/>
      <c r="E608" s="34"/>
      <c r="F608" s="34"/>
      <c r="G608" s="35"/>
      <c r="H608" s="34"/>
      <c r="I608" s="37"/>
    </row>
    <row r="609" ht="22.5" customHeight="1">
      <c r="A609" s="30"/>
      <c r="B609" s="31"/>
      <c r="C609" s="32"/>
      <c r="D609" s="33"/>
      <c r="E609" s="34"/>
      <c r="F609" s="34"/>
      <c r="G609" s="35"/>
      <c r="H609" s="34"/>
      <c r="I609" s="37"/>
    </row>
    <row r="610" ht="22.5" customHeight="1">
      <c r="A610" s="30"/>
      <c r="B610" s="31"/>
      <c r="C610" s="32"/>
      <c r="D610" s="33"/>
      <c r="E610" s="34"/>
      <c r="F610" s="34"/>
      <c r="G610" s="35"/>
      <c r="H610" s="34"/>
      <c r="I610" s="37"/>
    </row>
    <row r="611" ht="22.5" customHeight="1">
      <c r="A611" s="30"/>
      <c r="B611" s="31"/>
      <c r="C611" s="32"/>
      <c r="D611" s="33"/>
      <c r="E611" s="34"/>
      <c r="F611" s="34"/>
      <c r="G611" s="35"/>
      <c r="H611" s="34"/>
      <c r="I611" s="37"/>
    </row>
    <row r="612" ht="22.5" customHeight="1">
      <c r="A612" s="30"/>
      <c r="B612" s="40"/>
      <c r="C612" s="32"/>
      <c r="D612" s="33"/>
      <c r="E612" s="34"/>
      <c r="F612" s="34"/>
      <c r="G612" s="35"/>
      <c r="H612" s="34"/>
      <c r="I612" s="37"/>
    </row>
    <row r="613" ht="22.5" customHeight="1">
      <c r="A613" s="30"/>
      <c r="B613" s="31"/>
      <c r="C613" s="32"/>
      <c r="D613" s="33"/>
      <c r="E613" s="34"/>
      <c r="F613" s="34"/>
      <c r="G613" s="35"/>
      <c r="H613" s="34"/>
      <c r="I613" s="37"/>
    </row>
    <row r="614" ht="22.5" customHeight="1">
      <c r="A614" s="30"/>
      <c r="B614" s="31"/>
      <c r="C614" s="32"/>
      <c r="D614" s="33"/>
      <c r="E614" s="34"/>
      <c r="F614" s="34"/>
      <c r="G614" s="35"/>
      <c r="H614" s="34"/>
      <c r="I614" s="37"/>
    </row>
    <row r="615" ht="22.5" customHeight="1">
      <c r="A615" s="30"/>
      <c r="B615" s="31"/>
      <c r="C615" s="32"/>
      <c r="D615" s="33"/>
      <c r="E615" s="34"/>
      <c r="F615" s="34"/>
      <c r="G615" s="35"/>
      <c r="H615" s="34"/>
      <c r="I615" s="37"/>
    </row>
    <row r="616" ht="22.5" customHeight="1">
      <c r="A616" s="30"/>
      <c r="B616" s="31"/>
      <c r="C616" s="32"/>
      <c r="D616" s="33"/>
      <c r="E616" s="34"/>
      <c r="F616" s="34"/>
      <c r="G616" s="35"/>
      <c r="H616" s="34"/>
      <c r="I616" s="37"/>
    </row>
    <row r="617" ht="22.5" customHeight="1">
      <c r="A617" s="30"/>
      <c r="B617" s="31"/>
      <c r="C617" s="32"/>
      <c r="D617" s="33"/>
      <c r="E617" s="34"/>
      <c r="F617" s="34"/>
      <c r="G617" s="35"/>
      <c r="H617" s="34"/>
      <c r="I617" s="37"/>
    </row>
    <row r="618" ht="22.5" customHeight="1">
      <c r="A618" s="30"/>
      <c r="B618" s="31"/>
      <c r="C618" s="32"/>
      <c r="D618" s="33"/>
      <c r="E618" s="34"/>
      <c r="F618" s="34"/>
      <c r="G618" s="35"/>
      <c r="H618" s="34"/>
      <c r="I618" s="37"/>
    </row>
    <row r="619" ht="22.5" customHeight="1">
      <c r="A619" s="30"/>
      <c r="B619" s="31"/>
      <c r="C619" s="32"/>
      <c r="D619" s="33"/>
      <c r="E619" s="34"/>
      <c r="F619" s="34"/>
      <c r="G619" s="35"/>
      <c r="H619" s="34"/>
      <c r="I619" s="37"/>
    </row>
    <row r="620" ht="22.5" customHeight="1">
      <c r="A620" s="30"/>
      <c r="B620" s="31"/>
      <c r="C620" s="32"/>
      <c r="D620" s="33"/>
      <c r="E620" s="34"/>
      <c r="F620" s="34"/>
      <c r="G620" s="35"/>
      <c r="H620" s="34"/>
      <c r="I620" s="37"/>
    </row>
    <row r="621" ht="22.5" customHeight="1">
      <c r="A621" s="30"/>
      <c r="B621" s="31"/>
      <c r="C621" s="32"/>
      <c r="D621" s="33"/>
      <c r="E621" s="34"/>
      <c r="F621" s="34"/>
      <c r="G621" s="35"/>
      <c r="H621" s="34"/>
      <c r="I621" s="37"/>
    </row>
    <row r="622" ht="22.5" customHeight="1">
      <c r="A622" s="30"/>
      <c r="B622" s="31"/>
      <c r="C622" s="32"/>
      <c r="D622" s="33"/>
      <c r="E622" s="34"/>
      <c r="F622" s="34"/>
      <c r="G622" s="35"/>
      <c r="H622" s="34"/>
      <c r="I622" s="37"/>
    </row>
    <row r="623" ht="22.5" customHeight="1">
      <c r="A623" s="30"/>
      <c r="B623" s="31"/>
      <c r="C623" s="32"/>
      <c r="D623" s="33"/>
      <c r="E623" s="34"/>
      <c r="F623" s="34"/>
      <c r="G623" s="35"/>
      <c r="H623" s="34"/>
      <c r="I623" s="37"/>
    </row>
    <row r="624" ht="22.5" customHeight="1">
      <c r="A624" s="30"/>
      <c r="B624" s="31"/>
      <c r="C624" s="32"/>
      <c r="D624" s="33"/>
      <c r="E624" s="34"/>
      <c r="F624" s="34"/>
      <c r="G624" s="35"/>
      <c r="H624" s="34"/>
      <c r="I624" s="37"/>
    </row>
    <row r="625" ht="22.5" customHeight="1">
      <c r="A625" s="30"/>
      <c r="B625" s="31"/>
      <c r="C625" s="32"/>
      <c r="D625" s="33"/>
      <c r="E625" s="34"/>
      <c r="F625" s="34"/>
      <c r="G625" s="35"/>
      <c r="H625" s="34"/>
      <c r="I625" s="37"/>
    </row>
    <row r="626" ht="22.5" customHeight="1">
      <c r="A626" s="30"/>
      <c r="B626" s="31"/>
      <c r="C626" s="32"/>
      <c r="D626" s="33"/>
      <c r="E626" s="34"/>
      <c r="F626" s="34"/>
      <c r="G626" s="35"/>
      <c r="H626" s="34"/>
      <c r="I626" s="37"/>
    </row>
    <row r="627" ht="22.5" customHeight="1">
      <c r="A627" s="30"/>
      <c r="B627" s="31"/>
      <c r="C627" s="32"/>
      <c r="D627" s="33"/>
      <c r="E627" s="34"/>
      <c r="F627" s="34"/>
      <c r="G627" s="35"/>
      <c r="H627" s="34"/>
      <c r="I627" s="37"/>
    </row>
    <row r="628" ht="22.5" customHeight="1">
      <c r="A628" s="30"/>
      <c r="B628" s="31"/>
      <c r="C628" s="32"/>
      <c r="D628" s="33"/>
      <c r="E628" s="34"/>
      <c r="F628" s="34"/>
      <c r="G628" s="35"/>
      <c r="H628" s="34"/>
      <c r="I628" s="37"/>
    </row>
    <row r="629" ht="22.5" customHeight="1">
      <c r="A629" s="30"/>
      <c r="B629" s="31"/>
      <c r="C629" s="32"/>
      <c r="D629" s="33"/>
      <c r="E629" s="34"/>
      <c r="F629" s="34"/>
      <c r="G629" s="35"/>
      <c r="H629" s="34"/>
      <c r="I629" s="37"/>
    </row>
    <row r="630" ht="22.5" customHeight="1">
      <c r="A630" s="30"/>
      <c r="B630" s="31"/>
      <c r="C630" s="32"/>
      <c r="D630" s="33"/>
      <c r="E630" s="34"/>
      <c r="F630" s="34"/>
      <c r="G630" s="35"/>
      <c r="H630" s="34"/>
      <c r="I630" s="37"/>
    </row>
    <row r="631" ht="22.5" customHeight="1">
      <c r="A631" s="30"/>
      <c r="B631" s="31"/>
      <c r="C631" s="32"/>
      <c r="D631" s="33"/>
      <c r="E631" s="34"/>
      <c r="F631" s="34"/>
      <c r="G631" s="35"/>
      <c r="H631" s="34"/>
      <c r="I631" s="37"/>
    </row>
    <row r="632" ht="22.5" customHeight="1">
      <c r="A632" s="30"/>
      <c r="B632" s="31"/>
      <c r="C632" s="32"/>
      <c r="D632" s="33"/>
      <c r="E632" s="34"/>
      <c r="F632" s="34"/>
      <c r="G632" s="35"/>
      <c r="H632" s="34"/>
      <c r="I632" s="37"/>
    </row>
    <row r="633" ht="22.5" customHeight="1">
      <c r="A633" s="30"/>
      <c r="B633" s="31"/>
      <c r="C633" s="32"/>
      <c r="D633" s="33"/>
      <c r="E633" s="34"/>
      <c r="F633" s="34"/>
      <c r="G633" s="35"/>
      <c r="H633" s="34"/>
      <c r="I633" s="37"/>
    </row>
    <row r="634" ht="22.5" customHeight="1">
      <c r="A634" s="30"/>
      <c r="B634" s="40"/>
      <c r="C634" s="32"/>
      <c r="D634" s="33"/>
      <c r="E634" s="34"/>
      <c r="F634" s="34"/>
      <c r="G634" s="35"/>
      <c r="H634" s="34"/>
      <c r="I634" s="37"/>
    </row>
    <row r="635" ht="22.5" customHeight="1">
      <c r="A635" s="30"/>
      <c r="B635" s="31"/>
      <c r="C635" s="32"/>
      <c r="D635" s="33"/>
      <c r="E635" s="34"/>
      <c r="F635" s="34"/>
      <c r="G635" s="35"/>
      <c r="H635" s="34"/>
      <c r="I635" s="37"/>
    </row>
    <row r="636" ht="22.5" customHeight="1">
      <c r="A636" s="30"/>
      <c r="B636" s="31"/>
      <c r="C636" s="32"/>
      <c r="D636" s="33"/>
      <c r="E636" s="34"/>
      <c r="F636" s="34"/>
      <c r="G636" s="35"/>
      <c r="H636" s="34"/>
      <c r="I636" s="37"/>
    </row>
    <row r="637" ht="22.5" customHeight="1">
      <c r="A637" s="30"/>
      <c r="B637" s="31"/>
      <c r="C637" s="32"/>
      <c r="D637" s="33"/>
      <c r="E637" s="34"/>
      <c r="F637" s="34"/>
      <c r="G637" s="35"/>
      <c r="H637" s="34"/>
      <c r="I637" s="37"/>
    </row>
    <row r="638" ht="22.5" customHeight="1">
      <c r="A638" s="30"/>
      <c r="B638" s="31"/>
      <c r="C638" s="32"/>
      <c r="D638" s="33"/>
      <c r="E638" s="34"/>
      <c r="F638" s="34"/>
      <c r="G638" s="35"/>
      <c r="H638" s="34"/>
      <c r="I638" s="38"/>
    </row>
    <row r="639" ht="22.5" customHeight="1">
      <c r="A639" s="30"/>
      <c r="B639" s="39"/>
      <c r="C639" s="32"/>
      <c r="D639" s="33"/>
      <c r="E639" s="34"/>
      <c r="F639" s="34"/>
      <c r="G639" s="35"/>
      <c r="H639" s="34"/>
      <c r="I639" s="37"/>
    </row>
    <row r="640" ht="22.5" customHeight="1">
      <c r="A640" s="30"/>
      <c r="B640" s="31"/>
      <c r="C640" s="32"/>
      <c r="D640" s="33"/>
      <c r="E640" s="34"/>
      <c r="F640" s="34"/>
      <c r="G640" s="35"/>
      <c r="H640" s="34"/>
      <c r="I640" s="37"/>
    </row>
    <row r="641" ht="22.5" customHeight="1">
      <c r="A641" s="30"/>
      <c r="B641" s="31"/>
      <c r="C641" s="32"/>
      <c r="D641" s="33"/>
      <c r="E641" s="34"/>
      <c r="F641" s="34"/>
      <c r="G641" s="35"/>
      <c r="H641" s="34"/>
      <c r="I641" s="37"/>
    </row>
    <row r="642" ht="22.5" customHeight="1">
      <c r="A642" s="30"/>
      <c r="B642" s="31"/>
      <c r="C642" s="32"/>
      <c r="D642" s="33"/>
      <c r="E642" s="34"/>
      <c r="F642" s="34"/>
      <c r="G642" s="35"/>
      <c r="H642" s="34"/>
      <c r="I642" s="37"/>
    </row>
    <row r="643" ht="22.5" customHeight="1">
      <c r="A643" s="30"/>
      <c r="B643" s="39"/>
      <c r="C643" s="32"/>
      <c r="D643" s="33"/>
      <c r="E643" s="34"/>
      <c r="F643" s="34"/>
      <c r="G643" s="35"/>
      <c r="H643" s="34"/>
      <c r="I643" s="37"/>
    </row>
    <row r="644" ht="22.5" customHeight="1">
      <c r="A644" s="30"/>
      <c r="B644" s="31"/>
      <c r="C644" s="32"/>
      <c r="D644" s="33"/>
      <c r="E644" s="34"/>
      <c r="F644" s="34"/>
      <c r="G644" s="35"/>
      <c r="H644" s="34"/>
      <c r="I644" s="37"/>
    </row>
    <row r="645" ht="22.5" customHeight="1">
      <c r="A645" s="30"/>
      <c r="B645" s="39"/>
      <c r="C645" s="32"/>
      <c r="D645" s="33"/>
      <c r="E645" s="34"/>
      <c r="F645" s="34"/>
      <c r="G645" s="35"/>
      <c r="H645" s="34"/>
      <c r="I645" s="37"/>
    </row>
    <row r="646" ht="22.5" customHeight="1">
      <c r="A646" s="30"/>
      <c r="B646" s="31"/>
      <c r="C646" s="32"/>
      <c r="D646" s="33"/>
      <c r="E646" s="34"/>
      <c r="F646" s="34"/>
      <c r="G646" s="35"/>
      <c r="H646" s="34"/>
      <c r="I646" s="37"/>
    </row>
    <row r="647" ht="22.5" customHeight="1">
      <c r="A647" s="30"/>
      <c r="B647" s="31"/>
      <c r="C647" s="32"/>
      <c r="D647" s="33"/>
      <c r="E647" s="34"/>
      <c r="F647" s="34"/>
      <c r="G647" s="35"/>
      <c r="H647" s="34"/>
      <c r="I647" s="37"/>
    </row>
    <row r="648" ht="22.5" customHeight="1">
      <c r="A648" s="30"/>
      <c r="B648" s="31"/>
      <c r="C648" s="32"/>
      <c r="D648" s="33"/>
      <c r="E648" s="34"/>
      <c r="F648" s="34"/>
      <c r="G648" s="35"/>
      <c r="H648" s="34"/>
      <c r="I648" s="37"/>
    </row>
    <row r="649" ht="22.5" customHeight="1">
      <c r="A649" s="30"/>
      <c r="B649" s="31"/>
      <c r="C649" s="32"/>
      <c r="D649" s="33"/>
      <c r="E649" s="34"/>
      <c r="F649" s="34"/>
      <c r="G649" s="35"/>
      <c r="H649" s="34"/>
      <c r="I649" s="37"/>
    </row>
    <row r="650" ht="22.5" customHeight="1">
      <c r="A650" s="30"/>
      <c r="B650" s="31"/>
      <c r="C650" s="32"/>
      <c r="D650" s="33"/>
      <c r="E650" s="34"/>
      <c r="F650" s="34"/>
      <c r="G650" s="35"/>
      <c r="H650" s="34"/>
      <c r="I650" s="37"/>
    </row>
    <row r="651" ht="22.5" customHeight="1">
      <c r="A651" s="30"/>
      <c r="B651" s="31"/>
      <c r="C651" s="32"/>
      <c r="D651" s="33"/>
      <c r="E651" s="34"/>
      <c r="F651" s="34"/>
      <c r="G651" s="35"/>
      <c r="H651" s="34"/>
      <c r="I651" s="37"/>
    </row>
    <row r="652" ht="22.5" customHeight="1">
      <c r="A652" s="30"/>
      <c r="B652" s="31"/>
      <c r="C652" s="32"/>
      <c r="D652" s="33"/>
      <c r="E652" s="34"/>
      <c r="F652" s="34"/>
      <c r="G652" s="35"/>
      <c r="H652" s="34"/>
      <c r="I652" s="37"/>
    </row>
    <row r="653" ht="22.5" customHeight="1">
      <c r="A653" s="30"/>
      <c r="B653" s="31"/>
      <c r="C653" s="32"/>
      <c r="D653" s="33"/>
      <c r="E653" s="34"/>
      <c r="F653" s="34"/>
      <c r="G653" s="35"/>
      <c r="H653" s="34"/>
      <c r="I653" s="37"/>
    </row>
    <row r="654" ht="22.5" customHeight="1">
      <c r="A654" s="30"/>
      <c r="B654" s="31"/>
      <c r="C654" s="32"/>
      <c r="D654" s="33"/>
      <c r="E654" s="34"/>
      <c r="F654" s="34"/>
      <c r="G654" s="35"/>
      <c r="H654" s="34"/>
      <c r="I654" s="37"/>
    </row>
    <row r="655" ht="22.5" customHeight="1">
      <c r="A655" s="30"/>
      <c r="B655" s="31"/>
      <c r="C655" s="32"/>
      <c r="D655" s="33"/>
      <c r="E655" s="34"/>
      <c r="F655" s="34"/>
      <c r="G655" s="35"/>
      <c r="H655" s="34"/>
      <c r="I655" s="37"/>
    </row>
    <row r="656" ht="22.5" customHeight="1">
      <c r="A656" s="30"/>
      <c r="B656" s="40"/>
      <c r="C656" s="32"/>
      <c r="D656" s="33"/>
      <c r="E656" s="34"/>
      <c r="F656" s="34"/>
      <c r="G656" s="35"/>
      <c r="H656" s="34"/>
      <c r="I656" s="37"/>
    </row>
    <row r="657" ht="22.5" customHeight="1">
      <c r="A657" s="30"/>
      <c r="B657" s="31"/>
      <c r="C657" s="32"/>
      <c r="D657" s="33"/>
      <c r="E657" s="34"/>
      <c r="F657" s="34"/>
      <c r="G657" s="35"/>
      <c r="H657" s="34"/>
      <c r="I657" s="37"/>
    </row>
    <row r="658" ht="22.5" customHeight="1">
      <c r="A658" s="30"/>
      <c r="B658" s="31"/>
      <c r="C658" s="32"/>
      <c r="D658" s="33"/>
      <c r="E658" s="34"/>
      <c r="F658" s="34"/>
      <c r="G658" s="35"/>
      <c r="H658" s="34"/>
      <c r="I658" s="37"/>
    </row>
    <row r="659" ht="22.5" customHeight="1">
      <c r="A659" s="30"/>
      <c r="B659" s="31"/>
      <c r="C659" s="32"/>
      <c r="D659" s="33"/>
      <c r="E659" s="34"/>
      <c r="F659" s="34"/>
      <c r="G659" s="35"/>
      <c r="H659" s="34"/>
      <c r="I659" s="37"/>
    </row>
    <row r="660" ht="22.5" customHeight="1">
      <c r="A660" s="30"/>
      <c r="B660" s="31"/>
      <c r="C660" s="32"/>
      <c r="D660" s="33"/>
      <c r="E660" s="34"/>
      <c r="F660" s="34"/>
      <c r="G660" s="35"/>
      <c r="H660" s="34"/>
      <c r="I660" s="37"/>
    </row>
    <row r="661" ht="22.5" customHeight="1">
      <c r="A661" s="30"/>
      <c r="B661" s="31"/>
      <c r="C661" s="32"/>
      <c r="D661" s="33"/>
      <c r="E661" s="34"/>
      <c r="F661" s="34"/>
      <c r="G661" s="35"/>
      <c r="H661" s="34"/>
      <c r="I661" s="37"/>
    </row>
    <row r="662" ht="22.5" customHeight="1">
      <c r="A662" s="30"/>
      <c r="B662" s="31"/>
      <c r="C662" s="32"/>
      <c r="D662" s="33"/>
      <c r="E662" s="34"/>
      <c r="F662" s="34"/>
      <c r="G662" s="35"/>
      <c r="H662" s="34"/>
      <c r="I662" s="37"/>
    </row>
    <row r="663" ht="22.5" customHeight="1">
      <c r="A663" s="30"/>
      <c r="B663" s="39"/>
      <c r="C663" s="32"/>
      <c r="D663" s="33"/>
      <c r="E663" s="34"/>
      <c r="F663" s="34"/>
      <c r="G663" s="35"/>
      <c r="H663" s="34"/>
      <c r="I663" s="37"/>
    </row>
    <row r="664" ht="22.5" customHeight="1">
      <c r="A664" s="30"/>
      <c r="B664" s="39"/>
      <c r="C664" s="32"/>
      <c r="D664" s="33"/>
      <c r="E664" s="34"/>
      <c r="F664" s="34"/>
      <c r="G664" s="35"/>
      <c r="H664" s="34"/>
      <c r="I664" s="37"/>
    </row>
    <row r="665" ht="22.5" customHeight="1">
      <c r="A665" s="30"/>
      <c r="B665" s="39"/>
      <c r="C665" s="32"/>
      <c r="D665" s="33"/>
      <c r="E665" s="34"/>
      <c r="F665" s="34"/>
      <c r="G665" s="35"/>
      <c r="H665" s="34"/>
      <c r="I665" s="37"/>
    </row>
    <row r="666" ht="22.5" customHeight="1">
      <c r="A666" s="30"/>
      <c r="B666" s="40"/>
      <c r="C666" s="32"/>
      <c r="D666" s="33"/>
      <c r="E666" s="34"/>
      <c r="F666" s="34"/>
      <c r="G666" s="35"/>
      <c r="H666" s="34"/>
      <c r="I666" s="37"/>
    </row>
    <row r="667" ht="22.5" customHeight="1">
      <c r="A667" s="30"/>
      <c r="B667" s="31"/>
      <c r="C667" s="32"/>
      <c r="D667" s="33"/>
      <c r="E667" s="34"/>
      <c r="F667" s="34"/>
      <c r="G667" s="35"/>
      <c r="H667" s="34"/>
      <c r="I667" s="37"/>
    </row>
    <row r="668" ht="22.5" customHeight="1">
      <c r="A668" s="30"/>
      <c r="B668" s="31"/>
      <c r="C668" s="32"/>
      <c r="D668" s="33"/>
      <c r="E668" s="34"/>
      <c r="F668" s="34"/>
      <c r="G668" s="35"/>
      <c r="H668" s="34"/>
      <c r="I668" s="37"/>
    </row>
    <row r="669" ht="22.5" customHeight="1">
      <c r="A669" s="30"/>
      <c r="B669" s="31"/>
      <c r="C669" s="32"/>
      <c r="D669" s="33"/>
      <c r="E669" s="34"/>
      <c r="F669" s="34"/>
      <c r="G669" s="35"/>
      <c r="H669" s="34"/>
      <c r="I669" s="37"/>
    </row>
    <row r="670" ht="22.5" customHeight="1">
      <c r="A670" s="30"/>
      <c r="B670" s="31"/>
      <c r="C670" s="32"/>
      <c r="D670" s="33"/>
      <c r="E670" s="34"/>
      <c r="F670" s="34"/>
      <c r="G670" s="35"/>
      <c r="H670" s="34"/>
      <c r="I670" s="37"/>
    </row>
    <row r="671" ht="22.5" customHeight="1">
      <c r="A671" s="30"/>
      <c r="B671" s="31"/>
      <c r="C671" s="32"/>
      <c r="D671" s="33"/>
      <c r="E671" s="34"/>
      <c r="F671" s="34"/>
      <c r="G671" s="35"/>
      <c r="H671" s="34"/>
      <c r="I671" s="37"/>
    </row>
    <row r="672" ht="22.5" customHeight="1">
      <c r="A672" s="30"/>
      <c r="B672" s="31"/>
      <c r="C672" s="32"/>
      <c r="D672" s="33"/>
      <c r="E672" s="34"/>
      <c r="F672" s="34"/>
      <c r="G672" s="35"/>
      <c r="H672" s="34"/>
      <c r="I672" s="37"/>
    </row>
    <row r="673" ht="22.5" customHeight="1">
      <c r="A673" s="30"/>
      <c r="B673" s="31"/>
      <c r="C673" s="32"/>
      <c r="D673" s="33"/>
      <c r="E673" s="34"/>
      <c r="F673" s="34"/>
      <c r="G673" s="35"/>
      <c r="H673" s="34"/>
      <c r="I673" s="37"/>
    </row>
    <row r="674" ht="22.5" customHeight="1">
      <c r="A674" s="30"/>
      <c r="B674" s="31"/>
      <c r="C674" s="32"/>
      <c r="D674" s="33"/>
      <c r="E674" s="34"/>
      <c r="F674" s="34"/>
      <c r="G674" s="35"/>
      <c r="H674" s="34"/>
      <c r="I674" s="37"/>
    </row>
    <row r="675" ht="22.5" customHeight="1">
      <c r="A675" s="30"/>
      <c r="B675" s="31"/>
      <c r="C675" s="32"/>
      <c r="D675" s="33"/>
      <c r="E675" s="34"/>
      <c r="F675" s="34"/>
      <c r="G675" s="35"/>
      <c r="H675" s="34"/>
      <c r="I675" s="37"/>
    </row>
    <row r="676" ht="22.5" customHeight="1">
      <c r="A676" s="30"/>
      <c r="B676" s="40"/>
      <c r="C676" s="32"/>
      <c r="D676" s="33"/>
      <c r="E676" s="34"/>
      <c r="F676" s="34"/>
      <c r="G676" s="35"/>
      <c r="H676" s="34"/>
      <c r="I676" s="37"/>
    </row>
    <row r="677" ht="22.5" customHeight="1">
      <c r="A677" s="30"/>
      <c r="B677" s="31"/>
      <c r="C677" s="32"/>
      <c r="D677" s="33"/>
      <c r="E677" s="34"/>
      <c r="F677" s="34"/>
      <c r="G677" s="35"/>
      <c r="H677" s="34"/>
      <c r="I677" s="37"/>
    </row>
    <row r="678" ht="22.5" customHeight="1">
      <c r="A678" s="30"/>
      <c r="B678" s="31"/>
      <c r="C678" s="32"/>
      <c r="D678" s="33"/>
      <c r="E678" s="34"/>
      <c r="F678" s="34"/>
      <c r="G678" s="35"/>
      <c r="H678" s="34"/>
      <c r="I678" s="37"/>
    </row>
    <row r="679" ht="22.5" customHeight="1">
      <c r="A679" s="30"/>
      <c r="B679" s="31"/>
      <c r="C679" s="32"/>
      <c r="D679" s="33"/>
      <c r="E679" s="34"/>
      <c r="F679" s="34"/>
      <c r="G679" s="35"/>
      <c r="H679" s="34"/>
      <c r="I679" s="37"/>
    </row>
    <row r="680" ht="22.5" customHeight="1">
      <c r="A680" s="30"/>
      <c r="B680" s="40"/>
      <c r="C680" s="32"/>
      <c r="D680" s="33"/>
      <c r="E680" s="34"/>
      <c r="F680" s="34"/>
      <c r="G680" s="35"/>
      <c r="H680" s="34"/>
      <c r="I680" s="37"/>
    </row>
    <row r="681" ht="22.5" customHeight="1">
      <c r="A681" s="30"/>
      <c r="B681" s="31"/>
      <c r="C681" s="32"/>
      <c r="D681" s="33"/>
      <c r="E681" s="34"/>
      <c r="F681" s="34"/>
      <c r="G681" s="35"/>
      <c r="H681" s="34"/>
      <c r="I681" s="37"/>
    </row>
    <row r="682" ht="22.5" customHeight="1">
      <c r="A682" s="30"/>
      <c r="B682" s="31"/>
      <c r="C682" s="32"/>
      <c r="D682" s="33"/>
      <c r="E682" s="34"/>
      <c r="F682" s="34"/>
      <c r="G682" s="35"/>
      <c r="H682" s="34"/>
      <c r="I682" s="37"/>
    </row>
    <row r="683" ht="22.5" customHeight="1">
      <c r="A683" s="30"/>
      <c r="B683" s="31"/>
      <c r="C683" s="32"/>
      <c r="D683" s="33"/>
      <c r="E683" s="34"/>
      <c r="F683" s="34"/>
      <c r="G683" s="35"/>
      <c r="H683" s="34"/>
      <c r="I683" s="37"/>
    </row>
    <row r="684" ht="22.5" customHeight="1">
      <c r="A684" s="30"/>
      <c r="B684" s="31"/>
      <c r="C684" s="32"/>
      <c r="D684" s="33"/>
      <c r="E684" s="34"/>
      <c r="F684" s="34"/>
      <c r="G684" s="35"/>
      <c r="H684" s="34"/>
      <c r="I684" s="37"/>
    </row>
    <row r="685" ht="22.5" customHeight="1">
      <c r="A685" s="30"/>
      <c r="B685" s="31"/>
      <c r="C685" s="32"/>
      <c r="D685" s="33"/>
      <c r="E685" s="34"/>
      <c r="F685" s="34"/>
      <c r="G685" s="35"/>
      <c r="H685" s="34"/>
      <c r="I685" s="37"/>
    </row>
    <row r="686" ht="22.5" customHeight="1">
      <c r="A686" s="30"/>
      <c r="B686" s="31"/>
      <c r="C686" s="32"/>
      <c r="D686" s="33"/>
      <c r="E686" s="34"/>
      <c r="F686" s="34"/>
      <c r="G686" s="35"/>
      <c r="H686" s="34"/>
      <c r="I686" s="37"/>
    </row>
    <row r="687" ht="22.5" customHeight="1">
      <c r="A687" s="30"/>
      <c r="B687" s="31"/>
      <c r="C687" s="32"/>
      <c r="D687" s="33"/>
      <c r="E687" s="34"/>
      <c r="F687" s="34"/>
      <c r="G687" s="35"/>
      <c r="H687" s="34"/>
      <c r="I687" s="37"/>
    </row>
    <row r="688" ht="22.5" customHeight="1">
      <c r="A688" s="30"/>
      <c r="B688" s="31"/>
      <c r="C688" s="32"/>
      <c r="D688" s="33"/>
      <c r="E688" s="34"/>
      <c r="F688" s="34"/>
      <c r="G688" s="35"/>
      <c r="H688" s="34"/>
      <c r="I688" s="37"/>
    </row>
    <row r="689" ht="22.5" customHeight="1">
      <c r="A689" s="30"/>
      <c r="B689" s="31"/>
      <c r="C689" s="32"/>
      <c r="D689" s="33"/>
      <c r="E689" s="34"/>
      <c r="F689" s="34"/>
      <c r="G689" s="35"/>
      <c r="H689" s="34"/>
      <c r="I689" s="37"/>
    </row>
    <row r="690" ht="22.5" customHeight="1">
      <c r="A690" s="30"/>
      <c r="B690" s="31"/>
      <c r="C690" s="32"/>
      <c r="D690" s="33"/>
      <c r="E690" s="34"/>
      <c r="F690" s="34"/>
      <c r="G690" s="35"/>
      <c r="H690" s="34"/>
      <c r="I690" s="37"/>
    </row>
    <row r="691" ht="22.5" customHeight="1">
      <c r="A691" s="30"/>
      <c r="B691" s="31"/>
      <c r="C691" s="32"/>
      <c r="D691" s="33"/>
      <c r="E691" s="34"/>
      <c r="F691" s="34"/>
      <c r="G691" s="35"/>
      <c r="H691" s="34"/>
      <c r="I691" s="37"/>
    </row>
    <row r="692" ht="22.5" customHeight="1">
      <c r="A692" s="30"/>
      <c r="B692" s="31"/>
      <c r="C692" s="32"/>
      <c r="D692" s="33"/>
      <c r="E692" s="34"/>
      <c r="F692" s="34"/>
      <c r="G692" s="35"/>
      <c r="H692" s="34"/>
      <c r="I692" s="37"/>
    </row>
    <row r="693" ht="22.5" customHeight="1">
      <c r="A693" s="30"/>
      <c r="B693" s="31"/>
      <c r="C693" s="32"/>
      <c r="D693" s="33"/>
      <c r="E693" s="34"/>
      <c r="F693" s="34"/>
      <c r="G693" s="35"/>
      <c r="H693" s="34"/>
      <c r="I693" s="37"/>
    </row>
    <row r="694" ht="22.5" customHeight="1">
      <c r="A694" s="30"/>
      <c r="B694" s="31"/>
      <c r="C694" s="32"/>
      <c r="D694" s="33"/>
      <c r="E694" s="34"/>
      <c r="F694" s="34"/>
      <c r="G694" s="35"/>
      <c r="H694" s="34"/>
      <c r="I694" s="37"/>
    </row>
    <row r="695" ht="22.5" customHeight="1">
      <c r="A695" s="30"/>
      <c r="B695" s="40"/>
      <c r="C695" s="32"/>
      <c r="D695" s="33"/>
      <c r="E695" s="34"/>
      <c r="F695" s="34"/>
      <c r="G695" s="35"/>
      <c r="H695" s="34"/>
      <c r="I695" s="37"/>
    </row>
    <row r="696" ht="22.5" customHeight="1">
      <c r="A696" s="30"/>
      <c r="B696" s="31"/>
      <c r="C696" s="32"/>
      <c r="D696" s="33"/>
      <c r="E696" s="34"/>
      <c r="F696" s="34"/>
      <c r="G696" s="35"/>
      <c r="H696" s="34"/>
      <c r="I696" s="37"/>
    </row>
    <row r="697" ht="22.5" customHeight="1">
      <c r="A697" s="30"/>
      <c r="B697" s="40"/>
      <c r="C697" s="32"/>
      <c r="D697" s="33"/>
      <c r="E697" s="34"/>
      <c r="F697" s="34"/>
      <c r="G697" s="35"/>
      <c r="H697" s="34"/>
      <c r="I697" s="37"/>
    </row>
    <row r="698" ht="22.5" customHeight="1">
      <c r="A698" s="30"/>
      <c r="B698" s="31"/>
      <c r="C698" s="32"/>
      <c r="D698" s="33"/>
      <c r="E698" s="34"/>
      <c r="F698" s="34"/>
      <c r="G698" s="35"/>
      <c r="H698" s="34"/>
      <c r="I698" s="37"/>
    </row>
    <row r="699" ht="22.5" customHeight="1">
      <c r="A699" s="30"/>
      <c r="B699" s="31"/>
      <c r="C699" s="32"/>
      <c r="D699" s="33"/>
      <c r="E699" s="34"/>
      <c r="F699" s="34"/>
      <c r="G699" s="35"/>
      <c r="H699" s="34"/>
      <c r="I699" s="37"/>
    </row>
    <row r="700" ht="22.5" customHeight="1">
      <c r="A700" s="30"/>
      <c r="B700" s="31"/>
      <c r="C700" s="32"/>
      <c r="D700" s="33"/>
      <c r="E700" s="34"/>
      <c r="F700" s="34"/>
      <c r="G700" s="35"/>
      <c r="H700" s="34"/>
      <c r="I700" s="37"/>
    </row>
    <row r="701" ht="22.5" customHeight="1">
      <c r="A701" s="30"/>
      <c r="B701" s="31"/>
      <c r="C701" s="32"/>
      <c r="D701" s="33"/>
      <c r="E701" s="34"/>
      <c r="F701" s="34"/>
      <c r="G701" s="35"/>
      <c r="H701" s="34"/>
      <c r="I701" s="37"/>
    </row>
    <row r="702" ht="22.5" customHeight="1">
      <c r="A702" s="30"/>
      <c r="B702" s="40"/>
      <c r="C702" s="32"/>
      <c r="D702" s="33"/>
      <c r="E702" s="34"/>
      <c r="F702" s="34"/>
      <c r="G702" s="35"/>
      <c r="H702" s="34"/>
      <c r="I702" s="37"/>
    </row>
    <row r="703" ht="22.5" customHeight="1">
      <c r="A703" s="30"/>
      <c r="B703" s="31"/>
      <c r="C703" s="32"/>
      <c r="D703" s="33"/>
      <c r="E703" s="34"/>
      <c r="F703" s="34"/>
      <c r="G703" s="35"/>
      <c r="H703" s="34"/>
      <c r="I703" s="37"/>
    </row>
    <row r="704" ht="22.5" customHeight="1">
      <c r="A704" s="30"/>
      <c r="B704" s="31"/>
      <c r="C704" s="32"/>
      <c r="D704" s="33"/>
      <c r="E704" s="34"/>
      <c r="F704" s="34"/>
      <c r="G704" s="35"/>
      <c r="H704" s="34"/>
      <c r="I704" s="37"/>
    </row>
    <row r="705" ht="22.5" customHeight="1">
      <c r="A705" s="30"/>
      <c r="B705" s="31"/>
      <c r="C705" s="32"/>
      <c r="D705" s="33"/>
      <c r="E705" s="34"/>
      <c r="F705" s="34"/>
      <c r="G705" s="35"/>
      <c r="H705" s="34"/>
      <c r="I705" s="37"/>
    </row>
    <row r="706" ht="22.5" customHeight="1">
      <c r="A706" s="30"/>
      <c r="B706" s="31"/>
      <c r="C706" s="32"/>
      <c r="D706" s="33"/>
      <c r="E706" s="34"/>
      <c r="F706" s="34"/>
      <c r="G706" s="35"/>
      <c r="H706" s="34"/>
      <c r="I706" s="37"/>
    </row>
    <row r="707" ht="22.5" customHeight="1">
      <c r="A707" s="30"/>
      <c r="B707" s="31"/>
      <c r="C707" s="32"/>
      <c r="D707" s="33"/>
      <c r="E707" s="34"/>
      <c r="F707" s="34"/>
      <c r="G707" s="35"/>
      <c r="H707" s="34"/>
      <c r="I707" s="37"/>
    </row>
    <row r="708" ht="22.5" customHeight="1">
      <c r="A708" s="30"/>
      <c r="B708" s="31"/>
      <c r="C708" s="32"/>
      <c r="D708" s="33"/>
      <c r="E708" s="34"/>
      <c r="F708" s="34"/>
      <c r="G708" s="35"/>
      <c r="H708" s="34"/>
      <c r="I708" s="37"/>
    </row>
    <row r="709" ht="22.5" customHeight="1">
      <c r="A709" s="30"/>
      <c r="B709" s="31"/>
      <c r="C709" s="32"/>
      <c r="D709" s="33"/>
      <c r="E709" s="34"/>
      <c r="F709" s="34"/>
      <c r="G709" s="35"/>
      <c r="H709" s="34"/>
      <c r="I709" s="37"/>
    </row>
    <row r="710" ht="22.5" customHeight="1">
      <c r="A710" s="30"/>
      <c r="B710" s="31"/>
      <c r="C710" s="32"/>
      <c r="D710" s="33"/>
      <c r="E710" s="34"/>
      <c r="F710" s="34"/>
      <c r="G710" s="35"/>
      <c r="H710" s="34"/>
      <c r="I710" s="37"/>
    </row>
    <row r="711" ht="22.5" customHeight="1">
      <c r="A711" s="30"/>
      <c r="B711" s="31"/>
      <c r="C711" s="32"/>
      <c r="D711" s="33"/>
      <c r="E711" s="34"/>
      <c r="F711" s="34"/>
      <c r="G711" s="35"/>
      <c r="H711" s="34"/>
      <c r="I711" s="37"/>
    </row>
    <row r="712" ht="22.5" customHeight="1">
      <c r="A712" s="30"/>
      <c r="B712" s="31"/>
      <c r="C712" s="32"/>
      <c r="D712" s="33"/>
      <c r="E712" s="34"/>
      <c r="F712" s="34"/>
      <c r="G712" s="35"/>
      <c r="H712" s="34"/>
      <c r="I712" s="37"/>
    </row>
    <row r="713" ht="22.5" customHeight="1">
      <c r="A713" s="30"/>
      <c r="B713" s="31"/>
      <c r="C713" s="32"/>
      <c r="D713" s="33"/>
      <c r="E713" s="34"/>
      <c r="F713" s="34"/>
      <c r="G713" s="35"/>
      <c r="H713" s="34"/>
      <c r="I713" s="37"/>
    </row>
    <row r="714" ht="22.5" customHeight="1">
      <c r="A714" s="30"/>
      <c r="B714" s="31"/>
      <c r="C714" s="32"/>
      <c r="D714" s="33"/>
      <c r="E714" s="34"/>
      <c r="F714" s="34"/>
      <c r="G714" s="35"/>
      <c r="H714" s="34"/>
      <c r="I714" s="37"/>
    </row>
    <row r="715" ht="22.5" customHeight="1">
      <c r="A715" s="30"/>
      <c r="B715" s="31"/>
      <c r="C715" s="32"/>
      <c r="D715" s="33"/>
      <c r="E715" s="34"/>
      <c r="F715" s="34"/>
      <c r="G715" s="35"/>
      <c r="H715" s="34"/>
      <c r="I715" s="37"/>
    </row>
    <row r="716" ht="22.5" customHeight="1">
      <c r="A716" s="30"/>
      <c r="B716" s="31"/>
      <c r="C716" s="32"/>
      <c r="D716" s="33"/>
      <c r="E716" s="34"/>
      <c r="F716" s="34"/>
      <c r="G716" s="35"/>
      <c r="H716" s="34"/>
      <c r="I716" s="37"/>
    </row>
    <row r="717" ht="22.5" customHeight="1">
      <c r="A717" s="30"/>
      <c r="B717" s="31"/>
      <c r="C717" s="32"/>
      <c r="D717" s="33"/>
      <c r="E717" s="34"/>
      <c r="F717" s="34"/>
      <c r="G717" s="35"/>
      <c r="H717" s="34"/>
      <c r="I717" s="37"/>
    </row>
    <row r="718" ht="22.5" customHeight="1">
      <c r="A718" s="30"/>
      <c r="B718" s="31"/>
      <c r="C718" s="32"/>
      <c r="D718" s="33"/>
      <c r="E718" s="34"/>
      <c r="F718" s="34"/>
      <c r="G718" s="35"/>
      <c r="H718" s="34"/>
      <c r="I718" s="37"/>
    </row>
    <row r="719" ht="22.5" customHeight="1">
      <c r="A719" s="30"/>
      <c r="B719" s="31"/>
      <c r="C719" s="32"/>
      <c r="D719" s="33"/>
      <c r="E719" s="34"/>
      <c r="F719" s="34"/>
      <c r="G719" s="35"/>
      <c r="H719" s="34"/>
      <c r="I719" s="37"/>
    </row>
    <row r="720" ht="22.5" customHeight="1">
      <c r="A720" s="30"/>
      <c r="B720" s="31"/>
      <c r="C720" s="32"/>
      <c r="D720" s="33"/>
      <c r="E720" s="34"/>
      <c r="F720" s="34"/>
      <c r="G720" s="35"/>
      <c r="H720" s="34"/>
      <c r="I720" s="37"/>
    </row>
    <row r="721" ht="22.5" customHeight="1">
      <c r="A721" s="30"/>
      <c r="B721" s="31"/>
      <c r="C721" s="32"/>
      <c r="D721" s="33"/>
      <c r="E721" s="34"/>
      <c r="F721" s="34"/>
      <c r="G721" s="35"/>
      <c r="H721" s="34"/>
      <c r="I721" s="37"/>
    </row>
    <row r="722" ht="22.5" customHeight="1">
      <c r="A722" s="30"/>
      <c r="B722" s="31"/>
      <c r="C722" s="32"/>
      <c r="D722" s="33"/>
      <c r="E722" s="34"/>
      <c r="F722" s="34"/>
      <c r="G722" s="35"/>
      <c r="H722" s="34"/>
      <c r="I722" s="37"/>
    </row>
    <row r="723" ht="22.5" customHeight="1">
      <c r="A723" s="30"/>
      <c r="B723" s="31"/>
      <c r="C723" s="32"/>
      <c r="D723" s="33"/>
      <c r="E723" s="34"/>
      <c r="F723" s="34"/>
      <c r="G723" s="35"/>
      <c r="H723" s="34"/>
      <c r="I723" s="37"/>
    </row>
    <row r="724" ht="22.5" customHeight="1">
      <c r="A724" s="30"/>
      <c r="B724" s="40"/>
      <c r="C724" s="32"/>
      <c r="D724" s="33"/>
      <c r="E724" s="34"/>
      <c r="F724" s="34"/>
      <c r="G724" s="35"/>
      <c r="H724" s="34"/>
      <c r="I724" s="37"/>
    </row>
    <row r="725" ht="22.5" customHeight="1">
      <c r="A725" s="30"/>
      <c r="B725" s="31"/>
      <c r="C725" s="32"/>
      <c r="D725" s="33"/>
      <c r="E725" s="34"/>
      <c r="F725" s="34"/>
      <c r="G725" s="35"/>
      <c r="H725" s="34"/>
      <c r="I725" s="37"/>
    </row>
    <row r="726" ht="22.5" customHeight="1">
      <c r="A726" s="30"/>
      <c r="B726" s="31"/>
      <c r="C726" s="32"/>
      <c r="D726" s="33"/>
      <c r="E726" s="34"/>
      <c r="F726" s="34"/>
      <c r="G726" s="35"/>
      <c r="H726" s="34"/>
      <c r="I726" s="37"/>
    </row>
    <row r="727" ht="22.5" customHeight="1">
      <c r="A727" s="30"/>
      <c r="B727" s="31"/>
      <c r="C727" s="32"/>
      <c r="D727" s="33"/>
      <c r="E727" s="34"/>
      <c r="F727" s="34"/>
      <c r="G727" s="35"/>
      <c r="H727" s="34"/>
      <c r="I727" s="37"/>
    </row>
    <row r="728" ht="22.5" customHeight="1">
      <c r="A728" s="30"/>
      <c r="B728" s="31"/>
      <c r="C728" s="32"/>
      <c r="D728" s="33"/>
      <c r="E728" s="34"/>
      <c r="F728" s="34"/>
      <c r="G728" s="35"/>
      <c r="H728" s="34"/>
      <c r="I728" s="38"/>
    </row>
    <row r="729" ht="22.5" customHeight="1">
      <c r="A729" s="30"/>
      <c r="B729" s="39"/>
      <c r="C729" s="32"/>
      <c r="D729" s="33"/>
      <c r="E729" s="34"/>
      <c r="F729" s="34"/>
      <c r="G729" s="35"/>
      <c r="H729" s="34"/>
      <c r="I729" s="37"/>
    </row>
    <row r="730" ht="22.5" customHeight="1">
      <c r="A730" s="30"/>
      <c r="B730" s="31"/>
      <c r="C730" s="32"/>
      <c r="D730" s="33"/>
      <c r="E730" s="34"/>
      <c r="F730" s="34"/>
      <c r="G730" s="35"/>
      <c r="H730" s="34"/>
      <c r="I730" s="37"/>
    </row>
    <row r="731" ht="22.5" customHeight="1">
      <c r="A731" s="30"/>
      <c r="B731" s="31"/>
      <c r="C731" s="32"/>
      <c r="D731" s="33"/>
      <c r="E731" s="34"/>
      <c r="F731" s="34"/>
      <c r="G731" s="35"/>
      <c r="H731" s="34"/>
      <c r="I731" s="37"/>
    </row>
    <row r="732" ht="22.5" customHeight="1">
      <c r="A732" s="30"/>
      <c r="B732" s="31"/>
      <c r="C732" s="32"/>
      <c r="D732" s="33"/>
      <c r="E732" s="34"/>
      <c r="F732" s="34"/>
      <c r="G732" s="35"/>
      <c r="H732" s="34"/>
      <c r="I732" s="37"/>
    </row>
    <row r="733" ht="22.5" customHeight="1">
      <c r="A733" s="30"/>
      <c r="B733" s="39"/>
      <c r="C733" s="32"/>
      <c r="D733" s="33"/>
      <c r="E733" s="34"/>
      <c r="F733" s="34"/>
      <c r="G733" s="35"/>
      <c r="H733" s="34"/>
      <c r="I733" s="37"/>
    </row>
    <row r="734" ht="22.5" customHeight="1">
      <c r="A734" s="30"/>
      <c r="B734" s="31"/>
      <c r="C734" s="32"/>
      <c r="D734" s="33"/>
      <c r="E734" s="34"/>
      <c r="F734" s="34"/>
      <c r="G734" s="35"/>
      <c r="H734" s="34"/>
      <c r="I734" s="37"/>
    </row>
    <row r="735" ht="22.5" customHeight="1">
      <c r="A735" s="30"/>
      <c r="B735" s="39"/>
      <c r="C735" s="32"/>
      <c r="D735" s="33"/>
      <c r="E735" s="34"/>
      <c r="F735" s="34"/>
      <c r="G735" s="35"/>
      <c r="H735" s="34"/>
      <c r="I735" s="37"/>
    </row>
    <row r="736" ht="22.5" customHeight="1">
      <c r="A736" s="30"/>
      <c r="B736" s="31"/>
      <c r="C736" s="32"/>
      <c r="D736" s="33"/>
      <c r="E736" s="34"/>
      <c r="F736" s="34"/>
      <c r="G736" s="35"/>
      <c r="H736" s="34"/>
      <c r="I736" s="37"/>
    </row>
    <row r="737" ht="22.5" customHeight="1">
      <c r="A737" s="30"/>
      <c r="B737" s="31"/>
      <c r="C737" s="32"/>
      <c r="D737" s="33"/>
      <c r="E737" s="34"/>
      <c r="F737" s="34"/>
      <c r="G737" s="35"/>
      <c r="H737" s="34"/>
      <c r="I737" s="37"/>
    </row>
    <row r="738" ht="22.5" customHeight="1">
      <c r="A738" s="30"/>
      <c r="B738" s="31"/>
      <c r="C738" s="32"/>
      <c r="D738" s="33"/>
      <c r="E738" s="34"/>
      <c r="F738" s="34"/>
      <c r="G738" s="35"/>
      <c r="H738" s="34"/>
      <c r="I738" s="37"/>
    </row>
    <row r="739" ht="22.5" customHeight="1">
      <c r="A739" s="30"/>
      <c r="B739" s="31"/>
      <c r="C739" s="32"/>
      <c r="D739" s="33"/>
      <c r="E739" s="34"/>
      <c r="F739" s="34"/>
      <c r="G739" s="35"/>
      <c r="H739" s="34"/>
      <c r="I739" s="37"/>
    </row>
    <row r="740" ht="22.5" customHeight="1">
      <c r="A740" s="30"/>
      <c r="B740" s="31"/>
      <c r="C740" s="32"/>
      <c r="D740" s="33"/>
      <c r="E740" s="34"/>
      <c r="F740" s="34"/>
      <c r="G740" s="35"/>
      <c r="H740" s="34"/>
      <c r="I740" s="37"/>
    </row>
    <row r="741" ht="22.5" customHeight="1">
      <c r="A741" s="30"/>
      <c r="B741" s="31"/>
      <c r="C741" s="32"/>
      <c r="D741" s="33"/>
      <c r="E741" s="34"/>
      <c r="F741" s="34"/>
      <c r="G741" s="35"/>
      <c r="H741" s="34"/>
      <c r="I741" s="37"/>
    </row>
    <row r="742" ht="22.5" customHeight="1">
      <c r="A742" s="30"/>
      <c r="B742" s="31"/>
      <c r="C742" s="32"/>
      <c r="D742" s="33"/>
      <c r="E742" s="34"/>
      <c r="F742" s="34"/>
      <c r="G742" s="35"/>
      <c r="H742" s="34"/>
      <c r="I742" s="37"/>
    </row>
    <row r="743" ht="22.5" customHeight="1">
      <c r="A743" s="30"/>
      <c r="B743" s="31"/>
      <c r="C743" s="32"/>
      <c r="D743" s="33"/>
      <c r="E743" s="34"/>
      <c r="F743" s="34"/>
      <c r="G743" s="35"/>
      <c r="H743" s="34"/>
      <c r="I743" s="37"/>
    </row>
    <row r="744" ht="22.5" customHeight="1">
      <c r="A744" s="30"/>
      <c r="B744" s="31"/>
      <c r="C744" s="32"/>
      <c r="D744" s="33"/>
      <c r="E744" s="34"/>
      <c r="F744" s="34"/>
      <c r="G744" s="35"/>
      <c r="H744" s="34"/>
      <c r="I744" s="37"/>
    </row>
    <row r="745" ht="22.5" customHeight="1">
      <c r="A745" s="30"/>
      <c r="B745" s="31"/>
      <c r="C745" s="32"/>
      <c r="D745" s="33"/>
      <c r="E745" s="34"/>
      <c r="F745" s="34"/>
      <c r="G745" s="35"/>
      <c r="H745" s="34"/>
      <c r="I745" s="37"/>
    </row>
    <row r="746" ht="22.5" customHeight="1">
      <c r="A746" s="30"/>
      <c r="B746" s="40"/>
      <c r="C746" s="32"/>
      <c r="D746" s="33"/>
      <c r="E746" s="34"/>
      <c r="F746" s="34"/>
      <c r="G746" s="35"/>
      <c r="H746" s="34"/>
      <c r="I746" s="37"/>
    </row>
    <row r="747" ht="22.5" customHeight="1">
      <c r="A747" s="30"/>
      <c r="B747" s="31"/>
      <c r="C747" s="32"/>
      <c r="D747" s="33"/>
      <c r="E747" s="34"/>
      <c r="F747" s="34"/>
      <c r="G747" s="35"/>
      <c r="H747" s="34"/>
      <c r="I747" s="37"/>
    </row>
    <row r="748" ht="22.5" customHeight="1">
      <c r="A748" s="30"/>
      <c r="B748" s="31"/>
      <c r="C748" s="32"/>
      <c r="D748" s="33"/>
      <c r="E748" s="34"/>
      <c r="F748" s="34"/>
      <c r="G748" s="35"/>
      <c r="H748" s="34"/>
      <c r="I748" s="37"/>
    </row>
    <row r="749" ht="22.5" customHeight="1">
      <c r="A749" s="30"/>
      <c r="B749" s="31"/>
      <c r="C749" s="32"/>
      <c r="D749" s="33"/>
      <c r="E749" s="34"/>
      <c r="F749" s="34"/>
      <c r="G749" s="35"/>
      <c r="H749" s="34"/>
      <c r="I749" s="37"/>
    </row>
    <row r="750" ht="22.5" customHeight="1">
      <c r="A750" s="30"/>
      <c r="B750" s="31"/>
      <c r="C750" s="32"/>
      <c r="D750" s="33"/>
      <c r="E750" s="34"/>
      <c r="F750" s="34"/>
      <c r="G750" s="35"/>
      <c r="H750" s="34"/>
      <c r="I750" s="37"/>
    </row>
    <row r="751" ht="22.5" customHeight="1">
      <c r="A751" s="30"/>
      <c r="B751" s="31"/>
      <c r="C751" s="32"/>
      <c r="D751" s="33"/>
      <c r="E751" s="34"/>
      <c r="F751" s="34"/>
      <c r="G751" s="35"/>
      <c r="H751" s="34"/>
      <c r="I751" s="37"/>
    </row>
    <row r="752" ht="22.5" customHeight="1">
      <c r="A752" s="30"/>
      <c r="B752" s="31"/>
      <c r="C752" s="32"/>
      <c r="D752" s="33"/>
      <c r="E752" s="34"/>
      <c r="F752" s="34"/>
      <c r="G752" s="35"/>
      <c r="H752" s="34"/>
      <c r="I752" s="37"/>
    </row>
    <row r="753" ht="22.5" customHeight="1">
      <c r="A753" s="30"/>
      <c r="B753" s="39"/>
      <c r="C753" s="32"/>
      <c r="D753" s="33"/>
      <c r="E753" s="34"/>
      <c r="F753" s="34"/>
      <c r="G753" s="35"/>
      <c r="H753" s="34"/>
      <c r="I753" s="37"/>
    </row>
    <row r="754" ht="22.5" customHeight="1">
      <c r="A754" s="30"/>
      <c r="B754" s="39"/>
      <c r="C754" s="32"/>
      <c r="D754" s="33"/>
      <c r="E754" s="34"/>
      <c r="F754" s="34"/>
      <c r="G754" s="35"/>
      <c r="H754" s="34"/>
      <c r="I754" s="37"/>
    </row>
    <row r="755" ht="22.5" customHeight="1">
      <c r="A755" s="30"/>
      <c r="B755" s="39"/>
      <c r="C755" s="32"/>
      <c r="D755" s="33"/>
      <c r="E755" s="34"/>
      <c r="F755" s="34"/>
      <c r="G755" s="35"/>
      <c r="H755" s="34"/>
      <c r="I755" s="37"/>
    </row>
    <row r="756" ht="22.5" customHeight="1">
      <c r="A756" s="30"/>
      <c r="B756" s="40"/>
      <c r="C756" s="32"/>
      <c r="D756" s="33"/>
      <c r="E756" s="34"/>
      <c r="F756" s="34"/>
      <c r="G756" s="35"/>
      <c r="H756" s="34"/>
      <c r="I756" s="37"/>
    </row>
    <row r="757" ht="22.5" customHeight="1">
      <c r="A757" s="30"/>
      <c r="B757" s="31"/>
      <c r="C757" s="32"/>
      <c r="D757" s="33"/>
      <c r="E757" s="34"/>
      <c r="F757" s="34"/>
      <c r="G757" s="35"/>
      <c r="H757" s="34"/>
      <c r="I757" s="37"/>
    </row>
    <row r="758" ht="22.5" customHeight="1">
      <c r="A758" s="30"/>
      <c r="B758" s="31"/>
      <c r="C758" s="32"/>
      <c r="D758" s="33"/>
      <c r="E758" s="34"/>
      <c r="F758" s="34"/>
      <c r="G758" s="35"/>
      <c r="H758" s="34"/>
      <c r="I758" s="37"/>
    </row>
    <row r="759" ht="22.5" customHeight="1">
      <c r="A759" s="30"/>
      <c r="B759" s="31"/>
      <c r="C759" s="32"/>
      <c r="D759" s="33"/>
      <c r="E759" s="34"/>
      <c r="F759" s="34"/>
      <c r="G759" s="35"/>
      <c r="H759" s="34"/>
      <c r="I759" s="37"/>
    </row>
    <row r="760" ht="22.5" customHeight="1">
      <c r="A760" s="30"/>
      <c r="B760" s="31"/>
      <c r="C760" s="32"/>
      <c r="D760" s="33"/>
      <c r="E760" s="34"/>
      <c r="F760" s="34"/>
      <c r="G760" s="35"/>
      <c r="H760" s="34"/>
      <c r="I760" s="37"/>
    </row>
    <row r="761" ht="22.5" customHeight="1">
      <c r="A761" s="30"/>
      <c r="B761" s="31"/>
      <c r="C761" s="32"/>
      <c r="D761" s="33"/>
      <c r="E761" s="34"/>
      <c r="F761" s="34"/>
      <c r="G761" s="35"/>
      <c r="H761" s="34"/>
      <c r="I761" s="37"/>
    </row>
    <row r="762" ht="22.5" customHeight="1">
      <c r="A762" s="30"/>
      <c r="B762" s="31"/>
      <c r="C762" s="32"/>
      <c r="D762" s="33"/>
      <c r="E762" s="34"/>
      <c r="F762" s="34"/>
      <c r="G762" s="35"/>
      <c r="H762" s="34"/>
      <c r="I762" s="37"/>
    </row>
    <row r="763" ht="22.5" customHeight="1">
      <c r="A763" s="30"/>
      <c r="B763" s="31"/>
      <c r="C763" s="32"/>
      <c r="D763" s="33"/>
      <c r="E763" s="34"/>
      <c r="F763" s="34"/>
      <c r="G763" s="35"/>
      <c r="H763" s="34"/>
      <c r="I763" s="37"/>
    </row>
    <row r="764" ht="22.5" customHeight="1">
      <c r="A764" s="30"/>
      <c r="B764" s="31"/>
      <c r="C764" s="32"/>
      <c r="D764" s="33"/>
      <c r="E764" s="34"/>
      <c r="F764" s="34"/>
      <c r="G764" s="35"/>
      <c r="H764" s="34"/>
      <c r="I764" s="37"/>
    </row>
    <row r="765" ht="22.5" customHeight="1">
      <c r="A765" s="30"/>
      <c r="B765" s="31"/>
      <c r="C765" s="32"/>
      <c r="D765" s="33"/>
      <c r="E765" s="34"/>
      <c r="F765" s="34"/>
      <c r="G765" s="35"/>
      <c r="H765" s="34"/>
      <c r="I765" s="37"/>
    </row>
    <row r="766" ht="22.5" customHeight="1">
      <c r="A766" s="30"/>
      <c r="B766" s="40"/>
      <c r="C766" s="32"/>
      <c r="D766" s="33"/>
      <c r="E766" s="34"/>
      <c r="F766" s="34"/>
      <c r="G766" s="35"/>
      <c r="H766" s="34"/>
      <c r="I766" s="37"/>
    </row>
    <row r="767" ht="22.5" customHeight="1">
      <c r="A767" s="30"/>
      <c r="B767" s="31"/>
      <c r="C767" s="32"/>
      <c r="D767" s="33"/>
      <c r="E767" s="34"/>
      <c r="F767" s="34"/>
      <c r="G767" s="35"/>
      <c r="H767" s="34"/>
      <c r="I767" s="37"/>
    </row>
    <row r="768" ht="22.5" customHeight="1">
      <c r="A768" s="30"/>
      <c r="B768" s="31"/>
      <c r="C768" s="32"/>
      <c r="D768" s="33"/>
      <c r="E768" s="34"/>
      <c r="F768" s="34"/>
      <c r="G768" s="35"/>
      <c r="H768" s="34"/>
      <c r="I768" s="37"/>
    </row>
    <row r="769" ht="22.5" customHeight="1">
      <c r="A769" s="30"/>
      <c r="B769" s="31"/>
      <c r="C769" s="32"/>
      <c r="D769" s="33"/>
      <c r="E769" s="34"/>
      <c r="F769" s="34"/>
      <c r="G769" s="35"/>
      <c r="H769" s="34"/>
      <c r="I769" s="37"/>
    </row>
    <row r="770" ht="22.5" customHeight="1">
      <c r="A770" s="30"/>
      <c r="B770" s="40"/>
      <c r="C770" s="32"/>
      <c r="D770" s="33"/>
      <c r="E770" s="34"/>
      <c r="F770" s="34"/>
      <c r="G770" s="35"/>
      <c r="H770" s="34"/>
      <c r="I770" s="37"/>
    </row>
    <row r="771" ht="22.5" customHeight="1">
      <c r="A771" s="30"/>
      <c r="B771" s="31"/>
      <c r="C771" s="32"/>
      <c r="D771" s="33"/>
      <c r="E771" s="34"/>
      <c r="F771" s="34"/>
      <c r="G771" s="35"/>
      <c r="H771" s="34"/>
      <c r="I771" s="37"/>
    </row>
    <row r="772" ht="22.5" customHeight="1">
      <c r="A772" s="30"/>
      <c r="B772" s="31"/>
      <c r="C772" s="32"/>
      <c r="D772" s="33"/>
      <c r="E772" s="34"/>
      <c r="F772" s="34"/>
      <c r="G772" s="35"/>
      <c r="H772" s="34"/>
      <c r="I772" s="37"/>
    </row>
    <row r="773" ht="22.5" customHeight="1">
      <c r="A773" s="30"/>
      <c r="B773" s="31"/>
      <c r="C773" s="32"/>
      <c r="D773" s="33"/>
      <c r="E773" s="34"/>
      <c r="F773" s="34"/>
      <c r="G773" s="35"/>
      <c r="H773" s="34"/>
      <c r="I773" s="37"/>
    </row>
    <row r="774" ht="22.5" customHeight="1">
      <c r="A774" s="30"/>
      <c r="B774" s="31"/>
      <c r="C774" s="32"/>
      <c r="D774" s="33"/>
      <c r="E774" s="34"/>
      <c r="F774" s="34"/>
      <c r="G774" s="35"/>
      <c r="H774" s="34"/>
      <c r="I774" s="37"/>
    </row>
    <row r="775" ht="22.5" customHeight="1">
      <c r="A775" s="30"/>
      <c r="B775" s="31"/>
      <c r="C775" s="32"/>
      <c r="D775" s="33"/>
      <c r="E775" s="34"/>
      <c r="F775" s="34"/>
      <c r="G775" s="35"/>
      <c r="H775" s="34"/>
      <c r="I775" s="37"/>
    </row>
    <row r="776" ht="22.5" customHeight="1">
      <c r="A776" s="30"/>
      <c r="B776" s="31"/>
      <c r="C776" s="32"/>
      <c r="D776" s="33"/>
      <c r="E776" s="34"/>
      <c r="F776" s="34"/>
      <c r="G776" s="35"/>
      <c r="H776" s="34"/>
      <c r="I776" s="37"/>
    </row>
    <row r="777" ht="22.5" customHeight="1">
      <c r="A777" s="30"/>
      <c r="B777" s="31"/>
      <c r="C777" s="32"/>
      <c r="D777" s="33"/>
      <c r="E777" s="34"/>
      <c r="F777" s="34"/>
      <c r="G777" s="35"/>
      <c r="H777" s="34"/>
      <c r="I777" s="37"/>
    </row>
    <row r="778" ht="22.5" customHeight="1">
      <c r="A778" s="30"/>
      <c r="B778" s="31"/>
      <c r="C778" s="32"/>
      <c r="D778" s="33"/>
      <c r="E778" s="34"/>
      <c r="F778" s="34"/>
      <c r="G778" s="35"/>
      <c r="H778" s="34"/>
      <c r="I778" s="37"/>
    </row>
    <row r="779" ht="22.5" customHeight="1">
      <c r="A779" s="30"/>
      <c r="B779" s="31"/>
      <c r="C779" s="32"/>
      <c r="D779" s="33"/>
      <c r="E779" s="34"/>
      <c r="F779" s="34"/>
      <c r="G779" s="35"/>
      <c r="H779" s="34"/>
      <c r="I779" s="37"/>
    </row>
    <row r="780" ht="22.5" customHeight="1">
      <c r="A780" s="30"/>
      <c r="B780" s="31"/>
      <c r="C780" s="32"/>
      <c r="D780" s="33"/>
      <c r="E780" s="34"/>
      <c r="F780" s="34"/>
      <c r="G780" s="35"/>
      <c r="H780" s="34"/>
      <c r="I780" s="37"/>
    </row>
    <row r="781" ht="22.5" customHeight="1">
      <c r="A781" s="30"/>
      <c r="B781" s="31"/>
      <c r="C781" s="32"/>
      <c r="D781" s="33"/>
      <c r="E781" s="34"/>
      <c r="F781" s="34"/>
      <c r="G781" s="35"/>
      <c r="H781" s="34"/>
      <c r="I781" s="37"/>
    </row>
    <row r="782" ht="22.5" customHeight="1">
      <c r="A782" s="30"/>
      <c r="B782" s="31"/>
      <c r="C782" s="32"/>
      <c r="D782" s="33"/>
      <c r="E782" s="34"/>
      <c r="F782" s="34"/>
      <c r="G782" s="35"/>
      <c r="H782" s="34"/>
      <c r="I782" s="37"/>
    </row>
    <row r="783" ht="22.5" customHeight="1">
      <c r="A783" s="30"/>
      <c r="B783" s="31"/>
      <c r="C783" s="32"/>
      <c r="D783" s="33"/>
      <c r="E783" s="34"/>
      <c r="F783" s="34"/>
      <c r="G783" s="35"/>
      <c r="H783" s="34"/>
      <c r="I783" s="37"/>
    </row>
    <row r="784" ht="22.5" customHeight="1">
      <c r="A784" s="30"/>
      <c r="B784" s="31"/>
      <c r="C784" s="32"/>
      <c r="D784" s="33"/>
      <c r="E784" s="34"/>
      <c r="F784" s="34"/>
      <c r="G784" s="35"/>
      <c r="H784" s="34"/>
      <c r="I784" s="37"/>
    </row>
    <row r="785" ht="22.5" customHeight="1">
      <c r="A785" s="30"/>
      <c r="B785" s="40"/>
      <c r="C785" s="32"/>
      <c r="D785" s="33"/>
      <c r="E785" s="34"/>
      <c r="F785" s="34"/>
      <c r="G785" s="35"/>
      <c r="H785" s="34"/>
      <c r="I785" s="37"/>
    </row>
    <row r="786" ht="22.5" customHeight="1">
      <c r="A786" s="30"/>
      <c r="B786" s="31"/>
      <c r="C786" s="32"/>
      <c r="D786" s="33"/>
      <c r="E786" s="34"/>
      <c r="F786" s="34"/>
      <c r="G786" s="35"/>
      <c r="H786" s="34"/>
      <c r="I786" s="37"/>
    </row>
    <row r="787" ht="22.5" customHeight="1">
      <c r="A787" s="30"/>
      <c r="B787" s="40"/>
      <c r="C787" s="32"/>
      <c r="D787" s="33"/>
      <c r="E787" s="34"/>
      <c r="F787" s="34"/>
      <c r="G787" s="35"/>
      <c r="H787" s="34"/>
      <c r="I787" s="37"/>
    </row>
    <row r="788" ht="22.5" customHeight="1">
      <c r="A788" s="30"/>
      <c r="B788" s="31"/>
      <c r="C788" s="32"/>
      <c r="D788" s="33"/>
      <c r="E788" s="34"/>
      <c r="F788" s="34"/>
      <c r="G788" s="35"/>
      <c r="H788" s="34"/>
      <c r="I788" s="37"/>
    </row>
    <row r="789" ht="22.5" customHeight="1">
      <c r="A789" s="30"/>
      <c r="B789" s="31"/>
      <c r="C789" s="32"/>
      <c r="D789" s="33"/>
      <c r="E789" s="34"/>
      <c r="F789" s="34"/>
      <c r="G789" s="35"/>
      <c r="H789" s="34"/>
      <c r="I789" s="37"/>
    </row>
    <row r="790" ht="22.5" customHeight="1">
      <c r="A790" s="30"/>
      <c r="B790" s="31"/>
      <c r="C790" s="32"/>
      <c r="D790" s="33"/>
      <c r="E790" s="34"/>
      <c r="F790" s="34"/>
      <c r="G790" s="35"/>
      <c r="H790" s="34"/>
      <c r="I790" s="37"/>
    </row>
    <row r="791" ht="22.5" customHeight="1">
      <c r="A791" s="30"/>
      <c r="B791" s="31"/>
      <c r="C791" s="32"/>
      <c r="D791" s="33"/>
      <c r="E791" s="34"/>
      <c r="F791" s="34"/>
      <c r="G791" s="35"/>
      <c r="H791" s="34"/>
      <c r="I791" s="37"/>
    </row>
    <row r="792" ht="22.5" customHeight="1">
      <c r="A792" s="30"/>
      <c r="B792" s="40"/>
      <c r="C792" s="32"/>
      <c r="D792" s="33"/>
      <c r="E792" s="34"/>
      <c r="F792" s="34"/>
      <c r="G792" s="35"/>
      <c r="H792" s="34"/>
      <c r="I792" s="37"/>
    </row>
    <row r="793" ht="22.5" customHeight="1">
      <c r="A793" s="30"/>
      <c r="B793" s="31"/>
      <c r="C793" s="32"/>
      <c r="D793" s="33"/>
      <c r="E793" s="34"/>
      <c r="F793" s="34"/>
      <c r="G793" s="35"/>
      <c r="H793" s="34"/>
      <c r="I793" s="37"/>
    </row>
    <row r="794" ht="22.5" customHeight="1">
      <c r="A794" s="30"/>
      <c r="B794" s="31"/>
      <c r="C794" s="32"/>
      <c r="D794" s="33"/>
      <c r="E794" s="34"/>
      <c r="F794" s="34"/>
      <c r="G794" s="35"/>
      <c r="H794" s="34"/>
      <c r="I794" s="37"/>
    </row>
    <row r="795" ht="22.5" customHeight="1">
      <c r="A795" s="30"/>
      <c r="B795" s="31"/>
      <c r="C795" s="32"/>
      <c r="D795" s="33"/>
      <c r="E795" s="34"/>
      <c r="F795" s="34"/>
      <c r="G795" s="35"/>
      <c r="H795" s="34"/>
      <c r="I795" s="37"/>
    </row>
    <row r="796" ht="22.5" customHeight="1">
      <c r="A796" s="30"/>
      <c r="B796" s="31"/>
      <c r="C796" s="32"/>
      <c r="D796" s="33"/>
      <c r="E796" s="34"/>
      <c r="F796" s="34"/>
      <c r="G796" s="35"/>
      <c r="H796" s="34"/>
      <c r="I796" s="37"/>
    </row>
    <row r="797" ht="22.5" customHeight="1">
      <c r="A797" s="30"/>
      <c r="B797" s="31"/>
      <c r="C797" s="32"/>
      <c r="D797" s="33"/>
      <c r="E797" s="34"/>
      <c r="F797" s="34"/>
      <c r="G797" s="35"/>
      <c r="H797" s="34"/>
      <c r="I797" s="37"/>
    </row>
    <row r="798" ht="22.5" customHeight="1">
      <c r="A798" s="30"/>
      <c r="B798" s="31"/>
      <c r="C798" s="32"/>
      <c r="D798" s="33"/>
      <c r="E798" s="34"/>
      <c r="F798" s="34"/>
      <c r="G798" s="35"/>
      <c r="H798" s="34"/>
      <c r="I798" s="37"/>
    </row>
    <row r="799" ht="22.5" customHeight="1">
      <c r="A799" s="30"/>
      <c r="B799" s="31"/>
      <c r="C799" s="32"/>
      <c r="D799" s="33"/>
      <c r="E799" s="34"/>
      <c r="F799" s="34"/>
      <c r="G799" s="35"/>
      <c r="H799" s="34"/>
      <c r="I799" s="37"/>
    </row>
    <row r="800" ht="22.5" customHeight="1">
      <c r="A800" s="30"/>
      <c r="B800" s="31"/>
      <c r="C800" s="32"/>
      <c r="D800" s="33"/>
      <c r="E800" s="34"/>
      <c r="F800" s="34"/>
      <c r="G800" s="35"/>
      <c r="H800" s="34"/>
      <c r="I800" s="37"/>
    </row>
    <row r="801" ht="22.5" customHeight="1">
      <c r="A801" s="30"/>
      <c r="B801" s="31"/>
      <c r="C801" s="32"/>
      <c r="D801" s="33"/>
      <c r="E801" s="34"/>
      <c r="F801" s="34"/>
      <c r="G801" s="35"/>
      <c r="H801" s="34"/>
      <c r="I801" s="37"/>
    </row>
    <row r="802" ht="22.5" customHeight="1">
      <c r="A802" s="30"/>
      <c r="B802" s="31"/>
      <c r="C802" s="32"/>
      <c r="D802" s="33"/>
      <c r="E802" s="34"/>
      <c r="F802" s="34"/>
      <c r="G802" s="35"/>
      <c r="H802" s="34"/>
      <c r="I802" s="37"/>
    </row>
    <row r="803" ht="22.5" customHeight="1">
      <c r="A803" s="30"/>
      <c r="B803" s="31"/>
      <c r="C803" s="32"/>
      <c r="D803" s="33"/>
      <c r="E803" s="34"/>
      <c r="F803" s="34"/>
      <c r="G803" s="35"/>
      <c r="H803" s="34"/>
      <c r="I803" s="37"/>
    </row>
    <row r="804" ht="22.5" customHeight="1">
      <c r="A804" s="30"/>
      <c r="B804" s="31"/>
      <c r="C804" s="32"/>
      <c r="D804" s="33"/>
      <c r="E804" s="34"/>
      <c r="F804" s="34"/>
      <c r="G804" s="35"/>
      <c r="H804" s="34"/>
      <c r="I804" s="37"/>
    </row>
    <row r="805" ht="22.5" customHeight="1">
      <c r="A805" s="30"/>
      <c r="B805" s="31"/>
      <c r="C805" s="32"/>
      <c r="D805" s="33"/>
      <c r="E805" s="34"/>
      <c r="F805" s="34"/>
      <c r="G805" s="35"/>
      <c r="H805" s="34"/>
      <c r="I805" s="37"/>
    </row>
    <row r="806" ht="22.5" customHeight="1">
      <c r="A806" s="30"/>
      <c r="B806" s="31"/>
      <c r="C806" s="32"/>
      <c r="D806" s="33"/>
      <c r="E806" s="34"/>
      <c r="F806" s="34"/>
      <c r="G806" s="35"/>
      <c r="H806" s="34"/>
      <c r="I806" s="37"/>
    </row>
    <row r="807" ht="22.5" customHeight="1">
      <c r="A807" s="30"/>
      <c r="B807" s="31"/>
      <c r="C807" s="32"/>
      <c r="D807" s="33"/>
      <c r="E807" s="34"/>
      <c r="F807" s="34"/>
      <c r="G807" s="35"/>
      <c r="H807" s="34"/>
      <c r="I807" s="37"/>
    </row>
    <row r="808" ht="22.5" customHeight="1">
      <c r="A808" s="30"/>
      <c r="B808" s="31"/>
      <c r="C808" s="32"/>
      <c r="D808" s="33"/>
      <c r="E808" s="34"/>
      <c r="F808" s="34"/>
      <c r="G808" s="35"/>
      <c r="H808" s="34"/>
      <c r="I808" s="37"/>
    </row>
    <row r="809" ht="22.5" customHeight="1">
      <c r="A809" s="30"/>
      <c r="B809" s="31"/>
      <c r="C809" s="32"/>
      <c r="D809" s="33"/>
      <c r="E809" s="34"/>
      <c r="F809" s="34"/>
      <c r="G809" s="35"/>
      <c r="H809" s="34"/>
      <c r="I809" s="37"/>
    </row>
    <row r="810" ht="22.5" customHeight="1">
      <c r="A810" s="30"/>
      <c r="B810" s="31"/>
      <c r="C810" s="32"/>
      <c r="D810" s="33"/>
      <c r="E810" s="34"/>
      <c r="F810" s="34"/>
      <c r="G810" s="35"/>
      <c r="H810" s="34"/>
      <c r="I810" s="37"/>
    </row>
    <row r="811" ht="22.5" customHeight="1">
      <c r="A811" s="30"/>
      <c r="B811" s="31"/>
      <c r="C811" s="32"/>
      <c r="D811" s="33"/>
      <c r="E811" s="34"/>
      <c r="F811" s="34"/>
      <c r="G811" s="35"/>
      <c r="H811" s="34"/>
      <c r="I811" s="37"/>
    </row>
    <row r="812" ht="22.5" customHeight="1">
      <c r="A812" s="30"/>
      <c r="B812" s="31"/>
      <c r="C812" s="32"/>
      <c r="D812" s="33"/>
      <c r="E812" s="34"/>
      <c r="F812" s="34"/>
      <c r="G812" s="35"/>
      <c r="H812" s="34"/>
      <c r="I812" s="37"/>
    </row>
    <row r="813" ht="22.5" customHeight="1">
      <c r="A813" s="30"/>
      <c r="B813" s="31"/>
      <c r="C813" s="32"/>
      <c r="D813" s="33"/>
      <c r="E813" s="34"/>
      <c r="F813" s="34"/>
      <c r="G813" s="35"/>
      <c r="H813" s="34"/>
      <c r="I813" s="37"/>
    </row>
    <row r="814" ht="22.5" customHeight="1">
      <c r="A814" s="30"/>
      <c r="B814" s="40"/>
      <c r="C814" s="32"/>
      <c r="D814" s="33"/>
      <c r="E814" s="34"/>
      <c r="F814" s="34"/>
      <c r="G814" s="35"/>
      <c r="H814" s="34"/>
      <c r="I814" s="37"/>
    </row>
    <row r="815" ht="22.5" customHeight="1">
      <c r="A815" s="30"/>
      <c r="B815" s="31"/>
      <c r="C815" s="32"/>
      <c r="D815" s="33"/>
      <c r="E815" s="34"/>
      <c r="F815" s="34"/>
      <c r="G815" s="35"/>
      <c r="H815" s="34"/>
      <c r="I815" s="37"/>
    </row>
    <row r="816" ht="22.5" customHeight="1">
      <c r="A816" s="30"/>
      <c r="B816" s="31"/>
      <c r="C816" s="32"/>
      <c r="D816" s="33"/>
      <c r="E816" s="34"/>
      <c r="F816" s="34"/>
      <c r="G816" s="35"/>
      <c r="H816" s="34"/>
      <c r="I816" s="37"/>
    </row>
    <row r="817" ht="22.5" customHeight="1">
      <c r="A817" s="30"/>
      <c r="B817" s="31"/>
      <c r="C817" s="32"/>
      <c r="D817" s="33"/>
      <c r="E817" s="34"/>
      <c r="F817" s="34"/>
      <c r="G817" s="35"/>
      <c r="H817" s="34"/>
      <c r="I817" s="37"/>
    </row>
    <row r="818" ht="22.5" customHeight="1">
      <c r="A818" s="30"/>
      <c r="B818" s="31"/>
      <c r="C818" s="32"/>
      <c r="D818" s="33"/>
      <c r="E818" s="34"/>
      <c r="F818" s="34"/>
      <c r="G818" s="35"/>
      <c r="H818" s="34"/>
      <c r="I818" s="38"/>
    </row>
    <row r="819" ht="22.5" customHeight="1">
      <c r="A819" s="30"/>
      <c r="B819" s="39"/>
      <c r="C819" s="32"/>
      <c r="D819" s="33"/>
      <c r="E819" s="34"/>
      <c r="F819" s="34"/>
      <c r="G819" s="35"/>
      <c r="H819" s="34"/>
      <c r="I819" s="37"/>
    </row>
    <row r="820" ht="22.5" customHeight="1">
      <c r="A820" s="30"/>
      <c r="B820" s="31"/>
      <c r="C820" s="32"/>
      <c r="D820" s="33"/>
      <c r="E820" s="34"/>
      <c r="F820" s="34"/>
      <c r="G820" s="35"/>
      <c r="H820" s="34"/>
      <c r="I820" s="37"/>
    </row>
    <row r="821" ht="22.5" customHeight="1">
      <c r="A821" s="30"/>
      <c r="B821" s="31"/>
      <c r="C821" s="32"/>
      <c r="D821" s="33"/>
      <c r="E821" s="34"/>
      <c r="F821" s="34"/>
      <c r="G821" s="35"/>
      <c r="H821" s="34"/>
      <c r="I821" s="37"/>
    </row>
    <row r="822" ht="22.5" customHeight="1">
      <c r="A822" s="30"/>
      <c r="B822" s="31"/>
      <c r="C822" s="32"/>
      <c r="D822" s="33"/>
      <c r="E822" s="34"/>
      <c r="F822" s="34"/>
      <c r="G822" s="35"/>
      <c r="H822" s="34"/>
      <c r="I822" s="37"/>
    </row>
    <row r="823" ht="22.5" customHeight="1">
      <c r="A823" s="30"/>
      <c r="B823" s="39"/>
      <c r="C823" s="32"/>
      <c r="D823" s="33"/>
      <c r="E823" s="34"/>
      <c r="F823" s="34"/>
      <c r="G823" s="35"/>
      <c r="H823" s="34"/>
      <c r="I823" s="37"/>
    </row>
    <row r="824" ht="22.5" customHeight="1">
      <c r="A824" s="30"/>
      <c r="B824" s="31"/>
      <c r="C824" s="32"/>
      <c r="D824" s="33"/>
      <c r="E824" s="34"/>
      <c r="F824" s="34"/>
      <c r="G824" s="35"/>
      <c r="H824" s="34"/>
      <c r="I824" s="37"/>
    </row>
    <row r="825" ht="22.5" customHeight="1">
      <c r="A825" s="30"/>
      <c r="B825" s="39"/>
      <c r="C825" s="32"/>
      <c r="D825" s="33"/>
      <c r="E825" s="34"/>
      <c r="F825" s="34"/>
      <c r="G825" s="35"/>
      <c r="H825" s="34"/>
      <c r="I825" s="37"/>
    </row>
    <row r="826" ht="22.5" customHeight="1">
      <c r="A826" s="30"/>
      <c r="B826" s="31"/>
      <c r="C826" s="32"/>
      <c r="D826" s="33"/>
      <c r="E826" s="34"/>
      <c r="F826" s="34"/>
      <c r="G826" s="35"/>
      <c r="H826" s="34"/>
      <c r="I826" s="37"/>
    </row>
    <row r="827" ht="22.5" customHeight="1">
      <c r="A827" s="30"/>
      <c r="B827" s="31"/>
      <c r="C827" s="32"/>
      <c r="D827" s="33"/>
      <c r="E827" s="34"/>
      <c r="F827" s="34"/>
      <c r="G827" s="35"/>
      <c r="H827" s="34"/>
      <c r="I827" s="37"/>
    </row>
    <row r="828" ht="22.5" customHeight="1">
      <c r="A828" s="30"/>
      <c r="B828" s="31"/>
      <c r="C828" s="32"/>
      <c r="D828" s="33"/>
      <c r="E828" s="34"/>
      <c r="F828" s="34"/>
      <c r="G828" s="35"/>
      <c r="H828" s="34"/>
      <c r="I828" s="37"/>
    </row>
    <row r="829" ht="22.5" customHeight="1">
      <c r="A829" s="30"/>
      <c r="B829" s="31"/>
      <c r="C829" s="32"/>
      <c r="D829" s="33"/>
      <c r="E829" s="34"/>
      <c r="F829" s="34"/>
      <c r="G829" s="35"/>
      <c r="H829" s="34"/>
      <c r="I829" s="37"/>
    </row>
    <row r="830" ht="22.5" customHeight="1">
      <c r="A830" s="30"/>
      <c r="B830" s="31"/>
      <c r="C830" s="32"/>
      <c r="D830" s="33"/>
      <c r="E830" s="34"/>
      <c r="F830" s="34"/>
      <c r="G830" s="35"/>
      <c r="H830" s="34"/>
      <c r="I830" s="37"/>
    </row>
    <row r="831" ht="22.5" customHeight="1">
      <c r="A831" s="30"/>
      <c r="B831" s="31"/>
      <c r="C831" s="32"/>
      <c r="D831" s="33"/>
      <c r="E831" s="34"/>
      <c r="F831" s="34"/>
      <c r="G831" s="35"/>
      <c r="H831" s="34"/>
      <c r="I831" s="37"/>
    </row>
    <row r="832" ht="22.5" customHeight="1">
      <c r="A832" s="30"/>
      <c r="B832" s="31"/>
      <c r="C832" s="32"/>
      <c r="D832" s="33"/>
      <c r="E832" s="34"/>
      <c r="F832" s="34"/>
      <c r="G832" s="35"/>
      <c r="H832" s="34"/>
      <c r="I832" s="37"/>
    </row>
    <row r="833" ht="22.5" customHeight="1">
      <c r="A833" s="30"/>
      <c r="B833" s="31"/>
      <c r="C833" s="32"/>
      <c r="D833" s="33"/>
      <c r="E833" s="34"/>
      <c r="F833" s="34"/>
      <c r="G833" s="35"/>
      <c r="H833" s="34"/>
      <c r="I833" s="37"/>
    </row>
    <row r="834" ht="22.5" customHeight="1">
      <c r="A834" s="30"/>
      <c r="B834" s="31"/>
      <c r="C834" s="32"/>
      <c r="D834" s="33"/>
      <c r="E834" s="34"/>
      <c r="F834" s="34"/>
      <c r="G834" s="35"/>
      <c r="H834" s="34"/>
      <c r="I834" s="37"/>
    </row>
    <row r="835" ht="22.5" customHeight="1">
      <c r="A835" s="30"/>
      <c r="B835" s="31"/>
      <c r="C835" s="32"/>
      <c r="D835" s="33"/>
      <c r="E835" s="34"/>
      <c r="F835" s="34"/>
      <c r="G835" s="35"/>
      <c r="H835" s="34"/>
      <c r="I835" s="37"/>
    </row>
    <row r="836" ht="22.5" customHeight="1">
      <c r="A836" s="30"/>
      <c r="B836" s="40"/>
      <c r="C836" s="32"/>
      <c r="D836" s="33"/>
      <c r="E836" s="34"/>
      <c r="F836" s="34"/>
      <c r="G836" s="35"/>
      <c r="H836" s="34"/>
      <c r="I836" s="37"/>
    </row>
    <row r="837" ht="22.5" customHeight="1">
      <c r="A837" s="30"/>
      <c r="B837" s="31"/>
      <c r="C837" s="32"/>
      <c r="D837" s="33"/>
      <c r="E837" s="34"/>
      <c r="F837" s="34"/>
      <c r="G837" s="35"/>
      <c r="H837" s="34"/>
      <c r="I837" s="37"/>
    </row>
    <row r="838" ht="22.5" customHeight="1">
      <c r="A838" s="30"/>
      <c r="B838" s="31"/>
      <c r="C838" s="32"/>
      <c r="D838" s="33"/>
      <c r="E838" s="34"/>
      <c r="F838" s="34"/>
      <c r="G838" s="35"/>
      <c r="H838" s="34"/>
      <c r="I838" s="37"/>
    </row>
    <row r="839" ht="22.5" customHeight="1">
      <c r="A839" s="30"/>
      <c r="B839" s="31"/>
      <c r="C839" s="32"/>
      <c r="D839" s="33"/>
      <c r="E839" s="34"/>
      <c r="F839" s="34"/>
      <c r="G839" s="35"/>
      <c r="H839" s="34"/>
      <c r="I839" s="37"/>
    </row>
    <row r="840" ht="22.5" customHeight="1">
      <c r="A840" s="30"/>
      <c r="B840" s="31"/>
      <c r="C840" s="32"/>
      <c r="D840" s="33"/>
      <c r="E840" s="34"/>
      <c r="F840" s="34"/>
      <c r="G840" s="35"/>
      <c r="H840" s="34"/>
      <c r="I840" s="37"/>
    </row>
    <row r="841" ht="22.5" customHeight="1">
      <c r="A841" s="30"/>
      <c r="B841" s="31"/>
      <c r="C841" s="32"/>
      <c r="D841" s="33"/>
      <c r="E841" s="34"/>
      <c r="F841" s="34"/>
      <c r="G841" s="35"/>
      <c r="H841" s="34"/>
      <c r="I841" s="37"/>
    </row>
    <row r="842" ht="22.5" customHeight="1">
      <c r="A842" s="30"/>
      <c r="B842" s="31"/>
      <c r="C842" s="32"/>
      <c r="D842" s="33"/>
      <c r="E842" s="34"/>
      <c r="F842" s="34"/>
      <c r="G842" s="35"/>
      <c r="H842" s="34"/>
      <c r="I842" s="37"/>
    </row>
    <row r="843" ht="22.5" customHeight="1">
      <c r="A843" s="30"/>
      <c r="B843" s="39"/>
      <c r="C843" s="32"/>
      <c r="D843" s="33"/>
      <c r="E843" s="34"/>
      <c r="F843" s="34"/>
      <c r="G843" s="35"/>
      <c r="H843" s="34"/>
      <c r="I843" s="37"/>
    </row>
    <row r="844" ht="22.5" customHeight="1">
      <c r="A844" s="30"/>
      <c r="B844" s="39"/>
      <c r="C844" s="32"/>
      <c r="D844" s="33"/>
      <c r="E844" s="34"/>
      <c r="F844" s="34"/>
      <c r="G844" s="35"/>
      <c r="H844" s="34"/>
      <c r="I844" s="37"/>
    </row>
    <row r="845" ht="22.5" customHeight="1">
      <c r="A845" s="30"/>
      <c r="B845" s="39"/>
      <c r="C845" s="32"/>
      <c r="D845" s="33"/>
      <c r="E845" s="34"/>
      <c r="F845" s="34"/>
      <c r="G845" s="35"/>
      <c r="H845" s="34"/>
      <c r="I845" s="37"/>
    </row>
    <row r="846" ht="22.5" customHeight="1">
      <c r="A846" s="30"/>
      <c r="B846" s="40"/>
      <c r="C846" s="32"/>
      <c r="D846" s="33"/>
      <c r="E846" s="34"/>
      <c r="F846" s="34"/>
      <c r="G846" s="35"/>
      <c r="H846" s="34"/>
      <c r="I846" s="37"/>
    </row>
    <row r="847" ht="22.5" customHeight="1">
      <c r="A847" s="30"/>
      <c r="B847" s="31"/>
      <c r="C847" s="32"/>
      <c r="D847" s="33"/>
      <c r="E847" s="34"/>
      <c r="F847" s="34"/>
      <c r="G847" s="35"/>
      <c r="H847" s="34"/>
      <c r="I847" s="37"/>
    </row>
    <row r="848" ht="22.5" customHeight="1">
      <c r="A848" s="30"/>
      <c r="B848" s="31"/>
      <c r="C848" s="32"/>
      <c r="D848" s="33"/>
      <c r="E848" s="34"/>
      <c r="F848" s="34"/>
      <c r="G848" s="35"/>
      <c r="H848" s="34"/>
      <c r="I848" s="37"/>
    </row>
    <row r="849" ht="22.5" customHeight="1">
      <c r="A849" s="30"/>
      <c r="B849" s="31"/>
      <c r="C849" s="32"/>
      <c r="D849" s="33"/>
      <c r="E849" s="34"/>
      <c r="F849" s="34"/>
      <c r="G849" s="35"/>
      <c r="H849" s="34"/>
      <c r="I849" s="37"/>
    </row>
    <row r="850" ht="22.5" customHeight="1">
      <c r="A850" s="30"/>
      <c r="B850" s="31"/>
      <c r="C850" s="32"/>
      <c r="D850" s="33"/>
      <c r="E850" s="34"/>
      <c r="F850" s="34"/>
      <c r="G850" s="35"/>
      <c r="H850" s="34"/>
      <c r="I850" s="37"/>
    </row>
    <row r="851" ht="22.5" customHeight="1">
      <c r="A851" s="30"/>
      <c r="B851" s="31"/>
      <c r="C851" s="32"/>
      <c r="D851" s="33"/>
      <c r="E851" s="34"/>
      <c r="F851" s="34"/>
      <c r="G851" s="35"/>
      <c r="H851" s="34"/>
      <c r="I851" s="37"/>
    </row>
    <row r="852" ht="22.5" customHeight="1">
      <c r="A852" s="30"/>
      <c r="B852" s="31"/>
      <c r="C852" s="32"/>
      <c r="D852" s="33"/>
      <c r="E852" s="34"/>
      <c r="F852" s="34"/>
      <c r="G852" s="35"/>
      <c r="H852" s="34"/>
      <c r="I852" s="37"/>
    </row>
    <row r="853" ht="22.5" customHeight="1">
      <c r="A853" s="30"/>
      <c r="B853" s="31"/>
      <c r="C853" s="32"/>
      <c r="D853" s="33"/>
      <c r="E853" s="34"/>
      <c r="F853" s="34"/>
      <c r="G853" s="35"/>
      <c r="H853" s="34"/>
      <c r="I853" s="37"/>
    </row>
    <row r="854" ht="22.5" customHeight="1">
      <c r="A854" s="30"/>
      <c r="B854" s="31"/>
      <c r="C854" s="32"/>
      <c r="D854" s="33"/>
      <c r="E854" s="34"/>
      <c r="F854" s="34"/>
      <c r="G854" s="35"/>
      <c r="H854" s="34"/>
      <c r="I854" s="37"/>
    </row>
    <row r="855" ht="22.5" customHeight="1">
      <c r="A855" s="30"/>
      <c r="B855" s="31"/>
      <c r="C855" s="32"/>
      <c r="D855" s="33"/>
      <c r="E855" s="34"/>
      <c r="F855" s="34"/>
      <c r="G855" s="35"/>
      <c r="H855" s="34"/>
      <c r="I855" s="37"/>
    </row>
    <row r="856" ht="22.5" customHeight="1">
      <c r="A856" s="30"/>
      <c r="B856" s="40"/>
      <c r="C856" s="32"/>
      <c r="D856" s="33"/>
      <c r="E856" s="34"/>
      <c r="F856" s="34"/>
      <c r="G856" s="35"/>
      <c r="H856" s="34"/>
      <c r="I856" s="37"/>
    </row>
    <row r="857" ht="22.5" customHeight="1">
      <c r="A857" s="30"/>
      <c r="B857" s="31"/>
      <c r="C857" s="32"/>
      <c r="D857" s="33"/>
      <c r="E857" s="34"/>
      <c r="F857" s="34"/>
      <c r="G857" s="35"/>
      <c r="H857" s="34"/>
      <c r="I857" s="37"/>
    </row>
    <row r="858" ht="22.5" customHeight="1">
      <c r="A858" s="30"/>
      <c r="B858" s="31"/>
      <c r="C858" s="32"/>
      <c r="D858" s="33"/>
      <c r="E858" s="34"/>
      <c r="F858" s="34"/>
      <c r="G858" s="35"/>
      <c r="H858" s="34"/>
      <c r="I858" s="37"/>
    </row>
    <row r="859" ht="22.5" customHeight="1">
      <c r="A859" s="30"/>
      <c r="B859" s="31"/>
      <c r="C859" s="32"/>
      <c r="D859" s="33"/>
      <c r="E859" s="34"/>
      <c r="F859" s="34"/>
      <c r="G859" s="35"/>
      <c r="H859" s="34"/>
      <c r="I859" s="37"/>
    </row>
    <row r="860" ht="22.5" customHeight="1">
      <c r="A860" s="30"/>
      <c r="B860" s="40"/>
      <c r="C860" s="32"/>
      <c r="D860" s="33"/>
      <c r="E860" s="34"/>
      <c r="F860" s="34"/>
      <c r="G860" s="35"/>
      <c r="H860" s="34"/>
      <c r="I860" s="37"/>
    </row>
    <row r="861" ht="22.5" customHeight="1">
      <c r="A861" s="30"/>
      <c r="B861" s="31"/>
      <c r="C861" s="32"/>
      <c r="D861" s="33"/>
      <c r="E861" s="34"/>
      <c r="F861" s="34"/>
      <c r="G861" s="35"/>
      <c r="H861" s="34"/>
      <c r="I861" s="37"/>
    </row>
    <row r="862" ht="22.5" customHeight="1">
      <c r="A862" s="30"/>
      <c r="B862" s="31"/>
      <c r="C862" s="32"/>
      <c r="D862" s="33"/>
      <c r="E862" s="34"/>
      <c r="F862" s="34"/>
      <c r="G862" s="35"/>
      <c r="H862" s="34"/>
      <c r="I862" s="37"/>
    </row>
    <row r="863" ht="22.5" customHeight="1">
      <c r="A863" s="30"/>
      <c r="B863" s="31"/>
      <c r="C863" s="32"/>
      <c r="D863" s="33"/>
      <c r="E863" s="34"/>
      <c r="F863" s="34"/>
      <c r="G863" s="35"/>
      <c r="H863" s="34"/>
      <c r="I863" s="37"/>
    </row>
    <row r="864" ht="22.5" customHeight="1">
      <c r="A864" s="30"/>
      <c r="B864" s="31"/>
      <c r="C864" s="32"/>
      <c r="D864" s="33"/>
      <c r="E864" s="34"/>
      <c r="F864" s="34"/>
      <c r="G864" s="35"/>
      <c r="H864" s="34"/>
      <c r="I864" s="37"/>
    </row>
    <row r="865" ht="22.5" customHeight="1">
      <c r="A865" s="30"/>
      <c r="B865" s="31"/>
      <c r="C865" s="32"/>
      <c r="D865" s="33"/>
      <c r="E865" s="34"/>
      <c r="F865" s="34"/>
      <c r="G865" s="35"/>
      <c r="H865" s="34"/>
      <c r="I865" s="37"/>
    </row>
    <row r="866" ht="22.5" customHeight="1">
      <c r="A866" s="30"/>
      <c r="B866" s="31"/>
      <c r="C866" s="32"/>
      <c r="D866" s="33"/>
      <c r="E866" s="34"/>
      <c r="F866" s="34"/>
      <c r="G866" s="35"/>
      <c r="H866" s="34"/>
      <c r="I866" s="37"/>
    </row>
    <row r="867" ht="22.5" customHeight="1">
      <c r="A867" s="30"/>
      <c r="B867" s="31"/>
      <c r="C867" s="32"/>
      <c r="D867" s="33"/>
      <c r="E867" s="34"/>
      <c r="F867" s="34"/>
      <c r="G867" s="35"/>
      <c r="H867" s="34"/>
      <c r="I867" s="37"/>
    </row>
    <row r="868" ht="22.5" customHeight="1">
      <c r="A868" s="30"/>
      <c r="B868" s="31"/>
      <c r="C868" s="32"/>
      <c r="D868" s="33"/>
      <c r="E868" s="34"/>
      <c r="F868" s="34"/>
      <c r="G868" s="35"/>
      <c r="H868" s="34"/>
      <c r="I868" s="37"/>
    </row>
    <row r="869" ht="22.5" customHeight="1">
      <c r="A869" s="30"/>
      <c r="B869" s="31"/>
      <c r="C869" s="32"/>
      <c r="D869" s="33"/>
      <c r="E869" s="34"/>
      <c r="F869" s="34"/>
      <c r="G869" s="35"/>
      <c r="H869" s="34"/>
      <c r="I869" s="37"/>
    </row>
    <row r="870" ht="22.5" customHeight="1">
      <c r="A870" s="30"/>
      <c r="B870" s="31"/>
      <c r="C870" s="32"/>
      <c r="D870" s="33"/>
      <c r="E870" s="34"/>
      <c r="F870" s="34"/>
      <c r="G870" s="35"/>
      <c r="H870" s="34"/>
      <c r="I870" s="37"/>
    </row>
    <row r="871" ht="22.5" customHeight="1">
      <c r="A871" s="30"/>
      <c r="B871" s="31"/>
      <c r="C871" s="32"/>
      <c r="D871" s="33"/>
      <c r="E871" s="34"/>
      <c r="F871" s="34"/>
      <c r="G871" s="35"/>
      <c r="H871" s="34"/>
      <c r="I871" s="37"/>
    </row>
    <row r="872" ht="22.5" customHeight="1">
      <c r="A872" s="30"/>
      <c r="B872" s="31"/>
      <c r="C872" s="32"/>
      <c r="D872" s="33"/>
      <c r="E872" s="34"/>
      <c r="F872" s="34"/>
      <c r="G872" s="35"/>
      <c r="H872" s="34"/>
      <c r="I872" s="37"/>
    </row>
    <row r="873" ht="22.5" customHeight="1">
      <c r="A873" s="30"/>
      <c r="B873" s="31"/>
      <c r="C873" s="32"/>
      <c r="D873" s="33"/>
      <c r="E873" s="34"/>
      <c r="F873" s="34"/>
      <c r="G873" s="35"/>
      <c r="H873" s="34"/>
      <c r="I873" s="37"/>
    </row>
    <row r="874" ht="22.5" customHeight="1">
      <c r="A874" s="30"/>
      <c r="B874" s="31"/>
      <c r="C874" s="32"/>
      <c r="D874" s="33"/>
      <c r="E874" s="34"/>
      <c r="F874" s="34"/>
      <c r="G874" s="35"/>
      <c r="H874" s="34"/>
      <c r="I874" s="37"/>
    </row>
    <row r="875" ht="22.5" customHeight="1">
      <c r="A875" s="30"/>
      <c r="B875" s="40"/>
      <c r="C875" s="32"/>
      <c r="D875" s="33"/>
      <c r="E875" s="34"/>
      <c r="F875" s="34"/>
      <c r="G875" s="35"/>
      <c r="H875" s="34"/>
      <c r="I875" s="37"/>
    </row>
    <row r="876" ht="22.5" customHeight="1">
      <c r="A876" s="30"/>
      <c r="B876" s="31"/>
      <c r="C876" s="32"/>
      <c r="D876" s="33"/>
      <c r="E876" s="34"/>
      <c r="F876" s="34"/>
      <c r="G876" s="35"/>
      <c r="H876" s="34"/>
      <c r="I876" s="37"/>
    </row>
    <row r="877" ht="22.5" customHeight="1">
      <c r="A877" s="30"/>
      <c r="B877" s="40"/>
      <c r="C877" s="32"/>
      <c r="D877" s="33"/>
      <c r="E877" s="34"/>
      <c r="F877" s="34"/>
      <c r="G877" s="35"/>
      <c r="H877" s="34"/>
      <c r="I877" s="37"/>
    </row>
    <row r="878" ht="22.5" customHeight="1">
      <c r="A878" s="30"/>
      <c r="B878" s="31"/>
      <c r="C878" s="32"/>
      <c r="D878" s="33"/>
      <c r="E878" s="34"/>
      <c r="F878" s="34"/>
      <c r="G878" s="35"/>
      <c r="H878" s="34"/>
      <c r="I878" s="37"/>
    </row>
    <row r="879" ht="22.5" customHeight="1">
      <c r="A879" s="30"/>
      <c r="B879" s="31"/>
      <c r="C879" s="32"/>
      <c r="D879" s="33"/>
      <c r="E879" s="34"/>
      <c r="F879" s="34"/>
      <c r="G879" s="35"/>
      <c r="H879" s="34"/>
      <c r="I879" s="37"/>
    </row>
    <row r="880" ht="22.5" customHeight="1">
      <c r="A880" s="30"/>
      <c r="B880" s="31"/>
      <c r="C880" s="32"/>
      <c r="D880" s="33"/>
      <c r="E880" s="34"/>
      <c r="F880" s="34"/>
      <c r="G880" s="35"/>
      <c r="H880" s="34"/>
      <c r="I880" s="37"/>
    </row>
    <row r="881" ht="22.5" customHeight="1">
      <c r="A881" s="30"/>
      <c r="B881" s="31"/>
      <c r="C881" s="32"/>
      <c r="D881" s="33"/>
      <c r="E881" s="34"/>
      <c r="F881" s="34"/>
      <c r="G881" s="35"/>
      <c r="H881" s="34"/>
      <c r="I881" s="37"/>
    </row>
    <row r="882" ht="22.5" customHeight="1">
      <c r="A882" s="30"/>
      <c r="B882" s="40"/>
      <c r="C882" s="32"/>
      <c r="D882" s="33"/>
      <c r="E882" s="34"/>
      <c r="F882" s="34"/>
      <c r="G882" s="35"/>
      <c r="H882" s="34"/>
      <c r="I882" s="37"/>
    </row>
    <row r="883" ht="22.5" customHeight="1">
      <c r="A883" s="30"/>
      <c r="B883" s="31"/>
      <c r="C883" s="32"/>
      <c r="D883" s="33"/>
      <c r="E883" s="34"/>
      <c r="F883" s="34"/>
      <c r="G883" s="35"/>
      <c r="H883" s="34"/>
      <c r="I883" s="37"/>
    </row>
    <row r="884" ht="22.5" customHeight="1">
      <c r="A884" s="30"/>
      <c r="B884" s="31"/>
      <c r="C884" s="32"/>
      <c r="D884" s="33"/>
      <c r="E884" s="34"/>
      <c r="F884" s="34"/>
      <c r="G884" s="35"/>
      <c r="H884" s="34"/>
      <c r="I884" s="37"/>
    </row>
    <row r="885" ht="22.5" customHeight="1">
      <c r="A885" s="30"/>
      <c r="B885" s="31"/>
      <c r="C885" s="32"/>
      <c r="D885" s="33"/>
      <c r="E885" s="34"/>
      <c r="F885" s="34"/>
      <c r="G885" s="35"/>
      <c r="H885" s="34"/>
      <c r="I885" s="37"/>
    </row>
    <row r="886" ht="22.5" customHeight="1">
      <c r="A886" s="30"/>
      <c r="B886" s="31"/>
      <c r="C886" s="32"/>
      <c r="D886" s="33"/>
      <c r="E886" s="34"/>
      <c r="F886" s="34"/>
      <c r="G886" s="35"/>
      <c r="H886" s="34"/>
      <c r="I886" s="37"/>
    </row>
    <row r="887" ht="22.5" customHeight="1">
      <c r="A887" s="30"/>
      <c r="B887" s="31"/>
      <c r="C887" s="32"/>
      <c r="D887" s="33"/>
      <c r="E887" s="34"/>
      <c r="F887" s="34"/>
      <c r="G887" s="35"/>
      <c r="H887" s="34"/>
      <c r="I887" s="37"/>
    </row>
    <row r="888" ht="22.5" customHeight="1">
      <c r="A888" s="30"/>
      <c r="B888" s="31"/>
      <c r="C888" s="32"/>
      <c r="D888" s="33"/>
      <c r="E888" s="34"/>
      <c r="F888" s="34"/>
      <c r="G888" s="35"/>
      <c r="H888" s="34"/>
      <c r="I888" s="37"/>
    </row>
    <row r="889" ht="22.5" customHeight="1">
      <c r="A889" s="30"/>
      <c r="B889" s="31"/>
      <c r="C889" s="32"/>
      <c r="D889" s="33"/>
      <c r="E889" s="34"/>
      <c r="F889" s="34"/>
      <c r="G889" s="35"/>
      <c r="H889" s="34"/>
      <c r="I889" s="37"/>
    </row>
    <row r="890" ht="22.5" customHeight="1">
      <c r="A890" s="30"/>
      <c r="B890" s="31"/>
      <c r="C890" s="32"/>
      <c r="D890" s="33"/>
      <c r="E890" s="34"/>
      <c r="F890" s="34"/>
      <c r="G890" s="35"/>
      <c r="H890" s="34"/>
      <c r="I890" s="37"/>
    </row>
    <row r="891" ht="22.5" customHeight="1">
      <c r="A891" s="30"/>
      <c r="B891" s="31"/>
      <c r="C891" s="32"/>
      <c r="D891" s="33"/>
      <c r="E891" s="34"/>
      <c r="F891" s="34"/>
      <c r="G891" s="35"/>
      <c r="H891" s="34"/>
      <c r="I891" s="37"/>
    </row>
    <row r="892" ht="22.5" customHeight="1">
      <c r="A892" s="30"/>
      <c r="B892" s="31"/>
      <c r="C892" s="32"/>
      <c r="D892" s="33"/>
      <c r="E892" s="34"/>
      <c r="F892" s="34"/>
      <c r="G892" s="35"/>
      <c r="H892" s="34"/>
      <c r="I892" s="37"/>
    </row>
    <row r="893" ht="22.5" customHeight="1">
      <c r="A893" s="30"/>
      <c r="B893" s="31"/>
      <c r="C893" s="32"/>
      <c r="D893" s="33"/>
      <c r="E893" s="34"/>
      <c r="F893" s="34"/>
      <c r="G893" s="35"/>
      <c r="H893" s="34"/>
      <c r="I893" s="37"/>
    </row>
    <row r="894" ht="22.5" customHeight="1">
      <c r="A894" s="30"/>
      <c r="B894" s="31"/>
      <c r="C894" s="32"/>
      <c r="D894" s="33"/>
      <c r="E894" s="34"/>
      <c r="F894" s="34"/>
      <c r="G894" s="35"/>
      <c r="H894" s="34"/>
      <c r="I894" s="37"/>
    </row>
    <row r="895" ht="22.5" customHeight="1">
      <c r="A895" s="30"/>
      <c r="B895" s="31"/>
      <c r="C895" s="32"/>
      <c r="D895" s="33"/>
      <c r="E895" s="34"/>
      <c r="F895" s="34"/>
      <c r="G895" s="35"/>
      <c r="H895" s="34"/>
      <c r="I895" s="37"/>
    </row>
    <row r="896" ht="22.5" customHeight="1">
      <c r="A896" s="30"/>
      <c r="B896" s="31"/>
      <c r="C896" s="32"/>
      <c r="D896" s="33"/>
      <c r="E896" s="34"/>
      <c r="F896" s="34"/>
      <c r="G896" s="35"/>
      <c r="H896" s="34"/>
      <c r="I896" s="37"/>
    </row>
    <row r="897" ht="22.5" customHeight="1">
      <c r="A897" s="30"/>
      <c r="B897" s="31"/>
      <c r="C897" s="32"/>
      <c r="D897" s="33"/>
      <c r="E897" s="34"/>
      <c r="F897" s="34"/>
      <c r="G897" s="35"/>
      <c r="H897" s="34"/>
      <c r="I897" s="37"/>
    </row>
    <row r="898" ht="22.5" customHeight="1">
      <c r="A898" s="30"/>
      <c r="B898" s="31"/>
      <c r="C898" s="32"/>
      <c r="D898" s="33"/>
      <c r="E898" s="34"/>
      <c r="F898" s="34"/>
      <c r="G898" s="35"/>
      <c r="H898" s="34"/>
      <c r="I898" s="37"/>
    </row>
    <row r="899" ht="22.5" customHeight="1">
      <c r="A899" s="30"/>
      <c r="B899" s="31"/>
      <c r="C899" s="32"/>
      <c r="D899" s="33"/>
      <c r="E899" s="34"/>
      <c r="F899" s="34"/>
      <c r="G899" s="35"/>
      <c r="H899" s="34"/>
      <c r="I899" s="37"/>
    </row>
    <row r="900" ht="22.5" customHeight="1">
      <c r="A900" s="30"/>
      <c r="B900" s="31"/>
      <c r="C900" s="32"/>
      <c r="D900" s="33"/>
      <c r="E900" s="34"/>
      <c r="F900" s="34"/>
      <c r="G900" s="35"/>
      <c r="H900" s="34"/>
      <c r="I900" s="37"/>
    </row>
    <row r="901" ht="22.5" customHeight="1">
      <c r="A901" s="30"/>
      <c r="B901" s="31"/>
      <c r="C901" s="32"/>
      <c r="D901" s="33"/>
      <c r="E901" s="34"/>
      <c r="F901" s="34"/>
      <c r="G901" s="35"/>
      <c r="H901" s="34"/>
      <c r="I901" s="37"/>
    </row>
    <row r="902" ht="22.5" customHeight="1">
      <c r="A902" s="30"/>
      <c r="B902" s="31"/>
      <c r="C902" s="32"/>
      <c r="D902" s="33"/>
      <c r="E902" s="34"/>
      <c r="F902" s="34"/>
      <c r="G902" s="35"/>
      <c r="H902" s="34"/>
      <c r="I902" s="37"/>
    </row>
    <row r="903" ht="22.5" customHeight="1">
      <c r="A903" s="30"/>
      <c r="B903" s="31"/>
      <c r="C903" s="32"/>
      <c r="D903" s="33"/>
      <c r="E903" s="34"/>
      <c r="F903" s="34"/>
      <c r="G903" s="35"/>
      <c r="H903" s="34"/>
      <c r="I903" s="37"/>
    </row>
    <row r="904" ht="22.5" customHeight="1">
      <c r="A904" s="30"/>
      <c r="B904" s="40"/>
      <c r="C904" s="32"/>
      <c r="D904" s="33"/>
      <c r="E904" s="34"/>
      <c r="F904" s="34"/>
      <c r="G904" s="35"/>
      <c r="H904" s="34"/>
      <c r="I904" s="37"/>
    </row>
    <row r="905" ht="22.5" customHeight="1">
      <c r="A905" s="30"/>
      <c r="B905" s="31"/>
      <c r="C905" s="32"/>
      <c r="D905" s="33"/>
      <c r="E905" s="34"/>
      <c r="F905" s="34"/>
      <c r="G905" s="35"/>
      <c r="H905" s="34"/>
      <c r="I905" s="37"/>
    </row>
    <row r="906" ht="22.5" customHeight="1">
      <c r="A906" s="30"/>
      <c r="B906" s="31"/>
      <c r="C906" s="32"/>
      <c r="D906" s="33"/>
      <c r="E906" s="34"/>
      <c r="F906" s="34"/>
      <c r="G906" s="35"/>
      <c r="H906" s="34"/>
      <c r="I906" s="37"/>
    </row>
    <row r="907" ht="22.5" customHeight="1">
      <c r="A907" s="30"/>
      <c r="B907" s="31"/>
      <c r="C907" s="32"/>
      <c r="D907" s="33"/>
      <c r="E907" s="34"/>
      <c r="F907" s="34"/>
      <c r="G907" s="35"/>
      <c r="H907" s="34"/>
      <c r="I907" s="37"/>
    </row>
    <row r="908" ht="22.5" customHeight="1">
      <c r="A908" s="30"/>
      <c r="B908" s="31"/>
      <c r="C908" s="32"/>
      <c r="D908" s="33"/>
      <c r="E908" s="34"/>
      <c r="F908" s="34"/>
      <c r="G908" s="35"/>
      <c r="H908" s="34"/>
      <c r="I908" s="38"/>
    </row>
    <row r="909" ht="22.5" customHeight="1">
      <c r="A909" s="30"/>
      <c r="B909" s="39"/>
      <c r="C909" s="32"/>
      <c r="D909" s="33"/>
      <c r="E909" s="34"/>
      <c r="F909" s="34"/>
      <c r="G909" s="35"/>
      <c r="H909" s="34"/>
      <c r="I909" s="37"/>
    </row>
    <row r="910" ht="22.5" customHeight="1">
      <c r="A910" s="30"/>
      <c r="B910" s="31"/>
      <c r="C910" s="32"/>
      <c r="D910" s="33"/>
      <c r="E910" s="34"/>
      <c r="F910" s="34"/>
      <c r="G910" s="35"/>
      <c r="H910" s="34"/>
      <c r="I910" s="37"/>
    </row>
    <row r="911" ht="22.5" customHeight="1">
      <c r="A911" s="30"/>
      <c r="B911" s="31"/>
      <c r="C911" s="32"/>
      <c r="D911" s="33"/>
      <c r="E911" s="34"/>
      <c r="F911" s="34"/>
      <c r="G911" s="35"/>
      <c r="H911" s="34"/>
      <c r="I911" s="37"/>
    </row>
    <row r="912" ht="22.5" customHeight="1">
      <c r="A912" s="30"/>
      <c r="B912" s="31"/>
      <c r="C912" s="32"/>
      <c r="D912" s="33"/>
      <c r="E912" s="34"/>
      <c r="F912" s="34"/>
      <c r="G912" s="35"/>
      <c r="H912" s="34"/>
      <c r="I912" s="37"/>
    </row>
    <row r="913" ht="22.5" customHeight="1">
      <c r="A913" s="30"/>
      <c r="B913" s="39"/>
      <c r="C913" s="32"/>
      <c r="D913" s="33"/>
      <c r="E913" s="34"/>
      <c r="F913" s="34"/>
      <c r="G913" s="35"/>
      <c r="H913" s="34"/>
      <c r="I913" s="37"/>
    </row>
    <row r="914" ht="22.5" customHeight="1">
      <c r="A914" s="30"/>
      <c r="B914" s="31"/>
      <c r="C914" s="32"/>
      <c r="D914" s="33"/>
      <c r="E914" s="34"/>
      <c r="F914" s="34"/>
      <c r="G914" s="35"/>
      <c r="H914" s="34"/>
      <c r="I914" s="37"/>
    </row>
    <row r="915" ht="22.5" customHeight="1">
      <c r="A915" s="30"/>
      <c r="B915" s="39"/>
      <c r="C915" s="32"/>
      <c r="D915" s="33"/>
      <c r="E915" s="34"/>
      <c r="F915" s="34"/>
      <c r="G915" s="35"/>
      <c r="H915" s="34"/>
      <c r="I915" s="37"/>
    </row>
    <row r="916" ht="22.5" customHeight="1">
      <c r="A916" s="30"/>
      <c r="B916" s="31"/>
      <c r="C916" s="32"/>
      <c r="D916" s="33"/>
      <c r="E916" s="34"/>
      <c r="F916" s="34"/>
      <c r="G916" s="35"/>
      <c r="H916" s="34"/>
      <c r="I916" s="37"/>
    </row>
    <row r="917" ht="22.5" customHeight="1">
      <c r="A917" s="30"/>
      <c r="B917" s="31"/>
      <c r="C917" s="32"/>
      <c r="D917" s="33"/>
      <c r="E917" s="34"/>
      <c r="F917" s="34"/>
      <c r="G917" s="35"/>
      <c r="H917" s="34"/>
      <c r="I917" s="37"/>
    </row>
    <row r="918" ht="22.5" customHeight="1">
      <c r="A918" s="30"/>
      <c r="B918" s="31"/>
      <c r="C918" s="32"/>
      <c r="D918" s="33"/>
      <c r="E918" s="34"/>
      <c r="F918" s="34"/>
      <c r="G918" s="35"/>
      <c r="H918" s="34"/>
      <c r="I918" s="37"/>
    </row>
    <row r="919" ht="22.5" customHeight="1">
      <c r="A919" s="30"/>
      <c r="B919" s="31"/>
      <c r="C919" s="32"/>
      <c r="D919" s="33"/>
      <c r="E919" s="34"/>
      <c r="F919" s="34"/>
      <c r="G919" s="35"/>
      <c r="H919" s="34"/>
      <c r="I919" s="37"/>
    </row>
    <row r="920" ht="22.5" customHeight="1">
      <c r="A920" s="30"/>
      <c r="B920" s="31"/>
      <c r="C920" s="32"/>
      <c r="D920" s="33"/>
      <c r="E920" s="34"/>
      <c r="F920" s="34"/>
      <c r="G920" s="35"/>
      <c r="H920" s="34"/>
      <c r="I920" s="37"/>
    </row>
    <row r="921" ht="22.5" customHeight="1">
      <c r="A921" s="30"/>
      <c r="B921" s="31"/>
      <c r="C921" s="32"/>
      <c r="D921" s="33"/>
      <c r="E921" s="34"/>
      <c r="F921" s="34"/>
      <c r="G921" s="35"/>
      <c r="H921" s="34"/>
      <c r="I921" s="37"/>
    </row>
    <row r="922" ht="22.5" customHeight="1">
      <c r="A922" s="30"/>
      <c r="B922" s="31"/>
      <c r="C922" s="32"/>
      <c r="D922" s="33"/>
      <c r="E922" s="34"/>
      <c r="F922" s="34"/>
      <c r="G922" s="35"/>
      <c r="H922" s="34"/>
      <c r="I922" s="37"/>
    </row>
    <row r="923" ht="22.5" customHeight="1">
      <c r="A923" s="30"/>
      <c r="B923" s="31"/>
      <c r="C923" s="32"/>
      <c r="D923" s="33"/>
      <c r="E923" s="34"/>
      <c r="F923" s="34"/>
      <c r="G923" s="35"/>
      <c r="H923" s="34"/>
      <c r="I923" s="37"/>
    </row>
    <row r="924" ht="22.5" customHeight="1">
      <c r="A924" s="30"/>
      <c r="B924" s="31"/>
      <c r="C924" s="32"/>
      <c r="D924" s="33"/>
      <c r="E924" s="34"/>
      <c r="F924" s="34"/>
      <c r="G924" s="35"/>
      <c r="H924" s="34"/>
      <c r="I924" s="37"/>
    </row>
    <row r="925" ht="22.5" customHeight="1">
      <c r="A925" s="30"/>
      <c r="B925" s="31"/>
      <c r="C925" s="32"/>
      <c r="D925" s="33"/>
      <c r="E925" s="34"/>
      <c r="F925" s="34"/>
      <c r="G925" s="35"/>
      <c r="H925" s="34"/>
      <c r="I925" s="37"/>
    </row>
    <row r="926" ht="22.5" customHeight="1">
      <c r="A926" s="30"/>
      <c r="B926" s="40"/>
      <c r="C926" s="32"/>
      <c r="D926" s="33"/>
      <c r="E926" s="34"/>
      <c r="F926" s="34"/>
      <c r="G926" s="35"/>
      <c r="H926" s="34"/>
      <c r="I926" s="37"/>
    </row>
    <row r="927" ht="22.5" customHeight="1">
      <c r="A927" s="30"/>
      <c r="B927" s="31"/>
      <c r="C927" s="32"/>
      <c r="D927" s="33"/>
      <c r="E927" s="34"/>
      <c r="F927" s="34"/>
      <c r="G927" s="35"/>
      <c r="H927" s="34"/>
      <c r="I927" s="37"/>
    </row>
    <row r="928" ht="22.5" customHeight="1">
      <c r="A928" s="30"/>
      <c r="B928" s="31"/>
      <c r="C928" s="32"/>
      <c r="D928" s="33"/>
      <c r="E928" s="34"/>
      <c r="F928" s="34"/>
      <c r="G928" s="35"/>
      <c r="H928" s="34"/>
      <c r="I928" s="37"/>
    </row>
    <row r="929" ht="22.5" customHeight="1">
      <c r="A929" s="30"/>
      <c r="B929" s="31"/>
      <c r="C929" s="32"/>
      <c r="D929" s="33"/>
      <c r="E929" s="34"/>
      <c r="F929" s="34"/>
      <c r="G929" s="35"/>
      <c r="H929" s="34"/>
      <c r="I929" s="37"/>
    </row>
    <row r="930" ht="22.5" customHeight="1">
      <c r="A930" s="30"/>
      <c r="B930" s="31"/>
      <c r="C930" s="32"/>
      <c r="D930" s="33"/>
      <c r="E930" s="34"/>
      <c r="F930" s="34"/>
      <c r="G930" s="35"/>
      <c r="H930" s="34"/>
      <c r="I930" s="37"/>
    </row>
    <row r="931" ht="22.5" customHeight="1">
      <c r="A931" s="30"/>
      <c r="B931" s="31"/>
      <c r="C931" s="32"/>
      <c r="D931" s="33"/>
      <c r="E931" s="34"/>
      <c r="F931" s="34"/>
      <c r="G931" s="35"/>
      <c r="H931" s="34"/>
      <c r="I931" s="37"/>
    </row>
    <row r="932" ht="22.5" customHeight="1">
      <c r="A932" s="30"/>
      <c r="B932" s="31"/>
      <c r="C932" s="32"/>
      <c r="D932" s="33"/>
      <c r="E932" s="34"/>
      <c r="F932" s="34"/>
      <c r="G932" s="35"/>
      <c r="H932" s="34"/>
      <c r="I932" s="37"/>
    </row>
    <row r="933" ht="22.5" customHeight="1">
      <c r="A933" s="30"/>
      <c r="B933" s="39"/>
      <c r="C933" s="32"/>
      <c r="D933" s="33"/>
      <c r="E933" s="34"/>
      <c r="F933" s="34"/>
      <c r="G933" s="35"/>
      <c r="H933" s="34"/>
      <c r="I933" s="37"/>
    </row>
    <row r="934" ht="22.5" customHeight="1">
      <c r="A934" s="30"/>
      <c r="B934" s="39"/>
      <c r="C934" s="32"/>
      <c r="D934" s="33"/>
      <c r="E934" s="34"/>
      <c r="F934" s="34"/>
      <c r="G934" s="35"/>
      <c r="H934" s="34"/>
      <c r="I934" s="37"/>
    </row>
    <row r="935" ht="22.5" customHeight="1">
      <c r="A935" s="30"/>
      <c r="B935" s="39"/>
      <c r="C935" s="32"/>
      <c r="D935" s="33"/>
      <c r="E935" s="34"/>
      <c r="F935" s="34"/>
      <c r="G935" s="35"/>
      <c r="H935" s="34"/>
      <c r="I935" s="37"/>
    </row>
    <row r="936" ht="22.5" customHeight="1">
      <c r="A936" s="30"/>
      <c r="B936" s="40"/>
      <c r="C936" s="32"/>
      <c r="D936" s="33"/>
      <c r="E936" s="34"/>
      <c r="F936" s="34"/>
      <c r="G936" s="35"/>
      <c r="H936" s="34"/>
      <c r="I936" s="37"/>
    </row>
    <row r="937" ht="22.5" customHeight="1">
      <c r="A937" s="30"/>
      <c r="B937" s="31"/>
      <c r="C937" s="32"/>
      <c r="D937" s="33"/>
      <c r="E937" s="34"/>
      <c r="F937" s="34"/>
      <c r="G937" s="35"/>
      <c r="H937" s="34"/>
      <c r="I937" s="37"/>
    </row>
    <row r="938" ht="22.5" customHeight="1">
      <c r="A938" s="30"/>
      <c r="B938" s="31"/>
      <c r="C938" s="32"/>
      <c r="D938" s="33"/>
      <c r="E938" s="34"/>
      <c r="F938" s="34"/>
      <c r="G938" s="35"/>
      <c r="H938" s="34"/>
      <c r="I938" s="37"/>
    </row>
    <row r="939" ht="22.5" customHeight="1">
      <c r="A939" s="30"/>
      <c r="B939" s="31"/>
      <c r="C939" s="32"/>
      <c r="D939" s="33"/>
      <c r="E939" s="34"/>
      <c r="F939" s="34"/>
      <c r="G939" s="35"/>
      <c r="H939" s="34"/>
      <c r="I939" s="37"/>
    </row>
    <row r="940" ht="22.5" customHeight="1">
      <c r="A940" s="30"/>
      <c r="B940" s="31"/>
      <c r="C940" s="32"/>
      <c r="D940" s="33"/>
      <c r="E940" s="34"/>
      <c r="F940" s="34"/>
      <c r="G940" s="35"/>
      <c r="H940" s="34"/>
      <c r="I940" s="37"/>
    </row>
    <row r="941" ht="22.5" customHeight="1">
      <c r="A941" s="30"/>
      <c r="B941" s="31"/>
      <c r="C941" s="32"/>
      <c r="D941" s="33"/>
      <c r="E941" s="34"/>
      <c r="F941" s="34"/>
      <c r="G941" s="35"/>
      <c r="H941" s="34"/>
      <c r="I941" s="37"/>
    </row>
    <row r="942" ht="22.5" customHeight="1">
      <c r="A942" s="30"/>
      <c r="B942" s="31"/>
      <c r="C942" s="32"/>
      <c r="D942" s="33"/>
      <c r="E942" s="34"/>
      <c r="F942" s="34"/>
      <c r="G942" s="35"/>
      <c r="H942" s="34"/>
      <c r="I942" s="37"/>
    </row>
    <row r="943" ht="22.5" customHeight="1">
      <c r="A943" s="30"/>
      <c r="B943" s="31"/>
      <c r="C943" s="32"/>
      <c r="D943" s="33"/>
      <c r="E943" s="34"/>
      <c r="F943" s="34"/>
      <c r="G943" s="35"/>
      <c r="H943" s="34"/>
      <c r="I943" s="37"/>
    </row>
    <row r="944" ht="22.5" customHeight="1">
      <c r="A944" s="30"/>
      <c r="B944" s="31"/>
      <c r="C944" s="32"/>
      <c r="D944" s="33"/>
      <c r="E944" s="34"/>
      <c r="F944" s="34"/>
      <c r="G944" s="35"/>
      <c r="H944" s="34"/>
      <c r="I944" s="37"/>
    </row>
    <row r="945" ht="22.5" customHeight="1">
      <c r="A945" s="30"/>
      <c r="B945" s="31"/>
      <c r="C945" s="32"/>
      <c r="D945" s="33"/>
      <c r="E945" s="34"/>
      <c r="F945" s="34"/>
      <c r="G945" s="35"/>
      <c r="H945" s="34"/>
      <c r="I945" s="37"/>
    </row>
    <row r="946" ht="22.5" customHeight="1">
      <c r="A946" s="30"/>
      <c r="B946" s="40"/>
      <c r="C946" s="32"/>
      <c r="D946" s="33"/>
      <c r="E946" s="34"/>
      <c r="F946" s="34"/>
      <c r="G946" s="35"/>
      <c r="H946" s="34"/>
      <c r="I946" s="37"/>
    </row>
    <row r="947" ht="22.5" customHeight="1">
      <c r="A947" s="30"/>
      <c r="B947" s="31"/>
      <c r="C947" s="32"/>
      <c r="D947" s="33"/>
      <c r="E947" s="34"/>
      <c r="F947" s="34"/>
      <c r="G947" s="35"/>
      <c r="H947" s="34"/>
      <c r="I947" s="37"/>
    </row>
    <row r="948" ht="22.5" customHeight="1">
      <c r="A948" s="30"/>
      <c r="B948" s="31"/>
      <c r="C948" s="32"/>
      <c r="D948" s="33"/>
      <c r="E948" s="34"/>
      <c r="F948" s="34"/>
      <c r="G948" s="35"/>
      <c r="H948" s="34"/>
      <c r="I948" s="37"/>
    </row>
    <row r="949" ht="22.5" customHeight="1">
      <c r="A949" s="30"/>
      <c r="B949" s="31"/>
      <c r="C949" s="32"/>
      <c r="D949" s="33"/>
      <c r="E949" s="34"/>
      <c r="F949" s="34"/>
      <c r="G949" s="35"/>
      <c r="H949" s="34"/>
      <c r="I949" s="37"/>
    </row>
    <row r="950" ht="22.5" customHeight="1">
      <c r="A950" s="30"/>
      <c r="B950" s="40"/>
      <c r="C950" s="32"/>
      <c r="D950" s="33"/>
      <c r="E950" s="34"/>
      <c r="F950" s="34"/>
      <c r="G950" s="35"/>
      <c r="H950" s="34"/>
      <c r="I950" s="37"/>
    </row>
    <row r="951" ht="22.5" customHeight="1">
      <c r="A951" s="30"/>
      <c r="B951" s="31"/>
      <c r="C951" s="32"/>
      <c r="D951" s="33"/>
      <c r="E951" s="34"/>
      <c r="F951" s="34"/>
      <c r="G951" s="35"/>
      <c r="H951" s="34"/>
      <c r="I951" s="37"/>
    </row>
    <row r="952" ht="22.5" customHeight="1">
      <c r="A952" s="30"/>
      <c r="B952" s="31"/>
      <c r="C952" s="32"/>
      <c r="D952" s="33"/>
      <c r="E952" s="34"/>
      <c r="F952" s="34"/>
      <c r="G952" s="35"/>
      <c r="H952" s="34"/>
      <c r="I952" s="37"/>
    </row>
    <row r="953" ht="22.5" customHeight="1">
      <c r="A953" s="30"/>
      <c r="B953" s="31"/>
      <c r="C953" s="32"/>
      <c r="D953" s="33"/>
      <c r="E953" s="34"/>
      <c r="F953" s="34"/>
      <c r="G953" s="35"/>
      <c r="H953" s="34"/>
      <c r="I953" s="37"/>
    </row>
    <row r="954" ht="22.5" customHeight="1">
      <c r="A954" s="30"/>
      <c r="B954" s="31"/>
      <c r="C954" s="32"/>
      <c r="D954" s="33"/>
      <c r="E954" s="34"/>
      <c r="F954" s="34"/>
      <c r="G954" s="35"/>
      <c r="H954" s="34"/>
      <c r="I954" s="37"/>
    </row>
    <row r="955" ht="22.5" customHeight="1">
      <c r="A955" s="30"/>
      <c r="B955" s="31"/>
      <c r="C955" s="32"/>
      <c r="D955" s="33"/>
      <c r="E955" s="34"/>
      <c r="F955" s="34"/>
      <c r="G955" s="35"/>
      <c r="H955" s="34"/>
      <c r="I955" s="37"/>
    </row>
    <row r="956" ht="22.5" customHeight="1">
      <c r="A956" s="30"/>
      <c r="B956" s="31"/>
      <c r="C956" s="32"/>
      <c r="D956" s="33"/>
      <c r="E956" s="34"/>
      <c r="F956" s="34"/>
      <c r="G956" s="35"/>
      <c r="H956" s="34"/>
      <c r="I956" s="37"/>
    </row>
    <row r="957" ht="22.5" customHeight="1">
      <c r="A957" s="30"/>
      <c r="B957" s="31"/>
      <c r="C957" s="32"/>
      <c r="D957" s="33"/>
      <c r="E957" s="34"/>
      <c r="F957" s="34"/>
      <c r="G957" s="35"/>
      <c r="H957" s="34"/>
      <c r="I957" s="37"/>
    </row>
    <row r="958" ht="22.5" customHeight="1">
      <c r="A958" s="30"/>
      <c r="B958" s="31"/>
      <c r="C958" s="32"/>
      <c r="D958" s="33"/>
      <c r="E958" s="34"/>
      <c r="F958" s="34"/>
      <c r="G958" s="35"/>
      <c r="H958" s="34"/>
      <c r="I958" s="37"/>
    </row>
    <row r="959" ht="22.5" customHeight="1">
      <c r="A959" s="30"/>
      <c r="B959" s="31"/>
      <c r="C959" s="32"/>
      <c r="D959" s="33"/>
      <c r="E959" s="34"/>
      <c r="F959" s="34"/>
      <c r="G959" s="35"/>
      <c r="H959" s="34"/>
      <c r="I959" s="37"/>
    </row>
    <row r="960" ht="22.5" customHeight="1">
      <c r="A960" s="30"/>
      <c r="B960" s="31"/>
      <c r="C960" s="32"/>
      <c r="D960" s="33"/>
      <c r="E960" s="34"/>
      <c r="F960" s="34"/>
      <c r="G960" s="35"/>
      <c r="H960" s="34"/>
      <c r="I960" s="37"/>
    </row>
    <row r="961" ht="22.5" customHeight="1">
      <c r="A961" s="30"/>
      <c r="B961" s="31"/>
      <c r="C961" s="32"/>
      <c r="D961" s="33"/>
      <c r="E961" s="34"/>
      <c r="F961" s="34"/>
      <c r="G961" s="35"/>
      <c r="H961" s="34"/>
      <c r="I961" s="37"/>
    </row>
    <row r="962" ht="22.5" customHeight="1">
      <c r="A962" s="30"/>
      <c r="B962" s="31"/>
      <c r="C962" s="32"/>
      <c r="D962" s="33"/>
      <c r="E962" s="34"/>
      <c r="F962" s="34"/>
      <c r="G962" s="35"/>
      <c r="H962" s="34"/>
      <c r="I962" s="37"/>
    </row>
    <row r="963" ht="22.5" customHeight="1">
      <c r="A963" s="30"/>
      <c r="B963" s="31"/>
      <c r="C963" s="32"/>
      <c r="D963" s="33"/>
      <c r="E963" s="34"/>
      <c r="F963" s="34"/>
      <c r="G963" s="35"/>
      <c r="H963" s="34"/>
      <c r="I963" s="37"/>
    </row>
    <row r="964" ht="22.5" customHeight="1">
      <c r="A964" s="30"/>
      <c r="B964" s="31"/>
      <c r="C964" s="32"/>
      <c r="D964" s="33"/>
      <c r="E964" s="34"/>
      <c r="F964" s="34"/>
      <c r="G964" s="35"/>
      <c r="H964" s="34"/>
      <c r="I964" s="37"/>
    </row>
    <row r="965" ht="22.5" customHeight="1">
      <c r="A965" s="30"/>
      <c r="B965" s="40"/>
      <c r="C965" s="32"/>
      <c r="D965" s="33"/>
      <c r="E965" s="34"/>
      <c r="F965" s="34"/>
      <c r="G965" s="35"/>
      <c r="H965" s="34"/>
      <c r="I965" s="37"/>
    </row>
    <row r="966" ht="22.5" customHeight="1">
      <c r="A966" s="30"/>
      <c r="B966" s="31"/>
      <c r="C966" s="32"/>
      <c r="D966" s="33"/>
      <c r="E966" s="34"/>
      <c r="F966" s="34"/>
      <c r="G966" s="35"/>
      <c r="H966" s="34"/>
      <c r="I966" s="37"/>
    </row>
    <row r="967" ht="22.5" customHeight="1">
      <c r="A967" s="30"/>
      <c r="B967" s="40"/>
      <c r="C967" s="32"/>
      <c r="D967" s="33"/>
      <c r="E967" s="34"/>
      <c r="F967" s="34"/>
      <c r="G967" s="35"/>
      <c r="H967" s="34"/>
      <c r="I967" s="37"/>
    </row>
    <row r="968" ht="22.5" customHeight="1">
      <c r="A968" s="30"/>
      <c r="B968" s="31"/>
      <c r="C968" s="32"/>
      <c r="D968" s="33"/>
      <c r="E968" s="34"/>
      <c r="F968" s="34"/>
      <c r="G968" s="35"/>
      <c r="H968" s="34"/>
      <c r="I968" s="37"/>
    </row>
    <row r="969" ht="22.5" customHeight="1">
      <c r="A969" s="30"/>
      <c r="B969" s="31"/>
      <c r="C969" s="32"/>
      <c r="D969" s="33"/>
      <c r="E969" s="34"/>
      <c r="F969" s="34"/>
      <c r="G969" s="35"/>
      <c r="H969" s="34"/>
      <c r="I969" s="37"/>
    </row>
    <row r="970" ht="22.5" customHeight="1">
      <c r="A970" s="30"/>
      <c r="B970" s="31"/>
      <c r="C970" s="32"/>
      <c r="D970" s="33"/>
      <c r="E970" s="34"/>
      <c r="F970" s="34"/>
      <c r="G970" s="35"/>
      <c r="H970" s="34"/>
      <c r="I970" s="37"/>
    </row>
    <row r="971" ht="22.5" customHeight="1">
      <c r="A971" s="30"/>
      <c r="B971" s="31"/>
      <c r="C971" s="32"/>
      <c r="D971" s="33"/>
      <c r="E971" s="34"/>
      <c r="F971" s="34"/>
      <c r="G971" s="35"/>
      <c r="H971" s="34"/>
      <c r="I971" s="37"/>
    </row>
    <row r="972" ht="22.5" customHeight="1">
      <c r="A972" s="30"/>
      <c r="B972" s="40"/>
      <c r="C972" s="32"/>
      <c r="D972" s="33"/>
      <c r="E972" s="34"/>
      <c r="F972" s="34"/>
      <c r="G972" s="35"/>
      <c r="H972" s="34"/>
      <c r="I972" s="37"/>
    </row>
    <row r="973" ht="22.5" customHeight="1">
      <c r="A973" s="30"/>
      <c r="B973" s="31"/>
      <c r="C973" s="32"/>
      <c r="D973" s="33"/>
      <c r="E973" s="34"/>
      <c r="F973" s="34"/>
      <c r="G973" s="35"/>
      <c r="H973" s="34"/>
      <c r="I973" s="37"/>
    </row>
    <row r="974" ht="22.5" customHeight="1">
      <c r="A974" s="30"/>
      <c r="B974" s="31"/>
      <c r="C974" s="32"/>
      <c r="D974" s="33"/>
      <c r="E974" s="34"/>
      <c r="F974" s="34"/>
      <c r="G974" s="35"/>
      <c r="H974" s="34"/>
      <c r="I974" s="37"/>
    </row>
    <row r="975" ht="22.5" customHeight="1">
      <c r="A975" s="30"/>
      <c r="B975" s="31"/>
      <c r="C975" s="32"/>
      <c r="D975" s="33"/>
      <c r="E975" s="34"/>
      <c r="F975" s="34"/>
      <c r="G975" s="35"/>
      <c r="H975" s="34"/>
      <c r="I975" s="37"/>
    </row>
    <row r="976" ht="22.5" customHeight="1">
      <c r="A976" s="30"/>
      <c r="B976" s="31"/>
      <c r="C976" s="32"/>
      <c r="D976" s="33"/>
      <c r="E976" s="34"/>
      <c r="F976" s="34"/>
      <c r="G976" s="35"/>
      <c r="H976" s="34"/>
      <c r="I976" s="37"/>
    </row>
    <row r="977" ht="22.5" customHeight="1">
      <c r="A977" s="30"/>
      <c r="B977" s="31"/>
      <c r="C977" s="32"/>
      <c r="D977" s="33"/>
      <c r="E977" s="34"/>
      <c r="F977" s="34"/>
      <c r="G977" s="35"/>
      <c r="H977" s="34"/>
      <c r="I977" s="37"/>
    </row>
    <row r="978" ht="22.5" customHeight="1">
      <c r="A978" s="30"/>
      <c r="B978" s="31"/>
      <c r="C978" s="32"/>
      <c r="D978" s="33"/>
      <c r="E978" s="34"/>
      <c r="F978" s="34"/>
      <c r="G978" s="35"/>
      <c r="H978" s="34"/>
      <c r="I978" s="37"/>
    </row>
    <row r="979" ht="22.5" customHeight="1">
      <c r="A979" s="30"/>
      <c r="B979" s="31"/>
      <c r="C979" s="32"/>
      <c r="D979" s="33"/>
      <c r="E979" s="34"/>
      <c r="F979" s="34"/>
      <c r="G979" s="35"/>
      <c r="H979" s="34"/>
      <c r="I979" s="37"/>
    </row>
    <row r="980" ht="22.5" customHeight="1">
      <c r="A980" s="30"/>
      <c r="B980" s="31"/>
      <c r="C980" s="32"/>
      <c r="D980" s="33"/>
      <c r="E980" s="34"/>
      <c r="F980" s="34"/>
      <c r="G980" s="35"/>
      <c r="H980" s="34"/>
      <c r="I980" s="37"/>
    </row>
    <row r="981" ht="22.5" customHeight="1">
      <c r="A981" s="30"/>
      <c r="B981" s="31"/>
      <c r="C981" s="32"/>
      <c r="D981" s="33"/>
      <c r="E981" s="34"/>
      <c r="F981" s="34"/>
      <c r="G981" s="35"/>
      <c r="H981" s="34"/>
      <c r="I981" s="37"/>
    </row>
    <row r="982" ht="22.5" customHeight="1">
      <c r="A982" s="30"/>
      <c r="B982" s="31"/>
      <c r="C982" s="32"/>
      <c r="D982" s="33"/>
      <c r="E982" s="34"/>
      <c r="F982" s="34"/>
      <c r="G982" s="35"/>
      <c r="H982" s="34"/>
      <c r="I982" s="37"/>
    </row>
    <row r="983" ht="22.5" customHeight="1">
      <c r="A983" s="30"/>
      <c r="B983" s="31"/>
      <c r="C983" s="32"/>
      <c r="D983" s="33"/>
      <c r="E983" s="34"/>
      <c r="F983" s="34"/>
      <c r="G983" s="35"/>
      <c r="H983" s="34"/>
      <c r="I983" s="37"/>
    </row>
    <row r="984" ht="22.5" customHeight="1">
      <c r="A984" s="30"/>
      <c r="B984" s="31"/>
      <c r="C984" s="32"/>
      <c r="D984" s="33"/>
      <c r="E984" s="34"/>
      <c r="F984" s="34"/>
      <c r="G984" s="35"/>
      <c r="H984" s="34"/>
      <c r="I984" s="37"/>
    </row>
    <row r="985" ht="22.5" customHeight="1">
      <c r="A985" s="30"/>
      <c r="B985" s="31"/>
      <c r="C985" s="32"/>
      <c r="D985" s="33"/>
      <c r="E985" s="34"/>
      <c r="F985" s="34"/>
      <c r="G985" s="35"/>
      <c r="H985" s="34"/>
      <c r="I985" s="37"/>
    </row>
    <row r="986" ht="22.5" customHeight="1">
      <c r="A986" s="30"/>
      <c r="B986" s="31"/>
      <c r="C986" s="32"/>
      <c r="D986" s="33"/>
      <c r="E986" s="34"/>
      <c r="F986" s="34"/>
      <c r="G986" s="35"/>
      <c r="H986" s="34"/>
      <c r="I986" s="37"/>
    </row>
    <row r="987" ht="22.5" customHeight="1">
      <c r="A987" s="30"/>
      <c r="B987" s="31"/>
      <c r="C987" s="32"/>
      <c r="D987" s="33"/>
      <c r="E987" s="34"/>
      <c r="F987" s="34"/>
      <c r="G987" s="35"/>
      <c r="H987" s="34"/>
      <c r="I987" s="37"/>
    </row>
    <row r="988" ht="22.5" customHeight="1">
      <c r="A988" s="30"/>
      <c r="B988" s="31"/>
      <c r="C988" s="32"/>
      <c r="D988" s="33"/>
      <c r="E988" s="34"/>
      <c r="F988" s="34"/>
      <c r="G988" s="35"/>
      <c r="H988" s="34"/>
      <c r="I988" s="37"/>
    </row>
    <row r="989" ht="22.5" customHeight="1">
      <c r="A989" s="30"/>
      <c r="B989" s="31"/>
      <c r="C989" s="32"/>
      <c r="D989" s="33"/>
      <c r="E989" s="34"/>
      <c r="F989" s="34"/>
      <c r="G989" s="35"/>
      <c r="H989" s="34"/>
      <c r="I989" s="37"/>
    </row>
    <row r="990" ht="22.5" customHeight="1">
      <c r="A990" s="30"/>
      <c r="B990" s="31"/>
      <c r="C990" s="32"/>
      <c r="D990" s="33"/>
      <c r="E990" s="34"/>
      <c r="F990" s="34"/>
      <c r="G990" s="35"/>
      <c r="H990" s="34"/>
      <c r="I990" s="37"/>
    </row>
    <row r="991" ht="22.5" customHeight="1">
      <c r="A991" s="30"/>
      <c r="B991" s="31"/>
      <c r="C991" s="32"/>
      <c r="D991" s="33"/>
      <c r="E991" s="34"/>
      <c r="F991" s="34"/>
      <c r="G991" s="35"/>
      <c r="H991" s="34"/>
      <c r="I991" s="37"/>
    </row>
    <row r="992" ht="22.5" customHeight="1">
      <c r="A992" s="30"/>
      <c r="B992" s="31"/>
      <c r="C992" s="32"/>
      <c r="D992" s="33"/>
      <c r="E992" s="34"/>
      <c r="F992" s="34"/>
      <c r="G992" s="35"/>
      <c r="H992" s="34"/>
      <c r="I992" s="37"/>
    </row>
    <row r="993" ht="22.5" customHeight="1">
      <c r="A993" s="30"/>
      <c r="B993" s="31"/>
      <c r="C993" s="32"/>
      <c r="D993" s="33"/>
      <c r="E993" s="34"/>
      <c r="F993" s="34"/>
      <c r="G993" s="35"/>
      <c r="H993" s="34"/>
      <c r="I993" s="37"/>
    </row>
    <row r="994" ht="22.5" customHeight="1">
      <c r="A994" s="30"/>
      <c r="B994" s="40"/>
      <c r="C994" s="32"/>
      <c r="D994" s="33"/>
      <c r="E994" s="34"/>
      <c r="F994" s="34"/>
      <c r="G994" s="35"/>
      <c r="H994" s="34"/>
      <c r="I994" s="37"/>
    </row>
    <row r="995" ht="22.5" customHeight="1">
      <c r="A995" s="30"/>
      <c r="B995" s="31"/>
      <c r="C995" s="32"/>
      <c r="D995" s="33"/>
      <c r="E995" s="34"/>
      <c r="F995" s="34"/>
      <c r="G995" s="35"/>
      <c r="H995" s="34"/>
      <c r="I995" s="37"/>
    </row>
    <row r="996" ht="22.5" customHeight="1">
      <c r="A996" s="30"/>
      <c r="B996" s="31"/>
      <c r="C996" s="32"/>
      <c r="D996" s="33"/>
      <c r="E996" s="34"/>
      <c r="F996" s="34"/>
      <c r="G996" s="35"/>
      <c r="H996" s="34"/>
      <c r="I996" s="37"/>
    </row>
    <row r="997" ht="22.5" customHeight="1">
      <c r="A997" s="30"/>
      <c r="B997" s="31"/>
      <c r="C997" s="32"/>
      <c r="D997" s="33"/>
      <c r="E997" s="34"/>
      <c r="F997" s="34"/>
      <c r="G997" s="35"/>
      <c r="H997" s="34"/>
      <c r="I997" s="37"/>
    </row>
    <row r="998" ht="22.5" customHeight="1">
      <c r="A998" s="30"/>
      <c r="B998" s="31"/>
      <c r="C998" s="32"/>
      <c r="D998" s="33"/>
      <c r="E998" s="34"/>
      <c r="F998" s="34"/>
      <c r="G998" s="35"/>
      <c r="H998" s="34"/>
      <c r="I998" s="38"/>
    </row>
    <row r="999" ht="22.5" customHeight="1">
      <c r="A999" s="30"/>
      <c r="B999" s="39"/>
      <c r="C999" s="32"/>
      <c r="D999" s="33"/>
      <c r="E999" s="34"/>
      <c r="F999" s="34"/>
      <c r="G999" s="35"/>
      <c r="H999" s="34"/>
      <c r="I999" s="37"/>
    </row>
    <row r="1000" ht="22.5" customHeight="1">
      <c r="A1000" s="30"/>
      <c r="B1000" s="31"/>
      <c r="C1000" s="32"/>
      <c r="D1000" s="33"/>
      <c r="E1000" s="34"/>
      <c r="F1000" s="34"/>
      <c r="G1000" s="35"/>
      <c r="H1000" s="34"/>
      <c r="I1000" s="37"/>
    </row>
    <row r="1001" ht="22.5" customHeight="1">
      <c r="A1001" s="30"/>
      <c r="B1001" s="31"/>
      <c r="C1001" s="32"/>
      <c r="D1001" s="33"/>
      <c r="E1001" s="34"/>
      <c r="F1001" s="34"/>
      <c r="G1001" s="35"/>
      <c r="H1001" s="34"/>
      <c r="I1001" s="37"/>
    </row>
    <row r="1002" ht="22.5" customHeight="1">
      <c r="A1002" s="30"/>
      <c r="B1002" s="31"/>
      <c r="C1002" s="32"/>
      <c r="D1002" s="33"/>
      <c r="E1002" s="34"/>
      <c r="F1002" s="34"/>
      <c r="G1002" s="35"/>
      <c r="H1002" s="34"/>
      <c r="I1002" s="37"/>
    </row>
    <row r="1003" ht="22.5" customHeight="1">
      <c r="A1003" s="30"/>
      <c r="B1003" s="39"/>
      <c r="C1003" s="32"/>
      <c r="D1003" s="33"/>
      <c r="E1003" s="34"/>
      <c r="F1003" s="34"/>
      <c r="G1003" s="35"/>
      <c r="H1003" s="34"/>
      <c r="I1003" s="37"/>
    </row>
    <row r="1004" ht="22.5" customHeight="1">
      <c r="A1004" s="30"/>
      <c r="B1004" s="31"/>
      <c r="C1004" s="32"/>
      <c r="D1004" s="33"/>
      <c r="E1004" s="34"/>
      <c r="F1004" s="34"/>
      <c r="G1004" s="35"/>
      <c r="H1004" s="34"/>
      <c r="I1004" s="37"/>
    </row>
    <row r="1005" ht="22.5" customHeight="1">
      <c r="A1005" s="30"/>
      <c r="B1005" s="39"/>
      <c r="C1005" s="32"/>
      <c r="D1005" s="33"/>
      <c r="E1005" s="34"/>
      <c r="F1005" s="34"/>
      <c r="G1005" s="35"/>
      <c r="H1005" s="34"/>
      <c r="I1005" s="37"/>
    </row>
    <row r="1006" ht="22.5" customHeight="1">
      <c r="A1006" s="30"/>
      <c r="B1006" s="31"/>
      <c r="C1006" s="32"/>
      <c r="D1006" s="33"/>
      <c r="E1006" s="34"/>
      <c r="F1006" s="34"/>
      <c r="G1006" s="35"/>
      <c r="H1006" s="34"/>
      <c r="I1006" s="37"/>
    </row>
    <row r="1007" ht="22.5" customHeight="1">
      <c r="A1007" s="30"/>
      <c r="B1007" s="31"/>
      <c r="C1007" s="32"/>
      <c r="D1007" s="33"/>
      <c r="E1007" s="34"/>
      <c r="F1007" s="34"/>
      <c r="G1007" s="35"/>
      <c r="H1007" s="34"/>
      <c r="I1007" s="37"/>
    </row>
    <row r="1008" ht="22.5" customHeight="1">
      <c r="A1008" s="30"/>
      <c r="B1008" s="31"/>
      <c r="C1008" s="32"/>
      <c r="D1008" s="33"/>
      <c r="E1008" s="34"/>
      <c r="F1008" s="34"/>
      <c r="G1008" s="35"/>
      <c r="H1008" s="34"/>
      <c r="I1008" s="37"/>
    </row>
    <row r="1009" ht="22.5" customHeight="1">
      <c r="A1009" s="30"/>
      <c r="B1009" s="31"/>
      <c r="C1009" s="32"/>
      <c r="D1009" s="33"/>
      <c r="E1009" s="34"/>
      <c r="F1009" s="34"/>
      <c r="G1009" s="35"/>
      <c r="H1009" s="34"/>
      <c r="I1009" s="37"/>
    </row>
    <row r="1010" ht="22.5" customHeight="1">
      <c r="A1010" s="30"/>
      <c r="B1010" s="31"/>
      <c r="C1010" s="32"/>
      <c r="D1010" s="33"/>
      <c r="E1010" s="34"/>
      <c r="F1010" s="34"/>
      <c r="G1010" s="35"/>
      <c r="H1010" s="34"/>
      <c r="I1010" s="37"/>
    </row>
    <row r="1011" ht="22.5" customHeight="1">
      <c r="A1011" s="30"/>
      <c r="B1011" s="31"/>
      <c r="C1011" s="32"/>
      <c r="D1011" s="33"/>
      <c r="E1011" s="34"/>
      <c r="F1011" s="34"/>
      <c r="G1011" s="35"/>
      <c r="H1011" s="34"/>
      <c r="I1011" s="37"/>
    </row>
    <row r="1012" ht="22.5" customHeight="1">
      <c r="A1012" s="30"/>
      <c r="B1012" s="31"/>
      <c r="C1012" s="32"/>
      <c r="D1012" s="33"/>
      <c r="E1012" s="34"/>
      <c r="F1012" s="34"/>
      <c r="G1012" s="35"/>
      <c r="H1012" s="34"/>
      <c r="I1012" s="37"/>
    </row>
    <row r="1013" ht="22.5" customHeight="1">
      <c r="A1013" s="30"/>
      <c r="B1013" s="31"/>
      <c r="C1013" s="32"/>
      <c r="D1013" s="33"/>
      <c r="E1013" s="34"/>
      <c r="F1013" s="34"/>
      <c r="G1013" s="35"/>
      <c r="H1013" s="34"/>
      <c r="I1013" s="37"/>
    </row>
    <row r="1014" ht="22.5" customHeight="1">
      <c r="A1014" s="30"/>
      <c r="B1014" s="31"/>
      <c r="C1014" s="32"/>
      <c r="D1014" s="33"/>
      <c r="E1014" s="34"/>
      <c r="F1014" s="34"/>
      <c r="G1014" s="35"/>
      <c r="H1014" s="34"/>
      <c r="I1014" s="37"/>
    </row>
    <row r="1015" ht="22.5" customHeight="1">
      <c r="A1015" s="30"/>
      <c r="B1015" s="31"/>
      <c r="C1015" s="32"/>
      <c r="D1015" s="33"/>
      <c r="E1015" s="34"/>
      <c r="F1015" s="34"/>
      <c r="G1015" s="35"/>
      <c r="H1015" s="34"/>
      <c r="I1015" s="37"/>
    </row>
    <row r="1016" ht="22.5" customHeight="1">
      <c r="A1016" s="30"/>
      <c r="B1016" s="40"/>
      <c r="C1016" s="32"/>
      <c r="D1016" s="33"/>
      <c r="E1016" s="34"/>
      <c r="F1016" s="34"/>
      <c r="G1016" s="35"/>
      <c r="H1016" s="34"/>
      <c r="I1016" s="37"/>
    </row>
    <row r="1017" ht="22.5" customHeight="1">
      <c r="A1017" s="30"/>
      <c r="B1017" s="31"/>
      <c r="C1017" s="32"/>
      <c r="D1017" s="33"/>
      <c r="E1017" s="34"/>
      <c r="F1017" s="34"/>
      <c r="G1017" s="35"/>
      <c r="H1017" s="34"/>
      <c r="I1017" s="37"/>
    </row>
    <row r="1018" ht="22.5" customHeight="1">
      <c r="A1018" s="30"/>
      <c r="B1018" s="31"/>
      <c r="C1018" s="32"/>
      <c r="D1018" s="33"/>
      <c r="E1018" s="34"/>
      <c r="F1018" s="34"/>
      <c r="G1018" s="35"/>
      <c r="H1018" s="34"/>
      <c r="I1018" s="37"/>
    </row>
    <row r="1019" ht="22.5" customHeight="1">
      <c r="A1019" s="30"/>
      <c r="B1019" s="31"/>
      <c r="C1019" s="32"/>
      <c r="D1019" s="33"/>
      <c r="E1019" s="34"/>
      <c r="F1019" s="34"/>
      <c r="G1019" s="35"/>
      <c r="H1019" s="34"/>
      <c r="I1019" s="37"/>
    </row>
    <row r="1020" ht="22.5" customHeight="1">
      <c r="A1020" s="30"/>
      <c r="B1020" s="31"/>
      <c r="C1020" s="32"/>
      <c r="D1020" s="33"/>
      <c r="E1020" s="34"/>
      <c r="F1020" s="34"/>
      <c r="G1020" s="35"/>
      <c r="H1020" s="34"/>
      <c r="I1020" s="37"/>
    </row>
    <row r="1021" ht="22.5" customHeight="1">
      <c r="A1021" s="30"/>
      <c r="B1021" s="31"/>
      <c r="C1021" s="32"/>
      <c r="D1021" s="33"/>
      <c r="E1021" s="34"/>
      <c r="F1021" s="34"/>
      <c r="G1021" s="35"/>
      <c r="H1021" s="34"/>
      <c r="I1021" s="37"/>
    </row>
    <row r="1022" ht="22.5" customHeight="1">
      <c r="A1022" s="30"/>
      <c r="B1022" s="31"/>
      <c r="C1022" s="32"/>
      <c r="D1022" s="33"/>
      <c r="E1022" s="34"/>
      <c r="F1022" s="34"/>
      <c r="G1022" s="35"/>
      <c r="H1022" s="34"/>
      <c r="I1022" s="37"/>
    </row>
    <row r="1023" ht="22.5" customHeight="1">
      <c r="A1023" s="30"/>
      <c r="B1023" s="39"/>
      <c r="C1023" s="32"/>
      <c r="D1023" s="33"/>
      <c r="E1023" s="34"/>
      <c r="F1023" s="34"/>
      <c r="G1023" s="35"/>
      <c r="H1023" s="34"/>
      <c r="I1023" s="37"/>
    </row>
    <row r="1024" ht="22.5" customHeight="1">
      <c r="A1024" s="30"/>
      <c r="B1024" s="39"/>
      <c r="C1024" s="32"/>
      <c r="D1024" s="33"/>
      <c r="E1024" s="34"/>
      <c r="F1024" s="34"/>
      <c r="G1024" s="35"/>
      <c r="H1024" s="34"/>
      <c r="I1024" s="37"/>
    </row>
    <row r="1025" ht="22.5" customHeight="1">
      <c r="A1025" s="30"/>
      <c r="B1025" s="39"/>
      <c r="C1025" s="32"/>
      <c r="D1025" s="33"/>
      <c r="E1025" s="34"/>
      <c r="F1025" s="34"/>
      <c r="G1025" s="35"/>
      <c r="H1025" s="34"/>
      <c r="I1025" s="37"/>
    </row>
    <row r="1026" ht="22.5" customHeight="1">
      <c r="A1026" s="30"/>
      <c r="B1026" s="40"/>
      <c r="C1026" s="32"/>
      <c r="D1026" s="33"/>
      <c r="E1026" s="34"/>
      <c r="F1026" s="34"/>
      <c r="G1026" s="35"/>
      <c r="H1026" s="34"/>
      <c r="I1026" s="37"/>
    </row>
    <row r="1027" ht="22.5" customHeight="1">
      <c r="A1027" s="30"/>
      <c r="B1027" s="31"/>
      <c r="C1027" s="32"/>
      <c r="D1027" s="33"/>
      <c r="E1027" s="34"/>
      <c r="F1027" s="34"/>
      <c r="G1027" s="35"/>
      <c r="H1027" s="34"/>
      <c r="I1027" s="37"/>
    </row>
    <row r="1028" ht="22.5" customHeight="1">
      <c r="A1028" s="30"/>
      <c r="B1028" s="31"/>
      <c r="C1028" s="32"/>
      <c r="D1028" s="33"/>
      <c r="E1028" s="34"/>
      <c r="F1028" s="34"/>
      <c r="G1028" s="35"/>
      <c r="H1028" s="34"/>
      <c r="I1028" s="37"/>
    </row>
    <row r="1029" ht="22.5" customHeight="1">
      <c r="A1029" s="30"/>
      <c r="B1029" s="31"/>
      <c r="C1029" s="32"/>
      <c r="D1029" s="33"/>
      <c r="E1029" s="34"/>
      <c r="F1029" s="34"/>
      <c r="G1029" s="35"/>
      <c r="H1029" s="34"/>
      <c r="I1029" s="37"/>
    </row>
    <row r="1030" ht="22.5" customHeight="1">
      <c r="A1030" s="30"/>
      <c r="B1030" s="31"/>
      <c r="C1030" s="32"/>
      <c r="D1030" s="33"/>
      <c r="E1030" s="34"/>
      <c r="F1030" s="34"/>
      <c r="G1030" s="35"/>
      <c r="H1030" s="34"/>
      <c r="I1030" s="37"/>
    </row>
    <row r="1031" ht="22.5" customHeight="1">
      <c r="A1031" s="30"/>
      <c r="B1031" s="31"/>
      <c r="C1031" s="32"/>
      <c r="D1031" s="33"/>
      <c r="E1031" s="34"/>
      <c r="F1031" s="34"/>
      <c r="G1031" s="35"/>
      <c r="H1031" s="34"/>
      <c r="I1031" s="37"/>
    </row>
    <row r="1032" ht="22.5" customHeight="1">
      <c r="A1032" s="30"/>
      <c r="B1032" s="31"/>
      <c r="C1032" s="32"/>
      <c r="D1032" s="33"/>
      <c r="E1032" s="34"/>
      <c r="F1032" s="34"/>
      <c r="G1032" s="35"/>
      <c r="H1032" s="34"/>
      <c r="I1032" s="37"/>
    </row>
    <row r="1033" ht="22.5" customHeight="1">
      <c r="A1033" s="30"/>
      <c r="B1033" s="31"/>
      <c r="C1033" s="32"/>
      <c r="D1033" s="33"/>
      <c r="E1033" s="34"/>
      <c r="F1033" s="34"/>
      <c r="G1033" s="35"/>
      <c r="H1033" s="34"/>
      <c r="I1033" s="37"/>
    </row>
    <row r="1034" ht="22.5" customHeight="1">
      <c r="A1034" s="30"/>
      <c r="B1034" s="31"/>
      <c r="C1034" s="32"/>
      <c r="D1034" s="33"/>
      <c r="E1034" s="34"/>
      <c r="F1034" s="34"/>
      <c r="G1034" s="35"/>
      <c r="H1034" s="34"/>
      <c r="I1034" s="37"/>
    </row>
    <row r="1035" ht="22.5" customHeight="1">
      <c r="A1035" s="30"/>
      <c r="B1035" s="31"/>
      <c r="C1035" s="32"/>
      <c r="D1035" s="33"/>
      <c r="E1035" s="34"/>
      <c r="F1035" s="34"/>
      <c r="G1035" s="35"/>
      <c r="H1035" s="34"/>
      <c r="I1035" s="37"/>
    </row>
    <row r="1036" ht="22.5" customHeight="1">
      <c r="A1036" s="30"/>
      <c r="B1036" s="40"/>
      <c r="C1036" s="32"/>
      <c r="D1036" s="33"/>
      <c r="E1036" s="34"/>
      <c r="F1036" s="34"/>
      <c r="G1036" s="35"/>
      <c r="H1036" s="34"/>
      <c r="I1036" s="37"/>
    </row>
    <row r="1037" ht="22.5" customHeight="1">
      <c r="A1037" s="30"/>
      <c r="B1037" s="31"/>
      <c r="C1037" s="32"/>
      <c r="D1037" s="33"/>
      <c r="E1037" s="34"/>
      <c r="F1037" s="34"/>
      <c r="G1037" s="35"/>
      <c r="H1037" s="34"/>
      <c r="I1037" s="37"/>
    </row>
    <row r="1038" ht="22.5" customHeight="1">
      <c r="A1038" s="30"/>
      <c r="B1038" s="31"/>
      <c r="C1038" s="32"/>
      <c r="D1038" s="33"/>
      <c r="E1038" s="34"/>
      <c r="F1038" s="34"/>
      <c r="G1038" s="35"/>
      <c r="H1038" s="34"/>
      <c r="I1038" s="37"/>
    </row>
    <row r="1039" ht="22.5" customHeight="1">
      <c r="A1039" s="30"/>
      <c r="B1039" s="31"/>
      <c r="C1039" s="32"/>
      <c r="D1039" s="33"/>
      <c r="E1039" s="34"/>
      <c r="F1039" s="34"/>
      <c r="G1039" s="35"/>
      <c r="H1039" s="34"/>
      <c r="I1039" s="37"/>
    </row>
    <row r="1040" ht="22.5" customHeight="1">
      <c r="A1040" s="30"/>
      <c r="B1040" s="40"/>
      <c r="C1040" s="32"/>
      <c r="D1040" s="33"/>
      <c r="E1040" s="34"/>
      <c r="F1040" s="34"/>
      <c r="G1040" s="35"/>
      <c r="H1040" s="34"/>
      <c r="I1040" s="37"/>
    </row>
    <row r="1041" ht="22.5" customHeight="1">
      <c r="A1041" s="30"/>
      <c r="B1041" s="31"/>
      <c r="C1041" s="32"/>
      <c r="D1041" s="33"/>
      <c r="E1041" s="34"/>
      <c r="F1041" s="34"/>
      <c r="G1041" s="35"/>
      <c r="H1041" s="34"/>
      <c r="I1041" s="37"/>
    </row>
    <row r="1042" ht="22.5" customHeight="1">
      <c r="A1042" s="30"/>
      <c r="B1042" s="31"/>
      <c r="C1042" s="32"/>
      <c r="D1042" s="33"/>
      <c r="E1042" s="34"/>
      <c r="F1042" s="34"/>
      <c r="G1042" s="35"/>
      <c r="H1042" s="34"/>
      <c r="I1042" s="37"/>
    </row>
    <row r="1043" ht="22.5" customHeight="1">
      <c r="A1043" s="30"/>
      <c r="B1043" s="31"/>
      <c r="C1043" s="32"/>
      <c r="D1043" s="33"/>
      <c r="E1043" s="34"/>
      <c r="F1043" s="34"/>
      <c r="G1043" s="35"/>
      <c r="H1043" s="34"/>
      <c r="I1043" s="37"/>
    </row>
    <row r="1044" ht="22.5" customHeight="1">
      <c r="A1044" s="30"/>
      <c r="B1044" s="31"/>
      <c r="C1044" s="32"/>
      <c r="D1044" s="33"/>
      <c r="E1044" s="34"/>
      <c r="F1044" s="34"/>
      <c r="G1044" s="35"/>
      <c r="H1044" s="34"/>
      <c r="I1044" s="37"/>
    </row>
    <row r="1045" ht="22.5" customHeight="1">
      <c r="A1045" s="30"/>
      <c r="B1045" s="31"/>
      <c r="C1045" s="32"/>
      <c r="D1045" s="33"/>
      <c r="E1045" s="34"/>
      <c r="F1045" s="34"/>
      <c r="G1045" s="35"/>
      <c r="H1045" s="34"/>
      <c r="I1045" s="37"/>
    </row>
    <row r="1046" ht="22.5" customHeight="1">
      <c r="A1046" s="30"/>
      <c r="B1046" s="31"/>
      <c r="C1046" s="32"/>
      <c r="D1046" s="33"/>
      <c r="E1046" s="34"/>
      <c r="F1046" s="34"/>
      <c r="G1046" s="35"/>
      <c r="H1046" s="34"/>
      <c r="I1046" s="37"/>
    </row>
    <row r="1047" ht="22.5" customHeight="1">
      <c r="A1047" s="30"/>
      <c r="B1047" s="31"/>
      <c r="C1047" s="32"/>
      <c r="D1047" s="33"/>
      <c r="E1047" s="34"/>
      <c r="F1047" s="34"/>
      <c r="G1047" s="35"/>
      <c r="H1047" s="34"/>
      <c r="I1047" s="37"/>
    </row>
    <row r="1048" ht="22.5" customHeight="1">
      <c r="A1048" s="30"/>
      <c r="B1048" s="31"/>
      <c r="C1048" s="32"/>
      <c r="D1048" s="33"/>
      <c r="E1048" s="34"/>
      <c r="F1048" s="34"/>
      <c r="G1048" s="35"/>
      <c r="H1048" s="34"/>
      <c r="I1048" s="37"/>
    </row>
    <row r="1049" ht="22.5" customHeight="1">
      <c r="A1049" s="30"/>
      <c r="B1049" s="31"/>
      <c r="C1049" s="32"/>
      <c r="D1049" s="33"/>
      <c r="E1049" s="34"/>
      <c r="F1049" s="34"/>
      <c r="G1049" s="35"/>
      <c r="H1049" s="34"/>
      <c r="I1049" s="37"/>
    </row>
    <row r="1050" ht="22.5" customHeight="1">
      <c r="A1050" s="30"/>
      <c r="B1050" s="31"/>
      <c r="C1050" s="32"/>
      <c r="D1050" s="33"/>
      <c r="E1050" s="34"/>
      <c r="F1050" s="34"/>
      <c r="G1050" s="35"/>
      <c r="H1050" s="34"/>
      <c r="I1050" s="37"/>
    </row>
    <row r="1051" ht="22.5" customHeight="1">
      <c r="A1051" s="30"/>
      <c r="B1051" s="31"/>
      <c r="C1051" s="32"/>
      <c r="D1051" s="33"/>
      <c r="E1051" s="34"/>
      <c r="F1051" s="34"/>
      <c r="G1051" s="35"/>
      <c r="H1051" s="34"/>
      <c r="I1051" s="37"/>
    </row>
    <row r="1052" ht="22.5" customHeight="1">
      <c r="A1052" s="30"/>
      <c r="B1052" s="31"/>
      <c r="C1052" s="32"/>
      <c r="D1052" s="33"/>
      <c r="E1052" s="34"/>
      <c r="F1052" s="34"/>
      <c r="G1052" s="35"/>
      <c r="H1052" s="34"/>
      <c r="I1052" s="37"/>
    </row>
    <row r="1053" ht="22.5" customHeight="1">
      <c r="A1053" s="30"/>
      <c r="B1053" s="31"/>
      <c r="C1053" s="32"/>
      <c r="D1053" s="33"/>
      <c r="E1053" s="34"/>
      <c r="F1053" s="34"/>
      <c r="G1053" s="35"/>
      <c r="H1053" s="34"/>
      <c r="I1053" s="37"/>
    </row>
    <row r="1054" ht="22.5" customHeight="1">
      <c r="A1054" s="30"/>
      <c r="B1054" s="31"/>
      <c r="C1054" s="32"/>
      <c r="D1054" s="33"/>
      <c r="E1054" s="34"/>
      <c r="F1054" s="34"/>
      <c r="G1054" s="35"/>
      <c r="H1054" s="34"/>
      <c r="I1054" s="37"/>
    </row>
    <row r="1055" ht="22.5" customHeight="1">
      <c r="A1055" s="30"/>
      <c r="B1055" s="40"/>
      <c r="C1055" s="32"/>
      <c r="D1055" s="33"/>
      <c r="E1055" s="34"/>
      <c r="F1055" s="34"/>
      <c r="G1055" s="35"/>
      <c r="H1055" s="34"/>
      <c r="I1055" s="37"/>
    </row>
    <row r="1056" ht="22.5" customHeight="1">
      <c r="A1056" s="30"/>
      <c r="B1056" s="31"/>
      <c r="C1056" s="32"/>
      <c r="D1056" s="33"/>
      <c r="E1056" s="34"/>
      <c r="F1056" s="34"/>
      <c r="G1056" s="35"/>
      <c r="H1056" s="34"/>
      <c r="I1056" s="37"/>
    </row>
    <row r="1057" ht="22.5" customHeight="1">
      <c r="A1057" s="30"/>
      <c r="B1057" s="40"/>
      <c r="C1057" s="32"/>
      <c r="D1057" s="33"/>
      <c r="E1057" s="34"/>
      <c r="F1057" s="34"/>
      <c r="G1057" s="35"/>
      <c r="H1057" s="34"/>
      <c r="I1057" s="37"/>
    </row>
    <row r="1058" ht="22.5" customHeight="1">
      <c r="A1058" s="30"/>
      <c r="B1058" s="31"/>
      <c r="C1058" s="32"/>
      <c r="D1058" s="33"/>
      <c r="E1058" s="34"/>
      <c r="F1058" s="34"/>
      <c r="G1058" s="35"/>
      <c r="H1058" s="34"/>
      <c r="I1058" s="37"/>
    </row>
    <row r="1059" ht="22.5" customHeight="1">
      <c r="A1059" s="30"/>
      <c r="B1059" s="31"/>
      <c r="C1059" s="32"/>
      <c r="D1059" s="33"/>
      <c r="E1059" s="34"/>
      <c r="F1059" s="34"/>
      <c r="G1059" s="35"/>
      <c r="H1059" s="34"/>
      <c r="I1059" s="37"/>
    </row>
    <row r="1060" ht="22.5" customHeight="1">
      <c r="A1060" s="30"/>
      <c r="B1060" s="31"/>
      <c r="C1060" s="32"/>
      <c r="D1060" s="33"/>
      <c r="E1060" s="34"/>
      <c r="F1060" s="34"/>
      <c r="G1060" s="35"/>
      <c r="H1060" s="34"/>
      <c r="I1060" s="37"/>
    </row>
    <row r="1061" ht="22.5" customHeight="1">
      <c r="A1061" s="30"/>
      <c r="B1061" s="31"/>
      <c r="C1061" s="32"/>
      <c r="D1061" s="33"/>
      <c r="E1061" s="34"/>
      <c r="F1061" s="34"/>
      <c r="G1061" s="35"/>
      <c r="H1061" s="34"/>
      <c r="I1061" s="37"/>
    </row>
    <row r="1062" ht="22.5" customHeight="1">
      <c r="A1062" s="30"/>
      <c r="B1062" s="40"/>
      <c r="C1062" s="32"/>
      <c r="D1062" s="33"/>
      <c r="E1062" s="34"/>
      <c r="F1062" s="34"/>
      <c r="G1062" s="35"/>
      <c r="H1062" s="34"/>
      <c r="I1062" s="37"/>
    </row>
    <row r="1063" ht="22.5" customHeight="1">
      <c r="A1063" s="30"/>
      <c r="B1063" s="31"/>
      <c r="C1063" s="32"/>
      <c r="D1063" s="33"/>
      <c r="E1063" s="34"/>
      <c r="F1063" s="34"/>
      <c r="G1063" s="35"/>
      <c r="H1063" s="34"/>
      <c r="I1063" s="37"/>
    </row>
    <row r="1064" ht="22.5" customHeight="1">
      <c r="A1064" s="30"/>
      <c r="B1064" s="31"/>
      <c r="C1064" s="32"/>
      <c r="D1064" s="33"/>
      <c r="E1064" s="34"/>
      <c r="F1064" s="34"/>
      <c r="G1064" s="35"/>
      <c r="H1064" s="34"/>
      <c r="I1064" s="37"/>
    </row>
    <row r="1065" ht="22.5" customHeight="1">
      <c r="A1065" s="30"/>
      <c r="B1065" s="31"/>
      <c r="C1065" s="32"/>
      <c r="D1065" s="33"/>
      <c r="E1065" s="34"/>
      <c r="F1065" s="34"/>
      <c r="G1065" s="35"/>
      <c r="H1065" s="34"/>
      <c r="I1065" s="37"/>
    </row>
    <row r="1066" ht="22.5" customHeight="1">
      <c r="A1066" s="30"/>
      <c r="B1066" s="31"/>
      <c r="C1066" s="32"/>
      <c r="D1066" s="33"/>
      <c r="E1066" s="34"/>
      <c r="F1066" s="34"/>
      <c r="G1066" s="35"/>
      <c r="H1066" s="34"/>
      <c r="I1066" s="37"/>
    </row>
    <row r="1067" ht="22.5" customHeight="1">
      <c r="A1067" s="30"/>
      <c r="B1067" s="31"/>
      <c r="C1067" s="32"/>
      <c r="D1067" s="33"/>
      <c r="E1067" s="34"/>
      <c r="F1067" s="34"/>
      <c r="G1067" s="35"/>
      <c r="H1067" s="34"/>
      <c r="I1067" s="37"/>
    </row>
    <row r="1068" ht="22.5" customHeight="1">
      <c r="A1068" s="30"/>
      <c r="B1068" s="31"/>
      <c r="C1068" s="32"/>
      <c r="D1068" s="33"/>
      <c r="E1068" s="34"/>
      <c r="F1068" s="34"/>
      <c r="G1068" s="35"/>
      <c r="H1068" s="34"/>
      <c r="I1068" s="37"/>
    </row>
    <row r="1069" ht="22.5" customHeight="1">
      <c r="A1069" s="30"/>
      <c r="B1069" s="31"/>
      <c r="C1069" s="32"/>
      <c r="D1069" s="33"/>
      <c r="E1069" s="34"/>
      <c r="F1069" s="34"/>
      <c r="G1069" s="35"/>
      <c r="H1069" s="34"/>
      <c r="I1069" s="37"/>
    </row>
    <row r="1070" ht="22.5" customHeight="1">
      <c r="A1070" s="30"/>
      <c r="B1070" s="31"/>
      <c r="C1070" s="32"/>
      <c r="D1070" s="33"/>
      <c r="E1070" s="34"/>
      <c r="F1070" s="34"/>
      <c r="G1070" s="35"/>
      <c r="H1070" s="34"/>
      <c r="I1070" s="37"/>
    </row>
    <row r="1071" ht="22.5" customHeight="1">
      <c r="A1071" s="30"/>
      <c r="B1071" s="31"/>
      <c r="C1071" s="32"/>
      <c r="D1071" s="33"/>
      <c r="E1071" s="34"/>
      <c r="F1071" s="34"/>
      <c r="G1071" s="35"/>
      <c r="H1071" s="34"/>
      <c r="I1071" s="37"/>
    </row>
    <row r="1072" ht="22.5" customHeight="1">
      <c r="A1072" s="30"/>
      <c r="B1072" s="31"/>
      <c r="C1072" s="32"/>
      <c r="D1072" s="33"/>
      <c r="E1072" s="34"/>
      <c r="F1072" s="34"/>
      <c r="G1072" s="35"/>
      <c r="H1072" s="34"/>
      <c r="I1072" s="37"/>
    </row>
    <row r="1073" ht="22.5" customHeight="1">
      <c r="A1073" s="30"/>
      <c r="B1073" s="31"/>
      <c r="C1073" s="32"/>
      <c r="D1073" s="33"/>
      <c r="E1073" s="34"/>
      <c r="F1073" s="34"/>
      <c r="G1073" s="35"/>
      <c r="H1073" s="34"/>
      <c r="I1073" s="37"/>
    </row>
    <row r="1074" ht="22.5" customHeight="1">
      <c r="A1074" s="30"/>
      <c r="B1074" s="31"/>
      <c r="C1074" s="32"/>
      <c r="D1074" s="33"/>
      <c r="E1074" s="34"/>
      <c r="F1074" s="34"/>
      <c r="G1074" s="35"/>
      <c r="H1074" s="34"/>
      <c r="I1074" s="37"/>
    </row>
    <row r="1075" ht="22.5" customHeight="1">
      <c r="A1075" s="30"/>
      <c r="B1075" s="31"/>
      <c r="C1075" s="32"/>
      <c r="D1075" s="33"/>
      <c r="E1075" s="34"/>
      <c r="F1075" s="34"/>
      <c r="G1075" s="35"/>
      <c r="H1075" s="34"/>
      <c r="I1075" s="37"/>
    </row>
    <row r="1076" ht="22.5" customHeight="1">
      <c r="A1076" s="30"/>
      <c r="B1076" s="31"/>
      <c r="C1076" s="32"/>
      <c r="D1076" s="33"/>
      <c r="E1076" s="34"/>
      <c r="F1076" s="34"/>
      <c r="G1076" s="35"/>
      <c r="H1076" s="34"/>
      <c r="I1076" s="37"/>
    </row>
    <row r="1077" ht="22.5" customHeight="1">
      <c r="A1077" s="30"/>
      <c r="B1077" s="31"/>
      <c r="C1077" s="32"/>
      <c r="D1077" s="33"/>
      <c r="E1077" s="34"/>
      <c r="F1077" s="34"/>
      <c r="G1077" s="35"/>
      <c r="H1077" s="34"/>
      <c r="I1077" s="37"/>
    </row>
    <row r="1078" ht="22.5" customHeight="1">
      <c r="A1078" s="30"/>
      <c r="B1078" s="31"/>
      <c r="C1078" s="32"/>
      <c r="D1078" s="33"/>
      <c r="E1078" s="34"/>
      <c r="F1078" s="34"/>
      <c r="G1078" s="35"/>
      <c r="H1078" s="34"/>
      <c r="I1078" s="37"/>
    </row>
    <row r="1079" ht="22.5" customHeight="1">
      <c r="A1079" s="30"/>
      <c r="B1079" s="31"/>
      <c r="C1079" s="32"/>
      <c r="D1079" s="33"/>
      <c r="E1079" s="34"/>
      <c r="F1079" s="34"/>
      <c r="G1079" s="35"/>
      <c r="H1079" s="34"/>
      <c r="I1079" s="37"/>
    </row>
    <row r="1080" ht="22.5" customHeight="1">
      <c r="A1080" s="30"/>
      <c r="B1080" s="31"/>
      <c r="C1080" s="32"/>
      <c r="D1080" s="33"/>
      <c r="E1080" s="34"/>
      <c r="F1080" s="34"/>
      <c r="G1080" s="35"/>
      <c r="H1080" s="34"/>
      <c r="I1080" s="37"/>
    </row>
    <row r="1081" ht="22.5" customHeight="1">
      <c r="A1081" s="30"/>
      <c r="B1081" s="31"/>
      <c r="C1081" s="32"/>
      <c r="D1081" s="33"/>
      <c r="E1081" s="34"/>
      <c r="F1081" s="34"/>
      <c r="G1081" s="35"/>
      <c r="H1081" s="34"/>
      <c r="I1081" s="37"/>
    </row>
    <row r="1082" ht="22.5" customHeight="1">
      <c r="A1082" s="30"/>
      <c r="B1082" s="31"/>
      <c r="C1082" s="32"/>
      <c r="D1082" s="33"/>
      <c r="E1082" s="34"/>
      <c r="F1082" s="34"/>
      <c r="G1082" s="35"/>
      <c r="H1082" s="34"/>
      <c r="I1082" s="37"/>
    </row>
    <row r="1083" ht="22.5" customHeight="1">
      <c r="A1083" s="30"/>
      <c r="B1083" s="31"/>
      <c r="C1083" s="32"/>
      <c r="D1083" s="33"/>
      <c r="E1083" s="34"/>
      <c r="F1083" s="34"/>
      <c r="G1083" s="35"/>
      <c r="H1083" s="34"/>
      <c r="I1083" s="37"/>
    </row>
    <row r="1084" ht="22.5" customHeight="1">
      <c r="A1084" s="30"/>
      <c r="B1084" s="40"/>
      <c r="C1084" s="32"/>
      <c r="D1084" s="33"/>
      <c r="E1084" s="34"/>
      <c r="F1084" s="34"/>
      <c r="G1084" s="35"/>
      <c r="H1084" s="34"/>
      <c r="I1084" s="37"/>
    </row>
    <row r="1085" ht="22.5" customHeight="1">
      <c r="A1085" s="30"/>
      <c r="B1085" s="31"/>
      <c r="C1085" s="32"/>
      <c r="D1085" s="33"/>
      <c r="E1085" s="34"/>
      <c r="F1085" s="34"/>
      <c r="G1085" s="35"/>
      <c r="H1085" s="34"/>
      <c r="I1085" s="37"/>
    </row>
    <row r="1086" ht="22.5" customHeight="1">
      <c r="A1086" s="30"/>
      <c r="B1086" s="31"/>
      <c r="C1086" s="32"/>
      <c r="D1086" s="33"/>
      <c r="E1086" s="34"/>
      <c r="F1086" s="34"/>
      <c r="G1086" s="35"/>
      <c r="H1086" s="34"/>
      <c r="I1086" s="37"/>
    </row>
    <row r="1087" ht="22.5" customHeight="1">
      <c r="A1087" s="30"/>
      <c r="B1087" s="31"/>
      <c r="C1087" s="32"/>
      <c r="D1087" s="33"/>
      <c r="E1087" s="34"/>
      <c r="F1087" s="34"/>
      <c r="G1087" s="35"/>
      <c r="H1087" s="34"/>
      <c r="I1087" s="37"/>
    </row>
    <row r="1088" ht="22.5" customHeight="1">
      <c r="A1088" s="30"/>
      <c r="B1088" s="31"/>
      <c r="C1088" s="32"/>
      <c r="D1088" s="33"/>
      <c r="E1088" s="34"/>
      <c r="F1088" s="34"/>
      <c r="G1088" s="35"/>
      <c r="H1088" s="34"/>
      <c r="I1088" s="38"/>
    </row>
    <row r="1089" ht="22.5" customHeight="1">
      <c r="A1089" s="30"/>
      <c r="B1089" s="39"/>
      <c r="C1089" s="32"/>
      <c r="D1089" s="33"/>
      <c r="E1089" s="34"/>
      <c r="F1089" s="34"/>
      <c r="G1089" s="35"/>
      <c r="H1089" s="34"/>
      <c r="I1089" s="37"/>
    </row>
    <row r="1090" ht="22.5" customHeight="1">
      <c r="A1090" s="30"/>
      <c r="B1090" s="31"/>
      <c r="C1090" s="32"/>
      <c r="D1090" s="33"/>
      <c r="E1090" s="34"/>
      <c r="F1090" s="34"/>
      <c r="G1090" s="35"/>
      <c r="H1090" s="34"/>
      <c r="I1090" s="37"/>
    </row>
    <row r="1091" ht="22.5" customHeight="1">
      <c r="A1091" s="30"/>
      <c r="B1091" s="31"/>
      <c r="C1091" s="32"/>
      <c r="D1091" s="33"/>
      <c r="E1091" s="34"/>
      <c r="F1091" s="34"/>
      <c r="G1091" s="35"/>
      <c r="H1091" s="34"/>
      <c r="I1091" s="37"/>
    </row>
    <row r="1092" ht="22.5" customHeight="1">
      <c r="A1092" s="30"/>
      <c r="B1092" s="31"/>
      <c r="C1092" s="32"/>
      <c r="D1092" s="33"/>
      <c r="E1092" s="34"/>
      <c r="F1092" s="34"/>
      <c r="G1092" s="35"/>
      <c r="H1092" s="34"/>
      <c r="I1092" s="37"/>
    </row>
    <row r="1093" ht="22.5" customHeight="1">
      <c r="A1093" s="30"/>
      <c r="B1093" s="39"/>
      <c r="C1093" s="32"/>
      <c r="D1093" s="33"/>
      <c r="E1093" s="34"/>
      <c r="F1093" s="34"/>
      <c r="G1093" s="35"/>
      <c r="H1093" s="34"/>
      <c r="I1093" s="37"/>
    </row>
    <row r="1094" ht="22.5" customHeight="1">
      <c r="A1094" s="30"/>
      <c r="B1094" s="31"/>
      <c r="C1094" s="32"/>
      <c r="D1094" s="33"/>
      <c r="E1094" s="34"/>
      <c r="F1094" s="34"/>
      <c r="G1094" s="35"/>
      <c r="H1094" s="34"/>
      <c r="I1094" s="37"/>
    </row>
    <row r="1095" ht="22.5" customHeight="1">
      <c r="A1095" s="30"/>
      <c r="B1095" s="39"/>
      <c r="C1095" s="32"/>
      <c r="D1095" s="33"/>
      <c r="E1095" s="34"/>
      <c r="F1095" s="34"/>
      <c r="G1095" s="35"/>
      <c r="H1095" s="34"/>
      <c r="I1095" s="37"/>
    </row>
    <row r="1096" ht="22.5" customHeight="1">
      <c r="A1096" s="30"/>
      <c r="B1096" s="31"/>
      <c r="C1096" s="32"/>
      <c r="D1096" s="33"/>
      <c r="E1096" s="34"/>
      <c r="F1096" s="34"/>
      <c r="G1096" s="35"/>
      <c r="H1096" s="34"/>
      <c r="I1096" s="37"/>
    </row>
    <row r="1097" ht="22.5" customHeight="1">
      <c r="A1097" s="30"/>
      <c r="B1097" s="31"/>
      <c r="C1097" s="32"/>
      <c r="D1097" s="33"/>
      <c r="E1097" s="34"/>
      <c r="F1097" s="34"/>
      <c r="G1097" s="35"/>
      <c r="H1097" s="34"/>
      <c r="I1097" s="37"/>
    </row>
    <row r="1098" ht="22.5" customHeight="1">
      <c r="A1098" s="30"/>
      <c r="B1098" s="31"/>
      <c r="C1098" s="32"/>
      <c r="D1098" s="33"/>
      <c r="E1098" s="34"/>
      <c r="F1098" s="34"/>
      <c r="G1098" s="35"/>
      <c r="H1098" s="34"/>
      <c r="I1098" s="37"/>
    </row>
    <row r="1099" ht="22.5" customHeight="1">
      <c r="A1099" s="30"/>
      <c r="B1099" s="31"/>
      <c r="C1099" s="32"/>
      <c r="D1099" s="33"/>
      <c r="E1099" s="34"/>
      <c r="F1099" s="34"/>
      <c r="G1099" s="35"/>
      <c r="H1099" s="34"/>
      <c r="I1099" s="37"/>
    </row>
    <row r="1100" ht="22.5" customHeight="1">
      <c r="A1100" s="30"/>
      <c r="B1100" s="31"/>
      <c r="C1100" s="32"/>
      <c r="D1100" s="33"/>
      <c r="E1100" s="34"/>
      <c r="F1100" s="34"/>
      <c r="G1100" s="35"/>
      <c r="H1100" s="34"/>
      <c r="I1100" s="37"/>
    </row>
    <row r="1101" ht="22.5" customHeight="1">
      <c r="A1101" s="30"/>
      <c r="B1101" s="31"/>
      <c r="C1101" s="32"/>
      <c r="D1101" s="33"/>
      <c r="E1101" s="34"/>
      <c r="F1101" s="34"/>
      <c r="G1101" s="35"/>
      <c r="H1101" s="34"/>
      <c r="I1101" s="37"/>
    </row>
    <row r="1102" ht="22.5" customHeight="1">
      <c r="A1102" s="30"/>
      <c r="B1102" s="31"/>
      <c r="C1102" s="32"/>
      <c r="D1102" s="33"/>
      <c r="E1102" s="34"/>
      <c r="F1102" s="34"/>
      <c r="G1102" s="35"/>
      <c r="H1102" s="34"/>
      <c r="I1102" s="37"/>
    </row>
    <row r="1103" ht="22.5" customHeight="1">
      <c r="A1103" s="30"/>
      <c r="B1103" s="31"/>
      <c r="C1103" s="32"/>
      <c r="D1103" s="33"/>
      <c r="E1103" s="34"/>
      <c r="F1103" s="34"/>
      <c r="G1103" s="35"/>
      <c r="H1103" s="34"/>
      <c r="I1103" s="37"/>
    </row>
    <row r="1104" ht="22.5" customHeight="1">
      <c r="A1104" s="30"/>
      <c r="B1104" s="31"/>
      <c r="C1104" s="32"/>
      <c r="D1104" s="33"/>
      <c r="E1104" s="34"/>
      <c r="F1104" s="34"/>
      <c r="G1104" s="35"/>
      <c r="H1104" s="34"/>
      <c r="I1104" s="37"/>
    </row>
    <row r="1105" ht="22.5" customHeight="1">
      <c r="A1105" s="30"/>
      <c r="B1105" s="31"/>
      <c r="C1105" s="32"/>
      <c r="D1105" s="33"/>
      <c r="E1105" s="34"/>
      <c r="F1105" s="34"/>
      <c r="G1105" s="35"/>
      <c r="H1105" s="34"/>
      <c r="I1105" s="37"/>
    </row>
    <row r="1106" ht="22.5" customHeight="1">
      <c r="A1106" s="30"/>
      <c r="B1106" s="40"/>
      <c r="C1106" s="32"/>
      <c r="D1106" s="33"/>
      <c r="E1106" s="34"/>
      <c r="F1106" s="34"/>
      <c r="G1106" s="35"/>
      <c r="H1106" s="34"/>
      <c r="I1106" s="37"/>
    </row>
    <row r="1107" ht="22.5" customHeight="1">
      <c r="A1107" s="30"/>
      <c r="B1107" s="31"/>
      <c r="C1107" s="32"/>
      <c r="D1107" s="33"/>
      <c r="E1107" s="34"/>
      <c r="F1107" s="34"/>
      <c r="G1107" s="35"/>
      <c r="H1107" s="34"/>
      <c r="I1107" s="37"/>
    </row>
    <row r="1108" ht="22.5" customHeight="1">
      <c r="A1108" s="30"/>
      <c r="B1108" s="31"/>
      <c r="C1108" s="32"/>
      <c r="D1108" s="33"/>
      <c r="E1108" s="34"/>
      <c r="F1108" s="34"/>
      <c r="G1108" s="35"/>
      <c r="H1108" s="34"/>
      <c r="I1108" s="37"/>
    </row>
    <row r="1109" ht="22.5" customHeight="1">
      <c r="A1109" s="30"/>
      <c r="B1109" s="31"/>
      <c r="C1109" s="32"/>
      <c r="D1109" s="33"/>
      <c r="E1109" s="34"/>
      <c r="F1109" s="34"/>
      <c r="G1109" s="35"/>
      <c r="H1109" s="34"/>
      <c r="I1109" s="37"/>
    </row>
    <row r="1110" ht="22.5" customHeight="1">
      <c r="A1110" s="30"/>
      <c r="B1110" s="31"/>
      <c r="C1110" s="32"/>
      <c r="D1110" s="33"/>
      <c r="E1110" s="34"/>
      <c r="F1110" s="34"/>
      <c r="G1110" s="35"/>
      <c r="H1110" s="34"/>
      <c r="I1110" s="37"/>
    </row>
    <row r="1111" ht="22.5" customHeight="1">
      <c r="A1111" s="30"/>
      <c r="B1111" s="31"/>
      <c r="C1111" s="32"/>
      <c r="D1111" s="33"/>
      <c r="E1111" s="34"/>
      <c r="F1111" s="34"/>
      <c r="G1111" s="35"/>
      <c r="H1111" s="34"/>
      <c r="I1111" s="37"/>
    </row>
    <row r="1112" ht="22.5" customHeight="1">
      <c r="A1112" s="30"/>
      <c r="B1112" s="31"/>
      <c r="C1112" s="32"/>
      <c r="D1112" s="33"/>
      <c r="E1112" s="34"/>
      <c r="F1112" s="34"/>
      <c r="G1112" s="35"/>
      <c r="H1112" s="34"/>
      <c r="I1112" s="37"/>
    </row>
    <row r="1113" ht="22.5" customHeight="1">
      <c r="A1113" s="30"/>
      <c r="B1113" s="39"/>
      <c r="C1113" s="32"/>
      <c r="D1113" s="33"/>
      <c r="E1113" s="34"/>
      <c r="F1113" s="34"/>
      <c r="G1113" s="35"/>
      <c r="H1113" s="34"/>
      <c r="I1113" s="37"/>
    </row>
    <row r="1114" ht="22.5" customHeight="1">
      <c r="A1114" s="30"/>
      <c r="B1114" s="39"/>
      <c r="C1114" s="32"/>
      <c r="D1114" s="33"/>
      <c r="E1114" s="34"/>
      <c r="F1114" s="34"/>
      <c r="G1114" s="35"/>
      <c r="H1114" s="34"/>
      <c r="I1114" s="37"/>
    </row>
    <row r="1115" ht="22.5" customHeight="1">
      <c r="A1115" s="30"/>
      <c r="B1115" s="39"/>
      <c r="C1115" s="32"/>
      <c r="D1115" s="33"/>
      <c r="E1115" s="34"/>
      <c r="F1115" s="34"/>
      <c r="G1115" s="35"/>
      <c r="H1115" s="34"/>
      <c r="I1115" s="37"/>
    </row>
    <row r="1116" ht="22.5" customHeight="1">
      <c r="A1116" s="30"/>
      <c r="B1116" s="40"/>
      <c r="C1116" s="32"/>
      <c r="D1116" s="33"/>
      <c r="E1116" s="34"/>
      <c r="F1116" s="34"/>
      <c r="G1116" s="35"/>
      <c r="H1116" s="34"/>
      <c r="I1116" s="37"/>
    </row>
    <row r="1117" ht="22.5" customHeight="1">
      <c r="A1117" s="30"/>
      <c r="B1117" s="31"/>
      <c r="C1117" s="32"/>
      <c r="D1117" s="33"/>
      <c r="E1117" s="34"/>
      <c r="F1117" s="34"/>
      <c r="G1117" s="35"/>
      <c r="H1117" s="34"/>
      <c r="I1117" s="37"/>
    </row>
    <row r="1118" ht="22.5" customHeight="1">
      <c r="A1118" s="30"/>
      <c r="B1118" s="31"/>
      <c r="C1118" s="32"/>
      <c r="D1118" s="33"/>
      <c r="E1118" s="34"/>
      <c r="F1118" s="34"/>
      <c r="G1118" s="35"/>
      <c r="H1118" s="34"/>
      <c r="I1118" s="37"/>
    </row>
    <row r="1119" ht="22.5" customHeight="1">
      <c r="A1119" s="30"/>
      <c r="B1119" s="31"/>
      <c r="C1119" s="32"/>
      <c r="D1119" s="33"/>
      <c r="E1119" s="34"/>
      <c r="F1119" s="34"/>
      <c r="G1119" s="35"/>
      <c r="H1119" s="34"/>
      <c r="I1119" s="37"/>
    </row>
    <row r="1120" ht="22.5" customHeight="1">
      <c r="A1120" s="30"/>
      <c r="B1120" s="31"/>
      <c r="C1120" s="32"/>
      <c r="D1120" s="33"/>
      <c r="E1120" s="34"/>
      <c r="F1120" s="34"/>
      <c r="G1120" s="35"/>
      <c r="H1120" s="34"/>
      <c r="I1120" s="37"/>
    </row>
    <row r="1121" ht="22.5" customHeight="1">
      <c r="A1121" s="30"/>
      <c r="B1121" s="31"/>
      <c r="C1121" s="32"/>
      <c r="D1121" s="33"/>
      <c r="E1121" s="34"/>
      <c r="F1121" s="34"/>
      <c r="G1121" s="35"/>
      <c r="H1121" s="34"/>
      <c r="I1121" s="37"/>
    </row>
    <row r="1122" ht="22.5" customHeight="1">
      <c r="A1122" s="30"/>
      <c r="B1122" s="31"/>
      <c r="C1122" s="32"/>
      <c r="D1122" s="33"/>
      <c r="E1122" s="34"/>
      <c r="F1122" s="34"/>
      <c r="G1122" s="35"/>
      <c r="H1122" s="34"/>
      <c r="I1122" s="37"/>
    </row>
    <row r="1123" ht="22.5" customHeight="1">
      <c r="A1123" s="30"/>
      <c r="B1123" s="31"/>
      <c r="C1123" s="32"/>
      <c r="D1123" s="33"/>
      <c r="E1123" s="34"/>
      <c r="F1123" s="34"/>
      <c r="G1123" s="35"/>
      <c r="H1123" s="34"/>
      <c r="I1123" s="37"/>
    </row>
    <row r="1124" ht="22.5" customHeight="1">
      <c r="A1124" s="30"/>
      <c r="B1124" s="31"/>
      <c r="C1124" s="32"/>
      <c r="D1124" s="33"/>
      <c r="E1124" s="34"/>
      <c r="F1124" s="34"/>
      <c r="G1124" s="35"/>
      <c r="H1124" s="34"/>
      <c r="I1124" s="37"/>
    </row>
    <row r="1125" ht="22.5" customHeight="1">
      <c r="A1125" s="30"/>
      <c r="B1125" s="31"/>
      <c r="C1125" s="32"/>
      <c r="D1125" s="33"/>
      <c r="E1125" s="34"/>
      <c r="F1125" s="34"/>
      <c r="G1125" s="35"/>
      <c r="H1125" s="34"/>
      <c r="I1125" s="37"/>
    </row>
    <row r="1126" ht="22.5" customHeight="1">
      <c r="A1126" s="30"/>
      <c r="B1126" s="40"/>
      <c r="C1126" s="32"/>
      <c r="D1126" s="33"/>
      <c r="E1126" s="34"/>
      <c r="F1126" s="34"/>
      <c r="G1126" s="35"/>
      <c r="H1126" s="34"/>
      <c r="I1126" s="37"/>
    </row>
    <row r="1127" ht="22.5" customHeight="1">
      <c r="A1127" s="30"/>
      <c r="B1127" s="31"/>
      <c r="C1127" s="32"/>
      <c r="D1127" s="33"/>
      <c r="E1127" s="34"/>
      <c r="F1127" s="34"/>
      <c r="G1127" s="35"/>
      <c r="H1127" s="34"/>
      <c r="I1127" s="37"/>
    </row>
    <row r="1128" ht="22.5" customHeight="1">
      <c r="A1128" s="30"/>
      <c r="B1128" s="31"/>
      <c r="C1128" s="32"/>
      <c r="D1128" s="33"/>
      <c r="E1128" s="34"/>
      <c r="F1128" s="34"/>
      <c r="G1128" s="35"/>
      <c r="H1128" s="34"/>
      <c r="I1128" s="37"/>
    </row>
    <row r="1129" ht="22.5" customHeight="1">
      <c r="A1129" s="30"/>
      <c r="B1129" s="31"/>
      <c r="C1129" s="32"/>
      <c r="D1129" s="33"/>
      <c r="E1129" s="34"/>
      <c r="F1129" s="34"/>
      <c r="G1129" s="35"/>
      <c r="H1129" s="34"/>
      <c r="I1129" s="37"/>
    </row>
    <row r="1130" ht="22.5" customHeight="1">
      <c r="A1130" s="30"/>
      <c r="B1130" s="40"/>
      <c r="C1130" s="32"/>
      <c r="D1130" s="33"/>
      <c r="E1130" s="34"/>
      <c r="F1130" s="34"/>
      <c r="G1130" s="35"/>
      <c r="H1130" s="34"/>
      <c r="I1130" s="37"/>
    </row>
    <row r="1131" ht="22.5" customHeight="1">
      <c r="A1131" s="30"/>
      <c r="B1131" s="31"/>
      <c r="C1131" s="32"/>
      <c r="D1131" s="33"/>
      <c r="E1131" s="34"/>
      <c r="F1131" s="34"/>
      <c r="G1131" s="35"/>
      <c r="H1131" s="34"/>
      <c r="I1131" s="37"/>
    </row>
    <row r="1132" ht="22.5" customHeight="1">
      <c r="A1132" s="30"/>
      <c r="B1132" s="31"/>
      <c r="C1132" s="32"/>
      <c r="D1132" s="33"/>
      <c r="E1132" s="34"/>
      <c r="F1132" s="34"/>
      <c r="G1132" s="35"/>
      <c r="H1132" s="34"/>
      <c r="I1132" s="37"/>
    </row>
    <row r="1133" ht="22.5" customHeight="1">
      <c r="A1133" s="30"/>
      <c r="B1133" s="31"/>
      <c r="C1133" s="32"/>
      <c r="D1133" s="33"/>
      <c r="E1133" s="34"/>
      <c r="F1133" s="34"/>
      <c r="G1133" s="35"/>
      <c r="H1133" s="34"/>
      <c r="I1133" s="37"/>
    </row>
    <row r="1134" ht="22.5" customHeight="1">
      <c r="A1134" s="30"/>
      <c r="B1134" s="31"/>
      <c r="C1134" s="32"/>
      <c r="D1134" s="33"/>
      <c r="E1134" s="34"/>
      <c r="F1134" s="34"/>
      <c r="G1134" s="35"/>
      <c r="H1134" s="34"/>
      <c r="I1134" s="37"/>
    </row>
    <row r="1135" ht="22.5" customHeight="1">
      <c r="A1135" s="30"/>
      <c r="B1135" s="31"/>
      <c r="C1135" s="32"/>
      <c r="D1135" s="33"/>
      <c r="E1135" s="34"/>
      <c r="F1135" s="34"/>
      <c r="G1135" s="35"/>
      <c r="H1135" s="34"/>
      <c r="I1135" s="37"/>
    </row>
    <row r="1136" ht="22.5" customHeight="1">
      <c r="A1136" s="30"/>
      <c r="B1136" s="31"/>
      <c r="C1136" s="32"/>
      <c r="D1136" s="33"/>
      <c r="E1136" s="34"/>
      <c r="F1136" s="34"/>
      <c r="G1136" s="35"/>
      <c r="H1136" s="34"/>
      <c r="I1136" s="37"/>
    </row>
    <row r="1137" ht="22.5" customHeight="1">
      <c r="A1137" s="30"/>
      <c r="B1137" s="31"/>
      <c r="C1137" s="32"/>
      <c r="D1137" s="33"/>
      <c r="E1137" s="34"/>
      <c r="F1137" s="34"/>
      <c r="G1137" s="35"/>
      <c r="H1137" s="34"/>
      <c r="I1137" s="37"/>
    </row>
    <row r="1138" ht="22.5" customHeight="1">
      <c r="A1138" s="30"/>
      <c r="B1138" s="31"/>
      <c r="C1138" s="32"/>
      <c r="D1138" s="33"/>
      <c r="E1138" s="34"/>
      <c r="F1138" s="34"/>
      <c r="G1138" s="35"/>
      <c r="H1138" s="34"/>
      <c r="I1138" s="37"/>
    </row>
    <row r="1139" ht="22.5" customHeight="1">
      <c r="A1139" s="30"/>
      <c r="B1139" s="31"/>
      <c r="C1139" s="32"/>
      <c r="D1139" s="33"/>
      <c r="E1139" s="34"/>
      <c r="F1139" s="34"/>
      <c r="G1139" s="35"/>
      <c r="H1139" s="34"/>
      <c r="I1139" s="37"/>
    </row>
    <row r="1140" ht="22.5" customHeight="1">
      <c r="A1140" s="30"/>
      <c r="B1140" s="31"/>
      <c r="C1140" s="32"/>
      <c r="D1140" s="33"/>
      <c r="E1140" s="34"/>
      <c r="F1140" s="34"/>
      <c r="G1140" s="35"/>
      <c r="H1140" s="34"/>
      <c r="I1140" s="37"/>
    </row>
    <row r="1141" ht="22.5" customHeight="1">
      <c r="A1141" s="30"/>
      <c r="B1141" s="31"/>
      <c r="C1141" s="32"/>
      <c r="D1141" s="33"/>
      <c r="E1141" s="34"/>
      <c r="F1141" s="34"/>
      <c r="G1141" s="35"/>
      <c r="H1141" s="34"/>
      <c r="I1141" s="37"/>
    </row>
    <row r="1142" ht="22.5" customHeight="1">
      <c r="A1142" s="30"/>
      <c r="B1142" s="31"/>
      <c r="C1142" s="32"/>
      <c r="D1142" s="33"/>
      <c r="E1142" s="34"/>
      <c r="F1142" s="34"/>
      <c r="G1142" s="35"/>
      <c r="H1142" s="34"/>
      <c r="I1142" s="37"/>
    </row>
    <row r="1143" ht="22.5" customHeight="1">
      <c r="A1143" s="30"/>
      <c r="B1143" s="31"/>
      <c r="C1143" s="32"/>
      <c r="D1143" s="33"/>
      <c r="E1143" s="34"/>
      <c r="F1143" s="34"/>
      <c r="G1143" s="35"/>
      <c r="H1143" s="34"/>
      <c r="I1143" s="37"/>
    </row>
    <row r="1144" ht="22.5" customHeight="1">
      <c r="A1144" s="30"/>
      <c r="B1144" s="31"/>
      <c r="C1144" s="32"/>
      <c r="D1144" s="33"/>
      <c r="E1144" s="34"/>
      <c r="F1144" s="34"/>
      <c r="G1144" s="35"/>
      <c r="H1144" s="34"/>
      <c r="I1144" s="37"/>
    </row>
    <row r="1145" ht="22.5" customHeight="1">
      <c r="A1145" s="30"/>
      <c r="B1145" s="40"/>
      <c r="C1145" s="32"/>
      <c r="D1145" s="33"/>
      <c r="E1145" s="34"/>
      <c r="F1145" s="34"/>
      <c r="G1145" s="35"/>
      <c r="H1145" s="34"/>
      <c r="I1145" s="37"/>
    </row>
    <row r="1146" ht="22.5" customHeight="1">
      <c r="A1146" s="30"/>
      <c r="B1146" s="31"/>
      <c r="C1146" s="32"/>
      <c r="D1146" s="33"/>
      <c r="E1146" s="34"/>
      <c r="F1146" s="34"/>
      <c r="G1146" s="35"/>
      <c r="H1146" s="34"/>
      <c r="I1146" s="37"/>
    </row>
    <row r="1147" ht="22.5" customHeight="1">
      <c r="A1147" s="30"/>
      <c r="B1147" s="40"/>
      <c r="C1147" s="32"/>
      <c r="D1147" s="33"/>
      <c r="E1147" s="34"/>
      <c r="F1147" s="34"/>
      <c r="G1147" s="35"/>
      <c r="H1147" s="34"/>
      <c r="I1147" s="37"/>
    </row>
    <row r="1148" ht="22.5" customHeight="1">
      <c r="A1148" s="30"/>
      <c r="B1148" s="31"/>
      <c r="C1148" s="32"/>
      <c r="D1148" s="33"/>
      <c r="E1148" s="34"/>
      <c r="F1148" s="34"/>
      <c r="G1148" s="35"/>
      <c r="H1148" s="34"/>
      <c r="I1148" s="37"/>
    </row>
    <row r="1149" ht="22.5" customHeight="1">
      <c r="A1149" s="30"/>
      <c r="B1149" s="31"/>
      <c r="C1149" s="32"/>
      <c r="D1149" s="33"/>
      <c r="E1149" s="34"/>
      <c r="F1149" s="34"/>
      <c r="G1149" s="35"/>
      <c r="H1149" s="34"/>
      <c r="I1149" s="37"/>
    </row>
    <row r="1150" ht="22.5" customHeight="1">
      <c r="A1150" s="30"/>
      <c r="B1150" s="31"/>
      <c r="C1150" s="32"/>
      <c r="D1150" s="33"/>
      <c r="E1150" s="34"/>
      <c r="F1150" s="34"/>
      <c r="G1150" s="35"/>
      <c r="H1150" s="34"/>
      <c r="I1150" s="37"/>
    </row>
    <row r="1151" ht="22.5" customHeight="1">
      <c r="A1151" s="30"/>
      <c r="B1151" s="31"/>
      <c r="C1151" s="32"/>
      <c r="D1151" s="33"/>
      <c r="E1151" s="34"/>
      <c r="F1151" s="34"/>
      <c r="G1151" s="35"/>
      <c r="H1151" s="34"/>
      <c r="I1151" s="37"/>
    </row>
    <row r="1152" ht="22.5" customHeight="1">
      <c r="A1152" s="30"/>
      <c r="B1152" s="40"/>
      <c r="C1152" s="32"/>
      <c r="D1152" s="33"/>
      <c r="E1152" s="34"/>
      <c r="F1152" s="34"/>
      <c r="G1152" s="35"/>
      <c r="H1152" s="34"/>
      <c r="I1152" s="37"/>
    </row>
    <row r="1153" ht="22.5" customHeight="1">
      <c r="A1153" s="30"/>
      <c r="B1153" s="31"/>
      <c r="C1153" s="32"/>
      <c r="D1153" s="33"/>
      <c r="E1153" s="34"/>
      <c r="F1153" s="34"/>
      <c r="G1153" s="35"/>
      <c r="H1153" s="34"/>
      <c r="I1153" s="37"/>
    </row>
    <row r="1154" ht="22.5" customHeight="1">
      <c r="A1154" s="30"/>
      <c r="B1154" s="31"/>
      <c r="C1154" s="32"/>
      <c r="D1154" s="33"/>
      <c r="E1154" s="34"/>
      <c r="F1154" s="34"/>
      <c r="G1154" s="35"/>
      <c r="H1154" s="34"/>
      <c r="I1154" s="37"/>
    </row>
    <row r="1155" ht="22.5" customHeight="1">
      <c r="A1155" s="30"/>
      <c r="B1155" s="31"/>
      <c r="C1155" s="32"/>
      <c r="D1155" s="33"/>
      <c r="E1155" s="34"/>
      <c r="F1155" s="34"/>
      <c r="G1155" s="35"/>
      <c r="H1155" s="34"/>
      <c r="I1155" s="37"/>
    </row>
    <row r="1156" ht="22.5" customHeight="1">
      <c r="A1156" s="30"/>
      <c r="B1156" s="31"/>
      <c r="C1156" s="32"/>
      <c r="D1156" s="33"/>
      <c r="E1156" s="34"/>
      <c r="F1156" s="34"/>
      <c r="G1156" s="35"/>
      <c r="H1156" s="34"/>
      <c r="I1156" s="37"/>
    </row>
    <row r="1157" ht="22.5" customHeight="1">
      <c r="A1157" s="30"/>
      <c r="B1157" s="31"/>
      <c r="C1157" s="32"/>
      <c r="D1157" s="33"/>
      <c r="E1157" s="34"/>
      <c r="F1157" s="34"/>
      <c r="G1157" s="35"/>
      <c r="H1157" s="34"/>
      <c r="I1157" s="37"/>
    </row>
    <row r="1158" ht="22.5" customHeight="1">
      <c r="A1158" s="30"/>
      <c r="B1158" s="31"/>
      <c r="C1158" s="32"/>
      <c r="D1158" s="33"/>
      <c r="E1158" s="34"/>
      <c r="F1158" s="34"/>
      <c r="G1158" s="35"/>
      <c r="H1158" s="34"/>
      <c r="I1158" s="37"/>
    </row>
    <row r="1159" ht="22.5" customHeight="1">
      <c r="A1159" s="30"/>
      <c r="B1159" s="31"/>
      <c r="C1159" s="32"/>
      <c r="D1159" s="33"/>
      <c r="E1159" s="34"/>
      <c r="F1159" s="34"/>
      <c r="G1159" s="35"/>
      <c r="H1159" s="34"/>
      <c r="I1159" s="37"/>
    </row>
    <row r="1160" ht="22.5" customHeight="1">
      <c r="A1160" s="30"/>
      <c r="B1160" s="31"/>
      <c r="C1160" s="32"/>
      <c r="D1160" s="33"/>
      <c r="E1160" s="34"/>
      <c r="F1160" s="34"/>
      <c r="G1160" s="35"/>
      <c r="H1160" s="34"/>
      <c r="I1160" s="37"/>
    </row>
    <row r="1161" ht="22.5" customHeight="1">
      <c r="A1161" s="30"/>
      <c r="B1161" s="31"/>
      <c r="C1161" s="32"/>
      <c r="D1161" s="33"/>
      <c r="E1161" s="34"/>
      <c r="F1161" s="34"/>
      <c r="G1161" s="35"/>
      <c r="H1161" s="34"/>
      <c r="I1161" s="37"/>
    </row>
    <row r="1162" ht="22.5" customHeight="1">
      <c r="A1162" s="30"/>
      <c r="B1162" s="31"/>
      <c r="C1162" s="32"/>
      <c r="D1162" s="33"/>
      <c r="E1162" s="34"/>
      <c r="F1162" s="34"/>
      <c r="G1162" s="35"/>
      <c r="H1162" s="34"/>
      <c r="I1162" s="37"/>
    </row>
    <row r="1163" ht="22.5" customHeight="1">
      <c r="A1163" s="30"/>
      <c r="B1163" s="31"/>
      <c r="C1163" s="32"/>
      <c r="D1163" s="33"/>
      <c r="E1163" s="34"/>
      <c r="F1163" s="34"/>
      <c r="G1163" s="35"/>
      <c r="H1163" s="34"/>
      <c r="I1163" s="37"/>
    </row>
    <row r="1164" ht="22.5" customHeight="1">
      <c r="A1164" s="30"/>
      <c r="B1164" s="31"/>
      <c r="C1164" s="32"/>
      <c r="D1164" s="33"/>
      <c r="E1164" s="34"/>
      <c r="F1164" s="34"/>
      <c r="G1164" s="35"/>
      <c r="H1164" s="34"/>
      <c r="I1164" s="37"/>
    </row>
    <row r="1165" ht="22.5" customHeight="1">
      <c r="A1165" s="30"/>
      <c r="B1165" s="31"/>
      <c r="C1165" s="32"/>
      <c r="D1165" s="33"/>
      <c r="E1165" s="34"/>
      <c r="F1165" s="34"/>
      <c r="G1165" s="35"/>
      <c r="H1165" s="34"/>
      <c r="I1165" s="37"/>
    </row>
    <row r="1166" ht="22.5" customHeight="1">
      <c r="A1166" s="30"/>
      <c r="B1166" s="31"/>
      <c r="C1166" s="32"/>
      <c r="D1166" s="33"/>
      <c r="E1166" s="34"/>
      <c r="F1166" s="34"/>
      <c r="G1166" s="35"/>
      <c r="H1166" s="34"/>
      <c r="I1166" s="37"/>
    </row>
    <row r="1167" ht="22.5" customHeight="1">
      <c r="A1167" s="30"/>
      <c r="B1167" s="31"/>
      <c r="C1167" s="32"/>
      <c r="D1167" s="33"/>
      <c r="E1167" s="34"/>
      <c r="F1167" s="34"/>
      <c r="G1167" s="35"/>
      <c r="H1167" s="34"/>
      <c r="I1167" s="37"/>
    </row>
    <row r="1168" ht="22.5" customHeight="1">
      <c r="A1168" s="30"/>
      <c r="B1168" s="31"/>
      <c r="C1168" s="32"/>
      <c r="D1168" s="33"/>
      <c r="E1168" s="34"/>
      <c r="F1168" s="34"/>
      <c r="G1168" s="35"/>
      <c r="H1168" s="34"/>
      <c r="I1168" s="37"/>
    </row>
    <row r="1169" ht="22.5" customHeight="1">
      <c r="A1169" s="30"/>
      <c r="B1169" s="31"/>
      <c r="C1169" s="32"/>
      <c r="D1169" s="33"/>
      <c r="E1169" s="34"/>
      <c r="F1169" s="34"/>
      <c r="G1169" s="35"/>
      <c r="H1169" s="34"/>
      <c r="I1169" s="37"/>
    </row>
    <row r="1170" ht="22.5" customHeight="1">
      <c r="A1170" s="30"/>
      <c r="B1170" s="31"/>
      <c r="C1170" s="32"/>
      <c r="D1170" s="33"/>
      <c r="E1170" s="34"/>
      <c r="F1170" s="34"/>
      <c r="G1170" s="35"/>
      <c r="H1170" s="34"/>
      <c r="I1170" s="37"/>
    </row>
    <row r="1171" ht="22.5" customHeight="1">
      <c r="A1171" s="30"/>
      <c r="B1171" s="31"/>
      <c r="C1171" s="32"/>
      <c r="D1171" s="33"/>
      <c r="E1171" s="34"/>
      <c r="F1171" s="34"/>
      <c r="G1171" s="35"/>
      <c r="H1171" s="34"/>
      <c r="I1171" s="37"/>
    </row>
    <row r="1172" ht="22.5" customHeight="1">
      <c r="A1172" s="30"/>
      <c r="B1172" s="31"/>
      <c r="C1172" s="32"/>
      <c r="D1172" s="33"/>
      <c r="E1172" s="34"/>
      <c r="F1172" s="34"/>
      <c r="G1172" s="35"/>
      <c r="H1172" s="34"/>
      <c r="I1172" s="37"/>
    </row>
    <row r="1173" ht="22.5" customHeight="1">
      <c r="A1173" s="30"/>
      <c r="B1173" s="31"/>
      <c r="C1173" s="32"/>
      <c r="D1173" s="33"/>
      <c r="E1173" s="34"/>
      <c r="F1173" s="34"/>
      <c r="G1173" s="35"/>
      <c r="H1173" s="34"/>
      <c r="I1173" s="37"/>
    </row>
    <row r="1174" ht="22.5" customHeight="1">
      <c r="A1174" s="30"/>
      <c r="B1174" s="40"/>
      <c r="C1174" s="32"/>
      <c r="D1174" s="33"/>
      <c r="E1174" s="34"/>
      <c r="F1174" s="34"/>
      <c r="G1174" s="35"/>
      <c r="H1174" s="34"/>
      <c r="I1174" s="37"/>
    </row>
    <row r="1175" ht="22.5" customHeight="1">
      <c r="A1175" s="30"/>
      <c r="B1175" s="31"/>
      <c r="C1175" s="32"/>
      <c r="D1175" s="33"/>
      <c r="E1175" s="34"/>
      <c r="F1175" s="34"/>
      <c r="G1175" s="35"/>
      <c r="H1175" s="34"/>
      <c r="I1175" s="37"/>
    </row>
    <row r="1176" ht="22.5" customHeight="1">
      <c r="A1176" s="30"/>
      <c r="B1176" s="31"/>
      <c r="C1176" s="32"/>
      <c r="D1176" s="33"/>
      <c r="E1176" s="34"/>
      <c r="F1176" s="34"/>
      <c r="G1176" s="35"/>
      <c r="H1176" s="34"/>
      <c r="I1176" s="37"/>
    </row>
    <row r="1177" ht="22.5" customHeight="1">
      <c r="A1177" s="30"/>
      <c r="B1177" s="31"/>
      <c r="C1177" s="32"/>
      <c r="D1177" s="33"/>
      <c r="E1177" s="34"/>
      <c r="F1177" s="34"/>
      <c r="G1177" s="35"/>
      <c r="H1177" s="34"/>
      <c r="I1177" s="37"/>
    </row>
    <row r="1178" ht="22.5" customHeight="1">
      <c r="A1178" s="30"/>
      <c r="B1178" s="31"/>
      <c r="C1178" s="32"/>
      <c r="D1178" s="33"/>
      <c r="E1178" s="34"/>
      <c r="F1178" s="34"/>
      <c r="G1178" s="35"/>
      <c r="H1178" s="34"/>
      <c r="I1178" s="38"/>
    </row>
    <row r="1179" ht="22.5" customHeight="1">
      <c r="A1179" s="30"/>
      <c r="B1179" s="39"/>
      <c r="C1179" s="32"/>
      <c r="D1179" s="33"/>
      <c r="E1179" s="34"/>
      <c r="F1179" s="34"/>
      <c r="G1179" s="35"/>
      <c r="H1179" s="34"/>
      <c r="I1179" s="37"/>
    </row>
    <row r="1180" ht="22.5" customHeight="1">
      <c r="A1180" s="30"/>
      <c r="B1180" s="31"/>
      <c r="C1180" s="32"/>
      <c r="D1180" s="33"/>
      <c r="E1180" s="34"/>
      <c r="F1180" s="34"/>
      <c r="G1180" s="35"/>
      <c r="H1180" s="34"/>
      <c r="I1180" s="37"/>
    </row>
    <row r="1181" ht="22.5" customHeight="1">
      <c r="A1181" s="30"/>
      <c r="B1181" s="31"/>
      <c r="C1181" s="32"/>
      <c r="D1181" s="33"/>
      <c r="E1181" s="34"/>
      <c r="F1181" s="34"/>
      <c r="G1181" s="35"/>
      <c r="H1181" s="34"/>
      <c r="I1181" s="37"/>
    </row>
    <row r="1182" ht="22.5" customHeight="1">
      <c r="A1182" s="30"/>
      <c r="B1182" s="31"/>
      <c r="C1182" s="32"/>
      <c r="D1182" s="33"/>
      <c r="E1182" s="34"/>
      <c r="F1182" s="34"/>
      <c r="G1182" s="35"/>
      <c r="H1182" s="34"/>
      <c r="I1182" s="37"/>
    </row>
    <row r="1183" ht="22.5" customHeight="1">
      <c r="A1183" s="30"/>
      <c r="B1183" s="39"/>
      <c r="C1183" s="32"/>
      <c r="D1183" s="33"/>
      <c r="E1183" s="34"/>
      <c r="F1183" s="34"/>
      <c r="G1183" s="35"/>
      <c r="H1183" s="34"/>
      <c r="I1183" s="37"/>
    </row>
    <row r="1184" ht="22.5" customHeight="1">
      <c r="A1184" s="30"/>
      <c r="B1184" s="31"/>
      <c r="C1184" s="32"/>
      <c r="D1184" s="33"/>
      <c r="E1184" s="34"/>
      <c r="F1184" s="34"/>
      <c r="G1184" s="35"/>
      <c r="H1184" s="34"/>
      <c r="I1184" s="37"/>
    </row>
    <row r="1185" ht="22.5" customHeight="1">
      <c r="A1185" s="30"/>
      <c r="B1185" s="39"/>
      <c r="C1185" s="32"/>
      <c r="D1185" s="33"/>
      <c r="E1185" s="34"/>
      <c r="F1185" s="34"/>
      <c r="G1185" s="35"/>
      <c r="H1185" s="34"/>
      <c r="I1185" s="37"/>
    </row>
    <row r="1186" ht="22.5" customHeight="1">
      <c r="A1186" s="30"/>
      <c r="B1186" s="31"/>
      <c r="C1186" s="32"/>
      <c r="D1186" s="33"/>
      <c r="E1186" s="34"/>
      <c r="F1186" s="34"/>
      <c r="G1186" s="35"/>
      <c r="H1186" s="34"/>
      <c r="I1186" s="37"/>
    </row>
    <row r="1187" ht="22.5" customHeight="1">
      <c r="A1187" s="30"/>
      <c r="B1187" s="31"/>
      <c r="C1187" s="32"/>
      <c r="D1187" s="33"/>
      <c r="E1187" s="34"/>
      <c r="F1187" s="34"/>
      <c r="G1187" s="35"/>
      <c r="H1187" s="34"/>
      <c r="I1187" s="37"/>
    </row>
    <row r="1188" ht="22.5" customHeight="1">
      <c r="A1188" s="30"/>
      <c r="B1188" s="31"/>
      <c r="C1188" s="32"/>
      <c r="D1188" s="33"/>
      <c r="E1188" s="34"/>
      <c r="F1188" s="34"/>
      <c r="G1188" s="35"/>
      <c r="H1188" s="34"/>
      <c r="I1188" s="37"/>
    </row>
    <row r="1189" ht="22.5" customHeight="1">
      <c r="A1189" s="30"/>
      <c r="B1189" s="31"/>
      <c r="C1189" s="32"/>
      <c r="D1189" s="33"/>
      <c r="E1189" s="34"/>
      <c r="F1189" s="34"/>
      <c r="G1189" s="35"/>
      <c r="H1189" s="34"/>
      <c r="I1189" s="37"/>
    </row>
    <row r="1190" ht="22.5" customHeight="1">
      <c r="A1190" s="30"/>
      <c r="B1190" s="31"/>
      <c r="C1190" s="32"/>
      <c r="D1190" s="33"/>
      <c r="E1190" s="34"/>
      <c r="F1190" s="34"/>
      <c r="G1190" s="35"/>
      <c r="H1190" s="34"/>
      <c r="I1190" s="37"/>
    </row>
    <row r="1191" ht="22.5" customHeight="1">
      <c r="A1191" s="30"/>
      <c r="B1191" s="31"/>
      <c r="C1191" s="32"/>
      <c r="D1191" s="33"/>
      <c r="E1191" s="34"/>
      <c r="F1191" s="34"/>
      <c r="G1191" s="35"/>
      <c r="H1191" s="34"/>
      <c r="I1191" s="37"/>
    </row>
    <row r="1192" ht="22.5" customHeight="1">
      <c r="A1192" s="30"/>
      <c r="B1192" s="31"/>
      <c r="C1192" s="32"/>
      <c r="D1192" s="33"/>
      <c r="E1192" s="34"/>
      <c r="F1192" s="34"/>
      <c r="G1192" s="35"/>
      <c r="H1192" s="34"/>
      <c r="I1192" s="37"/>
    </row>
    <row r="1193" ht="22.5" customHeight="1">
      <c r="A1193" s="30"/>
      <c r="B1193" s="31"/>
      <c r="C1193" s="32"/>
      <c r="D1193" s="33"/>
      <c r="E1193" s="34"/>
      <c r="F1193" s="34"/>
      <c r="G1193" s="35"/>
      <c r="H1193" s="34"/>
      <c r="I1193" s="37"/>
    </row>
    <row r="1194" ht="22.5" customHeight="1">
      <c r="A1194" s="30"/>
      <c r="B1194" s="31"/>
      <c r="C1194" s="32"/>
      <c r="D1194" s="33"/>
      <c r="E1194" s="34"/>
      <c r="F1194" s="34"/>
      <c r="G1194" s="35"/>
      <c r="H1194" s="34"/>
      <c r="I1194" s="37"/>
    </row>
    <row r="1195" ht="22.5" customHeight="1">
      <c r="A1195" s="30"/>
      <c r="B1195" s="31"/>
      <c r="C1195" s="32"/>
      <c r="D1195" s="33"/>
      <c r="E1195" s="34"/>
      <c r="F1195" s="34"/>
      <c r="G1195" s="35"/>
      <c r="H1195" s="34"/>
      <c r="I1195" s="37"/>
    </row>
    <row r="1196" ht="22.5" customHeight="1">
      <c r="A1196" s="30"/>
      <c r="B1196" s="40"/>
      <c r="C1196" s="32"/>
      <c r="D1196" s="33"/>
      <c r="E1196" s="34"/>
      <c r="F1196" s="34"/>
      <c r="G1196" s="35"/>
      <c r="H1196" s="34"/>
      <c r="I1196" s="37"/>
    </row>
    <row r="1197" ht="22.5" customHeight="1">
      <c r="A1197" s="30"/>
      <c r="B1197" s="31"/>
      <c r="C1197" s="32"/>
      <c r="D1197" s="33"/>
      <c r="E1197" s="34"/>
      <c r="F1197" s="34"/>
      <c r="G1197" s="35"/>
      <c r="H1197" s="34"/>
      <c r="I1197" s="37"/>
    </row>
    <row r="1198" ht="22.5" customHeight="1">
      <c r="A1198" s="30"/>
      <c r="B1198" s="31"/>
      <c r="C1198" s="32"/>
      <c r="D1198" s="33"/>
      <c r="E1198" s="34"/>
      <c r="F1198" s="34"/>
      <c r="G1198" s="35"/>
      <c r="H1198" s="34"/>
      <c r="I1198" s="37"/>
    </row>
    <row r="1199" ht="22.5" customHeight="1">
      <c r="A1199" s="30"/>
      <c r="B1199" s="31"/>
      <c r="C1199" s="32"/>
      <c r="D1199" s="33"/>
      <c r="E1199" s="34"/>
      <c r="F1199" s="34"/>
      <c r="G1199" s="35"/>
      <c r="H1199" s="34"/>
      <c r="I1199" s="37"/>
    </row>
    <row r="1200" ht="22.5" customHeight="1">
      <c r="A1200" s="30"/>
      <c r="B1200" s="31"/>
      <c r="C1200" s="32"/>
      <c r="D1200" s="33"/>
      <c r="E1200" s="34"/>
      <c r="F1200" s="34"/>
      <c r="G1200" s="35"/>
      <c r="H1200" s="34"/>
      <c r="I1200" s="37"/>
    </row>
    <row r="1201" ht="22.5" customHeight="1">
      <c r="A1201" s="30"/>
      <c r="B1201" s="31"/>
      <c r="C1201" s="32"/>
      <c r="D1201" s="33"/>
      <c r="E1201" s="34"/>
      <c r="F1201" s="34"/>
      <c r="G1201" s="35"/>
      <c r="H1201" s="34"/>
      <c r="I1201" s="37"/>
    </row>
    <row r="1202" ht="22.5" customHeight="1">
      <c r="A1202" s="30"/>
      <c r="B1202" s="31"/>
      <c r="C1202" s="32"/>
      <c r="D1202" s="33"/>
      <c r="E1202" s="34"/>
      <c r="F1202" s="34"/>
      <c r="G1202" s="35"/>
      <c r="H1202" s="34"/>
      <c r="I1202" s="37"/>
    </row>
    <row r="1203" ht="22.5" customHeight="1">
      <c r="A1203" s="30"/>
      <c r="B1203" s="39"/>
      <c r="C1203" s="32"/>
      <c r="D1203" s="33"/>
      <c r="E1203" s="34"/>
      <c r="F1203" s="34"/>
      <c r="G1203" s="35"/>
      <c r="H1203" s="34"/>
      <c r="I1203" s="37"/>
    </row>
    <row r="1204" ht="22.5" customHeight="1">
      <c r="A1204" s="30"/>
      <c r="B1204" s="39"/>
      <c r="C1204" s="32"/>
      <c r="D1204" s="33"/>
      <c r="E1204" s="34"/>
      <c r="F1204" s="34"/>
      <c r="G1204" s="35"/>
      <c r="H1204" s="34"/>
      <c r="I1204" s="37"/>
    </row>
    <row r="1205" ht="22.5" customHeight="1">
      <c r="A1205" s="30"/>
      <c r="B1205" s="39"/>
      <c r="C1205" s="32"/>
      <c r="D1205" s="33"/>
      <c r="E1205" s="34"/>
      <c r="F1205" s="34"/>
      <c r="G1205" s="35"/>
      <c r="H1205" s="34"/>
      <c r="I1205" s="37"/>
    </row>
    <row r="1206" ht="22.5" customHeight="1">
      <c r="A1206" s="30"/>
      <c r="B1206" s="40"/>
      <c r="C1206" s="32"/>
      <c r="D1206" s="33"/>
      <c r="E1206" s="34"/>
      <c r="F1206" s="34"/>
      <c r="G1206" s="35"/>
      <c r="H1206" s="34"/>
      <c r="I1206" s="37"/>
    </row>
    <row r="1207" ht="22.5" customHeight="1">
      <c r="A1207" s="30"/>
      <c r="B1207" s="31"/>
      <c r="C1207" s="32"/>
      <c r="D1207" s="33"/>
      <c r="E1207" s="34"/>
      <c r="F1207" s="34"/>
      <c r="G1207" s="35"/>
      <c r="H1207" s="34"/>
      <c r="I1207" s="37"/>
    </row>
    <row r="1208" ht="22.5" customHeight="1">
      <c r="A1208" s="30"/>
      <c r="B1208" s="31"/>
      <c r="C1208" s="32"/>
      <c r="D1208" s="33"/>
      <c r="E1208" s="34"/>
      <c r="F1208" s="34"/>
      <c r="G1208" s="35"/>
      <c r="H1208" s="34"/>
      <c r="I1208" s="37"/>
    </row>
    <row r="1209" ht="22.5" customHeight="1">
      <c r="A1209" s="30"/>
      <c r="B1209" s="31"/>
      <c r="C1209" s="32"/>
      <c r="D1209" s="33"/>
      <c r="E1209" s="34"/>
      <c r="F1209" s="34"/>
      <c r="G1209" s="35"/>
      <c r="H1209" s="34"/>
      <c r="I1209" s="37"/>
    </row>
    <row r="1210" ht="22.5" customHeight="1">
      <c r="A1210" s="30"/>
      <c r="B1210" s="31"/>
      <c r="C1210" s="32"/>
      <c r="D1210" s="33"/>
      <c r="E1210" s="34"/>
      <c r="F1210" s="34"/>
      <c r="G1210" s="35"/>
      <c r="H1210" s="34"/>
      <c r="I1210" s="37"/>
    </row>
    <row r="1211" ht="22.5" customHeight="1">
      <c r="A1211" s="30"/>
      <c r="B1211" s="31"/>
      <c r="C1211" s="32"/>
      <c r="D1211" s="33"/>
      <c r="E1211" s="34"/>
      <c r="F1211" s="34"/>
      <c r="G1211" s="35"/>
      <c r="H1211" s="34"/>
      <c r="I1211" s="37"/>
    </row>
    <row r="1212" ht="22.5" customHeight="1">
      <c r="A1212" s="30"/>
      <c r="B1212" s="31"/>
      <c r="C1212" s="32"/>
      <c r="D1212" s="33"/>
      <c r="E1212" s="34"/>
      <c r="F1212" s="34"/>
      <c r="G1212" s="35"/>
      <c r="H1212" s="34"/>
      <c r="I1212" s="37"/>
    </row>
    <row r="1213" ht="22.5" customHeight="1">
      <c r="A1213" s="30"/>
      <c r="B1213" s="31"/>
      <c r="C1213" s="32"/>
      <c r="D1213" s="33"/>
      <c r="E1213" s="34"/>
      <c r="F1213" s="34"/>
      <c r="G1213" s="35"/>
      <c r="H1213" s="34"/>
      <c r="I1213" s="37"/>
    </row>
    <row r="1214" ht="22.5" customHeight="1">
      <c r="A1214" s="30"/>
      <c r="B1214" s="31"/>
      <c r="C1214" s="32"/>
      <c r="D1214" s="33"/>
      <c r="E1214" s="34"/>
      <c r="F1214" s="34"/>
      <c r="G1214" s="35"/>
      <c r="H1214" s="34"/>
      <c r="I1214" s="37"/>
    </row>
    <row r="1215" ht="22.5" customHeight="1">
      <c r="A1215" s="30"/>
      <c r="B1215" s="31"/>
      <c r="C1215" s="32"/>
      <c r="D1215" s="33"/>
      <c r="E1215" s="34"/>
      <c r="F1215" s="34"/>
      <c r="G1215" s="35"/>
      <c r="H1215" s="34"/>
      <c r="I1215" s="37"/>
    </row>
    <row r="1216" ht="22.5" customHeight="1">
      <c r="A1216" s="30"/>
      <c r="B1216" s="40"/>
      <c r="C1216" s="32"/>
      <c r="D1216" s="33"/>
      <c r="E1216" s="34"/>
      <c r="F1216" s="34"/>
      <c r="G1216" s="35"/>
      <c r="H1216" s="34"/>
      <c r="I1216" s="37"/>
    </row>
    <row r="1217" ht="22.5" customHeight="1">
      <c r="A1217" s="30"/>
      <c r="B1217" s="31"/>
      <c r="C1217" s="32"/>
      <c r="D1217" s="33"/>
      <c r="E1217" s="34"/>
      <c r="F1217" s="34"/>
      <c r="G1217" s="35"/>
      <c r="H1217" s="34"/>
      <c r="I1217" s="37"/>
    </row>
    <row r="1218" ht="22.5" customHeight="1">
      <c r="A1218" s="30"/>
      <c r="B1218" s="31"/>
      <c r="C1218" s="32"/>
      <c r="D1218" s="33"/>
      <c r="E1218" s="34"/>
      <c r="F1218" s="34"/>
      <c r="G1218" s="35"/>
      <c r="H1218" s="34"/>
      <c r="I1218" s="37"/>
    </row>
    <row r="1219" ht="22.5" customHeight="1">
      <c r="A1219" s="30"/>
      <c r="B1219" s="31"/>
      <c r="C1219" s="32"/>
      <c r="D1219" s="33"/>
      <c r="E1219" s="34"/>
      <c r="F1219" s="34"/>
      <c r="G1219" s="35"/>
      <c r="H1219" s="34"/>
      <c r="I1219" s="37"/>
    </row>
    <row r="1220" ht="22.5" customHeight="1">
      <c r="A1220" s="30"/>
      <c r="B1220" s="40"/>
      <c r="C1220" s="32"/>
      <c r="D1220" s="33"/>
      <c r="E1220" s="34"/>
      <c r="F1220" s="34"/>
      <c r="G1220" s="35"/>
      <c r="H1220" s="34"/>
      <c r="I1220" s="37"/>
    </row>
    <row r="1221" ht="22.5" customHeight="1">
      <c r="A1221" s="30"/>
      <c r="B1221" s="31"/>
      <c r="C1221" s="32"/>
      <c r="D1221" s="33"/>
      <c r="E1221" s="34"/>
      <c r="F1221" s="34"/>
      <c r="G1221" s="35"/>
      <c r="H1221" s="34"/>
      <c r="I1221" s="37"/>
    </row>
    <row r="1222" ht="22.5" customHeight="1">
      <c r="A1222" s="30"/>
      <c r="B1222" s="31"/>
      <c r="C1222" s="32"/>
      <c r="D1222" s="33"/>
      <c r="E1222" s="34"/>
      <c r="F1222" s="34"/>
      <c r="G1222" s="35"/>
      <c r="H1222" s="34"/>
      <c r="I1222" s="37"/>
    </row>
    <row r="1223" ht="22.5" customHeight="1">
      <c r="A1223" s="30"/>
      <c r="B1223" s="31"/>
      <c r="C1223" s="32"/>
      <c r="D1223" s="33"/>
      <c r="E1223" s="34"/>
      <c r="F1223" s="34"/>
      <c r="G1223" s="35"/>
      <c r="H1223" s="34"/>
      <c r="I1223" s="37"/>
    </row>
    <row r="1224" ht="22.5" customHeight="1">
      <c r="A1224" s="30"/>
      <c r="B1224" s="31"/>
      <c r="C1224" s="32"/>
      <c r="D1224" s="33"/>
      <c r="E1224" s="34"/>
      <c r="F1224" s="34"/>
      <c r="G1224" s="35"/>
      <c r="H1224" s="34"/>
      <c r="I1224" s="37"/>
    </row>
    <row r="1225" ht="22.5" customHeight="1">
      <c r="A1225" s="30"/>
      <c r="B1225" s="31"/>
      <c r="C1225" s="32"/>
      <c r="D1225" s="33"/>
      <c r="E1225" s="34"/>
      <c r="F1225" s="34"/>
      <c r="G1225" s="35"/>
      <c r="H1225" s="34"/>
      <c r="I1225" s="37"/>
    </row>
    <row r="1226" ht="22.5" customHeight="1">
      <c r="A1226" s="30"/>
      <c r="B1226" s="31"/>
      <c r="C1226" s="32"/>
      <c r="D1226" s="33"/>
      <c r="E1226" s="34"/>
      <c r="F1226" s="34"/>
      <c r="G1226" s="35"/>
      <c r="H1226" s="34"/>
      <c r="I1226" s="37"/>
    </row>
    <row r="1227" ht="22.5" customHeight="1">
      <c r="A1227" s="30"/>
      <c r="B1227" s="31"/>
      <c r="C1227" s="32"/>
      <c r="D1227" s="33"/>
      <c r="E1227" s="34"/>
      <c r="F1227" s="34"/>
      <c r="G1227" s="35"/>
      <c r="H1227" s="34"/>
      <c r="I1227" s="37"/>
    </row>
    <row r="1228" ht="22.5" customHeight="1">
      <c r="A1228" s="30"/>
      <c r="B1228" s="31"/>
      <c r="C1228" s="32"/>
      <c r="D1228" s="33"/>
      <c r="E1228" s="34"/>
      <c r="F1228" s="34"/>
      <c r="G1228" s="35"/>
      <c r="H1228" s="34"/>
      <c r="I1228" s="37"/>
    </row>
    <row r="1229" ht="22.5" customHeight="1">
      <c r="A1229" s="30"/>
      <c r="B1229" s="31"/>
      <c r="C1229" s="32"/>
      <c r="D1229" s="33"/>
      <c r="E1229" s="34"/>
      <c r="F1229" s="34"/>
      <c r="G1229" s="35"/>
      <c r="H1229" s="34"/>
      <c r="I1229" s="37"/>
    </row>
    <row r="1230" ht="22.5" customHeight="1">
      <c r="A1230" s="30"/>
      <c r="B1230" s="31"/>
      <c r="C1230" s="32"/>
      <c r="D1230" s="33"/>
      <c r="E1230" s="34"/>
      <c r="F1230" s="34"/>
      <c r="G1230" s="35"/>
      <c r="H1230" s="34"/>
      <c r="I1230" s="37"/>
    </row>
    <row r="1231" ht="22.5" customHeight="1">
      <c r="A1231" s="30"/>
      <c r="B1231" s="31"/>
      <c r="C1231" s="32"/>
      <c r="D1231" s="33"/>
      <c r="E1231" s="34"/>
      <c r="F1231" s="34"/>
      <c r="G1231" s="35"/>
      <c r="H1231" s="34"/>
      <c r="I1231" s="37"/>
    </row>
    <row r="1232" ht="22.5" customHeight="1">
      <c r="A1232" s="30"/>
      <c r="B1232" s="31"/>
      <c r="C1232" s="32"/>
      <c r="D1232" s="33"/>
      <c r="E1232" s="34"/>
      <c r="F1232" s="34"/>
      <c r="G1232" s="35"/>
      <c r="H1232" s="34"/>
      <c r="I1232" s="37"/>
    </row>
    <row r="1233" ht="22.5" customHeight="1">
      <c r="A1233" s="30"/>
      <c r="B1233" s="31"/>
      <c r="C1233" s="32"/>
      <c r="D1233" s="33"/>
      <c r="E1233" s="34"/>
      <c r="F1233" s="34"/>
      <c r="G1233" s="35"/>
      <c r="H1233" s="34"/>
      <c r="I1233" s="37"/>
    </row>
    <row r="1234" ht="22.5" customHeight="1">
      <c r="A1234" s="30"/>
      <c r="B1234" s="31"/>
      <c r="C1234" s="32"/>
      <c r="D1234" s="33"/>
      <c r="E1234" s="34"/>
      <c r="F1234" s="34"/>
      <c r="G1234" s="35"/>
      <c r="H1234" s="34"/>
      <c r="I1234" s="37"/>
    </row>
    <row r="1235" ht="22.5" customHeight="1">
      <c r="A1235" s="30"/>
      <c r="B1235" s="40"/>
      <c r="C1235" s="32"/>
      <c r="D1235" s="33"/>
      <c r="E1235" s="34"/>
      <c r="F1235" s="34"/>
      <c r="G1235" s="35"/>
      <c r="H1235" s="34"/>
      <c r="I1235" s="37"/>
    </row>
    <row r="1236" ht="22.5" customHeight="1">
      <c r="A1236" s="30"/>
      <c r="B1236" s="31"/>
      <c r="C1236" s="32"/>
      <c r="D1236" s="33"/>
      <c r="E1236" s="34"/>
      <c r="F1236" s="34"/>
      <c r="G1236" s="35"/>
      <c r="H1236" s="34"/>
      <c r="I1236" s="37"/>
    </row>
    <row r="1237" ht="22.5" customHeight="1">
      <c r="A1237" s="30"/>
      <c r="B1237" s="40"/>
      <c r="C1237" s="32"/>
      <c r="D1237" s="33"/>
      <c r="E1237" s="34"/>
      <c r="F1237" s="34"/>
      <c r="G1237" s="35"/>
      <c r="H1237" s="34"/>
      <c r="I1237" s="37"/>
    </row>
    <row r="1238" ht="22.5" customHeight="1">
      <c r="A1238" s="30"/>
      <c r="B1238" s="31"/>
      <c r="C1238" s="32"/>
      <c r="D1238" s="33"/>
      <c r="E1238" s="34"/>
      <c r="F1238" s="34"/>
      <c r="G1238" s="35"/>
      <c r="H1238" s="34"/>
      <c r="I1238" s="37"/>
    </row>
    <row r="1239" ht="22.5" customHeight="1">
      <c r="A1239" s="30"/>
      <c r="B1239" s="31"/>
      <c r="C1239" s="32"/>
      <c r="D1239" s="33"/>
      <c r="E1239" s="34"/>
      <c r="F1239" s="34"/>
      <c r="G1239" s="35"/>
      <c r="H1239" s="34"/>
      <c r="I1239" s="37"/>
    </row>
    <row r="1240" ht="22.5" customHeight="1">
      <c r="A1240" s="30"/>
      <c r="B1240" s="31"/>
      <c r="C1240" s="32"/>
      <c r="D1240" s="33"/>
      <c r="E1240" s="34"/>
      <c r="F1240" s="34"/>
      <c r="G1240" s="35"/>
      <c r="H1240" s="34"/>
      <c r="I1240" s="37"/>
    </row>
    <row r="1241" ht="22.5" customHeight="1">
      <c r="A1241" s="30"/>
      <c r="B1241" s="31"/>
      <c r="C1241" s="32"/>
      <c r="D1241" s="33"/>
      <c r="E1241" s="34"/>
      <c r="F1241" s="34"/>
      <c r="G1241" s="35"/>
      <c r="H1241" s="34"/>
      <c r="I1241" s="37"/>
    </row>
    <row r="1242" ht="22.5" customHeight="1">
      <c r="A1242" s="30"/>
      <c r="B1242" s="40"/>
      <c r="C1242" s="32"/>
      <c r="D1242" s="33"/>
      <c r="E1242" s="34"/>
      <c r="F1242" s="34"/>
      <c r="G1242" s="35"/>
      <c r="H1242" s="34"/>
      <c r="I1242" s="37"/>
    </row>
    <row r="1243" ht="22.5" customHeight="1">
      <c r="A1243" s="30"/>
      <c r="B1243" s="31"/>
      <c r="C1243" s="32"/>
      <c r="D1243" s="33"/>
      <c r="E1243" s="34"/>
      <c r="F1243" s="34"/>
      <c r="G1243" s="35"/>
      <c r="H1243" s="34"/>
      <c r="I1243" s="37"/>
    </row>
    <row r="1244" ht="22.5" customHeight="1">
      <c r="A1244" s="30"/>
      <c r="B1244" s="31"/>
      <c r="C1244" s="32"/>
      <c r="D1244" s="33"/>
      <c r="E1244" s="34"/>
      <c r="F1244" s="34"/>
      <c r="G1244" s="35"/>
      <c r="H1244" s="34"/>
      <c r="I1244" s="37"/>
    </row>
    <row r="1245" ht="22.5" customHeight="1">
      <c r="A1245" s="30"/>
      <c r="B1245" s="31"/>
      <c r="C1245" s="32"/>
      <c r="D1245" s="33"/>
      <c r="E1245" s="34"/>
      <c r="F1245" s="34"/>
      <c r="G1245" s="35"/>
      <c r="H1245" s="34"/>
      <c r="I1245" s="37"/>
    </row>
    <row r="1246" ht="22.5" customHeight="1">
      <c r="A1246" s="30"/>
      <c r="B1246" s="31"/>
      <c r="C1246" s="32"/>
      <c r="D1246" s="33"/>
      <c r="E1246" s="34"/>
      <c r="F1246" s="34"/>
      <c r="G1246" s="35"/>
      <c r="H1246" s="34"/>
      <c r="I1246" s="37"/>
    </row>
    <row r="1247" ht="22.5" customHeight="1">
      <c r="A1247" s="30"/>
      <c r="B1247" s="31"/>
      <c r="C1247" s="32"/>
      <c r="D1247" s="33"/>
      <c r="E1247" s="34"/>
      <c r="F1247" s="34"/>
      <c r="G1247" s="35"/>
      <c r="H1247" s="34"/>
      <c r="I1247" s="37"/>
    </row>
    <row r="1248" ht="22.5" customHeight="1">
      <c r="A1248" s="30"/>
      <c r="B1248" s="31"/>
      <c r="C1248" s="32"/>
      <c r="D1248" s="33"/>
      <c r="E1248" s="34"/>
      <c r="F1248" s="34"/>
      <c r="G1248" s="35"/>
      <c r="H1248" s="34"/>
      <c r="I1248" s="37"/>
    </row>
    <row r="1249" ht="22.5" customHeight="1">
      <c r="A1249" s="30"/>
      <c r="B1249" s="31"/>
      <c r="C1249" s="32"/>
      <c r="D1249" s="33"/>
      <c r="E1249" s="34"/>
      <c r="F1249" s="34"/>
      <c r="G1249" s="35"/>
      <c r="H1249" s="34"/>
      <c r="I1249" s="37"/>
    </row>
    <row r="1250" ht="22.5" customHeight="1">
      <c r="A1250" s="30"/>
      <c r="B1250" s="31"/>
      <c r="C1250" s="32"/>
      <c r="D1250" s="33"/>
      <c r="E1250" s="34"/>
      <c r="F1250" s="34"/>
      <c r="G1250" s="35"/>
      <c r="H1250" s="34"/>
      <c r="I1250" s="37"/>
    </row>
    <row r="1251" ht="22.5" customHeight="1">
      <c r="A1251" s="30"/>
      <c r="B1251" s="31"/>
      <c r="C1251" s="32"/>
      <c r="D1251" s="33"/>
      <c r="E1251" s="34"/>
      <c r="F1251" s="34"/>
      <c r="G1251" s="35"/>
      <c r="H1251" s="34"/>
      <c r="I1251" s="37"/>
    </row>
    <row r="1252" ht="22.5" customHeight="1">
      <c r="A1252" s="30"/>
      <c r="B1252" s="31"/>
      <c r="C1252" s="32"/>
      <c r="D1252" s="33"/>
      <c r="E1252" s="34"/>
      <c r="F1252" s="34"/>
      <c r="G1252" s="35"/>
      <c r="H1252" s="34"/>
      <c r="I1252" s="37"/>
    </row>
    <row r="1253" ht="22.5" customHeight="1">
      <c r="A1253" s="30"/>
      <c r="B1253" s="31"/>
      <c r="C1253" s="32"/>
      <c r="D1253" s="33"/>
      <c r="E1253" s="34"/>
      <c r="F1253" s="34"/>
      <c r="G1253" s="35"/>
      <c r="H1253" s="34"/>
      <c r="I1253" s="37"/>
    </row>
    <row r="1254" ht="22.5" customHeight="1">
      <c r="A1254" s="30"/>
      <c r="B1254" s="31"/>
      <c r="C1254" s="32"/>
      <c r="D1254" s="33"/>
      <c r="E1254" s="34"/>
      <c r="F1254" s="34"/>
      <c r="G1254" s="35"/>
      <c r="H1254" s="34"/>
      <c r="I1254" s="37"/>
    </row>
    <row r="1255" ht="22.5" customHeight="1">
      <c r="A1255" s="30"/>
      <c r="B1255" s="31"/>
      <c r="C1255" s="32"/>
      <c r="D1255" s="33"/>
      <c r="E1255" s="34"/>
      <c r="F1255" s="34"/>
      <c r="G1255" s="35"/>
      <c r="H1255" s="34"/>
      <c r="I1255" s="37"/>
    </row>
    <row r="1256" ht="22.5" customHeight="1">
      <c r="A1256" s="30"/>
      <c r="B1256" s="31"/>
      <c r="C1256" s="32"/>
      <c r="D1256" s="33"/>
      <c r="E1256" s="34"/>
      <c r="F1256" s="34"/>
      <c r="G1256" s="35"/>
      <c r="H1256" s="34"/>
      <c r="I1256" s="37"/>
    </row>
    <row r="1257" ht="22.5" customHeight="1">
      <c r="A1257" s="30"/>
      <c r="B1257" s="31"/>
      <c r="C1257" s="32"/>
      <c r="D1257" s="33"/>
      <c r="E1257" s="34"/>
      <c r="F1257" s="34"/>
      <c r="G1257" s="35"/>
      <c r="H1257" s="34"/>
      <c r="I1257" s="37"/>
    </row>
    <row r="1258" ht="22.5" customHeight="1">
      <c r="A1258" s="30"/>
      <c r="B1258" s="31"/>
      <c r="C1258" s="32"/>
      <c r="D1258" s="33"/>
      <c r="E1258" s="34"/>
      <c r="F1258" s="34"/>
      <c r="G1258" s="35"/>
      <c r="H1258" s="34"/>
      <c r="I1258" s="37"/>
    </row>
    <row r="1259" ht="22.5" customHeight="1">
      <c r="A1259" s="30"/>
      <c r="B1259" s="31"/>
      <c r="C1259" s="32"/>
      <c r="D1259" s="33"/>
      <c r="E1259" s="34"/>
      <c r="F1259" s="34"/>
      <c r="G1259" s="35"/>
      <c r="H1259" s="34"/>
      <c r="I1259" s="37"/>
    </row>
    <row r="1260" ht="22.5" customHeight="1">
      <c r="A1260" s="30"/>
      <c r="B1260" s="31"/>
      <c r="C1260" s="32"/>
      <c r="D1260" s="33"/>
      <c r="E1260" s="34"/>
      <c r="F1260" s="34"/>
      <c r="G1260" s="35"/>
      <c r="H1260" s="34"/>
      <c r="I1260" s="37"/>
    </row>
    <row r="1261" ht="22.5" customHeight="1">
      <c r="A1261" s="30"/>
      <c r="B1261" s="31"/>
      <c r="C1261" s="32"/>
      <c r="D1261" s="33"/>
      <c r="E1261" s="34"/>
      <c r="F1261" s="34"/>
      <c r="G1261" s="35"/>
      <c r="H1261" s="34"/>
      <c r="I1261" s="37"/>
    </row>
    <row r="1262" ht="22.5" customHeight="1">
      <c r="A1262" s="30"/>
      <c r="B1262" s="31"/>
      <c r="C1262" s="32"/>
      <c r="D1262" s="33"/>
      <c r="E1262" s="34"/>
      <c r="F1262" s="34"/>
      <c r="G1262" s="35"/>
      <c r="H1262" s="34"/>
      <c r="I1262" s="37"/>
    </row>
    <row r="1263" ht="22.5" customHeight="1">
      <c r="A1263" s="30"/>
      <c r="B1263" s="31"/>
      <c r="C1263" s="32"/>
      <c r="D1263" s="33"/>
      <c r="E1263" s="34"/>
      <c r="F1263" s="34"/>
      <c r="G1263" s="35"/>
      <c r="H1263" s="34"/>
      <c r="I1263" s="37"/>
    </row>
    <row r="1264" ht="22.5" customHeight="1">
      <c r="A1264" s="30"/>
      <c r="B1264" s="40"/>
      <c r="C1264" s="32"/>
      <c r="D1264" s="33"/>
      <c r="E1264" s="34"/>
      <c r="F1264" s="34"/>
      <c r="G1264" s="35"/>
      <c r="H1264" s="34"/>
      <c r="I1264" s="37"/>
    </row>
    <row r="1265" ht="22.5" customHeight="1">
      <c r="A1265" s="30"/>
      <c r="B1265" s="31"/>
      <c r="C1265" s="32"/>
      <c r="D1265" s="33"/>
      <c r="E1265" s="34"/>
      <c r="F1265" s="34"/>
      <c r="G1265" s="35"/>
      <c r="H1265" s="34"/>
      <c r="I1265" s="37"/>
    </row>
    <row r="1266" ht="22.5" customHeight="1">
      <c r="A1266" s="30"/>
      <c r="B1266" s="31"/>
      <c r="C1266" s="32"/>
      <c r="D1266" s="33"/>
      <c r="E1266" s="34"/>
      <c r="F1266" s="34"/>
      <c r="G1266" s="35"/>
      <c r="H1266" s="34"/>
      <c r="I1266" s="37"/>
    </row>
    <row r="1267" ht="22.5" customHeight="1">
      <c r="A1267" s="30"/>
      <c r="B1267" s="31"/>
      <c r="C1267" s="32"/>
      <c r="D1267" s="33"/>
      <c r="E1267" s="34"/>
      <c r="F1267" s="34"/>
      <c r="G1267" s="35"/>
      <c r="H1267" s="34"/>
      <c r="I1267" s="37"/>
    </row>
    <row r="1268" ht="22.5" customHeight="1">
      <c r="A1268" s="30"/>
      <c r="B1268" s="31"/>
      <c r="C1268" s="32"/>
      <c r="D1268" s="33"/>
      <c r="E1268" s="34"/>
      <c r="F1268" s="34"/>
      <c r="G1268" s="35"/>
      <c r="H1268" s="34"/>
      <c r="I1268" s="38"/>
    </row>
    <row r="1269" ht="22.5" customHeight="1">
      <c r="A1269" s="30"/>
      <c r="B1269" s="39"/>
      <c r="C1269" s="32"/>
      <c r="D1269" s="33"/>
      <c r="E1269" s="34"/>
      <c r="F1269" s="34"/>
      <c r="G1269" s="35"/>
      <c r="H1269" s="34"/>
      <c r="I1269" s="37"/>
    </row>
    <row r="1270" ht="22.5" customHeight="1">
      <c r="A1270" s="30"/>
      <c r="B1270" s="31"/>
      <c r="C1270" s="32"/>
      <c r="D1270" s="33"/>
      <c r="E1270" s="34"/>
      <c r="F1270" s="34"/>
      <c r="G1270" s="35"/>
      <c r="H1270" s="34"/>
      <c r="I1270" s="37"/>
    </row>
    <row r="1271" ht="22.5" customHeight="1">
      <c r="A1271" s="30"/>
      <c r="B1271" s="31"/>
      <c r="C1271" s="32"/>
      <c r="D1271" s="33"/>
      <c r="E1271" s="34"/>
      <c r="F1271" s="34"/>
      <c r="G1271" s="35"/>
      <c r="H1271" s="34"/>
      <c r="I1271" s="37"/>
    </row>
    <row r="1272" ht="22.5" customHeight="1">
      <c r="A1272" s="30"/>
      <c r="B1272" s="31"/>
      <c r="C1272" s="32"/>
      <c r="D1272" s="33"/>
      <c r="E1272" s="34"/>
      <c r="F1272" s="34"/>
      <c r="G1272" s="35"/>
      <c r="H1272" s="34"/>
      <c r="I1272" s="37"/>
    </row>
    <row r="1273" ht="22.5" customHeight="1">
      <c r="A1273" s="30"/>
      <c r="B1273" s="39"/>
      <c r="C1273" s="32"/>
      <c r="D1273" s="33"/>
      <c r="E1273" s="34"/>
      <c r="F1273" s="34"/>
      <c r="G1273" s="35"/>
      <c r="H1273" s="34"/>
      <c r="I1273" s="37"/>
    </row>
    <row r="1274" ht="22.5" customHeight="1">
      <c r="A1274" s="30"/>
      <c r="B1274" s="31"/>
      <c r="C1274" s="32"/>
      <c r="D1274" s="33"/>
      <c r="E1274" s="34"/>
      <c r="F1274" s="34"/>
      <c r="G1274" s="35"/>
      <c r="H1274" s="34"/>
      <c r="I1274" s="37"/>
    </row>
    <row r="1275" ht="22.5" customHeight="1">
      <c r="A1275" s="30"/>
      <c r="B1275" s="39"/>
      <c r="C1275" s="32"/>
      <c r="D1275" s="33"/>
      <c r="E1275" s="34"/>
      <c r="F1275" s="34"/>
      <c r="G1275" s="35"/>
      <c r="H1275" s="34"/>
      <c r="I1275" s="37"/>
    </row>
    <row r="1276" ht="22.5" customHeight="1">
      <c r="A1276" s="30"/>
      <c r="B1276" s="31"/>
      <c r="C1276" s="32"/>
      <c r="D1276" s="33"/>
      <c r="E1276" s="34"/>
      <c r="F1276" s="34"/>
      <c r="G1276" s="35"/>
      <c r="H1276" s="34"/>
      <c r="I1276" s="37"/>
    </row>
    <row r="1277" ht="22.5" customHeight="1">
      <c r="A1277" s="30"/>
      <c r="B1277" s="31"/>
      <c r="C1277" s="32"/>
      <c r="D1277" s="33"/>
      <c r="E1277" s="34"/>
      <c r="F1277" s="34"/>
      <c r="G1277" s="35"/>
      <c r="H1277" s="34"/>
      <c r="I1277" s="37"/>
    </row>
    <row r="1278" ht="22.5" customHeight="1">
      <c r="A1278" s="30"/>
      <c r="B1278" s="31"/>
      <c r="C1278" s="32"/>
      <c r="D1278" s="33"/>
      <c r="E1278" s="34"/>
      <c r="F1278" s="34"/>
      <c r="G1278" s="35"/>
      <c r="H1278" s="34"/>
      <c r="I1278" s="37"/>
    </row>
    <row r="1279" ht="22.5" customHeight="1">
      <c r="A1279" s="30"/>
      <c r="B1279" s="31"/>
      <c r="C1279" s="32"/>
      <c r="D1279" s="33"/>
      <c r="E1279" s="34"/>
      <c r="F1279" s="34"/>
      <c r="G1279" s="35"/>
      <c r="H1279" s="34"/>
      <c r="I1279" s="37"/>
    </row>
    <row r="1280" ht="22.5" customHeight="1">
      <c r="A1280" s="30"/>
      <c r="B1280" s="31"/>
      <c r="C1280" s="32"/>
      <c r="D1280" s="33"/>
      <c r="E1280" s="34"/>
      <c r="F1280" s="34"/>
      <c r="G1280" s="35"/>
      <c r="H1280" s="34"/>
      <c r="I1280" s="37"/>
    </row>
    <row r="1281" ht="22.5" customHeight="1">
      <c r="A1281" s="30"/>
      <c r="B1281" s="31"/>
      <c r="C1281" s="32"/>
      <c r="D1281" s="33"/>
      <c r="E1281" s="34"/>
      <c r="F1281" s="34"/>
      <c r="G1281" s="35"/>
      <c r="H1281" s="34"/>
      <c r="I1281" s="37"/>
    </row>
    <row r="1282" ht="22.5" customHeight="1">
      <c r="A1282" s="30"/>
      <c r="B1282" s="31"/>
      <c r="C1282" s="32"/>
      <c r="D1282" s="33"/>
      <c r="E1282" s="34"/>
      <c r="F1282" s="34"/>
      <c r="G1282" s="35"/>
      <c r="H1282" s="34"/>
      <c r="I1282" s="37"/>
    </row>
    <row r="1283" ht="22.5" customHeight="1">
      <c r="A1283" s="30"/>
      <c r="B1283" s="31"/>
      <c r="C1283" s="32"/>
      <c r="D1283" s="33"/>
      <c r="E1283" s="34"/>
      <c r="F1283" s="34"/>
      <c r="G1283" s="35"/>
      <c r="H1283" s="34"/>
      <c r="I1283" s="37"/>
    </row>
    <row r="1284" ht="22.5" customHeight="1">
      <c r="A1284" s="30"/>
      <c r="B1284" s="31"/>
      <c r="C1284" s="32"/>
      <c r="D1284" s="33"/>
      <c r="E1284" s="34"/>
      <c r="F1284" s="34"/>
      <c r="G1284" s="35"/>
      <c r="H1284" s="34"/>
      <c r="I1284" s="37"/>
    </row>
    <row r="1285" ht="22.5" customHeight="1">
      <c r="A1285" s="30"/>
      <c r="B1285" s="31"/>
      <c r="C1285" s="32"/>
      <c r="D1285" s="33"/>
      <c r="E1285" s="34"/>
      <c r="F1285" s="34"/>
      <c r="G1285" s="35"/>
      <c r="H1285" s="34"/>
      <c r="I1285" s="37"/>
    </row>
    <row r="1286" ht="22.5" customHeight="1">
      <c r="A1286" s="30"/>
      <c r="B1286" s="40"/>
      <c r="C1286" s="32"/>
      <c r="D1286" s="33"/>
      <c r="E1286" s="34"/>
      <c r="F1286" s="34"/>
      <c r="G1286" s="35"/>
      <c r="H1286" s="34"/>
      <c r="I1286" s="37"/>
    </row>
    <row r="1287" ht="22.5" customHeight="1">
      <c r="A1287" s="30"/>
      <c r="B1287" s="31"/>
      <c r="C1287" s="32"/>
      <c r="D1287" s="33"/>
      <c r="E1287" s="34"/>
      <c r="F1287" s="34"/>
      <c r="G1287" s="35"/>
      <c r="H1287" s="34"/>
      <c r="I1287" s="37"/>
    </row>
    <row r="1288" ht="22.5" customHeight="1">
      <c r="A1288" s="30"/>
      <c r="B1288" s="31"/>
      <c r="C1288" s="32"/>
      <c r="D1288" s="33"/>
      <c r="E1288" s="34"/>
      <c r="F1288" s="34"/>
      <c r="G1288" s="35"/>
      <c r="H1288" s="34"/>
      <c r="I1288" s="37"/>
    </row>
    <row r="1289" ht="22.5" customHeight="1">
      <c r="A1289" s="30"/>
      <c r="B1289" s="31"/>
      <c r="C1289" s="32"/>
      <c r="D1289" s="33"/>
      <c r="E1289" s="34"/>
      <c r="F1289" s="34"/>
      <c r="G1289" s="35"/>
      <c r="H1289" s="34"/>
      <c r="I1289" s="37"/>
    </row>
    <row r="1290" ht="22.5" customHeight="1">
      <c r="A1290" s="30"/>
      <c r="B1290" s="31"/>
      <c r="C1290" s="32"/>
      <c r="D1290" s="33"/>
      <c r="E1290" s="34"/>
      <c r="F1290" s="34"/>
      <c r="G1290" s="35"/>
      <c r="H1290" s="34"/>
      <c r="I1290" s="37"/>
    </row>
    <row r="1291" ht="22.5" customHeight="1">
      <c r="A1291" s="30"/>
      <c r="B1291" s="31"/>
      <c r="C1291" s="32"/>
      <c r="D1291" s="33"/>
      <c r="E1291" s="34"/>
      <c r="F1291" s="34"/>
      <c r="G1291" s="35"/>
      <c r="H1291" s="34"/>
      <c r="I1291" s="37"/>
    </row>
    <row r="1292" ht="22.5" customHeight="1">
      <c r="A1292" s="30"/>
      <c r="B1292" s="31"/>
      <c r="C1292" s="32"/>
      <c r="D1292" s="33"/>
      <c r="E1292" s="34"/>
      <c r="F1292" s="34"/>
      <c r="G1292" s="35"/>
      <c r="H1292" s="34"/>
      <c r="I1292" s="37"/>
    </row>
    <row r="1293" ht="22.5" customHeight="1">
      <c r="A1293" s="30"/>
      <c r="B1293" s="39"/>
      <c r="C1293" s="32"/>
      <c r="D1293" s="33"/>
      <c r="E1293" s="34"/>
      <c r="F1293" s="34"/>
      <c r="G1293" s="35"/>
      <c r="H1293" s="34"/>
      <c r="I1293" s="37"/>
    </row>
    <row r="1294" ht="22.5" customHeight="1">
      <c r="A1294" s="30"/>
      <c r="B1294" s="39"/>
      <c r="C1294" s="32"/>
      <c r="D1294" s="33"/>
      <c r="E1294" s="34"/>
      <c r="F1294" s="34"/>
      <c r="G1294" s="35"/>
      <c r="H1294" s="34"/>
      <c r="I1294" s="37"/>
    </row>
    <row r="1295" ht="22.5" customHeight="1">
      <c r="A1295" s="30"/>
      <c r="B1295" s="39"/>
      <c r="C1295" s="32"/>
      <c r="D1295" s="33"/>
      <c r="E1295" s="34"/>
      <c r="F1295" s="34"/>
      <c r="G1295" s="35"/>
      <c r="H1295" s="34"/>
      <c r="I1295" s="37"/>
    </row>
    <row r="1296" ht="22.5" customHeight="1">
      <c r="A1296" s="30"/>
      <c r="B1296" s="40"/>
      <c r="C1296" s="32"/>
      <c r="D1296" s="33"/>
      <c r="E1296" s="34"/>
      <c r="F1296" s="34"/>
      <c r="G1296" s="35"/>
      <c r="H1296" s="34"/>
      <c r="I1296" s="37"/>
    </row>
    <row r="1297" ht="22.5" customHeight="1">
      <c r="A1297" s="30"/>
      <c r="B1297" s="31"/>
      <c r="C1297" s="32"/>
      <c r="D1297" s="33"/>
      <c r="E1297" s="34"/>
      <c r="F1297" s="34"/>
      <c r="G1297" s="35"/>
      <c r="H1297" s="34"/>
      <c r="I1297" s="37"/>
    </row>
    <row r="1298" ht="22.5" customHeight="1">
      <c r="A1298" s="30"/>
      <c r="B1298" s="31"/>
      <c r="C1298" s="32"/>
      <c r="D1298" s="33"/>
      <c r="E1298" s="34"/>
      <c r="F1298" s="34"/>
      <c r="G1298" s="35"/>
      <c r="H1298" s="34"/>
      <c r="I1298" s="37"/>
    </row>
    <row r="1299" ht="22.5" customHeight="1">
      <c r="A1299" s="30"/>
      <c r="B1299" s="31"/>
      <c r="C1299" s="32"/>
      <c r="D1299" s="33"/>
      <c r="E1299" s="34"/>
      <c r="F1299" s="34"/>
      <c r="G1299" s="35"/>
      <c r="H1299" s="34"/>
      <c r="I1299" s="37"/>
    </row>
    <row r="1300" ht="22.5" customHeight="1">
      <c r="A1300" s="30"/>
      <c r="B1300" s="31"/>
      <c r="C1300" s="32"/>
      <c r="D1300" s="33"/>
      <c r="E1300" s="34"/>
      <c r="F1300" s="34"/>
      <c r="G1300" s="35"/>
      <c r="H1300" s="34"/>
      <c r="I1300" s="37"/>
    </row>
    <row r="1301" ht="22.5" customHeight="1">
      <c r="A1301" s="30"/>
      <c r="B1301" s="31"/>
      <c r="C1301" s="32"/>
      <c r="D1301" s="33"/>
      <c r="E1301" s="34"/>
      <c r="F1301" s="34"/>
      <c r="G1301" s="35"/>
      <c r="H1301" s="34"/>
      <c r="I1301" s="37"/>
    </row>
    <row r="1302" ht="22.5" customHeight="1">
      <c r="A1302" s="30"/>
      <c r="B1302" s="31"/>
      <c r="C1302" s="32"/>
      <c r="D1302" s="33"/>
      <c r="E1302" s="34"/>
      <c r="F1302" s="34"/>
      <c r="G1302" s="35"/>
      <c r="H1302" s="34"/>
      <c r="I1302" s="37"/>
    </row>
    <row r="1303" ht="22.5" customHeight="1">
      <c r="A1303" s="30"/>
      <c r="B1303" s="31"/>
      <c r="C1303" s="32"/>
      <c r="D1303" s="33"/>
      <c r="E1303" s="34"/>
      <c r="F1303" s="34"/>
      <c r="G1303" s="35"/>
      <c r="H1303" s="34"/>
      <c r="I1303" s="37"/>
    </row>
    <row r="1304" ht="22.5" customHeight="1">
      <c r="A1304" s="30"/>
      <c r="B1304" s="31"/>
      <c r="C1304" s="32"/>
      <c r="D1304" s="33"/>
      <c r="E1304" s="34"/>
      <c r="F1304" s="34"/>
      <c r="G1304" s="35"/>
      <c r="H1304" s="34"/>
      <c r="I1304" s="37"/>
    </row>
    <row r="1305" ht="22.5" customHeight="1">
      <c r="A1305" s="30"/>
      <c r="B1305" s="31"/>
      <c r="C1305" s="32"/>
      <c r="D1305" s="33"/>
      <c r="E1305" s="34"/>
      <c r="F1305" s="34"/>
      <c r="G1305" s="35"/>
      <c r="H1305" s="34"/>
      <c r="I1305" s="37"/>
    </row>
    <row r="1306" ht="22.5" customHeight="1">
      <c r="A1306" s="30"/>
      <c r="B1306" s="40"/>
      <c r="C1306" s="32"/>
      <c r="D1306" s="33"/>
      <c r="E1306" s="34"/>
      <c r="F1306" s="34"/>
      <c r="G1306" s="35"/>
      <c r="H1306" s="34"/>
      <c r="I1306" s="37"/>
    </row>
    <row r="1307" ht="22.5" customHeight="1">
      <c r="A1307" s="30"/>
      <c r="B1307" s="31"/>
      <c r="C1307" s="32"/>
      <c r="D1307" s="33"/>
      <c r="E1307" s="34"/>
      <c r="F1307" s="34"/>
      <c r="G1307" s="35"/>
      <c r="H1307" s="34"/>
      <c r="I1307" s="37"/>
    </row>
    <row r="1308" ht="22.5" customHeight="1">
      <c r="A1308" s="30"/>
      <c r="B1308" s="31"/>
      <c r="C1308" s="32"/>
      <c r="D1308" s="33"/>
      <c r="E1308" s="34"/>
      <c r="F1308" s="34"/>
      <c r="G1308" s="35"/>
      <c r="H1308" s="34"/>
      <c r="I1308" s="37"/>
    </row>
    <row r="1309" ht="22.5" customHeight="1">
      <c r="A1309" s="30"/>
      <c r="B1309" s="31"/>
      <c r="C1309" s="32"/>
      <c r="D1309" s="33"/>
      <c r="E1309" s="34"/>
      <c r="F1309" s="34"/>
      <c r="G1309" s="35"/>
      <c r="H1309" s="34"/>
      <c r="I1309" s="37"/>
    </row>
    <row r="1310" ht="22.5" customHeight="1">
      <c r="A1310" s="30"/>
      <c r="B1310" s="40"/>
      <c r="C1310" s="32"/>
      <c r="D1310" s="33"/>
      <c r="E1310" s="34"/>
      <c r="F1310" s="34"/>
      <c r="G1310" s="35"/>
      <c r="H1310" s="34"/>
      <c r="I1310" s="37"/>
    </row>
    <row r="1311" ht="22.5" customHeight="1">
      <c r="A1311" s="30"/>
      <c r="B1311" s="31"/>
      <c r="C1311" s="32"/>
      <c r="D1311" s="33"/>
      <c r="E1311" s="34"/>
      <c r="F1311" s="34"/>
      <c r="G1311" s="35"/>
      <c r="H1311" s="34"/>
      <c r="I1311" s="37"/>
    </row>
    <row r="1312" ht="22.5" customHeight="1">
      <c r="A1312" s="30"/>
      <c r="B1312" s="31"/>
      <c r="C1312" s="32"/>
      <c r="D1312" s="33"/>
      <c r="E1312" s="34"/>
      <c r="F1312" s="34"/>
      <c r="G1312" s="35"/>
      <c r="H1312" s="34"/>
      <c r="I1312" s="37"/>
    </row>
    <row r="1313" ht="22.5" customHeight="1">
      <c r="A1313" s="30"/>
      <c r="B1313" s="31"/>
      <c r="C1313" s="32"/>
      <c r="D1313" s="33"/>
      <c r="E1313" s="34"/>
      <c r="F1313" s="34"/>
      <c r="G1313" s="35"/>
      <c r="H1313" s="34"/>
      <c r="I1313" s="37"/>
    </row>
    <row r="1314" ht="22.5" customHeight="1">
      <c r="A1314" s="30"/>
      <c r="B1314" s="31"/>
      <c r="C1314" s="32"/>
      <c r="D1314" s="33"/>
      <c r="E1314" s="34"/>
      <c r="F1314" s="34"/>
      <c r="G1314" s="35"/>
      <c r="H1314" s="34"/>
      <c r="I1314" s="37"/>
    </row>
    <row r="1315" ht="22.5" customHeight="1">
      <c r="A1315" s="30"/>
      <c r="B1315" s="31"/>
      <c r="C1315" s="32"/>
      <c r="D1315" s="33"/>
      <c r="E1315" s="34"/>
      <c r="F1315" s="34"/>
      <c r="G1315" s="35"/>
      <c r="H1315" s="34"/>
      <c r="I1315" s="37"/>
    </row>
    <row r="1316" ht="22.5" customHeight="1">
      <c r="A1316" s="30"/>
      <c r="B1316" s="31"/>
      <c r="C1316" s="32"/>
      <c r="D1316" s="33"/>
      <c r="E1316" s="34"/>
      <c r="F1316" s="34"/>
      <c r="G1316" s="35"/>
      <c r="H1316" s="34"/>
      <c r="I1316" s="37"/>
    </row>
    <row r="1317" ht="22.5" customHeight="1">
      <c r="A1317" s="30"/>
      <c r="B1317" s="31"/>
      <c r="C1317" s="32"/>
      <c r="D1317" s="33"/>
      <c r="E1317" s="34"/>
      <c r="F1317" s="34"/>
      <c r="G1317" s="35"/>
      <c r="H1317" s="34"/>
      <c r="I1317" s="37"/>
    </row>
    <row r="1318" ht="22.5" customHeight="1">
      <c r="A1318" s="30"/>
      <c r="B1318" s="31"/>
      <c r="C1318" s="32"/>
      <c r="D1318" s="33"/>
      <c r="E1318" s="34"/>
      <c r="F1318" s="34"/>
      <c r="G1318" s="35"/>
      <c r="H1318" s="34"/>
      <c r="I1318" s="37"/>
    </row>
    <row r="1319" ht="22.5" customHeight="1">
      <c r="A1319" s="30"/>
      <c r="B1319" s="31"/>
      <c r="C1319" s="32"/>
      <c r="D1319" s="33"/>
      <c r="E1319" s="34"/>
      <c r="F1319" s="34"/>
      <c r="G1319" s="35"/>
      <c r="H1319" s="34"/>
      <c r="I1319" s="37"/>
    </row>
    <row r="1320" ht="22.5" customHeight="1">
      <c r="A1320" s="30"/>
      <c r="B1320" s="31"/>
      <c r="C1320" s="32"/>
      <c r="D1320" s="33"/>
      <c r="E1320" s="34"/>
      <c r="F1320" s="34"/>
      <c r="G1320" s="35"/>
      <c r="H1320" s="34"/>
      <c r="I1320" s="37"/>
    </row>
    <row r="1321" ht="22.5" customHeight="1">
      <c r="A1321" s="30"/>
      <c r="B1321" s="31"/>
      <c r="C1321" s="32"/>
      <c r="D1321" s="33"/>
      <c r="E1321" s="34"/>
      <c r="F1321" s="34"/>
      <c r="G1321" s="35"/>
      <c r="H1321" s="34"/>
      <c r="I1321" s="37"/>
    </row>
    <row r="1322" ht="22.5" customHeight="1">
      <c r="A1322" s="30"/>
      <c r="B1322" s="31"/>
      <c r="C1322" s="32"/>
      <c r="D1322" s="33"/>
      <c r="E1322" s="34"/>
      <c r="F1322" s="34"/>
      <c r="G1322" s="35"/>
      <c r="H1322" s="34"/>
      <c r="I1322" s="37"/>
    </row>
    <row r="1323" ht="22.5" customHeight="1">
      <c r="A1323" s="30"/>
      <c r="B1323" s="31"/>
      <c r="C1323" s="32"/>
      <c r="D1323" s="33"/>
      <c r="E1323" s="34"/>
      <c r="F1323" s="34"/>
      <c r="G1323" s="35"/>
      <c r="H1323" s="34"/>
      <c r="I1323" s="37"/>
    </row>
    <row r="1324" ht="22.5" customHeight="1">
      <c r="A1324" s="30"/>
      <c r="B1324" s="31"/>
      <c r="C1324" s="32"/>
      <c r="D1324" s="33"/>
      <c r="E1324" s="34"/>
      <c r="F1324" s="34"/>
      <c r="G1324" s="35"/>
      <c r="H1324" s="34"/>
      <c r="I1324" s="37"/>
    </row>
    <row r="1325" ht="22.5" customHeight="1">
      <c r="A1325" s="30"/>
      <c r="B1325" s="40"/>
      <c r="C1325" s="32"/>
      <c r="D1325" s="33"/>
      <c r="E1325" s="34"/>
      <c r="F1325" s="34"/>
      <c r="G1325" s="35"/>
      <c r="H1325" s="34"/>
      <c r="I1325" s="37"/>
    </row>
    <row r="1326" ht="22.5" customHeight="1">
      <c r="A1326" s="30"/>
      <c r="B1326" s="31"/>
      <c r="C1326" s="32"/>
      <c r="D1326" s="33"/>
      <c r="E1326" s="34"/>
      <c r="F1326" s="34"/>
      <c r="G1326" s="35"/>
      <c r="H1326" s="34"/>
      <c r="I1326" s="37"/>
    </row>
    <row r="1327" ht="22.5" customHeight="1">
      <c r="A1327" s="30"/>
      <c r="B1327" s="40"/>
      <c r="C1327" s="32"/>
      <c r="D1327" s="33"/>
      <c r="E1327" s="34"/>
      <c r="F1327" s="34"/>
      <c r="G1327" s="35"/>
      <c r="H1327" s="34"/>
      <c r="I1327" s="37"/>
    </row>
    <row r="1328" ht="22.5" customHeight="1">
      <c r="A1328" s="30"/>
      <c r="B1328" s="31"/>
      <c r="C1328" s="32"/>
      <c r="D1328" s="33"/>
      <c r="E1328" s="34"/>
      <c r="F1328" s="34"/>
      <c r="G1328" s="35"/>
      <c r="H1328" s="34"/>
      <c r="I1328" s="37"/>
    </row>
    <row r="1329" ht="22.5" customHeight="1">
      <c r="A1329" s="30"/>
      <c r="B1329" s="31"/>
      <c r="C1329" s="32"/>
      <c r="D1329" s="33"/>
      <c r="E1329" s="34"/>
      <c r="F1329" s="34"/>
      <c r="G1329" s="35"/>
      <c r="H1329" s="34"/>
      <c r="I1329" s="37"/>
    </row>
    <row r="1330" ht="22.5" customHeight="1">
      <c r="A1330" s="30"/>
      <c r="B1330" s="31"/>
      <c r="C1330" s="32"/>
      <c r="D1330" s="33"/>
      <c r="E1330" s="34"/>
      <c r="F1330" s="34"/>
      <c r="G1330" s="35"/>
      <c r="H1330" s="34"/>
      <c r="I1330" s="37"/>
    </row>
    <row r="1331" ht="22.5" customHeight="1">
      <c r="A1331" s="30"/>
      <c r="B1331" s="31"/>
      <c r="C1331" s="32"/>
      <c r="D1331" s="33"/>
      <c r="E1331" s="34"/>
      <c r="F1331" s="34"/>
      <c r="G1331" s="35"/>
      <c r="H1331" s="34"/>
      <c r="I1331" s="37"/>
    </row>
    <row r="1332" ht="22.5" customHeight="1">
      <c r="A1332" s="30"/>
      <c r="B1332" s="40"/>
      <c r="C1332" s="32"/>
      <c r="D1332" s="33"/>
      <c r="E1332" s="34"/>
      <c r="F1332" s="34"/>
      <c r="G1332" s="35"/>
      <c r="H1332" s="34"/>
      <c r="I1332" s="37"/>
    </row>
    <row r="1333" ht="22.5" customHeight="1">
      <c r="A1333" s="30"/>
      <c r="B1333" s="31"/>
      <c r="C1333" s="32"/>
      <c r="D1333" s="33"/>
      <c r="E1333" s="34"/>
      <c r="F1333" s="34"/>
      <c r="G1333" s="35"/>
      <c r="H1333" s="34"/>
      <c r="I1333" s="37"/>
    </row>
    <row r="1334" ht="22.5" customHeight="1">
      <c r="A1334" s="30"/>
      <c r="B1334" s="31"/>
      <c r="C1334" s="32"/>
      <c r="D1334" s="33"/>
      <c r="E1334" s="34"/>
      <c r="F1334" s="34"/>
      <c r="G1334" s="35"/>
      <c r="H1334" s="34"/>
      <c r="I1334" s="37"/>
    </row>
    <row r="1335" ht="22.5" customHeight="1">
      <c r="A1335" s="30"/>
      <c r="B1335" s="31"/>
      <c r="C1335" s="32"/>
      <c r="D1335" s="33"/>
      <c r="E1335" s="34"/>
      <c r="F1335" s="34"/>
      <c r="G1335" s="35"/>
      <c r="H1335" s="34"/>
      <c r="I1335" s="37"/>
    </row>
    <row r="1336" ht="22.5" customHeight="1">
      <c r="A1336" s="30"/>
      <c r="B1336" s="31"/>
      <c r="C1336" s="32"/>
      <c r="D1336" s="33"/>
      <c r="E1336" s="34"/>
      <c r="F1336" s="34"/>
      <c r="G1336" s="35"/>
      <c r="H1336" s="34"/>
      <c r="I1336" s="37"/>
    </row>
    <row r="1337" ht="22.5" customHeight="1">
      <c r="A1337" s="30"/>
      <c r="B1337" s="31"/>
      <c r="C1337" s="32"/>
      <c r="D1337" s="33"/>
      <c r="E1337" s="34"/>
      <c r="F1337" s="34"/>
      <c r="G1337" s="35"/>
      <c r="H1337" s="34"/>
      <c r="I1337" s="37"/>
    </row>
    <row r="1338" ht="22.5" customHeight="1">
      <c r="A1338" s="30"/>
      <c r="B1338" s="31"/>
      <c r="C1338" s="32"/>
      <c r="D1338" s="33"/>
      <c r="E1338" s="34"/>
      <c r="F1338" s="34"/>
      <c r="G1338" s="35"/>
      <c r="H1338" s="34"/>
      <c r="I1338" s="37"/>
    </row>
    <row r="1339" ht="22.5" customHeight="1">
      <c r="A1339" s="30"/>
      <c r="B1339" s="31"/>
      <c r="C1339" s="32"/>
      <c r="D1339" s="33"/>
      <c r="E1339" s="34"/>
      <c r="F1339" s="34"/>
      <c r="G1339" s="35"/>
      <c r="H1339" s="34"/>
      <c r="I1339" s="37"/>
    </row>
    <row r="1340" ht="22.5" customHeight="1">
      <c r="A1340" s="30"/>
      <c r="B1340" s="31"/>
      <c r="C1340" s="32"/>
      <c r="D1340" s="33"/>
      <c r="E1340" s="34"/>
      <c r="F1340" s="34"/>
      <c r="G1340" s="35"/>
      <c r="H1340" s="34"/>
      <c r="I1340" s="37"/>
    </row>
    <row r="1341" ht="22.5" customHeight="1">
      <c r="A1341" s="30"/>
      <c r="B1341" s="31"/>
      <c r="C1341" s="32"/>
      <c r="D1341" s="33"/>
      <c r="E1341" s="34"/>
      <c r="F1341" s="34"/>
      <c r="G1341" s="35"/>
      <c r="H1341" s="34"/>
      <c r="I1341" s="37"/>
    </row>
    <row r="1342" ht="22.5" customHeight="1">
      <c r="A1342" s="30"/>
      <c r="B1342" s="31"/>
      <c r="C1342" s="32"/>
      <c r="D1342" s="33"/>
      <c r="E1342" s="34"/>
      <c r="F1342" s="34"/>
      <c r="G1342" s="35"/>
      <c r="H1342" s="34"/>
      <c r="I1342" s="37"/>
    </row>
    <row r="1343" ht="22.5" customHeight="1">
      <c r="A1343" s="30"/>
      <c r="B1343" s="31"/>
      <c r="C1343" s="32"/>
      <c r="D1343" s="33"/>
      <c r="E1343" s="34"/>
      <c r="F1343" s="34"/>
      <c r="G1343" s="35"/>
      <c r="H1343" s="34"/>
      <c r="I1343" s="37"/>
    </row>
    <row r="1344" ht="22.5" customHeight="1">
      <c r="A1344" s="30"/>
      <c r="B1344" s="31"/>
      <c r="C1344" s="32"/>
      <c r="D1344" s="33"/>
      <c r="E1344" s="34"/>
      <c r="F1344" s="34"/>
      <c r="G1344" s="35"/>
      <c r="H1344" s="34"/>
      <c r="I1344" s="37"/>
    </row>
    <row r="1345" ht="22.5" customHeight="1">
      <c r="A1345" s="30"/>
      <c r="B1345" s="31"/>
      <c r="C1345" s="32"/>
      <c r="D1345" s="33"/>
      <c r="E1345" s="34"/>
      <c r="F1345" s="34"/>
      <c r="G1345" s="35"/>
      <c r="H1345" s="34"/>
      <c r="I1345" s="37"/>
    </row>
    <row r="1346" ht="22.5" customHeight="1">
      <c r="A1346" s="30"/>
      <c r="B1346" s="31"/>
      <c r="C1346" s="32"/>
      <c r="D1346" s="33"/>
      <c r="E1346" s="34"/>
      <c r="F1346" s="34"/>
      <c r="G1346" s="35"/>
      <c r="H1346" s="34"/>
      <c r="I1346" s="37"/>
    </row>
    <row r="1347" ht="22.5" customHeight="1">
      <c r="A1347" s="30"/>
      <c r="B1347" s="31"/>
      <c r="C1347" s="32"/>
      <c r="D1347" s="33"/>
      <c r="E1347" s="34"/>
      <c r="F1347" s="34"/>
      <c r="G1347" s="35"/>
      <c r="H1347" s="34"/>
      <c r="I1347" s="37"/>
    </row>
    <row r="1348" ht="22.5" customHeight="1">
      <c r="A1348" s="30"/>
      <c r="B1348" s="31"/>
      <c r="C1348" s="32"/>
      <c r="D1348" s="33"/>
      <c r="E1348" s="34"/>
      <c r="F1348" s="34"/>
      <c r="G1348" s="35"/>
      <c r="H1348" s="34"/>
      <c r="I1348" s="37"/>
    </row>
    <row r="1349" ht="22.5" customHeight="1">
      <c r="A1349" s="30"/>
      <c r="B1349" s="31"/>
      <c r="C1349" s="32"/>
      <c r="D1349" s="33"/>
      <c r="E1349" s="34"/>
      <c r="F1349" s="34"/>
      <c r="G1349" s="35"/>
      <c r="H1349" s="34"/>
      <c r="I1349" s="37"/>
    </row>
    <row r="1350" ht="22.5" customHeight="1">
      <c r="A1350" s="30"/>
      <c r="B1350" s="31"/>
      <c r="C1350" s="32"/>
      <c r="D1350" s="33"/>
      <c r="E1350" s="34"/>
      <c r="F1350" s="34"/>
      <c r="G1350" s="35"/>
      <c r="H1350" s="34"/>
      <c r="I1350" s="37"/>
    </row>
    <row r="1351" ht="22.5" customHeight="1">
      <c r="A1351" s="30"/>
      <c r="B1351" s="31"/>
      <c r="C1351" s="32"/>
      <c r="D1351" s="33"/>
      <c r="E1351" s="34"/>
      <c r="F1351" s="34"/>
      <c r="G1351" s="35"/>
      <c r="H1351" s="34"/>
      <c r="I1351" s="37"/>
    </row>
    <row r="1352" ht="22.5" customHeight="1">
      <c r="A1352" s="30"/>
      <c r="B1352" s="31"/>
      <c r="C1352" s="32"/>
      <c r="D1352" s="33"/>
      <c r="E1352" s="34"/>
      <c r="F1352" s="34"/>
      <c r="G1352" s="35"/>
      <c r="H1352" s="34"/>
      <c r="I1352" s="37"/>
    </row>
    <row r="1353" ht="22.5" customHeight="1">
      <c r="A1353" s="30"/>
      <c r="B1353" s="31"/>
      <c r="C1353" s="32"/>
      <c r="D1353" s="33"/>
      <c r="E1353" s="34"/>
      <c r="F1353" s="34"/>
      <c r="G1353" s="35"/>
      <c r="H1353" s="34"/>
      <c r="I1353" s="37"/>
    </row>
    <row r="1354" ht="22.5" customHeight="1">
      <c r="A1354" s="30"/>
      <c r="B1354" s="40"/>
      <c r="C1354" s="32"/>
      <c r="D1354" s="33"/>
      <c r="E1354" s="34"/>
      <c r="F1354" s="34"/>
      <c r="G1354" s="35"/>
      <c r="H1354" s="34"/>
      <c r="I1354" s="37"/>
    </row>
    <row r="1355" ht="22.5" customHeight="1">
      <c r="A1355" s="30"/>
      <c r="B1355" s="31"/>
      <c r="C1355" s="32"/>
      <c r="D1355" s="33"/>
      <c r="E1355" s="34"/>
      <c r="F1355" s="34"/>
      <c r="G1355" s="35"/>
      <c r="H1355" s="34"/>
      <c r="I1355" s="37"/>
    </row>
    <row r="1356" ht="22.5" customHeight="1">
      <c r="A1356" s="30"/>
      <c r="B1356" s="31"/>
      <c r="C1356" s="32"/>
      <c r="D1356" s="33"/>
      <c r="E1356" s="34"/>
      <c r="F1356" s="34"/>
      <c r="G1356" s="35"/>
      <c r="H1356" s="34"/>
      <c r="I1356" s="37"/>
    </row>
    <row r="1357" ht="22.5" customHeight="1">
      <c r="A1357" s="30"/>
      <c r="B1357" s="31"/>
      <c r="C1357" s="32"/>
      <c r="D1357" s="33"/>
      <c r="E1357" s="34"/>
      <c r="F1357" s="34"/>
      <c r="G1357" s="35"/>
      <c r="H1357" s="34"/>
      <c r="I1357" s="37"/>
    </row>
    <row r="1358" ht="22.5" customHeight="1">
      <c r="A1358" s="30"/>
      <c r="B1358" s="31"/>
      <c r="C1358" s="32"/>
      <c r="D1358" s="33"/>
      <c r="E1358" s="34"/>
      <c r="F1358" s="34"/>
      <c r="G1358" s="35"/>
      <c r="H1358" s="34"/>
      <c r="I1358" s="38"/>
    </row>
    <row r="1359" ht="22.5" customHeight="1">
      <c r="A1359" s="30"/>
      <c r="B1359" s="39"/>
      <c r="C1359" s="32"/>
      <c r="D1359" s="33"/>
      <c r="E1359" s="34"/>
      <c r="F1359" s="34"/>
      <c r="G1359" s="35"/>
      <c r="H1359" s="34"/>
      <c r="I1359" s="37"/>
    </row>
    <row r="1360" ht="22.5" customHeight="1">
      <c r="A1360" s="30"/>
      <c r="B1360" s="31"/>
      <c r="C1360" s="32"/>
      <c r="D1360" s="33"/>
      <c r="E1360" s="34"/>
      <c r="F1360" s="34"/>
      <c r="G1360" s="35"/>
      <c r="H1360" s="34"/>
      <c r="I1360" s="37"/>
    </row>
    <row r="1361" ht="22.5" customHeight="1">
      <c r="A1361" s="30"/>
      <c r="B1361" s="31"/>
      <c r="C1361" s="32"/>
      <c r="D1361" s="33"/>
      <c r="E1361" s="34"/>
      <c r="F1361" s="34"/>
      <c r="G1361" s="35"/>
      <c r="H1361" s="34"/>
      <c r="I1361" s="37"/>
    </row>
    <row r="1362" ht="22.5" customHeight="1">
      <c r="A1362" s="30"/>
      <c r="B1362" s="31"/>
      <c r="C1362" s="32"/>
      <c r="D1362" s="33"/>
      <c r="E1362" s="34"/>
      <c r="F1362" s="34"/>
      <c r="G1362" s="35"/>
      <c r="H1362" s="34"/>
      <c r="I1362" s="37"/>
    </row>
    <row r="1363" ht="22.5" customHeight="1">
      <c r="A1363" s="30"/>
      <c r="B1363" s="39"/>
      <c r="C1363" s="32"/>
      <c r="D1363" s="33"/>
      <c r="E1363" s="34"/>
      <c r="F1363" s="34"/>
      <c r="G1363" s="35"/>
      <c r="H1363" s="34"/>
      <c r="I1363" s="37"/>
    </row>
    <row r="1364" ht="22.5" customHeight="1">
      <c r="A1364" s="30"/>
      <c r="B1364" s="31"/>
      <c r="C1364" s="32"/>
      <c r="D1364" s="33"/>
      <c r="E1364" s="34"/>
      <c r="F1364" s="34"/>
      <c r="G1364" s="35"/>
      <c r="H1364" s="34"/>
      <c r="I1364" s="37"/>
    </row>
    <row r="1365" ht="22.5" customHeight="1">
      <c r="A1365" s="30"/>
      <c r="B1365" s="39"/>
      <c r="C1365" s="32"/>
      <c r="D1365" s="33"/>
      <c r="E1365" s="34"/>
      <c r="F1365" s="34"/>
      <c r="G1365" s="35"/>
      <c r="H1365" s="34"/>
      <c r="I1365" s="37"/>
    </row>
    <row r="1366" ht="22.5" customHeight="1">
      <c r="A1366" s="30"/>
      <c r="B1366" s="31"/>
      <c r="C1366" s="32"/>
      <c r="D1366" s="33"/>
      <c r="E1366" s="34"/>
      <c r="F1366" s="34"/>
      <c r="G1366" s="35"/>
      <c r="H1366" s="34"/>
      <c r="I1366" s="37"/>
    </row>
    <row r="1367" ht="22.5" customHeight="1">
      <c r="A1367" s="30"/>
      <c r="B1367" s="31"/>
      <c r="C1367" s="32"/>
      <c r="D1367" s="33"/>
      <c r="E1367" s="34"/>
      <c r="F1367" s="34"/>
      <c r="G1367" s="35"/>
      <c r="H1367" s="34"/>
      <c r="I1367" s="37"/>
    </row>
    <row r="1368" ht="22.5" customHeight="1">
      <c r="A1368" s="30"/>
      <c r="B1368" s="31"/>
      <c r="C1368" s="32"/>
      <c r="D1368" s="33"/>
      <c r="E1368" s="34"/>
      <c r="F1368" s="34"/>
      <c r="G1368" s="35"/>
      <c r="H1368" s="34"/>
      <c r="I1368" s="37"/>
    </row>
    <row r="1369" ht="22.5" customHeight="1">
      <c r="A1369" s="30"/>
      <c r="B1369" s="31"/>
      <c r="C1369" s="32"/>
      <c r="D1369" s="33"/>
      <c r="E1369" s="34"/>
      <c r="F1369" s="34"/>
      <c r="G1369" s="35"/>
      <c r="H1369" s="34"/>
      <c r="I1369" s="37"/>
    </row>
    <row r="1370" ht="22.5" customHeight="1">
      <c r="A1370" s="30"/>
      <c r="B1370" s="31"/>
      <c r="C1370" s="32"/>
      <c r="D1370" s="33"/>
      <c r="E1370" s="34"/>
      <c r="F1370" s="34"/>
      <c r="G1370" s="35"/>
      <c r="H1370" s="34"/>
      <c r="I1370" s="37"/>
    </row>
    <row r="1371" ht="22.5" customHeight="1">
      <c r="A1371" s="30"/>
      <c r="B1371" s="31"/>
      <c r="C1371" s="32"/>
      <c r="D1371" s="33"/>
      <c r="E1371" s="34"/>
      <c r="F1371" s="34"/>
      <c r="G1371" s="35"/>
      <c r="H1371" s="34"/>
      <c r="I1371" s="37"/>
    </row>
    <row r="1372" ht="22.5" customHeight="1">
      <c r="A1372" s="30"/>
      <c r="B1372" s="31"/>
      <c r="C1372" s="32"/>
      <c r="D1372" s="33"/>
      <c r="E1372" s="34"/>
      <c r="F1372" s="34"/>
      <c r="G1372" s="35"/>
      <c r="H1372" s="34"/>
      <c r="I1372" s="37"/>
    </row>
    <row r="1373" ht="22.5" customHeight="1">
      <c r="A1373" s="30"/>
      <c r="B1373" s="31"/>
      <c r="C1373" s="32"/>
      <c r="D1373" s="33"/>
      <c r="E1373" s="34"/>
      <c r="F1373" s="34"/>
      <c r="G1373" s="35"/>
      <c r="H1373" s="34"/>
      <c r="I1373" s="37"/>
    </row>
    <row r="1374" ht="22.5" customHeight="1">
      <c r="A1374" s="30"/>
      <c r="B1374" s="31"/>
      <c r="C1374" s="32"/>
      <c r="D1374" s="33"/>
      <c r="E1374" s="34"/>
      <c r="F1374" s="34"/>
      <c r="G1374" s="35"/>
      <c r="H1374" s="34"/>
      <c r="I1374" s="37"/>
    </row>
    <row r="1375" ht="22.5" customHeight="1">
      <c r="A1375" s="30"/>
      <c r="B1375" s="31"/>
      <c r="C1375" s="32"/>
      <c r="D1375" s="33"/>
      <c r="E1375" s="34"/>
      <c r="F1375" s="34"/>
      <c r="G1375" s="35"/>
      <c r="H1375" s="34"/>
      <c r="I1375" s="37"/>
    </row>
    <row r="1376" ht="22.5" customHeight="1">
      <c r="A1376" s="30"/>
      <c r="B1376" s="40"/>
      <c r="C1376" s="32"/>
      <c r="D1376" s="33"/>
      <c r="E1376" s="34"/>
      <c r="F1376" s="34"/>
      <c r="G1376" s="35"/>
      <c r="H1376" s="34"/>
      <c r="I1376" s="37"/>
    </row>
    <row r="1377" ht="22.5" customHeight="1">
      <c r="A1377" s="30"/>
      <c r="B1377" s="31"/>
      <c r="C1377" s="32"/>
      <c r="D1377" s="33"/>
      <c r="E1377" s="34"/>
      <c r="F1377" s="34"/>
      <c r="G1377" s="35"/>
      <c r="H1377" s="34"/>
      <c r="I1377" s="37"/>
    </row>
    <row r="1378" ht="22.5" customHeight="1">
      <c r="A1378" s="30"/>
      <c r="B1378" s="31"/>
      <c r="C1378" s="32"/>
      <c r="D1378" s="33"/>
      <c r="E1378" s="34"/>
      <c r="F1378" s="34"/>
      <c r="G1378" s="35"/>
      <c r="H1378" s="34"/>
      <c r="I1378" s="37"/>
    </row>
    <row r="1379" ht="22.5" customHeight="1">
      <c r="A1379" s="30"/>
      <c r="B1379" s="31"/>
      <c r="C1379" s="32"/>
      <c r="D1379" s="33"/>
      <c r="E1379" s="34"/>
      <c r="F1379" s="34"/>
      <c r="G1379" s="35"/>
      <c r="H1379" s="34"/>
      <c r="I1379" s="37"/>
    </row>
    <row r="1380" ht="22.5" customHeight="1">
      <c r="A1380" s="30"/>
      <c r="B1380" s="31"/>
      <c r="C1380" s="32"/>
      <c r="D1380" s="33"/>
      <c r="E1380" s="34"/>
      <c r="F1380" s="34"/>
      <c r="G1380" s="35"/>
      <c r="H1380" s="34"/>
      <c r="I1380" s="37"/>
    </row>
    <row r="1381" ht="22.5" customHeight="1">
      <c r="A1381" s="30"/>
      <c r="B1381" s="31"/>
      <c r="C1381" s="32"/>
      <c r="D1381" s="33"/>
      <c r="E1381" s="34"/>
      <c r="F1381" s="34"/>
      <c r="G1381" s="35"/>
      <c r="H1381" s="34"/>
      <c r="I1381" s="37"/>
    </row>
    <row r="1382" ht="22.5" customHeight="1">
      <c r="A1382" s="30"/>
      <c r="B1382" s="31"/>
      <c r="C1382" s="32"/>
      <c r="D1382" s="33"/>
      <c r="E1382" s="34"/>
      <c r="F1382" s="34"/>
      <c r="G1382" s="35"/>
      <c r="H1382" s="34"/>
      <c r="I1382" s="37"/>
    </row>
    <row r="1383" ht="22.5" customHeight="1">
      <c r="A1383" s="30"/>
      <c r="B1383" s="39"/>
      <c r="C1383" s="32"/>
      <c r="D1383" s="33"/>
      <c r="E1383" s="34"/>
      <c r="F1383" s="34"/>
      <c r="G1383" s="35"/>
      <c r="H1383" s="34"/>
      <c r="I1383" s="37"/>
    </row>
    <row r="1384" ht="22.5" customHeight="1">
      <c r="A1384" s="30"/>
      <c r="B1384" s="39"/>
      <c r="C1384" s="32"/>
      <c r="D1384" s="33"/>
      <c r="E1384" s="34"/>
      <c r="F1384" s="34"/>
      <c r="G1384" s="35"/>
      <c r="H1384" s="34"/>
      <c r="I1384" s="37"/>
    </row>
    <row r="1385" ht="22.5" customHeight="1">
      <c r="A1385" s="30"/>
      <c r="B1385" s="39"/>
      <c r="C1385" s="32"/>
      <c r="D1385" s="33"/>
      <c r="E1385" s="34"/>
      <c r="F1385" s="34"/>
      <c r="G1385" s="35"/>
      <c r="H1385" s="34"/>
      <c r="I1385" s="37"/>
    </row>
    <row r="1386" ht="22.5" customHeight="1">
      <c r="A1386" s="30"/>
      <c r="B1386" s="40"/>
      <c r="C1386" s="32"/>
      <c r="D1386" s="33"/>
      <c r="E1386" s="34"/>
      <c r="F1386" s="34"/>
      <c r="G1386" s="35"/>
      <c r="H1386" s="34"/>
      <c r="I1386" s="37"/>
    </row>
    <row r="1387" ht="22.5" customHeight="1">
      <c r="A1387" s="30"/>
      <c r="B1387" s="31"/>
      <c r="C1387" s="32"/>
      <c r="D1387" s="33"/>
      <c r="E1387" s="34"/>
      <c r="F1387" s="34"/>
      <c r="G1387" s="35"/>
      <c r="H1387" s="34"/>
      <c r="I1387" s="37"/>
    </row>
    <row r="1388" ht="22.5" customHeight="1">
      <c r="A1388" s="30"/>
      <c r="B1388" s="31"/>
      <c r="C1388" s="32"/>
      <c r="D1388" s="33"/>
      <c r="E1388" s="34"/>
      <c r="F1388" s="34"/>
      <c r="G1388" s="35"/>
      <c r="H1388" s="34"/>
      <c r="I1388" s="37"/>
    </row>
    <row r="1389" ht="22.5" customHeight="1">
      <c r="A1389" s="30"/>
      <c r="B1389" s="31"/>
      <c r="C1389" s="32"/>
      <c r="D1389" s="33"/>
      <c r="E1389" s="34"/>
      <c r="F1389" s="34"/>
      <c r="G1389" s="35"/>
      <c r="H1389" s="34"/>
      <c r="I1389" s="37"/>
    </row>
    <row r="1390" ht="22.5" customHeight="1">
      <c r="A1390" s="30"/>
      <c r="B1390" s="31"/>
      <c r="C1390" s="32"/>
      <c r="D1390" s="33"/>
      <c r="E1390" s="34"/>
      <c r="F1390" s="34"/>
      <c r="G1390" s="35"/>
      <c r="H1390" s="34"/>
      <c r="I1390" s="37"/>
    </row>
    <row r="1391" ht="22.5" customHeight="1">
      <c r="A1391" s="30"/>
      <c r="B1391" s="31"/>
      <c r="C1391" s="32"/>
      <c r="D1391" s="33"/>
      <c r="E1391" s="34"/>
      <c r="F1391" s="34"/>
      <c r="G1391" s="35"/>
      <c r="H1391" s="34"/>
      <c r="I1391" s="37"/>
    </row>
    <row r="1392" ht="22.5" customHeight="1">
      <c r="A1392" s="30"/>
      <c r="B1392" s="31"/>
      <c r="C1392" s="32"/>
      <c r="D1392" s="33"/>
      <c r="E1392" s="34"/>
      <c r="F1392" s="34"/>
      <c r="G1392" s="35"/>
      <c r="H1392" s="34"/>
      <c r="I1392" s="37"/>
    </row>
    <row r="1393" ht="22.5" customHeight="1">
      <c r="A1393" s="30"/>
      <c r="B1393" s="31"/>
      <c r="C1393" s="32"/>
      <c r="D1393" s="33"/>
      <c r="E1393" s="34"/>
      <c r="F1393" s="34"/>
      <c r="G1393" s="35"/>
      <c r="H1393" s="34"/>
      <c r="I1393" s="37"/>
    </row>
    <row r="1394" ht="22.5" customHeight="1">
      <c r="A1394" s="30"/>
      <c r="B1394" s="31"/>
      <c r="C1394" s="32"/>
      <c r="D1394" s="33"/>
      <c r="E1394" s="34"/>
      <c r="F1394" s="34"/>
      <c r="G1394" s="35"/>
      <c r="H1394" s="34"/>
      <c r="I1394" s="37"/>
    </row>
    <row r="1395" ht="22.5" customHeight="1">
      <c r="A1395" s="30"/>
      <c r="B1395" s="31"/>
      <c r="C1395" s="32"/>
      <c r="D1395" s="33"/>
      <c r="E1395" s="34"/>
      <c r="F1395" s="34"/>
      <c r="G1395" s="35"/>
      <c r="H1395" s="34"/>
      <c r="I1395" s="37"/>
    </row>
    <row r="1396" ht="22.5" customHeight="1">
      <c r="A1396" s="30"/>
      <c r="B1396" s="40"/>
      <c r="C1396" s="32"/>
      <c r="D1396" s="33"/>
      <c r="E1396" s="34"/>
      <c r="F1396" s="34"/>
      <c r="G1396" s="35"/>
      <c r="H1396" s="34"/>
      <c r="I1396" s="37"/>
    </row>
    <row r="1397" ht="22.5" customHeight="1">
      <c r="A1397" s="30"/>
      <c r="B1397" s="31"/>
      <c r="C1397" s="32"/>
      <c r="D1397" s="33"/>
      <c r="E1397" s="34"/>
      <c r="F1397" s="34"/>
      <c r="G1397" s="35"/>
      <c r="H1397" s="34"/>
      <c r="I1397" s="37"/>
    </row>
    <row r="1398" ht="22.5" customHeight="1">
      <c r="A1398" s="30"/>
      <c r="B1398" s="31"/>
      <c r="C1398" s="32"/>
      <c r="D1398" s="33"/>
      <c r="E1398" s="34"/>
      <c r="F1398" s="34"/>
      <c r="G1398" s="35"/>
      <c r="H1398" s="34"/>
      <c r="I1398" s="37"/>
    </row>
    <row r="1399" ht="22.5" customHeight="1">
      <c r="A1399" s="30"/>
      <c r="B1399" s="31"/>
      <c r="C1399" s="32"/>
      <c r="D1399" s="33"/>
      <c r="E1399" s="34"/>
      <c r="F1399" s="34"/>
      <c r="G1399" s="35"/>
      <c r="H1399" s="34"/>
      <c r="I1399" s="37"/>
    </row>
    <row r="1400" ht="22.5" customHeight="1">
      <c r="A1400" s="30"/>
      <c r="B1400" s="40"/>
      <c r="C1400" s="32"/>
      <c r="D1400" s="33"/>
      <c r="E1400" s="34"/>
      <c r="F1400" s="34"/>
      <c r="G1400" s="35"/>
      <c r="H1400" s="34"/>
      <c r="I1400" s="37"/>
    </row>
    <row r="1401" ht="22.5" customHeight="1">
      <c r="A1401" s="30"/>
      <c r="B1401" s="31"/>
      <c r="C1401" s="32"/>
      <c r="D1401" s="33"/>
      <c r="E1401" s="34"/>
      <c r="F1401" s="34"/>
      <c r="G1401" s="35"/>
      <c r="H1401" s="34"/>
      <c r="I1401" s="37"/>
    </row>
    <row r="1402" ht="22.5" customHeight="1">
      <c r="A1402" s="30"/>
      <c r="B1402" s="31"/>
      <c r="C1402" s="32"/>
      <c r="D1402" s="33"/>
      <c r="E1402" s="34"/>
      <c r="F1402" s="34"/>
      <c r="G1402" s="35"/>
      <c r="H1402" s="34"/>
      <c r="I1402" s="37"/>
    </row>
    <row r="1403" ht="22.5" customHeight="1">
      <c r="A1403" s="30"/>
      <c r="B1403" s="31"/>
      <c r="C1403" s="32"/>
      <c r="D1403" s="33"/>
      <c r="E1403" s="34"/>
      <c r="F1403" s="34"/>
      <c r="G1403" s="35"/>
      <c r="H1403" s="34"/>
      <c r="I1403" s="37"/>
    </row>
    <row r="1404" ht="22.5" customHeight="1">
      <c r="A1404" s="30"/>
      <c r="B1404" s="31"/>
      <c r="C1404" s="32"/>
      <c r="D1404" s="33"/>
      <c r="E1404" s="34"/>
      <c r="F1404" s="34"/>
      <c r="G1404" s="35"/>
      <c r="H1404" s="34"/>
      <c r="I1404" s="37"/>
    </row>
    <row r="1405" ht="22.5" customHeight="1">
      <c r="A1405" s="30"/>
      <c r="B1405" s="31"/>
      <c r="C1405" s="32"/>
      <c r="D1405" s="33"/>
      <c r="E1405" s="34"/>
      <c r="F1405" s="34"/>
      <c r="G1405" s="35"/>
      <c r="H1405" s="34"/>
      <c r="I1405" s="37"/>
    </row>
    <row r="1406" ht="22.5" customHeight="1">
      <c r="A1406" s="30"/>
      <c r="B1406" s="31"/>
      <c r="C1406" s="32"/>
      <c r="D1406" s="33"/>
      <c r="E1406" s="34"/>
      <c r="F1406" s="34"/>
      <c r="G1406" s="35"/>
      <c r="H1406" s="34"/>
      <c r="I1406" s="37"/>
    </row>
    <row r="1407" ht="22.5" customHeight="1">
      <c r="A1407" s="30"/>
      <c r="B1407" s="31"/>
      <c r="C1407" s="32"/>
      <c r="D1407" s="33"/>
      <c r="E1407" s="34"/>
      <c r="F1407" s="34"/>
      <c r="G1407" s="35"/>
      <c r="H1407" s="34"/>
      <c r="I1407" s="37"/>
    </row>
    <row r="1408" ht="22.5" customHeight="1">
      <c r="A1408" s="30"/>
      <c r="B1408" s="31"/>
      <c r="C1408" s="32"/>
      <c r="D1408" s="33"/>
      <c r="E1408" s="34"/>
      <c r="F1408" s="34"/>
      <c r="G1408" s="35"/>
      <c r="H1408" s="34"/>
      <c r="I1408" s="37"/>
    </row>
    <row r="1409" ht="22.5" customHeight="1">
      <c r="A1409" s="30"/>
      <c r="B1409" s="31"/>
      <c r="C1409" s="32"/>
      <c r="D1409" s="33"/>
      <c r="E1409" s="34"/>
      <c r="F1409" s="34"/>
      <c r="G1409" s="35"/>
      <c r="H1409" s="34"/>
      <c r="I1409" s="37"/>
    </row>
    <row r="1410" ht="22.5" customHeight="1">
      <c r="A1410" s="30"/>
      <c r="B1410" s="31"/>
      <c r="C1410" s="32"/>
      <c r="D1410" s="33"/>
      <c r="E1410" s="34"/>
      <c r="F1410" s="34"/>
      <c r="G1410" s="35"/>
      <c r="H1410" s="34"/>
      <c r="I1410" s="37"/>
    </row>
    <row r="1411" ht="22.5" customHeight="1">
      <c r="A1411" s="30"/>
      <c r="B1411" s="31"/>
      <c r="C1411" s="32"/>
      <c r="D1411" s="33"/>
      <c r="E1411" s="34"/>
      <c r="F1411" s="34"/>
      <c r="G1411" s="35"/>
      <c r="H1411" s="34"/>
      <c r="I1411" s="37"/>
    </row>
    <row r="1412" ht="22.5" customHeight="1">
      <c r="A1412" s="30"/>
      <c r="B1412" s="31"/>
      <c r="C1412" s="32"/>
      <c r="D1412" s="33"/>
      <c r="E1412" s="34"/>
      <c r="F1412" s="34"/>
      <c r="G1412" s="35"/>
      <c r="H1412" s="34"/>
      <c r="I1412" s="37"/>
    </row>
    <row r="1413" ht="22.5" customHeight="1">
      <c r="A1413" s="30"/>
      <c r="B1413" s="31"/>
      <c r="C1413" s="32"/>
      <c r="D1413" s="33"/>
      <c r="E1413" s="34"/>
      <c r="F1413" s="34"/>
      <c r="G1413" s="35"/>
      <c r="H1413" s="34"/>
      <c r="I1413" s="37"/>
    </row>
    <row r="1414" ht="22.5" customHeight="1">
      <c r="A1414" s="30"/>
      <c r="B1414" s="31"/>
      <c r="C1414" s="32"/>
      <c r="D1414" s="33"/>
      <c r="E1414" s="34"/>
      <c r="F1414" s="34"/>
      <c r="G1414" s="35"/>
      <c r="H1414" s="34"/>
      <c r="I1414" s="37"/>
    </row>
    <row r="1415" ht="22.5" customHeight="1">
      <c r="A1415" s="30"/>
      <c r="B1415" s="40"/>
      <c r="C1415" s="32"/>
      <c r="D1415" s="33"/>
      <c r="E1415" s="34"/>
      <c r="F1415" s="34"/>
      <c r="G1415" s="35"/>
      <c r="H1415" s="34"/>
      <c r="I1415" s="37"/>
    </row>
    <row r="1416" ht="22.5" customHeight="1">
      <c r="A1416" s="30"/>
      <c r="B1416" s="31"/>
      <c r="C1416" s="32"/>
      <c r="D1416" s="33"/>
      <c r="E1416" s="34"/>
      <c r="F1416" s="34"/>
      <c r="G1416" s="35"/>
      <c r="H1416" s="34"/>
      <c r="I1416" s="37"/>
    </row>
    <row r="1417" ht="22.5" customHeight="1">
      <c r="A1417" s="30"/>
      <c r="B1417" s="40"/>
      <c r="C1417" s="32"/>
      <c r="D1417" s="33"/>
      <c r="E1417" s="34"/>
      <c r="F1417" s="34"/>
      <c r="G1417" s="35"/>
      <c r="H1417" s="34"/>
      <c r="I1417" s="37"/>
    </row>
    <row r="1418" ht="22.5" customHeight="1">
      <c r="A1418" s="30"/>
      <c r="B1418" s="31"/>
      <c r="C1418" s="32"/>
      <c r="D1418" s="33"/>
      <c r="E1418" s="34"/>
      <c r="F1418" s="34"/>
      <c r="G1418" s="35"/>
      <c r="H1418" s="34"/>
      <c r="I1418" s="37"/>
    </row>
    <row r="1419" ht="22.5" customHeight="1">
      <c r="A1419" s="30"/>
      <c r="B1419" s="31"/>
      <c r="C1419" s="32"/>
      <c r="D1419" s="33"/>
      <c r="E1419" s="34"/>
      <c r="F1419" s="34"/>
      <c r="G1419" s="35"/>
      <c r="H1419" s="34"/>
      <c r="I1419" s="37"/>
    </row>
    <row r="1420" ht="22.5" customHeight="1">
      <c r="A1420" s="30"/>
      <c r="B1420" s="31"/>
      <c r="C1420" s="32"/>
      <c r="D1420" s="33"/>
      <c r="E1420" s="34"/>
      <c r="F1420" s="34"/>
      <c r="G1420" s="35"/>
      <c r="H1420" s="34"/>
      <c r="I1420" s="37"/>
    </row>
    <row r="1421" ht="22.5" customHeight="1">
      <c r="A1421" s="30"/>
      <c r="B1421" s="31"/>
      <c r="C1421" s="32"/>
      <c r="D1421" s="33"/>
      <c r="E1421" s="34"/>
      <c r="F1421" s="34"/>
      <c r="G1421" s="35"/>
      <c r="H1421" s="34"/>
      <c r="I1421" s="37"/>
    </row>
    <row r="1422" ht="22.5" customHeight="1">
      <c r="A1422" s="30"/>
      <c r="B1422" s="40"/>
      <c r="C1422" s="32"/>
      <c r="D1422" s="33"/>
      <c r="E1422" s="34"/>
      <c r="F1422" s="34"/>
      <c r="G1422" s="35"/>
      <c r="H1422" s="34"/>
      <c r="I1422" s="37"/>
    </row>
    <row r="1423" ht="22.5" customHeight="1">
      <c r="A1423" s="30"/>
      <c r="B1423" s="31"/>
      <c r="C1423" s="32"/>
      <c r="D1423" s="33"/>
      <c r="E1423" s="34"/>
      <c r="F1423" s="34"/>
      <c r="G1423" s="35"/>
      <c r="H1423" s="34"/>
      <c r="I1423" s="37"/>
    </row>
    <row r="1424" ht="22.5" customHeight="1">
      <c r="A1424" s="30"/>
      <c r="B1424" s="31"/>
      <c r="C1424" s="32"/>
      <c r="D1424" s="33"/>
      <c r="E1424" s="34"/>
      <c r="F1424" s="34"/>
      <c r="G1424" s="35"/>
      <c r="H1424" s="34"/>
      <c r="I1424" s="37"/>
    </row>
    <row r="1425" ht="22.5" customHeight="1">
      <c r="A1425" s="30"/>
      <c r="B1425" s="31"/>
      <c r="C1425" s="32"/>
      <c r="D1425" s="33"/>
      <c r="E1425" s="34"/>
      <c r="F1425" s="34"/>
      <c r="G1425" s="35"/>
      <c r="H1425" s="34"/>
      <c r="I1425" s="37"/>
    </row>
    <row r="1426" ht="22.5" customHeight="1">
      <c r="A1426" s="30"/>
      <c r="B1426" s="31"/>
      <c r="C1426" s="32"/>
      <c r="D1426" s="33"/>
      <c r="E1426" s="34"/>
      <c r="F1426" s="34"/>
      <c r="G1426" s="35"/>
      <c r="H1426" s="34"/>
      <c r="I1426" s="37"/>
    </row>
    <row r="1427" ht="22.5" customHeight="1">
      <c r="A1427" s="30"/>
      <c r="B1427" s="31"/>
      <c r="C1427" s="32"/>
      <c r="D1427" s="33"/>
      <c r="E1427" s="34"/>
      <c r="F1427" s="34"/>
      <c r="G1427" s="35"/>
      <c r="H1427" s="34"/>
      <c r="I1427" s="37"/>
    </row>
    <row r="1428" ht="22.5" customHeight="1">
      <c r="A1428" s="30"/>
      <c r="B1428" s="31"/>
      <c r="C1428" s="32"/>
      <c r="D1428" s="33"/>
      <c r="E1428" s="34"/>
      <c r="F1428" s="34"/>
      <c r="G1428" s="35"/>
      <c r="H1428" s="34"/>
      <c r="I1428" s="37"/>
    </row>
    <row r="1429" ht="22.5" customHeight="1">
      <c r="A1429" s="30"/>
      <c r="B1429" s="31"/>
      <c r="C1429" s="32"/>
      <c r="D1429" s="33"/>
      <c r="E1429" s="34"/>
      <c r="F1429" s="34"/>
      <c r="G1429" s="35"/>
      <c r="H1429" s="34"/>
      <c r="I1429" s="37"/>
    </row>
    <row r="1430" ht="22.5" customHeight="1">
      <c r="A1430" s="30"/>
      <c r="B1430" s="31"/>
      <c r="C1430" s="32"/>
      <c r="D1430" s="33"/>
      <c r="E1430" s="34"/>
      <c r="F1430" s="34"/>
      <c r="G1430" s="35"/>
      <c r="H1430" s="34"/>
      <c r="I1430" s="37"/>
    </row>
    <row r="1431" ht="22.5" customHeight="1">
      <c r="A1431" s="30"/>
      <c r="B1431" s="31"/>
      <c r="C1431" s="32"/>
      <c r="D1431" s="33"/>
      <c r="E1431" s="34"/>
      <c r="F1431" s="34"/>
      <c r="G1431" s="35"/>
      <c r="H1431" s="34"/>
      <c r="I1431" s="37"/>
    </row>
    <row r="1432" ht="22.5" customHeight="1">
      <c r="A1432" s="30"/>
      <c r="B1432" s="31"/>
      <c r="C1432" s="32"/>
      <c r="D1432" s="33"/>
      <c r="E1432" s="34"/>
      <c r="F1432" s="34"/>
      <c r="G1432" s="35"/>
      <c r="H1432" s="34"/>
      <c r="I1432" s="37"/>
    </row>
    <row r="1433" ht="22.5" customHeight="1">
      <c r="A1433" s="30"/>
      <c r="B1433" s="31"/>
      <c r="C1433" s="32"/>
      <c r="D1433" s="33"/>
      <c r="E1433" s="34"/>
      <c r="F1433" s="34"/>
      <c r="G1433" s="35"/>
      <c r="H1433" s="34"/>
      <c r="I1433" s="37"/>
    </row>
    <row r="1434" ht="22.5" customHeight="1">
      <c r="A1434" s="30"/>
      <c r="B1434" s="31"/>
      <c r="C1434" s="32"/>
      <c r="D1434" s="33"/>
      <c r="E1434" s="34"/>
      <c r="F1434" s="34"/>
      <c r="G1434" s="35"/>
      <c r="H1434" s="34"/>
      <c r="I1434" s="37"/>
    </row>
    <row r="1435" ht="22.5" customHeight="1">
      <c r="A1435" s="30"/>
      <c r="B1435" s="31"/>
      <c r="C1435" s="32"/>
      <c r="D1435" s="33"/>
      <c r="E1435" s="34"/>
      <c r="F1435" s="34"/>
      <c r="G1435" s="35"/>
      <c r="H1435" s="34"/>
      <c r="I1435" s="37"/>
    </row>
    <row r="1436" ht="22.5" customHeight="1">
      <c r="A1436" s="30"/>
      <c r="B1436" s="31"/>
      <c r="C1436" s="32"/>
      <c r="D1436" s="33"/>
      <c r="E1436" s="34"/>
      <c r="F1436" s="34"/>
      <c r="G1436" s="35"/>
      <c r="H1436" s="34"/>
      <c r="I1436" s="37"/>
    </row>
    <row r="1437" ht="22.5" customHeight="1">
      <c r="A1437" s="30"/>
      <c r="B1437" s="31"/>
      <c r="C1437" s="32"/>
      <c r="D1437" s="33"/>
      <c r="E1437" s="34"/>
      <c r="F1437" s="34"/>
      <c r="G1437" s="35"/>
      <c r="H1437" s="34"/>
      <c r="I1437" s="37"/>
    </row>
    <row r="1438" ht="22.5" customHeight="1">
      <c r="A1438" s="30"/>
      <c r="B1438" s="31"/>
      <c r="C1438" s="32"/>
      <c r="D1438" s="33"/>
      <c r="E1438" s="34"/>
      <c r="F1438" s="34"/>
      <c r="G1438" s="35"/>
      <c r="H1438" s="34"/>
      <c r="I1438" s="37"/>
    </row>
    <row r="1439" ht="22.5" customHeight="1">
      <c r="A1439" s="30"/>
      <c r="B1439" s="31"/>
      <c r="C1439" s="32"/>
      <c r="D1439" s="33"/>
      <c r="E1439" s="34"/>
      <c r="F1439" s="34"/>
      <c r="G1439" s="35"/>
      <c r="H1439" s="34"/>
      <c r="I1439" s="37"/>
    </row>
    <row r="1440" ht="22.5" customHeight="1">
      <c r="A1440" s="30"/>
      <c r="B1440" s="31"/>
      <c r="C1440" s="32"/>
      <c r="D1440" s="33"/>
      <c r="E1440" s="34"/>
      <c r="F1440" s="34"/>
      <c r="G1440" s="35"/>
      <c r="H1440" s="34"/>
      <c r="I1440" s="37"/>
    </row>
    <row r="1441" ht="22.5" customHeight="1">
      <c r="A1441" s="30"/>
      <c r="B1441" s="31"/>
      <c r="C1441" s="32"/>
      <c r="D1441" s="33"/>
      <c r="E1441" s="34"/>
      <c r="F1441" s="34"/>
      <c r="G1441" s="35"/>
      <c r="H1441" s="34"/>
      <c r="I1441" s="37"/>
    </row>
    <row r="1442" ht="22.5" customHeight="1">
      <c r="A1442" s="30"/>
      <c r="B1442" s="31"/>
      <c r="C1442" s="32"/>
      <c r="D1442" s="33"/>
      <c r="E1442" s="34"/>
      <c r="F1442" s="34"/>
      <c r="G1442" s="35"/>
      <c r="H1442" s="34"/>
      <c r="I1442" s="37"/>
    </row>
    <row r="1443" ht="22.5" customHeight="1">
      <c r="A1443" s="30"/>
      <c r="B1443" s="31"/>
      <c r="C1443" s="32"/>
      <c r="D1443" s="33"/>
      <c r="E1443" s="34"/>
      <c r="F1443" s="34"/>
      <c r="G1443" s="35"/>
      <c r="H1443" s="34"/>
      <c r="I1443" s="37"/>
    </row>
    <row r="1444" ht="22.5" customHeight="1">
      <c r="A1444" s="30"/>
      <c r="B1444" s="40"/>
      <c r="C1444" s="32"/>
      <c r="D1444" s="33"/>
      <c r="E1444" s="34"/>
      <c r="F1444" s="34"/>
      <c r="G1444" s="35"/>
      <c r="H1444" s="34"/>
      <c r="I1444" s="37"/>
    </row>
    <row r="1445" ht="22.5" customHeight="1">
      <c r="A1445" s="30"/>
      <c r="B1445" s="31"/>
      <c r="C1445" s="32"/>
      <c r="D1445" s="33"/>
      <c r="E1445" s="34"/>
      <c r="F1445" s="34"/>
      <c r="G1445" s="35"/>
      <c r="H1445" s="34"/>
      <c r="I1445" s="37"/>
    </row>
    <row r="1446" ht="22.5" customHeight="1">
      <c r="A1446" s="30"/>
      <c r="B1446" s="31"/>
      <c r="C1446" s="32"/>
      <c r="D1446" s="33"/>
      <c r="E1446" s="34"/>
      <c r="F1446" s="34"/>
      <c r="G1446" s="35"/>
      <c r="H1446" s="34"/>
      <c r="I1446" s="37"/>
    </row>
    <row r="1447" ht="22.5" customHeight="1">
      <c r="A1447" s="30"/>
      <c r="B1447" s="31"/>
      <c r="C1447" s="32"/>
      <c r="D1447" s="33"/>
      <c r="E1447" s="34"/>
      <c r="F1447" s="34"/>
      <c r="G1447" s="35"/>
      <c r="H1447" s="34"/>
      <c r="I1447" s="37"/>
    </row>
    <row r="1448" ht="22.5" customHeight="1">
      <c r="A1448" s="30"/>
      <c r="B1448" s="31"/>
      <c r="C1448" s="32"/>
      <c r="D1448" s="33"/>
      <c r="E1448" s="34"/>
      <c r="F1448" s="34"/>
      <c r="G1448" s="35"/>
      <c r="H1448" s="34"/>
      <c r="I1448" s="38"/>
    </row>
    <row r="1449" ht="22.5" customHeight="1">
      <c r="A1449" s="30"/>
      <c r="B1449" s="39"/>
      <c r="C1449" s="32"/>
      <c r="D1449" s="33"/>
      <c r="E1449" s="34"/>
      <c r="F1449" s="34"/>
      <c r="G1449" s="35"/>
      <c r="H1449" s="34"/>
      <c r="I1449" s="37"/>
    </row>
    <row r="1450" ht="22.5" customHeight="1">
      <c r="A1450" s="30"/>
      <c r="B1450" s="31"/>
      <c r="C1450" s="32"/>
      <c r="D1450" s="33"/>
      <c r="E1450" s="34"/>
      <c r="F1450" s="34"/>
      <c r="G1450" s="35"/>
      <c r="H1450" s="34"/>
      <c r="I1450" s="37"/>
    </row>
    <row r="1451" ht="22.5" customHeight="1">
      <c r="A1451" s="30"/>
      <c r="B1451" s="31"/>
      <c r="C1451" s="32"/>
      <c r="D1451" s="33"/>
      <c r="E1451" s="34"/>
      <c r="F1451" s="34"/>
      <c r="G1451" s="35"/>
      <c r="H1451" s="34"/>
      <c r="I1451" s="37"/>
    </row>
    <row r="1452" ht="22.5" customHeight="1">
      <c r="A1452" s="30"/>
      <c r="B1452" s="31"/>
      <c r="C1452" s="32"/>
      <c r="D1452" s="33"/>
      <c r="E1452" s="34"/>
      <c r="F1452" s="34"/>
      <c r="G1452" s="35"/>
      <c r="H1452" s="34"/>
      <c r="I1452" s="37"/>
    </row>
    <row r="1453" ht="22.5" customHeight="1">
      <c r="A1453" s="30"/>
      <c r="B1453" s="39"/>
      <c r="C1453" s="32"/>
      <c r="D1453" s="33"/>
      <c r="E1453" s="34"/>
      <c r="F1453" s="34"/>
      <c r="G1453" s="35"/>
      <c r="H1453" s="34"/>
      <c r="I1453" s="37"/>
    </row>
    <row r="1454" ht="22.5" customHeight="1">
      <c r="A1454" s="30"/>
      <c r="B1454" s="31"/>
      <c r="C1454" s="32"/>
      <c r="D1454" s="33"/>
      <c r="E1454" s="34"/>
      <c r="F1454" s="34"/>
      <c r="G1454" s="35"/>
      <c r="H1454" s="34"/>
      <c r="I1454" s="37"/>
    </row>
    <row r="1455" ht="22.5" customHeight="1">
      <c r="A1455" s="30"/>
      <c r="B1455" s="39"/>
      <c r="C1455" s="32"/>
      <c r="D1455" s="33"/>
      <c r="E1455" s="34"/>
      <c r="F1455" s="34"/>
      <c r="G1455" s="35"/>
      <c r="H1455" s="34"/>
      <c r="I1455" s="37"/>
    </row>
    <row r="1456" ht="22.5" customHeight="1">
      <c r="A1456" s="30"/>
      <c r="B1456" s="31"/>
      <c r="C1456" s="32"/>
      <c r="D1456" s="33"/>
      <c r="E1456" s="34"/>
      <c r="F1456" s="34"/>
      <c r="G1456" s="35"/>
      <c r="H1456" s="34"/>
      <c r="I1456" s="37"/>
    </row>
    <row r="1457" ht="22.5" customHeight="1">
      <c r="A1457" s="30"/>
      <c r="B1457" s="31"/>
      <c r="C1457" s="32"/>
      <c r="D1457" s="33"/>
      <c r="E1457" s="34"/>
      <c r="F1457" s="34"/>
      <c r="G1457" s="35"/>
      <c r="H1457" s="34"/>
      <c r="I1457" s="37"/>
    </row>
    <row r="1458" ht="22.5" customHeight="1">
      <c r="A1458" s="30"/>
      <c r="B1458" s="31"/>
      <c r="C1458" s="32"/>
      <c r="D1458" s="33"/>
      <c r="E1458" s="34"/>
      <c r="F1458" s="34"/>
      <c r="G1458" s="35"/>
      <c r="H1458" s="34"/>
      <c r="I1458" s="37"/>
    </row>
    <row r="1459" ht="22.5" customHeight="1">
      <c r="A1459" s="30"/>
      <c r="B1459" s="31"/>
      <c r="C1459" s="32"/>
      <c r="D1459" s="33"/>
      <c r="E1459" s="34"/>
      <c r="F1459" s="34"/>
      <c r="G1459" s="35"/>
      <c r="H1459" s="34"/>
      <c r="I1459" s="37"/>
    </row>
    <row r="1460" ht="22.5" customHeight="1">
      <c r="A1460" s="30"/>
      <c r="B1460" s="31"/>
      <c r="C1460" s="32"/>
      <c r="D1460" s="33"/>
      <c r="E1460" s="34"/>
      <c r="F1460" s="34"/>
      <c r="G1460" s="35"/>
      <c r="H1460" s="34"/>
      <c r="I1460" s="37"/>
    </row>
    <row r="1461" ht="22.5" customHeight="1">
      <c r="A1461" s="30"/>
      <c r="B1461" s="31"/>
      <c r="C1461" s="32"/>
      <c r="D1461" s="33"/>
      <c r="E1461" s="34"/>
      <c r="F1461" s="34"/>
      <c r="G1461" s="35"/>
      <c r="H1461" s="34"/>
      <c r="I1461" s="37"/>
    </row>
    <row r="1462" ht="22.5" customHeight="1">
      <c r="A1462" s="30"/>
      <c r="B1462" s="31"/>
      <c r="C1462" s="32"/>
      <c r="D1462" s="33"/>
      <c r="E1462" s="34"/>
      <c r="F1462" s="34"/>
      <c r="G1462" s="35"/>
      <c r="H1462" s="34"/>
      <c r="I1462" s="37"/>
    </row>
    <row r="1463" ht="22.5" customHeight="1">
      <c r="A1463" s="30"/>
      <c r="B1463" s="31"/>
      <c r="C1463" s="32"/>
      <c r="D1463" s="33"/>
      <c r="E1463" s="34"/>
      <c r="F1463" s="34"/>
      <c r="G1463" s="35"/>
      <c r="H1463" s="34"/>
      <c r="I1463" s="37"/>
    </row>
    <row r="1464" ht="22.5" customHeight="1">
      <c r="A1464" s="30"/>
      <c r="B1464" s="31"/>
      <c r="C1464" s="32"/>
      <c r="D1464" s="33"/>
      <c r="E1464" s="34"/>
      <c r="F1464" s="34"/>
      <c r="G1464" s="35"/>
      <c r="H1464" s="34"/>
      <c r="I1464" s="37"/>
    </row>
    <row r="1465" ht="22.5" customHeight="1">
      <c r="A1465" s="30"/>
      <c r="B1465" s="31"/>
      <c r="C1465" s="32"/>
      <c r="D1465" s="33"/>
      <c r="E1465" s="34"/>
      <c r="F1465" s="34"/>
      <c r="G1465" s="35"/>
      <c r="H1465" s="34"/>
      <c r="I1465" s="37"/>
    </row>
    <row r="1466" ht="22.5" customHeight="1">
      <c r="A1466" s="30"/>
      <c r="B1466" s="40"/>
      <c r="C1466" s="32"/>
      <c r="D1466" s="33"/>
      <c r="E1466" s="34"/>
      <c r="F1466" s="34"/>
      <c r="G1466" s="35"/>
      <c r="H1466" s="34"/>
      <c r="I1466" s="37"/>
    </row>
    <row r="1467" ht="22.5" customHeight="1">
      <c r="A1467" s="30"/>
      <c r="B1467" s="31"/>
      <c r="C1467" s="32"/>
      <c r="D1467" s="33"/>
      <c r="E1467" s="34"/>
      <c r="F1467" s="34"/>
      <c r="G1467" s="35"/>
      <c r="H1467" s="34"/>
      <c r="I1467" s="37"/>
    </row>
    <row r="1468" ht="22.5" customHeight="1">
      <c r="A1468" s="30"/>
      <c r="B1468" s="31"/>
      <c r="C1468" s="32"/>
      <c r="D1468" s="33"/>
      <c r="E1468" s="34"/>
      <c r="F1468" s="34"/>
      <c r="G1468" s="35"/>
      <c r="H1468" s="34"/>
      <c r="I1468" s="37"/>
    </row>
    <row r="1469" ht="22.5" customHeight="1">
      <c r="A1469" s="30"/>
      <c r="B1469" s="31"/>
      <c r="C1469" s="32"/>
      <c r="D1469" s="33"/>
      <c r="E1469" s="34"/>
      <c r="F1469" s="34"/>
      <c r="G1469" s="35"/>
      <c r="H1469" s="34"/>
      <c r="I1469" s="37"/>
    </row>
    <row r="1470" ht="22.5" customHeight="1">
      <c r="A1470" s="30"/>
      <c r="B1470" s="31"/>
      <c r="C1470" s="32"/>
      <c r="D1470" s="33"/>
      <c r="E1470" s="34"/>
      <c r="F1470" s="34"/>
      <c r="G1470" s="35"/>
      <c r="H1470" s="34"/>
      <c r="I1470" s="37"/>
    </row>
    <row r="1471" ht="22.5" customHeight="1">
      <c r="A1471" s="30"/>
      <c r="B1471" s="31"/>
      <c r="C1471" s="32"/>
      <c r="D1471" s="33"/>
      <c r="E1471" s="34"/>
      <c r="F1471" s="34"/>
      <c r="G1471" s="35"/>
      <c r="H1471" s="34"/>
      <c r="I1471" s="37"/>
    </row>
    <row r="1472" ht="22.5" customHeight="1">
      <c r="A1472" s="30"/>
      <c r="B1472" s="31"/>
      <c r="C1472" s="32"/>
      <c r="D1472" s="33"/>
      <c r="E1472" s="34"/>
      <c r="F1472" s="34"/>
      <c r="G1472" s="35"/>
      <c r="H1472" s="34"/>
      <c r="I1472" s="37"/>
    </row>
    <row r="1473" ht="22.5" customHeight="1">
      <c r="A1473" s="30"/>
      <c r="B1473" s="39"/>
      <c r="C1473" s="32"/>
      <c r="D1473" s="33"/>
      <c r="E1473" s="34"/>
      <c r="F1473" s="34"/>
      <c r="G1473" s="35"/>
      <c r="H1473" s="34"/>
      <c r="I1473" s="37"/>
    </row>
    <row r="1474" ht="22.5" customHeight="1">
      <c r="A1474" s="30"/>
      <c r="B1474" s="39"/>
      <c r="C1474" s="32"/>
      <c r="D1474" s="33"/>
      <c r="E1474" s="34"/>
      <c r="F1474" s="34"/>
      <c r="G1474" s="35"/>
      <c r="H1474" s="34"/>
      <c r="I1474" s="37"/>
    </row>
    <row r="1475" ht="22.5" customHeight="1">
      <c r="A1475" s="30"/>
      <c r="B1475" s="39"/>
      <c r="C1475" s="32"/>
      <c r="D1475" s="33"/>
      <c r="E1475" s="34"/>
      <c r="F1475" s="34"/>
      <c r="G1475" s="35"/>
      <c r="H1475" s="34"/>
      <c r="I1475" s="37"/>
    </row>
    <row r="1476" ht="22.5" customHeight="1">
      <c r="A1476" s="30"/>
      <c r="B1476" s="40"/>
      <c r="C1476" s="32"/>
      <c r="D1476" s="33"/>
      <c r="E1476" s="34"/>
      <c r="F1476" s="34"/>
      <c r="G1476" s="35"/>
      <c r="H1476" s="34"/>
      <c r="I1476" s="37"/>
    </row>
    <row r="1477" ht="22.5" customHeight="1">
      <c r="A1477" s="30"/>
      <c r="B1477" s="31"/>
      <c r="C1477" s="32"/>
      <c r="D1477" s="33"/>
      <c r="E1477" s="34"/>
      <c r="F1477" s="34"/>
      <c r="G1477" s="35"/>
      <c r="H1477" s="34"/>
      <c r="I1477" s="37"/>
    </row>
    <row r="1478" ht="22.5" customHeight="1">
      <c r="A1478" s="30"/>
      <c r="B1478" s="31"/>
      <c r="C1478" s="32"/>
      <c r="D1478" s="33"/>
      <c r="E1478" s="34"/>
      <c r="F1478" s="34"/>
      <c r="G1478" s="35"/>
      <c r="H1478" s="34"/>
      <c r="I1478" s="37"/>
    </row>
    <row r="1479" ht="22.5" customHeight="1">
      <c r="A1479" s="30"/>
      <c r="B1479" s="31"/>
      <c r="C1479" s="32"/>
      <c r="D1479" s="33"/>
      <c r="E1479" s="34"/>
      <c r="F1479" s="34"/>
      <c r="G1479" s="35"/>
      <c r="H1479" s="34"/>
      <c r="I1479" s="37"/>
    </row>
    <row r="1480" ht="22.5" customHeight="1">
      <c r="A1480" s="30"/>
      <c r="B1480" s="31"/>
      <c r="C1480" s="32"/>
      <c r="D1480" s="33"/>
      <c r="E1480" s="34"/>
      <c r="F1480" s="34"/>
      <c r="G1480" s="35"/>
      <c r="H1480" s="34"/>
      <c r="I1480" s="37"/>
    </row>
    <row r="1481" ht="22.5" customHeight="1">
      <c r="A1481" s="30"/>
      <c r="B1481" s="31"/>
      <c r="C1481" s="32"/>
      <c r="D1481" s="33"/>
      <c r="E1481" s="34"/>
      <c r="F1481" s="34"/>
      <c r="G1481" s="35"/>
      <c r="H1481" s="34"/>
      <c r="I1481" s="37"/>
    </row>
    <row r="1482" ht="22.5" customHeight="1">
      <c r="A1482" s="30"/>
      <c r="B1482" s="31"/>
      <c r="C1482" s="32"/>
      <c r="D1482" s="33"/>
      <c r="E1482" s="34"/>
      <c r="F1482" s="34"/>
      <c r="G1482" s="35"/>
      <c r="H1482" s="34"/>
      <c r="I1482" s="37"/>
    </row>
    <row r="1483" ht="22.5" customHeight="1">
      <c r="A1483" s="30"/>
      <c r="B1483" s="31"/>
      <c r="C1483" s="32"/>
      <c r="D1483" s="33"/>
      <c r="E1483" s="34"/>
      <c r="F1483" s="34"/>
      <c r="G1483" s="35"/>
      <c r="H1483" s="34"/>
      <c r="I1483" s="37"/>
    </row>
    <row r="1484" ht="22.5" customHeight="1">
      <c r="A1484" s="30"/>
      <c r="B1484" s="31"/>
      <c r="C1484" s="32"/>
      <c r="D1484" s="33"/>
      <c r="E1484" s="34"/>
      <c r="F1484" s="34"/>
      <c r="G1484" s="35"/>
      <c r="H1484" s="34"/>
      <c r="I1484" s="37"/>
    </row>
    <row r="1485" ht="22.5" customHeight="1">
      <c r="A1485" s="30"/>
      <c r="B1485" s="31"/>
      <c r="C1485" s="32"/>
      <c r="D1485" s="33"/>
      <c r="E1485" s="34"/>
      <c r="F1485" s="34"/>
      <c r="G1485" s="35"/>
      <c r="H1485" s="34"/>
      <c r="I1485" s="37"/>
    </row>
    <row r="1486" ht="22.5" customHeight="1">
      <c r="A1486" s="30"/>
      <c r="B1486" s="40"/>
      <c r="C1486" s="32"/>
      <c r="D1486" s="33"/>
      <c r="E1486" s="34"/>
      <c r="F1486" s="34"/>
      <c r="G1486" s="35"/>
      <c r="H1486" s="34"/>
      <c r="I1486" s="37"/>
    </row>
    <row r="1487" ht="22.5" customHeight="1">
      <c r="A1487" s="30"/>
      <c r="B1487" s="31"/>
      <c r="C1487" s="32"/>
      <c r="D1487" s="33"/>
      <c r="E1487" s="34"/>
      <c r="F1487" s="34"/>
      <c r="G1487" s="35"/>
      <c r="H1487" s="34"/>
      <c r="I1487" s="37"/>
    </row>
    <row r="1488" ht="22.5" customHeight="1">
      <c r="A1488" s="30"/>
      <c r="B1488" s="31"/>
      <c r="C1488" s="32"/>
      <c r="D1488" s="33"/>
      <c r="E1488" s="34"/>
      <c r="F1488" s="34"/>
      <c r="G1488" s="35"/>
      <c r="H1488" s="34"/>
      <c r="I1488" s="37"/>
    </row>
    <row r="1489" ht="22.5" customHeight="1">
      <c r="A1489" s="30"/>
      <c r="B1489" s="31"/>
      <c r="C1489" s="32"/>
      <c r="D1489" s="33"/>
      <c r="E1489" s="34"/>
      <c r="F1489" s="34"/>
      <c r="G1489" s="35"/>
      <c r="H1489" s="34"/>
      <c r="I1489" s="37"/>
    </row>
    <row r="1490" ht="22.5" customHeight="1">
      <c r="A1490" s="30"/>
      <c r="B1490" s="40"/>
      <c r="C1490" s="32"/>
      <c r="D1490" s="33"/>
      <c r="E1490" s="34"/>
      <c r="F1490" s="34"/>
      <c r="G1490" s="35"/>
      <c r="H1490" s="34"/>
      <c r="I1490" s="37"/>
    </row>
    <row r="1491" ht="22.5" customHeight="1">
      <c r="A1491" s="30"/>
      <c r="B1491" s="31"/>
      <c r="C1491" s="32"/>
      <c r="D1491" s="33"/>
      <c r="E1491" s="34"/>
      <c r="F1491" s="34"/>
      <c r="G1491" s="35"/>
      <c r="H1491" s="34"/>
      <c r="I1491" s="37"/>
    </row>
    <row r="1492" ht="22.5" customHeight="1">
      <c r="A1492" s="30"/>
      <c r="B1492" s="31"/>
      <c r="C1492" s="32"/>
      <c r="D1492" s="33"/>
      <c r="E1492" s="34"/>
      <c r="F1492" s="34"/>
      <c r="G1492" s="35"/>
      <c r="H1492" s="34"/>
      <c r="I1492" s="37"/>
    </row>
    <row r="1493" ht="22.5" customHeight="1">
      <c r="A1493" s="30"/>
      <c r="B1493" s="31"/>
      <c r="C1493" s="32"/>
      <c r="D1493" s="33"/>
      <c r="E1493" s="34"/>
      <c r="F1493" s="34"/>
      <c r="G1493" s="35"/>
      <c r="H1493" s="34"/>
      <c r="I1493" s="37"/>
    </row>
    <row r="1494" ht="22.5" customHeight="1">
      <c r="A1494" s="30"/>
      <c r="B1494" s="31"/>
      <c r="C1494" s="32"/>
      <c r="D1494" s="33"/>
      <c r="E1494" s="34"/>
      <c r="F1494" s="34"/>
      <c r="G1494" s="35"/>
      <c r="H1494" s="34"/>
      <c r="I1494" s="37"/>
    </row>
    <row r="1495" ht="22.5" customHeight="1">
      <c r="A1495" s="30"/>
      <c r="B1495" s="31"/>
      <c r="C1495" s="32"/>
      <c r="D1495" s="33"/>
      <c r="E1495" s="34"/>
      <c r="F1495" s="34"/>
      <c r="G1495" s="35"/>
      <c r="H1495" s="34"/>
      <c r="I1495" s="37"/>
    </row>
    <row r="1496" ht="22.5" customHeight="1">
      <c r="A1496" s="30"/>
      <c r="B1496" s="31"/>
      <c r="C1496" s="32"/>
      <c r="D1496" s="33"/>
      <c r="E1496" s="34"/>
      <c r="F1496" s="34"/>
      <c r="G1496" s="35"/>
      <c r="H1496" s="34"/>
      <c r="I1496" s="37"/>
    </row>
    <row r="1497" ht="22.5" customHeight="1">
      <c r="A1497" s="30"/>
      <c r="B1497" s="31"/>
      <c r="C1497" s="32"/>
      <c r="D1497" s="33"/>
      <c r="E1497" s="34"/>
      <c r="F1497" s="34"/>
      <c r="G1497" s="35"/>
      <c r="H1497" s="34"/>
      <c r="I1497" s="37"/>
    </row>
    <row r="1498" ht="22.5" customHeight="1">
      <c r="A1498" s="30"/>
      <c r="B1498" s="31"/>
      <c r="C1498" s="32"/>
      <c r="D1498" s="33"/>
      <c r="E1498" s="34"/>
      <c r="F1498" s="34"/>
      <c r="G1498" s="35"/>
      <c r="H1498" s="34"/>
      <c r="I1498" s="37"/>
    </row>
    <row r="1499" ht="22.5" customHeight="1">
      <c r="A1499" s="30"/>
      <c r="B1499" s="31"/>
      <c r="C1499" s="32"/>
      <c r="D1499" s="33"/>
      <c r="E1499" s="34"/>
      <c r="F1499" s="34"/>
      <c r="G1499" s="35"/>
      <c r="H1499" s="34"/>
      <c r="I1499" s="37"/>
    </row>
    <row r="1500" ht="22.5" customHeight="1">
      <c r="A1500" s="30"/>
      <c r="B1500" s="31"/>
      <c r="C1500" s="32"/>
      <c r="D1500" s="33"/>
      <c r="E1500" s="34"/>
      <c r="F1500" s="34"/>
      <c r="G1500" s="35"/>
      <c r="H1500" s="34"/>
      <c r="I1500" s="37"/>
    </row>
    <row r="1501" ht="22.5" customHeight="1">
      <c r="A1501" s="30"/>
      <c r="B1501" s="31"/>
      <c r="C1501" s="32"/>
      <c r="D1501" s="33"/>
      <c r="E1501" s="34"/>
      <c r="F1501" s="34"/>
      <c r="G1501" s="35"/>
      <c r="H1501" s="34"/>
      <c r="I1501" s="37"/>
    </row>
    <row r="1502" ht="22.5" customHeight="1">
      <c r="A1502" s="30"/>
      <c r="B1502" s="31"/>
      <c r="C1502" s="32"/>
      <c r="D1502" s="33"/>
      <c r="E1502" s="34"/>
      <c r="F1502" s="34"/>
      <c r="G1502" s="35"/>
      <c r="H1502" s="34"/>
      <c r="I1502" s="37"/>
    </row>
    <row r="1503" ht="22.5" customHeight="1">
      <c r="A1503" s="30"/>
      <c r="B1503" s="31"/>
      <c r="C1503" s="32"/>
      <c r="D1503" s="33"/>
      <c r="E1503" s="34"/>
      <c r="F1503" s="34"/>
      <c r="G1503" s="35"/>
      <c r="H1503" s="34"/>
      <c r="I1503" s="37"/>
    </row>
    <row r="1504" ht="22.5" customHeight="1">
      <c r="A1504" s="30"/>
      <c r="B1504" s="31"/>
      <c r="C1504" s="32"/>
      <c r="D1504" s="33"/>
      <c r="E1504" s="34"/>
      <c r="F1504" s="34"/>
      <c r="G1504" s="35"/>
      <c r="H1504" s="34"/>
      <c r="I1504" s="37"/>
    </row>
    <row r="1505" ht="22.5" customHeight="1">
      <c r="A1505" s="30"/>
      <c r="B1505" s="40"/>
      <c r="C1505" s="32"/>
      <c r="D1505" s="33"/>
      <c r="E1505" s="34"/>
      <c r="F1505" s="34"/>
      <c r="G1505" s="35"/>
      <c r="H1505" s="34"/>
      <c r="I1505" s="37"/>
    </row>
    <row r="1506" ht="22.5" customHeight="1">
      <c r="A1506" s="30"/>
      <c r="B1506" s="31"/>
      <c r="C1506" s="32"/>
      <c r="D1506" s="33"/>
      <c r="E1506" s="34"/>
      <c r="F1506" s="34"/>
      <c r="G1506" s="35"/>
      <c r="H1506" s="34"/>
      <c r="I1506" s="37"/>
    </row>
    <row r="1507" ht="22.5" customHeight="1">
      <c r="A1507" s="30"/>
      <c r="B1507" s="40"/>
      <c r="C1507" s="32"/>
      <c r="D1507" s="33"/>
      <c r="E1507" s="34"/>
      <c r="F1507" s="34"/>
      <c r="G1507" s="35"/>
      <c r="H1507" s="34"/>
      <c r="I1507" s="37"/>
    </row>
    <row r="1508" ht="22.5" customHeight="1">
      <c r="A1508" s="30"/>
      <c r="B1508" s="31"/>
      <c r="C1508" s="32"/>
      <c r="D1508" s="33"/>
      <c r="E1508" s="34"/>
      <c r="F1508" s="34"/>
      <c r="G1508" s="35"/>
      <c r="H1508" s="34"/>
      <c r="I1508" s="37"/>
    </row>
    <row r="1509" ht="22.5" customHeight="1">
      <c r="A1509" s="30"/>
      <c r="B1509" s="31"/>
      <c r="C1509" s="32"/>
      <c r="D1509" s="33"/>
      <c r="E1509" s="34"/>
      <c r="F1509" s="34"/>
      <c r="G1509" s="35"/>
      <c r="H1509" s="34"/>
      <c r="I1509" s="37"/>
    </row>
    <row r="1510" ht="22.5" customHeight="1">
      <c r="A1510" s="30"/>
      <c r="B1510" s="31"/>
      <c r="C1510" s="32"/>
      <c r="D1510" s="33"/>
      <c r="E1510" s="34"/>
      <c r="F1510" s="34"/>
      <c r="G1510" s="35"/>
      <c r="H1510" s="34"/>
      <c r="I1510" s="37"/>
    </row>
    <row r="1511" ht="22.5" customHeight="1">
      <c r="A1511" s="30"/>
      <c r="B1511" s="31"/>
      <c r="C1511" s="32"/>
      <c r="D1511" s="33"/>
      <c r="E1511" s="34"/>
      <c r="F1511" s="34"/>
      <c r="G1511" s="35"/>
      <c r="H1511" s="34"/>
      <c r="I1511" s="37"/>
    </row>
    <row r="1512" ht="22.5" customHeight="1">
      <c r="A1512" s="30"/>
      <c r="B1512" s="40"/>
      <c r="C1512" s="32"/>
      <c r="D1512" s="33"/>
      <c r="E1512" s="34"/>
      <c r="F1512" s="34"/>
      <c r="G1512" s="35"/>
      <c r="H1512" s="34"/>
      <c r="I1512" s="37"/>
    </row>
    <row r="1513" ht="22.5" customHeight="1">
      <c r="A1513" s="30"/>
      <c r="B1513" s="31"/>
      <c r="C1513" s="32"/>
      <c r="D1513" s="33"/>
      <c r="E1513" s="34"/>
      <c r="F1513" s="34"/>
      <c r="G1513" s="35"/>
      <c r="H1513" s="34"/>
      <c r="I1513" s="37"/>
    </row>
    <row r="1514" ht="22.5" customHeight="1">
      <c r="A1514" s="30"/>
      <c r="B1514" s="31"/>
      <c r="C1514" s="32"/>
      <c r="D1514" s="33"/>
      <c r="E1514" s="34"/>
      <c r="F1514" s="34"/>
      <c r="G1514" s="35"/>
      <c r="H1514" s="34"/>
      <c r="I1514" s="37"/>
    </row>
    <row r="1515" ht="22.5" customHeight="1">
      <c r="A1515" s="30"/>
      <c r="B1515" s="31"/>
      <c r="C1515" s="32"/>
      <c r="D1515" s="33"/>
      <c r="E1515" s="34"/>
      <c r="F1515" s="34"/>
      <c r="G1515" s="35"/>
      <c r="H1515" s="34"/>
      <c r="I1515" s="37"/>
    </row>
    <row r="1516" ht="22.5" customHeight="1">
      <c r="A1516" s="30"/>
      <c r="B1516" s="31"/>
      <c r="C1516" s="32"/>
      <c r="D1516" s="33"/>
      <c r="E1516" s="34"/>
      <c r="F1516" s="34"/>
      <c r="G1516" s="35"/>
      <c r="H1516" s="34"/>
      <c r="I1516" s="37"/>
    </row>
    <row r="1517" ht="22.5" customHeight="1">
      <c r="A1517" s="30"/>
      <c r="B1517" s="31"/>
      <c r="C1517" s="32"/>
      <c r="D1517" s="33"/>
      <c r="E1517" s="34"/>
      <c r="F1517" s="34"/>
      <c r="G1517" s="35"/>
      <c r="H1517" s="34"/>
      <c r="I1517" s="37"/>
    </row>
    <row r="1518" ht="22.5" customHeight="1">
      <c r="A1518" s="30"/>
      <c r="B1518" s="31"/>
      <c r="C1518" s="32"/>
      <c r="D1518" s="33"/>
      <c r="E1518" s="34"/>
      <c r="F1518" s="34"/>
      <c r="G1518" s="35"/>
      <c r="H1518" s="34"/>
      <c r="I1518" s="37"/>
    </row>
    <row r="1519" ht="22.5" customHeight="1">
      <c r="A1519" s="30"/>
      <c r="B1519" s="31"/>
      <c r="C1519" s="32"/>
      <c r="D1519" s="33"/>
      <c r="E1519" s="34"/>
      <c r="F1519" s="34"/>
      <c r="G1519" s="35"/>
      <c r="H1519" s="34"/>
      <c r="I1519" s="37"/>
    </row>
    <row r="1520" ht="22.5" customHeight="1">
      <c r="A1520" s="30"/>
      <c r="B1520" s="31"/>
      <c r="C1520" s="32"/>
      <c r="D1520" s="33"/>
      <c r="E1520" s="34"/>
      <c r="F1520" s="34"/>
      <c r="G1520" s="35"/>
      <c r="H1520" s="34"/>
      <c r="I1520" s="37"/>
    </row>
    <row r="1521" ht="22.5" customHeight="1">
      <c r="A1521" s="30"/>
      <c r="B1521" s="31"/>
      <c r="C1521" s="32"/>
      <c r="D1521" s="33"/>
      <c r="E1521" s="34"/>
      <c r="F1521" s="34"/>
      <c r="G1521" s="35"/>
      <c r="H1521" s="34"/>
      <c r="I1521" s="37"/>
    </row>
    <row r="1522" ht="22.5" customHeight="1">
      <c r="A1522" s="30"/>
      <c r="B1522" s="31"/>
      <c r="C1522" s="32"/>
      <c r="D1522" s="33"/>
      <c r="E1522" s="34"/>
      <c r="F1522" s="34"/>
      <c r="G1522" s="35"/>
      <c r="H1522" s="34"/>
      <c r="I1522" s="37"/>
    </row>
    <row r="1523" ht="22.5" customHeight="1">
      <c r="A1523" s="30"/>
      <c r="B1523" s="31"/>
      <c r="C1523" s="32"/>
      <c r="D1523" s="33"/>
      <c r="E1523" s="34"/>
      <c r="F1523" s="34"/>
      <c r="G1523" s="35"/>
      <c r="H1523" s="34"/>
      <c r="I1523" s="37"/>
    </row>
    <row r="1524" ht="22.5" customHeight="1">
      <c r="A1524" s="30"/>
      <c r="B1524" s="31"/>
      <c r="C1524" s="32"/>
      <c r="D1524" s="33"/>
      <c r="E1524" s="34"/>
      <c r="F1524" s="34"/>
      <c r="G1524" s="35"/>
      <c r="H1524" s="34"/>
      <c r="I1524" s="37"/>
    </row>
    <row r="1525" ht="22.5" customHeight="1">
      <c r="A1525" s="30"/>
      <c r="B1525" s="31"/>
      <c r="C1525" s="32"/>
      <c r="D1525" s="33"/>
      <c r="E1525" s="34"/>
      <c r="F1525" s="34"/>
      <c r="G1525" s="35"/>
      <c r="H1525" s="34"/>
      <c r="I1525" s="37"/>
    </row>
    <row r="1526" ht="22.5" customHeight="1">
      <c r="A1526" s="30"/>
      <c r="B1526" s="31"/>
      <c r="C1526" s="32"/>
      <c r="D1526" s="33"/>
      <c r="E1526" s="34"/>
      <c r="F1526" s="34"/>
      <c r="G1526" s="35"/>
      <c r="H1526" s="34"/>
      <c r="I1526" s="37"/>
    </row>
    <row r="1527" ht="22.5" customHeight="1">
      <c r="A1527" s="30"/>
      <c r="B1527" s="31"/>
      <c r="C1527" s="32"/>
      <c r="D1527" s="33"/>
      <c r="E1527" s="34"/>
      <c r="F1527" s="34"/>
      <c r="G1527" s="35"/>
      <c r="H1527" s="34"/>
      <c r="I1527" s="37"/>
    </row>
    <row r="1528" ht="22.5" customHeight="1">
      <c r="A1528" s="30"/>
      <c r="B1528" s="31"/>
      <c r="C1528" s="32"/>
      <c r="D1528" s="33"/>
      <c r="E1528" s="34"/>
      <c r="F1528" s="34"/>
      <c r="G1528" s="35"/>
      <c r="H1528" s="34"/>
      <c r="I1528" s="37"/>
    </row>
    <row r="1529" ht="22.5" customHeight="1">
      <c r="A1529" s="30"/>
      <c r="B1529" s="31"/>
      <c r="C1529" s="32"/>
      <c r="D1529" s="33"/>
      <c r="E1529" s="34"/>
      <c r="F1529" s="34"/>
      <c r="G1529" s="35"/>
      <c r="H1529" s="34"/>
      <c r="I1529" s="37"/>
    </row>
    <row r="1530" ht="22.5" customHeight="1">
      <c r="A1530" s="30"/>
      <c r="B1530" s="31"/>
      <c r="C1530" s="32"/>
      <c r="D1530" s="33"/>
      <c r="E1530" s="34"/>
      <c r="F1530" s="34"/>
      <c r="G1530" s="35"/>
      <c r="H1530" s="34"/>
      <c r="I1530" s="37"/>
    </row>
    <row r="1531" ht="22.5" customHeight="1">
      <c r="A1531" s="30"/>
      <c r="B1531" s="31"/>
      <c r="C1531" s="32"/>
      <c r="D1531" s="33"/>
      <c r="E1531" s="34"/>
      <c r="F1531" s="34"/>
      <c r="G1531" s="35"/>
      <c r="H1531" s="34"/>
      <c r="I1531" s="37"/>
    </row>
    <row r="1532" ht="22.5" customHeight="1">
      <c r="A1532" s="30"/>
      <c r="B1532" s="31"/>
      <c r="C1532" s="32"/>
      <c r="D1532" s="33"/>
      <c r="E1532" s="34"/>
      <c r="F1532" s="34"/>
      <c r="G1532" s="35"/>
      <c r="H1532" s="34"/>
      <c r="I1532" s="37"/>
    </row>
    <row r="1533" ht="22.5" customHeight="1">
      <c r="A1533" s="30"/>
      <c r="B1533" s="31"/>
      <c r="C1533" s="32"/>
      <c r="D1533" s="33"/>
      <c r="E1533" s="34"/>
      <c r="F1533" s="34"/>
      <c r="G1533" s="35"/>
      <c r="H1533" s="34"/>
      <c r="I1533" s="37"/>
    </row>
    <row r="1534" ht="22.5" customHeight="1">
      <c r="A1534" s="30"/>
      <c r="B1534" s="40"/>
      <c r="C1534" s="32"/>
      <c r="D1534" s="33"/>
      <c r="E1534" s="34"/>
      <c r="F1534" s="34"/>
      <c r="G1534" s="35"/>
      <c r="H1534" s="34"/>
      <c r="I1534" s="37"/>
    </row>
    <row r="1535" ht="22.5" customHeight="1">
      <c r="A1535" s="30"/>
      <c r="B1535" s="31"/>
      <c r="C1535" s="32"/>
      <c r="D1535" s="33"/>
      <c r="E1535" s="34"/>
      <c r="F1535" s="34"/>
      <c r="G1535" s="35"/>
      <c r="H1535" s="34"/>
      <c r="I1535" s="37"/>
    </row>
    <row r="1536" ht="22.5" customHeight="1">
      <c r="A1536" s="30"/>
      <c r="B1536" s="31"/>
      <c r="C1536" s="32"/>
      <c r="D1536" s="33"/>
      <c r="E1536" s="34"/>
      <c r="F1536" s="34"/>
      <c r="G1536" s="35"/>
      <c r="H1536" s="34"/>
      <c r="I1536" s="37"/>
    </row>
    <row r="1537" ht="22.5" customHeight="1">
      <c r="A1537" s="30"/>
      <c r="B1537" s="31"/>
      <c r="C1537" s="32"/>
      <c r="D1537" s="33"/>
      <c r="E1537" s="34"/>
      <c r="F1537" s="34"/>
      <c r="G1537" s="35"/>
      <c r="H1537" s="34"/>
      <c r="I1537" s="37"/>
    </row>
    <row r="1538" ht="22.5" customHeight="1">
      <c r="A1538" s="30"/>
      <c r="B1538" s="31"/>
      <c r="C1538" s="32"/>
      <c r="D1538" s="33"/>
      <c r="E1538" s="34"/>
      <c r="F1538" s="34"/>
      <c r="G1538" s="35"/>
      <c r="H1538" s="34"/>
      <c r="I1538" s="38"/>
    </row>
    <row r="1539" ht="22.5" customHeight="1">
      <c r="A1539" s="30"/>
      <c r="B1539" s="39"/>
      <c r="C1539" s="32"/>
      <c r="D1539" s="33"/>
      <c r="E1539" s="34"/>
      <c r="F1539" s="34"/>
      <c r="G1539" s="35"/>
      <c r="H1539" s="34"/>
      <c r="I1539" s="37"/>
    </row>
    <row r="1540" ht="22.5" customHeight="1">
      <c r="A1540" s="30"/>
      <c r="B1540" s="31"/>
      <c r="C1540" s="32"/>
      <c r="D1540" s="33"/>
      <c r="E1540" s="34"/>
      <c r="F1540" s="34"/>
      <c r="G1540" s="35"/>
      <c r="H1540" s="34"/>
      <c r="I1540" s="37"/>
    </row>
    <row r="1541" ht="22.5" customHeight="1">
      <c r="A1541" s="30"/>
      <c r="B1541" s="31"/>
      <c r="C1541" s="32"/>
      <c r="D1541" s="33"/>
      <c r="E1541" s="34"/>
      <c r="F1541" s="34"/>
      <c r="G1541" s="35"/>
      <c r="H1541" s="34"/>
      <c r="I1541" s="37"/>
    </row>
    <row r="1542" ht="22.5" customHeight="1">
      <c r="A1542" s="30"/>
      <c r="B1542" s="31"/>
      <c r="C1542" s="32"/>
      <c r="D1542" s="33"/>
      <c r="E1542" s="34"/>
      <c r="F1542" s="34"/>
      <c r="G1542" s="35"/>
      <c r="H1542" s="34"/>
      <c r="I1542" s="37"/>
    </row>
    <row r="1543" ht="22.5" customHeight="1">
      <c r="A1543" s="30"/>
      <c r="B1543" s="39"/>
      <c r="C1543" s="32"/>
      <c r="D1543" s="33"/>
      <c r="E1543" s="34"/>
      <c r="F1543" s="34"/>
      <c r="G1543" s="35"/>
      <c r="H1543" s="34"/>
      <c r="I1543" s="37"/>
    </row>
    <row r="1544" ht="22.5" customHeight="1">
      <c r="A1544" s="30"/>
      <c r="B1544" s="31"/>
      <c r="C1544" s="32"/>
      <c r="D1544" s="33"/>
      <c r="E1544" s="34"/>
      <c r="F1544" s="34"/>
      <c r="G1544" s="35"/>
      <c r="H1544" s="34"/>
      <c r="I1544" s="37"/>
    </row>
    <row r="1545" ht="22.5" customHeight="1">
      <c r="A1545" s="30"/>
      <c r="B1545" s="39"/>
      <c r="C1545" s="32"/>
      <c r="D1545" s="33"/>
      <c r="E1545" s="34"/>
      <c r="F1545" s="34"/>
      <c r="G1545" s="35"/>
      <c r="H1545" s="34"/>
      <c r="I1545" s="37"/>
    </row>
    <row r="1546" ht="22.5" customHeight="1">
      <c r="A1546" s="30"/>
      <c r="B1546" s="31"/>
      <c r="C1546" s="32"/>
      <c r="D1546" s="33"/>
      <c r="E1546" s="34"/>
      <c r="F1546" s="34"/>
      <c r="G1546" s="35"/>
      <c r="H1546" s="34"/>
      <c r="I1546" s="37"/>
    </row>
    <row r="1547" ht="22.5" customHeight="1">
      <c r="A1547" s="30"/>
      <c r="B1547" s="31"/>
      <c r="C1547" s="32"/>
      <c r="D1547" s="33"/>
      <c r="E1547" s="34"/>
      <c r="F1547" s="34"/>
      <c r="G1547" s="35"/>
      <c r="H1547" s="34"/>
      <c r="I1547" s="37"/>
    </row>
    <row r="1548" ht="22.5" customHeight="1">
      <c r="A1548" s="30"/>
      <c r="B1548" s="31"/>
      <c r="C1548" s="32"/>
      <c r="D1548" s="33"/>
      <c r="E1548" s="34"/>
      <c r="F1548" s="34"/>
      <c r="G1548" s="35"/>
      <c r="H1548" s="34"/>
      <c r="I1548" s="37"/>
    </row>
    <row r="1549" ht="22.5" customHeight="1">
      <c r="A1549" s="30"/>
      <c r="B1549" s="31"/>
      <c r="C1549" s="32"/>
      <c r="D1549" s="33"/>
      <c r="E1549" s="34"/>
      <c r="F1549" s="34"/>
      <c r="G1549" s="35"/>
      <c r="H1549" s="34"/>
      <c r="I1549" s="37"/>
    </row>
    <row r="1550" ht="22.5" customHeight="1">
      <c r="A1550" s="30"/>
      <c r="B1550" s="31"/>
      <c r="C1550" s="32"/>
      <c r="D1550" s="33"/>
      <c r="E1550" s="34"/>
      <c r="F1550" s="34"/>
      <c r="G1550" s="35"/>
      <c r="H1550" s="34"/>
      <c r="I1550" s="37"/>
    </row>
    <row r="1551" ht="22.5" customHeight="1">
      <c r="A1551" s="30"/>
      <c r="B1551" s="31"/>
      <c r="C1551" s="32"/>
      <c r="D1551" s="33"/>
      <c r="E1551" s="34"/>
      <c r="F1551" s="34"/>
      <c r="G1551" s="35"/>
      <c r="H1551" s="34"/>
      <c r="I1551" s="37"/>
    </row>
    <row r="1552" ht="22.5" customHeight="1">
      <c r="A1552" s="30"/>
      <c r="B1552" s="31"/>
      <c r="C1552" s="32"/>
      <c r="D1552" s="33"/>
      <c r="E1552" s="34"/>
      <c r="F1552" s="34"/>
      <c r="G1552" s="35"/>
      <c r="H1552" s="34"/>
      <c r="I1552" s="37"/>
    </row>
    <row r="1553" ht="22.5" customHeight="1">
      <c r="A1553" s="30"/>
      <c r="B1553" s="31"/>
      <c r="C1553" s="32"/>
      <c r="D1553" s="33"/>
      <c r="E1553" s="34"/>
      <c r="F1553" s="34"/>
      <c r="G1553" s="35"/>
      <c r="H1553" s="34"/>
      <c r="I1553" s="37"/>
    </row>
    <row r="1554" ht="22.5" customHeight="1">
      <c r="A1554" s="30"/>
      <c r="B1554" s="31"/>
      <c r="C1554" s="32"/>
      <c r="D1554" s="33"/>
      <c r="E1554" s="34"/>
      <c r="F1554" s="34"/>
      <c r="G1554" s="35"/>
      <c r="H1554" s="34"/>
      <c r="I1554" s="37"/>
    </row>
    <row r="1555" ht="22.5" customHeight="1">
      <c r="A1555" s="30"/>
      <c r="B1555" s="31"/>
      <c r="C1555" s="32"/>
      <c r="D1555" s="33"/>
      <c r="E1555" s="34"/>
      <c r="F1555" s="34"/>
      <c r="G1555" s="35"/>
      <c r="H1555" s="34"/>
      <c r="I1555" s="37"/>
    </row>
    <row r="1556" ht="22.5" customHeight="1">
      <c r="A1556" s="30"/>
      <c r="B1556" s="40"/>
      <c r="C1556" s="32"/>
      <c r="D1556" s="33"/>
      <c r="E1556" s="34"/>
      <c r="F1556" s="34"/>
      <c r="G1556" s="35"/>
      <c r="H1556" s="34"/>
      <c r="I1556" s="37"/>
    </row>
    <row r="1557" ht="22.5" customHeight="1">
      <c r="A1557" s="30"/>
      <c r="B1557" s="31"/>
      <c r="C1557" s="32"/>
      <c r="D1557" s="33"/>
      <c r="E1557" s="34"/>
      <c r="F1557" s="34"/>
      <c r="G1557" s="35"/>
      <c r="H1557" s="34"/>
      <c r="I1557" s="37"/>
    </row>
    <row r="1558" ht="22.5" customHeight="1">
      <c r="A1558" s="30"/>
      <c r="B1558" s="31"/>
      <c r="C1558" s="32"/>
      <c r="D1558" s="33"/>
      <c r="E1558" s="34"/>
      <c r="F1558" s="34"/>
      <c r="G1558" s="35"/>
      <c r="H1558" s="34"/>
      <c r="I1558" s="37"/>
    </row>
    <row r="1559" ht="22.5" customHeight="1">
      <c r="A1559" s="30"/>
      <c r="B1559" s="31"/>
      <c r="C1559" s="32"/>
      <c r="D1559" s="33"/>
      <c r="E1559" s="34"/>
      <c r="F1559" s="34"/>
      <c r="G1559" s="35"/>
      <c r="H1559" s="34"/>
      <c r="I1559" s="37"/>
    </row>
    <row r="1560" ht="22.5" customHeight="1">
      <c r="A1560" s="30"/>
      <c r="B1560" s="31"/>
      <c r="C1560" s="32"/>
      <c r="D1560" s="33"/>
      <c r="E1560" s="34"/>
      <c r="F1560" s="34"/>
      <c r="G1560" s="35"/>
      <c r="H1560" s="34"/>
      <c r="I1560" s="37"/>
    </row>
    <row r="1561" ht="22.5" customHeight="1">
      <c r="A1561" s="30"/>
      <c r="B1561" s="31"/>
      <c r="C1561" s="32"/>
      <c r="D1561" s="33"/>
      <c r="E1561" s="34"/>
      <c r="F1561" s="34"/>
      <c r="G1561" s="35"/>
      <c r="H1561" s="34"/>
      <c r="I1561" s="37"/>
    </row>
    <row r="1562" ht="22.5" customHeight="1">
      <c r="A1562" s="30"/>
      <c r="B1562" s="31"/>
      <c r="C1562" s="32"/>
      <c r="D1562" s="33"/>
      <c r="E1562" s="34"/>
      <c r="F1562" s="34"/>
      <c r="G1562" s="35"/>
      <c r="H1562" s="34"/>
      <c r="I1562" s="37"/>
    </row>
    <row r="1563" ht="22.5" customHeight="1">
      <c r="A1563" s="30"/>
      <c r="B1563" s="39"/>
      <c r="C1563" s="32"/>
      <c r="D1563" s="33"/>
      <c r="E1563" s="34"/>
      <c r="F1563" s="34"/>
      <c r="G1563" s="35"/>
      <c r="H1563" s="34"/>
      <c r="I1563" s="37"/>
    </row>
    <row r="1564" ht="22.5" customHeight="1">
      <c r="A1564" s="30"/>
      <c r="B1564" s="39"/>
      <c r="C1564" s="32"/>
      <c r="D1564" s="33"/>
      <c r="E1564" s="34"/>
      <c r="F1564" s="34"/>
      <c r="G1564" s="35"/>
      <c r="H1564" s="34"/>
      <c r="I1564" s="37"/>
    </row>
    <row r="1565" ht="22.5" customHeight="1">
      <c r="A1565" s="30"/>
      <c r="B1565" s="39"/>
      <c r="C1565" s="32"/>
      <c r="D1565" s="33"/>
      <c r="E1565" s="34"/>
      <c r="F1565" s="34"/>
      <c r="G1565" s="35"/>
      <c r="H1565" s="34"/>
      <c r="I1565" s="37"/>
    </row>
    <row r="1566" ht="22.5" customHeight="1">
      <c r="A1566" s="30"/>
      <c r="B1566" s="40"/>
      <c r="C1566" s="32"/>
      <c r="D1566" s="33"/>
      <c r="E1566" s="34"/>
      <c r="F1566" s="34"/>
      <c r="G1566" s="35"/>
      <c r="H1566" s="34"/>
      <c r="I1566" s="37"/>
    </row>
    <row r="1567" ht="22.5" customHeight="1">
      <c r="A1567" s="30"/>
      <c r="B1567" s="31"/>
      <c r="C1567" s="32"/>
      <c r="D1567" s="33"/>
      <c r="E1567" s="34"/>
      <c r="F1567" s="34"/>
      <c r="G1567" s="35"/>
      <c r="H1567" s="34"/>
      <c r="I1567" s="37"/>
    </row>
    <row r="1568" ht="22.5" customHeight="1">
      <c r="A1568" s="30"/>
      <c r="B1568" s="31"/>
      <c r="C1568" s="32"/>
      <c r="D1568" s="33"/>
      <c r="E1568" s="34"/>
      <c r="F1568" s="34"/>
      <c r="G1568" s="35"/>
      <c r="H1568" s="34"/>
      <c r="I1568" s="37"/>
    </row>
    <row r="1569" ht="22.5" customHeight="1">
      <c r="A1569" s="30"/>
      <c r="B1569" s="31"/>
      <c r="C1569" s="32"/>
      <c r="D1569" s="33"/>
      <c r="E1569" s="34"/>
      <c r="F1569" s="34"/>
      <c r="G1569" s="35"/>
      <c r="H1569" s="34"/>
      <c r="I1569" s="37"/>
    </row>
    <row r="1570" ht="22.5" customHeight="1">
      <c r="A1570" s="30"/>
      <c r="B1570" s="31"/>
      <c r="C1570" s="32"/>
      <c r="D1570" s="33"/>
      <c r="E1570" s="34"/>
      <c r="F1570" s="34"/>
      <c r="G1570" s="35"/>
      <c r="H1570" s="34"/>
      <c r="I1570" s="37"/>
    </row>
    <row r="1571" ht="22.5" customHeight="1">
      <c r="A1571" s="30"/>
      <c r="B1571" s="31"/>
      <c r="C1571" s="32"/>
      <c r="D1571" s="33"/>
      <c r="E1571" s="34"/>
      <c r="F1571" s="34"/>
      <c r="G1571" s="35"/>
      <c r="H1571" s="34"/>
      <c r="I1571" s="37"/>
    </row>
    <row r="1572" ht="22.5" customHeight="1">
      <c r="A1572" s="30"/>
      <c r="B1572" s="31"/>
      <c r="C1572" s="32"/>
      <c r="D1572" s="33"/>
      <c r="E1572" s="34"/>
      <c r="F1572" s="34"/>
      <c r="G1572" s="35"/>
      <c r="H1572" s="34"/>
      <c r="I1572" s="37"/>
    </row>
    <row r="1573" ht="22.5" customHeight="1">
      <c r="A1573" s="30"/>
      <c r="B1573" s="31"/>
      <c r="C1573" s="32"/>
      <c r="D1573" s="33"/>
      <c r="E1573" s="34"/>
      <c r="F1573" s="34"/>
      <c r="G1573" s="35"/>
      <c r="H1573" s="34"/>
      <c r="I1573" s="37"/>
    </row>
    <row r="1574" ht="22.5" customHeight="1">
      <c r="A1574" s="30"/>
      <c r="B1574" s="31"/>
      <c r="C1574" s="32"/>
      <c r="D1574" s="33"/>
      <c r="E1574" s="34"/>
      <c r="F1574" s="34"/>
      <c r="G1574" s="35"/>
      <c r="H1574" s="34"/>
      <c r="I1574" s="37"/>
    </row>
    <row r="1575" ht="22.5" customHeight="1">
      <c r="A1575" s="30"/>
      <c r="B1575" s="31"/>
      <c r="C1575" s="32"/>
      <c r="D1575" s="33"/>
      <c r="E1575" s="34"/>
      <c r="F1575" s="34"/>
      <c r="G1575" s="35"/>
      <c r="H1575" s="34"/>
      <c r="I1575" s="37"/>
    </row>
    <row r="1576" ht="22.5" customHeight="1">
      <c r="A1576" s="30"/>
      <c r="B1576" s="40"/>
      <c r="C1576" s="32"/>
      <c r="D1576" s="33"/>
      <c r="E1576" s="34"/>
      <c r="F1576" s="34"/>
      <c r="G1576" s="35"/>
      <c r="H1576" s="34"/>
      <c r="I1576" s="37"/>
    </row>
    <row r="1577" ht="22.5" customHeight="1">
      <c r="A1577" s="30"/>
      <c r="B1577" s="31"/>
      <c r="C1577" s="32"/>
      <c r="D1577" s="33"/>
      <c r="E1577" s="34"/>
      <c r="F1577" s="34"/>
      <c r="G1577" s="35"/>
      <c r="H1577" s="34"/>
      <c r="I1577" s="37"/>
    </row>
    <row r="1578" ht="22.5" customHeight="1">
      <c r="A1578" s="30"/>
      <c r="B1578" s="31"/>
      <c r="C1578" s="32"/>
      <c r="D1578" s="33"/>
      <c r="E1578" s="34"/>
      <c r="F1578" s="34"/>
      <c r="G1578" s="35"/>
      <c r="H1578" s="34"/>
      <c r="I1578" s="37"/>
    </row>
    <row r="1579" ht="22.5" customHeight="1">
      <c r="A1579" s="30"/>
      <c r="B1579" s="31"/>
      <c r="C1579" s="32"/>
      <c r="D1579" s="33"/>
      <c r="E1579" s="34"/>
      <c r="F1579" s="34"/>
      <c r="G1579" s="35"/>
      <c r="H1579" s="34"/>
      <c r="I1579" s="37"/>
    </row>
    <row r="1580" ht="22.5" customHeight="1">
      <c r="A1580" s="30"/>
      <c r="B1580" s="40"/>
      <c r="C1580" s="32"/>
      <c r="D1580" s="33"/>
      <c r="E1580" s="34"/>
      <c r="F1580" s="34"/>
      <c r="G1580" s="35"/>
      <c r="H1580" s="34"/>
      <c r="I1580" s="37"/>
    </row>
    <row r="1581" ht="22.5" customHeight="1">
      <c r="A1581" s="30"/>
      <c r="B1581" s="31"/>
      <c r="C1581" s="32"/>
      <c r="D1581" s="33"/>
      <c r="E1581" s="34"/>
      <c r="F1581" s="34"/>
      <c r="G1581" s="35"/>
      <c r="H1581" s="34"/>
      <c r="I1581" s="37"/>
    </row>
    <row r="1582" ht="22.5" customHeight="1">
      <c r="A1582" s="30"/>
      <c r="B1582" s="31"/>
      <c r="C1582" s="32"/>
      <c r="D1582" s="33"/>
      <c r="E1582" s="34"/>
      <c r="F1582" s="34"/>
      <c r="G1582" s="35"/>
      <c r="H1582" s="34"/>
      <c r="I1582" s="37"/>
    </row>
    <row r="1583" ht="22.5" customHeight="1">
      <c r="A1583" s="30"/>
      <c r="B1583" s="31"/>
      <c r="C1583" s="32"/>
      <c r="D1583" s="33"/>
      <c r="E1583" s="34"/>
      <c r="F1583" s="34"/>
      <c r="G1583" s="35"/>
      <c r="H1583" s="34"/>
      <c r="I1583" s="37"/>
    </row>
    <row r="1584" ht="22.5" customHeight="1">
      <c r="A1584" s="30"/>
      <c r="B1584" s="31"/>
      <c r="C1584" s="32"/>
      <c r="D1584" s="33"/>
      <c r="E1584" s="34"/>
      <c r="F1584" s="34"/>
      <c r="G1584" s="35"/>
      <c r="H1584" s="34"/>
      <c r="I1584" s="37"/>
    </row>
    <row r="1585" ht="22.5" customHeight="1">
      <c r="A1585" s="30"/>
      <c r="B1585" s="31"/>
      <c r="C1585" s="32"/>
      <c r="D1585" s="33"/>
      <c r="E1585" s="34"/>
      <c r="F1585" s="34"/>
      <c r="G1585" s="35"/>
      <c r="H1585" s="34"/>
      <c r="I1585" s="37"/>
    </row>
    <row r="1586" ht="22.5" customHeight="1">
      <c r="A1586" s="30"/>
      <c r="B1586" s="31"/>
      <c r="C1586" s="32"/>
      <c r="D1586" s="33"/>
      <c r="E1586" s="34"/>
      <c r="F1586" s="34"/>
      <c r="G1586" s="35"/>
      <c r="H1586" s="34"/>
      <c r="I1586" s="37"/>
    </row>
    <row r="1587" ht="22.5" customHeight="1">
      <c r="A1587" s="30"/>
      <c r="B1587" s="31"/>
      <c r="C1587" s="32"/>
      <c r="D1587" s="33"/>
      <c r="E1587" s="34"/>
      <c r="F1587" s="34"/>
      <c r="G1587" s="35"/>
      <c r="H1587" s="34"/>
      <c r="I1587" s="37"/>
    </row>
    <row r="1588" ht="22.5" customHeight="1">
      <c r="A1588" s="30"/>
      <c r="B1588" s="31"/>
      <c r="C1588" s="32"/>
      <c r="D1588" s="33"/>
      <c r="E1588" s="34"/>
      <c r="F1588" s="34"/>
      <c r="G1588" s="35"/>
      <c r="H1588" s="34"/>
      <c r="I1588" s="37"/>
    </row>
    <row r="1589" ht="22.5" customHeight="1">
      <c r="A1589" s="30"/>
      <c r="B1589" s="31"/>
      <c r="C1589" s="32"/>
      <c r="D1589" s="33"/>
      <c r="E1589" s="34"/>
      <c r="F1589" s="34"/>
      <c r="G1589" s="35"/>
      <c r="H1589" s="34"/>
      <c r="I1589" s="37"/>
    </row>
    <row r="1590" ht="22.5" customHeight="1">
      <c r="A1590" s="30"/>
      <c r="B1590" s="31"/>
      <c r="C1590" s="32"/>
      <c r="D1590" s="33"/>
      <c r="E1590" s="34"/>
      <c r="F1590" s="34"/>
      <c r="G1590" s="35"/>
      <c r="H1590" s="34"/>
      <c r="I1590" s="37"/>
    </row>
    <row r="1591" ht="22.5" customHeight="1">
      <c r="A1591" s="30"/>
      <c r="B1591" s="31"/>
      <c r="C1591" s="32"/>
      <c r="D1591" s="33"/>
      <c r="E1591" s="34"/>
      <c r="F1591" s="34"/>
      <c r="G1591" s="35"/>
      <c r="H1591" s="34"/>
      <c r="I1591" s="37"/>
    </row>
    <row r="1592" ht="22.5" customHeight="1">
      <c r="A1592" s="30"/>
      <c r="B1592" s="31"/>
      <c r="C1592" s="32"/>
      <c r="D1592" s="33"/>
      <c r="E1592" s="34"/>
      <c r="F1592" s="34"/>
      <c r="G1592" s="35"/>
      <c r="H1592" s="34"/>
      <c r="I1592" s="37"/>
    </row>
    <row r="1593" ht="22.5" customHeight="1">
      <c r="A1593" s="30"/>
      <c r="B1593" s="31"/>
      <c r="C1593" s="32"/>
      <c r="D1593" s="33"/>
      <c r="E1593" s="34"/>
      <c r="F1593" s="34"/>
      <c r="G1593" s="35"/>
      <c r="H1593" s="34"/>
      <c r="I1593" s="37"/>
    </row>
    <row r="1594" ht="22.5" customHeight="1">
      <c r="A1594" s="30"/>
      <c r="B1594" s="31"/>
      <c r="C1594" s="32"/>
      <c r="D1594" s="33"/>
      <c r="E1594" s="34"/>
      <c r="F1594" s="34"/>
      <c r="G1594" s="35"/>
      <c r="H1594" s="34"/>
      <c r="I1594" s="37"/>
    </row>
    <row r="1595" ht="22.5" customHeight="1">
      <c r="A1595" s="30"/>
      <c r="B1595" s="40"/>
      <c r="C1595" s="32"/>
      <c r="D1595" s="33"/>
      <c r="E1595" s="34"/>
      <c r="F1595" s="34"/>
      <c r="G1595" s="35"/>
      <c r="H1595" s="34"/>
      <c r="I1595" s="37"/>
    </row>
    <row r="1596" ht="22.5" customHeight="1">
      <c r="A1596" s="30"/>
      <c r="B1596" s="31"/>
      <c r="C1596" s="32"/>
      <c r="D1596" s="33"/>
      <c r="E1596" s="34"/>
      <c r="F1596" s="34"/>
      <c r="G1596" s="35"/>
      <c r="H1596" s="34"/>
      <c r="I1596" s="37"/>
    </row>
    <row r="1597" ht="22.5" customHeight="1">
      <c r="A1597" s="30"/>
      <c r="B1597" s="40"/>
      <c r="C1597" s="32"/>
      <c r="D1597" s="33"/>
      <c r="E1597" s="34"/>
      <c r="F1597" s="34"/>
      <c r="G1597" s="35"/>
      <c r="H1597" s="34"/>
      <c r="I1597" s="37"/>
    </row>
    <row r="1598" ht="22.5" customHeight="1">
      <c r="A1598" s="30"/>
      <c r="B1598" s="31"/>
      <c r="C1598" s="32"/>
      <c r="D1598" s="33"/>
      <c r="E1598" s="34"/>
      <c r="F1598" s="34"/>
      <c r="G1598" s="35"/>
      <c r="H1598" s="34"/>
      <c r="I1598" s="37"/>
    </row>
    <row r="1599" ht="22.5" customHeight="1">
      <c r="A1599" s="30"/>
      <c r="B1599" s="31"/>
      <c r="C1599" s="32"/>
      <c r="D1599" s="33"/>
      <c r="E1599" s="34"/>
      <c r="F1599" s="34"/>
      <c r="G1599" s="35"/>
      <c r="H1599" s="34"/>
      <c r="I1599" s="37"/>
    </row>
    <row r="1600" ht="22.5" customHeight="1">
      <c r="A1600" s="30"/>
      <c r="B1600" s="31"/>
      <c r="C1600" s="32"/>
      <c r="D1600" s="33"/>
      <c r="E1600" s="34"/>
      <c r="F1600" s="34"/>
      <c r="G1600" s="35"/>
      <c r="H1600" s="34"/>
      <c r="I1600" s="37"/>
    </row>
    <row r="1601" ht="22.5" customHeight="1">
      <c r="A1601" s="30"/>
      <c r="B1601" s="31"/>
      <c r="C1601" s="32"/>
      <c r="D1601" s="33"/>
      <c r="E1601" s="34"/>
      <c r="F1601" s="34"/>
      <c r="G1601" s="35"/>
      <c r="H1601" s="34"/>
      <c r="I1601" s="37"/>
    </row>
    <row r="1602" ht="22.5" customHeight="1">
      <c r="A1602" s="30"/>
      <c r="B1602" s="40"/>
      <c r="C1602" s="32"/>
      <c r="D1602" s="33"/>
      <c r="E1602" s="34"/>
      <c r="F1602" s="34"/>
      <c r="G1602" s="35"/>
      <c r="H1602" s="34"/>
      <c r="I1602" s="37"/>
    </row>
    <row r="1603" ht="22.5" customHeight="1">
      <c r="A1603" s="30"/>
      <c r="B1603" s="31"/>
      <c r="C1603" s="32"/>
      <c r="D1603" s="33"/>
      <c r="E1603" s="34"/>
      <c r="F1603" s="34"/>
      <c r="G1603" s="35"/>
      <c r="H1603" s="34"/>
      <c r="I1603" s="37"/>
    </row>
    <row r="1604" ht="22.5" customHeight="1">
      <c r="A1604" s="30"/>
      <c r="B1604" s="31"/>
      <c r="C1604" s="32"/>
      <c r="D1604" s="33"/>
      <c r="E1604" s="34"/>
      <c r="F1604" s="34"/>
      <c r="G1604" s="35"/>
      <c r="H1604" s="34"/>
      <c r="I1604" s="37"/>
    </row>
    <row r="1605" ht="22.5" customHeight="1">
      <c r="A1605" s="30"/>
      <c r="B1605" s="31"/>
      <c r="C1605" s="32"/>
      <c r="D1605" s="33"/>
      <c r="E1605" s="34"/>
      <c r="F1605" s="34"/>
      <c r="G1605" s="35"/>
      <c r="H1605" s="34"/>
      <c r="I1605" s="37"/>
    </row>
    <row r="1606" ht="22.5" customHeight="1">
      <c r="A1606" s="30"/>
      <c r="B1606" s="31"/>
      <c r="C1606" s="32"/>
      <c r="D1606" s="33"/>
      <c r="E1606" s="34"/>
      <c r="F1606" s="34"/>
      <c r="G1606" s="35"/>
      <c r="H1606" s="34"/>
      <c r="I1606" s="37"/>
    </row>
    <row r="1607" ht="22.5" customHeight="1">
      <c r="A1607" s="30"/>
      <c r="B1607" s="31"/>
      <c r="C1607" s="32"/>
      <c r="D1607" s="33"/>
      <c r="E1607" s="34"/>
      <c r="F1607" s="34"/>
      <c r="G1607" s="35"/>
      <c r="H1607" s="34"/>
      <c r="I1607" s="37"/>
    </row>
    <row r="1608" ht="22.5" customHeight="1">
      <c r="A1608" s="30"/>
      <c r="B1608" s="31"/>
      <c r="C1608" s="32"/>
      <c r="D1608" s="33"/>
      <c r="E1608" s="34"/>
      <c r="F1608" s="34"/>
      <c r="G1608" s="35"/>
      <c r="H1608" s="34"/>
      <c r="I1608" s="37"/>
    </row>
    <row r="1609" ht="22.5" customHeight="1">
      <c r="A1609" s="30"/>
      <c r="B1609" s="31"/>
      <c r="C1609" s="32"/>
      <c r="D1609" s="33"/>
      <c r="E1609" s="34"/>
      <c r="F1609" s="34"/>
      <c r="G1609" s="35"/>
      <c r="H1609" s="34"/>
      <c r="I1609" s="37"/>
    </row>
    <row r="1610" ht="22.5" customHeight="1">
      <c r="A1610" s="30"/>
      <c r="B1610" s="31"/>
      <c r="C1610" s="32"/>
      <c r="D1610" s="33"/>
      <c r="E1610" s="34"/>
      <c r="F1610" s="34"/>
      <c r="G1610" s="35"/>
      <c r="H1610" s="34"/>
      <c r="I1610" s="37"/>
    </row>
    <row r="1611" ht="22.5" customHeight="1">
      <c r="A1611" s="30"/>
      <c r="B1611" s="31"/>
      <c r="C1611" s="32"/>
      <c r="D1611" s="33"/>
      <c r="E1611" s="34"/>
      <c r="F1611" s="34"/>
      <c r="G1611" s="35"/>
      <c r="H1611" s="34"/>
      <c r="I1611" s="37"/>
    </row>
    <row r="1612" ht="22.5" customHeight="1">
      <c r="A1612" s="30"/>
      <c r="B1612" s="31"/>
      <c r="C1612" s="32"/>
      <c r="D1612" s="33"/>
      <c r="E1612" s="34"/>
      <c r="F1612" s="34"/>
      <c r="G1612" s="35"/>
      <c r="H1612" s="34"/>
      <c r="I1612" s="37"/>
    </row>
    <row r="1613" ht="22.5" customHeight="1">
      <c r="A1613" s="30"/>
      <c r="B1613" s="31"/>
      <c r="C1613" s="32"/>
      <c r="D1613" s="33"/>
      <c r="E1613" s="34"/>
      <c r="F1613" s="34"/>
      <c r="G1613" s="35"/>
      <c r="H1613" s="34"/>
      <c r="I1613" s="37"/>
    </row>
    <row r="1614" ht="22.5" customHeight="1">
      <c r="A1614" s="30"/>
      <c r="B1614" s="31"/>
      <c r="C1614" s="32"/>
      <c r="D1614" s="33"/>
      <c r="E1614" s="34"/>
      <c r="F1614" s="34"/>
      <c r="G1614" s="35"/>
      <c r="H1614" s="34"/>
      <c r="I1614" s="37"/>
    </row>
    <row r="1615" ht="22.5" customHeight="1">
      <c r="A1615" s="30"/>
      <c r="B1615" s="31"/>
      <c r="C1615" s="32"/>
      <c r="D1615" s="33"/>
      <c r="E1615" s="34"/>
      <c r="F1615" s="34"/>
      <c r="G1615" s="35"/>
      <c r="H1615" s="34"/>
      <c r="I1615" s="37"/>
    </row>
    <row r="1616" ht="22.5" customHeight="1">
      <c r="A1616" s="30"/>
      <c r="B1616" s="31"/>
      <c r="C1616" s="32"/>
      <c r="D1616" s="33"/>
      <c r="E1616" s="34"/>
      <c r="F1616" s="34"/>
      <c r="G1616" s="35"/>
      <c r="H1616" s="34"/>
      <c r="I1616" s="37"/>
    </row>
    <row r="1617" ht="22.5" customHeight="1">
      <c r="A1617" s="30"/>
      <c r="B1617" s="31"/>
      <c r="C1617" s="32"/>
      <c r="D1617" s="33"/>
      <c r="E1617" s="34"/>
      <c r="F1617" s="34"/>
      <c r="G1617" s="35"/>
      <c r="H1617" s="34"/>
      <c r="I1617" s="37"/>
    </row>
    <row r="1618" ht="22.5" customHeight="1">
      <c r="A1618" s="30"/>
      <c r="B1618" s="31"/>
      <c r="C1618" s="32"/>
      <c r="D1618" s="33"/>
      <c r="E1618" s="34"/>
      <c r="F1618" s="34"/>
      <c r="G1618" s="35"/>
      <c r="H1618" s="34"/>
      <c r="I1618" s="37"/>
    </row>
    <row r="1619" ht="22.5" customHeight="1">
      <c r="A1619" s="30"/>
      <c r="B1619" s="31"/>
      <c r="C1619" s="32"/>
      <c r="D1619" s="33"/>
      <c r="E1619" s="34"/>
      <c r="F1619" s="34"/>
      <c r="G1619" s="35"/>
      <c r="H1619" s="34"/>
      <c r="I1619" s="37"/>
    </row>
    <row r="1620" ht="22.5" customHeight="1">
      <c r="A1620" s="30"/>
      <c r="B1620" s="31"/>
      <c r="C1620" s="32"/>
      <c r="D1620" s="33"/>
      <c r="E1620" s="34"/>
      <c r="F1620" s="34"/>
      <c r="G1620" s="35"/>
      <c r="H1620" s="34"/>
      <c r="I1620" s="37"/>
    </row>
    <row r="1621" ht="22.5" customHeight="1">
      <c r="A1621" s="30"/>
      <c r="B1621" s="31"/>
      <c r="C1621" s="32"/>
      <c r="D1621" s="33"/>
      <c r="E1621" s="34"/>
      <c r="F1621" s="34"/>
      <c r="G1621" s="35"/>
      <c r="H1621" s="34"/>
      <c r="I1621" s="37"/>
    </row>
    <row r="1622" ht="22.5" customHeight="1">
      <c r="A1622" s="30"/>
      <c r="B1622" s="31"/>
      <c r="C1622" s="32"/>
      <c r="D1622" s="33"/>
      <c r="E1622" s="34"/>
      <c r="F1622" s="34"/>
      <c r="G1622" s="35"/>
      <c r="H1622" s="34"/>
      <c r="I1622" s="37"/>
    </row>
    <row r="1623" ht="22.5" customHeight="1">
      <c r="A1623" s="30"/>
      <c r="B1623" s="31"/>
      <c r="C1623" s="32"/>
      <c r="D1623" s="33"/>
      <c r="E1623" s="34"/>
      <c r="F1623" s="34"/>
      <c r="G1623" s="35"/>
      <c r="H1623" s="34"/>
      <c r="I1623" s="37"/>
    </row>
    <row r="1624" ht="22.5" customHeight="1">
      <c r="A1624" s="30"/>
      <c r="B1624" s="31"/>
      <c r="C1624" s="30"/>
      <c r="D1624" s="33"/>
      <c r="E1624" s="34"/>
      <c r="F1624" s="34"/>
      <c r="G1624" s="36"/>
      <c r="H1624" s="34"/>
      <c r="I1624" s="37"/>
    </row>
    <row r="1625" ht="22.5" customHeight="1">
      <c r="A1625" s="30"/>
      <c r="B1625" s="31"/>
      <c r="C1625" s="30"/>
      <c r="D1625" s="33"/>
      <c r="E1625" s="34"/>
      <c r="F1625" s="34"/>
      <c r="G1625" s="36"/>
      <c r="H1625" s="34"/>
      <c r="I1625" s="37"/>
    </row>
    <row r="1626" ht="22.5" customHeight="1">
      <c r="A1626" s="30"/>
      <c r="B1626" s="31"/>
      <c r="C1626" s="30"/>
      <c r="D1626" s="33"/>
      <c r="E1626" s="34"/>
      <c r="F1626" s="34"/>
      <c r="G1626" s="36"/>
      <c r="H1626" s="34"/>
      <c r="I1626" s="37"/>
    </row>
    <row r="1627" ht="22.5" customHeight="1">
      <c r="A1627" s="30"/>
      <c r="B1627" s="31"/>
      <c r="C1627" s="30"/>
      <c r="D1627" s="33"/>
      <c r="E1627" s="34"/>
      <c r="F1627" s="34"/>
      <c r="G1627" s="36"/>
      <c r="H1627" s="34"/>
      <c r="I1627" s="37"/>
    </row>
    <row r="1628" ht="22.5" customHeight="1">
      <c r="A1628" s="30"/>
      <c r="B1628" s="31"/>
      <c r="C1628" s="30"/>
      <c r="D1628" s="33"/>
      <c r="E1628" s="34"/>
      <c r="F1628" s="34"/>
      <c r="G1628" s="36"/>
      <c r="H1628" s="34"/>
      <c r="I1628" s="37"/>
    </row>
    <row r="1629" ht="22.5" customHeight="1">
      <c r="A1629" s="30"/>
      <c r="B1629" s="31"/>
      <c r="C1629" s="30"/>
      <c r="D1629" s="33"/>
      <c r="E1629" s="34"/>
      <c r="F1629" s="34"/>
      <c r="G1629" s="36"/>
      <c r="H1629" s="34"/>
      <c r="I1629" s="37"/>
    </row>
    <row r="1630" ht="22.5" customHeight="1">
      <c r="A1630" s="30"/>
      <c r="B1630" s="31"/>
      <c r="C1630" s="30"/>
      <c r="D1630" s="33"/>
      <c r="E1630" s="34"/>
      <c r="F1630" s="34"/>
      <c r="G1630" s="36"/>
      <c r="H1630" s="34"/>
      <c r="I1630" s="37"/>
    </row>
    <row r="1631" ht="22.5" customHeight="1">
      <c r="A1631" s="30"/>
      <c r="B1631" s="31"/>
      <c r="C1631" s="30"/>
      <c r="D1631" s="33"/>
      <c r="E1631" s="34"/>
      <c r="F1631" s="34"/>
      <c r="G1631" s="36"/>
      <c r="H1631" s="34"/>
      <c r="I1631" s="37"/>
    </row>
    <row r="1632" ht="22.5" customHeight="1">
      <c r="A1632" s="30"/>
      <c r="B1632" s="31"/>
      <c r="C1632" s="30"/>
      <c r="D1632" s="33"/>
      <c r="E1632" s="34"/>
      <c r="F1632" s="34"/>
      <c r="G1632" s="36"/>
      <c r="H1632" s="34"/>
      <c r="I1632" s="37"/>
    </row>
    <row r="1633" ht="22.5" customHeight="1">
      <c r="A1633" s="30"/>
      <c r="B1633" s="31"/>
      <c r="C1633" s="30"/>
      <c r="D1633" s="33"/>
      <c r="E1633" s="34"/>
      <c r="F1633" s="34"/>
      <c r="G1633" s="36"/>
      <c r="H1633" s="34"/>
      <c r="I1633" s="37"/>
    </row>
    <row r="1634" ht="22.5" customHeight="1">
      <c r="A1634" s="30"/>
      <c r="B1634" s="31"/>
      <c r="C1634" s="30"/>
      <c r="D1634" s="33"/>
      <c r="E1634" s="34"/>
      <c r="F1634" s="34"/>
      <c r="G1634" s="36"/>
      <c r="H1634" s="34"/>
      <c r="I1634" s="37"/>
    </row>
    <row r="1635" ht="22.5" customHeight="1">
      <c r="A1635" s="30"/>
      <c r="B1635" s="31"/>
      <c r="C1635" s="30"/>
      <c r="D1635" s="33"/>
      <c r="E1635" s="34"/>
      <c r="F1635" s="34"/>
      <c r="G1635" s="36"/>
      <c r="H1635" s="34"/>
      <c r="I1635" s="37"/>
    </row>
    <row r="1636" ht="22.5" customHeight="1">
      <c r="A1636" s="30"/>
      <c r="B1636" s="31"/>
      <c r="C1636" s="30"/>
      <c r="D1636" s="33"/>
      <c r="E1636" s="34"/>
      <c r="F1636" s="34"/>
      <c r="G1636" s="36"/>
      <c r="H1636" s="34"/>
      <c r="I1636" s="37"/>
    </row>
    <row r="1637" ht="22.5" customHeight="1">
      <c r="A1637" s="30"/>
      <c r="B1637" s="31"/>
      <c r="C1637" s="30"/>
      <c r="D1637" s="33"/>
      <c r="E1637" s="34"/>
      <c r="F1637" s="34"/>
      <c r="G1637" s="36"/>
      <c r="H1637" s="34"/>
      <c r="I1637" s="37"/>
    </row>
    <row r="1638" ht="22.5" customHeight="1">
      <c r="A1638" s="30"/>
      <c r="B1638" s="31"/>
      <c r="C1638" s="30"/>
      <c r="D1638" s="33"/>
      <c r="E1638" s="34"/>
      <c r="F1638" s="34"/>
      <c r="G1638" s="36"/>
      <c r="H1638" s="34"/>
      <c r="I1638" s="37"/>
    </row>
    <row r="1639" ht="22.5" customHeight="1">
      <c r="A1639" s="30"/>
      <c r="B1639" s="31"/>
      <c r="C1639" s="30"/>
      <c r="D1639" s="33"/>
      <c r="E1639" s="34"/>
      <c r="F1639" s="34"/>
      <c r="G1639" s="36"/>
      <c r="H1639" s="34"/>
      <c r="I1639" s="37"/>
    </row>
    <row r="1640" ht="22.5" customHeight="1">
      <c r="A1640" s="30"/>
      <c r="B1640" s="31"/>
      <c r="C1640" s="30"/>
      <c r="D1640" s="33"/>
      <c r="E1640" s="34"/>
      <c r="F1640" s="34"/>
      <c r="G1640" s="36"/>
      <c r="H1640" s="34"/>
      <c r="I1640" s="37"/>
    </row>
    <row r="1641" ht="22.5" customHeight="1">
      <c r="A1641" s="30"/>
      <c r="B1641" s="31"/>
      <c r="C1641" s="30"/>
      <c r="D1641" s="33"/>
      <c r="E1641" s="34"/>
      <c r="F1641" s="34"/>
      <c r="G1641" s="36"/>
      <c r="H1641" s="34"/>
      <c r="I1641" s="37"/>
    </row>
    <row r="1642" ht="22.5" customHeight="1">
      <c r="A1642" s="30"/>
      <c r="B1642" s="31"/>
      <c r="C1642" s="30"/>
      <c r="D1642" s="33"/>
      <c r="E1642" s="34"/>
      <c r="F1642" s="34"/>
      <c r="G1642" s="36"/>
      <c r="H1642" s="34"/>
      <c r="I1642" s="37"/>
    </row>
    <row r="1643" ht="22.5" customHeight="1">
      <c r="A1643" s="30"/>
      <c r="B1643" s="31"/>
      <c r="C1643" s="30"/>
      <c r="D1643" s="33"/>
      <c r="E1643" s="34"/>
      <c r="F1643" s="34"/>
      <c r="G1643" s="36"/>
      <c r="H1643" s="34"/>
      <c r="I1643" s="37"/>
    </row>
    <row r="1644" ht="22.5" customHeight="1">
      <c r="A1644" s="30"/>
      <c r="B1644" s="31"/>
      <c r="C1644" s="30"/>
      <c r="D1644" s="33"/>
      <c r="E1644" s="34"/>
      <c r="F1644" s="34"/>
      <c r="G1644" s="36"/>
      <c r="H1644" s="34"/>
      <c r="I1644" s="37"/>
    </row>
    <row r="1645" ht="22.5" customHeight="1">
      <c r="A1645" s="30"/>
      <c r="B1645" s="31"/>
      <c r="C1645" s="30"/>
      <c r="D1645" s="33"/>
      <c r="E1645" s="34"/>
      <c r="F1645" s="34"/>
      <c r="G1645" s="36"/>
      <c r="H1645" s="34"/>
      <c r="I1645" s="37"/>
    </row>
    <row r="1646" ht="22.5" customHeight="1">
      <c r="A1646" s="30"/>
      <c r="B1646" s="31"/>
      <c r="C1646" s="30"/>
      <c r="D1646" s="33"/>
      <c r="E1646" s="34"/>
      <c r="F1646" s="34"/>
      <c r="G1646" s="36"/>
      <c r="H1646" s="34"/>
      <c r="I1646" s="37"/>
    </row>
    <row r="1647" ht="22.5" customHeight="1">
      <c r="A1647" s="30"/>
      <c r="B1647" s="31"/>
      <c r="C1647" s="30"/>
      <c r="D1647" s="33"/>
      <c r="E1647" s="34"/>
      <c r="F1647" s="34"/>
      <c r="G1647" s="36"/>
      <c r="H1647" s="34"/>
      <c r="I1647" s="37"/>
    </row>
    <row r="1648" ht="22.5" customHeight="1">
      <c r="A1648" s="30"/>
      <c r="B1648" s="31"/>
      <c r="C1648" s="30"/>
      <c r="D1648" s="33"/>
      <c r="E1648" s="34"/>
      <c r="F1648" s="34"/>
      <c r="G1648" s="36"/>
      <c r="H1648" s="34"/>
      <c r="I1648" s="37"/>
    </row>
    <row r="1649" ht="22.5" customHeight="1">
      <c r="A1649" s="30"/>
      <c r="B1649" s="31"/>
      <c r="C1649" s="30"/>
      <c r="D1649" s="33"/>
      <c r="E1649" s="34"/>
      <c r="F1649" s="34"/>
      <c r="G1649" s="36"/>
      <c r="H1649" s="34"/>
      <c r="I1649" s="37"/>
    </row>
    <row r="1650" ht="22.5" customHeight="1">
      <c r="A1650" s="30"/>
      <c r="B1650" s="31"/>
      <c r="C1650" s="30"/>
      <c r="D1650" s="33"/>
      <c r="E1650" s="34"/>
      <c r="F1650" s="34"/>
      <c r="G1650" s="36"/>
      <c r="H1650" s="34"/>
      <c r="I1650" s="37"/>
    </row>
    <row r="1651" ht="22.5" customHeight="1">
      <c r="A1651" s="30"/>
      <c r="B1651" s="31"/>
      <c r="C1651" s="30"/>
      <c r="D1651" s="33"/>
      <c r="E1651" s="34"/>
      <c r="F1651" s="34"/>
      <c r="G1651" s="36"/>
      <c r="H1651" s="34"/>
      <c r="I1651" s="37"/>
    </row>
    <row r="1652" ht="22.5" customHeight="1">
      <c r="A1652" s="30"/>
      <c r="B1652" s="31"/>
      <c r="C1652" s="30"/>
      <c r="D1652" s="33"/>
      <c r="E1652" s="34"/>
      <c r="F1652" s="34"/>
      <c r="G1652" s="36"/>
      <c r="H1652" s="34"/>
      <c r="I1652" s="37"/>
    </row>
    <row r="1653" ht="22.5" customHeight="1">
      <c r="A1653" s="30"/>
      <c r="B1653" s="31"/>
      <c r="C1653" s="30"/>
      <c r="D1653" s="33"/>
      <c r="E1653" s="34"/>
      <c r="F1653" s="34"/>
      <c r="G1653" s="36"/>
      <c r="H1653" s="34"/>
      <c r="I1653" s="37"/>
    </row>
    <row r="1654" ht="22.5" customHeight="1">
      <c r="A1654" s="30"/>
      <c r="B1654" s="31"/>
      <c r="C1654" s="30"/>
      <c r="D1654" s="33"/>
      <c r="E1654" s="34"/>
      <c r="F1654" s="34"/>
      <c r="G1654" s="36"/>
      <c r="H1654" s="34"/>
      <c r="I1654" s="37"/>
    </row>
    <row r="1655" ht="22.5" customHeight="1">
      <c r="A1655" s="30"/>
      <c r="B1655" s="31"/>
      <c r="C1655" s="30"/>
      <c r="D1655" s="33"/>
      <c r="E1655" s="34"/>
      <c r="F1655" s="34"/>
      <c r="G1655" s="36"/>
      <c r="H1655" s="34"/>
      <c r="I1655" s="37"/>
    </row>
    <row r="1656" ht="22.5" customHeight="1">
      <c r="A1656" s="30"/>
      <c r="B1656" s="31"/>
      <c r="C1656" s="30"/>
      <c r="D1656" s="33"/>
      <c r="E1656" s="34"/>
      <c r="F1656" s="34"/>
      <c r="G1656" s="36"/>
      <c r="H1656" s="34"/>
      <c r="I1656" s="37"/>
    </row>
    <row r="1657" ht="22.5" customHeight="1">
      <c r="A1657" s="30"/>
      <c r="B1657" s="31"/>
      <c r="C1657" s="30"/>
      <c r="D1657" s="33"/>
      <c r="E1657" s="34"/>
      <c r="F1657" s="34"/>
      <c r="G1657" s="36"/>
      <c r="H1657" s="34"/>
      <c r="I1657" s="37"/>
    </row>
    <row r="1658" ht="22.5" customHeight="1">
      <c r="A1658" s="30"/>
      <c r="B1658" s="31"/>
      <c r="C1658" s="30"/>
      <c r="D1658" s="33"/>
      <c r="E1658" s="34"/>
      <c r="F1658" s="34"/>
      <c r="G1658" s="36"/>
      <c r="H1658" s="34"/>
      <c r="I1658" s="37"/>
    </row>
    <row r="1659" ht="22.5" customHeight="1">
      <c r="A1659" s="30"/>
      <c r="B1659" s="31"/>
      <c r="C1659" s="30"/>
      <c r="D1659" s="33"/>
      <c r="E1659" s="34"/>
      <c r="F1659" s="34"/>
      <c r="G1659" s="36"/>
      <c r="H1659" s="34"/>
      <c r="I1659" s="37"/>
    </row>
    <row r="1660" ht="22.5" customHeight="1">
      <c r="A1660" s="30"/>
      <c r="B1660" s="31"/>
      <c r="C1660" s="30"/>
      <c r="D1660" s="33"/>
      <c r="E1660" s="34"/>
      <c r="F1660" s="34"/>
      <c r="G1660" s="36"/>
      <c r="H1660" s="34"/>
      <c r="I1660" s="37"/>
    </row>
    <row r="1661" ht="22.5" customHeight="1">
      <c r="A1661" s="30"/>
      <c r="B1661" s="31"/>
      <c r="C1661" s="30"/>
      <c r="D1661" s="33"/>
      <c r="E1661" s="34"/>
      <c r="F1661" s="34"/>
      <c r="G1661" s="36"/>
      <c r="H1661" s="34"/>
      <c r="I1661" s="37"/>
    </row>
    <row r="1662" ht="22.5" customHeight="1">
      <c r="A1662" s="30"/>
      <c r="B1662" s="31"/>
      <c r="C1662" s="30"/>
      <c r="D1662" s="33"/>
      <c r="E1662" s="34"/>
      <c r="F1662" s="34"/>
      <c r="G1662" s="36"/>
      <c r="H1662" s="34"/>
      <c r="I1662" s="37"/>
    </row>
    <row r="1663" ht="22.5" customHeight="1">
      <c r="A1663" s="30"/>
      <c r="B1663" s="31"/>
      <c r="C1663" s="30"/>
      <c r="D1663" s="33"/>
      <c r="E1663" s="34"/>
      <c r="F1663" s="34"/>
      <c r="G1663" s="36"/>
      <c r="H1663" s="34"/>
      <c r="I1663" s="37"/>
    </row>
    <row r="1664" ht="22.5" customHeight="1">
      <c r="A1664" s="30"/>
      <c r="B1664" s="31"/>
      <c r="C1664" s="30"/>
      <c r="D1664" s="33"/>
      <c r="E1664" s="34"/>
      <c r="F1664" s="34"/>
      <c r="G1664" s="36"/>
      <c r="H1664" s="34"/>
      <c r="I1664" s="37"/>
    </row>
    <row r="1665" ht="22.5" customHeight="1">
      <c r="A1665" s="30"/>
      <c r="B1665" s="31"/>
      <c r="C1665" s="30"/>
      <c r="D1665" s="33"/>
      <c r="E1665" s="34"/>
      <c r="F1665" s="34"/>
      <c r="G1665" s="36"/>
      <c r="H1665" s="34"/>
      <c r="I1665" s="37"/>
    </row>
    <row r="1666" ht="22.5" customHeight="1">
      <c r="A1666" s="30"/>
      <c r="B1666" s="31"/>
      <c r="C1666" s="30"/>
      <c r="D1666" s="33"/>
      <c r="E1666" s="34"/>
      <c r="F1666" s="34"/>
      <c r="G1666" s="36"/>
      <c r="H1666" s="34"/>
      <c r="I1666" s="37"/>
    </row>
    <row r="1667" ht="22.5" customHeight="1">
      <c r="A1667" s="30"/>
      <c r="B1667" s="31"/>
      <c r="C1667" s="30"/>
      <c r="D1667" s="33"/>
      <c r="E1667" s="34"/>
      <c r="F1667" s="34"/>
      <c r="G1667" s="36"/>
      <c r="H1667" s="34"/>
      <c r="I1667" s="37"/>
    </row>
    <row r="1668" ht="22.5" customHeight="1">
      <c r="A1668" s="30"/>
      <c r="B1668" s="31"/>
      <c r="C1668" s="30"/>
      <c r="D1668" s="33"/>
      <c r="E1668" s="34"/>
      <c r="F1668" s="34"/>
      <c r="G1668" s="36"/>
      <c r="H1668" s="34"/>
      <c r="I1668" s="37"/>
    </row>
    <row r="1669" ht="22.5" customHeight="1">
      <c r="A1669" s="30"/>
      <c r="B1669" s="31"/>
      <c r="C1669" s="30"/>
      <c r="D1669" s="33"/>
      <c r="E1669" s="34"/>
      <c r="F1669" s="34"/>
      <c r="G1669" s="36"/>
      <c r="H1669" s="34"/>
      <c r="I1669" s="37"/>
    </row>
    <row r="1670" ht="22.5" customHeight="1">
      <c r="A1670" s="30"/>
      <c r="B1670" s="31"/>
      <c r="C1670" s="30"/>
      <c r="D1670" s="33"/>
      <c r="E1670" s="34"/>
      <c r="F1670" s="34"/>
      <c r="G1670" s="36"/>
      <c r="H1670" s="34"/>
      <c r="I1670" s="37"/>
    </row>
    <row r="1671" ht="22.5" customHeight="1">
      <c r="A1671" s="30"/>
      <c r="B1671" s="31"/>
      <c r="C1671" s="30"/>
      <c r="D1671" s="33"/>
      <c r="E1671" s="34"/>
      <c r="F1671" s="34"/>
      <c r="G1671" s="36"/>
      <c r="H1671" s="34"/>
      <c r="I1671" s="37"/>
    </row>
    <row r="1672" ht="22.5" customHeight="1">
      <c r="A1672" s="30"/>
      <c r="B1672" s="31"/>
      <c r="C1672" s="30"/>
      <c r="D1672" s="33"/>
      <c r="E1672" s="34"/>
      <c r="F1672" s="34"/>
      <c r="G1672" s="36"/>
      <c r="H1672" s="34"/>
      <c r="I1672" s="37"/>
    </row>
    <row r="1673" ht="22.5" customHeight="1">
      <c r="A1673" s="30"/>
      <c r="B1673" s="31"/>
      <c r="C1673" s="30"/>
      <c r="D1673" s="33"/>
      <c r="E1673" s="34"/>
      <c r="F1673" s="34"/>
      <c r="G1673" s="36"/>
      <c r="H1673" s="34"/>
      <c r="I1673" s="37"/>
    </row>
    <row r="1674" ht="22.5" customHeight="1">
      <c r="A1674" s="30"/>
      <c r="B1674" s="31"/>
      <c r="C1674" s="30"/>
      <c r="D1674" s="33"/>
      <c r="E1674" s="34"/>
      <c r="F1674" s="34"/>
      <c r="G1674" s="36"/>
      <c r="H1674" s="34"/>
      <c r="I1674" s="37"/>
    </row>
    <row r="1675" ht="22.5" customHeight="1">
      <c r="A1675" s="30"/>
      <c r="B1675" s="31"/>
      <c r="C1675" s="30"/>
      <c r="D1675" s="33"/>
      <c r="E1675" s="34"/>
      <c r="F1675" s="34"/>
      <c r="G1675" s="36"/>
      <c r="H1675" s="34"/>
      <c r="I1675" s="37"/>
    </row>
    <row r="1676" ht="22.5" customHeight="1">
      <c r="A1676" s="30"/>
      <c r="B1676" s="31"/>
      <c r="C1676" s="30"/>
      <c r="D1676" s="33"/>
      <c r="E1676" s="34"/>
      <c r="F1676" s="34"/>
      <c r="G1676" s="36"/>
      <c r="H1676" s="34"/>
      <c r="I1676" s="37"/>
    </row>
    <row r="1677" ht="22.5" customHeight="1">
      <c r="A1677" s="30"/>
      <c r="B1677" s="31"/>
      <c r="C1677" s="30"/>
      <c r="D1677" s="33"/>
      <c r="E1677" s="34"/>
      <c r="F1677" s="34"/>
      <c r="G1677" s="36"/>
      <c r="H1677" s="34"/>
      <c r="I1677" s="37"/>
    </row>
    <row r="1678" ht="22.5" customHeight="1">
      <c r="A1678" s="30"/>
      <c r="B1678" s="31"/>
      <c r="C1678" s="30"/>
      <c r="D1678" s="33"/>
      <c r="E1678" s="34"/>
      <c r="F1678" s="34"/>
      <c r="G1678" s="36"/>
      <c r="H1678" s="34"/>
      <c r="I1678" s="37"/>
    </row>
    <row r="1679" ht="22.5" customHeight="1">
      <c r="A1679" s="30"/>
      <c r="B1679" s="31"/>
      <c r="C1679" s="30"/>
      <c r="D1679" s="33"/>
      <c r="E1679" s="34"/>
      <c r="F1679" s="34"/>
      <c r="G1679" s="36"/>
      <c r="H1679" s="34"/>
      <c r="I1679" s="37"/>
    </row>
    <row r="1680" ht="22.5" customHeight="1">
      <c r="A1680" s="30"/>
      <c r="B1680" s="31"/>
      <c r="C1680" s="30"/>
      <c r="D1680" s="33"/>
      <c r="E1680" s="34"/>
      <c r="F1680" s="34"/>
      <c r="G1680" s="36"/>
      <c r="H1680" s="34"/>
      <c r="I1680" s="37"/>
    </row>
    <row r="1681" ht="22.5" customHeight="1">
      <c r="A1681" s="30"/>
      <c r="B1681" s="31"/>
      <c r="C1681" s="30"/>
      <c r="D1681" s="33"/>
      <c r="E1681" s="34"/>
      <c r="F1681" s="34"/>
      <c r="G1681" s="36"/>
      <c r="H1681" s="34"/>
      <c r="I1681" s="37"/>
    </row>
    <row r="1682" ht="22.5" customHeight="1">
      <c r="A1682" s="30"/>
      <c r="B1682" s="31"/>
      <c r="C1682" s="30"/>
      <c r="D1682" s="33"/>
      <c r="E1682" s="34"/>
      <c r="F1682" s="34"/>
      <c r="G1682" s="36"/>
      <c r="H1682" s="34"/>
      <c r="I1682" s="37"/>
    </row>
    <row r="1683" ht="22.5" customHeight="1">
      <c r="A1683" s="30"/>
      <c r="B1683" s="31"/>
      <c r="C1683" s="30"/>
      <c r="D1683" s="33"/>
      <c r="E1683" s="34"/>
      <c r="F1683" s="34"/>
      <c r="G1683" s="36"/>
      <c r="H1683" s="34"/>
      <c r="I1683" s="37"/>
    </row>
    <row r="1684" ht="22.5" customHeight="1">
      <c r="A1684" s="30"/>
      <c r="B1684" s="31"/>
      <c r="C1684" s="30"/>
      <c r="D1684" s="33"/>
      <c r="E1684" s="34"/>
      <c r="F1684" s="34"/>
      <c r="G1684" s="36"/>
      <c r="H1684" s="34"/>
      <c r="I1684" s="37"/>
    </row>
    <row r="1685" ht="22.5" customHeight="1">
      <c r="A1685" s="30"/>
      <c r="B1685" s="31"/>
      <c r="C1685" s="30"/>
      <c r="D1685" s="33"/>
      <c r="E1685" s="34"/>
      <c r="F1685" s="34"/>
      <c r="G1685" s="36"/>
      <c r="H1685" s="34"/>
      <c r="I1685" s="37"/>
    </row>
    <row r="1686" ht="22.5" customHeight="1">
      <c r="A1686" s="30"/>
      <c r="B1686" s="31"/>
      <c r="C1686" s="30"/>
      <c r="D1686" s="33"/>
      <c r="E1686" s="34"/>
      <c r="F1686" s="34"/>
      <c r="G1686" s="36"/>
      <c r="H1686" s="34"/>
      <c r="I1686" s="37"/>
    </row>
    <row r="1687" ht="22.5" customHeight="1">
      <c r="A1687" s="30"/>
      <c r="B1687" s="31"/>
      <c r="C1687" s="30"/>
      <c r="D1687" s="33"/>
      <c r="E1687" s="34"/>
      <c r="F1687" s="34"/>
      <c r="G1687" s="36"/>
      <c r="H1687" s="34"/>
      <c r="I1687" s="37"/>
    </row>
    <row r="1688" ht="22.5" customHeight="1">
      <c r="A1688" s="30"/>
      <c r="B1688" s="31"/>
      <c r="C1688" s="30"/>
      <c r="D1688" s="33"/>
      <c r="E1688" s="34"/>
      <c r="F1688" s="34"/>
      <c r="G1688" s="36"/>
      <c r="H1688" s="34"/>
      <c r="I1688" s="37"/>
    </row>
    <row r="1689" ht="22.5" customHeight="1">
      <c r="A1689" s="30"/>
      <c r="B1689" s="31"/>
      <c r="C1689" s="30"/>
      <c r="D1689" s="33"/>
      <c r="E1689" s="34"/>
      <c r="F1689" s="34"/>
      <c r="G1689" s="36"/>
      <c r="H1689" s="34"/>
      <c r="I1689" s="37"/>
    </row>
    <row r="1690" ht="22.5" customHeight="1">
      <c r="A1690" s="30"/>
      <c r="B1690" s="31"/>
      <c r="C1690" s="30"/>
      <c r="D1690" s="33"/>
      <c r="E1690" s="34"/>
      <c r="F1690" s="34"/>
      <c r="G1690" s="36"/>
      <c r="H1690" s="34"/>
      <c r="I1690" s="37"/>
    </row>
    <row r="1691" ht="22.5" customHeight="1">
      <c r="A1691" s="30"/>
      <c r="B1691" s="31"/>
      <c r="C1691" s="30"/>
      <c r="D1691" s="33"/>
      <c r="E1691" s="34"/>
      <c r="F1691" s="34"/>
      <c r="G1691" s="36"/>
      <c r="H1691" s="34"/>
      <c r="I1691" s="37"/>
    </row>
    <row r="1692" ht="22.5" customHeight="1">
      <c r="A1692" s="30"/>
      <c r="B1692" s="31"/>
      <c r="C1692" s="30"/>
      <c r="D1692" s="33"/>
      <c r="E1692" s="34"/>
      <c r="F1692" s="34"/>
      <c r="G1692" s="36"/>
      <c r="H1692" s="34"/>
      <c r="I1692" s="37"/>
    </row>
    <row r="1693" ht="22.5" customHeight="1">
      <c r="A1693" s="30"/>
      <c r="B1693" s="31"/>
      <c r="C1693" s="30"/>
      <c r="D1693" s="33"/>
      <c r="E1693" s="34"/>
      <c r="F1693" s="34"/>
      <c r="G1693" s="36"/>
      <c r="H1693" s="34"/>
      <c r="I1693" s="37"/>
    </row>
    <row r="1694" ht="22.5" customHeight="1">
      <c r="A1694" s="30"/>
      <c r="B1694" s="31"/>
      <c r="C1694" s="30"/>
      <c r="D1694" s="33"/>
      <c r="E1694" s="34"/>
      <c r="F1694" s="34"/>
      <c r="G1694" s="36"/>
      <c r="H1694" s="34"/>
      <c r="I1694" s="37"/>
    </row>
    <row r="1695" ht="22.5" customHeight="1">
      <c r="A1695" s="30"/>
      <c r="B1695" s="31"/>
      <c r="C1695" s="30"/>
      <c r="D1695" s="33"/>
      <c r="E1695" s="34"/>
      <c r="F1695" s="34"/>
      <c r="G1695" s="36"/>
      <c r="H1695" s="34"/>
      <c r="I1695" s="37"/>
    </row>
    <row r="1696" ht="22.5" customHeight="1">
      <c r="A1696" s="30"/>
      <c r="B1696" s="31"/>
      <c r="C1696" s="30"/>
      <c r="D1696" s="33"/>
      <c r="E1696" s="34"/>
      <c r="F1696" s="34"/>
      <c r="G1696" s="36"/>
      <c r="H1696" s="34"/>
      <c r="I1696" s="37"/>
    </row>
    <row r="1697" ht="22.5" customHeight="1">
      <c r="A1697" s="30"/>
      <c r="B1697" s="31"/>
      <c r="C1697" s="30"/>
      <c r="D1697" s="33"/>
      <c r="E1697" s="34"/>
      <c r="F1697" s="34"/>
      <c r="G1697" s="36"/>
      <c r="H1697" s="34"/>
      <c r="I1697" s="37"/>
    </row>
    <row r="1698" ht="22.5" customHeight="1">
      <c r="A1698" s="30"/>
      <c r="B1698" s="31"/>
      <c r="C1698" s="30"/>
      <c r="D1698" s="33"/>
      <c r="E1698" s="34"/>
      <c r="F1698" s="34"/>
      <c r="G1698" s="36"/>
      <c r="H1698" s="34"/>
      <c r="I1698" s="37"/>
    </row>
    <row r="1699" ht="22.5" customHeight="1">
      <c r="A1699" s="30"/>
      <c r="B1699" s="31"/>
      <c r="C1699" s="30"/>
      <c r="D1699" s="33"/>
      <c r="E1699" s="34"/>
      <c r="F1699" s="34"/>
      <c r="G1699" s="36"/>
      <c r="H1699" s="34"/>
      <c r="I1699" s="37"/>
    </row>
    <row r="1700" ht="22.5" customHeight="1">
      <c r="A1700" s="30"/>
      <c r="B1700" s="31"/>
      <c r="C1700" s="30"/>
      <c r="D1700" s="33"/>
      <c r="E1700" s="34"/>
      <c r="F1700" s="34"/>
      <c r="G1700" s="36"/>
      <c r="H1700" s="34"/>
      <c r="I1700" s="37"/>
    </row>
    <row r="1701" ht="22.5" customHeight="1">
      <c r="A1701" s="30"/>
      <c r="B1701" s="31"/>
      <c r="C1701" s="30"/>
      <c r="D1701" s="33"/>
      <c r="E1701" s="34"/>
      <c r="F1701" s="34"/>
      <c r="G1701" s="36"/>
      <c r="H1701" s="34"/>
      <c r="I1701" s="37"/>
    </row>
    <row r="1702" ht="22.5" customHeight="1">
      <c r="A1702" s="41"/>
      <c r="B1702" s="42"/>
      <c r="C1702" s="41"/>
      <c r="D1702" s="43"/>
      <c r="E1702" s="44"/>
      <c r="F1702" s="44"/>
      <c r="G1702" s="45"/>
      <c r="H1702" s="44"/>
      <c r="I1702" s="46"/>
    </row>
    <row r="1703" ht="22.5" customHeight="1">
      <c r="A1703" s="14"/>
      <c r="B1703" s="60"/>
      <c r="C1703" s="14"/>
      <c r="D1703" s="17"/>
      <c r="E1703" s="18"/>
      <c r="F1703" s="18"/>
      <c r="G1703" s="20"/>
      <c r="H1703" s="18"/>
      <c r="I1703" s="21"/>
    </row>
  </sheetData>
  <conditionalFormatting sqref="A5:I1702">
    <cfRule type="expression" dxfId="6" priority="1">
      <formula>$F5="BOLSA SALV. ALTURA (MERET)"</formula>
    </cfRule>
  </conditionalFormatting>
  <conditionalFormatting sqref="A5:I1702">
    <cfRule type="expression" dxfId="7" priority="2">
      <formula>$F5="BOX 01"</formula>
    </cfRule>
  </conditionalFormatting>
  <conditionalFormatting sqref="A5:I1702">
    <cfRule type="expression" dxfId="8" priority="3">
      <formula>$F5="BOX 02"</formula>
    </cfRule>
  </conditionalFormatting>
  <conditionalFormatting sqref="A5:I1702">
    <cfRule type="expression" dxfId="9" priority="4">
      <formula>$F5="BOX 03"</formula>
    </cfRule>
  </conditionalFormatting>
  <conditionalFormatting sqref="A5:I1702">
    <cfRule type="expression" dxfId="10" priority="5">
      <formula>$F5="BOX 04"</formula>
    </cfRule>
  </conditionalFormatting>
  <conditionalFormatting sqref="A5:I1702">
    <cfRule type="expression" dxfId="11" priority="6">
      <formula>$F5="BOX 05"</formula>
    </cfRule>
  </conditionalFormatting>
  <conditionalFormatting sqref="A5:I1702">
    <cfRule type="expression" dxfId="12" priority="7">
      <formula>$F5="BOX CENTRAL"</formula>
    </cfRule>
  </conditionalFormatting>
  <conditionalFormatting sqref="A5:I1702">
    <cfRule type="expression" dxfId="13" priority="8">
      <formula>$F5="BOX SUPERIOR 01"</formula>
    </cfRule>
  </conditionalFormatting>
  <conditionalFormatting sqref="A5:I1702">
    <cfRule type="expression" dxfId="14" priority="9">
      <formula>$F5="CABINE"</formula>
    </cfRule>
  </conditionalFormatting>
  <conditionalFormatting sqref="A5:I1702">
    <cfRule type="expression" dxfId="15" priority="10">
      <formula>$F5="CARROCERIA"</formula>
    </cfRule>
  </conditionalFormatting>
  <conditionalFormatting sqref="A5:I1702">
    <cfRule type="expression" dxfId="16" priority="11">
      <formula>$F5="CAIXA DE FERRAMENTA"</formula>
    </cfRule>
  </conditionalFormatting>
  <conditionalFormatting sqref="A5:I1702">
    <cfRule type="expression" dxfId="17" priority="12">
      <formula>$F5="BOLSA DE SALV. ALTURA"</formula>
    </cfRule>
  </conditionalFormatting>
  <conditionalFormatting sqref="A5:I1702">
    <cfRule type="expression" dxfId="18" priority="13">
      <formula>$F5="BOLSA DE SALV ALTURA VERMELHA LACRADA"</formula>
    </cfRule>
  </conditionalFormatting>
  <conditionalFormatting sqref="A5:I1702">
    <cfRule type="expression" dxfId="19" priority="14">
      <formula>$F5="BOLSA DE SALV ALTURA CINZA LACRADA"</formula>
    </cfRule>
  </conditionalFormatting>
  <conditionalFormatting sqref="A5:I1702">
    <cfRule type="expression" dxfId="20" priority="15">
      <formula>$F5="BOX 06"</formula>
    </cfRule>
  </conditionalFormatting>
  <conditionalFormatting sqref="A5:I1702">
    <cfRule type="expression" dxfId="21" priority="16">
      <formula>$F5="BOX 07"</formula>
    </cfRule>
  </conditionalFormatting>
  <conditionalFormatting sqref="A5:I1702">
    <cfRule type="expression" dxfId="22" priority="17">
      <formula>$F5="BOX 08"</formula>
    </cfRule>
  </conditionalFormatting>
  <conditionalFormatting sqref="A5:I1702">
    <cfRule type="expression" dxfId="23" priority="18">
      <formula>$F5="BOLSA DE OXIGÊNIO"</formula>
    </cfRule>
  </conditionalFormatting>
  <conditionalFormatting sqref="A5:I1702">
    <cfRule type="expression" dxfId="33" priority="19">
      <formula>$F5="SALA DE MERGULHO"</formula>
    </cfRule>
  </conditionalFormatting>
  <dataValidations>
    <dataValidation type="list" allowBlank="1" sqref="B2">
      <formula1>'Cadastro Automático VTRSEÇÃOMIL'!$C$1:$C1703</formula1>
    </dataValidation>
    <dataValidation allowBlank="1" showDropDown="1" sqref="B5:B1703"/>
    <dataValidation type="list" allowBlank="1" sqref="B1">
      <formula1>'Cadastro Automático VTRSEÇÃOMIL'!$B$1:$B1703</formula1>
    </dataValidation>
  </dataValidations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1"/>
  <tableParts count="2">
    <tablePart r:id="rId4"/>
    <tablePart r:id="rId5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41B47"/>
    <outlinePr summaryBelow="0" summaryRight="0"/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20.38"/>
    <col customWidth="1" min="2" max="2" width="50.13"/>
    <col customWidth="1" min="3" max="3" width="9.5"/>
    <col customWidth="1" min="4" max="4" width="12.25"/>
    <col customWidth="1" min="5" max="5" width="17.75"/>
    <col customWidth="1" min="6" max="6" width="30.5"/>
    <col customWidth="1" min="7" max="7" width="14.25"/>
    <col customWidth="1" min="8" max="8" width="31.25"/>
    <col customWidth="1" min="9" max="9" width="81.38"/>
  </cols>
  <sheetData>
    <row r="1" ht="21.0" customHeight="1">
      <c r="A1" s="1" t="s">
        <v>0</v>
      </c>
      <c r="B1" s="2" t="s">
        <v>26</v>
      </c>
      <c r="C1" s="3"/>
      <c r="D1" s="3"/>
      <c r="E1" s="3"/>
      <c r="F1" s="3"/>
      <c r="G1" s="4"/>
      <c r="H1" s="61"/>
      <c r="I1" s="5"/>
    </row>
    <row r="2" ht="17.25" customHeight="1">
      <c r="A2" s="1" t="s">
        <v>2</v>
      </c>
      <c r="B2" s="2" t="s">
        <v>28</v>
      </c>
      <c r="C2" s="3"/>
      <c r="D2" s="3"/>
      <c r="E2" s="3"/>
      <c r="F2" s="3"/>
      <c r="G2" s="62"/>
      <c r="H2" s="63"/>
      <c r="I2" s="64"/>
    </row>
    <row r="3" ht="30.0" customHeight="1">
      <c r="A3" s="3"/>
      <c r="B3" s="48"/>
      <c r="C3" s="3"/>
      <c r="D3" s="3"/>
      <c r="E3" s="3"/>
      <c r="F3" s="3"/>
      <c r="G3" s="4"/>
      <c r="H3" s="63"/>
      <c r="I3" s="8"/>
    </row>
    <row r="4" ht="37.5" customHeight="1">
      <c r="A4" s="9" t="s">
        <v>14</v>
      </c>
      <c r="B4" s="10" t="s">
        <v>4</v>
      </c>
      <c r="C4" s="11" t="s">
        <v>5</v>
      </c>
      <c r="D4" s="12" t="s">
        <v>6</v>
      </c>
      <c r="E4" s="12" t="s">
        <v>0</v>
      </c>
      <c r="F4" s="12" t="s">
        <v>7</v>
      </c>
      <c r="G4" s="11" t="s">
        <v>8</v>
      </c>
      <c r="H4" s="50" t="s">
        <v>9</v>
      </c>
      <c r="I4" s="59" t="s">
        <v>15</v>
      </c>
    </row>
    <row r="5" ht="22.5" customHeight="1">
      <c r="A5" s="22"/>
      <c r="B5" s="23"/>
      <c r="C5" s="24"/>
      <c r="D5" s="25"/>
      <c r="E5" s="26"/>
      <c r="F5" s="26"/>
      <c r="G5" s="27"/>
      <c r="H5" s="26"/>
      <c r="I5" s="29"/>
    </row>
    <row r="6" ht="25.5" customHeight="1">
      <c r="A6" s="30">
        <f>IFERROR(__xludf.DUMMYFUNCTION("IF(B2&lt;&gt;"""",FILTER('Planilhas compilada ordem alfab'!A2:I1703,'Planilhas compilada ordem alfab'!E2:E1703=B1,'Planilhas compilada ordem alfab'!F2:F1703=B2),FILTER('Planilhas compilada ordem alfab'!A2:I1703,'Planilhas compilada ordem alfab'!E2:E1703=B1))"),484.0)</f>
        <v>484</v>
      </c>
      <c r="B6" s="31" t="str">
        <f>IFERROR(__xludf.DUMMYFUNCTION("""COMPUTED_VALUE"""),"CARRETA AGRICOLA -")</f>
        <v>CARRETA AGRICOLA -</v>
      </c>
      <c r="C6" s="32">
        <f>IFERROR(__xludf.DUMMYFUNCTION("""COMPUTED_VALUE"""),1.0)</f>
        <v>1</v>
      </c>
      <c r="D6" s="33" t="str">
        <f>IFERROR(__xludf.DUMMYFUNCTION("""COMPUTED_VALUE"""),"SEÇÃO")</f>
        <v>SEÇÃO</v>
      </c>
      <c r="E6" s="34" t="str">
        <f>IFERROR(__xludf.DUMMYFUNCTION("""COMPUTED_VALUE"""),"3 - 1ª CIA OP")</f>
        <v>3 - 1ª CIA OP</v>
      </c>
      <c r="F6" s="34" t="str">
        <f>IFERROR(__xludf.DUMMYFUNCTION("""COMPUTED_VALUE"""),"OFICINA")</f>
        <v>OFICINA</v>
      </c>
      <c r="G6" s="35">
        <f>IFERROR(__xludf.DUMMYFUNCTION("""COMPUTED_VALUE"""),1.2220396E7)</f>
        <v>12220396</v>
      </c>
      <c r="H6" s="34" t="str">
        <f>IFERROR(__xludf.DUMMYFUNCTION("""COMPUTED_VALUE"""),"9A9BC05111TDH8043")</f>
        <v>9A9BC05111TDH8043</v>
      </c>
      <c r="I6" s="37" t="str">
        <f>IFERROR(__xludf.DUMMYFUNCTION("""COMPUTED_VALUE"""),"Carretinha de Barco - PLACA HMH0805")</f>
        <v>Carretinha de Barco - PLACA HMH0805</v>
      </c>
    </row>
    <row r="7" ht="22.5" customHeight="1">
      <c r="A7" s="30">
        <f>IFERROR(__xludf.DUMMYFUNCTION("""COMPUTED_VALUE"""),1532.0)</f>
        <v>1532</v>
      </c>
      <c r="B7" s="31" t="str">
        <f>IFERROR(__xludf.DUMMYFUNCTION("""COMPUTED_VALUE"""),"CARRINHO DE MAO TIPO TRANSPORTE DE BAGAGEM -")</f>
        <v>CARRINHO DE MAO TIPO TRANSPORTE DE BAGAGEM -</v>
      </c>
      <c r="C7" s="32">
        <f>IFERROR(__xludf.DUMMYFUNCTION("""COMPUTED_VALUE"""),1.0)</f>
        <v>1</v>
      </c>
      <c r="D7" s="33" t="str">
        <f>IFERROR(__xludf.DUMMYFUNCTION("""COMPUTED_VALUE"""),"SEÇÃO")</f>
        <v>SEÇÃO</v>
      </c>
      <c r="E7" s="34" t="str">
        <f>IFERROR(__xludf.DUMMYFUNCTION("""COMPUTED_VALUE"""),"3 - 1ª CIA OP")</f>
        <v>3 - 1ª CIA OP</v>
      </c>
      <c r="F7" s="34" t="str">
        <f>IFERROR(__xludf.DUMMYFUNCTION("""COMPUTED_VALUE"""),"OFICINA")</f>
        <v>OFICINA</v>
      </c>
      <c r="G7" s="35">
        <f>IFERROR(__xludf.DUMMYFUNCTION("""COMPUTED_VALUE"""),7.6990494E7)</f>
        <v>76990494</v>
      </c>
      <c r="H7" s="34"/>
      <c r="I7" s="37"/>
    </row>
    <row r="8" ht="22.5" customHeight="1">
      <c r="A8" s="30">
        <f>IFERROR(__xludf.DUMMYFUNCTION("""COMPUTED_VALUE"""),488.0)</f>
        <v>488</v>
      </c>
      <c r="B8" s="31" t="str">
        <f>IFERROR(__xludf.DUMMYFUNCTION("""COMPUTED_VALUE"""),"ESCADA PROLONGÁVEL FIBRA")</f>
        <v>ESCADA PROLONGÁVEL FIBRA</v>
      </c>
      <c r="C8" s="32">
        <f>IFERROR(__xludf.DUMMYFUNCTION("""COMPUTED_VALUE"""),1.0)</f>
        <v>1</v>
      </c>
      <c r="D8" s="33" t="str">
        <f>IFERROR(__xludf.DUMMYFUNCTION("""COMPUTED_VALUE"""),"SEÇÃO")</f>
        <v>SEÇÃO</v>
      </c>
      <c r="E8" s="34" t="str">
        <f>IFERROR(__xludf.DUMMYFUNCTION("""COMPUTED_VALUE"""),"3 - 1ª CIA OP")</f>
        <v>3 - 1ª CIA OP</v>
      </c>
      <c r="F8" s="34" t="str">
        <f>IFERROR(__xludf.DUMMYFUNCTION("""COMPUTED_VALUE"""),"OFICINA")</f>
        <v>OFICINA</v>
      </c>
      <c r="G8" s="35"/>
      <c r="H8" s="34"/>
      <c r="I8" s="38" t="str">
        <f>IFERROR(__xludf.DUMMYFUNCTION("""COMPUTED_VALUE"""),"POSSUI SOMENTE UM GANCHO")</f>
        <v>POSSUI SOMENTE UM GANCHO</v>
      </c>
    </row>
    <row r="9" ht="22.5" customHeight="1">
      <c r="A9" s="30">
        <f>IFERROR(__xludf.DUMMYFUNCTION("""COMPUTED_VALUE"""),485.0)</f>
        <v>485</v>
      </c>
      <c r="B9" s="39" t="str">
        <f>IFERROR(__xludf.DUMMYFUNCTION("""COMPUTED_VALUE"""),"GAIOLA DE METAL PARA CAPTURA DE ANIMAIS")</f>
        <v>GAIOLA DE METAL PARA CAPTURA DE ANIMAIS</v>
      </c>
      <c r="C9" s="32">
        <f>IFERROR(__xludf.DUMMYFUNCTION("""COMPUTED_VALUE"""),2.0)</f>
        <v>2</v>
      </c>
      <c r="D9" s="33" t="str">
        <f>IFERROR(__xludf.DUMMYFUNCTION("""COMPUTED_VALUE"""),"SEÇÃO")</f>
        <v>SEÇÃO</v>
      </c>
      <c r="E9" s="34" t="str">
        <f>IFERROR(__xludf.DUMMYFUNCTION("""COMPUTED_VALUE"""),"3 - 1ª CIA OP")</f>
        <v>3 - 1ª CIA OP</v>
      </c>
      <c r="F9" s="34" t="str">
        <f>IFERROR(__xludf.DUMMYFUNCTION("""COMPUTED_VALUE"""),"OFICINA")</f>
        <v>OFICINA</v>
      </c>
      <c r="G9" s="35"/>
      <c r="H9" s="34"/>
      <c r="I9" s="37"/>
    </row>
    <row r="10" ht="22.5" customHeight="1">
      <c r="A10" s="30">
        <f>IFERROR(__xludf.DUMMYFUNCTION("""COMPUTED_VALUE"""),491.0)</f>
        <v>491</v>
      </c>
      <c r="B10" s="31" t="str">
        <f>IFERROR(__xludf.DUMMYFUNCTION("""COMPUTED_VALUE"""),"MANGOTE ")</f>
        <v>MANGOTE </v>
      </c>
      <c r="C10" s="32">
        <f>IFERROR(__xludf.DUMMYFUNCTION("""COMPUTED_VALUE"""),3.0)</f>
        <v>3</v>
      </c>
      <c r="D10" s="33" t="str">
        <f>IFERROR(__xludf.DUMMYFUNCTION("""COMPUTED_VALUE"""),"SEÇÃO")</f>
        <v>SEÇÃO</v>
      </c>
      <c r="E10" s="34" t="str">
        <f>IFERROR(__xludf.DUMMYFUNCTION("""COMPUTED_VALUE"""),"3 - 1ª CIA OP")</f>
        <v>3 - 1ª CIA OP</v>
      </c>
      <c r="F10" s="34" t="str">
        <f>IFERROR(__xludf.DUMMYFUNCTION("""COMPUTED_VALUE"""),"OFICINA")</f>
        <v>OFICINA</v>
      </c>
      <c r="G10" s="35"/>
      <c r="H10" s="34"/>
      <c r="I10" s="37" t="str">
        <f>IFERROR(__xludf.DUMMYFUNCTION("""COMPUTED_VALUE"""),"NA BANCADA DE MANUTENÇÃO;")</f>
        <v>NA BANCADA DE MANUTENÇÃO;</v>
      </c>
    </row>
    <row r="11" ht="22.5" customHeight="1">
      <c r="A11" s="30">
        <f>IFERROR(__xludf.DUMMYFUNCTION("""COMPUTED_VALUE"""),1491.0)</f>
        <v>1491</v>
      </c>
      <c r="B11" s="31" t="str">
        <f>IFERROR(__xludf.DUMMYFUNCTION("""COMPUTED_VALUE"""),"MAQUINA DE LAVAR ROUPA - ")</f>
        <v>MAQUINA DE LAVAR ROUPA - </v>
      </c>
      <c r="C11" s="32">
        <f>IFERROR(__xludf.DUMMYFUNCTION("""COMPUTED_VALUE"""),1.0)</f>
        <v>1</v>
      </c>
      <c r="D11" s="33" t="str">
        <f>IFERROR(__xludf.DUMMYFUNCTION("""COMPUTED_VALUE"""),"SEÇÃO")</f>
        <v>SEÇÃO</v>
      </c>
      <c r="E11" s="34" t="str">
        <f>IFERROR(__xludf.DUMMYFUNCTION("""COMPUTED_VALUE"""),"3 - 1ª CIA OP")</f>
        <v>3 - 1ª CIA OP</v>
      </c>
      <c r="F11" s="34" t="str">
        <f>IFERROR(__xludf.DUMMYFUNCTION("""COMPUTED_VALUE"""),"OFICINA")</f>
        <v>OFICINA</v>
      </c>
      <c r="G11" s="35">
        <f>IFERROR(__xludf.DUMMYFUNCTION("""COMPUTED_VALUE"""),7.6987051E7)</f>
        <v>76987051</v>
      </c>
      <c r="H11" s="34"/>
      <c r="I11" s="37"/>
    </row>
    <row r="12" ht="22.5" customHeight="1">
      <c r="A12" s="30">
        <f>IFERROR(__xludf.DUMMYFUNCTION("""COMPUTED_VALUE"""),513.0)</f>
        <v>513</v>
      </c>
      <c r="B12" s="31" t="str">
        <f>IFERROR(__xludf.DUMMYFUNCTION("""COMPUTED_VALUE"""),"REBOQUE -")</f>
        <v>REBOQUE -</v>
      </c>
      <c r="C12" s="32">
        <f>IFERROR(__xludf.DUMMYFUNCTION("""COMPUTED_VALUE"""),1.0)</f>
        <v>1</v>
      </c>
      <c r="D12" s="33" t="str">
        <f>IFERROR(__xludf.DUMMYFUNCTION("""COMPUTED_VALUE"""),"VIATURA")</f>
        <v>VIATURA</v>
      </c>
      <c r="E12" s="34" t="str">
        <f>IFERROR(__xludf.DUMMYFUNCTION("""COMPUTED_VALUE"""),"3 - 1ª CIA OP")</f>
        <v>3 - 1ª CIA OP</v>
      </c>
      <c r="F12" s="34" t="str">
        <f>IFERROR(__xludf.DUMMYFUNCTION("""COMPUTED_VALUE"""),"OFICINA")</f>
        <v>OFICINA</v>
      </c>
      <c r="G12" s="35">
        <f>IFERROR(__xludf.DUMMYFUNCTION("""COMPUTED_VALUE"""),1.3863533E7)</f>
        <v>13863533</v>
      </c>
      <c r="H12" s="34" t="str">
        <f>IFERROR(__xludf.DUMMYFUNCTION("""COMPUTED_VALUE"""),"9A9DF01CP8BDT6896")</f>
        <v>9A9DF01CP8BDT6896</v>
      </c>
      <c r="I12" s="37" t="str">
        <f>IFERROR(__xludf.DUMMYFUNCTION("""COMPUTED_VALUE"""),"Animais (carretinha) - HMH5584
")</f>
        <v>Animais (carretinha) - HMH5584
</v>
      </c>
    </row>
    <row r="13" ht="22.5" customHeight="1">
      <c r="A13" s="30"/>
      <c r="B13" s="39"/>
      <c r="C13" s="32"/>
      <c r="D13" s="33"/>
      <c r="E13" s="34"/>
      <c r="F13" s="34"/>
      <c r="G13" s="35"/>
      <c r="H13" s="34"/>
      <c r="I13" s="37"/>
    </row>
    <row r="14" ht="22.5" customHeight="1">
      <c r="A14" s="30"/>
      <c r="B14" s="31"/>
      <c r="C14" s="32"/>
      <c r="D14" s="33"/>
      <c r="E14" s="34"/>
      <c r="F14" s="34"/>
      <c r="G14" s="35"/>
      <c r="H14" s="34"/>
      <c r="I14" s="37"/>
    </row>
    <row r="15" ht="22.5" customHeight="1">
      <c r="A15" s="30"/>
      <c r="B15" s="39"/>
      <c r="C15" s="32"/>
      <c r="D15" s="33"/>
      <c r="E15" s="34"/>
      <c r="F15" s="34"/>
      <c r="G15" s="35"/>
      <c r="H15" s="34"/>
      <c r="I15" s="37"/>
    </row>
    <row r="16" ht="22.5" customHeight="1">
      <c r="A16" s="30"/>
      <c r="B16" s="31"/>
      <c r="C16" s="32"/>
      <c r="D16" s="33"/>
      <c r="E16" s="34"/>
      <c r="F16" s="34"/>
      <c r="G16" s="35"/>
      <c r="H16" s="34"/>
      <c r="I16" s="37"/>
    </row>
    <row r="17" ht="22.5" customHeight="1">
      <c r="A17" s="30"/>
      <c r="B17" s="31"/>
      <c r="C17" s="32"/>
      <c r="D17" s="33"/>
      <c r="E17" s="34"/>
      <c r="F17" s="34"/>
      <c r="G17" s="35"/>
      <c r="H17" s="34"/>
      <c r="I17" s="37"/>
    </row>
    <row r="18" ht="22.5" customHeight="1">
      <c r="A18" s="30"/>
      <c r="B18" s="31"/>
      <c r="C18" s="32"/>
      <c r="D18" s="33"/>
      <c r="E18" s="34"/>
      <c r="F18" s="34"/>
      <c r="G18" s="35"/>
      <c r="H18" s="34"/>
      <c r="I18" s="37"/>
    </row>
    <row r="19" ht="22.5" customHeight="1">
      <c r="A19" s="30"/>
      <c r="B19" s="31"/>
      <c r="C19" s="32"/>
      <c r="D19" s="33"/>
      <c r="E19" s="34"/>
      <c r="F19" s="34"/>
      <c r="G19" s="35"/>
      <c r="H19" s="34"/>
      <c r="I19" s="37"/>
    </row>
    <row r="20" ht="22.5" customHeight="1">
      <c r="A20" s="30"/>
      <c r="B20" s="31"/>
      <c r="C20" s="32"/>
      <c r="D20" s="33"/>
      <c r="E20" s="34"/>
      <c r="F20" s="34"/>
      <c r="G20" s="35"/>
      <c r="H20" s="34"/>
      <c r="I20" s="37"/>
    </row>
    <row r="21" ht="22.5" customHeight="1">
      <c r="A21" s="30"/>
      <c r="B21" s="31"/>
      <c r="C21" s="32"/>
      <c r="D21" s="33"/>
      <c r="E21" s="34"/>
      <c r="F21" s="34"/>
      <c r="G21" s="35"/>
      <c r="H21" s="34"/>
      <c r="I21" s="37"/>
    </row>
    <row r="22" ht="22.5" customHeight="1">
      <c r="A22" s="30"/>
      <c r="B22" s="31"/>
      <c r="C22" s="32"/>
      <c r="D22" s="33"/>
      <c r="E22" s="34"/>
      <c r="F22" s="34"/>
      <c r="G22" s="35"/>
      <c r="H22" s="34"/>
      <c r="I22" s="37"/>
    </row>
    <row r="23" ht="22.5" customHeight="1">
      <c r="A23" s="30"/>
      <c r="B23" s="31"/>
      <c r="C23" s="32"/>
      <c r="D23" s="33"/>
      <c r="E23" s="34"/>
      <c r="F23" s="34"/>
      <c r="G23" s="35"/>
      <c r="H23" s="34"/>
      <c r="I23" s="37"/>
    </row>
    <row r="24" ht="22.5" customHeight="1">
      <c r="A24" s="30"/>
      <c r="B24" s="31"/>
      <c r="C24" s="32"/>
      <c r="D24" s="33"/>
      <c r="E24" s="34"/>
      <c r="F24" s="34"/>
      <c r="G24" s="35"/>
      <c r="H24" s="34"/>
      <c r="I24" s="37"/>
    </row>
    <row r="25" ht="22.5" customHeight="1">
      <c r="A25" s="30"/>
      <c r="B25" s="31"/>
      <c r="C25" s="32"/>
      <c r="D25" s="33"/>
      <c r="E25" s="34"/>
      <c r="F25" s="34"/>
      <c r="G25" s="35"/>
      <c r="H25" s="34"/>
      <c r="I25" s="37"/>
    </row>
    <row r="26" ht="22.5" customHeight="1">
      <c r="A26" s="30"/>
      <c r="B26" s="40"/>
      <c r="C26" s="32"/>
      <c r="D26" s="33"/>
      <c r="E26" s="34"/>
      <c r="F26" s="34"/>
      <c r="G26" s="35"/>
      <c r="H26" s="34"/>
      <c r="I26" s="37"/>
    </row>
    <row r="27" ht="22.5" customHeight="1">
      <c r="A27" s="30"/>
      <c r="B27" s="31"/>
      <c r="C27" s="32"/>
      <c r="D27" s="33"/>
      <c r="E27" s="34"/>
      <c r="F27" s="34"/>
      <c r="G27" s="35"/>
      <c r="H27" s="34"/>
      <c r="I27" s="37"/>
    </row>
    <row r="28" ht="22.5" customHeight="1">
      <c r="A28" s="30"/>
      <c r="B28" s="31"/>
      <c r="C28" s="32"/>
      <c r="D28" s="33"/>
      <c r="E28" s="34"/>
      <c r="F28" s="34"/>
      <c r="G28" s="35"/>
      <c r="H28" s="34"/>
      <c r="I28" s="37"/>
    </row>
    <row r="29" ht="22.5" customHeight="1">
      <c r="A29" s="30"/>
      <c r="B29" s="31"/>
      <c r="C29" s="32"/>
      <c r="D29" s="33"/>
      <c r="E29" s="34"/>
      <c r="F29" s="34"/>
      <c r="G29" s="35"/>
      <c r="H29" s="34"/>
      <c r="I29" s="37"/>
    </row>
    <row r="30" ht="22.5" customHeight="1">
      <c r="A30" s="30"/>
      <c r="B30" s="31"/>
      <c r="C30" s="32"/>
      <c r="D30" s="33"/>
      <c r="E30" s="34"/>
      <c r="F30" s="34"/>
      <c r="G30" s="35"/>
      <c r="H30" s="34"/>
      <c r="I30" s="37"/>
    </row>
    <row r="31" ht="22.5" customHeight="1">
      <c r="A31" s="30"/>
      <c r="B31" s="31"/>
      <c r="C31" s="32"/>
      <c r="D31" s="33"/>
      <c r="E31" s="34"/>
      <c r="F31" s="34"/>
      <c r="G31" s="35"/>
      <c r="H31" s="34"/>
      <c r="I31" s="37"/>
    </row>
    <row r="32" ht="22.5" customHeight="1">
      <c r="A32" s="30"/>
      <c r="B32" s="31"/>
      <c r="C32" s="32"/>
      <c r="D32" s="33"/>
      <c r="E32" s="34"/>
      <c r="F32" s="34"/>
      <c r="G32" s="35"/>
      <c r="H32" s="34"/>
      <c r="I32" s="37"/>
    </row>
    <row r="33" ht="22.5" customHeight="1">
      <c r="A33" s="30"/>
      <c r="B33" s="39"/>
      <c r="C33" s="32"/>
      <c r="D33" s="33"/>
      <c r="E33" s="34"/>
      <c r="F33" s="34"/>
      <c r="G33" s="35"/>
      <c r="H33" s="34"/>
      <c r="I33" s="37"/>
    </row>
    <row r="34" ht="22.5" customHeight="1">
      <c r="A34" s="30"/>
      <c r="B34" s="39"/>
      <c r="C34" s="32"/>
      <c r="D34" s="33"/>
      <c r="E34" s="34"/>
      <c r="F34" s="34"/>
      <c r="G34" s="35"/>
      <c r="H34" s="34"/>
      <c r="I34" s="37"/>
    </row>
    <row r="35" ht="22.5" customHeight="1">
      <c r="A35" s="30"/>
      <c r="B35" s="39"/>
      <c r="C35" s="32"/>
      <c r="D35" s="33"/>
      <c r="E35" s="34"/>
      <c r="F35" s="34"/>
      <c r="G35" s="35"/>
      <c r="H35" s="34"/>
      <c r="I35" s="37"/>
    </row>
    <row r="36" ht="22.5" customHeight="1">
      <c r="A36" s="30"/>
      <c r="B36" s="40"/>
      <c r="C36" s="32"/>
      <c r="D36" s="33"/>
      <c r="E36" s="34"/>
      <c r="F36" s="34"/>
      <c r="G36" s="35"/>
      <c r="H36" s="34"/>
      <c r="I36" s="37"/>
    </row>
    <row r="37" ht="22.5" customHeight="1">
      <c r="A37" s="30"/>
      <c r="B37" s="31"/>
      <c r="C37" s="32"/>
      <c r="D37" s="33"/>
      <c r="E37" s="34"/>
      <c r="F37" s="34"/>
      <c r="G37" s="35"/>
      <c r="H37" s="34"/>
      <c r="I37" s="37"/>
    </row>
    <row r="38" ht="22.5" customHeight="1">
      <c r="A38" s="30"/>
      <c r="B38" s="31"/>
      <c r="C38" s="32"/>
      <c r="D38" s="33"/>
      <c r="E38" s="34"/>
      <c r="F38" s="34"/>
      <c r="G38" s="35"/>
      <c r="H38" s="34"/>
      <c r="I38" s="37"/>
    </row>
    <row r="39" ht="22.5" customHeight="1">
      <c r="A39" s="30"/>
      <c r="B39" s="31"/>
      <c r="C39" s="32"/>
      <c r="D39" s="33"/>
      <c r="E39" s="34"/>
      <c r="F39" s="34"/>
      <c r="G39" s="35"/>
      <c r="H39" s="34"/>
      <c r="I39" s="37"/>
    </row>
    <row r="40" ht="22.5" customHeight="1">
      <c r="A40" s="30"/>
      <c r="B40" s="31"/>
      <c r="C40" s="32"/>
      <c r="D40" s="33"/>
      <c r="E40" s="34"/>
      <c r="F40" s="34"/>
      <c r="G40" s="35"/>
      <c r="H40" s="34"/>
      <c r="I40" s="37"/>
    </row>
    <row r="41" ht="22.5" customHeight="1">
      <c r="A41" s="30"/>
      <c r="B41" s="31"/>
      <c r="C41" s="32"/>
      <c r="D41" s="33"/>
      <c r="E41" s="34"/>
      <c r="F41" s="34"/>
      <c r="G41" s="35"/>
      <c r="H41" s="34"/>
      <c r="I41" s="37"/>
    </row>
    <row r="42" ht="22.5" customHeight="1">
      <c r="A42" s="30"/>
      <c r="B42" s="31"/>
      <c r="C42" s="32"/>
      <c r="D42" s="33"/>
      <c r="E42" s="34"/>
      <c r="F42" s="34"/>
      <c r="G42" s="35"/>
      <c r="H42" s="34"/>
      <c r="I42" s="37"/>
    </row>
    <row r="43" ht="22.5" customHeight="1">
      <c r="A43" s="30"/>
      <c r="B43" s="31"/>
      <c r="C43" s="32"/>
      <c r="D43" s="33"/>
      <c r="E43" s="34"/>
      <c r="F43" s="34"/>
      <c r="G43" s="35"/>
      <c r="H43" s="34"/>
      <c r="I43" s="37"/>
    </row>
    <row r="44" ht="22.5" customHeight="1">
      <c r="A44" s="30"/>
      <c r="B44" s="31"/>
      <c r="C44" s="32"/>
      <c r="D44" s="33"/>
      <c r="E44" s="34"/>
      <c r="F44" s="34"/>
      <c r="G44" s="35"/>
      <c r="H44" s="34"/>
      <c r="I44" s="37"/>
    </row>
    <row r="45" ht="22.5" customHeight="1">
      <c r="A45" s="30"/>
      <c r="B45" s="31"/>
      <c r="C45" s="32"/>
      <c r="D45" s="33"/>
      <c r="E45" s="34"/>
      <c r="F45" s="34"/>
      <c r="G45" s="35"/>
      <c r="H45" s="34"/>
      <c r="I45" s="37"/>
    </row>
    <row r="46" ht="22.5" customHeight="1">
      <c r="A46" s="30"/>
      <c r="B46" s="40"/>
      <c r="C46" s="32"/>
      <c r="D46" s="33"/>
      <c r="E46" s="34"/>
      <c r="F46" s="34"/>
      <c r="G46" s="35"/>
      <c r="H46" s="34"/>
      <c r="I46" s="37"/>
    </row>
    <row r="47" ht="22.5" customHeight="1">
      <c r="A47" s="30"/>
      <c r="B47" s="31"/>
      <c r="C47" s="32"/>
      <c r="D47" s="33"/>
      <c r="E47" s="34"/>
      <c r="F47" s="34"/>
      <c r="G47" s="35"/>
      <c r="H47" s="34"/>
      <c r="I47" s="37"/>
    </row>
    <row r="48" ht="22.5" customHeight="1">
      <c r="A48" s="30"/>
      <c r="B48" s="31"/>
      <c r="C48" s="32"/>
      <c r="D48" s="33"/>
      <c r="E48" s="34"/>
      <c r="F48" s="34"/>
      <c r="G48" s="35"/>
      <c r="H48" s="34"/>
      <c r="I48" s="37"/>
    </row>
    <row r="49" ht="22.5" customHeight="1">
      <c r="A49" s="30"/>
      <c r="B49" s="31"/>
      <c r="C49" s="32"/>
      <c r="D49" s="33"/>
      <c r="E49" s="34"/>
      <c r="F49" s="34"/>
      <c r="G49" s="35"/>
      <c r="H49" s="34"/>
      <c r="I49" s="37"/>
    </row>
    <row r="50" ht="22.5" customHeight="1">
      <c r="A50" s="30"/>
      <c r="B50" s="40"/>
      <c r="C50" s="32"/>
      <c r="D50" s="33"/>
      <c r="E50" s="34"/>
      <c r="F50" s="34"/>
      <c r="G50" s="35"/>
      <c r="H50" s="34"/>
      <c r="I50" s="37"/>
    </row>
    <row r="51" ht="22.5" customHeight="1">
      <c r="A51" s="30"/>
      <c r="B51" s="31"/>
      <c r="C51" s="32"/>
      <c r="D51" s="33"/>
      <c r="E51" s="34"/>
      <c r="F51" s="34"/>
      <c r="G51" s="35"/>
      <c r="H51" s="34"/>
      <c r="I51" s="37"/>
    </row>
    <row r="52" ht="22.5" customHeight="1">
      <c r="A52" s="30"/>
      <c r="B52" s="31"/>
      <c r="C52" s="32"/>
      <c r="D52" s="33"/>
      <c r="E52" s="34"/>
      <c r="F52" s="34"/>
      <c r="G52" s="35"/>
      <c r="H52" s="34"/>
      <c r="I52" s="37"/>
    </row>
    <row r="53" ht="22.5" customHeight="1">
      <c r="A53" s="30"/>
      <c r="B53" s="31"/>
      <c r="C53" s="32"/>
      <c r="D53" s="33"/>
      <c r="E53" s="34"/>
      <c r="F53" s="34"/>
      <c r="G53" s="35"/>
      <c r="H53" s="34"/>
      <c r="I53" s="37"/>
    </row>
    <row r="54" ht="22.5" customHeight="1">
      <c r="A54" s="30"/>
      <c r="B54" s="31"/>
      <c r="C54" s="32"/>
      <c r="D54" s="33"/>
      <c r="E54" s="34"/>
      <c r="F54" s="34"/>
      <c r="G54" s="35"/>
      <c r="H54" s="34"/>
      <c r="I54" s="37"/>
    </row>
    <row r="55" ht="22.5" customHeight="1">
      <c r="A55" s="30"/>
      <c r="B55" s="31"/>
      <c r="C55" s="32"/>
      <c r="D55" s="33"/>
      <c r="E55" s="34"/>
      <c r="F55" s="34"/>
      <c r="G55" s="35"/>
      <c r="H55" s="34"/>
      <c r="I55" s="37"/>
    </row>
    <row r="56" ht="22.5" customHeight="1">
      <c r="A56" s="30"/>
      <c r="B56" s="31"/>
      <c r="C56" s="32"/>
      <c r="D56" s="33"/>
      <c r="E56" s="34"/>
      <c r="F56" s="34"/>
      <c r="G56" s="35"/>
      <c r="H56" s="34"/>
      <c r="I56" s="37"/>
    </row>
    <row r="57" ht="22.5" customHeight="1">
      <c r="A57" s="30"/>
      <c r="B57" s="31"/>
      <c r="C57" s="32"/>
      <c r="D57" s="33"/>
      <c r="E57" s="34"/>
      <c r="F57" s="34"/>
      <c r="G57" s="35"/>
      <c r="H57" s="34"/>
      <c r="I57" s="37"/>
    </row>
    <row r="58" ht="22.5" customHeight="1">
      <c r="A58" s="30"/>
      <c r="B58" s="31"/>
      <c r="C58" s="32"/>
      <c r="D58" s="33"/>
      <c r="E58" s="34"/>
      <c r="F58" s="34"/>
      <c r="G58" s="35"/>
      <c r="H58" s="34"/>
      <c r="I58" s="37"/>
    </row>
    <row r="59" ht="22.5" customHeight="1">
      <c r="A59" s="30"/>
      <c r="B59" s="31"/>
      <c r="C59" s="32"/>
      <c r="D59" s="33"/>
      <c r="E59" s="34"/>
      <c r="F59" s="34"/>
      <c r="G59" s="35"/>
      <c r="H59" s="34"/>
      <c r="I59" s="37"/>
    </row>
    <row r="60" ht="22.5" customHeight="1">
      <c r="A60" s="30"/>
      <c r="B60" s="31"/>
      <c r="C60" s="32"/>
      <c r="D60" s="33"/>
      <c r="E60" s="34"/>
      <c r="F60" s="34"/>
      <c r="G60" s="35"/>
      <c r="H60" s="34"/>
      <c r="I60" s="37"/>
    </row>
    <row r="61" ht="22.5" customHeight="1">
      <c r="A61" s="30"/>
      <c r="B61" s="31"/>
      <c r="C61" s="32"/>
      <c r="D61" s="33"/>
      <c r="E61" s="34"/>
      <c r="F61" s="34"/>
      <c r="G61" s="35"/>
      <c r="H61" s="34"/>
      <c r="I61" s="37"/>
    </row>
    <row r="62" ht="22.5" customHeight="1">
      <c r="A62" s="30"/>
      <c r="B62" s="31"/>
      <c r="C62" s="32"/>
      <c r="D62" s="33"/>
      <c r="E62" s="34"/>
      <c r="F62" s="34"/>
      <c r="G62" s="35"/>
      <c r="H62" s="34"/>
      <c r="I62" s="37"/>
    </row>
    <row r="63" ht="22.5" customHeight="1">
      <c r="A63" s="30"/>
      <c r="B63" s="31"/>
      <c r="C63" s="32"/>
      <c r="D63" s="33"/>
      <c r="E63" s="34"/>
      <c r="F63" s="34"/>
      <c r="G63" s="35"/>
      <c r="H63" s="34"/>
      <c r="I63" s="37"/>
    </row>
    <row r="64" ht="22.5" customHeight="1">
      <c r="A64" s="30"/>
      <c r="B64" s="31"/>
      <c r="C64" s="32"/>
      <c r="D64" s="33"/>
      <c r="E64" s="34"/>
      <c r="F64" s="34"/>
      <c r="G64" s="35"/>
      <c r="H64" s="34"/>
      <c r="I64" s="37"/>
    </row>
    <row r="65" ht="22.5" customHeight="1">
      <c r="A65" s="30"/>
      <c r="B65" s="40"/>
      <c r="C65" s="32"/>
      <c r="D65" s="33"/>
      <c r="E65" s="34"/>
      <c r="F65" s="34"/>
      <c r="G65" s="35"/>
      <c r="H65" s="34"/>
      <c r="I65" s="37"/>
    </row>
    <row r="66" ht="22.5" customHeight="1">
      <c r="A66" s="30"/>
      <c r="B66" s="31"/>
      <c r="C66" s="32"/>
      <c r="D66" s="33"/>
      <c r="E66" s="34"/>
      <c r="F66" s="34"/>
      <c r="G66" s="35"/>
      <c r="H66" s="34"/>
      <c r="I66" s="37"/>
    </row>
    <row r="67" ht="22.5" customHeight="1">
      <c r="A67" s="30"/>
      <c r="B67" s="40"/>
      <c r="C67" s="32"/>
      <c r="D67" s="33"/>
      <c r="E67" s="34"/>
      <c r="F67" s="34"/>
      <c r="G67" s="35"/>
      <c r="H67" s="34"/>
      <c r="I67" s="37"/>
    </row>
    <row r="68" ht="22.5" customHeight="1">
      <c r="A68" s="30"/>
      <c r="B68" s="31"/>
      <c r="C68" s="32"/>
      <c r="D68" s="33"/>
      <c r="E68" s="34"/>
      <c r="F68" s="34"/>
      <c r="G68" s="35"/>
      <c r="H68" s="34"/>
      <c r="I68" s="37"/>
    </row>
    <row r="69" ht="22.5" customHeight="1">
      <c r="A69" s="30"/>
      <c r="B69" s="31"/>
      <c r="C69" s="32"/>
      <c r="D69" s="33"/>
      <c r="E69" s="34"/>
      <c r="F69" s="34"/>
      <c r="G69" s="35"/>
      <c r="H69" s="34"/>
      <c r="I69" s="37"/>
    </row>
    <row r="70" ht="22.5" customHeight="1">
      <c r="A70" s="30"/>
      <c r="B70" s="31"/>
      <c r="C70" s="32"/>
      <c r="D70" s="33"/>
      <c r="E70" s="34"/>
      <c r="F70" s="34"/>
      <c r="G70" s="35"/>
      <c r="H70" s="34"/>
      <c r="I70" s="37"/>
    </row>
    <row r="71" ht="22.5" customHeight="1">
      <c r="A71" s="30"/>
      <c r="B71" s="31"/>
      <c r="C71" s="32"/>
      <c r="D71" s="33"/>
      <c r="E71" s="34"/>
      <c r="F71" s="34"/>
      <c r="G71" s="35"/>
      <c r="H71" s="34"/>
      <c r="I71" s="37"/>
    </row>
    <row r="72" ht="22.5" customHeight="1">
      <c r="A72" s="30"/>
      <c r="B72" s="40"/>
      <c r="C72" s="32"/>
      <c r="D72" s="33"/>
      <c r="E72" s="34"/>
      <c r="F72" s="34"/>
      <c r="G72" s="35"/>
      <c r="H72" s="34"/>
      <c r="I72" s="37"/>
    </row>
    <row r="73" ht="22.5" customHeight="1">
      <c r="A73" s="30"/>
      <c r="B73" s="31"/>
      <c r="C73" s="32"/>
      <c r="D73" s="33"/>
      <c r="E73" s="34"/>
      <c r="F73" s="34"/>
      <c r="G73" s="35"/>
      <c r="H73" s="34"/>
      <c r="I73" s="37"/>
    </row>
    <row r="74" ht="22.5" customHeight="1">
      <c r="A74" s="30"/>
      <c r="B74" s="31"/>
      <c r="C74" s="32"/>
      <c r="D74" s="33"/>
      <c r="E74" s="34"/>
      <c r="F74" s="34"/>
      <c r="G74" s="35"/>
      <c r="H74" s="34"/>
      <c r="I74" s="37"/>
    </row>
    <row r="75" ht="22.5" customHeight="1">
      <c r="A75" s="30"/>
      <c r="B75" s="31"/>
      <c r="C75" s="32"/>
      <c r="D75" s="33"/>
      <c r="E75" s="34"/>
      <c r="F75" s="34"/>
      <c r="G75" s="35"/>
      <c r="H75" s="34"/>
      <c r="I75" s="37"/>
    </row>
    <row r="76" ht="22.5" customHeight="1">
      <c r="A76" s="30"/>
      <c r="B76" s="31"/>
      <c r="C76" s="32"/>
      <c r="D76" s="33"/>
      <c r="E76" s="34"/>
      <c r="F76" s="34"/>
      <c r="G76" s="35"/>
      <c r="H76" s="34"/>
      <c r="I76" s="37"/>
    </row>
    <row r="77" ht="22.5" customHeight="1">
      <c r="A77" s="30"/>
      <c r="B77" s="31"/>
      <c r="C77" s="32"/>
      <c r="D77" s="33"/>
      <c r="E77" s="34"/>
      <c r="F77" s="34"/>
      <c r="G77" s="35"/>
      <c r="H77" s="34"/>
      <c r="I77" s="37"/>
    </row>
    <row r="78" ht="22.5" customHeight="1">
      <c r="A78" s="30"/>
      <c r="B78" s="31"/>
      <c r="C78" s="32"/>
      <c r="D78" s="33"/>
      <c r="E78" s="34"/>
      <c r="F78" s="34"/>
      <c r="G78" s="35"/>
      <c r="H78" s="34"/>
      <c r="I78" s="37"/>
    </row>
    <row r="79" ht="22.5" customHeight="1">
      <c r="A79" s="30"/>
      <c r="B79" s="31"/>
      <c r="C79" s="32"/>
      <c r="D79" s="33"/>
      <c r="E79" s="34"/>
      <c r="F79" s="34"/>
      <c r="G79" s="35"/>
      <c r="H79" s="34"/>
      <c r="I79" s="37"/>
    </row>
    <row r="80" ht="22.5" customHeight="1">
      <c r="A80" s="30"/>
      <c r="B80" s="31"/>
      <c r="C80" s="32"/>
      <c r="D80" s="33"/>
      <c r="E80" s="34"/>
      <c r="F80" s="34"/>
      <c r="G80" s="35"/>
      <c r="H80" s="34"/>
      <c r="I80" s="37"/>
    </row>
    <row r="81" ht="22.5" customHeight="1">
      <c r="A81" s="30"/>
      <c r="B81" s="31"/>
      <c r="C81" s="32"/>
      <c r="D81" s="33"/>
      <c r="E81" s="34"/>
      <c r="F81" s="34"/>
      <c r="G81" s="35"/>
      <c r="H81" s="34"/>
      <c r="I81" s="37"/>
    </row>
    <row r="82" ht="22.5" customHeight="1">
      <c r="A82" s="30"/>
      <c r="B82" s="31"/>
      <c r="C82" s="32"/>
      <c r="D82" s="33"/>
      <c r="E82" s="34"/>
      <c r="F82" s="34"/>
      <c r="G82" s="35"/>
      <c r="H82" s="34"/>
      <c r="I82" s="37"/>
    </row>
    <row r="83" ht="22.5" customHeight="1">
      <c r="A83" s="30"/>
      <c r="B83" s="31"/>
      <c r="C83" s="32"/>
      <c r="D83" s="33"/>
      <c r="E83" s="34"/>
      <c r="F83" s="34"/>
      <c r="G83" s="35"/>
      <c r="H83" s="34"/>
      <c r="I83" s="37"/>
    </row>
    <row r="84" ht="22.5" customHeight="1">
      <c r="A84" s="30"/>
      <c r="B84" s="31"/>
      <c r="C84" s="32"/>
      <c r="D84" s="33"/>
      <c r="E84" s="34"/>
      <c r="F84" s="34"/>
      <c r="G84" s="35"/>
      <c r="H84" s="34"/>
      <c r="I84" s="37"/>
    </row>
    <row r="85" ht="22.5" customHeight="1">
      <c r="A85" s="30"/>
      <c r="B85" s="31"/>
      <c r="C85" s="32"/>
      <c r="D85" s="33"/>
      <c r="E85" s="34"/>
      <c r="F85" s="34"/>
      <c r="G85" s="35"/>
      <c r="H85" s="34"/>
      <c r="I85" s="37"/>
    </row>
    <row r="86" ht="22.5" customHeight="1">
      <c r="A86" s="30"/>
      <c r="B86" s="31"/>
      <c r="C86" s="32"/>
      <c r="D86" s="33"/>
      <c r="E86" s="34"/>
      <c r="F86" s="34"/>
      <c r="G86" s="35"/>
      <c r="H86" s="34"/>
      <c r="I86" s="37"/>
    </row>
    <row r="87" ht="22.5" customHeight="1">
      <c r="A87" s="30"/>
      <c r="B87" s="31"/>
      <c r="C87" s="32"/>
      <c r="D87" s="33"/>
      <c r="E87" s="34"/>
      <c r="F87" s="34"/>
      <c r="G87" s="35"/>
      <c r="H87" s="34"/>
      <c r="I87" s="37"/>
    </row>
    <row r="88" ht="22.5" customHeight="1">
      <c r="A88" s="30"/>
      <c r="B88" s="31"/>
      <c r="C88" s="32"/>
      <c r="D88" s="33"/>
      <c r="E88" s="34"/>
      <c r="F88" s="34"/>
      <c r="G88" s="35"/>
      <c r="H88" s="34"/>
      <c r="I88" s="37"/>
    </row>
    <row r="89" ht="22.5" customHeight="1">
      <c r="A89" s="30"/>
      <c r="B89" s="31"/>
      <c r="C89" s="32"/>
      <c r="D89" s="33"/>
      <c r="E89" s="34"/>
      <c r="F89" s="34"/>
      <c r="G89" s="35"/>
      <c r="H89" s="34"/>
      <c r="I89" s="37"/>
    </row>
    <row r="90" ht="22.5" customHeight="1">
      <c r="A90" s="30"/>
      <c r="B90" s="31"/>
      <c r="C90" s="32"/>
      <c r="D90" s="33"/>
      <c r="E90" s="34"/>
      <c r="F90" s="34"/>
      <c r="G90" s="35"/>
      <c r="H90" s="34"/>
      <c r="I90" s="37"/>
    </row>
    <row r="91" ht="22.5" customHeight="1">
      <c r="A91" s="30"/>
      <c r="B91" s="31"/>
      <c r="C91" s="32"/>
      <c r="D91" s="33"/>
      <c r="E91" s="34"/>
      <c r="F91" s="34"/>
      <c r="G91" s="35"/>
      <c r="H91" s="34"/>
      <c r="I91" s="37"/>
    </row>
    <row r="92" ht="22.5" customHeight="1">
      <c r="A92" s="30"/>
      <c r="B92" s="31"/>
      <c r="C92" s="32"/>
      <c r="D92" s="33"/>
      <c r="E92" s="34"/>
      <c r="F92" s="34"/>
      <c r="G92" s="35"/>
      <c r="H92" s="34"/>
      <c r="I92" s="37"/>
    </row>
    <row r="93" ht="22.5" customHeight="1">
      <c r="A93" s="30"/>
      <c r="B93" s="31"/>
      <c r="C93" s="32"/>
      <c r="D93" s="33"/>
      <c r="E93" s="34"/>
      <c r="F93" s="34"/>
      <c r="G93" s="35"/>
      <c r="H93" s="34"/>
      <c r="I93" s="37"/>
    </row>
    <row r="94" ht="22.5" customHeight="1">
      <c r="A94" s="30"/>
      <c r="B94" s="40"/>
      <c r="C94" s="32"/>
      <c r="D94" s="33"/>
      <c r="E94" s="34"/>
      <c r="F94" s="34"/>
      <c r="G94" s="35"/>
      <c r="H94" s="34"/>
      <c r="I94" s="37"/>
    </row>
    <row r="95" ht="22.5" customHeight="1">
      <c r="A95" s="30"/>
      <c r="B95" s="31"/>
      <c r="C95" s="32"/>
      <c r="D95" s="33"/>
      <c r="E95" s="34"/>
      <c r="F95" s="34"/>
      <c r="G95" s="35"/>
      <c r="H95" s="34"/>
      <c r="I95" s="37"/>
    </row>
    <row r="96" ht="22.5" customHeight="1">
      <c r="A96" s="30"/>
      <c r="B96" s="31"/>
      <c r="C96" s="32"/>
      <c r="D96" s="33"/>
      <c r="E96" s="34"/>
      <c r="F96" s="34"/>
      <c r="G96" s="35"/>
      <c r="H96" s="34"/>
      <c r="I96" s="37"/>
    </row>
    <row r="97" ht="22.5" customHeight="1">
      <c r="A97" s="30"/>
      <c r="B97" s="31"/>
      <c r="C97" s="32"/>
      <c r="D97" s="33"/>
      <c r="E97" s="34"/>
      <c r="F97" s="34"/>
      <c r="G97" s="35"/>
      <c r="H97" s="34"/>
      <c r="I97" s="37"/>
    </row>
    <row r="98" ht="22.5" customHeight="1">
      <c r="A98" s="30"/>
      <c r="B98" s="31"/>
      <c r="C98" s="32"/>
      <c r="D98" s="33"/>
      <c r="E98" s="34"/>
      <c r="F98" s="34"/>
      <c r="G98" s="35"/>
      <c r="H98" s="34"/>
      <c r="I98" s="38"/>
    </row>
    <row r="99" ht="22.5" customHeight="1">
      <c r="A99" s="30"/>
      <c r="B99" s="39"/>
      <c r="C99" s="32"/>
      <c r="D99" s="33"/>
      <c r="E99" s="34"/>
      <c r="F99" s="34"/>
      <c r="G99" s="35"/>
      <c r="H99" s="34"/>
      <c r="I99" s="37"/>
    </row>
    <row r="100" ht="22.5" customHeight="1">
      <c r="A100" s="30"/>
      <c r="B100" s="31"/>
      <c r="C100" s="32"/>
      <c r="D100" s="33"/>
      <c r="E100" s="34"/>
      <c r="F100" s="34"/>
      <c r="G100" s="35"/>
      <c r="H100" s="34"/>
      <c r="I100" s="37"/>
    </row>
    <row r="101" ht="22.5" customHeight="1">
      <c r="A101" s="30"/>
      <c r="B101" s="31"/>
      <c r="C101" s="32"/>
      <c r="D101" s="33"/>
      <c r="E101" s="34"/>
      <c r="F101" s="34"/>
      <c r="G101" s="35"/>
      <c r="H101" s="34"/>
      <c r="I101" s="37"/>
    </row>
    <row r="102" ht="22.5" customHeight="1">
      <c r="A102" s="30"/>
      <c r="B102" s="31"/>
      <c r="C102" s="32"/>
      <c r="D102" s="33"/>
      <c r="E102" s="34"/>
      <c r="F102" s="34"/>
      <c r="G102" s="35"/>
      <c r="H102" s="34"/>
      <c r="I102" s="37"/>
    </row>
    <row r="103" ht="22.5" customHeight="1">
      <c r="A103" s="30"/>
      <c r="B103" s="39"/>
      <c r="C103" s="32"/>
      <c r="D103" s="33"/>
      <c r="E103" s="34"/>
      <c r="F103" s="34"/>
      <c r="G103" s="35"/>
      <c r="H103" s="34"/>
      <c r="I103" s="37"/>
    </row>
    <row r="104" ht="22.5" customHeight="1">
      <c r="A104" s="30"/>
      <c r="B104" s="31"/>
      <c r="C104" s="32"/>
      <c r="D104" s="33"/>
      <c r="E104" s="34"/>
      <c r="F104" s="34"/>
      <c r="G104" s="35"/>
      <c r="H104" s="34"/>
      <c r="I104" s="37"/>
    </row>
    <row r="105" ht="22.5" customHeight="1">
      <c r="A105" s="30"/>
      <c r="B105" s="39"/>
      <c r="C105" s="32"/>
      <c r="D105" s="33"/>
      <c r="E105" s="34"/>
      <c r="F105" s="34"/>
      <c r="G105" s="35"/>
      <c r="H105" s="34"/>
      <c r="I105" s="37"/>
    </row>
    <row r="106" ht="22.5" customHeight="1">
      <c r="A106" s="30"/>
      <c r="B106" s="31"/>
      <c r="C106" s="32"/>
      <c r="D106" s="33"/>
      <c r="E106" s="34"/>
      <c r="F106" s="34"/>
      <c r="G106" s="35"/>
      <c r="H106" s="34"/>
      <c r="I106" s="37"/>
    </row>
    <row r="107" ht="22.5" customHeight="1">
      <c r="A107" s="30"/>
      <c r="B107" s="31"/>
      <c r="C107" s="32"/>
      <c r="D107" s="33"/>
      <c r="E107" s="34"/>
      <c r="F107" s="34"/>
      <c r="G107" s="35"/>
      <c r="H107" s="34"/>
      <c r="I107" s="37"/>
    </row>
    <row r="108" ht="22.5" customHeight="1">
      <c r="A108" s="30"/>
      <c r="B108" s="31"/>
      <c r="C108" s="32"/>
      <c r="D108" s="33"/>
      <c r="E108" s="34"/>
      <c r="F108" s="34"/>
      <c r="G108" s="35"/>
      <c r="H108" s="34"/>
      <c r="I108" s="37"/>
    </row>
    <row r="109" ht="22.5" customHeight="1">
      <c r="A109" s="30"/>
      <c r="B109" s="31"/>
      <c r="C109" s="32"/>
      <c r="D109" s="33"/>
      <c r="E109" s="34"/>
      <c r="F109" s="34"/>
      <c r="G109" s="35"/>
      <c r="H109" s="34"/>
      <c r="I109" s="37"/>
    </row>
    <row r="110" ht="22.5" customHeight="1">
      <c r="A110" s="30"/>
      <c r="B110" s="31"/>
      <c r="C110" s="32"/>
      <c r="D110" s="33"/>
      <c r="E110" s="34"/>
      <c r="F110" s="34"/>
      <c r="G110" s="35"/>
      <c r="H110" s="34"/>
      <c r="I110" s="37"/>
    </row>
    <row r="111" ht="22.5" customHeight="1">
      <c r="A111" s="30"/>
      <c r="B111" s="31"/>
      <c r="C111" s="32"/>
      <c r="D111" s="33"/>
      <c r="E111" s="34"/>
      <c r="F111" s="34"/>
      <c r="G111" s="35"/>
      <c r="H111" s="34"/>
      <c r="I111" s="37"/>
    </row>
    <row r="112" ht="22.5" customHeight="1">
      <c r="A112" s="30"/>
      <c r="B112" s="31"/>
      <c r="C112" s="32"/>
      <c r="D112" s="33"/>
      <c r="E112" s="34"/>
      <c r="F112" s="34"/>
      <c r="G112" s="35"/>
      <c r="H112" s="34"/>
      <c r="I112" s="37"/>
    </row>
    <row r="113" ht="22.5" customHeight="1">
      <c r="A113" s="30"/>
      <c r="B113" s="31"/>
      <c r="C113" s="32"/>
      <c r="D113" s="33"/>
      <c r="E113" s="34"/>
      <c r="F113" s="34"/>
      <c r="G113" s="35"/>
      <c r="H113" s="34"/>
      <c r="I113" s="37"/>
    </row>
    <row r="114" ht="22.5" customHeight="1">
      <c r="A114" s="30"/>
      <c r="B114" s="31"/>
      <c r="C114" s="32"/>
      <c r="D114" s="33"/>
      <c r="E114" s="34"/>
      <c r="F114" s="34"/>
      <c r="G114" s="35"/>
      <c r="H114" s="34"/>
      <c r="I114" s="37"/>
    </row>
    <row r="115" ht="22.5" customHeight="1">
      <c r="A115" s="30"/>
      <c r="B115" s="31"/>
      <c r="C115" s="32"/>
      <c r="D115" s="33"/>
      <c r="E115" s="34"/>
      <c r="F115" s="34"/>
      <c r="G115" s="35"/>
      <c r="H115" s="34"/>
      <c r="I115" s="37"/>
    </row>
    <row r="116" ht="22.5" customHeight="1">
      <c r="A116" s="30"/>
      <c r="B116" s="40"/>
      <c r="C116" s="32"/>
      <c r="D116" s="33"/>
      <c r="E116" s="34"/>
      <c r="F116" s="34"/>
      <c r="G116" s="35"/>
      <c r="H116" s="34"/>
      <c r="I116" s="37"/>
    </row>
    <row r="117" ht="22.5" customHeight="1">
      <c r="A117" s="30"/>
      <c r="B117" s="31"/>
      <c r="C117" s="32"/>
      <c r="D117" s="33"/>
      <c r="E117" s="34"/>
      <c r="F117" s="34"/>
      <c r="G117" s="35"/>
      <c r="H117" s="34"/>
      <c r="I117" s="37"/>
    </row>
    <row r="118" ht="22.5" customHeight="1">
      <c r="A118" s="30"/>
      <c r="B118" s="31"/>
      <c r="C118" s="32"/>
      <c r="D118" s="33"/>
      <c r="E118" s="34"/>
      <c r="F118" s="34"/>
      <c r="G118" s="35"/>
      <c r="H118" s="34"/>
      <c r="I118" s="37"/>
    </row>
    <row r="119" ht="22.5" customHeight="1">
      <c r="A119" s="30"/>
      <c r="B119" s="31"/>
      <c r="C119" s="32"/>
      <c r="D119" s="33"/>
      <c r="E119" s="34"/>
      <c r="F119" s="34"/>
      <c r="G119" s="35"/>
      <c r="H119" s="34"/>
      <c r="I119" s="37"/>
    </row>
    <row r="120" ht="22.5" customHeight="1">
      <c r="A120" s="30"/>
      <c r="B120" s="31"/>
      <c r="C120" s="32"/>
      <c r="D120" s="33"/>
      <c r="E120" s="34"/>
      <c r="F120" s="34"/>
      <c r="G120" s="35"/>
      <c r="H120" s="34"/>
      <c r="I120" s="37"/>
    </row>
    <row r="121" ht="22.5" customHeight="1">
      <c r="A121" s="30"/>
      <c r="B121" s="31"/>
      <c r="C121" s="32"/>
      <c r="D121" s="33"/>
      <c r="E121" s="34"/>
      <c r="F121" s="34"/>
      <c r="G121" s="35"/>
      <c r="H121" s="34"/>
      <c r="I121" s="37"/>
    </row>
    <row r="122" ht="22.5" customHeight="1">
      <c r="A122" s="30"/>
      <c r="B122" s="31"/>
      <c r="C122" s="32"/>
      <c r="D122" s="33"/>
      <c r="E122" s="34"/>
      <c r="F122" s="34"/>
      <c r="G122" s="35"/>
      <c r="H122" s="34"/>
      <c r="I122" s="37"/>
    </row>
    <row r="123" ht="22.5" customHeight="1">
      <c r="A123" s="30"/>
      <c r="B123" s="39"/>
      <c r="C123" s="32"/>
      <c r="D123" s="33"/>
      <c r="E123" s="34"/>
      <c r="F123" s="34"/>
      <c r="G123" s="35"/>
      <c r="H123" s="34"/>
      <c r="I123" s="37"/>
    </row>
    <row r="124" ht="22.5" customHeight="1">
      <c r="A124" s="30"/>
      <c r="B124" s="39"/>
      <c r="C124" s="32"/>
      <c r="D124" s="33"/>
      <c r="E124" s="34"/>
      <c r="F124" s="34"/>
      <c r="G124" s="35"/>
      <c r="H124" s="34"/>
      <c r="I124" s="37"/>
    </row>
    <row r="125" ht="22.5" customHeight="1">
      <c r="A125" s="30"/>
      <c r="B125" s="39"/>
      <c r="C125" s="32"/>
      <c r="D125" s="33"/>
      <c r="E125" s="34"/>
      <c r="F125" s="34"/>
      <c r="G125" s="35"/>
      <c r="H125" s="34"/>
      <c r="I125" s="37"/>
    </row>
    <row r="126" ht="22.5" customHeight="1">
      <c r="A126" s="30"/>
      <c r="B126" s="40"/>
      <c r="C126" s="32"/>
      <c r="D126" s="33"/>
      <c r="E126" s="34"/>
      <c r="F126" s="34"/>
      <c r="G126" s="35"/>
      <c r="H126" s="34"/>
      <c r="I126" s="37"/>
    </row>
    <row r="127" ht="22.5" customHeight="1">
      <c r="A127" s="30"/>
      <c r="B127" s="31"/>
      <c r="C127" s="32"/>
      <c r="D127" s="33"/>
      <c r="E127" s="34"/>
      <c r="F127" s="34"/>
      <c r="G127" s="35"/>
      <c r="H127" s="34"/>
      <c r="I127" s="37"/>
    </row>
    <row r="128" ht="22.5" customHeight="1">
      <c r="A128" s="30"/>
      <c r="B128" s="31"/>
      <c r="C128" s="32"/>
      <c r="D128" s="33"/>
      <c r="E128" s="34"/>
      <c r="F128" s="34"/>
      <c r="G128" s="35"/>
      <c r="H128" s="34"/>
      <c r="I128" s="37"/>
    </row>
    <row r="129" ht="22.5" customHeight="1">
      <c r="A129" s="30"/>
      <c r="B129" s="31"/>
      <c r="C129" s="32"/>
      <c r="D129" s="33"/>
      <c r="E129" s="34"/>
      <c r="F129" s="34"/>
      <c r="G129" s="35"/>
      <c r="H129" s="34"/>
      <c r="I129" s="37"/>
    </row>
    <row r="130" ht="22.5" customHeight="1">
      <c r="A130" s="30"/>
      <c r="B130" s="31"/>
      <c r="C130" s="32"/>
      <c r="D130" s="33"/>
      <c r="E130" s="34"/>
      <c r="F130" s="34"/>
      <c r="G130" s="35"/>
      <c r="H130" s="34"/>
      <c r="I130" s="37"/>
    </row>
    <row r="131" ht="22.5" customHeight="1">
      <c r="A131" s="30"/>
      <c r="B131" s="31"/>
      <c r="C131" s="32"/>
      <c r="D131" s="33"/>
      <c r="E131" s="34"/>
      <c r="F131" s="34"/>
      <c r="G131" s="35"/>
      <c r="H131" s="34"/>
      <c r="I131" s="37"/>
    </row>
    <row r="132" ht="22.5" customHeight="1">
      <c r="A132" s="30"/>
      <c r="B132" s="31"/>
      <c r="C132" s="32"/>
      <c r="D132" s="33"/>
      <c r="E132" s="34"/>
      <c r="F132" s="34"/>
      <c r="G132" s="35"/>
      <c r="H132" s="34"/>
      <c r="I132" s="37"/>
    </row>
    <row r="133" ht="22.5" customHeight="1">
      <c r="A133" s="30"/>
      <c r="B133" s="31"/>
      <c r="C133" s="32"/>
      <c r="D133" s="33"/>
      <c r="E133" s="34"/>
      <c r="F133" s="34"/>
      <c r="G133" s="35"/>
      <c r="H133" s="34"/>
      <c r="I133" s="37"/>
    </row>
    <row r="134" ht="22.5" customHeight="1">
      <c r="A134" s="30"/>
      <c r="B134" s="31"/>
      <c r="C134" s="32"/>
      <c r="D134" s="33"/>
      <c r="E134" s="34"/>
      <c r="F134" s="34"/>
      <c r="G134" s="35"/>
      <c r="H134" s="34"/>
      <c r="I134" s="37"/>
    </row>
    <row r="135" ht="22.5" customHeight="1">
      <c r="A135" s="30"/>
      <c r="B135" s="31"/>
      <c r="C135" s="32"/>
      <c r="D135" s="33"/>
      <c r="E135" s="34"/>
      <c r="F135" s="34"/>
      <c r="G135" s="35"/>
      <c r="H135" s="34"/>
      <c r="I135" s="37"/>
    </row>
    <row r="136" ht="22.5" customHeight="1">
      <c r="A136" s="30"/>
      <c r="B136" s="40"/>
      <c r="C136" s="32"/>
      <c r="D136" s="33"/>
      <c r="E136" s="34"/>
      <c r="F136" s="34"/>
      <c r="G136" s="35"/>
      <c r="H136" s="34"/>
      <c r="I136" s="37"/>
    </row>
    <row r="137" ht="22.5" customHeight="1">
      <c r="A137" s="30"/>
      <c r="B137" s="31"/>
      <c r="C137" s="32"/>
      <c r="D137" s="33"/>
      <c r="E137" s="34"/>
      <c r="F137" s="34"/>
      <c r="G137" s="35"/>
      <c r="H137" s="34"/>
      <c r="I137" s="37"/>
    </row>
    <row r="138" ht="22.5" customHeight="1">
      <c r="A138" s="30"/>
      <c r="B138" s="31"/>
      <c r="C138" s="32"/>
      <c r="D138" s="33"/>
      <c r="E138" s="34"/>
      <c r="F138" s="34"/>
      <c r="G138" s="35"/>
      <c r="H138" s="34"/>
      <c r="I138" s="37"/>
    </row>
    <row r="139" ht="22.5" customHeight="1">
      <c r="A139" s="30"/>
      <c r="B139" s="31"/>
      <c r="C139" s="32"/>
      <c r="D139" s="33"/>
      <c r="E139" s="34"/>
      <c r="F139" s="34"/>
      <c r="G139" s="35"/>
      <c r="H139" s="34"/>
      <c r="I139" s="37"/>
    </row>
    <row r="140" ht="22.5" customHeight="1">
      <c r="A140" s="30"/>
      <c r="B140" s="40"/>
      <c r="C140" s="32"/>
      <c r="D140" s="33"/>
      <c r="E140" s="34"/>
      <c r="F140" s="34"/>
      <c r="G140" s="35"/>
      <c r="H140" s="34"/>
      <c r="I140" s="37"/>
    </row>
    <row r="141" ht="22.5" customHeight="1">
      <c r="A141" s="30"/>
      <c r="B141" s="31"/>
      <c r="C141" s="32"/>
      <c r="D141" s="33"/>
      <c r="E141" s="34"/>
      <c r="F141" s="34"/>
      <c r="G141" s="35"/>
      <c r="H141" s="34"/>
      <c r="I141" s="37"/>
    </row>
    <row r="142" ht="22.5" customHeight="1">
      <c r="A142" s="30"/>
      <c r="B142" s="31"/>
      <c r="C142" s="32"/>
      <c r="D142" s="33"/>
      <c r="E142" s="34"/>
      <c r="F142" s="34"/>
      <c r="G142" s="35"/>
      <c r="H142" s="34"/>
      <c r="I142" s="37"/>
    </row>
    <row r="143" ht="22.5" customHeight="1">
      <c r="A143" s="30"/>
      <c r="B143" s="31"/>
      <c r="C143" s="32"/>
      <c r="D143" s="33"/>
      <c r="E143" s="34"/>
      <c r="F143" s="34"/>
      <c r="G143" s="35"/>
      <c r="H143" s="34"/>
      <c r="I143" s="37"/>
    </row>
    <row r="144" ht="22.5" customHeight="1">
      <c r="A144" s="30"/>
      <c r="B144" s="31"/>
      <c r="C144" s="32"/>
      <c r="D144" s="33"/>
      <c r="E144" s="34"/>
      <c r="F144" s="34"/>
      <c r="G144" s="35"/>
      <c r="H144" s="34"/>
      <c r="I144" s="37"/>
    </row>
    <row r="145" ht="22.5" customHeight="1">
      <c r="A145" s="30"/>
      <c r="B145" s="31"/>
      <c r="C145" s="32"/>
      <c r="D145" s="33"/>
      <c r="E145" s="34"/>
      <c r="F145" s="34"/>
      <c r="G145" s="35"/>
      <c r="H145" s="34"/>
      <c r="I145" s="37"/>
    </row>
    <row r="146" ht="22.5" customHeight="1">
      <c r="A146" s="30"/>
      <c r="B146" s="31"/>
      <c r="C146" s="32"/>
      <c r="D146" s="33"/>
      <c r="E146" s="34"/>
      <c r="F146" s="34"/>
      <c r="G146" s="35"/>
      <c r="H146" s="34"/>
      <c r="I146" s="37"/>
    </row>
    <row r="147" ht="22.5" customHeight="1">
      <c r="A147" s="30"/>
      <c r="B147" s="31"/>
      <c r="C147" s="32"/>
      <c r="D147" s="33"/>
      <c r="E147" s="34"/>
      <c r="F147" s="34"/>
      <c r="G147" s="35"/>
      <c r="H147" s="34"/>
      <c r="I147" s="37"/>
    </row>
    <row r="148" ht="22.5" customHeight="1">
      <c r="A148" s="30"/>
      <c r="B148" s="31"/>
      <c r="C148" s="32"/>
      <c r="D148" s="33"/>
      <c r="E148" s="34"/>
      <c r="F148" s="34"/>
      <c r="G148" s="35"/>
      <c r="H148" s="34"/>
      <c r="I148" s="37"/>
    </row>
    <row r="149" ht="22.5" customHeight="1">
      <c r="A149" s="30"/>
      <c r="B149" s="31"/>
      <c r="C149" s="32"/>
      <c r="D149" s="33"/>
      <c r="E149" s="34"/>
      <c r="F149" s="34"/>
      <c r="G149" s="35"/>
      <c r="H149" s="34"/>
      <c r="I149" s="37"/>
    </row>
    <row r="150" ht="22.5" customHeight="1">
      <c r="A150" s="30"/>
      <c r="B150" s="31"/>
      <c r="C150" s="32"/>
      <c r="D150" s="33"/>
      <c r="E150" s="34"/>
      <c r="F150" s="34"/>
      <c r="G150" s="35"/>
      <c r="H150" s="34"/>
      <c r="I150" s="37"/>
    </row>
    <row r="151" ht="22.5" customHeight="1">
      <c r="A151" s="30"/>
      <c r="B151" s="31"/>
      <c r="C151" s="32"/>
      <c r="D151" s="33"/>
      <c r="E151" s="34"/>
      <c r="F151" s="34"/>
      <c r="G151" s="35"/>
      <c r="H151" s="34"/>
      <c r="I151" s="37"/>
    </row>
    <row r="152" ht="22.5" customHeight="1">
      <c r="A152" s="30"/>
      <c r="B152" s="31"/>
      <c r="C152" s="32"/>
      <c r="D152" s="33"/>
      <c r="E152" s="34"/>
      <c r="F152" s="34"/>
      <c r="G152" s="35"/>
      <c r="H152" s="34"/>
      <c r="I152" s="37"/>
    </row>
    <row r="153" ht="22.5" customHeight="1">
      <c r="A153" s="30"/>
      <c r="B153" s="31"/>
      <c r="C153" s="32"/>
      <c r="D153" s="33"/>
      <c r="E153" s="34"/>
      <c r="F153" s="34"/>
      <c r="G153" s="35"/>
      <c r="H153" s="34"/>
      <c r="I153" s="37"/>
    </row>
    <row r="154" ht="22.5" customHeight="1">
      <c r="A154" s="30"/>
      <c r="B154" s="31"/>
      <c r="C154" s="32"/>
      <c r="D154" s="33"/>
      <c r="E154" s="34"/>
      <c r="F154" s="34"/>
      <c r="G154" s="35"/>
      <c r="H154" s="34"/>
      <c r="I154" s="37"/>
    </row>
    <row r="155" ht="22.5" customHeight="1">
      <c r="A155" s="30"/>
      <c r="B155" s="40"/>
      <c r="C155" s="32"/>
      <c r="D155" s="33"/>
      <c r="E155" s="34"/>
      <c r="F155" s="34"/>
      <c r="G155" s="35"/>
      <c r="H155" s="34"/>
      <c r="I155" s="37"/>
    </row>
    <row r="156" ht="22.5" customHeight="1">
      <c r="A156" s="30"/>
      <c r="B156" s="31"/>
      <c r="C156" s="32"/>
      <c r="D156" s="33"/>
      <c r="E156" s="34"/>
      <c r="F156" s="34"/>
      <c r="G156" s="35"/>
      <c r="H156" s="34"/>
      <c r="I156" s="37"/>
    </row>
    <row r="157" ht="22.5" customHeight="1">
      <c r="A157" s="30"/>
      <c r="B157" s="40"/>
      <c r="C157" s="32"/>
      <c r="D157" s="33"/>
      <c r="E157" s="34"/>
      <c r="F157" s="34"/>
      <c r="G157" s="35"/>
      <c r="H157" s="34"/>
      <c r="I157" s="37"/>
    </row>
    <row r="158" ht="22.5" customHeight="1">
      <c r="A158" s="30"/>
      <c r="B158" s="31"/>
      <c r="C158" s="32"/>
      <c r="D158" s="33"/>
      <c r="E158" s="34"/>
      <c r="F158" s="34"/>
      <c r="G158" s="35"/>
      <c r="H158" s="34"/>
      <c r="I158" s="37"/>
    </row>
    <row r="159" ht="22.5" customHeight="1">
      <c r="A159" s="30"/>
      <c r="B159" s="31"/>
      <c r="C159" s="32"/>
      <c r="D159" s="33"/>
      <c r="E159" s="34"/>
      <c r="F159" s="34"/>
      <c r="G159" s="35"/>
      <c r="H159" s="34"/>
      <c r="I159" s="37"/>
    </row>
    <row r="160" ht="22.5" customHeight="1">
      <c r="A160" s="30"/>
      <c r="B160" s="31"/>
      <c r="C160" s="32"/>
      <c r="D160" s="33"/>
      <c r="E160" s="34"/>
      <c r="F160" s="34"/>
      <c r="G160" s="35"/>
      <c r="H160" s="34"/>
      <c r="I160" s="37"/>
    </row>
    <row r="161" ht="22.5" customHeight="1">
      <c r="A161" s="30"/>
      <c r="B161" s="31"/>
      <c r="C161" s="32"/>
      <c r="D161" s="33"/>
      <c r="E161" s="34"/>
      <c r="F161" s="34"/>
      <c r="G161" s="35"/>
      <c r="H161" s="34"/>
      <c r="I161" s="37"/>
    </row>
    <row r="162" ht="22.5" customHeight="1">
      <c r="A162" s="30"/>
      <c r="B162" s="40"/>
      <c r="C162" s="32"/>
      <c r="D162" s="33"/>
      <c r="E162" s="34"/>
      <c r="F162" s="34"/>
      <c r="G162" s="35"/>
      <c r="H162" s="34"/>
      <c r="I162" s="37"/>
    </row>
    <row r="163" ht="22.5" customHeight="1">
      <c r="A163" s="30"/>
      <c r="B163" s="31"/>
      <c r="C163" s="32"/>
      <c r="D163" s="33"/>
      <c r="E163" s="34"/>
      <c r="F163" s="34"/>
      <c r="G163" s="35"/>
      <c r="H163" s="34"/>
      <c r="I163" s="37"/>
    </row>
    <row r="164" ht="22.5" customHeight="1">
      <c r="A164" s="30"/>
      <c r="B164" s="31"/>
      <c r="C164" s="32"/>
      <c r="D164" s="33"/>
      <c r="E164" s="34"/>
      <c r="F164" s="34"/>
      <c r="G164" s="35"/>
      <c r="H164" s="34"/>
      <c r="I164" s="37"/>
    </row>
    <row r="165" ht="22.5" customHeight="1">
      <c r="A165" s="30"/>
      <c r="B165" s="31"/>
      <c r="C165" s="32"/>
      <c r="D165" s="33"/>
      <c r="E165" s="34"/>
      <c r="F165" s="34"/>
      <c r="G165" s="35"/>
      <c r="H165" s="34"/>
      <c r="I165" s="37"/>
    </row>
    <row r="166" ht="22.5" customHeight="1">
      <c r="A166" s="30"/>
      <c r="B166" s="31"/>
      <c r="C166" s="32"/>
      <c r="D166" s="33"/>
      <c r="E166" s="34"/>
      <c r="F166" s="34"/>
      <c r="G166" s="35"/>
      <c r="H166" s="34"/>
      <c r="I166" s="37"/>
    </row>
    <row r="167" ht="22.5" customHeight="1">
      <c r="A167" s="30"/>
      <c r="B167" s="31"/>
      <c r="C167" s="32"/>
      <c r="D167" s="33"/>
      <c r="E167" s="34"/>
      <c r="F167" s="34"/>
      <c r="G167" s="35"/>
      <c r="H167" s="34"/>
      <c r="I167" s="37"/>
    </row>
    <row r="168" ht="22.5" customHeight="1">
      <c r="A168" s="30"/>
      <c r="B168" s="31"/>
      <c r="C168" s="32"/>
      <c r="D168" s="33"/>
      <c r="E168" s="34"/>
      <c r="F168" s="34"/>
      <c r="G168" s="35"/>
      <c r="H168" s="34"/>
      <c r="I168" s="37"/>
    </row>
    <row r="169" ht="22.5" customHeight="1">
      <c r="A169" s="30"/>
      <c r="B169" s="31"/>
      <c r="C169" s="32"/>
      <c r="D169" s="33"/>
      <c r="E169" s="34"/>
      <c r="F169" s="34"/>
      <c r="G169" s="35"/>
      <c r="H169" s="34"/>
      <c r="I169" s="37"/>
    </row>
    <row r="170" ht="22.5" customHeight="1">
      <c r="A170" s="30"/>
      <c r="B170" s="31"/>
      <c r="C170" s="32"/>
      <c r="D170" s="33"/>
      <c r="E170" s="34"/>
      <c r="F170" s="34"/>
      <c r="G170" s="35"/>
      <c r="H170" s="34"/>
      <c r="I170" s="37"/>
    </row>
    <row r="171" ht="22.5" customHeight="1">
      <c r="A171" s="30"/>
      <c r="B171" s="31"/>
      <c r="C171" s="32"/>
      <c r="D171" s="33"/>
      <c r="E171" s="34"/>
      <c r="F171" s="34"/>
      <c r="G171" s="35"/>
      <c r="H171" s="34"/>
      <c r="I171" s="37"/>
    </row>
    <row r="172" ht="22.5" customHeight="1">
      <c r="A172" s="30"/>
      <c r="B172" s="31"/>
      <c r="C172" s="32"/>
      <c r="D172" s="33"/>
      <c r="E172" s="34"/>
      <c r="F172" s="34"/>
      <c r="G172" s="35"/>
      <c r="H172" s="34"/>
      <c r="I172" s="37"/>
    </row>
    <row r="173" ht="22.5" customHeight="1">
      <c r="A173" s="30"/>
      <c r="B173" s="31"/>
      <c r="C173" s="32"/>
      <c r="D173" s="33"/>
      <c r="E173" s="34"/>
      <c r="F173" s="34"/>
      <c r="G173" s="35"/>
      <c r="H173" s="34"/>
      <c r="I173" s="37"/>
    </row>
    <row r="174" ht="22.5" customHeight="1">
      <c r="A174" s="30"/>
      <c r="B174" s="31"/>
      <c r="C174" s="32"/>
      <c r="D174" s="33"/>
      <c r="E174" s="34"/>
      <c r="F174" s="34"/>
      <c r="G174" s="35"/>
      <c r="H174" s="34"/>
      <c r="I174" s="37"/>
    </row>
    <row r="175" ht="22.5" customHeight="1">
      <c r="A175" s="30"/>
      <c r="B175" s="31"/>
      <c r="C175" s="32"/>
      <c r="D175" s="33"/>
      <c r="E175" s="34"/>
      <c r="F175" s="34"/>
      <c r="G175" s="35"/>
      <c r="H175" s="34"/>
      <c r="I175" s="37"/>
    </row>
    <row r="176" ht="22.5" customHeight="1">
      <c r="A176" s="30"/>
      <c r="B176" s="31"/>
      <c r="C176" s="32"/>
      <c r="D176" s="33"/>
      <c r="E176" s="34"/>
      <c r="F176" s="34"/>
      <c r="G176" s="35"/>
      <c r="H176" s="34"/>
      <c r="I176" s="37"/>
    </row>
    <row r="177" ht="22.5" customHeight="1">
      <c r="A177" s="30"/>
      <c r="B177" s="31"/>
      <c r="C177" s="32"/>
      <c r="D177" s="33"/>
      <c r="E177" s="34"/>
      <c r="F177" s="34"/>
      <c r="G177" s="35"/>
      <c r="H177" s="34"/>
      <c r="I177" s="37"/>
    </row>
    <row r="178" ht="22.5" customHeight="1">
      <c r="A178" s="30"/>
      <c r="B178" s="31"/>
      <c r="C178" s="32"/>
      <c r="D178" s="33"/>
      <c r="E178" s="34"/>
      <c r="F178" s="34"/>
      <c r="G178" s="35"/>
      <c r="H178" s="34"/>
      <c r="I178" s="37"/>
    </row>
    <row r="179" ht="22.5" customHeight="1">
      <c r="A179" s="30"/>
      <c r="B179" s="31"/>
      <c r="C179" s="32"/>
      <c r="D179" s="33"/>
      <c r="E179" s="34"/>
      <c r="F179" s="34"/>
      <c r="G179" s="35"/>
      <c r="H179" s="34"/>
      <c r="I179" s="37"/>
    </row>
    <row r="180" ht="22.5" customHeight="1">
      <c r="A180" s="30"/>
      <c r="B180" s="31"/>
      <c r="C180" s="32"/>
      <c r="D180" s="33"/>
      <c r="E180" s="34"/>
      <c r="F180" s="34"/>
      <c r="G180" s="35"/>
      <c r="H180" s="34"/>
      <c r="I180" s="37"/>
    </row>
    <row r="181" ht="22.5" customHeight="1">
      <c r="A181" s="30"/>
      <c r="B181" s="31"/>
      <c r="C181" s="32"/>
      <c r="D181" s="33"/>
      <c r="E181" s="34"/>
      <c r="F181" s="34"/>
      <c r="G181" s="35"/>
      <c r="H181" s="34"/>
      <c r="I181" s="37"/>
    </row>
    <row r="182" ht="22.5" customHeight="1">
      <c r="A182" s="30"/>
      <c r="B182" s="31"/>
      <c r="C182" s="32"/>
      <c r="D182" s="33"/>
      <c r="E182" s="34"/>
      <c r="F182" s="34"/>
      <c r="G182" s="35"/>
      <c r="H182" s="34"/>
      <c r="I182" s="37"/>
    </row>
    <row r="183" ht="22.5" customHeight="1">
      <c r="A183" s="30"/>
      <c r="B183" s="31"/>
      <c r="C183" s="32"/>
      <c r="D183" s="33"/>
      <c r="E183" s="34"/>
      <c r="F183" s="34"/>
      <c r="G183" s="35"/>
      <c r="H183" s="34"/>
      <c r="I183" s="37"/>
    </row>
    <row r="184" ht="22.5" customHeight="1">
      <c r="A184" s="30"/>
      <c r="B184" s="40"/>
      <c r="C184" s="32"/>
      <c r="D184" s="33"/>
      <c r="E184" s="34"/>
      <c r="F184" s="34"/>
      <c r="G184" s="35"/>
      <c r="H184" s="34"/>
      <c r="I184" s="37"/>
    </row>
    <row r="185" ht="22.5" customHeight="1">
      <c r="A185" s="30"/>
      <c r="B185" s="31"/>
      <c r="C185" s="32"/>
      <c r="D185" s="33"/>
      <c r="E185" s="34"/>
      <c r="F185" s="34"/>
      <c r="G185" s="35"/>
      <c r="H185" s="34"/>
      <c r="I185" s="37"/>
    </row>
    <row r="186" ht="22.5" customHeight="1">
      <c r="A186" s="30"/>
      <c r="B186" s="31"/>
      <c r="C186" s="32"/>
      <c r="D186" s="33"/>
      <c r="E186" s="34"/>
      <c r="F186" s="34"/>
      <c r="G186" s="35"/>
      <c r="H186" s="34"/>
      <c r="I186" s="37"/>
    </row>
    <row r="187" ht="22.5" customHeight="1">
      <c r="A187" s="30"/>
      <c r="B187" s="31"/>
      <c r="C187" s="32"/>
      <c r="D187" s="33"/>
      <c r="E187" s="34"/>
      <c r="F187" s="34"/>
      <c r="G187" s="35"/>
      <c r="H187" s="34"/>
      <c r="I187" s="37"/>
    </row>
    <row r="188" ht="22.5" customHeight="1">
      <c r="A188" s="30"/>
      <c r="B188" s="31"/>
      <c r="C188" s="32"/>
      <c r="D188" s="33"/>
      <c r="E188" s="34"/>
      <c r="F188" s="34"/>
      <c r="G188" s="35"/>
      <c r="H188" s="34"/>
      <c r="I188" s="38"/>
    </row>
    <row r="189" ht="22.5" customHeight="1">
      <c r="A189" s="30"/>
      <c r="B189" s="39"/>
      <c r="C189" s="32"/>
      <c r="D189" s="33"/>
      <c r="E189" s="34"/>
      <c r="F189" s="34"/>
      <c r="G189" s="35"/>
      <c r="H189" s="34"/>
      <c r="I189" s="37"/>
    </row>
    <row r="190" ht="22.5" customHeight="1">
      <c r="A190" s="30"/>
      <c r="B190" s="31"/>
      <c r="C190" s="32"/>
      <c r="D190" s="33"/>
      <c r="E190" s="34"/>
      <c r="F190" s="34"/>
      <c r="G190" s="35"/>
      <c r="H190" s="34"/>
      <c r="I190" s="37"/>
    </row>
    <row r="191" ht="22.5" customHeight="1">
      <c r="A191" s="30"/>
      <c r="B191" s="31"/>
      <c r="C191" s="32"/>
      <c r="D191" s="33"/>
      <c r="E191" s="34"/>
      <c r="F191" s="34"/>
      <c r="G191" s="35"/>
      <c r="H191" s="34"/>
      <c r="I191" s="37"/>
    </row>
    <row r="192" ht="22.5" customHeight="1">
      <c r="A192" s="30"/>
      <c r="B192" s="31"/>
      <c r="C192" s="32"/>
      <c r="D192" s="33"/>
      <c r="E192" s="34"/>
      <c r="F192" s="34"/>
      <c r="G192" s="35"/>
      <c r="H192" s="34"/>
      <c r="I192" s="37"/>
    </row>
    <row r="193" ht="22.5" customHeight="1">
      <c r="A193" s="30"/>
      <c r="B193" s="39"/>
      <c r="C193" s="32"/>
      <c r="D193" s="33"/>
      <c r="E193" s="34"/>
      <c r="F193" s="34"/>
      <c r="G193" s="35"/>
      <c r="H193" s="34"/>
      <c r="I193" s="37"/>
    </row>
    <row r="194" ht="22.5" customHeight="1">
      <c r="A194" s="30"/>
      <c r="B194" s="31"/>
      <c r="C194" s="32"/>
      <c r="D194" s="33"/>
      <c r="E194" s="34"/>
      <c r="F194" s="34"/>
      <c r="G194" s="35"/>
      <c r="H194" s="34"/>
      <c r="I194" s="37"/>
    </row>
    <row r="195" ht="22.5" customHeight="1">
      <c r="A195" s="30"/>
      <c r="B195" s="39"/>
      <c r="C195" s="32"/>
      <c r="D195" s="33"/>
      <c r="E195" s="34"/>
      <c r="F195" s="34"/>
      <c r="G195" s="35"/>
      <c r="H195" s="34"/>
      <c r="I195" s="37"/>
    </row>
    <row r="196" ht="22.5" customHeight="1">
      <c r="A196" s="30"/>
      <c r="B196" s="31"/>
      <c r="C196" s="32"/>
      <c r="D196" s="33"/>
      <c r="E196" s="34"/>
      <c r="F196" s="34"/>
      <c r="G196" s="35"/>
      <c r="H196" s="34"/>
      <c r="I196" s="37"/>
    </row>
    <row r="197" ht="22.5" customHeight="1">
      <c r="A197" s="30"/>
      <c r="B197" s="31"/>
      <c r="C197" s="32"/>
      <c r="D197" s="33"/>
      <c r="E197" s="34"/>
      <c r="F197" s="34"/>
      <c r="G197" s="35"/>
      <c r="H197" s="34"/>
      <c r="I197" s="37"/>
    </row>
    <row r="198" ht="22.5" customHeight="1">
      <c r="A198" s="30"/>
      <c r="B198" s="31"/>
      <c r="C198" s="32"/>
      <c r="D198" s="33"/>
      <c r="E198" s="34"/>
      <c r="F198" s="34"/>
      <c r="G198" s="35"/>
      <c r="H198" s="34"/>
      <c r="I198" s="37"/>
    </row>
    <row r="199" ht="22.5" customHeight="1">
      <c r="A199" s="30"/>
      <c r="B199" s="31"/>
      <c r="C199" s="32"/>
      <c r="D199" s="33"/>
      <c r="E199" s="34"/>
      <c r="F199" s="34"/>
      <c r="G199" s="35"/>
      <c r="H199" s="34"/>
      <c r="I199" s="37"/>
    </row>
    <row r="200" ht="22.5" customHeight="1">
      <c r="A200" s="30"/>
      <c r="B200" s="31"/>
      <c r="C200" s="32"/>
      <c r="D200" s="33"/>
      <c r="E200" s="34"/>
      <c r="F200" s="34"/>
      <c r="G200" s="35"/>
      <c r="H200" s="34"/>
      <c r="I200" s="37"/>
    </row>
    <row r="201" ht="22.5" customHeight="1">
      <c r="A201" s="30"/>
      <c r="B201" s="31"/>
      <c r="C201" s="32"/>
      <c r="D201" s="33"/>
      <c r="E201" s="34"/>
      <c r="F201" s="34"/>
      <c r="G201" s="35"/>
      <c r="H201" s="34"/>
      <c r="I201" s="37"/>
    </row>
    <row r="202" ht="22.5" customHeight="1">
      <c r="A202" s="30"/>
      <c r="B202" s="31"/>
      <c r="C202" s="32"/>
      <c r="D202" s="33"/>
      <c r="E202" s="34"/>
      <c r="F202" s="34"/>
      <c r="G202" s="35"/>
      <c r="H202" s="34"/>
      <c r="I202" s="37"/>
    </row>
    <row r="203" ht="22.5" customHeight="1">
      <c r="A203" s="30"/>
      <c r="B203" s="31"/>
      <c r="C203" s="32"/>
      <c r="D203" s="33"/>
      <c r="E203" s="34"/>
      <c r="F203" s="34"/>
      <c r="G203" s="35"/>
      <c r="H203" s="34"/>
      <c r="I203" s="37"/>
    </row>
    <row r="204" ht="22.5" customHeight="1">
      <c r="A204" s="30"/>
      <c r="B204" s="31"/>
      <c r="C204" s="32"/>
      <c r="D204" s="33"/>
      <c r="E204" s="34"/>
      <c r="F204" s="34"/>
      <c r="G204" s="35"/>
      <c r="H204" s="34"/>
      <c r="I204" s="37"/>
    </row>
    <row r="205" ht="22.5" customHeight="1">
      <c r="A205" s="30"/>
      <c r="B205" s="31"/>
      <c r="C205" s="32"/>
      <c r="D205" s="33"/>
      <c r="E205" s="34"/>
      <c r="F205" s="34"/>
      <c r="G205" s="35"/>
      <c r="H205" s="34"/>
      <c r="I205" s="37"/>
    </row>
    <row r="206" ht="22.5" customHeight="1">
      <c r="A206" s="30"/>
      <c r="B206" s="40"/>
      <c r="C206" s="32"/>
      <c r="D206" s="33"/>
      <c r="E206" s="34"/>
      <c r="F206" s="34"/>
      <c r="G206" s="35"/>
      <c r="H206" s="34"/>
      <c r="I206" s="37"/>
    </row>
    <row r="207" ht="22.5" customHeight="1">
      <c r="A207" s="30"/>
      <c r="B207" s="31"/>
      <c r="C207" s="32"/>
      <c r="D207" s="33"/>
      <c r="E207" s="34"/>
      <c r="F207" s="34"/>
      <c r="G207" s="35"/>
      <c r="H207" s="34"/>
      <c r="I207" s="37"/>
    </row>
    <row r="208" ht="22.5" customHeight="1">
      <c r="A208" s="30"/>
      <c r="B208" s="31"/>
      <c r="C208" s="32"/>
      <c r="D208" s="33"/>
      <c r="E208" s="34"/>
      <c r="F208" s="34"/>
      <c r="G208" s="35"/>
      <c r="H208" s="34"/>
      <c r="I208" s="37"/>
    </row>
    <row r="209" ht="22.5" customHeight="1">
      <c r="A209" s="30"/>
      <c r="B209" s="31"/>
      <c r="C209" s="32"/>
      <c r="D209" s="33"/>
      <c r="E209" s="34"/>
      <c r="F209" s="34"/>
      <c r="G209" s="35"/>
      <c r="H209" s="34"/>
      <c r="I209" s="37"/>
    </row>
    <row r="210" ht="22.5" customHeight="1">
      <c r="A210" s="30"/>
      <c r="B210" s="31"/>
      <c r="C210" s="32"/>
      <c r="D210" s="33"/>
      <c r="E210" s="34"/>
      <c r="F210" s="34"/>
      <c r="G210" s="35"/>
      <c r="H210" s="34"/>
      <c r="I210" s="37"/>
    </row>
    <row r="211" ht="22.5" customHeight="1">
      <c r="A211" s="30"/>
      <c r="B211" s="31"/>
      <c r="C211" s="32"/>
      <c r="D211" s="33"/>
      <c r="E211" s="34"/>
      <c r="F211" s="34"/>
      <c r="G211" s="35"/>
      <c r="H211" s="34"/>
      <c r="I211" s="37"/>
    </row>
    <row r="212" ht="22.5" customHeight="1">
      <c r="A212" s="30"/>
      <c r="B212" s="31"/>
      <c r="C212" s="32"/>
      <c r="D212" s="33"/>
      <c r="E212" s="34"/>
      <c r="F212" s="34"/>
      <c r="G212" s="35"/>
      <c r="H212" s="34"/>
      <c r="I212" s="37"/>
    </row>
    <row r="213" ht="22.5" customHeight="1">
      <c r="A213" s="30"/>
      <c r="B213" s="39"/>
      <c r="C213" s="32"/>
      <c r="D213" s="33"/>
      <c r="E213" s="34"/>
      <c r="F213" s="34"/>
      <c r="G213" s="35"/>
      <c r="H213" s="34"/>
      <c r="I213" s="37"/>
    </row>
    <row r="214" ht="22.5" customHeight="1">
      <c r="A214" s="30"/>
      <c r="B214" s="39"/>
      <c r="C214" s="32"/>
      <c r="D214" s="33"/>
      <c r="E214" s="34"/>
      <c r="F214" s="34"/>
      <c r="G214" s="35"/>
      <c r="H214" s="34"/>
      <c r="I214" s="37"/>
    </row>
    <row r="215" ht="22.5" customHeight="1">
      <c r="A215" s="30"/>
      <c r="B215" s="39"/>
      <c r="C215" s="32"/>
      <c r="D215" s="33"/>
      <c r="E215" s="34"/>
      <c r="F215" s="34"/>
      <c r="G215" s="35"/>
      <c r="H215" s="34"/>
      <c r="I215" s="37"/>
    </row>
    <row r="216" ht="22.5" customHeight="1">
      <c r="A216" s="30"/>
      <c r="B216" s="40"/>
      <c r="C216" s="32"/>
      <c r="D216" s="33"/>
      <c r="E216" s="34"/>
      <c r="F216" s="34"/>
      <c r="G216" s="35"/>
      <c r="H216" s="34"/>
      <c r="I216" s="37"/>
    </row>
    <row r="217" ht="22.5" customHeight="1">
      <c r="A217" s="30"/>
      <c r="B217" s="31"/>
      <c r="C217" s="32"/>
      <c r="D217" s="33"/>
      <c r="E217" s="34"/>
      <c r="F217" s="34"/>
      <c r="G217" s="35"/>
      <c r="H217" s="34"/>
      <c r="I217" s="37"/>
    </row>
    <row r="218" ht="22.5" customHeight="1">
      <c r="A218" s="30"/>
      <c r="B218" s="31"/>
      <c r="C218" s="32"/>
      <c r="D218" s="33"/>
      <c r="E218" s="34"/>
      <c r="F218" s="34"/>
      <c r="G218" s="35"/>
      <c r="H218" s="34"/>
      <c r="I218" s="37"/>
    </row>
    <row r="219" ht="22.5" customHeight="1">
      <c r="A219" s="30"/>
      <c r="B219" s="31"/>
      <c r="C219" s="32"/>
      <c r="D219" s="33"/>
      <c r="E219" s="34"/>
      <c r="F219" s="34"/>
      <c r="G219" s="35"/>
      <c r="H219" s="34"/>
      <c r="I219" s="37"/>
    </row>
    <row r="220" ht="22.5" customHeight="1">
      <c r="A220" s="30"/>
      <c r="B220" s="31"/>
      <c r="C220" s="32"/>
      <c r="D220" s="33"/>
      <c r="E220" s="34"/>
      <c r="F220" s="34"/>
      <c r="G220" s="35"/>
      <c r="H220" s="34"/>
      <c r="I220" s="37"/>
    </row>
    <row r="221" ht="22.5" customHeight="1">
      <c r="A221" s="30"/>
      <c r="B221" s="31"/>
      <c r="C221" s="32"/>
      <c r="D221" s="33"/>
      <c r="E221" s="34"/>
      <c r="F221" s="34"/>
      <c r="G221" s="35"/>
      <c r="H221" s="34"/>
      <c r="I221" s="37"/>
    </row>
    <row r="222" ht="22.5" customHeight="1">
      <c r="A222" s="30"/>
      <c r="B222" s="31"/>
      <c r="C222" s="32"/>
      <c r="D222" s="33"/>
      <c r="E222" s="34"/>
      <c r="F222" s="34"/>
      <c r="G222" s="35"/>
      <c r="H222" s="34"/>
      <c r="I222" s="37"/>
    </row>
    <row r="223" ht="22.5" customHeight="1">
      <c r="A223" s="30"/>
      <c r="B223" s="31"/>
      <c r="C223" s="32"/>
      <c r="D223" s="33"/>
      <c r="E223" s="34"/>
      <c r="F223" s="34"/>
      <c r="G223" s="35"/>
      <c r="H223" s="34"/>
      <c r="I223" s="37"/>
    </row>
    <row r="224" ht="22.5" customHeight="1">
      <c r="A224" s="30"/>
      <c r="B224" s="31"/>
      <c r="C224" s="32"/>
      <c r="D224" s="33"/>
      <c r="E224" s="34"/>
      <c r="F224" s="34"/>
      <c r="G224" s="35"/>
      <c r="H224" s="34"/>
      <c r="I224" s="37"/>
    </row>
    <row r="225" ht="22.5" customHeight="1">
      <c r="A225" s="30"/>
      <c r="B225" s="31"/>
      <c r="C225" s="32"/>
      <c r="D225" s="33"/>
      <c r="E225" s="34"/>
      <c r="F225" s="34"/>
      <c r="G225" s="35"/>
      <c r="H225" s="34"/>
      <c r="I225" s="37"/>
    </row>
    <row r="226" ht="22.5" customHeight="1">
      <c r="A226" s="30"/>
      <c r="B226" s="40"/>
      <c r="C226" s="32"/>
      <c r="D226" s="33"/>
      <c r="E226" s="34"/>
      <c r="F226" s="34"/>
      <c r="G226" s="35"/>
      <c r="H226" s="34"/>
      <c r="I226" s="37"/>
    </row>
    <row r="227" ht="22.5" customHeight="1">
      <c r="A227" s="30"/>
      <c r="B227" s="31"/>
      <c r="C227" s="32"/>
      <c r="D227" s="33"/>
      <c r="E227" s="34"/>
      <c r="F227" s="34"/>
      <c r="G227" s="35"/>
      <c r="H227" s="34"/>
      <c r="I227" s="37"/>
    </row>
    <row r="228" ht="22.5" customHeight="1">
      <c r="A228" s="30"/>
      <c r="B228" s="31"/>
      <c r="C228" s="32"/>
      <c r="D228" s="33"/>
      <c r="E228" s="34"/>
      <c r="F228" s="34"/>
      <c r="G228" s="35"/>
      <c r="H228" s="34"/>
      <c r="I228" s="37"/>
    </row>
    <row r="229" ht="22.5" customHeight="1">
      <c r="A229" s="30"/>
      <c r="B229" s="31"/>
      <c r="C229" s="32"/>
      <c r="D229" s="33"/>
      <c r="E229" s="34"/>
      <c r="F229" s="34"/>
      <c r="G229" s="35"/>
      <c r="H229" s="34"/>
      <c r="I229" s="37"/>
    </row>
    <row r="230" ht="22.5" customHeight="1">
      <c r="A230" s="30"/>
      <c r="B230" s="40"/>
      <c r="C230" s="32"/>
      <c r="D230" s="33"/>
      <c r="E230" s="34"/>
      <c r="F230" s="34"/>
      <c r="G230" s="35"/>
      <c r="H230" s="34"/>
      <c r="I230" s="37"/>
    </row>
    <row r="231" ht="22.5" customHeight="1">
      <c r="A231" s="30"/>
      <c r="B231" s="31"/>
      <c r="C231" s="32"/>
      <c r="D231" s="33"/>
      <c r="E231" s="34"/>
      <c r="F231" s="34"/>
      <c r="G231" s="35"/>
      <c r="H231" s="34"/>
      <c r="I231" s="37"/>
    </row>
    <row r="232" ht="22.5" customHeight="1">
      <c r="A232" s="30"/>
      <c r="B232" s="31"/>
      <c r="C232" s="32"/>
      <c r="D232" s="33"/>
      <c r="E232" s="34"/>
      <c r="F232" s="34"/>
      <c r="G232" s="35"/>
      <c r="H232" s="34"/>
      <c r="I232" s="37"/>
    </row>
    <row r="233" ht="22.5" customHeight="1">
      <c r="A233" s="30"/>
      <c r="B233" s="31"/>
      <c r="C233" s="32"/>
      <c r="D233" s="33"/>
      <c r="E233" s="34"/>
      <c r="F233" s="34"/>
      <c r="G233" s="35"/>
      <c r="H233" s="34"/>
      <c r="I233" s="37"/>
    </row>
    <row r="234" ht="22.5" customHeight="1">
      <c r="A234" s="30"/>
      <c r="B234" s="31"/>
      <c r="C234" s="32"/>
      <c r="D234" s="33"/>
      <c r="E234" s="34"/>
      <c r="F234" s="34"/>
      <c r="G234" s="35"/>
      <c r="H234" s="34"/>
      <c r="I234" s="37"/>
    </row>
    <row r="235" ht="22.5" customHeight="1">
      <c r="A235" s="30"/>
      <c r="B235" s="31"/>
      <c r="C235" s="32"/>
      <c r="D235" s="33"/>
      <c r="E235" s="34"/>
      <c r="F235" s="34"/>
      <c r="G235" s="35"/>
      <c r="H235" s="34"/>
      <c r="I235" s="37"/>
    </row>
    <row r="236" ht="22.5" customHeight="1">
      <c r="A236" s="30"/>
      <c r="B236" s="31"/>
      <c r="C236" s="32"/>
      <c r="D236" s="33"/>
      <c r="E236" s="34"/>
      <c r="F236" s="34"/>
      <c r="G236" s="35"/>
      <c r="H236" s="34"/>
      <c r="I236" s="37"/>
    </row>
    <row r="237" ht="22.5" customHeight="1">
      <c r="A237" s="30"/>
      <c r="B237" s="31"/>
      <c r="C237" s="32"/>
      <c r="D237" s="33"/>
      <c r="E237" s="34"/>
      <c r="F237" s="34"/>
      <c r="G237" s="35"/>
      <c r="H237" s="34"/>
      <c r="I237" s="37"/>
    </row>
    <row r="238" ht="22.5" customHeight="1">
      <c r="A238" s="30"/>
      <c r="B238" s="31"/>
      <c r="C238" s="32"/>
      <c r="D238" s="33"/>
      <c r="E238" s="34"/>
      <c r="F238" s="34"/>
      <c r="G238" s="35"/>
      <c r="H238" s="34"/>
      <c r="I238" s="37"/>
    </row>
    <row r="239" ht="22.5" customHeight="1">
      <c r="A239" s="30"/>
      <c r="B239" s="31"/>
      <c r="C239" s="32"/>
      <c r="D239" s="33"/>
      <c r="E239" s="34"/>
      <c r="F239" s="34"/>
      <c r="G239" s="35"/>
      <c r="H239" s="34"/>
      <c r="I239" s="37"/>
    </row>
    <row r="240" ht="22.5" customHeight="1">
      <c r="A240" s="30"/>
      <c r="B240" s="31"/>
      <c r="C240" s="32"/>
      <c r="D240" s="33"/>
      <c r="E240" s="34"/>
      <c r="F240" s="34"/>
      <c r="G240" s="35"/>
      <c r="H240" s="34"/>
      <c r="I240" s="37"/>
    </row>
    <row r="241" ht="22.5" customHeight="1">
      <c r="A241" s="30"/>
      <c r="B241" s="31"/>
      <c r="C241" s="32"/>
      <c r="D241" s="33"/>
      <c r="E241" s="34"/>
      <c r="F241" s="34"/>
      <c r="G241" s="35"/>
      <c r="H241" s="34"/>
      <c r="I241" s="37"/>
    </row>
    <row r="242" ht="22.5" customHeight="1">
      <c r="A242" s="30"/>
      <c r="B242" s="31"/>
      <c r="C242" s="32"/>
      <c r="D242" s="33"/>
      <c r="E242" s="34"/>
      <c r="F242" s="34"/>
      <c r="G242" s="35"/>
      <c r="H242" s="34"/>
      <c r="I242" s="37"/>
    </row>
    <row r="243" ht="22.5" customHeight="1">
      <c r="A243" s="30"/>
      <c r="B243" s="31"/>
      <c r="C243" s="32"/>
      <c r="D243" s="33"/>
      <c r="E243" s="34"/>
      <c r="F243" s="34"/>
      <c r="G243" s="35"/>
      <c r="H243" s="34"/>
      <c r="I243" s="37"/>
    </row>
    <row r="244" ht="22.5" customHeight="1">
      <c r="A244" s="30"/>
      <c r="B244" s="31"/>
      <c r="C244" s="32"/>
      <c r="D244" s="33"/>
      <c r="E244" s="34"/>
      <c r="F244" s="34"/>
      <c r="G244" s="35"/>
      <c r="H244" s="34"/>
      <c r="I244" s="37"/>
    </row>
    <row r="245" ht="22.5" customHeight="1">
      <c r="A245" s="30"/>
      <c r="B245" s="40"/>
      <c r="C245" s="32"/>
      <c r="D245" s="33"/>
      <c r="E245" s="34"/>
      <c r="F245" s="34"/>
      <c r="G245" s="35"/>
      <c r="H245" s="34"/>
      <c r="I245" s="37"/>
    </row>
    <row r="246" ht="22.5" customHeight="1">
      <c r="A246" s="30"/>
      <c r="B246" s="31"/>
      <c r="C246" s="32"/>
      <c r="D246" s="33"/>
      <c r="E246" s="34"/>
      <c r="F246" s="34"/>
      <c r="G246" s="35"/>
      <c r="H246" s="34"/>
      <c r="I246" s="37"/>
    </row>
    <row r="247" ht="22.5" customHeight="1">
      <c r="A247" s="30"/>
      <c r="B247" s="40"/>
      <c r="C247" s="32"/>
      <c r="D247" s="33"/>
      <c r="E247" s="34"/>
      <c r="F247" s="34"/>
      <c r="G247" s="35"/>
      <c r="H247" s="34"/>
      <c r="I247" s="37"/>
    </row>
    <row r="248" ht="22.5" customHeight="1">
      <c r="A248" s="30"/>
      <c r="B248" s="31"/>
      <c r="C248" s="32"/>
      <c r="D248" s="33"/>
      <c r="E248" s="34"/>
      <c r="F248" s="34"/>
      <c r="G248" s="35"/>
      <c r="H248" s="34"/>
      <c r="I248" s="37"/>
    </row>
    <row r="249" ht="22.5" customHeight="1">
      <c r="A249" s="30"/>
      <c r="B249" s="31"/>
      <c r="C249" s="32"/>
      <c r="D249" s="33"/>
      <c r="E249" s="34"/>
      <c r="F249" s="34"/>
      <c r="G249" s="35"/>
      <c r="H249" s="34"/>
      <c r="I249" s="37"/>
    </row>
    <row r="250" ht="22.5" customHeight="1">
      <c r="A250" s="30"/>
      <c r="B250" s="31"/>
      <c r="C250" s="32"/>
      <c r="D250" s="33"/>
      <c r="E250" s="34"/>
      <c r="F250" s="34"/>
      <c r="G250" s="35"/>
      <c r="H250" s="34"/>
      <c r="I250" s="37"/>
    </row>
    <row r="251" ht="22.5" customHeight="1">
      <c r="A251" s="30"/>
      <c r="B251" s="31"/>
      <c r="C251" s="32"/>
      <c r="D251" s="33"/>
      <c r="E251" s="34"/>
      <c r="F251" s="34"/>
      <c r="G251" s="35"/>
      <c r="H251" s="34"/>
      <c r="I251" s="37"/>
    </row>
    <row r="252" ht="22.5" customHeight="1">
      <c r="A252" s="30"/>
      <c r="B252" s="40"/>
      <c r="C252" s="32"/>
      <c r="D252" s="33"/>
      <c r="E252" s="34"/>
      <c r="F252" s="34"/>
      <c r="G252" s="35"/>
      <c r="H252" s="34"/>
      <c r="I252" s="37"/>
    </row>
    <row r="253" ht="22.5" customHeight="1">
      <c r="A253" s="30"/>
      <c r="B253" s="31"/>
      <c r="C253" s="32"/>
      <c r="D253" s="33"/>
      <c r="E253" s="34"/>
      <c r="F253" s="34"/>
      <c r="G253" s="35"/>
      <c r="H253" s="34"/>
      <c r="I253" s="37"/>
    </row>
    <row r="254" ht="22.5" customHeight="1">
      <c r="A254" s="30"/>
      <c r="B254" s="31"/>
      <c r="C254" s="32"/>
      <c r="D254" s="33"/>
      <c r="E254" s="34"/>
      <c r="F254" s="34"/>
      <c r="G254" s="35"/>
      <c r="H254" s="34"/>
      <c r="I254" s="37"/>
    </row>
    <row r="255" ht="22.5" customHeight="1">
      <c r="A255" s="30"/>
      <c r="B255" s="31"/>
      <c r="C255" s="32"/>
      <c r="D255" s="33"/>
      <c r="E255" s="34"/>
      <c r="F255" s="34"/>
      <c r="G255" s="35"/>
      <c r="H255" s="34"/>
      <c r="I255" s="37"/>
    </row>
    <row r="256" ht="22.5" customHeight="1">
      <c r="A256" s="30"/>
      <c r="B256" s="31"/>
      <c r="C256" s="32"/>
      <c r="D256" s="33"/>
      <c r="E256" s="34"/>
      <c r="F256" s="34"/>
      <c r="G256" s="35"/>
      <c r="H256" s="34"/>
      <c r="I256" s="37"/>
    </row>
    <row r="257" ht="22.5" customHeight="1">
      <c r="A257" s="30"/>
      <c r="B257" s="31"/>
      <c r="C257" s="32"/>
      <c r="D257" s="33"/>
      <c r="E257" s="34"/>
      <c r="F257" s="34"/>
      <c r="G257" s="35"/>
      <c r="H257" s="34"/>
      <c r="I257" s="37"/>
    </row>
    <row r="258" ht="22.5" customHeight="1">
      <c r="A258" s="30"/>
      <c r="B258" s="31"/>
      <c r="C258" s="32"/>
      <c r="D258" s="33"/>
      <c r="E258" s="34"/>
      <c r="F258" s="34"/>
      <c r="G258" s="35"/>
      <c r="H258" s="34"/>
      <c r="I258" s="37"/>
    </row>
    <row r="259" ht="22.5" customHeight="1">
      <c r="A259" s="30"/>
      <c r="B259" s="31"/>
      <c r="C259" s="32"/>
      <c r="D259" s="33"/>
      <c r="E259" s="34"/>
      <c r="F259" s="34"/>
      <c r="G259" s="35"/>
      <c r="H259" s="34"/>
      <c r="I259" s="37"/>
    </row>
    <row r="260" ht="22.5" customHeight="1">
      <c r="A260" s="30"/>
      <c r="B260" s="31"/>
      <c r="C260" s="32"/>
      <c r="D260" s="33"/>
      <c r="E260" s="34"/>
      <c r="F260" s="34"/>
      <c r="G260" s="35"/>
      <c r="H260" s="34"/>
      <c r="I260" s="37"/>
    </row>
    <row r="261" ht="22.5" customHeight="1">
      <c r="A261" s="30"/>
      <c r="B261" s="31"/>
      <c r="C261" s="32"/>
      <c r="D261" s="33"/>
      <c r="E261" s="34"/>
      <c r="F261" s="34"/>
      <c r="G261" s="35"/>
      <c r="H261" s="34"/>
      <c r="I261" s="37"/>
    </row>
    <row r="262" ht="22.5" customHeight="1">
      <c r="A262" s="30"/>
      <c r="B262" s="31"/>
      <c r="C262" s="32"/>
      <c r="D262" s="33"/>
      <c r="E262" s="34"/>
      <c r="F262" s="34"/>
      <c r="G262" s="35"/>
      <c r="H262" s="34"/>
      <c r="I262" s="37"/>
    </row>
    <row r="263" ht="22.5" customHeight="1">
      <c r="A263" s="30"/>
      <c r="B263" s="31"/>
      <c r="C263" s="32"/>
      <c r="D263" s="33"/>
      <c r="E263" s="34"/>
      <c r="F263" s="34"/>
      <c r="G263" s="35"/>
      <c r="H263" s="34"/>
      <c r="I263" s="37"/>
    </row>
    <row r="264" ht="22.5" customHeight="1">
      <c r="A264" s="30"/>
      <c r="B264" s="31"/>
      <c r="C264" s="32"/>
      <c r="D264" s="33"/>
      <c r="E264" s="34"/>
      <c r="F264" s="34"/>
      <c r="G264" s="35"/>
      <c r="H264" s="34"/>
      <c r="I264" s="37"/>
    </row>
    <row r="265" ht="22.5" customHeight="1">
      <c r="A265" s="30"/>
      <c r="B265" s="31"/>
      <c r="C265" s="32"/>
      <c r="D265" s="33"/>
      <c r="E265" s="34"/>
      <c r="F265" s="34"/>
      <c r="G265" s="35"/>
      <c r="H265" s="34"/>
      <c r="I265" s="37"/>
    </row>
    <row r="266" ht="22.5" customHeight="1">
      <c r="A266" s="30"/>
      <c r="B266" s="31"/>
      <c r="C266" s="32"/>
      <c r="D266" s="33"/>
      <c r="E266" s="34"/>
      <c r="F266" s="34"/>
      <c r="G266" s="35"/>
      <c r="H266" s="34"/>
      <c r="I266" s="37"/>
    </row>
    <row r="267" ht="22.5" customHeight="1">
      <c r="A267" s="30"/>
      <c r="B267" s="31"/>
      <c r="C267" s="32"/>
      <c r="D267" s="33"/>
      <c r="E267" s="34"/>
      <c r="F267" s="34"/>
      <c r="G267" s="35"/>
      <c r="H267" s="34"/>
      <c r="I267" s="37"/>
    </row>
    <row r="268" ht="22.5" customHeight="1">
      <c r="A268" s="30"/>
      <c r="B268" s="31"/>
      <c r="C268" s="32"/>
      <c r="D268" s="33"/>
      <c r="E268" s="34"/>
      <c r="F268" s="34"/>
      <c r="G268" s="35"/>
      <c r="H268" s="34"/>
      <c r="I268" s="37"/>
    </row>
    <row r="269" ht="22.5" customHeight="1">
      <c r="A269" s="30"/>
      <c r="B269" s="31"/>
      <c r="C269" s="32"/>
      <c r="D269" s="33"/>
      <c r="E269" s="34"/>
      <c r="F269" s="34"/>
      <c r="G269" s="35"/>
      <c r="H269" s="34"/>
      <c r="I269" s="37"/>
    </row>
    <row r="270" ht="22.5" customHeight="1">
      <c r="A270" s="30"/>
      <c r="B270" s="31"/>
      <c r="C270" s="32"/>
      <c r="D270" s="33"/>
      <c r="E270" s="34"/>
      <c r="F270" s="34"/>
      <c r="G270" s="35"/>
      <c r="H270" s="34"/>
      <c r="I270" s="37"/>
    </row>
    <row r="271" ht="22.5" customHeight="1">
      <c r="A271" s="30"/>
      <c r="B271" s="31"/>
      <c r="C271" s="32"/>
      <c r="D271" s="33"/>
      <c r="E271" s="34"/>
      <c r="F271" s="34"/>
      <c r="G271" s="35"/>
      <c r="H271" s="34"/>
      <c r="I271" s="37"/>
    </row>
    <row r="272" ht="22.5" customHeight="1">
      <c r="A272" s="30"/>
      <c r="B272" s="31"/>
      <c r="C272" s="32"/>
      <c r="D272" s="33"/>
      <c r="E272" s="34"/>
      <c r="F272" s="34"/>
      <c r="G272" s="35"/>
      <c r="H272" s="34"/>
      <c r="I272" s="37"/>
    </row>
    <row r="273" ht="22.5" customHeight="1">
      <c r="A273" s="30"/>
      <c r="B273" s="31"/>
      <c r="C273" s="32"/>
      <c r="D273" s="33"/>
      <c r="E273" s="34"/>
      <c r="F273" s="34"/>
      <c r="G273" s="35"/>
      <c r="H273" s="34"/>
      <c r="I273" s="37"/>
    </row>
    <row r="274" ht="22.5" customHeight="1">
      <c r="A274" s="30"/>
      <c r="B274" s="40"/>
      <c r="C274" s="32"/>
      <c r="D274" s="33"/>
      <c r="E274" s="34"/>
      <c r="F274" s="34"/>
      <c r="G274" s="35"/>
      <c r="H274" s="34"/>
      <c r="I274" s="37"/>
    </row>
    <row r="275" ht="22.5" customHeight="1">
      <c r="A275" s="30"/>
      <c r="B275" s="31"/>
      <c r="C275" s="32"/>
      <c r="D275" s="33"/>
      <c r="E275" s="34"/>
      <c r="F275" s="34"/>
      <c r="G275" s="35"/>
      <c r="H275" s="34"/>
      <c r="I275" s="37"/>
    </row>
    <row r="276" ht="22.5" customHeight="1">
      <c r="A276" s="30"/>
      <c r="B276" s="31"/>
      <c r="C276" s="32"/>
      <c r="D276" s="33"/>
      <c r="E276" s="34"/>
      <c r="F276" s="34"/>
      <c r="G276" s="35"/>
      <c r="H276" s="34"/>
      <c r="I276" s="37"/>
    </row>
    <row r="277" ht="22.5" customHeight="1">
      <c r="A277" s="30"/>
      <c r="B277" s="31"/>
      <c r="C277" s="32"/>
      <c r="D277" s="33"/>
      <c r="E277" s="34"/>
      <c r="F277" s="34"/>
      <c r="G277" s="35"/>
      <c r="H277" s="34"/>
      <c r="I277" s="37"/>
    </row>
    <row r="278" ht="22.5" customHeight="1">
      <c r="A278" s="30"/>
      <c r="B278" s="31"/>
      <c r="C278" s="32"/>
      <c r="D278" s="33"/>
      <c r="E278" s="34"/>
      <c r="F278" s="34"/>
      <c r="G278" s="35"/>
      <c r="H278" s="34"/>
      <c r="I278" s="38"/>
    </row>
    <row r="279" ht="22.5" customHeight="1">
      <c r="A279" s="30"/>
      <c r="B279" s="39"/>
      <c r="C279" s="32"/>
      <c r="D279" s="33"/>
      <c r="E279" s="34"/>
      <c r="F279" s="34"/>
      <c r="G279" s="35"/>
      <c r="H279" s="34"/>
      <c r="I279" s="37"/>
    </row>
    <row r="280" ht="22.5" customHeight="1">
      <c r="A280" s="30"/>
      <c r="B280" s="31"/>
      <c r="C280" s="32"/>
      <c r="D280" s="33"/>
      <c r="E280" s="34"/>
      <c r="F280" s="34"/>
      <c r="G280" s="35"/>
      <c r="H280" s="34"/>
      <c r="I280" s="37"/>
    </row>
    <row r="281" ht="22.5" customHeight="1">
      <c r="A281" s="30"/>
      <c r="B281" s="31"/>
      <c r="C281" s="32"/>
      <c r="D281" s="33"/>
      <c r="E281" s="34"/>
      <c r="F281" s="34"/>
      <c r="G281" s="35"/>
      <c r="H281" s="34"/>
      <c r="I281" s="37"/>
    </row>
    <row r="282" ht="22.5" customHeight="1">
      <c r="A282" s="30"/>
      <c r="B282" s="31"/>
      <c r="C282" s="32"/>
      <c r="D282" s="33"/>
      <c r="E282" s="34"/>
      <c r="F282" s="34"/>
      <c r="G282" s="35"/>
      <c r="H282" s="34"/>
      <c r="I282" s="37"/>
    </row>
    <row r="283" ht="22.5" customHeight="1">
      <c r="A283" s="30"/>
      <c r="B283" s="39"/>
      <c r="C283" s="32"/>
      <c r="D283" s="33"/>
      <c r="E283" s="34"/>
      <c r="F283" s="34"/>
      <c r="G283" s="35"/>
      <c r="H283" s="34"/>
      <c r="I283" s="37"/>
    </row>
    <row r="284" ht="22.5" customHeight="1">
      <c r="A284" s="30"/>
      <c r="B284" s="31"/>
      <c r="C284" s="32"/>
      <c r="D284" s="33"/>
      <c r="E284" s="34"/>
      <c r="F284" s="34"/>
      <c r="G284" s="35"/>
      <c r="H284" s="34"/>
      <c r="I284" s="37"/>
    </row>
    <row r="285" ht="22.5" customHeight="1">
      <c r="A285" s="30"/>
      <c r="B285" s="39"/>
      <c r="C285" s="32"/>
      <c r="D285" s="33"/>
      <c r="E285" s="34"/>
      <c r="F285" s="34"/>
      <c r="G285" s="35"/>
      <c r="H285" s="34"/>
      <c r="I285" s="37"/>
    </row>
    <row r="286" ht="22.5" customHeight="1">
      <c r="A286" s="30"/>
      <c r="B286" s="31"/>
      <c r="C286" s="32"/>
      <c r="D286" s="33"/>
      <c r="E286" s="34"/>
      <c r="F286" s="34"/>
      <c r="G286" s="35"/>
      <c r="H286" s="34"/>
      <c r="I286" s="37"/>
    </row>
    <row r="287" ht="22.5" customHeight="1">
      <c r="A287" s="30"/>
      <c r="B287" s="31"/>
      <c r="C287" s="32"/>
      <c r="D287" s="33"/>
      <c r="E287" s="34"/>
      <c r="F287" s="34"/>
      <c r="G287" s="35"/>
      <c r="H287" s="34"/>
      <c r="I287" s="37"/>
    </row>
    <row r="288" ht="22.5" customHeight="1">
      <c r="A288" s="30"/>
      <c r="B288" s="31"/>
      <c r="C288" s="32"/>
      <c r="D288" s="33"/>
      <c r="E288" s="34"/>
      <c r="F288" s="34"/>
      <c r="G288" s="35"/>
      <c r="H288" s="34"/>
      <c r="I288" s="37"/>
    </row>
    <row r="289" ht="22.5" customHeight="1">
      <c r="A289" s="30"/>
      <c r="B289" s="31"/>
      <c r="C289" s="32"/>
      <c r="D289" s="33"/>
      <c r="E289" s="34"/>
      <c r="F289" s="34"/>
      <c r="G289" s="35"/>
      <c r="H289" s="34"/>
      <c r="I289" s="37"/>
    </row>
    <row r="290" ht="22.5" customHeight="1">
      <c r="A290" s="30"/>
      <c r="B290" s="31"/>
      <c r="C290" s="32"/>
      <c r="D290" s="33"/>
      <c r="E290" s="34"/>
      <c r="F290" s="34"/>
      <c r="G290" s="35"/>
      <c r="H290" s="34"/>
      <c r="I290" s="37"/>
    </row>
    <row r="291" ht="22.5" customHeight="1">
      <c r="A291" s="30"/>
      <c r="B291" s="31"/>
      <c r="C291" s="32"/>
      <c r="D291" s="33"/>
      <c r="E291" s="34"/>
      <c r="F291" s="34"/>
      <c r="G291" s="35"/>
      <c r="H291" s="34"/>
      <c r="I291" s="37"/>
    </row>
    <row r="292" ht="22.5" customHeight="1">
      <c r="A292" s="30"/>
      <c r="B292" s="31"/>
      <c r="C292" s="32"/>
      <c r="D292" s="33"/>
      <c r="E292" s="34"/>
      <c r="F292" s="34"/>
      <c r="G292" s="35"/>
      <c r="H292" s="34"/>
      <c r="I292" s="37"/>
    </row>
    <row r="293" ht="22.5" customHeight="1">
      <c r="A293" s="30"/>
      <c r="B293" s="31"/>
      <c r="C293" s="32"/>
      <c r="D293" s="33"/>
      <c r="E293" s="34"/>
      <c r="F293" s="34"/>
      <c r="G293" s="35"/>
      <c r="H293" s="34"/>
      <c r="I293" s="37"/>
    </row>
    <row r="294" ht="22.5" customHeight="1">
      <c r="A294" s="30"/>
      <c r="B294" s="31"/>
      <c r="C294" s="32"/>
      <c r="D294" s="33"/>
      <c r="E294" s="34"/>
      <c r="F294" s="34"/>
      <c r="G294" s="35"/>
      <c r="H294" s="34"/>
      <c r="I294" s="37"/>
    </row>
    <row r="295" ht="22.5" customHeight="1">
      <c r="A295" s="30"/>
      <c r="B295" s="31"/>
      <c r="C295" s="32"/>
      <c r="D295" s="33"/>
      <c r="E295" s="34"/>
      <c r="F295" s="34"/>
      <c r="G295" s="35"/>
      <c r="H295" s="34"/>
      <c r="I295" s="37"/>
    </row>
    <row r="296" ht="22.5" customHeight="1">
      <c r="A296" s="30"/>
      <c r="B296" s="40"/>
      <c r="C296" s="32"/>
      <c r="D296" s="33"/>
      <c r="E296" s="34"/>
      <c r="F296" s="34"/>
      <c r="G296" s="35"/>
      <c r="H296" s="34"/>
      <c r="I296" s="37"/>
    </row>
    <row r="297" ht="22.5" customHeight="1">
      <c r="A297" s="30"/>
      <c r="B297" s="31"/>
      <c r="C297" s="32"/>
      <c r="D297" s="33"/>
      <c r="E297" s="34"/>
      <c r="F297" s="34"/>
      <c r="G297" s="35"/>
      <c r="H297" s="34"/>
      <c r="I297" s="37"/>
    </row>
    <row r="298" ht="22.5" customHeight="1">
      <c r="A298" s="30"/>
      <c r="B298" s="31"/>
      <c r="C298" s="32"/>
      <c r="D298" s="33"/>
      <c r="E298" s="34"/>
      <c r="F298" s="34"/>
      <c r="G298" s="35"/>
      <c r="H298" s="34"/>
      <c r="I298" s="37"/>
    </row>
    <row r="299" ht="22.5" customHeight="1">
      <c r="A299" s="30"/>
      <c r="B299" s="31"/>
      <c r="C299" s="32"/>
      <c r="D299" s="33"/>
      <c r="E299" s="34"/>
      <c r="F299" s="34"/>
      <c r="G299" s="35"/>
      <c r="H299" s="34"/>
      <c r="I299" s="37"/>
    </row>
    <row r="300" ht="22.5" customHeight="1">
      <c r="A300" s="30"/>
      <c r="B300" s="31"/>
      <c r="C300" s="32"/>
      <c r="D300" s="33"/>
      <c r="E300" s="34"/>
      <c r="F300" s="34"/>
      <c r="G300" s="35"/>
      <c r="H300" s="34"/>
      <c r="I300" s="37"/>
    </row>
    <row r="301" ht="22.5" customHeight="1">
      <c r="A301" s="30"/>
      <c r="B301" s="31"/>
      <c r="C301" s="32"/>
      <c r="D301" s="33"/>
      <c r="E301" s="34"/>
      <c r="F301" s="34"/>
      <c r="G301" s="35"/>
      <c r="H301" s="34"/>
      <c r="I301" s="37"/>
    </row>
    <row r="302" ht="22.5" customHeight="1">
      <c r="A302" s="30"/>
      <c r="B302" s="31"/>
      <c r="C302" s="32"/>
      <c r="D302" s="33"/>
      <c r="E302" s="34"/>
      <c r="F302" s="34"/>
      <c r="G302" s="35"/>
      <c r="H302" s="34"/>
      <c r="I302" s="37"/>
    </row>
    <row r="303" ht="22.5" customHeight="1">
      <c r="A303" s="30"/>
      <c r="B303" s="39"/>
      <c r="C303" s="32"/>
      <c r="D303" s="33"/>
      <c r="E303" s="34"/>
      <c r="F303" s="34"/>
      <c r="G303" s="35"/>
      <c r="H303" s="34"/>
      <c r="I303" s="37"/>
    </row>
    <row r="304" ht="22.5" customHeight="1">
      <c r="A304" s="30"/>
      <c r="B304" s="39"/>
      <c r="C304" s="32"/>
      <c r="D304" s="33"/>
      <c r="E304" s="34"/>
      <c r="F304" s="34"/>
      <c r="G304" s="35"/>
      <c r="H304" s="34"/>
      <c r="I304" s="37"/>
    </row>
    <row r="305" ht="22.5" customHeight="1">
      <c r="A305" s="30"/>
      <c r="B305" s="39"/>
      <c r="C305" s="32"/>
      <c r="D305" s="33"/>
      <c r="E305" s="34"/>
      <c r="F305" s="34"/>
      <c r="G305" s="35"/>
      <c r="H305" s="34"/>
      <c r="I305" s="37"/>
    </row>
    <row r="306" ht="22.5" customHeight="1">
      <c r="A306" s="30"/>
      <c r="B306" s="40"/>
      <c r="C306" s="32"/>
      <c r="D306" s="33"/>
      <c r="E306" s="34"/>
      <c r="F306" s="34"/>
      <c r="G306" s="35"/>
      <c r="H306" s="34"/>
      <c r="I306" s="37"/>
    </row>
    <row r="307" ht="22.5" customHeight="1">
      <c r="A307" s="30"/>
      <c r="B307" s="31"/>
      <c r="C307" s="32"/>
      <c r="D307" s="33"/>
      <c r="E307" s="34"/>
      <c r="F307" s="34"/>
      <c r="G307" s="35"/>
      <c r="H307" s="34"/>
      <c r="I307" s="37"/>
    </row>
    <row r="308" ht="22.5" customHeight="1">
      <c r="A308" s="30"/>
      <c r="B308" s="31"/>
      <c r="C308" s="32"/>
      <c r="D308" s="33"/>
      <c r="E308" s="34"/>
      <c r="F308" s="34"/>
      <c r="G308" s="35"/>
      <c r="H308" s="34"/>
      <c r="I308" s="37"/>
    </row>
    <row r="309" ht="22.5" customHeight="1">
      <c r="A309" s="30"/>
      <c r="B309" s="31"/>
      <c r="C309" s="32"/>
      <c r="D309" s="33"/>
      <c r="E309" s="34"/>
      <c r="F309" s="34"/>
      <c r="G309" s="35"/>
      <c r="H309" s="34"/>
      <c r="I309" s="37"/>
    </row>
    <row r="310" ht="22.5" customHeight="1">
      <c r="A310" s="30"/>
      <c r="B310" s="31"/>
      <c r="C310" s="32"/>
      <c r="D310" s="33"/>
      <c r="E310" s="34"/>
      <c r="F310" s="34"/>
      <c r="G310" s="35"/>
      <c r="H310" s="34"/>
      <c r="I310" s="37"/>
    </row>
    <row r="311" ht="22.5" customHeight="1">
      <c r="A311" s="30"/>
      <c r="B311" s="31"/>
      <c r="C311" s="32"/>
      <c r="D311" s="33"/>
      <c r="E311" s="34"/>
      <c r="F311" s="34"/>
      <c r="G311" s="35"/>
      <c r="H311" s="34"/>
      <c r="I311" s="37"/>
    </row>
    <row r="312" ht="22.5" customHeight="1">
      <c r="A312" s="30"/>
      <c r="B312" s="31"/>
      <c r="C312" s="32"/>
      <c r="D312" s="33"/>
      <c r="E312" s="34"/>
      <c r="F312" s="34"/>
      <c r="G312" s="35"/>
      <c r="H312" s="34"/>
      <c r="I312" s="37"/>
    </row>
    <row r="313" ht="22.5" customHeight="1">
      <c r="A313" s="30"/>
      <c r="B313" s="31"/>
      <c r="C313" s="32"/>
      <c r="D313" s="33"/>
      <c r="E313" s="34"/>
      <c r="F313" s="34"/>
      <c r="G313" s="35"/>
      <c r="H313" s="34"/>
      <c r="I313" s="37"/>
    </row>
    <row r="314" ht="22.5" customHeight="1">
      <c r="A314" s="30"/>
      <c r="B314" s="31"/>
      <c r="C314" s="32"/>
      <c r="D314" s="33"/>
      <c r="E314" s="34"/>
      <c r="F314" s="34"/>
      <c r="G314" s="35"/>
      <c r="H314" s="34"/>
      <c r="I314" s="37"/>
    </row>
    <row r="315" ht="22.5" customHeight="1">
      <c r="A315" s="30"/>
      <c r="B315" s="31"/>
      <c r="C315" s="32"/>
      <c r="D315" s="33"/>
      <c r="E315" s="34"/>
      <c r="F315" s="34"/>
      <c r="G315" s="35"/>
      <c r="H315" s="34"/>
      <c r="I315" s="37"/>
    </row>
    <row r="316" ht="22.5" customHeight="1">
      <c r="A316" s="30"/>
      <c r="B316" s="40"/>
      <c r="C316" s="32"/>
      <c r="D316" s="33"/>
      <c r="E316" s="34"/>
      <c r="F316" s="34"/>
      <c r="G316" s="35"/>
      <c r="H316" s="34"/>
      <c r="I316" s="37"/>
    </row>
    <row r="317" ht="22.5" customHeight="1">
      <c r="A317" s="30"/>
      <c r="B317" s="31"/>
      <c r="C317" s="32"/>
      <c r="D317" s="33"/>
      <c r="E317" s="34"/>
      <c r="F317" s="34"/>
      <c r="G317" s="35"/>
      <c r="H317" s="34"/>
      <c r="I317" s="37"/>
    </row>
    <row r="318" ht="22.5" customHeight="1">
      <c r="A318" s="30"/>
      <c r="B318" s="31"/>
      <c r="C318" s="32"/>
      <c r="D318" s="33"/>
      <c r="E318" s="34"/>
      <c r="F318" s="34"/>
      <c r="G318" s="35"/>
      <c r="H318" s="34"/>
      <c r="I318" s="37"/>
    </row>
    <row r="319" ht="22.5" customHeight="1">
      <c r="A319" s="30"/>
      <c r="B319" s="31"/>
      <c r="C319" s="32"/>
      <c r="D319" s="33"/>
      <c r="E319" s="34"/>
      <c r="F319" s="34"/>
      <c r="G319" s="35"/>
      <c r="H319" s="34"/>
      <c r="I319" s="37"/>
    </row>
    <row r="320" ht="22.5" customHeight="1">
      <c r="A320" s="30"/>
      <c r="B320" s="40"/>
      <c r="C320" s="32"/>
      <c r="D320" s="33"/>
      <c r="E320" s="34"/>
      <c r="F320" s="34"/>
      <c r="G320" s="35"/>
      <c r="H320" s="34"/>
      <c r="I320" s="37"/>
    </row>
    <row r="321" ht="22.5" customHeight="1">
      <c r="A321" s="30"/>
      <c r="B321" s="31"/>
      <c r="C321" s="32"/>
      <c r="D321" s="33"/>
      <c r="E321" s="34"/>
      <c r="F321" s="34"/>
      <c r="G321" s="35"/>
      <c r="H321" s="34"/>
      <c r="I321" s="37"/>
    </row>
    <row r="322" ht="22.5" customHeight="1">
      <c r="A322" s="30"/>
      <c r="B322" s="31"/>
      <c r="C322" s="32"/>
      <c r="D322" s="33"/>
      <c r="E322" s="34"/>
      <c r="F322" s="34"/>
      <c r="G322" s="35"/>
      <c r="H322" s="34"/>
      <c r="I322" s="37"/>
    </row>
    <row r="323" ht="22.5" customHeight="1">
      <c r="A323" s="30"/>
      <c r="B323" s="31"/>
      <c r="C323" s="32"/>
      <c r="D323" s="33"/>
      <c r="E323" s="34"/>
      <c r="F323" s="34"/>
      <c r="G323" s="35"/>
      <c r="H323" s="34"/>
      <c r="I323" s="37"/>
    </row>
    <row r="324" ht="22.5" customHeight="1">
      <c r="A324" s="30"/>
      <c r="B324" s="31"/>
      <c r="C324" s="32"/>
      <c r="D324" s="33"/>
      <c r="E324" s="34"/>
      <c r="F324" s="34"/>
      <c r="G324" s="35"/>
      <c r="H324" s="34"/>
      <c r="I324" s="37"/>
    </row>
    <row r="325" ht="22.5" customHeight="1">
      <c r="A325" s="30"/>
      <c r="B325" s="31"/>
      <c r="C325" s="32"/>
      <c r="D325" s="33"/>
      <c r="E325" s="34"/>
      <c r="F325" s="34"/>
      <c r="G325" s="35"/>
      <c r="H325" s="34"/>
      <c r="I325" s="37"/>
    </row>
    <row r="326" ht="22.5" customHeight="1">
      <c r="A326" s="30"/>
      <c r="B326" s="31"/>
      <c r="C326" s="32"/>
      <c r="D326" s="33"/>
      <c r="E326" s="34"/>
      <c r="F326" s="34"/>
      <c r="G326" s="35"/>
      <c r="H326" s="34"/>
      <c r="I326" s="37"/>
    </row>
    <row r="327" ht="22.5" customHeight="1">
      <c r="A327" s="30"/>
      <c r="B327" s="31"/>
      <c r="C327" s="32"/>
      <c r="D327" s="33"/>
      <c r="E327" s="34"/>
      <c r="F327" s="34"/>
      <c r="G327" s="35"/>
      <c r="H327" s="34"/>
      <c r="I327" s="37"/>
    </row>
    <row r="328" ht="22.5" customHeight="1">
      <c r="A328" s="30"/>
      <c r="B328" s="31"/>
      <c r="C328" s="32"/>
      <c r="D328" s="33"/>
      <c r="E328" s="34"/>
      <c r="F328" s="34"/>
      <c r="G328" s="35"/>
      <c r="H328" s="34"/>
      <c r="I328" s="37"/>
    </row>
    <row r="329" ht="22.5" customHeight="1">
      <c r="A329" s="30"/>
      <c r="B329" s="31"/>
      <c r="C329" s="32"/>
      <c r="D329" s="33"/>
      <c r="E329" s="34"/>
      <c r="F329" s="34"/>
      <c r="G329" s="35"/>
      <c r="H329" s="34"/>
      <c r="I329" s="37"/>
    </row>
    <row r="330" ht="22.5" customHeight="1">
      <c r="A330" s="30"/>
      <c r="B330" s="31"/>
      <c r="C330" s="32"/>
      <c r="D330" s="33"/>
      <c r="E330" s="34"/>
      <c r="F330" s="34"/>
      <c r="G330" s="35"/>
      <c r="H330" s="34"/>
      <c r="I330" s="37"/>
    </row>
    <row r="331" ht="22.5" customHeight="1">
      <c r="A331" s="30"/>
      <c r="B331" s="31"/>
      <c r="C331" s="32"/>
      <c r="D331" s="33"/>
      <c r="E331" s="34"/>
      <c r="F331" s="34"/>
      <c r="G331" s="35"/>
      <c r="H331" s="34"/>
      <c r="I331" s="37"/>
    </row>
    <row r="332" ht="22.5" customHeight="1">
      <c r="A332" s="30"/>
      <c r="B332" s="31"/>
      <c r="C332" s="32"/>
      <c r="D332" s="33"/>
      <c r="E332" s="34"/>
      <c r="F332" s="34"/>
      <c r="G332" s="35"/>
      <c r="H332" s="34"/>
      <c r="I332" s="37"/>
    </row>
    <row r="333" ht="22.5" customHeight="1">
      <c r="A333" s="30"/>
      <c r="B333" s="31"/>
      <c r="C333" s="32"/>
      <c r="D333" s="33"/>
      <c r="E333" s="34"/>
      <c r="F333" s="34"/>
      <c r="G333" s="35"/>
      <c r="H333" s="34"/>
      <c r="I333" s="37"/>
    </row>
    <row r="334" ht="22.5" customHeight="1">
      <c r="A334" s="30"/>
      <c r="B334" s="31"/>
      <c r="C334" s="32"/>
      <c r="D334" s="33"/>
      <c r="E334" s="34"/>
      <c r="F334" s="34"/>
      <c r="G334" s="35"/>
      <c r="H334" s="34"/>
      <c r="I334" s="37"/>
    </row>
    <row r="335" ht="22.5" customHeight="1">
      <c r="A335" s="30"/>
      <c r="B335" s="40"/>
      <c r="C335" s="32"/>
      <c r="D335" s="33"/>
      <c r="E335" s="34"/>
      <c r="F335" s="34"/>
      <c r="G335" s="35"/>
      <c r="H335" s="34"/>
      <c r="I335" s="37"/>
    </row>
    <row r="336" ht="22.5" customHeight="1">
      <c r="A336" s="30"/>
      <c r="B336" s="31"/>
      <c r="C336" s="32"/>
      <c r="D336" s="33"/>
      <c r="E336" s="34"/>
      <c r="F336" s="34"/>
      <c r="G336" s="35"/>
      <c r="H336" s="34"/>
      <c r="I336" s="37"/>
    </row>
    <row r="337" ht="22.5" customHeight="1">
      <c r="A337" s="30"/>
      <c r="B337" s="40"/>
      <c r="C337" s="32"/>
      <c r="D337" s="33"/>
      <c r="E337" s="34"/>
      <c r="F337" s="34"/>
      <c r="G337" s="35"/>
      <c r="H337" s="34"/>
      <c r="I337" s="37"/>
    </row>
    <row r="338" ht="22.5" customHeight="1">
      <c r="A338" s="30"/>
      <c r="B338" s="31"/>
      <c r="C338" s="32"/>
      <c r="D338" s="33"/>
      <c r="E338" s="34"/>
      <c r="F338" s="34"/>
      <c r="G338" s="35"/>
      <c r="H338" s="34"/>
      <c r="I338" s="37"/>
    </row>
    <row r="339" ht="22.5" customHeight="1">
      <c r="A339" s="30"/>
      <c r="B339" s="31"/>
      <c r="C339" s="32"/>
      <c r="D339" s="33"/>
      <c r="E339" s="34"/>
      <c r="F339" s="34"/>
      <c r="G339" s="35"/>
      <c r="H339" s="34"/>
      <c r="I339" s="37"/>
    </row>
    <row r="340" ht="22.5" customHeight="1">
      <c r="A340" s="30"/>
      <c r="B340" s="31"/>
      <c r="C340" s="32"/>
      <c r="D340" s="33"/>
      <c r="E340" s="34"/>
      <c r="F340" s="34"/>
      <c r="G340" s="35"/>
      <c r="H340" s="34"/>
      <c r="I340" s="37"/>
    </row>
    <row r="341" ht="22.5" customHeight="1">
      <c r="A341" s="30"/>
      <c r="B341" s="31"/>
      <c r="C341" s="32"/>
      <c r="D341" s="33"/>
      <c r="E341" s="34"/>
      <c r="F341" s="34"/>
      <c r="G341" s="35"/>
      <c r="H341" s="34"/>
      <c r="I341" s="37"/>
    </row>
    <row r="342" ht="22.5" customHeight="1">
      <c r="A342" s="30"/>
      <c r="B342" s="40"/>
      <c r="C342" s="32"/>
      <c r="D342" s="33"/>
      <c r="E342" s="34"/>
      <c r="F342" s="34"/>
      <c r="G342" s="35"/>
      <c r="H342" s="34"/>
      <c r="I342" s="37"/>
    </row>
    <row r="343" ht="22.5" customHeight="1">
      <c r="A343" s="30"/>
      <c r="B343" s="31"/>
      <c r="C343" s="32"/>
      <c r="D343" s="33"/>
      <c r="E343" s="34"/>
      <c r="F343" s="34"/>
      <c r="G343" s="35"/>
      <c r="H343" s="34"/>
      <c r="I343" s="37"/>
    </row>
    <row r="344" ht="22.5" customHeight="1">
      <c r="A344" s="30"/>
      <c r="B344" s="31"/>
      <c r="C344" s="32"/>
      <c r="D344" s="33"/>
      <c r="E344" s="34"/>
      <c r="F344" s="34"/>
      <c r="G344" s="35"/>
      <c r="H344" s="34"/>
      <c r="I344" s="37"/>
    </row>
    <row r="345" ht="22.5" customHeight="1">
      <c r="A345" s="30"/>
      <c r="B345" s="31"/>
      <c r="C345" s="32"/>
      <c r="D345" s="33"/>
      <c r="E345" s="34"/>
      <c r="F345" s="34"/>
      <c r="G345" s="35"/>
      <c r="H345" s="34"/>
      <c r="I345" s="37"/>
    </row>
    <row r="346" ht="22.5" customHeight="1">
      <c r="A346" s="30"/>
      <c r="B346" s="31"/>
      <c r="C346" s="32"/>
      <c r="D346" s="33"/>
      <c r="E346" s="34"/>
      <c r="F346" s="34"/>
      <c r="G346" s="35"/>
      <c r="H346" s="34"/>
      <c r="I346" s="37"/>
    </row>
    <row r="347" ht="22.5" customHeight="1">
      <c r="A347" s="30"/>
      <c r="B347" s="31"/>
      <c r="C347" s="32"/>
      <c r="D347" s="33"/>
      <c r="E347" s="34"/>
      <c r="F347" s="34"/>
      <c r="G347" s="35"/>
      <c r="H347" s="34"/>
      <c r="I347" s="37"/>
    </row>
    <row r="348" ht="22.5" customHeight="1">
      <c r="A348" s="30"/>
      <c r="B348" s="31"/>
      <c r="C348" s="32"/>
      <c r="D348" s="33"/>
      <c r="E348" s="34"/>
      <c r="F348" s="34"/>
      <c r="G348" s="35"/>
      <c r="H348" s="34"/>
      <c r="I348" s="37"/>
    </row>
    <row r="349" ht="22.5" customHeight="1">
      <c r="A349" s="30"/>
      <c r="B349" s="31"/>
      <c r="C349" s="32"/>
      <c r="D349" s="33"/>
      <c r="E349" s="34"/>
      <c r="F349" s="34"/>
      <c r="G349" s="35"/>
      <c r="H349" s="34"/>
      <c r="I349" s="37"/>
    </row>
    <row r="350" ht="22.5" customHeight="1">
      <c r="A350" s="30"/>
      <c r="B350" s="31"/>
      <c r="C350" s="32"/>
      <c r="D350" s="33"/>
      <c r="E350" s="34"/>
      <c r="F350" s="34"/>
      <c r="G350" s="35"/>
      <c r="H350" s="34"/>
      <c r="I350" s="37"/>
    </row>
    <row r="351" ht="22.5" customHeight="1">
      <c r="A351" s="30"/>
      <c r="B351" s="31"/>
      <c r="C351" s="32"/>
      <c r="D351" s="33"/>
      <c r="E351" s="34"/>
      <c r="F351" s="34"/>
      <c r="G351" s="35"/>
      <c r="H351" s="34"/>
      <c r="I351" s="37"/>
    </row>
    <row r="352" ht="22.5" customHeight="1">
      <c r="A352" s="30"/>
      <c r="B352" s="31"/>
      <c r="C352" s="32"/>
      <c r="D352" s="33"/>
      <c r="E352" s="34"/>
      <c r="F352" s="34"/>
      <c r="G352" s="35"/>
      <c r="H352" s="34"/>
      <c r="I352" s="37"/>
    </row>
    <row r="353" ht="22.5" customHeight="1">
      <c r="A353" s="30"/>
      <c r="B353" s="31"/>
      <c r="C353" s="32"/>
      <c r="D353" s="33"/>
      <c r="E353" s="34"/>
      <c r="F353" s="34"/>
      <c r="G353" s="35"/>
      <c r="H353" s="34"/>
      <c r="I353" s="37"/>
    </row>
    <row r="354" ht="22.5" customHeight="1">
      <c r="A354" s="30"/>
      <c r="B354" s="31"/>
      <c r="C354" s="32"/>
      <c r="D354" s="33"/>
      <c r="E354" s="34"/>
      <c r="F354" s="34"/>
      <c r="G354" s="35"/>
      <c r="H354" s="34"/>
      <c r="I354" s="37"/>
    </row>
    <row r="355" ht="22.5" customHeight="1">
      <c r="A355" s="30"/>
      <c r="B355" s="31"/>
      <c r="C355" s="32"/>
      <c r="D355" s="33"/>
      <c r="E355" s="34"/>
      <c r="F355" s="34"/>
      <c r="G355" s="35"/>
      <c r="H355" s="34"/>
      <c r="I355" s="37"/>
    </row>
    <row r="356" ht="22.5" customHeight="1">
      <c r="A356" s="30"/>
      <c r="B356" s="31"/>
      <c r="C356" s="32"/>
      <c r="D356" s="33"/>
      <c r="E356" s="34"/>
      <c r="F356" s="34"/>
      <c r="G356" s="35"/>
      <c r="H356" s="34"/>
      <c r="I356" s="37"/>
    </row>
    <row r="357" ht="22.5" customHeight="1">
      <c r="A357" s="30"/>
      <c r="B357" s="31"/>
      <c r="C357" s="32"/>
      <c r="D357" s="33"/>
      <c r="E357" s="34"/>
      <c r="F357" s="34"/>
      <c r="G357" s="35"/>
      <c r="H357" s="34"/>
      <c r="I357" s="37"/>
    </row>
    <row r="358" ht="22.5" customHeight="1">
      <c r="A358" s="30"/>
      <c r="B358" s="31"/>
      <c r="C358" s="32"/>
      <c r="D358" s="33"/>
      <c r="E358" s="34"/>
      <c r="F358" s="34"/>
      <c r="G358" s="35"/>
      <c r="H358" s="34"/>
      <c r="I358" s="37"/>
    </row>
    <row r="359" ht="22.5" customHeight="1">
      <c r="A359" s="30"/>
      <c r="B359" s="31"/>
      <c r="C359" s="32"/>
      <c r="D359" s="33"/>
      <c r="E359" s="34"/>
      <c r="F359" s="34"/>
      <c r="G359" s="35"/>
      <c r="H359" s="34"/>
      <c r="I359" s="37"/>
    </row>
    <row r="360" ht="22.5" customHeight="1">
      <c r="A360" s="30"/>
      <c r="B360" s="31"/>
      <c r="C360" s="32"/>
      <c r="D360" s="33"/>
      <c r="E360" s="34"/>
      <c r="F360" s="34"/>
      <c r="G360" s="35"/>
      <c r="H360" s="34"/>
      <c r="I360" s="37"/>
    </row>
    <row r="361" ht="22.5" customHeight="1">
      <c r="A361" s="30"/>
      <c r="B361" s="31"/>
      <c r="C361" s="32"/>
      <c r="D361" s="33"/>
      <c r="E361" s="34"/>
      <c r="F361" s="34"/>
      <c r="G361" s="35"/>
      <c r="H361" s="34"/>
      <c r="I361" s="37"/>
    </row>
    <row r="362" ht="22.5" customHeight="1">
      <c r="A362" s="30"/>
      <c r="B362" s="31"/>
      <c r="C362" s="32"/>
      <c r="D362" s="33"/>
      <c r="E362" s="34"/>
      <c r="F362" s="34"/>
      <c r="G362" s="35"/>
      <c r="H362" s="34"/>
      <c r="I362" s="37"/>
    </row>
    <row r="363" ht="22.5" customHeight="1">
      <c r="A363" s="30"/>
      <c r="B363" s="31"/>
      <c r="C363" s="32"/>
      <c r="D363" s="33"/>
      <c r="E363" s="34"/>
      <c r="F363" s="34"/>
      <c r="G363" s="35"/>
      <c r="H363" s="34"/>
      <c r="I363" s="37"/>
    </row>
    <row r="364" ht="22.5" customHeight="1">
      <c r="A364" s="30"/>
      <c r="B364" s="40"/>
      <c r="C364" s="32"/>
      <c r="D364" s="33"/>
      <c r="E364" s="34"/>
      <c r="F364" s="34"/>
      <c r="G364" s="35"/>
      <c r="H364" s="34"/>
      <c r="I364" s="37"/>
    </row>
    <row r="365" ht="22.5" customHeight="1">
      <c r="A365" s="30"/>
      <c r="B365" s="31"/>
      <c r="C365" s="32"/>
      <c r="D365" s="33"/>
      <c r="E365" s="34"/>
      <c r="F365" s="34"/>
      <c r="G365" s="35"/>
      <c r="H365" s="34"/>
      <c r="I365" s="37"/>
    </row>
    <row r="366" ht="22.5" customHeight="1">
      <c r="A366" s="30"/>
      <c r="B366" s="31"/>
      <c r="C366" s="32"/>
      <c r="D366" s="33"/>
      <c r="E366" s="34"/>
      <c r="F366" s="34"/>
      <c r="G366" s="35"/>
      <c r="H366" s="34"/>
      <c r="I366" s="37"/>
    </row>
    <row r="367" ht="22.5" customHeight="1">
      <c r="A367" s="30"/>
      <c r="B367" s="31"/>
      <c r="C367" s="32"/>
      <c r="D367" s="33"/>
      <c r="E367" s="34"/>
      <c r="F367" s="34"/>
      <c r="G367" s="35"/>
      <c r="H367" s="34"/>
      <c r="I367" s="37"/>
    </row>
    <row r="368" ht="22.5" customHeight="1">
      <c r="A368" s="30"/>
      <c r="B368" s="31"/>
      <c r="C368" s="32"/>
      <c r="D368" s="33"/>
      <c r="E368" s="34"/>
      <c r="F368" s="34"/>
      <c r="G368" s="35"/>
      <c r="H368" s="34"/>
      <c r="I368" s="38"/>
    </row>
    <row r="369" ht="22.5" customHeight="1">
      <c r="A369" s="30"/>
      <c r="B369" s="39"/>
      <c r="C369" s="32"/>
      <c r="D369" s="33"/>
      <c r="E369" s="34"/>
      <c r="F369" s="34"/>
      <c r="G369" s="35"/>
      <c r="H369" s="34"/>
      <c r="I369" s="37"/>
    </row>
    <row r="370" ht="22.5" customHeight="1">
      <c r="A370" s="30"/>
      <c r="B370" s="31"/>
      <c r="C370" s="32"/>
      <c r="D370" s="33"/>
      <c r="E370" s="34"/>
      <c r="F370" s="34"/>
      <c r="G370" s="35"/>
      <c r="H370" s="34"/>
      <c r="I370" s="37"/>
    </row>
    <row r="371" ht="22.5" customHeight="1">
      <c r="A371" s="30"/>
      <c r="B371" s="31"/>
      <c r="C371" s="32"/>
      <c r="D371" s="33"/>
      <c r="E371" s="34"/>
      <c r="F371" s="34"/>
      <c r="G371" s="35"/>
      <c r="H371" s="34"/>
      <c r="I371" s="37"/>
    </row>
    <row r="372" ht="22.5" customHeight="1">
      <c r="A372" s="30"/>
      <c r="B372" s="31"/>
      <c r="C372" s="32"/>
      <c r="D372" s="33"/>
      <c r="E372" s="34"/>
      <c r="F372" s="34"/>
      <c r="G372" s="35"/>
      <c r="H372" s="34"/>
      <c r="I372" s="37"/>
    </row>
    <row r="373" ht="22.5" customHeight="1">
      <c r="A373" s="30"/>
      <c r="B373" s="39"/>
      <c r="C373" s="32"/>
      <c r="D373" s="33"/>
      <c r="E373" s="34"/>
      <c r="F373" s="34"/>
      <c r="G373" s="35"/>
      <c r="H373" s="34"/>
      <c r="I373" s="37"/>
    </row>
    <row r="374" ht="22.5" customHeight="1">
      <c r="A374" s="30"/>
      <c r="B374" s="31"/>
      <c r="C374" s="32"/>
      <c r="D374" s="33"/>
      <c r="E374" s="34"/>
      <c r="F374" s="34"/>
      <c r="G374" s="35"/>
      <c r="H374" s="34"/>
      <c r="I374" s="37"/>
    </row>
    <row r="375" ht="22.5" customHeight="1">
      <c r="A375" s="30"/>
      <c r="B375" s="39"/>
      <c r="C375" s="32"/>
      <c r="D375" s="33"/>
      <c r="E375" s="34"/>
      <c r="F375" s="34"/>
      <c r="G375" s="35"/>
      <c r="H375" s="34"/>
      <c r="I375" s="37"/>
    </row>
    <row r="376" ht="22.5" customHeight="1">
      <c r="A376" s="30"/>
      <c r="B376" s="31"/>
      <c r="C376" s="32"/>
      <c r="D376" s="33"/>
      <c r="E376" s="34"/>
      <c r="F376" s="34"/>
      <c r="G376" s="35"/>
      <c r="H376" s="34"/>
      <c r="I376" s="37"/>
    </row>
    <row r="377" ht="22.5" customHeight="1">
      <c r="A377" s="30"/>
      <c r="B377" s="31"/>
      <c r="C377" s="32"/>
      <c r="D377" s="33"/>
      <c r="E377" s="34"/>
      <c r="F377" s="34"/>
      <c r="G377" s="35"/>
      <c r="H377" s="34"/>
      <c r="I377" s="37"/>
    </row>
    <row r="378" ht="22.5" customHeight="1">
      <c r="A378" s="30"/>
      <c r="B378" s="31"/>
      <c r="C378" s="32"/>
      <c r="D378" s="33"/>
      <c r="E378" s="34"/>
      <c r="F378" s="34"/>
      <c r="G378" s="35"/>
      <c r="H378" s="34"/>
      <c r="I378" s="37"/>
    </row>
    <row r="379" ht="22.5" customHeight="1">
      <c r="A379" s="30"/>
      <c r="B379" s="31"/>
      <c r="C379" s="32"/>
      <c r="D379" s="33"/>
      <c r="E379" s="34"/>
      <c r="F379" s="34"/>
      <c r="G379" s="35"/>
      <c r="H379" s="34"/>
      <c r="I379" s="37"/>
    </row>
    <row r="380" ht="22.5" customHeight="1">
      <c r="A380" s="30"/>
      <c r="B380" s="31"/>
      <c r="C380" s="32"/>
      <c r="D380" s="33"/>
      <c r="E380" s="34"/>
      <c r="F380" s="34"/>
      <c r="G380" s="35"/>
      <c r="H380" s="34"/>
      <c r="I380" s="37"/>
    </row>
    <row r="381" ht="22.5" customHeight="1">
      <c r="A381" s="30"/>
      <c r="B381" s="31"/>
      <c r="C381" s="32"/>
      <c r="D381" s="33"/>
      <c r="E381" s="34"/>
      <c r="F381" s="34"/>
      <c r="G381" s="35"/>
      <c r="H381" s="34"/>
      <c r="I381" s="37"/>
    </row>
    <row r="382" ht="22.5" customHeight="1">
      <c r="A382" s="30"/>
      <c r="B382" s="31"/>
      <c r="C382" s="32"/>
      <c r="D382" s="33"/>
      <c r="E382" s="34"/>
      <c r="F382" s="34"/>
      <c r="G382" s="35"/>
      <c r="H382" s="34"/>
      <c r="I382" s="37"/>
    </row>
    <row r="383" ht="22.5" customHeight="1">
      <c r="A383" s="30"/>
      <c r="B383" s="31"/>
      <c r="C383" s="32"/>
      <c r="D383" s="33"/>
      <c r="E383" s="34"/>
      <c r="F383" s="34"/>
      <c r="G383" s="35"/>
      <c r="H383" s="34"/>
      <c r="I383" s="37"/>
    </row>
    <row r="384" ht="22.5" customHeight="1">
      <c r="A384" s="30"/>
      <c r="B384" s="31"/>
      <c r="C384" s="32"/>
      <c r="D384" s="33"/>
      <c r="E384" s="34"/>
      <c r="F384" s="34"/>
      <c r="G384" s="35"/>
      <c r="H384" s="34"/>
      <c r="I384" s="37"/>
    </row>
    <row r="385" ht="22.5" customHeight="1">
      <c r="A385" s="30"/>
      <c r="B385" s="31"/>
      <c r="C385" s="32"/>
      <c r="D385" s="33"/>
      <c r="E385" s="34"/>
      <c r="F385" s="34"/>
      <c r="G385" s="35"/>
      <c r="H385" s="34"/>
      <c r="I385" s="37"/>
    </row>
    <row r="386" ht="22.5" customHeight="1">
      <c r="A386" s="30"/>
      <c r="B386" s="40"/>
      <c r="C386" s="32"/>
      <c r="D386" s="33"/>
      <c r="E386" s="34"/>
      <c r="F386" s="34"/>
      <c r="G386" s="35"/>
      <c r="H386" s="34"/>
      <c r="I386" s="37"/>
    </row>
    <row r="387" ht="22.5" customHeight="1">
      <c r="A387" s="30"/>
      <c r="B387" s="31"/>
      <c r="C387" s="32"/>
      <c r="D387" s="33"/>
      <c r="E387" s="34"/>
      <c r="F387" s="34"/>
      <c r="G387" s="35"/>
      <c r="H387" s="34"/>
      <c r="I387" s="37"/>
    </row>
    <row r="388" ht="22.5" customHeight="1">
      <c r="A388" s="30"/>
      <c r="B388" s="31"/>
      <c r="C388" s="32"/>
      <c r="D388" s="33"/>
      <c r="E388" s="34"/>
      <c r="F388" s="34"/>
      <c r="G388" s="35"/>
      <c r="H388" s="34"/>
      <c r="I388" s="37"/>
    </row>
    <row r="389" ht="22.5" customHeight="1">
      <c r="A389" s="30"/>
      <c r="B389" s="31"/>
      <c r="C389" s="32"/>
      <c r="D389" s="33"/>
      <c r="E389" s="34"/>
      <c r="F389" s="34"/>
      <c r="G389" s="35"/>
      <c r="H389" s="34"/>
      <c r="I389" s="37"/>
    </row>
    <row r="390" ht="22.5" customHeight="1">
      <c r="A390" s="30"/>
      <c r="B390" s="31"/>
      <c r="C390" s="32"/>
      <c r="D390" s="33"/>
      <c r="E390" s="34"/>
      <c r="F390" s="34"/>
      <c r="G390" s="35"/>
      <c r="H390" s="34"/>
      <c r="I390" s="37"/>
    </row>
    <row r="391" ht="22.5" customHeight="1">
      <c r="A391" s="30"/>
      <c r="B391" s="31"/>
      <c r="C391" s="32"/>
      <c r="D391" s="33"/>
      <c r="E391" s="34"/>
      <c r="F391" s="34"/>
      <c r="G391" s="35"/>
      <c r="H391" s="34"/>
      <c r="I391" s="37"/>
    </row>
    <row r="392" ht="22.5" customHeight="1">
      <c r="A392" s="30"/>
      <c r="B392" s="31"/>
      <c r="C392" s="32"/>
      <c r="D392" s="33"/>
      <c r="E392" s="34"/>
      <c r="F392" s="34"/>
      <c r="G392" s="35"/>
      <c r="H392" s="34"/>
      <c r="I392" s="37"/>
    </row>
    <row r="393" ht="22.5" customHeight="1">
      <c r="A393" s="30"/>
      <c r="B393" s="39"/>
      <c r="C393" s="32"/>
      <c r="D393" s="33"/>
      <c r="E393" s="34"/>
      <c r="F393" s="34"/>
      <c r="G393" s="35"/>
      <c r="H393" s="34"/>
      <c r="I393" s="37"/>
    </row>
    <row r="394" ht="22.5" customHeight="1">
      <c r="A394" s="30"/>
      <c r="B394" s="39"/>
      <c r="C394" s="32"/>
      <c r="D394" s="33"/>
      <c r="E394" s="34"/>
      <c r="F394" s="34"/>
      <c r="G394" s="35"/>
      <c r="H394" s="34"/>
      <c r="I394" s="37"/>
    </row>
    <row r="395" ht="22.5" customHeight="1">
      <c r="A395" s="30"/>
      <c r="B395" s="39"/>
      <c r="C395" s="32"/>
      <c r="D395" s="33"/>
      <c r="E395" s="34"/>
      <c r="F395" s="34"/>
      <c r="G395" s="35"/>
      <c r="H395" s="34"/>
      <c r="I395" s="37"/>
    </row>
    <row r="396" ht="22.5" customHeight="1">
      <c r="A396" s="30"/>
      <c r="B396" s="40"/>
      <c r="C396" s="32"/>
      <c r="D396" s="33"/>
      <c r="E396" s="34"/>
      <c r="F396" s="34"/>
      <c r="G396" s="35"/>
      <c r="H396" s="34"/>
      <c r="I396" s="37"/>
    </row>
    <row r="397" ht="22.5" customHeight="1">
      <c r="A397" s="30"/>
      <c r="B397" s="31"/>
      <c r="C397" s="32"/>
      <c r="D397" s="33"/>
      <c r="E397" s="34"/>
      <c r="F397" s="34"/>
      <c r="G397" s="35"/>
      <c r="H397" s="34"/>
      <c r="I397" s="37"/>
    </row>
    <row r="398" ht="22.5" customHeight="1">
      <c r="A398" s="30"/>
      <c r="B398" s="31"/>
      <c r="C398" s="32"/>
      <c r="D398" s="33"/>
      <c r="E398" s="34"/>
      <c r="F398" s="34"/>
      <c r="G398" s="35"/>
      <c r="H398" s="34"/>
      <c r="I398" s="37"/>
    </row>
    <row r="399" ht="22.5" customHeight="1">
      <c r="A399" s="30"/>
      <c r="B399" s="31"/>
      <c r="C399" s="32"/>
      <c r="D399" s="33"/>
      <c r="E399" s="34"/>
      <c r="F399" s="34"/>
      <c r="G399" s="35"/>
      <c r="H399" s="34"/>
      <c r="I399" s="37"/>
    </row>
    <row r="400" ht="22.5" customHeight="1">
      <c r="A400" s="30"/>
      <c r="B400" s="31"/>
      <c r="C400" s="32"/>
      <c r="D400" s="33"/>
      <c r="E400" s="34"/>
      <c r="F400" s="34"/>
      <c r="G400" s="35"/>
      <c r="H400" s="34"/>
      <c r="I400" s="37"/>
    </row>
    <row r="401" ht="22.5" customHeight="1">
      <c r="A401" s="30"/>
      <c r="B401" s="31"/>
      <c r="C401" s="32"/>
      <c r="D401" s="33"/>
      <c r="E401" s="34"/>
      <c r="F401" s="34"/>
      <c r="G401" s="35"/>
      <c r="H401" s="34"/>
      <c r="I401" s="37"/>
    </row>
    <row r="402" ht="22.5" customHeight="1">
      <c r="A402" s="30"/>
      <c r="B402" s="31"/>
      <c r="C402" s="32"/>
      <c r="D402" s="33"/>
      <c r="E402" s="34"/>
      <c r="F402" s="34"/>
      <c r="G402" s="35"/>
      <c r="H402" s="34"/>
      <c r="I402" s="37"/>
    </row>
    <row r="403" ht="22.5" customHeight="1">
      <c r="A403" s="30"/>
      <c r="B403" s="31"/>
      <c r="C403" s="32"/>
      <c r="D403" s="33"/>
      <c r="E403" s="34"/>
      <c r="F403" s="34"/>
      <c r="G403" s="35"/>
      <c r="H403" s="34"/>
      <c r="I403" s="37"/>
    </row>
    <row r="404" ht="22.5" customHeight="1">
      <c r="A404" s="30"/>
      <c r="B404" s="31"/>
      <c r="C404" s="32"/>
      <c r="D404" s="33"/>
      <c r="E404" s="34"/>
      <c r="F404" s="34"/>
      <c r="G404" s="35"/>
      <c r="H404" s="34"/>
      <c r="I404" s="37"/>
    </row>
    <row r="405" ht="22.5" customHeight="1">
      <c r="A405" s="30"/>
      <c r="B405" s="31"/>
      <c r="C405" s="32"/>
      <c r="D405" s="33"/>
      <c r="E405" s="34"/>
      <c r="F405" s="34"/>
      <c r="G405" s="35"/>
      <c r="H405" s="34"/>
      <c r="I405" s="37"/>
    </row>
    <row r="406" ht="22.5" customHeight="1">
      <c r="A406" s="30"/>
      <c r="B406" s="40"/>
      <c r="C406" s="32"/>
      <c r="D406" s="33"/>
      <c r="E406" s="34"/>
      <c r="F406" s="34"/>
      <c r="G406" s="35"/>
      <c r="H406" s="34"/>
      <c r="I406" s="37"/>
    </row>
    <row r="407" ht="22.5" customHeight="1">
      <c r="A407" s="30"/>
      <c r="B407" s="31"/>
      <c r="C407" s="32"/>
      <c r="D407" s="33"/>
      <c r="E407" s="34"/>
      <c r="F407" s="34"/>
      <c r="G407" s="35"/>
      <c r="H407" s="34"/>
      <c r="I407" s="37"/>
    </row>
    <row r="408" ht="22.5" customHeight="1">
      <c r="A408" s="30"/>
      <c r="B408" s="31"/>
      <c r="C408" s="32"/>
      <c r="D408" s="33"/>
      <c r="E408" s="34"/>
      <c r="F408" s="34"/>
      <c r="G408" s="35"/>
      <c r="H408" s="34"/>
      <c r="I408" s="37"/>
    </row>
    <row r="409" ht="22.5" customHeight="1">
      <c r="A409" s="30"/>
      <c r="B409" s="31"/>
      <c r="C409" s="32"/>
      <c r="D409" s="33"/>
      <c r="E409" s="34"/>
      <c r="F409" s="34"/>
      <c r="G409" s="35"/>
      <c r="H409" s="34"/>
      <c r="I409" s="37"/>
    </row>
    <row r="410" ht="22.5" customHeight="1">
      <c r="A410" s="30"/>
      <c r="B410" s="40"/>
      <c r="C410" s="32"/>
      <c r="D410" s="33"/>
      <c r="E410" s="34"/>
      <c r="F410" s="34"/>
      <c r="G410" s="35"/>
      <c r="H410" s="34"/>
      <c r="I410" s="37"/>
    </row>
    <row r="411" ht="22.5" customHeight="1">
      <c r="A411" s="30"/>
      <c r="B411" s="31"/>
      <c r="C411" s="32"/>
      <c r="D411" s="33"/>
      <c r="E411" s="34"/>
      <c r="F411" s="34"/>
      <c r="G411" s="35"/>
      <c r="H411" s="34"/>
      <c r="I411" s="37"/>
    </row>
    <row r="412" ht="22.5" customHeight="1">
      <c r="A412" s="30"/>
      <c r="B412" s="31"/>
      <c r="C412" s="32"/>
      <c r="D412" s="33"/>
      <c r="E412" s="34"/>
      <c r="F412" s="34"/>
      <c r="G412" s="35"/>
      <c r="H412" s="34"/>
      <c r="I412" s="37"/>
    </row>
    <row r="413" ht="22.5" customHeight="1">
      <c r="A413" s="30"/>
      <c r="B413" s="31"/>
      <c r="C413" s="32"/>
      <c r="D413" s="33"/>
      <c r="E413" s="34"/>
      <c r="F413" s="34"/>
      <c r="G413" s="35"/>
      <c r="H413" s="34"/>
      <c r="I413" s="37"/>
    </row>
    <row r="414" ht="22.5" customHeight="1">
      <c r="A414" s="30"/>
      <c r="B414" s="31"/>
      <c r="C414" s="32"/>
      <c r="D414" s="33"/>
      <c r="E414" s="34"/>
      <c r="F414" s="34"/>
      <c r="G414" s="35"/>
      <c r="H414" s="34"/>
      <c r="I414" s="37"/>
    </row>
    <row r="415" ht="22.5" customHeight="1">
      <c r="A415" s="30"/>
      <c r="B415" s="31"/>
      <c r="C415" s="32"/>
      <c r="D415" s="33"/>
      <c r="E415" s="34"/>
      <c r="F415" s="34"/>
      <c r="G415" s="35"/>
      <c r="H415" s="34"/>
      <c r="I415" s="37"/>
    </row>
    <row r="416" ht="22.5" customHeight="1">
      <c r="A416" s="30"/>
      <c r="B416" s="31"/>
      <c r="C416" s="32"/>
      <c r="D416" s="33"/>
      <c r="E416" s="34"/>
      <c r="F416" s="34"/>
      <c r="G416" s="35"/>
      <c r="H416" s="34"/>
      <c r="I416" s="37"/>
    </row>
    <row r="417" ht="22.5" customHeight="1">
      <c r="A417" s="30"/>
      <c r="B417" s="31"/>
      <c r="C417" s="32"/>
      <c r="D417" s="33"/>
      <c r="E417" s="34"/>
      <c r="F417" s="34"/>
      <c r="G417" s="35"/>
      <c r="H417" s="34"/>
      <c r="I417" s="37"/>
    </row>
    <row r="418" ht="22.5" customHeight="1">
      <c r="A418" s="30"/>
      <c r="B418" s="31"/>
      <c r="C418" s="32"/>
      <c r="D418" s="33"/>
      <c r="E418" s="34"/>
      <c r="F418" s="34"/>
      <c r="G418" s="35"/>
      <c r="H418" s="34"/>
      <c r="I418" s="37"/>
    </row>
    <row r="419" ht="22.5" customHeight="1">
      <c r="A419" s="30"/>
      <c r="B419" s="31"/>
      <c r="C419" s="32"/>
      <c r="D419" s="33"/>
      <c r="E419" s="34"/>
      <c r="F419" s="34"/>
      <c r="G419" s="35"/>
      <c r="H419" s="34"/>
      <c r="I419" s="37"/>
    </row>
    <row r="420" ht="22.5" customHeight="1">
      <c r="A420" s="30"/>
      <c r="B420" s="31"/>
      <c r="C420" s="32"/>
      <c r="D420" s="33"/>
      <c r="E420" s="34"/>
      <c r="F420" s="34"/>
      <c r="G420" s="35"/>
      <c r="H420" s="34"/>
      <c r="I420" s="37"/>
    </row>
    <row r="421" ht="22.5" customHeight="1">
      <c r="A421" s="30"/>
      <c r="B421" s="31"/>
      <c r="C421" s="32"/>
      <c r="D421" s="33"/>
      <c r="E421" s="34"/>
      <c r="F421" s="34"/>
      <c r="G421" s="35"/>
      <c r="H421" s="34"/>
      <c r="I421" s="37"/>
    </row>
    <row r="422" ht="22.5" customHeight="1">
      <c r="A422" s="30"/>
      <c r="B422" s="31"/>
      <c r="C422" s="32"/>
      <c r="D422" s="33"/>
      <c r="E422" s="34"/>
      <c r="F422" s="34"/>
      <c r="G422" s="35"/>
      <c r="H422" s="34"/>
      <c r="I422" s="37"/>
    </row>
    <row r="423" ht="22.5" customHeight="1">
      <c r="A423" s="30"/>
      <c r="B423" s="31"/>
      <c r="C423" s="32"/>
      <c r="D423" s="33"/>
      <c r="E423" s="34"/>
      <c r="F423" s="34"/>
      <c r="G423" s="35"/>
      <c r="H423" s="34"/>
      <c r="I423" s="37"/>
    </row>
    <row r="424" ht="22.5" customHeight="1">
      <c r="A424" s="30"/>
      <c r="B424" s="31"/>
      <c r="C424" s="32"/>
      <c r="D424" s="33"/>
      <c r="E424" s="34"/>
      <c r="F424" s="34"/>
      <c r="G424" s="35"/>
      <c r="H424" s="34"/>
      <c r="I424" s="37"/>
    </row>
    <row r="425" ht="22.5" customHeight="1">
      <c r="A425" s="30"/>
      <c r="B425" s="40"/>
      <c r="C425" s="32"/>
      <c r="D425" s="33"/>
      <c r="E425" s="34"/>
      <c r="F425" s="34"/>
      <c r="G425" s="35"/>
      <c r="H425" s="34"/>
      <c r="I425" s="37"/>
    </row>
    <row r="426" ht="22.5" customHeight="1">
      <c r="A426" s="30"/>
      <c r="B426" s="31"/>
      <c r="C426" s="32"/>
      <c r="D426" s="33"/>
      <c r="E426" s="34"/>
      <c r="F426" s="34"/>
      <c r="G426" s="35"/>
      <c r="H426" s="34"/>
      <c r="I426" s="37"/>
    </row>
    <row r="427" ht="22.5" customHeight="1">
      <c r="A427" s="30"/>
      <c r="B427" s="40"/>
      <c r="C427" s="32"/>
      <c r="D427" s="33"/>
      <c r="E427" s="34"/>
      <c r="F427" s="34"/>
      <c r="G427" s="35"/>
      <c r="H427" s="34"/>
      <c r="I427" s="37"/>
    </row>
    <row r="428" ht="22.5" customHeight="1">
      <c r="A428" s="30"/>
      <c r="B428" s="31"/>
      <c r="C428" s="32"/>
      <c r="D428" s="33"/>
      <c r="E428" s="34"/>
      <c r="F428" s="34"/>
      <c r="G428" s="35"/>
      <c r="H428" s="34"/>
      <c r="I428" s="37"/>
    </row>
    <row r="429" ht="22.5" customHeight="1">
      <c r="A429" s="30"/>
      <c r="B429" s="31"/>
      <c r="C429" s="32"/>
      <c r="D429" s="33"/>
      <c r="E429" s="34"/>
      <c r="F429" s="34"/>
      <c r="G429" s="35"/>
      <c r="H429" s="34"/>
      <c r="I429" s="37"/>
    </row>
    <row r="430" ht="22.5" customHeight="1">
      <c r="A430" s="30"/>
      <c r="B430" s="31"/>
      <c r="C430" s="32"/>
      <c r="D430" s="33"/>
      <c r="E430" s="34"/>
      <c r="F430" s="34"/>
      <c r="G430" s="35"/>
      <c r="H430" s="34"/>
      <c r="I430" s="37"/>
    </row>
    <row r="431" ht="22.5" customHeight="1">
      <c r="A431" s="30"/>
      <c r="B431" s="31"/>
      <c r="C431" s="32"/>
      <c r="D431" s="33"/>
      <c r="E431" s="34"/>
      <c r="F431" s="34"/>
      <c r="G431" s="35"/>
      <c r="H431" s="34"/>
      <c r="I431" s="37"/>
    </row>
    <row r="432" ht="22.5" customHeight="1">
      <c r="A432" s="30"/>
      <c r="B432" s="40"/>
      <c r="C432" s="32"/>
      <c r="D432" s="33"/>
      <c r="E432" s="34"/>
      <c r="F432" s="34"/>
      <c r="G432" s="35"/>
      <c r="H432" s="34"/>
      <c r="I432" s="37"/>
    </row>
    <row r="433" ht="22.5" customHeight="1">
      <c r="A433" s="30"/>
      <c r="B433" s="31"/>
      <c r="C433" s="32"/>
      <c r="D433" s="33"/>
      <c r="E433" s="34"/>
      <c r="F433" s="34"/>
      <c r="G433" s="35"/>
      <c r="H433" s="34"/>
      <c r="I433" s="37"/>
    </row>
    <row r="434" ht="22.5" customHeight="1">
      <c r="A434" s="30"/>
      <c r="B434" s="31"/>
      <c r="C434" s="32"/>
      <c r="D434" s="33"/>
      <c r="E434" s="34"/>
      <c r="F434" s="34"/>
      <c r="G434" s="35"/>
      <c r="H434" s="34"/>
      <c r="I434" s="37"/>
    </row>
    <row r="435" ht="22.5" customHeight="1">
      <c r="A435" s="30"/>
      <c r="B435" s="31"/>
      <c r="C435" s="32"/>
      <c r="D435" s="33"/>
      <c r="E435" s="34"/>
      <c r="F435" s="34"/>
      <c r="G435" s="35"/>
      <c r="H435" s="34"/>
      <c r="I435" s="37"/>
    </row>
    <row r="436" ht="22.5" customHeight="1">
      <c r="A436" s="30"/>
      <c r="B436" s="31"/>
      <c r="C436" s="32"/>
      <c r="D436" s="33"/>
      <c r="E436" s="34"/>
      <c r="F436" s="34"/>
      <c r="G436" s="35"/>
      <c r="H436" s="34"/>
      <c r="I436" s="37"/>
    </row>
    <row r="437" ht="22.5" customHeight="1">
      <c r="A437" s="30"/>
      <c r="B437" s="31"/>
      <c r="C437" s="32"/>
      <c r="D437" s="33"/>
      <c r="E437" s="34"/>
      <c r="F437" s="34"/>
      <c r="G437" s="35"/>
      <c r="H437" s="34"/>
      <c r="I437" s="37"/>
    </row>
    <row r="438" ht="22.5" customHeight="1">
      <c r="A438" s="30"/>
      <c r="B438" s="31"/>
      <c r="C438" s="32"/>
      <c r="D438" s="33"/>
      <c r="E438" s="34"/>
      <c r="F438" s="34"/>
      <c r="G438" s="35"/>
      <c r="H438" s="34"/>
      <c r="I438" s="37"/>
    </row>
    <row r="439" ht="22.5" customHeight="1">
      <c r="A439" s="30"/>
      <c r="B439" s="31"/>
      <c r="C439" s="32"/>
      <c r="D439" s="33"/>
      <c r="E439" s="34"/>
      <c r="F439" s="34"/>
      <c r="G439" s="35"/>
      <c r="H439" s="34"/>
      <c r="I439" s="37"/>
    </row>
    <row r="440" ht="22.5" customHeight="1">
      <c r="A440" s="30"/>
      <c r="B440" s="31"/>
      <c r="C440" s="32"/>
      <c r="D440" s="33"/>
      <c r="E440" s="34"/>
      <c r="F440" s="34"/>
      <c r="G440" s="35"/>
      <c r="H440" s="34"/>
      <c r="I440" s="37"/>
    </row>
    <row r="441" ht="22.5" customHeight="1">
      <c r="A441" s="30"/>
      <c r="B441" s="31"/>
      <c r="C441" s="32"/>
      <c r="D441" s="33"/>
      <c r="E441" s="34"/>
      <c r="F441" s="34"/>
      <c r="G441" s="35"/>
      <c r="H441" s="34"/>
      <c r="I441" s="37"/>
    </row>
    <row r="442" ht="22.5" customHeight="1">
      <c r="A442" s="30"/>
      <c r="B442" s="31"/>
      <c r="C442" s="32"/>
      <c r="D442" s="33"/>
      <c r="E442" s="34"/>
      <c r="F442" s="34"/>
      <c r="G442" s="35"/>
      <c r="H442" s="34"/>
      <c r="I442" s="37"/>
    </row>
    <row r="443" ht="22.5" customHeight="1">
      <c r="A443" s="30"/>
      <c r="B443" s="31"/>
      <c r="C443" s="32"/>
      <c r="D443" s="33"/>
      <c r="E443" s="34"/>
      <c r="F443" s="34"/>
      <c r="G443" s="35"/>
      <c r="H443" s="34"/>
      <c r="I443" s="37"/>
    </row>
    <row r="444" ht="22.5" customHeight="1">
      <c r="A444" s="30"/>
      <c r="B444" s="31"/>
      <c r="C444" s="32"/>
      <c r="D444" s="33"/>
      <c r="E444" s="34"/>
      <c r="F444" s="34"/>
      <c r="G444" s="35"/>
      <c r="H444" s="34"/>
      <c r="I444" s="37"/>
    </row>
    <row r="445" ht="22.5" customHeight="1">
      <c r="A445" s="30"/>
      <c r="B445" s="31"/>
      <c r="C445" s="32"/>
      <c r="D445" s="33"/>
      <c r="E445" s="34"/>
      <c r="F445" s="34"/>
      <c r="G445" s="35"/>
      <c r="H445" s="34"/>
      <c r="I445" s="37"/>
    </row>
    <row r="446" ht="22.5" customHeight="1">
      <c r="A446" s="30"/>
      <c r="B446" s="31"/>
      <c r="C446" s="32"/>
      <c r="D446" s="33"/>
      <c r="E446" s="34"/>
      <c r="F446" s="34"/>
      <c r="G446" s="35"/>
      <c r="H446" s="34"/>
      <c r="I446" s="37"/>
    </row>
    <row r="447" ht="22.5" customHeight="1">
      <c r="A447" s="30"/>
      <c r="B447" s="31"/>
      <c r="C447" s="32"/>
      <c r="D447" s="33"/>
      <c r="E447" s="34"/>
      <c r="F447" s="34"/>
      <c r="G447" s="35"/>
      <c r="H447" s="34"/>
      <c r="I447" s="37"/>
    </row>
    <row r="448" ht="22.5" customHeight="1">
      <c r="A448" s="30"/>
      <c r="B448" s="31"/>
      <c r="C448" s="32"/>
      <c r="D448" s="33"/>
      <c r="E448" s="34"/>
      <c r="F448" s="34"/>
      <c r="G448" s="35"/>
      <c r="H448" s="34"/>
      <c r="I448" s="37"/>
    </row>
    <row r="449" ht="22.5" customHeight="1">
      <c r="A449" s="30"/>
      <c r="B449" s="31"/>
      <c r="C449" s="32"/>
      <c r="D449" s="33"/>
      <c r="E449" s="34"/>
      <c r="F449" s="34"/>
      <c r="G449" s="35"/>
      <c r="H449" s="34"/>
      <c r="I449" s="37"/>
    </row>
    <row r="450" ht="22.5" customHeight="1">
      <c r="A450" s="30"/>
      <c r="B450" s="31"/>
      <c r="C450" s="32"/>
      <c r="D450" s="33"/>
      <c r="E450" s="34"/>
      <c r="F450" s="34"/>
      <c r="G450" s="35"/>
      <c r="H450" s="34"/>
      <c r="I450" s="37"/>
    </row>
    <row r="451" ht="22.5" customHeight="1">
      <c r="A451" s="30"/>
      <c r="B451" s="31"/>
      <c r="C451" s="32"/>
      <c r="D451" s="33"/>
      <c r="E451" s="34"/>
      <c r="F451" s="34"/>
      <c r="G451" s="35"/>
      <c r="H451" s="34"/>
      <c r="I451" s="37"/>
    </row>
    <row r="452" ht="22.5" customHeight="1">
      <c r="A452" s="30"/>
      <c r="B452" s="31"/>
      <c r="C452" s="32"/>
      <c r="D452" s="33"/>
      <c r="E452" s="34"/>
      <c r="F452" s="34"/>
      <c r="G452" s="35"/>
      <c r="H452" s="34"/>
      <c r="I452" s="37"/>
    </row>
    <row r="453" ht="22.5" customHeight="1">
      <c r="A453" s="30"/>
      <c r="B453" s="31"/>
      <c r="C453" s="32"/>
      <c r="D453" s="33"/>
      <c r="E453" s="34"/>
      <c r="F453" s="34"/>
      <c r="G453" s="35"/>
      <c r="H453" s="34"/>
      <c r="I453" s="37"/>
    </row>
    <row r="454" ht="22.5" customHeight="1">
      <c r="A454" s="30"/>
      <c r="B454" s="40"/>
      <c r="C454" s="32"/>
      <c r="D454" s="33"/>
      <c r="E454" s="34"/>
      <c r="F454" s="34"/>
      <c r="G454" s="35"/>
      <c r="H454" s="34"/>
      <c r="I454" s="37"/>
    </row>
    <row r="455" ht="22.5" customHeight="1">
      <c r="A455" s="30"/>
      <c r="B455" s="31"/>
      <c r="C455" s="32"/>
      <c r="D455" s="33"/>
      <c r="E455" s="34"/>
      <c r="F455" s="34"/>
      <c r="G455" s="35"/>
      <c r="H455" s="34"/>
      <c r="I455" s="37"/>
    </row>
    <row r="456" ht="22.5" customHeight="1">
      <c r="A456" s="30"/>
      <c r="B456" s="31"/>
      <c r="C456" s="32"/>
      <c r="D456" s="33"/>
      <c r="E456" s="34"/>
      <c r="F456" s="34"/>
      <c r="G456" s="35"/>
      <c r="H456" s="34"/>
      <c r="I456" s="37"/>
    </row>
    <row r="457" ht="22.5" customHeight="1">
      <c r="A457" s="30"/>
      <c r="B457" s="31"/>
      <c r="C457" s="32"/>
      <c r="D457" s="33"/>
      <c r="E457" s="34"/>
      <c r="F457" s="34"/>
      <c r="G457" s="35"/>
      <c r="H457" s="34"/>
      <c r="I457" s="37"/>
    </row>
    <row r="458" ht="22.5" customHeight="1">
      <c r="A458" s="30"/>
      <c r="B458" s="31"/>
      <c r="C458" s="32"/>
      <c r="D458" s="33"/>
      <c r="E458" s="34"/>
      <c r="F458" s="34"/>
      <c r="G458" s="35"/>
      <c r="H458" s="34"/>
      <c r="I458" s="38"/>
    </row>
    <row r="459" ht="22.5" customHeight="1">
      <c r="A459" s="30"/>
      <c r="B459" s="39"/>
      <c r="C459" s="32"/>
      <c r="D459" s="33"/>
      <c r="E459" s="34"/>
      <c r="F459" s="34"/>
      <c r="G459" s="35"/>
      <c r="H459" s="34"/>
      <c r="I459" s="37"/>
    </row>
    <row r="460" ht="22.5" customHeight="1">
      <c r="A460" s="30"/>
      <c r="B460" s="31"/>
      <c r="C460" s="32"/>
      <c r="D460" s="33"/>
      <c r="E460" s="34"/>
      <c r="F460" s="34"/>
      <c r="G460" s="35"/>
      <c r="H460" s="34"/>
      <c r="I460" s="37"/>
    </row>
    <row r="461" ht="22.5" customHeight="1">
      <c r="A461" s="30"/>
      <c r="B461" s="31"/>
      <c r="C461" s="32"/>
      <c r="D461" s="33"/>
      <c r="E461" s="34"/>
      <c r="F461" s="34"/>
      <c r="G461" s="35"/>
      <c r="H461" s="34"/>
      <c r="I461" s="37"/>
    </row>
    <row r="462" ht="22.5" customHeight="1">
      <c r="A462" s="30"/>
      <c r="B462" s="31"/>
      <c r="C462" s="32"/>
      <c r="D462" s="33"/>
      <c r="E462" s="34"/>
      <c r="F462" s="34"/>
      <c r="G462" s="35"/>
      <c r="H462" s="34"/>
      <c r="I462" s="37"/>
    </row>
    <row r="463" ht="22.5" customHeight="1">
      <c r="A463" s="30"/>
      <c r="B463" s="39"/>
      <c r="C463" s="32"/>
      <c r="D463" s="33"/>
      <c r="E463" s="34"/>
      <c r="F463" s="34"/>
      <c r="G463" s="35"/>
      <c r="H463" s="34"/>
      <c r="I463" s="37"/>
    </row>
    <row r="464" ht="22.5" customHeight="1">
      <c r="A464" s="30"/>
      <c r="B464" s="31"/>
      <c r="C464" s="32"/>
      <c r="D464" s="33"/>
      <c r="E464" s="34"/>
      <c r="F464" s="34"/>
      <c r="G464" s="35"/>
      <c r="H464" s="34"/>
      <c r="I464" s="37"/>
    </row>
    <row r="465" ht="22.5" customHeight="1">
      <c r="A465" s="30"/>
      <c r="B465" s="39"/>
      <c r="C465" s="32"/>
      <c r="D465" s="33"/>
      <c r="E465" s="34"/>
      <c r="F465" s="34"/>
      <c r="G465" s="35"/>
      <c r="H465" s="34"/>
      <c r="I465" s="37"/>
    </row>
    <row r="466" ht="22.5" customHeight="1">
      <c r="A466" s="30"/>
      <c r="B466" s="31"/>
      <c r="C466" s="32"/>
      <c r="D466" s="33"/>
      <c r="E466" s="34"/>
      <c r="F466" s="34"/>
      <c r="G466" s="35"/>
      <c r="H466" s="34"/>
      <c r="I466" s="37"/>
    </row>
    <row r="467" ht="22.5" customHeight="1">
      <c r="A467" s="30"/>
      <c r="B467" s="31"/>
      <c r="C467" s="32"/>
      <c r="D467" s="33"/>
      <c r="E467" s="34"/>
      <c r="F467" s="34"/>
      <c r="G467" s="35"/>
      <c r="H467" s="34"/>
      <c r="I467" s="37"/>
    </row>
    <row r="468" ht="22.5" customHeight="1">
      <c r="A468" s="30"/>
      <c r="B468" s="31"/>
      <c r="C468" s="32"/>
      <c r="D468" s="33"/>
      <c r="E468" s="34"/>
      <c r="F468" s="34"/>
      <c r="G468" s="35"/>
      <c r="H468" s="34"/>
      <c r="I468" s="37"/>
    </row>
    <row r="469" ht="22.5" customHeight="1">
      <c r="A469" s="30"/>
      <c r="B469" s="31"/>
      <c r="C469" s="32"/>
      <c r="D469" s="33"/>
      <c r="E469" s="34"/>
      <c r="F469" s="34"/>
      <c r="G469" s="35"/>
      <c r="H469" s="34"/>
      <c r="I469" s="37"/>
    </row>
    <row r="470" ht="22.5" customHeight="1">
      <c r="A470" s="30"/>
      <c r="B470" s="31"/>
      <c r="C470" s="32"/>
      <c r="D470" s="33"/>
      <c r="E470" s="34"/>
      <c r="F470" s="34"/>
      <c r="G470" s="35"/>
      <c r="H470" s="34"/>
      <c r="I470" s="37"/>
    </row>
    <row r="471" ht="22.5" customHeight="1">
      <c r="A471" s="30"/>
      <c r="B471" s="31"/>
      <c r="C471" s="32"/>
      <c r="D471" s="33"/>
      <c r="E471" s="34"/>
      <c r="F471" s="34"/>
      <c r="G471" s="35"/>
      <c r="H471" s="34"/>
      <c r="I471" s="37"/>
    </row>
    <row r="472" ht="22.5" customHeight="1">
      <c r="A472" s="30"/>
      <c r="B472" s="31"/>
      <c r="C472" s="32"/>
      <c r="D472" s="33"/>
      <c r="E472" s="34"/>
      <c r="F472" s="34"/>
      <c r="G472" s="35"/>
      <c r="H472" s="34"/>
      <c r="I472" s="37"/>
    </row>
    <row r="473" ht="22.5" customHeight="1">
      <c r="A473" s="30"/>
      <c r="B473" s="31"/>
      <c r="C473" s="32"/>
      <c r="D473" s="33"/>
      <c r="E473" s="34"/>
      <c r="F473" s="34"/>
      <c r="G473" s="35"/>
      <c r="H473" s="34"/>
      <c r="I473" s="37"/>
    </row>
    <row r="474" ht="22.5" customHeight="1">
      <c r="A474" s="30"/>
      <c r="B474" s="31"/>
      <c r="C474" s="32"/>
      <c r="D474" s="33"/>
      <c r="E474" s="34"/>
      <c r="F474" s="34"/>
      <c r="G474" s="35"/>
      <c r="H474" s="34"/>
      <c r="I474" s="37"/>
    </row>
    <row r="475" ht="22.5" customHeight="1">
      <c r="A475" s="30"/>
      <c r="B475" s="31"/>
      <c r="C475" s="32"/>
      <c r="D475" s="33"/>
      <c r="E475" s="34"/>
      <c r="F475" s="34"/>
      <c r="G475" s="35"/>
      <c r="H475" s="34"/>
      <c r="I475" s="37"/>
    </row>
    <row r="476" ht="22.5" customHeight="1">
      <c r="A476" s="30"/>
      <c r="B476" s="40"/>
      <c r="C476" s="32"/>
      <c r="D476" s="33"/>
      <c r="E476" s="34"/>
      <c r="F476" s="34"/>
      <c r="G476" s="35"/>
      <c r="H476" s="34"/>
      <c r="I476" s="37"/>
    </row>
    <row r="477" ht="22.5" customHeight="1">
      <c r="A477" s="30"/>
      <c r="B477" s="31"/>
      <c r="C477" s="32"/>
      <c r="D477" s="33"/>
      <c r="E477" s="34"/>
      <c r="F477" s="34"/>
      <c r="G477" s="35"/>
      <c r="H477" s="34"/>
      <c r="I477" s="37"/>
    </row>
    <row r="478" ht="22.5" customHeight="1">
      <c r="A478" s="30"/>
      <c r="B478" s="31"/>
      <c r="C478" s="32"/>
      <c r="D478" s="33"/>
      <c r="E478" s="34"/>
      <c r="F478" s="34"/>
      <c r="G478" s="35"/>
      <c r="H478" s="34"/>
      <c r="I478" s="37"/>
    </row>
    <row r="479" ht="22.5" customHeight="1">
      <c r="A479" s="30"/>
      <c r="B479" s="31"/>
      <c r="C479" s="32"/>
      <c r="D479" s="33"/>
      <c r="E479" s="34"/>
      <c r="F479" s="34"/>
      <c r="G479" s="35"/>
      <c r="H479" s="34"/>
      <c r="I479" s="37"/>
    </row>
    <row r="480" ht="22.5" customHeight="1">
      <c r="A480" s="30"/>
      <c r="B480" s="31"/>
      <c r="C480" s="32"/>
      <c r="D480" s="33"/>
      <c r="E480" s="34"/>
      <c r="F480" s="34"/>
      <c r="G480" s="35"/>
      <c r="H480" s="34"/>
      <c r="I480" s="37"/>
    </row>
    <row r="481" ht="22.5" customHeight="1">
      <c r="A481" s="30"/>
      <c r="B481" s="31"/>
      <c r="C481" s="32"/>
      <c r="D481" s="33"/>
      <c r="E481" s="34"/>
      <c r="F481" s="34"/>
      <c r="G481" s="35"/>
      <c r="H481" s="34"/>
      <c r="I481" s="37"/>
    </row>
    <row r="482" ht="22.5" customHeight="1">
      <c r="A482" s="30"/>
      <c r="B482" s="31"/>
      <c r="C482" s="32"/>
      <c r="D482" s="33"/>
      <c r="E482" s="34"/>
      <c r="F482" s="34"/>
      <c r="G482" s="35"/>
      <c r="H482" s="34"/>
      <c r="I482" s="37"/>
    </row>
    <row r="483" ht="22.5" customHeight="1">
      <c r="A483" s="30"/>
      <c r="B483" s="39"/>
      <c r="C483" s="32"/>
      <c r="D483" s="33"/>
      <c r="E483" s="34"/>
      <c r="F483" s="34"/>
      <c r="G483" s="35"/>
      <c r="H483" s="34"/>
      <c r="I483" s="37"/>
    </row>
    <row r="484" ht="22.5" customHeight="1">
      <c r="A484" s="30"/>
      <c r="B484" s="39"/>
      <c r="C484" s="32"/>
      <c r="D484" s="33"/>
      <c r="E484" s="34"/>
      <c r="F484" s="34"/>
      <c r="G484" s="35"/>
      <c r="H484" s="34"/>
      <c r="I484" s="37"/>
    </row>
    <row r="485" ht="22.5" customHeight="1">
      <c r="A485" s="30"/>
      <c r="B485" s="39"/>
      <c r="C485" s="32"/>
      <c r="D485" s="33"/>
      <c r="E485" s="34"/>
      <c r="F485" s="34"/>
      <c r="G485" s="35"/>
      <c r="H485" s="34"/>
      <c r="I485" s="37"/>
    </row>
    <row r="486" ht="22.5" customHeight="1">
      <c r="A486" s="30"/>
      <c r="B486" s="40"/>
      <c r="C486" s="32"/>
      <c r="D486" s="33"/>
      <c r="E486" s="34"/>
      <c r="F486" s="34"/>
      <c r="G486" s="35"/>
      <c r="H486" s="34"/>
      <c r="I486" s="37"/>
    </row>
    <row r="487" ht="22.5" customHeight="1">
      <c r="A487" s="30"/>
      <c r="B487" s="31"/>
      <c r="C487" s="32"/>
      <c r="D487" s="33"/>
      <c r="E487" s="34"/>
      <c r="F487" s="34"/>
      <c r="G487" s="35"/>
      <c r="H487" s="34"/>
      <c r="I487" s="37"/>
    </row>
    <row r="488" ht="22.5" customHeight="1">
      <c r="A488" s="30"/>
      <c r="B488" s="31"/>
      <c r="C488" s="32"/>
      <c r="D488" s="33"/>
      <c r="E488" s="34"/>
      <c r="F488" s="34"/>
      <c r="G488" s="35"/>
      <c r="H488" s="34"/>
      <c r="I488" s="37"/>
    </row>
    <row r="489" ht="22.5" customHeight="1">
      <c r="A489" s="30"/>
      <c r="B489" s="31"/>
      <c r="C489" s="32"/>
      <c r="D489" s="33"/>
      <c r="E489" s="34"/>
      <c r="F489" s="34"/>
      <c r="G489" s="35"/>
      <c r="H489" s="34"/>
      <c r="I489" s="37"/>
    </row>
    <row r="490" ht="22.5" customHeight="1">
      <c r="A490" s="30"/>
      <c r="B490" s="31"/>
      <c r="C490" s="32"/>
      <c r="D490" s="33"/>
      <c r="E490" s="34"/>
      <c r="F490" s="34"/>
      <c r="G490" s="35"/>
      <c r="H490" s="34"/>
      <c r="I490" s="37"/>
    </row>
    <row r="491" ht="22.5" customHeight="1">
      <c r="A491" s="30"/>
      <c r="B491" s="31"/>
      <c r="C491" s="32"/>
      <c r="D491" s="33"/>
      <c r="E491" s="34"/>
      <c r="F491" s="34"/>
      <c r="G491" s="35"/>
      <c r="H491" s="34"/>
      <c r="I491" s="37"/>
    </row>
    <row r="492" ht="22.5" customHeight="1">
      <c r="A492" s="30"/>
      <c r="B492" s="31"/>
      <c r="C492" s="32"/>
      <c r="D492" s="33"/>
      <c r="E492" s="34"/>
      <c r="F492" s="34"/>
      <c r="G492" s="35"/>
      <c r="H492" s="34"/>
      <c r="I492" s="37"/>
    </row>
    <row r="493" ht="22.5" customHeight="1">
      <c r="A493" s="30"/>
      <c r="B493" s="31"/>
      <c r="C493" s="32"/>
      <c r="D493" s="33"/>
      <c r="E493" s="34"/>
      <c r="F493" s="34"/>
      <c r="G493" s="35"/>
      <c r="H493" s="34"/>
      <c r="I493" s="37"/>
    </row>
    <row r="494" ht="22.5" customHeight="1">
      <c r="A494" s="30"/>
      <c r="B494" s="31"/>
      <c r="C494" s="32"/>
      <c r="D494" s="33"/>
      <c r="E494" s="34"/>
      <c r="F494" s="34"/>
      <c r="G494" s="35"/>
      <c r="H494" s="34"/>
      <c r="I494" s="37"/>
    </row>
    <row r="495" ht="22.5" customHeight="1">
      <c r="A495" s="30"/>
      <c r="B495" s="31"/>
      <c r="C495" s="32"/>
      <c r="D495" s="33"/>
      <c r="E495" s="34"/>
      <c r="F495" s="34"/>
      <c r="G495" s="35"/>
      <c r="H495" s="34"/>
      <c r="I495" s="37"/>
    </row>
    <row r="496" ht="22.5" customHeight="1">
      <c r="A496" s="30"/>
      <c r="B496" s="40"/>
      <c r="C496" s="32"/>
      <c r="D496" s="33"/>
      <c r="E496" s="34"/>
      <c r="F496" s="34"/>
      <c r="G496" s="35"/>
      <c r="H496" s="34"/>
      <c r="I496" s="37"/>
    </row>
    <row r="497" ht="22.5" customHeight="1">
      <c r="A497" s="30"/>
      <c r="B497" s="31"/>
      <c r="C497" s="32"/>
      <c r="D497" s="33"/>
      <c r="E497" s="34"/>
      <c r="F497" s="34"/>
      <c r="G497" s="35"/>
      <c r="H497" s="34"/>
      <c r="I497" s="37"/>
    </row>
    <row r="498" ht="22.5" customHeight="1">
      <c r="A498" s="30"/>
      <c r="B498" s="31"/>
      <c r="C498" s="32"/>
      <c r="D498" s="33"/>
      <c r="E498" s="34"/>
      <c r="F498" s="34"/>
      <c r="G498" s="35"/>
      <c r="H498" s="34"/>
      <c r="I498" s="37"/>
    </row>
    <row r="499" ht="22.5" customHeight="1">
      <c r="A499" s="30"/>
      <c r="B499" s="31"/>
      <c r="C499" s="32"/>
      <c r="D499" s="33"/>
      <c r="E499" s="34"/>
      <c r="F499" s="34"/>
      <c r="G499" s="35"/>
      <c r="H499" s="34"/>
      <c r="I499" s="37"/>
    </row>
    <row r="500" ht="22.5" customHeight="1">
      <c r="A500" s="30"/>
      <c r="B500" s="40"/>
      <c r="C500" s="32"/>
      <c r="D500" s="33"/>
      <c r="E500" s="34"/>
      <c r="F500" s="34"/>
      <c r="G500" s="35"/>
      <c r="H500" s="34"/>
      <c r="I500" s="37"/>
    </row>
    <row r="501" ht="22.5" customHeight="1">
      <c r="A501" s="30"/>
      <c r="B501" s="31"/>
      <c r="C501" s="32"/>
      <c r="D501" s="33"/>
      <c r="E501" s="34"/>
      <c r="F501" s="34"/>
      <c r="G501" s="35"/>
      <c r="H501" s="34"/>
      <c r="I501" s="37"/>
    </row>
    <row r="502" ht="22.5" customHeight="1">
      <c r="A502" s="30"/>
      <c r="B502" s="31"/>
      <c r="C502" s="32"/>
      <c r="D502" s="33"/>
      <c r="E502" s="34"/>
      <c r="F502" s="34"/>
      <c r="G502" s="35"/>
      <c r="H502" s="34"/>
      <c r="I502" s="37"/>
    </row>
    <row r="503" ht="22.5" customHeight="1">
      <c r="A503" s="30"/>
      <c r="B503" s="31"/>
      <c r="C503" s="32"/>
      <c r="D503" s="33"/>
      <c r="E503" s="34"/>
      <c r="F503" s="34"/>
      <c r="G503" s="35"/>
      <c r="H503" s="34"/>
      <c r="I503" s="37"/>
    </row>
    <row r="504" ht="22.5" customHeight="1">
      <c r="A504" s="30"/>
      <c r="B504" s="31"/>
      <c r="C504" s="32"/>
      <c r="D504" s="33"/>
      <c r="E504" s="34"/>
      <c r="F504" s="34"/>
      <c r="G504" s="35"/>
      <c r="H504" s="34"/>
      <c r="I504" s="37"/>
    </row>
    <row r="505" ht="22.5" customHeight="1">
      <c r="A505" s="30"/>
      <c r="B505" s="31"/>
      <c r="C505" s="32"/>
      <c r="D505" s="33"/>
      <c r="E505" s="34"/>
      <c r="F505" s="34"/>
      <c r="G505" s="35"/>
      <c r="H505" s="34"/>
      <c r="I505" s="37"/>
    </row>
    <row r="506" ht="22.5" customHeight="1">
      <c r="A506" s="30"/>
      <c r="B506" s="31"/>
      <c r="C506" s="32"/>
      <c r="D506" s="33"/>
      <c r="E506" s="34"/>
      <c r="F506" s="34"/>
      <c r="G506" s="35"/>
      <c r="H506" s="34"/>
      <c r="I506" s="37"/>
    </row>
    <row r="507" ht="22.5" customHeight="1">
      <c r="A507" s="30"/>
      <c r="B507" s="31"/>
      <c r="C507" s="32"/>
      <c r="D507" s="33"/>
      <c r="E507" s="34"/>
      <c r="F507" s="34"/>
      <c r="G507" s="35"/>
      <c r="H507" s="34"/>
      <c r="I507" s="37"/>
    </row>
    <row r="508" ht="22.5" customHeight="1">
      <c r="A508" s="30"/>
      <c r="B508" s="31"/>
      <c r="C508" s="32"/>
      <c r="D508" s="33"/>
      <c r="E508" s="34"/>
      <c r="F508" s="34"/>
      <c r="G508" s="35"/>
      <c r="H508" s="34"/>
      <c r="I508" s="37"/>
    </row>
    <row r="509" ht="22.5" customHeight="1">
      <c r="A509" s="30"/>
      <c r="B509" s="31"/>
      <c r="C509" s="32"/>
      <c r="D509" s="33"/>
      <c r="E509" s="34"/>
      <c r="F509" s="34"/>
      <c r="G509" s="35"/>
      <c r="H509" s="34"/>
      <c r="I509" s="37"/>
    </row>
    <row r="510" ht="22.5" customHeight="1">
      <c r="A510" s="30"/>
      <c r="B510" s="31"/>
      <c r="C510" s="32"/>
      <c r="D510" s="33"/>
      <c r="E510" s="34"/>
      <c r="F510" s="34"/>
      <c r="G510" s="35"/>
      <c r="H510" s="34"/>
      <c r="I510" s="37"/>
    </row>
    <row r="511" ht="22.5" customHeight="1">
      <c r="A511" s="30"/>
      <c r="B511" s="31"/>
      <c r="C511" s="32"/>
      <c r="D511" s="33"/>
      <c r="E511" s="34"/>
      <c r="F511" s="34"/>
      <c r="G511" s="35"/>
      <c r="H511" s="34"/>
      <c r="I511" s="37"/>
    </row>
    <row r="512" ht="22.5" customHeight="1">
      <c r="A512" s="30"/>
      <c r="B512" s="31"/>
      <c r="C512" s="32"/>
      <c r="D512" s="33"/>
      <c r="E512" s="34"/>
      <c r="F512" s="34"/>
      <c r="G512" s="35"/>
      <c r="H512" s="34"/>
      <c r="I512" s="37"/>
    </row>
    <row r="513" ht="22.5" customHeight="1">
      <c r="A513" s="30"/>
      <c r="B513" s="31"/>
      <c r="C513" s="32"/>
      <c r="D513" s="33"/>
      <c r="E513" s="34"/>
      <c r="F513" s="34"/>
      <c r="G513" s="35"/>
      <c r="H513" s="34"/>
      <c r="I513" s="37"/>
    </row>
    <row r="514" ht="22.5" customHeight="1">
      <c r="A514" s="30"/>
      <c r="B514" s="31"/>
      <c r="C514" s="32"/>
      <c r="D514" s="33"/>
      <c r="E514" s="34"/>
      <c r="F514" s="34"/>
      <c r="G514" s="35"/>
      <c r="H514" s="34"/>
      <c r="I514" s="37"/>
    </row>
    <row r="515" ht="22.5" customHeight="1">
      <c r="A515" s="30"/>
      <c r="B515" s="40"/>
      <c r="C515" s="32"/>
      <c r="D515" s="33"/>
      <c r="E515" s="34"/>
      <c r="F515" s="34"/>
      <c r="G515" s="35"/>
      <c r="H515" s="34"/>
      <c r="I515" s="37"/>
    </row>
    <row r="516" ht="22.5" customHeight="1">
      <c r="A516" s="30"/>
      <c r="B516" s="31"/>
      <c r="C516" s="32"/>
      <c r="D516" s="33"/>
      <c r="E516" s="34"/>
      <c r="F516" s="34"/>
      <c r="G516" s="35"/>
      <c r="H516" s="34"/>
      <c r="I516" s="37"/>
    </row>
    <row r="517" ht="22.5" customHeight="1">
      <c r="A517" s="30"/>
      <c r="B517" s="40"/>
      <c r="C517" s="32"/>
      <c r="D517" s="33"/>
      <c r="E517" s="34"/>
      <c r="F517" s="34"/>
      <c r="G517" s="35"/>
      <c r="H517" s="34"/>
      <c r="I517" s="37"/>
    </row>
    <row r="518" ht="22.5" customHeight="1">
      <c r="A518" s="30"/>
      <c r="B518" s="31"/>
      <c r="C518" s="32"/>
      <c r="D518" s="33"/>
      <c r="E518" s="34"/>
      <c r="F518" s="34"/>
      <c r="G518" s="35"/>
      <c r="H518" s="34"/>
      <c r="I518" s="37"/>
    </row>
    <row r="519" ht="22.5" customHeight="1">
      <c r="A519" s="30"/>
      <c r="B519" s="31"/>
      <c r="C519" s="32"/>
      <c r="D519" s="33"/>
      <c r="E519" s="34"/>
      <c r="F519" s="34"/>
      <c r="G519" s="35"/>
      <c r="H519" s="34"/>
      <c r="I519" s="37"/>
    </row>
    <row r="520" ht="22.5" customHeight="1">
      <c r="A520" s="30"/>
      <c r="B520" s="31"/>
      <c r="C520" s="32"/>
      <c r="D520" s="33"/>
      <c r="E520" s="34"/>
      <c r="F520" s="34"/>
      <c r="G520" s="35"/>
      <c r="H520" s="34"/>
      <c r="I520" s="37"/>
    </row>
    <row r="521" ht="22.5" customHeight="1">
      <c r="A521" s="30"/>
      <c r="B521" s="31"/>
      <c r="C521" s="32"/>
      <c r="D521" s="33"/>
      <c r="E521" s="34"/>
      <c r="F521" s="34"/>
      <c r="G521" s="35"/>
      <c r="H521" s="34"/>
      <c r="I521" s="37"/>
    </row>
    <row r="522" ht="22.5" customHeight="1">
      <c r="A522" s="30"/>
      <c r="B522" s="40"/>
      <c r="C522" s="32"/>
      <c r="D522" s="33"/>
      <c r="E522" s="34"/>
      <c r="F522" s="34"/>
      <c r="G522" s="35"/>
      <c r="H522" s="34"/>
      <c r="I522" s="37"/>
    </row>
    <row r="523" ht="22.5" customHeight="1">
      <c r="A523" s="30"/>
      <c r="B523" s="31"/>
      <c r="C523" s="32"/>
      <c r="D523" s="33"/>
      <c r="E523" s="34"/>
      <c r="F523" s="34"/>
      <c r="G523" s="35"/>
      <c r="H523" s="34"/>
      <c r="I523" s="37"/>
    </row>
    <row r="524" ht="22.5" customHeight="1">
      <c r="A524" s="30"/>
      <c r="B524" s="31"/>
      <c r="C524" s="32"/>
      <c r="D524" s="33"/>
      <c r="E524" s="34"/>
      <c r="F524" s="34"/>
      <c r="G524" s="35"/>
      <c r="H524" s="34"/>
      <c r="I524" s="37"/>
    </row>
    <row r="525" ht="22.5" customHeight="1">
      <c r="A525" s="30"/>
      <c r="B525" s="31"/>
      <c r="C525" s="32"/>
      <c r="D525" s="33"/>
      <c r="E525" s="34"/>
      <c r="F525" s="34"/>
      <c r="G525" s="35"/>
      <c r="H525" s="34"/>
      <c r="I525" s="37"/>
    </row>
    <row r="526" ht="22.5" customHeight="1">
      <c r="A526" s="30"/>
      <c r="B526" s="31"/>
      <c r="C526" s="32"/>
      <c r="D526" s="33"/>
      <c r="E526" s="34"/>
      <c r="F526" s="34"/>
      <c r="G526" s="35"/>
      <c r="H526" s="34"/>
      <c r="I526" s="37"/>
    </row>
    <row r="527" ht="22.5" customHeight="1">
      <c r="A527" s="30"/>
      <c r="B527" s="31"/>
      <c r="C527" s="32"/>
      <c r="D527" s="33"/>
      <c r="E527" s="34"/>
      <c r="F527" s="34"/>
      <c r="G527" s="35"/>
      <c r="H527" s="34"/>
      <c r="I527" s="37"/>
    </row>
    <row r="528" ht="22.5" customHeight="1">
      <c r="A528" s="30"/>
      <c r="B528" s="31"/>
      <c r="C528" s="32"/>
      <c r="D528" s="33"/>
      <c r="E528" s="34"/>
      <c r="F528" s="34"/>
      <c r="G528" s="35"/>
      <c r="H528" s="34"/>
      <c r="I528" s="37"/>
    </row>
    <row r="529" ht="22.5" customHeight="1">
      <c r="A529" s="30"/>
      <c r="B529" s="31"/>
      <c r="C529" s="32"/>
      <c r="D529" s="33"/>
      <c r="E529" s="34"/>
      <c r="F529" s="34"/>
      <c r="G529" s="35"/>
      <c r="H529" s="34"/>
      <c r="I529" s="37"/>
    </row>
    <row r="530" ht="22.5" customHeight="1">
      <c r="A530" s="30"/>
      <c r="B530" s="31"/>
      <c r="C530" s="32"/>
      <c r="D530" s="33"/>
      <c r="E530" s="34"/>
      <c r="F530" s="34"/>
      <c r="G530" s="35"/>
      <c r="H530" s="34"/>
      <c r="I530" s="37"/>
    </row>
    <row r="531" ht="22.5" customHeight="1">
      <c r="A531" s="30"/>
      <c r="B531" s="31"/>
      <c r="C531" s="32"/>
      <c r="D531" s="33"/>
      <c r="E531" s="34"/>
      <c r="F531" s="34"/>
      <c r="G531" s="35"/>
      <c r="H531" s="34"/>
      <c r="I531" s="37"/>
    </row>
    <row r="532" ht="22.5" customHeight="1">
      <c r="A532" s="30"/>
      <c r="B532" s="31"/>
      <c r="C532" s="32"/>
      <c r="D532" s="33"/>
      <c r="E532" s="34"/>
      <c r="F532" s="34"/>
      <c r="G532" s="35"/>
      <c r="H532" s="34"/>
      <c r="I532" s="37"/>
    </row>
    <row r="533" ht="22.5" customHeight="1">
      <c r="A533" s="30"/>
      <c r="B533" s="31"/>
      <c r="C533" s="32"/>
      <c r="D533" s="33"/>
      <c r="E533" s="34"/>
      <c r="F533" s="34"/>
      <c r="G533" s="35"/>
      <c r="H533" s="34"/>
      <c r="I533" s="37"/>
    </row>
    <row r="534" ht="22.5" customHeight="1">
      <c r="A534" s="30"/>
      <c r="B534" s="31"/>
      <c r="C534" s="32"/>
      <c r="D534" s="33"/>
      <c r="E534" s="34"/>
      <c r="F534" s="34"/>
      <c r="G534" s="35"/>
      <c r="H534" s="34"/>
      <c r="I534" s="37"/>
    </row>
    <row r="535" ht="22.5" customHeight="1">
      <c r="A535" s="30"/>
      <c r="B535" s="31"/>
      <c r="C535" s="32"/>
      <c r="D535" s="33"/>
      <c r="E535" s="34"/>
      <c r="F535" s="34"/>
      <c r="G535" s="35"/>
      <c r="H535" s="34"/>
      <c r="I535" s="37"/>
    </row>
    <row r="536" ht="22.5" customHeight="1">
      <c r="A536" s="30"/>
      <c r="B536" s="31"/>
      <c r="C536" s="32"/>
      <c r="D536" s="33"/>
      <c r="E536" s="34"/>
      <c r="F536" s="34"/>
      <c r="G536" s="35"/>
      <c r="H536" s="34"/>
      <c r="I536" s="37"/>
    </row>
    <row r="537" ht="22.5" customHeight="1">
      <c r="A537" s="30"/>
      <c r="B537" s="31"/>
      <c r="C537" s="32"/>
      <c r="D537" s="33"/>
      <c r="E537" s="34"/>
      <c r="F537" s="34"/>
      <c r="G537" s="35"/>
      <c r="H537" s="34"/>
      <c r="I537" s="37"/>
    </row>
    <row r="538" ht="22.5" customHeight="1">
      <c r="A538" s="30"/>
      <c r="B538" s="31"/>
      <c r="C538" s="32"/>
      <c r="D538" s="33"/>
      <c r="E538" s="34"/>
      <c r="F538" s="34"/>
      <c r="G538" s="35"/>
      <c r="H538" s="34"/>
      <c r="I538" s="37"/>
    </row>
    <row r="539" ht="22.5" customHeight="1">
      <c r="A539" s="30"/>
      <c r="B539" s="31"/>
      <c r="C539" s="32"/>
      <c r="D539" s="33"/>
      <c r="E539" s="34"/>
      <c r="F539" s="34"/>
      <c r="G539" s="35"/>
      <c r="H539" s="34"/>
      <c r="I539" s="37"/>
    </row>
    <row r="540" ht="22.5" customHeight="1">
      <c r="A540" s="30"/>
      <c r="B540" s="31"/>
      <c r="C540" s="32"/>
      <c r="D540" s="33"/>
      <c r="E540" s="34"/>
      <c r="F540" s="34"/>
      <c r="G540" s="35"/>
      <c r="H540" s="34"/>
      <c r="I540" s="37"/>
    </row>
    <row r="541" ht="22.5" customHeight="1">
      <c r="A541" s="30"/>
      <c r="B541" s="31"/>
      <c r="C541" s="32"/>
      <c r="D541" s="33"/>
      <c r="E541" s="34"/>
      <c r="F541" s="34"/>
      <c r="G541" s="35"/>
      <c r="H541" s="34"/>
      <c r="I541" s="37"/>
    </row>
    <row r="542" ht="22.5" customHeight="1">
      <c r="A542" s="30"/>
      <c r="B542" s="31"/>
      <c r="C542" s="32"/>
      <c r="D542" s="33"/>
      <c r="E542" s="34"/>
      <c r="F542" s="34"/>
      <c r="G542" s="35"/>
      <c r="H542" s="34"/>
      <c r="I542" s="37"/>
    </row>
    <row r="543" ht="22.5" customHeight="1">
      <c r="A543" s="30"/>
      <c r="B543" s="31"/>
      <c r="C543" s="32"/>
      <c r="D543" s="33"/>
      <c r="E543" s="34"/>
      <c r="F543" s="34"/>
      <c r="G543" s="35"/>
      <c r="H543" s="34"/>
      <c r="I543" s="37"/>
    </row>
    <row r="544" ht="22.5" customHeight="1">
      <c r="A544" s="30"/>
      <c r="B544" s="40"/>
      <c r="C544" s="32"/>
      <c r="D544" s="33"/>
      <c r="E544" s="34"/>
      <c r="F544" s="34"/>
      <c r="G544" s="35"/>
      <c r="H544" s="34"/>
      <c r="I544" s="37"/>
    </row>
    <row r="545" ht="22.5" customHeight="1">
      <c r="A545" s="30"/>
      <c r="B545" s="31"/>
      <c r="C545" s="32"/>
      <c r="D545" s="33"/>
      <c r="E545" s="34"/>
      <c r="F545" s="34"/>
      <c r="G545" s="35"/>
      <c r="H545" s="34"/>
      <c r="I545" s="37"/>
    </row>
    <row r="546" ht="22.5" customHeight="1">
      <c r="A546" s="30"/>
      <c r="B546" s="31"/>
      <c r="C546" s="32"/>
      <c r="D546" s="33"/>
      <c r="E546" s="34"/>
      <c r="F546" s="34"/>
      <c r="G546" s="35"/>
      <c r="H546" s="34"/>
      <c r="I546" s="37"/>
    </row>
    <row r="547" ht="22.5" customHeight="1">
      <c r="A547" s="30"/>
      <c r="B547" s="31"/>
      <c r="C547" s="32"/>
      <c r="D547" s="33"/>
      <c r="E547" s="34"/>
      <c r="F547" s="34"/>
      <c r="G547" s="35"/>
      <c r="H547" s="34"/>
      <c r="I547" s="37"/>
    </row>
    <row r="548" ht="22.5" customHeight="1">
      <c r="A548" s="30"/>
      <c r="B548" s="31"/>
      <c r="C548" s="32"/>
      <c r="D548" s="33"/>
      <c r="E548" s="34"/>
      <c r="F548" s="34"/>
      <c r="G548" s="35"/>
      <c r="H548" s="34"/>
      <c r="I548" s="38"/>
    </row>
    <row r="549" ht="22.5" customHeight="1">
      <c r="A549" s="30"/>
      <c r="B549" s="39"/>
      <c r="C549" s="32"/>
      <c r="D549" s="33"/>
      <c r="E549" s="34"/>
      <c r="F549" s="34"/>
      <c r="G549" s="35"/>
      <c r="H549" s="34"/>
      <c r="I549" s="37"/>
    </row>
    <row r="550" ht="22.5" customHeight="1">
      <c r="A550" s="30"/>
      <c r="B550" s="31"/>
      <c r="C550" s="32"/>
      <c r="D550" s="33"/>
      <c r="E550" s="34"/>
      <c r="F550" s="34"/>
      <c r="G550" s="35"/>
      <c r="H550" s="34"/>
      <c r="I550" s="37"/>
    </row>
    <row r="551" ht="22.5" customHeight="1">
      <c r="A551" s="30"/>
      <c r="B551" s="31"/>
      <c r="C551" s="32"/>
      <c r="D551" s="33"/>
      <c r="E551" s="34"/>
      <c r="F551" s="34"/>
      <c r="G551" s="35"/>
      <c r="H551" s="34"/>
      <c r="I551" s="37"/>
    </row>
    <row r="552" ht="22.5" customHeight="1">
      <c r="A552" s="30"/>
      <c r="B552" s="31"/>
      <c r="C552" s="32"/>
      <c r="D552" s="33"/>
      <c r="E552" s="34"/>
      <c r="F552" s="34"/>
      <c r="G552" s="35"/>
      <c r="H552" s="34"/>
      <c r="I552" s="37"/>
    </row>
    <row r="553" ht="22.5" customHeight="1">
      <c r="A553" s="30"/>
      <c r="B553" s="39"/>
      <c r="C553" s="32"/>
      <c r="D553" s="33"/>
      <c r="E553" s="34"/>
      <c r="F553" s="34"/>
      <c r="G553" s="35"/>
      <c r="H553" s="34"/>
      <c r="I553" s="37"/>
    </row>
    <row r="554" ht="22.5" customHeight="1">
      <c r="A554" s="30"/>
      <c r="B554" s="31"/>
      <c r="C554" s="32"/>
      <c r="D554" s="33"/>
      <c r="E554" s="34"/>
      <c r="F554" s="34"/>
      <c r="G554" s="35"/>
      <c r="H554" s="34"/>
      <c r="I554" s="37"/>
    </row>
    <row r="555" ht="22.5" customHeight="1">
      <c r="A555" s="30"/>
      <c r="B555" s="39"/>
      <c r="C555" s="32"/>
      <c r="D555" s="33"/>
      <c r="E555" s="34"/>
      <c r="F555" s="34"/>
      <c r="G555" s="35"/>
      <c r="H555" s="34"/>
      <c r="I555" s="37"/>
    </row>
    <row r="556" ht="22.5" customHeight="1">
      <c r="A556" s="30"/>
      <c r="B556" s="31"/>
      <c r="C556" s="32"/>
      <c r="D556" s="33"/>
      <c r="E556" s="34"/>
      <c r="F556" s="34"/>
      <c r="G556" s="35"/>
      <c r="H556" s="34"/>
      <c r="I556" s="37"/>
    </row>
    <row r="557" ht="22.5" customHeight="1">
      <c r="A557" s="30"/>
      <c r="B557" s="31"/>
      <c r="C557" s="32"/>
      <c r="D557" s="33"/>
      <c r="E557" s="34"/>
      <c r="F557" s="34"/>
      <c r="G557" s="35"/>
      <c r="H557" s="34"/>
      <c r="I557" s="37"/>
    </row>
    <row r="558" ht="22.5" customHeight="1">
      <c r="A558" s="30"/>
      <c r="B558" s="31"/>
      <c r="C558" s="32"/>
      <c r="D558" s="33"/>
      <c r="E558" s="34"/>
      <c r="F558" s="34"/>
      <c r="G558" s="35"/>
      <c r="H558" s="34"/>
      <c r="I558" s="37"/>
    </row>
    <row r="559" ht="22.5" customHeight="1">
      <c r="A559" s="30"/>
      <c r="B559" s="31"/>
      <c r="C559" s="32"/>
      <c r="D559" s="33"/>
      <c r="E559" s="34"/>
      <c r="F559" s="34"/>
      <c r="G559" s="35"/>
      <c r="H559" s="34"/>
      <c r="I559" s="37"/>
    </row>
    <row r="560" ht="22.5" customHeight="1">
      <c r="A560" s="30"/>
      <c r="B560" s="31"/>
      <c r="C560" s="32"/>
      <c r="D560" s="33"/>
      <c r="E560" s="34"/>
      <c r="F560" s="34"/>
      <c r="G560" s="35"/>
      <c r="H560" s="34"/>
      <c r="I560" s="37"/>
    </row>
    <row r="561" ht="22.5" customHeight="1">
      <c r="A561" s="30"/>
      <c r="B561" s="31"/>
      <c r="C561" s="32"/>
      <c r="D561" s="33"/>
      <c r="E561" s="34"/>
      <c r="F561" s="34"/>
      <c r="G561" s="35"/>
      <c r="H561" s="34"/>
      <c r="I561" s="37"/>
    </row>
    <row r="562" ht="22.5" customHeight="1">
      <c r="A562" s="30"/>
      <c r="B562" s="31"/>
      <c r="C562" s="32"/>
      <c r="D562" s="33"/>
      <c r="E562" s="34"/>
      <c r="F562" s="34"/>
      <c r="G562" s="35"/>
      <c r="H562" s="34"/>
      <c r="I562" s="37"/>
    </row>
    <row r="563" ht="22.5" customHeight="1">
      <c r="A563" s="30"/>
      <c r="B563" s="31"/>
      <c r="C563" s="32"/>
      <c r="D563" s="33"/>
      <c r="E563" s="34"/>
      <c r="F563" s="34"/>
      <c r="G563" s="35"/>
      <c r="H563" s="34"/>
      <c r="I563" s="37"/>
    </row>
    <row r="564" ht="22.5" customHeight="1">
      <c r="A564" s="30"/>
      <c r="B564" s="31"/>
      <c r="C564" s="32"/>
      <c r="D564" s="33"/>
      <c r="E564" s="34"/>
      <c r="F564" s="34"/>
      <c r="G564" s="35"/>
      <c r="H564" s="34"/>
      <c r="I564" s="37"/>
    </row>
    <row r="565" ht="22.5" customHeight="1">
      <c r="A565" s="30"/>
      <c r="B565" s="31"/>
      <c r="C565" s="32"/>
      <c r="D565" s="33"/>
      <c r="E565" s="34"/>
      <c r="F565" s="34"/>
      <c r="G565" s="35"/>
      <c r="H565" s="34"/>
      <c r="I565" s="37"/>
    </row>
    <row r="566" ht="22.5" customHeight="1">
      <c r="A566" s="30"/>
      <c r="B566" s="40"/>
      <c r="C566" s="32"/>
      <c r="D566" s="33"/>
      <c r="E566" s="34"/>
      <c r="F566" s="34"/>
      <c r="G566" s="35"/>
      <c r="H566" s="34"/>
      <c r="I566" s="37"/>
    </row>
    <row r="567" ht="22.5" customHeight="1">
      <c r="A567" s="30"/>
      <c r="B567" s="31"/>
      <c r="C567" s="32"/>
      <c r="D567" s="33"/>
      <c r="E567" s="34"/>
      <c r="F567" s="34"/>
      <c r="G567" s="35"/>
      <c r="H567" s="34"/>
      <c r="I567" s="37"/>
    </row>
    <row r="568" ht="22.5" customHeight="1">
      <c r="A568" s="30"/>
      <c r="B568" s="31"/>
      <c r="C568" s="32"/>
      <c r="D568" s="33"/>
      <c r="E568" s="34"/>
      <c r="F568" s="34"/>
      <c r="G568" s="35"/>
      <c r="H568" s="34"/>
      <c r="I568" s="37"/>
    </row>
    <row r="569" ht="22.5" customHeight="1">
      <c r="A569" s="30"/>
      <c r="B569" s="31"/>
      <c r="C569" s="32"/>
      <c r="D569" s="33"/>
      <c r="E569" s="34"/>
      <c r="F569" s="34"/>
      <c r="G569" s="35"/>
      <c r="H569" s="34"/>
      <c r="I569" s="37"/>
    </row>
    <row r="570" ht="22.5" customHeight="1">
      <c r="A570" s="30"/>
      <c r="B570" s="31"/>
      <c r="C570" s="32"/>
      <c r="D570" s="33"/>
      <c r="E570" s="34"/>
      <c r="F570" s="34"/>
      <c r="G570" s="35"/>
      <c r="H570" s="34"/>
      <c r="I570" s="37"/>
    </row>
    <row r="571" ht="22.5" customHeight="1">
      <c r="A571" s="30"/>
      <c r="B571" s="31"/>
      <c r="C571" s="32"/>
      <c r="D571" s="33"/>
      <c r="E571" s="34"/>
      <c r="F571" s="34"/>
      <c r="G571" s="35"/>
      <c r="H571" s="34"/>
      <c r="I571" s="37"/>
    </row>
    <row r="572" ht="22.5" customHeight="1">
      <c r="A572" s="30"/>
      <c r="B572" s="31"/>
      <c r="C572" s="32"/>
      <c r="D572" s="33"/>
      <c r="E572" s="34"/>
      <c r="F572" s="34"/>
      <c r="G572" s="35"/>
      <c r="H572" s="34"/>
      <c r="I572" s="37"/>
    </row>
    <row r="573" ht="22.5" customHeight="1">
      <c r="A573" s="30"/>
      <c r="B573" s="39"/>
      <c r="C573" s="32"/>
      <c r="D573" s="33"/>
      <c r="E573" s="34"/>
      <c r="F573" s="34"/>
      <c r="G573" s="35"/>
      <c r="H573" s="34"/>
      <c r="I573" s="37"/>
    </row>
    <row r="574" ht="22.5" customHeight="1">
      <c r="A574" s="30"/>
      <c r="B574" s="39"/>
      <c r="C574" s="32"/>
      <c r="D574" s="33"/>
      <c r="E574" s="34"/>
      <c r="F574" s="34"/>
      <c r="G574" s="35"/>
      <c r="H574" s="34"/>
      <c r="I574" s="37"/>
    </row>
    <row r="575" ht="22.5" customHeight="1">
      <c r="A575" s="30"/>
      <c r="B575" s="39"/>
      <c r="C575" s="32"/>
      <c r="D575" s="33"/>
      <c r="E575" s="34"/>
      <c r="F575" s="34"/>
      <c r="G575" s="35"/>
      <c r="H575" s="34"/>
      <c r="I575" s="37"/>
    </row>
    <row r="576" ht="22.5" customHeight="1">
      <c r="A576" s="30"/>
      <c r="B576" s="40"/>
      <c r="C576" s="32"/>
      <c r="D576" s="33"/>
      <c r="E576" s="34"/>
      <c r="F576" s="34"/>
      <c r="G576" s="35"/>
      <c r="H576" s="34"/>
      <c r="I576" s="37"/>
    </row>
    <row r="577" ht="22.5" customHeight="1">
      <c r="A577" s="30"/>
      <c r="B577" s="31"/>
      <c r="C577" s="32"/>
      <c r="D577" s="33"/>
      <c r="E577" s="34"/>
      <c r="F577" s="34"/>
      <c r="G577" s="35"/>
      <c r="H577" s="34"/>
      <c r="I577" s="37"/>
    </row>
    <row r="578" ht="22.5" customHeight="1">
      <c r="A578" s="30"/>
      <c r="B578" s="31"/>
      <c r="C578" s="32"/>
      <c r="D578" s="33"/>
      <c r="E578" s="34"/>
      <c r="F578" s="34"/>
      <c r="G578" s="35"/>
      <c r="H578" s="34"/>
      <c r="I578" s="37"/>
    </row>
    <row r="579" ht="22.5" customHeight="1">
      <c r="A579" s="30"/>
      <c r="B579" s="31"/>
      <c r="C579" s="32"/>
      <c r="D579" s="33"/>
      <c r="E579" s="34"/>
      <c r="F579" s="34"/>
      <c r="G579" s="35"/>
      <c r="H579" s="34"/>
      <c r="I579" s="37"/>
    </row>
    <row r="580" ht="22.5" customHeight="1">
      <c r="A580" s="30"/>
      <c r="B580" s="31"/>
      <c r="C580" s="32"/>
      <c r="D580" s="33"/>
      <c r="E580" s="34"/>
      <c r="F580" s="34"/>
      <c r="G580" s="35"/>
      <c r="H580" s="34"/>
      <c r="I580" s="37"/>
    </row>
    <row r="581" ht="22.5" customHeight="1">
      <c r="A581" s="30"/>
      <c r="B581" s="31"/>
      <c r="C581" s="32"/>
      <c r="D581" s="33"/>
      <c r="E581" s="34"/>
      <c r="F581" s="34"/>
      <c r="G581" s="35"/>
      <c r="H581" s="34"/>
      <c r="I581" s="37"/>
    </row>
    <row r="582" ht="22.5" customHeight="1">
      <c r="A582" s="30"/>
      <c r="B582" s="31"/>
      <c r="C582" s="32"/>
      <c r="D582" s="33"/>
      <c r="E582" s="34"/>
      <c r="F582" s="34"/>
      <c r="G582" s="35"/>
      <c r="H582" s="34"/>
      <c r="I582" s="37"/>
    </row>
    <row r="583" ht="22.5" customHeight="1">
      <c r="A583" s="30"/>
      <c r="B583" s="31"/>
      <c r="C583" s="32"/>
      <c r="D583" s="33"/>
      <c r="E583" s="34"/>
      <c r="F583" s="34"/>
      <c r="G583" s="35"/>
      <c r="H583" s="34"/>
      <c r="I583" s="37"/>
    </row>
    <row r="584" ht="22.5" customHeight="1">
      <c r="A584" s="30"/>
      <c r="B584" s="31"/>
      <c r="C584" s="32"/>
      <c r="D584" s="33"/>
      <c r="E584" s="34"/>
      <c r="F584" s="34"/>
      <c r="G584" s="35"/>
      <c r="H584" s="34"/>
      <c r="I584" s="37"/>
    </row>
    <row r="585" ht="22.5" customHeight="1">
      <c r="A585" s="30"/>
      <c r="B585" s="31"/>
      <c r="C585" s="32"/>
      <c r="D585" s="33"/>
      <c r="E585" s="34"/>
      <c r="F585" s="34"/>
      <c r="G585" s="35"/>
      <c r="H585" s="34"/>
      <c r="I585" s="37"/>
    </row>
    <row r="586" ht="22.5" customHeight="1">
      <c r="A586" s="30"/>
      <c r="B586" s="40"/>
      <c r="C586" s="32"/>
      <c r="D586" s="33"/>
      <c r="E586" s="34"/>
      <c r="F586" s="34"/>
      <c r="G586" s="35"/>
      <c r="H586" s="34"/>
      <c r="I586" s="37"/>
    </row>
    <row r="587" ht="22.5" customHeight="1">
      <c r="A587" s="30"/>
      <c r="B587" s="31"/>
      <c r="C587" s="32"/>
      <c r="D587" s="33"/>
      <c r="E587" s="34"/>
      <c r="F587" s="34"/>
      <c r="G587" s="35"/>
      <c r="H587" s="34"/>
      <c r="I587" s="37"/>
    </row>
    <row r="588" ht="22.5" customHeight="1">
      <c r="A588" s="30"/>
      <c r="B588" s="31"/>
      <c r="C588" s="32"/>
      <c r="D588" s="33"/>
      <c r="E588" s="34"/>
      <c r="F588" s="34"/>
      <c r="G588" s="35"/>
      <c r="H588" s="34"/>
      <c r="I588" s="37"/>
    </row>
    <row r="589" ht="22.5" customHeight="1">
      <c r="A589" s="30"/>
      <c r="B589" s="31"/>
      <c r="C589" s="32"/>
      <c r="D589" s="33"/>
      <c r="E589" s="34"/>
      <c r="F589" s="34"/>
      <c r="G589" s="35"/>
      <c r="H589" s="34"/>
      <c r="I589" s="37"/>
    </row>
    <row r="590" ht="22.5" customHeight="1">
      <c r="A590" s="30"/>
      <c r="B590" s="40"/>
      <c r="C590" s="32"/>
      <c r="D590" s="33"/>
      <c r="E590" s="34"/>
      <c r="F590" s="34"/>
      <c r="G590" s="35"/>
      <c r="H590" s="34"/>
      <c r="I590" s="37"/>
    </row>
    <row r="591" ht="22.5" customHeight="1">
      <c r="A591" s="30"/>
      <c r="B591" s="31"/>
      <c r="C591" s="32"/>
      <c r="D591" s="33"/>
      <c r="E591" s="34"/>
      <c r="F591" s="34"/>
      <c r="G591" s="35"/>
      <c r="H591" s="34"/>
      <c r="I591" s="37"/>
    </row>
    <row r="592" ht="22.5" customHeight="1">
      <c r="A592" s="30"/>
      <c r="B592" s="31"/>
      <c r="C592" s="32"/>
      <c r="D592" s="33"/>
      <c r="E592" s="34"/>
      <c r="F592" s="34"/>
      <c r="G592" s="35"/>
      <c r="H592" s="34"/>
      <c r="I592" s="37"/>
    </row>
    <row r="593" ht="22.5" customHeight="1">
      <c r="A593" s="30"/>
      <c r="B593" s="31"/>
      <c r="C593" s="32"/>
      <c r="D593" s="33"/>
      <c r="E593" s="34"/>
      <c r="F593" s="34"/>
      <c r="G593" s="35"/>
      <c r="H593" s="34"/>
      <c r="I593" s="37"/>
    </row>
    <row r="594" ht="22.5" customHeight="1">
      <c r="A594" s="30"/>
      <c r="B594" s="31"/>
      <c r="C594" s="32"/>
      <c r="D594" s="33"/>
      <c r="E594" s="34"/>
      <c r="F594" s="34"/>
      <c r="G594" s="35"/>
      <c r="H594" s="34"/>
      <c r="I594" s="37"/>
    </row>
    <row r="595" ht="22.5" customHeight="1">
      <c r="A595" s="30"/>
      <c r="B595" s="31"/>
      <c r="C595" s="32"/>
      <c r="D595" s="33"/>
      <c r="E595" s="34"/>
      <c r="F595" s="34"/>
      <c r="G595" s="35"/>
      <c r="H595" s="34"/>
      <c r="I595" s="37"/>
    </row>
    <row r="596" ht="22.5" customHeight="1">
      <c r="A596" s="30"/>
      <c r="B596" s="31"/>
      <c r="C596" s="32"/>
      <c r="D596" s="33"/>
      <c r="E596" s="34"/>
      <c r="F596" s="34"/>
      <c r="G596" s="35"/>
      <c r="H596" s="34"/>
      <c r="I596" s="37"/>
    </row>
    <row r="597" ht="22.5" customHeight="1">
      <c r="A597" s="30"/>
      <c r="B597" s="31"/>
      <c r="C597" s="32"/>
      <c r="D597" s="33"/>
      <c r="E597" s="34"/>
      <c r="F597" s="34"/>
      <c r="G597" s="35"/>
      <c r="H597" s="34"/>
      <c r="I597" s="37"/>
    </row>
    <row r="598" ht="22.5" customHeight="1">
      <c r="A598" s="30"/>
      <c r="B598" s="31"/>
      <c r="C598" s="32"/>
      <c r="D598" s="33"/>
      <c r="E598" s="34"/>
      <c r="F598" s="34"/>
      <c r="G598" s="35"/>
      <c r="H598" s="34"/>
      <c r="I598" s="37"/>
    </row>
    <row r="599" ht="22.5" customHeight="1">
      <c r="A599" s="30"/>
      <c r="B599" s="31"/>
      <c r="C599" s="32"/>
      <c r="D599" s="33"/>
      <c r="E599" s="34"/>
      <c r="F599" s="34"/>
      <c r="G599" s="35"/>
      <c r="H599" s="34"/>
      <c r="I599" s="37"/>
    </row>
    <row r="600" ht="22.5" customHeight="1">
      <c r="A600" s="30"/>
      <c r="B600" s="31"/>
      <c r="C600" s="32"/>
      <c r="D600" s="33"/>
      <c r="E600" s="34"/>
      <c r="F600" s="34"/>
      <c r="G600" s="35"/>
      <c r="H600" s="34"/>
      <c r="I600" s="37"/>
    </row>
    <row r="601" ht="22.5" customHeight="1">
      <c r="A601" s="30"/>
      <c r="B601" s="31"/>
      <c r="C601" s="32"/>
      <c r="D601" s="33"/>
      <c r="E601" s="34"/>
      <c r="F601" s="34"/>
      <c r="G601" s="35"/>
      <c r="H601" s="34"/>
      <c r="I601" s="37"/>
    </row>
    <row r="602" ht="22.5" customHeight="1">
      <c r="A602" s="30"/>
      <c r="B602" s="31"/>
      <c r="C602" s="32"/>
      <c r="D602" s="33"/>
      <c r="E602" s="34"/>
      <c r="F602" s="34"/>
      <c r="G602" s="35"/>
      <c r="H602" s="34"/>
      <c r="I602" s="37"/>
    </row>
    <row r="603" ht="22.5" customHeight="1">
      <c r="A603" s="30"/>
      <c r="B603" s="31"/>
      <c r="C603" s="32"/>
      <c r="D603" s="33"/>
      <c r="E603" s="34"/>
      <c r="F603" s="34"/>
      <c r="G603" s="35"/>
      <c r="H603" s="34"/>
      <c r="I603" s="37"/>
    </row>
    <row r="604" ht="22.5" customHeight="1">
      <c r="A604" s="30"/>
      <c r="B604" s="31"/>
      <c r="C604" s="32"/>
      <c r="D604" s="33"/>
      <c r="E604" s="34"/>
      <c r="F604" s="34"/>
      <c r="G604" s="35"/>
      <c r="H604" s="34"/>
      <c r="I604" s="37"/>
    </row>
    <row r="605" ht="22.5" customHeight="1">
      <c r="A605" s="30"/>
      <c r="B605" s="40"/>
      <c r="C605" s="32"/>
      <c r="D605" s="33"/>
      <c r="E605" s="34"/>
      <c r="F605" s="34"/>
      <c r="G605" s="35"/>
      <c r="H605" s="34"/>
      <c r="I605" s="37"/>
    </row>
    <row r="606" ht="22.5" customHeight="1">
      <c r="A606" s="30"/>
      <c r="B606" s="31"/>
      <c r="C606" s="32"/>
      <c r="D606" s="33"/>
      <c r="E606" s="34"/>
      <c r="F606" s="34"/>
      <c r="G606" s="35"/>
      <c r="H606" s="34"/>
      <c r="I606" s="37"/>
    </row>
    <row r="607" ht="22.5" customHeight="1">
      <c r="A607" s="30"/>
      <c r="B607" s="40"/>
      <c r="C607" s="32"/>
      <c r="D607" s="33"/>
      <c r="E607" s="34"/>
      <c r="F607" s="34"/>
      <c r="G607" s="35"/>
      <c r="H607" s="34"/>
      <c r="I607" s="37"/>
    </row>
    <row r="608" ht="22.5" customHeight="1">
      <c r="A608" s="30"/>
      <c r="B608" s="31"/>
      <c r="C608" s="32"/>
      <c r="D608" s="33"/>
      <c r="E608" s="34"/>
      <c r="F608" s="34"/>
      <c r="G608" s="35"/>
      <c r="H608" s="34"/>
      <c r="I608" s="37"/>
    </row>
    <row r="609" ht="22.5" customHeight="1">
      <c r="A609" s="30"/>
      <c r="B609" s="31"/>
      <c r="C609" s="32"/>
      <c r="D609" s="33"/>
      <c r="E609" s="34"/>
      <c r="F609" s="34"/>
      <c r="G609" s="35"/>
      <c r="H609" s="34"/>
      <c r="I609" s="37"/>
    </row>
    <row r="610" ht="22.5" customHeight="1">
      <c r="A610" s="30"/>
      <c r="B610" s="31"/>
      <c r="C610" s="32"/>
      <c r="D610" s="33"/>
      <c r="E610" s="34"/>
      <c r="F610" s="34"/>
      <c r="G610" s="35"/>
      <c r="H610" s="34"/>
      <c r="I610" s="37"/>
    </row>
    <row r="611" ht="22.5" customHeight="1">
      <c r="A611" s="30"/>
      <c r="B611" s="31"/>
      <c r="C611" s="32"/>
      <c r="D611" s="33"/>
      <c r="E611" s="34"/>
      <c r="F611" s="34"/>
      <c r="G611" s="35"/>
      <c r="H611" s="34"/>
      <c r="I611" s="37"/>
    </row>
    <row r="612" ht="22.5" customHeight="1">
      <c r="A612" s="30"/>
      <c r="B612" s="40"/>
      <c r="C612" s="32"/>
      <c r="D612" s="33"/>
      <c r="E612" s="34"/>
      <c r="F612" s="34"/>
      <c r="G612" s="35"/>
      <c r="H612" s="34"/>
      <c r="I612" s="37"/>
    </row>
    <row r="613" ht="22.5" customHeight="1">
      <c r="A613" s="30"/>
      <c r="B613" s="31"/>
      <c r="C613" s="32"/>
      <c r="D613" s="33"/>
      <c r="E613" s="34"/>
      <c r="F613" s="34"/>
      <c r="G613" s="35"/>
      <c r="H613" s="34"/>
      <c r="I613" s="37"/>
    </row>
    <row r="614" ht="22.5" customHeight="1">
      <c r="A614" s="30"/>
      <c r="B614" s="31"/>
      <c r="C614" s="32"/>
      <c r="D614" s="33"/>
      <c r="E614" s="34"/>
      <c r="F614" s="34"/>
      <c r="G614" s="35"/>
      <c r="H614" s="34"/>
      <c r="I614" s="37"/>
    </row>
    <row r="615" ht="22.5" customHeight="1">
      <c r="A615" s="30"/>
      <c r="B615" s="31"/>
      <c r="C615" s="32"/>
      <c r="D615" s="33"/>
      <c r="E615" s="34"/>
      <c r="F615" s="34"/>
      <c r="G615" s="35"/>
      <c r="H615" s="34"/>
      <c r="I615" s="37"/>
    </row>
    <row r="616" ht="22.5" customHeight="1">
      <c r="A616" s="30"/>
      <c r="B616" s="31"/>
      <c r="C616" s="32"/>
      <c r="D616" s="33"/>
      <c r="E616" s="34"/>
      <c r="F616" s="34"/>
      <c r="G616" s="35"/>
      <c r="H616" s="34"/>
      <c r="I616" s="37"/>
    </row>
    <row r="617" ht="22.5" customHeight="1">
      <c r="A617" s="30"/>
      <c r="B617" s="31"/>
      <c r="C617" s="32"/>
      <c r="D617" s="33"/>
      <c r="E617" s="34"/>
      <c r="F617" s="34"/>
      <c r="G617" s="35"/>
      <c r="H617" s="34"/>
      <c r="I617" s="37"/>
    </row>
    <row r="618" ht="22.5" customHeight="1">
      <c r="A618" s="30"/>
      <c r="B618" s="31"/>
      <c r="C618" s="32"/>
      <c r="D618" s="33"/>
      <c r="E618" s="34"/>
      <c r="F618" s="34"/>
      <c r="G618" s="35"/>
      <c r="H618" s="34"/>
      <c r="I618" s="37"/>
    </row>
    <row r="619" ht="22.5" customHeight="1">
      <c r="A619" s="30"/>
      <c r="B619" s="31"/>
      <c r="C619" s="32"/>
      <c r="D619" s="33"/>
      <c r="E619" s="34"/>
      <c r="F619" s="34"/>
      <c r="G619" s="35"/>
      <c r="H619" s="34"/>
      <c r="I619" s="37"/>
    </row>
    <row r="620" ht="22.5" customHeight="1">
      <c r="A620" s="30"/>
      <c r="B620" s="31"/>
      <c r="C620" s="32"/>
      <c r="D620" s="33"/>
      <c r="E620" s="34"/>
      <c r="F620" s="34"/>
      <c r="G620" s="35"/>
      <c r="H620" s="34"/>
      <c r="I620" s="37"/>
    </row>
    <row r="621" ht="22.5" customHeight="1">
      <c r="A621" s="30"/>
      <c r="B621" s="31"/>
      <c r="C621" s="32"/>
      <c r="D621" s="33"/>
      <c r="E621" s="34"/>
      <c r="F621" s="34"/>
      <c r="G621" s="35"/>
      <c r="H621" s="34"/>
      <c r="I621" s="37"/>
    </row>
    <row r="622" ht="22.5" customHeight="1">
      <c r="A622" s="30"/>
      <c r="B622" s="31"/>
      <c r="C622" s="32"/>
      <c r="D622" s="33"/>
      <c r="E622" s="34"/>
      <c r="F622" s="34"/>
      <c r="G622" s="35"/>
      <c r="H622" s="34"/>
      <c r="I622" s="37"/>
    </row>
    <row r="623" ht="22.5" customHeight="1">
      <c r="A623" s="30"/>
      <c r="B623" s="31"/>
      <c r="C623" s="32"/>
      <c r="D623" s="33"/>
      <c r="E623" s="34"/>
      <c r="F623" s="34"/>
      <c r="G623" s="35"/>
      <c r="H623" s="34"/>
      <c r="I623" s="37"/>
    </row>
    <row r="624" ht="22.5" customHeight="1">
      <c r="A624" s="30"/>
      <c r="B624" s="31"/>
      <c r="C624" s="32"/>
      <c r="D624" s="33"/>
      <c r="E624" s="34"/>
      <c r="F624" s="34"/>
      <c r="G624" s="35"/>
      <c r="H624" s="34"/>
      <c r="I624" s="37"/>
    </row>
    <row r="625" ht="22.5" customHeight="1">
      <c r="A625" s="30"/>
      <c r="B625" s="31"/>
      <c r="C625" s="32"/>
      <c r="D625" s="33"/>
      <c r="E625" s="34"/>
      <c r="F625" s="34"/>
      <c r="G625" s="35"/>
      <c r="H625" s="34"/>
      <c r="I625" s="37"/>
    </row>
    <row r="626" ht="22.5" customHeight="1">
      <c r="A626" s="30"/>
      <c r="B626" s="31"/>
      <c r="C626" s="32"/>
      <c r="D626" s="33"/>
      <c r="E626" s="34"/>
      <c r="F626" s="34"/>
      <c r="G626" s="35"/>
      <c r="H626" s="34"/>
      <c r="I626" s="37"/>
    </row>
    <row r="627" ht="22.5" customHeight="1">
      <c r="A627" s="30"/>
      <c r="B627" s="31"/>
      <c r="C627" s="32"/>
      <c r="D627" s="33"/>
      <c r="E627" s="34"/>
      <c r="F627" s="34"/>
      <c r="G627" s="35"/>
      <c r="H627" s="34"/>
      <c r="I627" s="37"/>
    </row>
    <row r="628" ht="22.5" customHeight="1">
      <c r="A628" s="30"/>
      <c r="B628" s="31"/>
      <c r="C628" s="32"/>
      <c r="D628" s="33"/>
      <c r="E628" s="34"/>
      <c r="F628" s="34"/>
      <c r="G628" s="35"/>
      <c r="H628" s="34"/>
      <c r="I628" s="37"/>
    </row>
    <row r="629" ht="22.5" customHeight="1">
      <c r="A629" s="30"/>
      <c r="B629" s="31"/>
      <c r="C629" s="32"/>
      <c r="D629" s="33"/>
      <c r="E629" s="34"/>
      <c r="F629" s="34"/>
      <c r="G629" s="35"/>
      <c r="H629" s="34"/>
      <c r="I629" s="37"/>
    </row>
    <row r="630" ht="22.5" customHeight="1">
      <c r="A630" s="30"/>
      <c r="B630" s="31"/>
      <c r="C630" s="32"/>
      <c r="D630" s="33"/>
      <c r="E630" s="34"/>
      <c r="F630" s="34"/>
      <c r="G630" s="35"/>
      <c r="H630" s="34"/>
      <c r="I630" s="37"/>
    </row>
    <row r="631" ht="22.5" customHeight="1">
      <c r="A631" s="30"/>
      <c r="B631" s="31"/>
      <c r="C631" s="32"/>
      <c r="D631" s="33"/>
      <c r="E631" s="34"/>
      <c r="F631" s="34"/>
      <c r="G631" s="35"/>
      <c r="H631" s="34"/>
      <c r="I631" s="37"/>
    </row>
    <row r="632" ht="22.5" customHeight="1">
      <c r="A632" s="30"/>
      <c r="B632" s="31"/>
      <c r="C632" s="32"/>
      <c r="D632" s="33"/>
      <c r="E632" s="34"/>
      <c r="F632" s="34"/>
      <c r="G632" s="35"/>
      <c r="H632" s="34"/>
      <c r="I632" s="37"/>
    </row>
    <row r="633" ht="22.5" customHeight="1">
      <c r="A633" s="30"/>
      <c r="B633" s="31"/>
      <c r="C633" s="32"/>
      <c r="D633" s="33"/>
      <c r="E633" s="34"/>
      <c r="F633" s="34"/>
      <c r="G633" s="35"/>
      <c r="H633" s="34"/>
      <c r="I633" s="37"/>
    </row>
    <row r="634" ht="22.5" customHeight="1">
      <c r="A634" s="30"/>
      <c r="B634" s="40"/>
      <c r="C634" s="32"/>
      <c r="D634" s="33"/>
      <c r="E634" s="34"/>
      <c r="F634" s="34"/>
      <c r="G634" s="35"/>
      <c r="H634" s="34"/>
      <c r="I634" s="37"/>
    </row>
    <row r="635" ht="22.5" customHeight="1">
      <c r="A635" s="30"/>
      <c r="B635" s="31"/>
      <c r="C635" s="32"/>
      <c r="D635" s="33"/>
      <c r="E635" s="34"/>
      <c r="F635" s="34"/>
      <c r="G635" s="35"/>
      <c r="H635" s="34"/>
      <c r="I635" s="37"/>
    </row>
    <row r="636" ht="22.5" customHeight="1">
      <c r="A636" s="30"/>
      <c r="B636" s="31"/>
      <c r="C636" s="32"/>
      <c r="D636" s="33"/>
      <c r="E636" s="34"/>
      <c r="F636" s="34"/>
      <c r="G636" s="35"/>
      <c r="H636" s="34"/>
      <c r="I636" s="37"/>
    </row>
    <row r="637" ht="22.5" customHeight="1">
      <c r="A637" s="30"/>
      <c r="B637" s="31"/>
      <c r="C637" s="32"/>
      <c r="D637" s="33"/>
      <c r="E637" s="34"/>
      <c r="F637" s="34"/>
      <c r="G637" s="35"/>
      <c r="H637" s="34"/>
      <c r="I637" s="37"/>
    </row>
    <row r="638" ht="22.5" customHeight="1">
      <c r="A638" s="30"/>
      <c r="B638" s="31"/>
      <c r="C638" s="32"/>
      <c r="D638" s="33"/>
      <c r="E638" s="34"/>
      <c r="F638" s="34"/>
      <c r="G638" s="35"/>
      <c r="H638" s="34"/>
      <c r="I638" s="38"/>
    </row>
    <row r="639" ht="22.5" customHeight="1">
      <c r="A639" s="30"/>
      <c r="B639" s="39"/>
      <c r="C639" s="32"/>
      <c r="D639" s="33"/>
      <c r="E639" s="34"/>
      <c r="F639" s="34"/>
      <c r="G639" s="35"/>
      <c r="H639" s="34"/>
      <c r="I639" s="37"/>
    </row>
    <row r="640" ht="22.5" customHeight="1">
      <c r="A640" s="30"/>
      <c r="B640" s="31"/>
      <c r="C640" s="32"/>
      <c r="D640" s="33"/>
      <c r="E640" s="34"/>
      <c r="F640" s="34"/>
      <c r="G640" s="35"/>
      <c r="H640" s="34"/>
      <c r="I640" s="37"/>
    </row>
    <row r="641" ht="22.5" customHeight="1">
      <c r="A641" s="30"/>
      <c r="B641" s="31"/>
      <c r="C641" s="32"/>
      <c r="D641" s="33"/>
      <c r="E641" s="34"/>
      <c r="F641" s="34"/>
      <c r="G641" s="35"/>
      <c r="H641" s="34"/>
      <c r="I641" s="37"/>
    </row>
    <row r="642" ht="22.5" customHeight="1">
      <c r="A642" s="30"/>
      <c r="B642" s="31"/>
      <c r="C642" s="32"/>
      <c r="D642" s="33"/>
      <c r="E642" s="34"/>
      <c r="F642" s="34"/>
      <c r="G642" s="35"/>
      <c r="H642" s="34"/>
      <c r="I642" s="37"/>
    </row>
    <row r="643" ht="22.5" customHeight="1">
      <c r="A643" s="30"/>
      <c r="B643" s="39"/>
      <c r="C643" s="32"/>
      <c r="D643" s="33"/>
      <c r="E643" s="34"/>
      <c r="F643" s="34"/>
      <c r="G643" s="35"/>
      <c r="H643" s="34"/>
      <c r="I643" s="37"/>
    </row>
    <row r="644" ht="22.5" customHeight="1">
      <c r="A644" s="30"/>
      <c r="B644" s="31"/>
      <c r="C644" s="32"/>
      <c r="D644" s="33"/>
      <c r="E644" s="34"/>
      <c r="F644" s="34"/>
      <c r="G644" s="35"/>
      <c r="H644" s="34"/>
      <c r="I644" s="37"/>
    </row>
    <row r="645" ht="22.5" customHeight="1">
      <c r="A645" s="30"/>
      <c r="B645" s="39"/>
      <c r="C645" s="32"/>
      <c r="D645" s="33"/>
      <c r="E645" s="34"/>
      <c r="F645" s="34"/>
      <c r="G645" s="35"/>
      <c r="H645" s="34"/>
      <c r="I645" s="37"/>
    </row>
    <row r="646" ht="22.5" customHeight="1">
      <c r="A646" s="30"/>
      <c r="B646" s="31"/>
      <c r="C646" s="32"/>
      <c r="D646" s="33"/>
      <c r="E646" s="34"/>
      <c r="F646" s="34"/>
      <c r="G646" s="35"/>
      <c r="H646" s="34"/>
      <c r="I646" s="37"/>
    </row>
    <row r="647" ht="22.5" customHeight="1">
      <c r="A647" s="30"/>
      <c r="B647" s="31"/>
      <c r="C647" s="32"/>
      <c r="D647" s="33"/>
      <c r="E647" s="34"/>
      <c r="F647" s="34"/>
      <c r="G647" s="35"/>
      <c r="H647" s="34"/>
      <c r="I647" s="37"/>
    </row>
    <row r="648" ht="22.5" customHeight="1">
      <c r="A648" s="30"/>
      <c r="B648" s="31"/>
      <c r="C648" s="32"/>
      <c r="D648" s="33"/>
      <c r="E648" s="34"/>
      <c r="F648" s="34"/>
      <c r="G648" s="35"/>
      <c r="H648" s="34"/>
      <c r="I648" s="37"/>
    </row>
    <row r="649" ht="22.5" customHeight="1">
      <c r="A649" s="30"/>
      <c r="B649" s="31"/>
      <c r="C649" s="32"/>
      <c r="D649" s="33"/>
      <c r="E649" s="34"/>
      <c r="F649" s="34"/>
      <c r="G649" s="35"/>
      <c r="H649" s="34"/>
      <c r="I649" s="37"/>
    </row>
    <row r="650" ht="22.5" customHeight="1">
      <c r="A650" s="30"/>
      <c r="B650" s="31"/>
      <c r="C650" s="32"/>
      <c r="D650" s="33"/>
      <c r="E650" s="34"/>
      <c r="F650" s="34"/>
      <c r="G650" s="35"/>
      <c r="H650" s="34"/>
      <c r="I650" s="37"/>
    </row>
    <row r="651" ht="22.5" customHeight="1">
      <c r="A651" s="30"/>
      <c r="B651" s="31"/>
      <c r="C651" s="32"/>
      <c r="D651" s="33"/>
      <c r="E651" s="34"/>
      <c r="F651" s="34"/>
      <c r="G651" s="35"/>
      <c r="H651" s="34"/>
      <c r="I651" s="37"/>
    </row>
    <row r="652" ht="22.5" customHeight="1">
      <c r="A652" s="30"/>
      <c r="B652" s="31"/>
      <c r="C652" s="32"/>
      <c r="D652" s="33"/>
      <c r="E652" s="34"/>
      <c r="F652" s="34"/>
      <c r="G652" s="35"/>
      <c r="H652" s="34"/>
      <c r="I652" s="37"/>
    </row>
    <row r="653" ht="22.5" customHeight="1">
      <c r="A653" s="30"/>
      <c r="B653" s="31"/>
      <c r="C653" s="32"/>
      <c r="D653" s="33"/>
      <c r="E653" s="34"/>
      <c r="F653" s="34"/>
      <c r="G653" s="35"/>
      <c r="H653" s="34"/>
      <c r="I653" s="37"/>
    </row>
    <row r="654" ht="22.5" customHeight="1">
      <c r="A654" s="30"/>
      <c r="B654" s="31"/>
      <c r="C654" s="32"/>
      <c r="D654" s="33"/>
      <c r="E654" s="34"/>
      <c r="F654" s="34"/>
      <c r="G654" s="35"/>
      <c r="H654" s="34"/>
      <c r="I654" s="37"/>
    </row>
    <row r="655" ht="22.5" customHeight="1">
      <c r="A655" s="30"/>
      <c r="B655" s="31"/>
      <c r="C655" s="32"/>
      <c r="D655" s="33"/>
      <c r="E655" s="34"/>
      <c r="F655" s="34"/>
      <c r="G655" s="35"/>
      <c r="H655" s="34"/>
      <c r="I655" s="37"/>
    </row>
    <row r="656" ht="22.5" customHeight="1">
      <c r="A656" s="30"/>
      <c r="B656" s="40"/>
      <c r="C656" s="32"/>
      <c r="D656" s="33"/>
      <c r="E656" s="34"/>
      <c r="F656" s="34"/>
      <c r="G656" s="35"/>
      <c r="H656" s="34"/>
      <c r="I656" s="37"/>
    </row>
    <row r="657" ht="22.5" customHeight="1">
      <c r="A657" s="30"/>
      <c r="B657" s="31"/>
      <c r="C657" s="32"/>
      <c r="D657" s="33"/>
      <c r="E657" s="34"/>
      <c r="F657" s="34"/>
      <c r="G657" s="35"/>
      <c r="H657" s="34"/>
      <c r="I657" s="37"/>
    </row>
    <row r="658" ht="22.5" customHeight="1">
      <c r="A658" s="30"/>
      <c r="B658" s="31"/>
      <c r="C658" s="32"/>
      <c r="D658" s="33"/>
      <c r="E658" s="34"/>
      <c r="F658" s="34"/>
      <c r="G658" s="35"/>
      <c r="H658" s="34"/>
      <c r="I658" s="37"/>
    </row>
    <row r="659" ht="22.5" customHeight="1">
      <c r="A659" s="30"/>
      <c r="B659" s="31"/>
      <c r="C659" s="32"/>
      <c r="D659" s="33"/>
      <c r="E659" s="34"/>
      <c r="F659" s="34"/>
      <c r="G659" s="35"/>
      <c r="H659" s="34"/>
      <c r="I659" s="37"/>
    </row>
    <row r="660" ht="22.5" customHeight="1">
      <c r="A660" s="30"/>
      <c r="B660" s="31"/>
      <c r="C660" s="32"/>
      <c r="D660" s="33"/>
      <c r="E660" s="34"/>
      <c r="F660" s="34"/>
      <c r="G660" s="35"/>
      <c r="H660" s="34"/>
      <c r="I660" s="37"/>
    </row>
    <row r="661" ht="22.5" customHeight="1">
      <c r="A661" s="30"/>
      <c r="B661" s="31"/>
      <c r="C661" s="32"/>
      <c r="D661" s="33"/>
      <c r="E661" s="34"/>
      <c r="F661" s="34"/>
      <c r="G661" s="35"/>
      <c r="H661" s="34"/>
      <c r="I661" s="37"/>
    </row>
    <row r="662" ht="22.5" customHeight="1">
      <c r="A662" s="30"/>
      <c r="B662" s="31"/>
      <c r="C662" s="32"/>
      <c r="D662" s="33"/>
      <c r="E662" s="34"/>
      <c r="F662" s="34"/>
      <c r="G662" s="35"/>
      <c r="H662" s="34"/>
      <c r="I662" s="37"/>
    </row>
    <row r="663" ht="22.5" customHeight="1">
      <c r="A663" s="30"/>
      <c r="B663" s="39"/>
      <c r="C663" s="32"/>
      <c r="D663" s="33"/>
      <c r="E663" s="34"/>
      <c r="F663" s="34"/>
      <c r="G663" s="35"/>
      <c r="H663" s="34"/>
      <c r="I663" s="37"/>
    </row>
    <row r="664" ht="22.5" customHeight="1">
      <c r="A664" s="30"/>
      <c r="B664" s="39"/>
      <c r="C664" s="32"/>
      <c r="D664" s="33"/>
      <c r="E664" s="34"/>
      <c r="F664" s="34"/>
      <c r="G664" s="35"/>
      <c r="H664" s="34"/>
      <c r="I664" s="37"/>
    </row>
    <row r="665" ht="22.5" customHeight="1">
      <c r="A665" s="30"/>
      <c r="B665" s="39"/>
      <c r="C665" s="32"/>
      <c r="D665" s="33"/>
      <c r="E665" s="34"/>
      <c r="F665" s="34"/>
      <c r="G665" s="35"/>
      <c r="H665" s="34"/>
      <c r="I665" s="37"/>
    </row>
    <row r="666" ht="22.5" customHeight="1">
      <c r="A666" s="30"/>
      <c r="B666" s="40"/>
      <c r="C666" s="32"/>
      <c r="D666" s="33"/>
      <c r="E666" s="34"/>
      <c r="F666" s="34"/>
      <c r="G666" s="35"/>
      <c r="H666" s="34"/>
      <c r="I666" s="37"/>
    </row>
    <row r="667" ht="22.5" customHeight="1">
      <c r="A667" s="30"/>
      <c r="B667" s="31"/>
      <c r="C667" s="32"/>
      <c r="D667" s="33"/>
      <c r="E667" s="34"/>
      <c r="F667" s="34"/>
      <c r="G667" s="35"/>
      <c r="H667" s="34"/>
      <c r="I667" s="37"/>
    </row>
    <row r="668" ht="22.5" customHeight="1">
      <c r="A668" s="30"/>
      <c r="B668" s="31"/>
      <c r="C668" s="32"/>
      <c r="D668" s="33"/>
      <c r="E668" s="34"/>
      <c r="F668" s="34"/>
      <c r="G668" s="35"/>
      <c r="H668" s="34"/>
      <c r="I668" s="37"/>
    </row>
    <row r="669" ht="22.5" customHeight="1">
      <c r="A669" s="30"/>
      <c r="B669" s="31"/>
      <c r="C669" s="32"/>
      <c r="D669" s="33"/>
      <c r="E669" s="34"/>
      <c r="F669" s="34"/>
      <c r="G669" s="35"/>
      <c r="H669" s="34"/>
      <c r="I669" s="37"/>
    </row>
    <row r="670" ht="22.5" customHeight="1">
      <c r="A670" s="30"/>
      <c r="B670" s="31"/>
      <c r="C670" s="32"/>
      <c r="D670" s="33"/>
      <c r="E670" s="34"/>
      <c r="F670" s="34"/>
      <c r="G670" s="35"/>
      <c r="H670" s="34"/>
      <c r="I670" s="37"/>
    </row>
    <row r="671" ht="22.5" customHeight="1">
      <c r="A671" s="30"/>
      <c r="B671" s="31"/>
      <c r="C671" s="32"/>
      <c r="D671" s="33"/>
      <c r="E671" s="34"/>
      <c r="F671" s="34"/>
      <c r="G671" s="35"/>
      <c r="H671" s="34"/>
      <c r="I671" s="37"/>
    </row>
    <row r="672" ht="22.5" customHeight="1">
      <c r="A672" s="30"/>
      <c r="B672" s="31"/>
      <c r="C672" s="32"/>
      <c r="D672" s="33"/>
      <c r="E672" s="34"/>
      <c r="F672" s="34"/>
      <c r="G672" s="35"/>
      <c r="H672" s="34"/>
      <c r="I672" s="37"/>
    </row>
    <row r="673" ht="22.5" customHeight="1">
      <c r="A673" s="30"/>
      <c r="B673" s="31"/>
      <c r="C673" s="32"/>
      <c r="D673" s="33"/>
      <c r="E673" s="34"/>
      <c r="F673" s="34"/>
      <c r="G673" s="35"/>
      <c r="H673" s="34"/>
      <c r="I673" s="37"/>
    </row>
    <row r="674" ht="22.5" customHeight="1">
      <c r="A674" s="30"/>
      <c r="B674" s="31"/>
      <c r="C674" s="32"/>
      <c r="D674" s="33"/>
      <c r="E674" s="34"/>
      <c r="F674" s="34"/>
      <c r="G674" s="35"/>
      <c r="H674" s="34"/>
      <c r="I674" s="37"/>
    </row>
    <row r="675" ht="22.5" customHeight="1">
      <c r="A675" s="30"/>
      <c r="B675" s="31"/>
      <c r="C675" s="32"/>
      <c r="D675" s="33"/>
      <c r="E675" s="34"/>
      <c r="F675" s="34"/>
      <c r="G675" s="35"/>
      <c r="H675" s="34"/>
      <c r="I675" s="37"/>
    </row>
    <row r="676" ht="22.5" customHeight="1">
      <c r="A676" s="30"/>
      <c r="B676" s="40"/>
      <c r="C676" s="32"/>
      <c r="D676" s="33"/>
      <c r="E676" s="34"/>
      <c r="F676" s="34"/>
      <c r="G676" s="35"/>
      <c r="H676" s="34"/>
      <c r="I676" s="37"/>
    </row>
    <row r="677" ht="22.5" customHeight="1">
      <c r="A677" s="30"/>
      <c r="B677" s="31"/>
      <c r="C677" s="32"/>
      <c r="D677" s="33"/>
      <c r="E677" s="34"/>
      <c r="F677" s="34"/>
      <c r="G677" s="35"/>
      <c r="H677" s="34"/>
      <c r="I677" s="37"/>
    </row>
    <row r="678" ht="22.5" customHeight="1">
      <c r="A678" s="30"/>
      <c r="B678" s="31"/>
      <c r="C678" s="32"/>
      <c r="D678" s="33"/>
      <c r="E678" s="34"/>
      <c r="F678" s="34"/>
      <c r="G678" s="35"/>
      <c r="H678" s="34"/>
      <c r="I678" s="37"/>
    </row>
    <row r="679" ht="22.5" customHeight="1">
      <c r="A679" s="30"/>
      <c r="B679" s="31"/>
      <c r="C679" s="32"/>
      <c r="D679" s="33"/>
      <c r="E679" s="34"/>
      <c r="F679" s="34"/>
      <c r="G679" s="35"/>
      <c r="H679" s="34"/>
      <c r="I679" s="37"/>
    </row>
    <row r="680" ht="22.5" customHeight="1">
      <c r="A680" s="30"/>
      <c r="B680" s="40"/>
      <c r="C680" s="32"/>
      <c r="D680" s="33"/>
      <c r="E680" s="34"/>
      <c r="F680" s="34"/>
      <c r="G680" s="35"/>
      <c r="H680" s="34"/>
      <c r="I680" s="37"/>
    </row>
    <row r="681" ht="22.5" customHeight="1">
      <c r="A681" s="30"/>
      <c r="B681" s="31"/>
      <c r="C681" s="32"/>
      <c r="D681" s="33"/>
      <c r="E681" s="34"/>
      <c r="F681" s="34"/>
      <c r="G681" s="35"/>
      <c r="H681" s="34"/>
      <c r="I681" s="37"/>
    </row>
    <row r="682" ht="22.5" customHeight="1">
      <c r="A682" s="30"/>
      <c r="B682" s="31"/>
      <c r="C682" s="32"/>
      <c r="D682" s="33"/>
      <c r="E682" s="34"/>
      <c r="F682" s="34"/>
      <c r="G682" s="35"/>
      <c r="H682" s="34"/>
      <c r="I682" s="37"/>
    </row>
    <row r="683" ht="22.5" customHeight="1">
      <c r="A683" s="30"/>
      <c r="B683" s="31"/>
      <c r="C683" s="32"/>
      <c r="D683" s="33"/>
      <c r="E683" s="34"/>
      <c r="F683" s="34"/>
      <c r="G683" s="35"/>
      <c r="H683" s="34"/>
      <c r="I683" s="37"/>
    </row>
    <row r="684" ht="22.5" customHeight="1">
      <c r="A684" s="30"/>
      <c r="B684" s="31"/>
      <c r="C684" s="32"/>
      <c r="D684" s="33"/>
      <c r="E684" s="34"/>
      <c r="F684" s="34"/>
      <c r="G684" s="35"/>
      <c r="H684" s="34"/>
      <c r="I684" s="37"/>
    </row>
    <row r="685" ht="22.5" customHeight="1">
      <c r="A685" s="30"/>
      <c r="B685" s="31"/>
      <c r="C685" s="32"/>
      <c r="D685" s="33"/>
      <c r="E685" s="34"/>
      <c r="F685" s="34"/>
      <c r="G685" s="35"/>
      <c r="H685" s="34"/>
      <c r="I685" s="37"/>
    </row>
    <row r="686" ht="22.5" customHeight="1">
      <c r="A686" s="30"/>
      <c r="B686" s="31"/>
      <c r="C686" s="32"/>
      <c r="D686" s="33"/>
      <c r="E686" s="34"/>
      <c r="F686" s="34"/>
      <c r="G686" s="35"/>
      <c r="H686" s="34"/>
      <c r="I686" s="37"/>
    </row>
    <row r="687" ht="22.5" customHeight="1">
      <c r="A687" s="30"/>
      <c r="B687" s="31"/>
      <c r="C687" s="32"/>
      <c r="D687" s="33"/>
      <c r="E687" s="34"/>
      <c r="F687" s="34"/>
      <c r="G687" s="35"/>
      <c r="H687" s="34"/>
      <c r="I687" s="37"/>
    </row>
    <row r="688" ht="22.5" customHeight="1">
      <c r="A688" s="30"/>
      <c r="B688" s="31"/>
      <c r="C688" s="32"/>
      <c r="D688" s="33"/>
      <c r="E688" s="34"/>
      <c r="F688" s="34"/>
      <c r="G688" s="35"/>
      <c r="H688" s="34"/>
      <c r="I688" s="37"/>
    </row>
    <row r="689" ht="22.5" customHeight="1">
      <c r="A689" s="30"/>
      <c r="B689" s="31"/>
      <c r="C689" s="32"/>
      <c r="D689" s="33"/>
      <c r="E689" s="34"/>
      <c r="F689" s="34"/>
      <c r="G689" s="35"/>
      <c r="H689" s="34"/>
      <c r="I689" s="37"/>
    </row>
    <row r="690" ht="22.5" customHeight="1">
      <c r="A690" s="30"/>
      <c r="B690" s="31"/>
      <c r="C690" s="32"/>
      <c r="D690" s="33"/>
      <c r="E690" s="34"/>
      <c r="F690" s="34"/>
      <c r="G690" s="35"/>
      <c r="H690" s="34"/>
      <c r="I690" s="37"/>
    </row>
    <row r="691" ht="22.5" customHeight="1">
      <c r="A691" s="30"/>
      <c r="B691" s="31"/>
      <c r="C691" s="32"/>
      <c r="D691" s="33"/>
      <c r="E691" s="34"/>
      <c r="F691" s="34"/>
      <c r="G691" s="35"/>
      <c r="H691" s="34"/>
      <c r="I691" s="37"/>
    </row>
    <row r="692" ht="22.5" customHeight="1">
      <c r="A692" s="30"/>
      <c r="B692" s="31"/>
      <c r="C692" s="32"/>
      <c r="D692" s="33"/>
      <c r="E692" s="34"/>
      <c r="F692" s="34"/>
      <c r="G692" s="35"/>
      <c r="H692" s="34"/>
      <c r="I692" s="37"/>
    </row>
    <row r="693" ht="22.5" customHeight="1">
      <c r="A693" s="30"/>
      <c r="B693" s="31"/>
      <c r="C693" s="32"/>
      <c r="D693" s="33"/>
      <c r="E693" s="34"/>
      <c r="F693" s="34"/>
      <c r="G693" s="35"/>
      <c r="H693" s="34"/>
      <c r="I693" s="37"/>
    </row>
    <row r="694" ht="22.5" customHeight="1">
      <c r="A694" s="30"/>
      <c r="B694" s="31"/>
      <c r="C694" s="32"/>
      <c r="D694" s="33"/>
      <c r="E694" s="34"/>
      <c r="F694" s="34"/>
      <c r="G694" s="35"/>
      <c r="H694" s="34"/>
      <c r="I694" s="37"/>
    </row>
    <row r="695" ht="22.5" customHeight="1">
      <c r="A695" s="30"/>
      <c r="B695" s="40"/>
      <c r="C695" s="32"/>
      <c r="D695" s="33"/>
      <c r="E695" s="34"/>
      <c r="F695" s="34"/>
      <c r="G695" s="35"/>
      <c r="H695" s="34"/>
      <c r="I695" s="37"/>
    </row>
    <row r="696" ht="22.5" customHeight="1">
      <c r="A696" s="30"/>
      <c r="B696" s="31"/>
      <c r="C696" s="32"/>
      <c r="D696" s="33"/>
      <c r="E696" s="34"/>
      <c r="F696" s="34"/>
      <c r="G696" s="35"/>
      <c r="H696" s="34"/>
      <c r="I696" s="37"/>
    </row>
    <row r="697" ht="22.5" customHeight="1">
      <c r="A697" s="30"/>
      <c r="B697" s="40"/>
      <c r="C697" s="32"/>
      <c r="D697" s="33"/>
      <c r="E697" s="34"/>
      <c r="F697" s="34"/>
      <c r="G697" s="35"/>
      <c r="H697" s="34"/>
      <c r="I697" s="37"/>
    </row>
    <row r="698" ht="22.5" customHeight="1">
      <c r="A698" s="30"/>
      <c r="B698" s="31"/>
      <c r="C698" s="32"/>
      <c r="D698" s="33"/>
      <c r="E698" s="34"/>
      <c r="F698" s="34"/>
      <c r="G698" s="35"/>
      <c r="H698" s="34"/>
      <c r="I698" s="37"/>
    </row>
    <row r="699" ht="22.5" customHeight="1">
      <c r="A699" s="30"/>
      <c r="B699" s="31"/>
      <c r="C699" s="32"/>
      <c r="D699" s="33"/>
      <c r="E699" s="34"/>
      <c r="F699" s="34"/>
      <c r="G699" s="35"/>
      <c r="H699" s="34"/>
      <c r="I699" s="37"/>
    </row>
    <row r="700" ht="22.5" customHeight="1">
      <c r="A700" s="30"/>
      <c r="B700" s="31"/>
      <c r="C700" s="32"/>
      <c r="D700" s="33"/>
      <c r="E700" s="34"/>
      <c r="F700" s="34"/>
      <c r="G700" s="35"/>
      <c r="H700" s="34"/>
      <c r="I700" s="37"/>
    </row>
    <row r="701" ht="22.5" customHeight="1">
      <c r="A701" s="30"/>
      <c r="B701" s="31"/>
      <c r="C701" s="32"/>
      <c r="D701" s="33"/>
      <c r="E701" s="34"/>
      <c r="F701" s="34"/>
      <c r="G701" s="35"/>
      <c r="H701" s="34"/>
      <c r="I701" s="37"/>
    </row>
    <row r="702" ht="22.5" customHeight="1">
      <c r="A702" s="30"/>
      <c r="B702" s="40"/>
      <c r="C702" s="32"/>
      <c r="D702" s="33"/>
      <c r="E702" s="34"/>
      <c r="F702" s="34"/>
      <c r="G702" s="35"/>
      <c r="H702" s="34"/>
      <c r="I702" s="37"/>
    </row>
    <row r="703" ht="22.5" customHeight="1">
      <c r="A703" s="30"/>
      <c r="B703" s="31"/>
      <c r="C703" s="32"/>
      <c r="D703" s="33"/>
      <c r="E703" s="34"/>
      <c r="F703" s="34"/>
      <c r="G703" s="35"/>
      <c r="H703" s="34"/>
      <c r="I703" s="37"/>
    </row>
    <row r="704" ht="22.5" customHeight="1">
      <c r="A704" s="30"/>
      <c r="B704" s="31"/>
      <c r="C704" s="32"/>
      <c r="D704" s="33"/>
      <c r="E704" s="34"/>
      <c r="F704" s="34"/>
      <c r="G704" s="35"/>
      <c r="H704" s="34"/>
      <c r="I704" s="37"/>
    </row>
    <row r="705" ht="22.5" customHeight="1">
      <c r="A705" s="30"/>
      <c r="B705" s="31"/>
      <c r="C705" s="32"/>
      <c r="D705" s="33"/>
      <c r="E705" s="34"/>
      <c r="F705" s="34"/>
      <c r="G705" s="35"/>
      <c r="H705" s="34"/>
      <c r="I705" s="37"/>
    </row>
    <row r="706" ht="22.5" customHeight="1">
      <c r="A706" s="30"/>
      <c r="B706" s="31"/>
      <c r="C706" s="32"/>
      <c r="D706" s="33"/>
      <c r="E706" s="34"/>
      <c r="F706" s="34"/>
      <c r="G706" s="35"/>
      <c r="H706" s="34"/>
      <c r="I706" s="37"/>
    </row>
    <row r="707" ht="22.5" customHeight="1">
      <c r="A707" s="30"/>
      <c r="B707" s="31"/>
      <c r="C707" s="32"/>
      <c r="D707" s="33"/>
      <c r="E707" s="34"/>
      <c r="F707" s="34"/>
      <c r="G707" s="35"/>
      <c r="H707" s="34"/>
      <c r="I707" s="37"/>
    </row>
    <row r="708" ht="22.5" customHeight="1">
      <c r="A708" s="30"/>
      <c r="B708" s="31"/>
      <c r="C708" s="32"/>
      <c r="D708" s="33"/>
      <c r="E708" s="34"/>
      <c r="F708" s="34"/>
      <c r="G708" s="35"/>
      <c r="H708" s="34"/>
      <c r="I708" s="37"/>
    </row>
    <row r="709" ht="22.5" customHeight="1">
      <c r="A709" s="30"/>
      <c r="B709" s="31"/>
      <c r="C709" s="32"/>
      <c r="D709" s="33"/>
      <c r="E709" s="34"/>
      <c r="F709" s="34"/>
      <c r="G709" s="35"/>
      <c r="H709" s="34"/>
      <c r="I709" s="37"/>
    </row>
    <row r="710" ht="22.5" customHeight="1">
      <c r="A710" s="30"/>
      <c r="B710" s="31"/>
      <c r="C710" s="32"/>
      <c r="D710" s="33"/>
      <c r="E710" s="34"/>
      <c r="F710" s="34"/>
      <c r="G710" s="35"/>
      <c r="H710" s="34"/>
      <c r="I710" s="37"/>
    </row>
    <row r="711" ht="22.5" customHeight="1">
      <c r="A711" s="30"/>
      <c r="B711" s="31"/>
      <c r="C711" s="32"/>
      <c r="D711" s="33"/>
      <c r="E711" s="34"/>
      <c r="F711" s="34"/>
      <c r="G711" s="35"/>
      <c r="H711" s="34"/>
      <c r="I711" s="37"/>
    </row>
    <row r="712" ht="22.5" customHeight="1">
      <c r="A712" s="30"/>
      <c r="B712" s="31"/>
      <c r="C712" s="32"/>
      <c r="D712" s="33"/>
      <c r="E712" s="34"/>
      <c r="F712" s="34"/>
      <c r="G712" s="35"/>
      <c r="H712" s="34"/>
      <c r="I712" s="37"/>
    </row>
    <row r="713" ht="22.5" customHeight="1">
      <c r="A713" s="30"/>
      <c r="B713" s="31"/>
      <c r="C713" s="32"/>
      <c r="D713" s="33"/>
      <c r="E713" s="34"/>
      <c r="F713" s="34"/>
      <c r="G713" s="35"/>
      <c r="H713" s="34"/>
      <c r="I713" s="37"/>
    </row>
    <row r="714" ht="22.5" customHeight="1">
      <c r="A714" s="30"/>
      <c r="B714" s="31"/>
      <c r="C714" s="32"/>
      <c r="D714" s="33"/>
      <c r="E714" s="34"/>
      <c r="F714" s="34"/>
      <c r="G714" s="35"/>
      <c r="H714" s="34"/>
      <c r="I714" s="37"/>
    </row>
    <row r="715" ht="22.5" customHeight="1">
      <c r="A715" s="30"/>
      <c r="B715" s="31"/>
      <c r="C715" s="32"/>
      <c r="D715" s="33"/>
      <c r="E715" s="34"/>
      <c r="F715" s="34"/>
      <c r="G715" s="35"/>
      <c r="H715" s="34"/>
      <c r="I715" s="37"/>
    </row>
    <row r="716" ht="22.5" customHeight="1">
      <c r="A716" s="30"/>
      <c r="B716" s="31"/>
      <c r="C716" s="32"/>
      <c r="D716" s="33"/>
      <c r="E716" s="34"/>
      <c r="F716" s="34"/>
      <c r="G716" s="35"/>
      <c r="H716" s="34"/>
      <c r="I716" s="37"/>
    </row>
    <row r="717" ht="22.5" customHeight="1">
      <c r="A717" s="30"/>
      <c r="B717" s="31"/>
      <c r="C717" s="32"/>
      <c r="D717" s="33"/>
      <c r="E717" s="34"/>
      <c r="F717" s="34"/>
      <c r="G717" s="35"/>
      <c r="H717" s="34"/>
      <c r="I717" s="37"/>
    </row>
    <row r="718" ht="22.5" customHeight="1">
      <c r="A718" s="30"/>
      <c r="B718" s="31"/>
      <c r="C718" s="32"/>
      <c r="D718" s="33"/>
      <c r="E718" s="34"/>
      <c r="F718" s="34"/>
      <c r="G718" s="35"/>
      <c r="H718" s="34"/>
      <c r="I718" s="37"/>
    </row>
    <row r="719" ht="22.5" customHeight="1">
      <c r="A719" s="30"/>
      <c r="B719" s="31"/>
      <c r="C719" s="32"/>
      <c r="D719" s="33"/>
      <c r="E719" s="34"/>
      <c r="F719" s="34"/>
      <c r="G719" s="35"/>
      <c r="H719" s="34"/>
      <c r="I719" s="37"/>
    </row>
    <row r="720" ht="22.5" customHeight="1">
      <c r="A720" s="30"/>
      <c r="B720" s="31"/>
      <c r="C720" s="32"/>
      <c r="D720" s="33"/>
      <c r="E720" s="34"/>
      <c r="F720" s="34"/>
      <c r="G720" s="35"/>
      <c r="H720" s="34"/>
      <c r="I720" s="37"/>
    </row>
    <row r="721" ht="22.5" customHeight="1">
      <c r="A721" s="30"/>
      <c r="B721" s="31"/>
      <c r="C721" s="32"/>
      <c r="D721" s="33"/>
      <c r="E721" s="34"/>
      <c r="F721" s="34"/>
      <c r="G721" s="35"/>
      <c r="H721" s="34"/>
      <c r="I721" s="37"/>
    </row>
    <row r="722" ht="22.5" customHeight="1">
      <c r="A722" s="30"/>
      <c r="B722" s="31"/>
      <c r="C722" s="32"/>
      <c r="D722" s="33"/>
      <c r="E722" s="34"/>
      <c r="F722" s="34"/>
      <c r="G722" s="35"/>
      <c r="H722" s="34"/>
      <c r="I722" s="37"/>
    </row>
    <row r="723" ht="22.5" customHeight="1">
      <c r="A723" s="30"/>
      <c r="B723" s="31"/>
      <c r="C723" s="32"/>
      <c r="D723" s="33"/>
      <c r="E723" s="34"/>
      <c r="F723" s="34"/>
      <c r="G723" s="35"/>
      <c r="H723" s="34"/>
      <c r="I723" s="37"/>
    </row>
    <row r="724" ht="22.5" customHeight="1">
      <c r="A724" s="30"/>
      <c r="B724" s="40"/>
      <c r="C724" s="32"/>
      <c r="D724" s="33"/>
      <c r="E724" s="34"/>
      <c r="F724" s="34"/>
      <c r="G724" s="35"/>
      <c r="H724" s="34"/>
      <c r="I724" s="37"/>
    </row>
    <row r="725" ht="22.5" customHeight="1">
      <c r="A725" s="30"/>
      <c r="B725" s="31"/>
      <c r="C725" s="32"/>
      <c r="D725" s="33"/>
      <c r="E725" s="34"/>
      <c r="F725" s="34"/>
      <c r="G725" s="35"/>
      <c r="H725" s="34"/>
      <c r="I725" s="37"/>
    </row>
    <row r="726" ht="22.5" customHeight="1">
      <c r="A726" s="30"/>
      <c r="B726" s="31"/>
      <c r="C726" s="32"/>
      <c r="D726" s="33"/>
      <c r="E726" s="34"/>
      <c r="F726" s="34"/>
      <c r="G726" s="35"/>
      <c r="H726" s="34"/>
      <c r="I726" s="37"/>
    </row>
    <row r="727" ht="22.5" customHeight="1">
      <c r="A727" s="30"/>
      <c r="B727" s="31"/>
      <c r="C727" s="32"/>
      <c r="D727" s="33"/>
      <c r="E727" s="34"/>
      <c r="F727" s="34"/>
      <c r="G727" s="35"/>
      <c r="H727" s="34"/>
      <c r="I727" s="37"/>
    </row>
    <row r="728" ht="22.5" customHeight="1">
      <c r="A728" s="30"/>
      <c r="B728" s="31"/>
      <c r="C728" s="32"/>
      <c r="D728" s="33"/>
      <c r="E728" s="34"/>
      <c r="F728" s="34"/>
      <c r="G728" s="35"/>
      <c r="H728" s="34"/>
      <c r="I728" s="38"/>
    </row>
    <row r="729" ht="22.5" customHeight="1">
      <c r="A729" s="30"/>
      <c r="B729" s="39"/>
      <c r="C729" s="32"/>
      <c r="D729" s="33"/>
      <c r="E729" s="34"/>
      <c r="F729" s="34"/>
      <c r="G729" s="35"/>
      <c r="H729" s="34"/>
      <c r="I729" s="37"/>
    </row>
    <row r="730" ht="22.5" customHeight="1">
      <c r="A730" s="30"/>
      <c r="B730" s="31"/>
      <c r="C730" s="32"/>
      <c r="D730" s="33"/>
      <c r="E730" s="34"/>
      <c r="F730" s="34"/>
      <c r="G730" s="35"/>
      <c r="H730" s="34"/>
      <c r="I730" s="37"/>
    </row>
    <row r="731" ht="22.5" customHeight="1">
      <c r="A731" s="30"/>
      <c r="B731" s="31"/>
      <c r="C731" s="32"/>
      <c r="D731" s="33"/>
      <c r="E731" s="34"/>
      <c r="F731" s="34"/>
      <c r="G731" s="35"/>
      <c r="H731" s="34"/>
      <c r="I731" s="37"/>
    </row>
    <row r="732" ht="22.5" customHeight="1">
      <c r="A732" s="30"/>
      <c r="B732" s="31"/>
      <c r="C732" s="32"/>
      <c r="D732" s="33"/>
      <c r="E732" s="34"/>
      <c r="F732" s="34"/>
      <c r="G732" s="35"/>
      <c r="H732" s="34"/>
      <c r="I732" s="37"/>
    </row>
    <row r="733" ht="22.5" customHeight="1">
      <c r="A733" s="30"/>
      <c r="B733" s="39"/>
      <c r="C733" s="32"/>
      <c r="D733" s="33"/>
      <c r="E733" s="34"/>
      <c r="F733" s="34"/>
      <c r="G733" s="35"/>
      <c r="H733" s="34"/>
      <c r="I733" s="37"/>
    </row>
    <row r="734" ht="22.5" customHeight="1">
      <c r="A734" s="30"/>
      <c r="B734" s="31"/>
      <c r="C734" s="32"/>
      <c r="D734" s="33"/>
      <c r="E734" s="34"/>
      <c r="F734" s="34"/>
      <c r="G734" s="35"/>
      <c r="H734" s="34"/>
      <c r="I734" s="37"/>
    </row>
    <row r="735" ht="22.5" customHeight="1">
      <c r="A735" s="30"/>
      <c r="B735" s="39"/>
      <c r="C735" s="32"/>
      <c r="D735" s="33"/>
      <c r="E735" s="34"/>
      <c r="F735" s="34"/>
      <c r="G735" s="35"/>
      <c r="H735" s="34"/>
      <c r="I735" s="37"/>
    </row>
    <row r="736" ht="22.5" customHeight="1">
      <c r="A736" s="30"/>
      <c r="B736" s="31"/>
      <c r="C736" s="32"/>
      <c r="D736" s="33"/>
      <c r="E736" s="34"/>
      <c r="F736" s="34"/>
      <c r="G736" s="35"/>
      <c r="H736" s="34"/>
      <c r="I736" s="37"/>
    </row>
    <row r="737" ht="22.5" customHeight="1">
      <c r="A737" s="30"/>
      <c r="B737" s="31"/>
      <c r="C737" s="32"/>
      <c r="D737" s="33"/>
      <c r="E737" s="34"/>
      <c r="F737" s="34"/>
      <c r="G737" s="35"/>
      <c r="H737" s="34"/>
      <c r="I737" s="37"/>
    </row>
    <row r="738" ht="22.5" customHeight="1">
      <c r="A738" s="30"/>
      <c r="B738" s="31"/>
      <c r="C738" s="32"/>
      <c r="D738" s="33"/>
      <c r="E738" s="34"/>
      <c r="F738" s="34"/>
      <c r="G738" s="35"/>
      <c r="H738" s="34"/>
      <c r="I738" s="37"/>
    </row>
    <row r="739" ht="22.5" customHeight="1">
      <c r="A739" s="30"/>
      <c r="B739" s="31"/>
      <c r="C739" s="32"/>
      <c r="D739" s="33"/>
      <c r="E739" s="34"/>
      <c r="F739" s="34"/>
      <c r="G739" s="35"/>
      <c r="H739" s="34"/>
      <c r="I739" s="37"/>
    </row>
    <row r="740" ht="22.5" customHeight="1">
      <c r="A740" s="30"/>
      <c r="B740" s="31"/>
      <c r="C740" s="32"/>
      <c r="D740" s="33"/>
      <c r="E740" s="34"/>
      <c r="F740" s="34"/>
      <c r="G740" s="35"/>
      <c r="H740" s="34"/>
      <c r="I740" s="37"/>
    </row>
    <row r="741" ht="22.5" customHeight="1">
      <c r="A741" s="30"/>
      <c r="B741" s="31"/>
      <c r="C741" s="32"/>
      <c r="D741" s="33"/>
      <c r="E741" s="34"/>
      <c r="F741" s="34"/>
      <c r="G741" s="35"/>
      <c r="H741" s="34"/>
      <c r="I741" s="37"/>
    </row>
    <row r="742" ht="22.5" customHeight="1">
      <c r="A742" s="30"/>
      <c r="B742" s="31"/>
      <c r="C742" s="32"/>
      <c r="D742" s="33"/>
      <c r="E742" s="34"/>
      <c r="F742" s="34"/>
      <c r="G742" s="35"/>
      <c r="H742" s="34"/>
      <c r="I742" s="37"/>
    </row>
    <row r="743" ht="22.5" customHeight="1">
      <c r="A743" s="30"/>
      <c r="B743" s="31"/>
      <c r="C743" s="32"/>
      <c r="D743" s="33"/>
      <c r="E743" s="34"/>
      <c r="F743" s="34"/>
      <c r="G743" s="35"/>
      <c r="H743" s="34"/>
      <c r="I743" s="37"/>
    </row>
    <row r="744" ht="22.5" customHeight="1">
      <c r="A744" s="30"/>
      <c r="B744" s="31"/>
      <c r="C744" s="32"/>
      <c r="D744" s="33"/>
      <c r="E744" s="34"/>
      <c r="F744" s="34"/>
      <c r="G744" s="35"/>
      <c r="H744" s="34"/>
      <c r="I744" s="37"/>
    </row>
    <row r="745" ht="22.5" customHeight="1">
      <c r="A745" s="30"/>
      <c r="B745" s="31"/>
      <c r="C745" s="32"/>
      <c r="D745" s="33"/>
      <c r="E745" s="34"/>
      <c r="F745" s="34"/>
      <c r="G745" s="35"/>
      <c r="H745" s="34"/>
      <c r="I745" s="37"/>
    </row>
    <row r="746" ht="22.5" customHeight="1">
      <c r="A746" s="30"/>
      <c r="B746" s="40"/>
      <c r="C746" s="32"/>
      <c r="D746" s="33"/>
      <c r="E746" s="34"/>
      <c r="F746" s="34"/>
      <c r="G746" s="35"/>
      <c r="H746" s="34"/>
      <c r="I746" s="37"/>
    </row>
    <row r="747" ht="22.5" customHeight="1">
      <c r="A747" s="30"/>
      <c r="B747" s="31"/>
      <c r="C747" s="32"/>
      <c r="D747" s="33"/>
      <c r="E747" s="34"/>
      <c r="F747" s="34"/>
      <c r="G747" s="35"/>
      <c r="H747" s="34"/>
      <c r="I747" s="37"/>
    </row>
    <row r="748" ht="22.5" customHeight="1">
      <c r="A748" s="30"/>
      <c r="B748" s="31"/>
      <c r="C748" s="32"/>
      <c r="D748" s="33"/>
      <c r="E748" s="34"/>
      <c r="F748" s="34"/>
      <c r="G748" s="35"/>
      <c r="H748" s="34"/>
      <c r="I748" s="37"/>
    </row>
    <row r="749" ht="22.5" customHeight="1">
      <c r="A749" s="30"/>
      <c r="B749" s="31"/>
      <c r="C749" s="32"/>
      <c r="D749" s="33"/>
      <c r="E749" s="34"/>
      <c r="F749" s="34"/>
      <c r="G749" s="35"/>
      <c r="H749" s="34"/>
      <c r="I749" s="37"/>
    </row>
    <row r="750" ht="22.5" customHeight="1">
      <c r="A750" s="30"/>
      <c r="B750" s="31"/>
      <c r="C750" s="32"/>
      <c r="D750" s="33"/>
      <c r="E750" s="34"/>
      <c r="F750" s="34"/>
      <c r="G750" s="35"/>
      <c r="H750" s="34"/>
      <c r="I750" s="37"/>
    </row>
    <row r="751" ht="22.5" customHeight="1">
      <c r="A751" s="30"/>
      <c r="B751" s="31"/>
      <c r="C751" s="32"/>
      <c r="D751" s="33"/>
      <c r="E751" s="34"/>
      <c r="F751" s="34"/>
      <c r="G751" s="35"/>
      <c r="H751" s="34"/>
      <c r="I751" s="37"/>
    </row>
    <row r="752" ht="22.5" customHeight="1">
      <c r="A752" s="30"/>
      <c r="B752" s="31"/>
      <c r="C752" s="32"/>
      <c r="D752" s="33"/>
      <c r="E752" s="34"/>
      <c r="F752" s="34"/>
      <c r="G752" s="35"/>
      <c r="H752" s="34"/>
      <c r="I752" s="37"/>
    </row>
    <row r="753" ht="22.5" customHeight="1">
      <c r="A753" s="30"/>
      <c r="B753" s="39"/>
      <c r="C753" s="32"/>
      <c r="D753" s="33"/>
      <c r="E753" s="34"/>
      <c r="F753" s="34"/>
      <c r="G753" s="35"/>
      <c r="H753" s="34"/>
      <c r="I753" s="37"/>
    </row>
    <row r="754" ht="22.5" customHeight="1">
      <c r="A754" s="30"/>
      <c r="B754" s="39"/>
      <c r="C754" s="32"/>
      <c r="D754" s="33"/>
      <c r="E754" s="34"/>
      <c r="F754" s="34"/>
      <c r="G754" s="35"/>
      <c r="H754" s="34"/>
      <c r="I754" s="37"/>
    </row>
    <row r="755" ht="22.5" customHeight="1">
      <c r="A755" s="30"/>
      <c r="B755" s="39"/>
      <c r="C755" s="32"/>
      <c r="D755" s="33"/>
      <c r="E755" s="34"/>
      <c r="F755" s="34"/>
      <c r="G755" s="35"/>
      <c r="H755" s="34"/>
      <c r="I755" s="37"/>
    </row>
    <row r="756" ht="22.5" customHeight="1">
      <c r="A756" s="30"/>
      <c r="B756" s="40"/>
      <c r="C756" s="32"/>
      <c r="D756" s="33"/>
      <c r="E756" s="34"/>
      <c r="F756" s="34"/>
      <c r="G756" s="35"/>
      <c r="H756" s="34"/>
      <c r="I756" s="37"/>
    </row>
    <row r="757" ht="22.5" customHeight="1">
      <c r="A757" s="30"/>
      <c r="B757" s="31"/>
      <c r="C757" s="32"/>
      <c r="D757" s="33"/>
      <c r="E757" s="34"/>
      <c r="F757" s="34"/>
      <c r="G757" s="35"/>
      <c r="H757" s="34"/>
      <c r="I757" s="37"/>
    </row>
    <row r="758" ht="22.5" customHeight="1">
      <c r="A758" s="30"/>
      <c r="B758" s="31"/>
      <c r="C758" s="32"/>
      <c r="D758" s="33"/>
      <c r="E758" s="34"/>
      <c r="F758" s="34"/>
      <c r="G758" s="35"/>
      <c r="H758" s="34"/>
      <c r="I758" s="37"/>
    </row>
    <row r="759" ht="22.5" customHeight="1">
      <c r="A759" s="30"/>
      <c r="B759" s="31"/>
      <c r="C759" s="32"/>
      <c r="D759" s="33"/>
      <c r="E759" s="34"/>
      <c r="F759" s="34"/>
      <c r="G759" s="35"/>
      <c r="H759" s="34"/>
      <c r="I759" s="37"/>
    </row>
    <row r="760" ht="22.5" customHeight="1">
      <c r="A760" s="30"/>
      <c r="B760" s="31"/>
      <c r="C760" s="32"/>
      <c r="D760" s="33"/>
      <c r="E760" s="34"/>
      <c r="F760" s="34"/>
      <c r="G760" s="35"/>
      <c r="H760" s="34"/>
      <c r="I760" s="37"/>
    </row>
    <row r="761" ht="22.5" customHeight="1">
      <c r="A761" s="30"/>
      <c r="B761" s="31"/>
      <c r="C761" s="32"/>
      <c r="D761" s="33"/>
      <c r="E761" s="34"/>
      <c r="F761" s="34"/>
      <c r="G761" s="35"/>
      <c r="H761" s="34"/>
      <c r="I761" s="37"/>
    </row>
    <row r="762" ht="22.5" customHeight="1">
      <c r="A762" s="30"/>
      <c r="B762" s="31"/>
      <c r="C762" s="32"/>
      <c r="D762" s="33"/>
      <c r="E762" s="34"/>
      <c r="F762" s="34"/>
      <c r="G762" s="35"/>
      <c r="H762" s="34"/>
      <c r="I762" s="37"/>
    </row>
    <row r="763" ht="22.5" customHeight="1">
      <c r="A763" s="30"/>
      <c r="B763" s="31"/>
      <c r="C763" s="32"/>
      <c r="D763" s="33"/>
      <c r="E763" s="34"/>
      <c r="F763" s="34"/>
      <c r="G763" s="35"/>
      <c r="H763" s="34"/>
      <c r="I763" s="37"/>
    </row>
    <row r="764" ht="22.5" customHeight="1">
      <c r="A764" s="30"/>
      <c r="B764" s="31"/>
      <c r="C764" s="32"/>
      <c r="D764" s="33"/>
      <c r="E764" s="34"/>
      <c r="F764" s="34"/>
      <c r="G764" s="35"/>
      <c r="H764" s="34"/>
      <c r="I764" s="37"/>
    </row>
    <row r="765" ht="22.5" customHeight="1">
      <c r="A765" s="30"/>
      <c r="B765" s="31"/>
      <c r="C765" s="32"/>
      <c r="D765" s="33"/>
      <c r="E765" s="34"/>
      <c r="F765" s="34"/>
      <c r="G765" s="35"/>
      <c r="H765" s="34"/>
      <c r="I765" s="37"/>
    </row>
    <row r="766" ht="22.5" customHeight="1">
      <c r="A766" s="30"/>
      <c r="B766" s="40"/>
      <c r="C766" s="32"/>
      <c r="D766" s="33"/>
      <c r="E766" s="34"/>
      <c r="F766" s="34"/>
      <c r="G766" s="35"/>
      <c r="H766" s="34"/>
      <c r="I766" s="37"/>
    </row>
    <row r="767" ht="22.5" customHeight="1">
      <c r="A767" s="30"/>
      <c r="B767" s="31"/>
      <c r="C767" s="32"/>
      <c r="D767" s="33"/>
      <c r="E767" s="34"/>
      <c r="F767" s="34"/>
      <c r="G767" s="35"/>
      <c r="H767" s="34"/>
      <c r="I767" s="37"/>
    </row>
    <row r="768" ht="22.5" customHeight="1">
      <c r="A768" s="30"/>
      <c r="B768" s="31"/>
      <c r="C768" s="32"/>
      <c r="D768" s="33"/>
      <c r="E768" s="34"/>
      <c r="F768" s="34"/>
      <c r="G768" s="35"/>
      <c r="H768" s="34"/>
      <c r="I768" s="37"/>
    </row>
    <row r="769" ht="22.5" customHeight="1">
      <c r="A769" s="30"/>
      <c r="B769" s="31"/>
      <c r="C769" s="32"/>
      <c r="D769" s="33"/>
      <c r="E769" s="34"/>
      <c r="F769" s="34"/>
      <c r="G769" s="35"/>
      <c r="H769" s="34"/>
      <c r="I769" s="37"/>
    </row>
    <row r="770" ht="22.5" customHeight="1">
      <c r="A770" s="30"/>
      <c r="B770" s="40"/>
      <c r="C770" s="32"/>
      <c r="D770" s="33"/>
      <c r="E770" s="34"/>
      <c r="F770" s="34"/>
      <c r="G770" s="35"/>
      <c r="H770" s="34"/>
      <c r="I770" s="37"/>
    </row>
    <row r="771" ht="22.5" customHeight="1">
      <c r="A771" s="30"/>
      <c r="B771" s="31"/>
      <c r="C771" s="32"/>
      <c r="D771" s="33"/>
      <c r="E771" s="34"/>
      <c r="F771" s="34"/>
      <c r="G771" s="35"/>
      <c r="H771" s="34"/>
      <c r="I771" s="37"/>
    </row>
    <row r="772" ht="22.5" customHeight="1">
      <c r="A772" s="30"/>
      <c r="B772" s="31"/>
      <c r="C772" s="32"/>
      <c r="D772" s="33"/>
      <c r="E772" s="34"/>
      <c r="F772" s="34"/>
      <c r="G772" s="35"/>
      <c r="H772" s="34"/>
      <c r="I772" s="37"/>
    </row>
    <row r="773" ht="22.5" customHeight="1">
      <c r="A773" s="30"/>
      <c r="B773" s="31"/>
      <c r="C773" s="32"/>
      <c r="D773" s="33"/>
      <c r="E773" s="34"/>
      <c r="F773" s="34"/>
      <c r="G773" s="35"/>
      <c r="H773" s="34"/>
      <c r="I773" s="37"/>
    </row>
    <row r="774" ht="22.5" customHeight="1">
      <c r="A774" s="30"/>
      <c r="B774" s="31"/>
      <c r="C774" s="32"/>
      <c r="D774" s="33"/>
      <c r="E774" s="34"/>
      <c r="F774" s="34"/>
      <c r="G774" s="35"/>
      <c r="H774" s="34"/>
      <c r="I774" s="37"/>
    </row>
    <row r="775" ht="22.5" customHeight="1">
      <c r="A775" s="30"/>
      <c r="B775" s="31"/>
      <c r="C775" s="32"/>
      <c r="D775" s="33"/>
      <c r="E775" s="34"/>
      <c r="F775" s="34"/>
      <c r="G775" s="35"/>
      <c r="H775" s="34"/>
      <c r="I775" s="37"/>
    </row>
    <row r="776" ht="22.5" customHeight="1">
      <c r="A776" s="30"/>
      <c r="B776" s="31"/>
      <c r="C776" s="32"/>
      <c r="D776" s="33"/>
      <c r="E776" s="34"/>
      <c r="F776" s="34"/>
      <c r="G776" s="35"/>
      <c r="H776" s="34"/>
      <c r="I776" s="37"/>
    </row>
    <row r="777" ht="22.5" customHeight="1">
      <c r="A777" s="30"/>
      <c r="B777" s="31"/>
      <c r="C777" s="32"/>
      <c r="D777" s="33"/>
      <c r="E777" s="34"/>
      <c r="F777" s="34"/>
      <c r="G777" s="35"/>
      <c r="H777" s="34"/>
      <c r="I777" s="37"/>
    </row>
    <row r="778" ht="22.5" customHeight="1">
      <c r="A778" s="30"/>
      <c r="B778" s="31"/>
      <c r="C778" s="32"/>
      <c r="D778" s="33"/>
      <c r="E778" s="34"/>
      <c r="F778" s="34"/>
      <c r="G778" s="35"/>
      <c r="H778" s="34"/>
      <c r="I778" s="37"/>
    </row>
    <row r="779" ht="22.5" customHeight="1">
      <c r="A779" s="30"/>
      <c r="B779" s="31"/>
      <c r="C779" s="32"/>
      <c r="D779" s="33"/>
      <c r="E779" s="34"/>
      <c r="F779" s="34"/>
      <c r="G779" s="35"/>
      <c r="H779" s="34"/>
      <c r="I779" s="37"/>
    </row>
    <row r="780" ht="22.5" customHeight="1">
      <c r="A780" s="30"/>
      <c r="B780" s="31"/>
      <c r="C780" s="32"/>
      <c r="D780" s="33"/>
      <c r="E780" s="34"/>
      <c r="F780" s="34"/>
      <c r="G780" s="35"/>
      <c r="H780" s="34"/>
      <c r="I780" s="37"/>
    </row>
    <row r="781" ht="22.5" customHeight="1">
      <c r="A781" s="30"/>
      <c r="B781" s="31"/>
      <c r="C781" s="32"/>
      <c r="D781" s="33"/>
      <c r="E781" s="34"/>
      <c r="F781" s="34"/>
      <c r="G781" s="35"/>
      <c r="H781" s="34"/>
      <c r="I781" s="37"/>
    </row>
    <row r="782" ht="22.5" customHeight="1">
      <c r="A782" s="30"/>
      <c r="B782" s="31"/>
      <c r="C782" s="32"/>
      <c r="D782" s="33"/>
      <c r="E782" s="34"/>
      <c r="F782" s="34"/>
      <c r="G782" s="35"/>
      <c r="H782" s="34"/>
      <c r="I782" s="37"/>
    </row>
    <row r="783" ht="22.5" customHeight="1">
      <c r="A783" s="30"/>
      <c r="B783" s="31"/>
      <c r="C783" s="32"/>
      <c r="D783" s="33"/>
      <c r="E783" s="34"/>
      <c r="F783" s="34"/>
      <c r="G783" s="35"/>
      <c r="H783" s="34"/>
      <c r="I783" s="37"/>
    </row>
    <row r="784" ht="22.5" customHeight="1">
      <c r="A784" s="30"/>
      <c r="B784" s="31"/>
      <c r="C784" s="32"/>
      <c r="D784" s="33"/>
      <c r="E784" s="34"/>
      <c r="F784" s="34"/>
      <c r="G784" s="35"/>
      <c r="H784" s="34"/>
      <c r="I784" s="37"/>
    </row>
    <row r="785" ht="22.5" customHeight="1">
      <c r="A785" s="30"/>
      <c r="B785" s="40"/>
      <c r="C785" s="32"/>
      <c r="D785" s="33"/>
      <c r="E785" s="34"/>
      <c r="F785" s="34"/>
      <c r="G785" s="35"/>
      <c r="H785" s="34"/>
      <c r="I785" s="37"/>
    </row>
    <row r="786" ht="22.5" customHeight="1">
      <c r="A786" s="30"/>
      <c r="B786" s="31"/>
      <c r="C786" s="32"/>
      <c r="D786" s="33"/>
      <c r="E786" s="34"/>
      <c r="F786" s="34"/>
      <c r="G786" s="35"/>
      <c r="H786" s="34"/>
      <c r="I786" s="37"/>
    </row>
    <row r="787" ht="22.5" customHeight="1">
      <c r="A787" s="30"/>
      <c r="B787" s="40"/>
      <c r="C787" s="32"/>
      <c r="D787" s="33"/>
      <c r="E787" s="34"/>
      <c r="F787" s="34"/>
      <c r="G787" s="35"/>
      <c r="H787" s="34"/>
      <c r="I787" s="37"/>
    </row>
    <row r="788" ht="22.5" customHeight="1">
      <c r="A788" s="30"/>
      <c r="B788" s="31"/>
      <c r="C788" s="32"/>
      <c r="D788" s="33"/>
      <c r="E788" s="34"/>
      <c r="F788" s="34"/>
      <c r="G788" s="35"/>
      <c r="H788" s="34"/>
      <c r="I788" s="37"/>
    </row>
    <row r="789" ht="22.5" customHeight="1">
      <c r="A789" s="30"/>
      <c r="B789" s="31"/>
      <c r="C789" s="32"/>
      <c r="D789" s="33"/>
      <c r="E789" s="34"/>
      <c r="F789" s="34"/>
      <c r="G789" s="35"/>
      <c r="H789" s="34"/>
      <c r="I789" s="37"/>
    </row>
    <row r="790" ht="22.5" customHeight="1">
      <c r="A790" s="30"/>
      <c r="B790" s="31"/>
      <c r="C790" s="32"/>
      <c r="D790" s="33"/>
      <c r="E790" s="34"/>
      <c r="F790" s="34"/>
      <c r="G790" s="35"/>
      <c r="H790" s="34"/>
      <c r="I790" s="37"/>
    </row>
    <row r="791" ht="22.5" customHeight="1">
      <c r="A791" s="30"/>
      <c r="B791" s="31"/>
      <c r="C791" s="32"/>
      <c r="D791" s="33"/>
      <c r="E791" s="34"/>
      <c r="F791" s="34"/>
      <c r="G791" s="35"/>
      <c r="H791" s="34"/>
      <c r="I791" s="37"/>
    </row>
    <row r="792" ht="22.5" customHeight="1">
      <c r="A792" s="30"/>
      <c r="B792" s="40"/>
      <c r="C792" s="32"/>
      <c r="D792" s="33"/>
      <c r="E792" s="34"/>
      <c r="F792" s="34"/>
      <c r="G792" s="35"/>
      <c r="H792" s="34"/>
      <c r="I792" s="37"/>
    </row>
    <row r="793" ht="22.5" customHeight="1">
      <c r="A793" s="30"/>
      <c r="B793" s="31"/>
      <c r="C793" s="32"/>
      <c r="D793" s="33"/>
      <c r="E793" s="34"/>
      <c r="F793" s="34"/>
      <c r="G793" s="35"/>
      <c r="H793" s="34"/>
      <c r="I793" s="37"/>
    </row>
    <row r="794" ht="22.5" customHeight="1">
      <c r="A794" s="30"/>
      <c r="B794" s="31"/>
      <c r="C794" s="32"/>
      <c r="D794" s="33"/>
      <c r="E794" s="34"/>
      <c r="F794" s="34"/>
      <c r="G794" s="35"/>
      <c r="H794" s="34"/>
      <c r="I794" s="37"/>
    </row>
    <row r="795" ht="22.5" customHeight="1">
      <c r="A795" s="30"/>
      <c r="B795" s="31"/>
      <c r="C795" s="32"/>
      <c r="D795" s="33"/>
      <c r="E795" s="34"/>
      <c r="F795" s="34"/>
      <c r="G795" s="35"/>
      <c r="H795" s="34"/>
      <c r="I795" s="37"/>
    </row>
    <row r="796" ht="22.5" customHeight="1">
      <c r="A796" s="30"/>
      <c r="B796" s="31"/>
      <c r="C796" s="32"/>
      <c r="D796" s="33"/>
      <c r="E796" s="34"/>
      <c r="F796" s="34"/>
      <c r="G796" s="35"/>
      <c r="H796" s="34"/>
      <c r="I796" s="37"/>
    </row>
    <row r="797" ht="22.5" customHeight="1">
      <c r="A797" s="30"/>
      <c r="B797" s="31"/>
      <c r="C797" s="32"/>
      <c r="D797" s="33"/>
      <c r="E797" s="34"/>
      <c r="F797" s="34"/>
      <c r="G797" s="35"/>
      <c r="H797" s="34"/>
      <c r="I797" s="37"/>
    </row>
    <row r="798" ht="22.5" customHeight="1">
      <c r="A798" s="30"/>
      <c r="B798" s="31"/>
      <c r="C798" s="32"/>
      <c r="D798" s="33"/>
      <c r="E798" s="34"/>
      <c r="F798" s="34"/>
      <c r="G798" s="35"/>
      <c r="H798" s="34"/>
      <c r="I798" s="37"/>
    </row>
    <row r="799" ht="22.5" customHeight="1">
      <c r="A799" s="30"/>
      <c r="B799" s="31"/>
      <c r="C799" s="32"/>
      <c r="D799" s="33"/>
      <c r="E799" s="34"/>
      <c r="F799" s="34"/>
      <c r="G799" s="35"/>
      <c r="H799" s="34"/>
      <c r="I799" s="37"/>
    </row>
    <row r="800" ht="22.5" customHeight="1">
      <c r="A800" s="30"/>
      <c r="B800" s="31"/>
      <c r="C800" s="32"/>
      <c r="D800" s="33"/>
      <c r="E800" s="34"/>
      <c r="F800" s="34"/>
      <c r="G800" s="35"/>
      <c r="H800" s="34"/>
      <c r="I800" s="37"/>
    </row>
    <row r="801" ht="22.5" customHeight="1">
      <c r="A801" s="30"/>
      <c r="B801" s="31"/>
      <c r="C801" s="32"/>
      <c r="D801" s="33"/>
      <c r="E801" s="34"/>
      <c r="F801" s="34"/>
      <c r="G801" s="35"/>
      <c r="H801" s="34"/>
      <c r="I801" s="37"/>
    </row>
    <row r="802" ht="22.5" customHeight="1">
      <c r="A802" s="30"/>
      <c r="B802" s="31"/>
      <c r="C802" s="32"/>
      <c r="D802" s="33"/>
      <c r="E802" s="34"/>
      <c r="F802" s="34"/>
      <c r="G802" s="35"/>
      <c r="H802" s="34"/>
      <c r="I802" s="37"/>
    </row>
    <row r="803" ht="22.5" customHeight="1">
      <c r="A803" s="30"/>
      <c r="B803" s="31"/>
      <c r="C803" s="32"/>
      <c r="D803" s="33"/>
      <c r="E803" s="34"/>
      <c r="F803" s="34"/>
      <c r="G803" s="35"/>
      <c r="H803" s="34"/>
      <c r="I803" s="37"/>
    </row>
    <row r="804" ht="22.5" customHeight="1">
      <c r="A804" s="30"/>
      <c r="B804" s="31"/>
      <c r="C804" s="32"/>
      <c r="D804" s="33"/>
      <c r="E804" s="34"/>
      <c r="F804" s="34"/>
      <c r="G804" s="35"/>
      <c r="H804" s="34"/>
      <c r="I804" s="37"/>
    </row>
    <row r="805" ht="22.5" customHeight="1">
      <c r="A805" s="30"/>
      <c r="B805" s="31"/>
      <c r="C805" s="32"/>
      <c r="D805" s="33"/>
      <c r="E805" s="34"/>
      <c r="F805" s="34"/>
      <c r="G805" s="35"/>
      <c r="H805" s="34"/>
      <c r="I805" s="37"/>
    </row>
    <row r="806" ht="22.5" customHeight="1">
      <c r="A806" s="30"/>
      <c r="B806" s="31"/>
      <c r="C806" s="32"/>
      <c r="D806" s="33"/>
      <c r="E806" s="34"/>
      <c r="F806" s="34"/>
      <c r="G806" s="35"/>
      <c r="H806" s="34"/>
      <c r="I806" s="37"/>
    </row>
    <row r="807" ht="22.5" customHeight="1">
      <c r="A807" s="30"/>
      <c r="B807" s="31"/>
      <c r="C807" s="32"/>
      <c r="D807" s="33"/>
      <c r="E807" s="34"/>
      <c r="F807" s="34"/>
      <c r="G807" s="35"/>
      <c r="H807" s="34"/>
      <c r="I807" s="37"/>
    </row>
    <row r="808" ht="22.5" customHeight="1">
      <c r="A808" s="30"/>
      <c r="B808" s="31"/>
      <c r="C808" s="32"/>
      <c r="D808" s="33"/>
      <c r="E808" s="34"/>
      <c r="F808" s="34"/>
      <c r="G808" s="35"/>
      <c r="H808" s="34"/>
      <c r="I808" s="37"/>
    </row>
    <row r="809" ht="22.5" customHeight="1">
      <c r="A809" s="30"/>
      <c r="B809" s="31"/>
      <c r="C809" s="32"/>
      <c r="D809" s="33"/>
      <c r="E809" s="34"/>
      <c r="F809" s="34"/>
      <c r="G809" s="35"/>
      <c r="H809" s="34"/>
      <c r="I809" s="37"/>
    </row>
    <row r="810" ht="22.5" customHeight="1">
      <c r="A810" s="30"/>
      <c r="B810" s="31"/>
      <c r="C810" s="32"/>
      <c r="D810" s="33"/>
      <c r="E810" s="34"/>
      <c r="F810" s="34"/>
      <c r="G810" s="35"/>
      <c r="H810" s="34"/>
      <c r="I810" s="37"/>
    </row>
    <row r="811" ht="22.5" customHeight="1">
      <c r="A811" s="30"/>
      <c r="B811" s="31"/>
      <c r="C811" s="32"/>
      <c r="D811" s="33"/>
      <c r="E811" s="34"/>
      <c r="F811" s="34"/>
      <c r="G811" s="35"/>
      <c r="H811" s="34"/>
      <c r="I811" s="37"/>
    </row>
    <row r="812" ht="22.5" customHeight="1">
      <c r="A812" s="30"/>
      <c r="B812" s="31"/>
      <c r="C812" s="32"/>
      <c r="D812" s="33"/>
      <c r="E812" s="34"/>
      <c r="F812" s="34"/>
      <c r="G812" s="35"/>
      <c r="H812" s="34"/>
      <c r="I812" s="37"/>
    </row>
    <row r="813" ht="22.5" customHeight="1">
      <c r="A813" s="30"/>
      <c r="B813" s="31"/>
      <c r="C813" s="32"/>
      <c r="D813" s="33"/>
      <c r="E813" s="34"/>
      <c r="F813" s="34"/>
      <c r="G813" s="35"/>
      <c r="H813" s="34"/>
      <c r="I813" s="37"/>
    </row>
    <row r="814" ht="22.5" customHeight="1">
      <c r="A814" s="30"/>
      <c r="B814" s="40"/>
      <c r="C814" s="32"/>
      <c r="D814" s="33"/>
      <c r="E814" s="34"/>
      <c r="F814" s="34"/>
      <c r="G814" s="35"/>
      <c r="H814" s="34"/>
      <c r="I814" s="37"/>
    </row>
    <row r="815" ht="22.5" customHeight="1">
      <c r="A815" s="30"/>
      <c r="B815" s="31"/>
      <c r="C815" s="32"/>
      <c r="D815" s="33"/>
      <c r="E815" s="34"/>
      <c r="F815" s="34"/>
      <c r="G815" s="35"/>
      <c r="H815" s="34"/>
      <c r="I815" s="37"/>
    </row>
    <row r="816" ht="22.5" customHeight="1">
      <c r="A816" s="30"/>
      <c r="B816" s="31"/>
      <c r="C816" s="32"/>
      <c r="D816" s="33"/>
      <c r="E816" s="34"/>
      <c r="F816" s="34"/>
      <c r="G816" s="35"/>
      <c r="H816" s="34"/>
      <c r="I816" s="37"/>
    </row>
    <row r="817" ht="22.5" customHeight="1">
      <c r="A817" s="30"/>
      <c r="B817" s="31"/>
      <c r="C817" s="32"/>
      <c r="D817" s="33"/>
      <c r="E817" s="34"/>
      <c r="F817" s="34"/>
      <c r="G817" s="35"/>
      <c r="H817" s="34"/>
      <c r="I817" s="37"/>
    </row>
    <row r="818" ht="22.5" customHeight="1">
      <c r="A818" s="30"/>
      <c r="B818" s="31"/>
      <c r="C818" s="32"/>
      <c r="D818" s="33"/>
      <c r="E818" s="34"/>
      <c r="F818" s="34"/>
      <c r="G818" s="35"/>
      <c r="H818" s="34"/>
      <c r="I818" s="38"/>
    </row>
    <row r="819" ht="22.5" customHeight="1">
      <c r="A819" s="30"/>
      <c r="B819" s="39"/>
      <c r="C819" s="32"/>
      <c r="D819" s="33"/>
      <c r="E819" s="34"/>
      <c r="F819" s="34"/>
      <c r="G819" s="35"/>
      <c r="H819" s="34"/>
      <c r="I819" s="37"/>
    </row>
    <row r="820" ht="22.5" customHeight="1">
      <c r="A820" s="30"/>
      <c r="B820" s="31"/>
      <c r="C820" s="32"/>
      <c r="D820" s="33"/>
      <c r="E820" s="34"/>
      <c r="F820" s="34"/>
      <c r="G820" s="35"/>
      <c r="H820" s="34"/>
      <c r="I820" s="37"/>
    </row>
    <row r="821" ht="22.5" customHeight="1">
      <c r="A821" s="30"/>
      <c r="B821" s="31"/>
      <c r="C821" s="32"/>
      <c r="D821" s="33"/>
      <c r="E821" s="34"/>
      <c r="F821" s="34"/>
      <c r="G821" s="35"/>
      <c r="H821" s="34"/>
      <c r="I821" s="37"/>
    </row>
    <row r="822" ht="22.5" customHeight="1">
      <c r="A822" s="30"/>
      <c r="B822" s="31"/>
      <c r="C822" s="32"/>
      <c r="D822" s="33"/>
      <c r="E822" s="34"/>
      <c r="F822" s="34"/>
      <c r="G822" s="35"/>
      <c r="H822" s="34"/>
      <c r="I822" s="37"/>
    </row>
    <row r="823" ht="22.5" customHeight="1">
      <c r="A823" s="30"/>
      <c r="B823" s="39"/>
      <c r="C823" s="32"/>
      <c r="D823" s="33"/>
      <c r="E823" s="34"/>
      <c r="F823" s="34"/>
      <c r="G823" s="35"/>
      <c r="H823" s="34"/>
      <c r="I823" s="37"/>
    </row>
    <row r="824" ht="22.5" customHeight="1">
      <c r="A824" s="30"/>
      <c r="B824" s="31"/>
      <c r="C824" s="32"/>
      <c r="D824" s="33"/>
      <c r="E824" s="34"/>
      <c r="F824" s="34"/>
      <c r="G824" s="35"/>
      <c r="H824" s="34"/>
      <c r="I824" s="37"/>
    </row>
    <row r="825" ht="22.5" customHeight="1">
      <c r="A825" s="30"/>
      <c r="B825" s="39"/>
      <c r="C825" s="32"/>
      <c r="D825" s="33"/>
      <c r="E825" s="34"/>
      <c r="F825" s="34"/>
      <c r="G825" s="35"/>
      <c r="H825" s="34"/>
      <c r="I825" s="37"/>
    </row>
    <row r="826" ht="22.5" customHeight="1">
      <c r="A826" s="30"/>
      <c r="B826" s="31"/>
      <c r="C826" s="32"/>
      <c r="D826" s="33"/>
      <c r="E826" s="34"/>
      <c r="F826" s="34"/>
      <c r="G826" s="35"/>
      <c r="H826" s="34"/>
      <c r="I826" s="37"/>
    </row>
    <row r="827" ht="22.5" customHeight="1">
      <c r="A827" s="30"/>
      <c r="B827" s="31"/>
      <c r="C827" s="32"/>
      <c r="D827" s="33"/>
      <c r="E827" s="34"/>
      <c r="F827" s="34"/>
      <c r="G827" s="35"/>
      <c r="H827" s="34"/>
      <c r="I827" s="37"/>
    </row>
    <row r="828" ht="22.5" customHeight="1">
      <c r="A828" s="30"/>
      <c r="B828" s="31"/>
      <c r="C828" s="32"/>
      <c r="D828" s="33"/>
      <c r="E828" s="34"/>
      <c r="F828" s="34"/>
      <c r="G828" s="35"/>
      <c r="H828" s="34"/>
      <c r="I828" s="37"/>
    </row>
    <row r="829" ht="22.5" customHeight="1">
      <c r="A829" s="30"/>
      <c r="B829" s="31"/>
      <c r="C829" s="32"/>
      <c r="D829" s="33"/>
      <c r="E829" s="34"/>
      <c r="F829" s="34"/>
      <c r="G829" s="35"/>
      <c r="H829" s="34"/>
      <c r="I829" s="37"/>
    </row>
    <row r="830" ht="22.5" customHeight="1">
      <c r="A830" s="30"/>
      <c r="B830" s="31"/>
      <c r="C830" s="32"/>
      <c r="D830" s="33"/>
      <c r="E830" s="34"/>
      <c r="F830" s="34"/>
      <c r="G830" s="35"/>
      <c r="H830" s="34"/>
      <c r="I830" s="37"/>
    </row>
    <row r="831" ht="22.5" customHeight="1">
      <c r="A831" s="30"/>
      <c r="B831" s="31"/>
      <c r="C831" s="32"/>
      <c r="D831" s="33"/>
      <c r="E831" s="34"/>
      <c r="F831" s="34"/>
      <c r="G831" s="35"/>
      <c r="H831" s="34"/>
      <c r="I831" s="37"/>
    </row>
    <row r="832" ht="22.5" customHeight="1">
      <c r="A832" s="30"/>
      <c r="B832" s="31"/>
      <c r="C832" s="32"/>
      <c r="D832" s="33"/>
      <c r="E832" s="34"/>
      <c r="F832" s="34"/>
      <c r="G832" s="35"/>
      <c r="H832" s="34"/>
      <c r="I832" s="37"/>
    </row>
    <row r="833" ht="22.5" customHeight="1">
      <c r="A833" s="30"/>
      <c r="B833" s="31"/>
      <c r="C833" s="32"/>
      <c r="D833" s="33"/>
      <c r="E833" s="34"/>
      <c r="F833" s="34"/>
      <c r="G833" s="35"/>
      <c r="H833" s="34"/>
      <c r="I833" s="37"/>
    </row>
    <row r="834" ht="22.5" customHeight="1">
      <c r="A834" s="30"/>
      <c r="B834" s="31"/>
      <c r="C834" s="32"/>
      <c r="D834" s="33"/>
      <c r="E834" s="34"/>
      <c r="F834" s="34"/>
      <c r="G834" s="35"/>
      <c r="H834" s="34"/>
      <c r="I834" s="37"/>
    </row>
    <row r="835" ht="22.5" customHeight="1">
      <c r="A835" s="30"/>
      <c r="B835" s="31"/>
      <c r="C835" s="32"/>
      <c r="D835" s="33"/>
      <c r="E835" s="34"/>
      <c r="F835" s="34"/>
      <c r="G835" s="35"/>
      <c r="H835" s="34"/>
      <c r="I835" s="37"/>
    </row>
    <row r="836" ht="22.5" customHeight="1">
      <c r="A836" s="30"/>
      <c r="B836" s="40"/>
      <c r="C836" s="32"/>
      <c r="D836" s="33"/>
      <c r="E836" s="34"/>
      <c r="F836" s="34"/>
      <c r="G836" s="35"/>
      <c r="H836" s="34"/>
      <c r="I836" s="37"/>
    </row>
    <row r="837" ht="22.5" customHeight="1">
      <c r="A837" s="30"/>
      <c r="B837" s="31"/>
      <c r="C837" s="32"/>
      <c r="D837" s="33"/>
      <c r="E837" s="34"/>
      <c r="F837" s="34"/>
      <c r="G837" s="35"/>
      <c r="H837" s="34"/>
      <c r="I837" s="37"/>
    </row>
    <row r="838" ht="22.5" customHeight="1">
      <c r="A838" s="30"/>
      <c r="B838" s="31"/>
      <c r="C838" s="32"/>
      <c r="D838" s="33"/>
      <c r="E838" s="34"/>
      <c r="F838" s="34"/>
      <c r="G838" s="35"/>
      <c r="H838" s="34"/>
      <c r="I838" s="37"/>
    </row>
    <row r="839" ht="22.5" customHeight="1">
      <c r="A839" s="30"/>
      <c r="B839" s="31"/>
      <c r="C839" s="32"/>
      <c r="D839" s="33"/>
      <c r="E839" s="34"/>
      <c r="F839" s="34"/>
      <c r="G839" s="35"/>
      <c r="H839" s="34"/>
      <c r="I839" s="37"/>
    </row>
    <row r="840" ht="22.5" customHeight="1">
      <c r="A840" s="30"/>
      <c r="B840" s="31"/>
      <c r="C840" s="32"/>
      <c r="D840" s="33"/>
      <c r="E840" s="34"/>
      <c r="F840" s="34"/>
      <c r="G840" s="35"/>
      <c r="H840" s="34"/>
      <c r="I840" s="37"/>
    </row>
    <row r="841" ht="22.5" customHeight="1">
      <c r="A841" s="30"/>
      <c r="B841" s="31"/>
      <c r="C841" s="32"/>
      <c r="D841" s="33"/>
      <c r="E841" s="34"/>
      <c r="F841" s="34"/>
      <c r="G841" s="35"/>
      <c r="H841" s="34"/>
      <c r="I841" s="37"/>
    </row>
    <row r="842" ht="22.5" customHeight="1">
      <c r="A842" s="30"/>
      <c r="B842" s="31"/>
      <c r="C842" s="32"/>
      <c r="D842" s="33"/>
      <c r="E842" s="34"/>
      <c r="F842" s="34"/>
      <c r="G842" s="35"/>
      <c r="H842" s="34"/>
      <c r="I842" s="37"/>
    </row>
    <row r="843" ht="22.5" customHeight="1">
      <c r="A843" s="30"/>
      <c r="B843" s="39"/>
      <c r="C843" s="32"/>
      <c r="D843" s="33"/>
      <c r="E843" s="34"/>
      <c r="F843" s="34"/>
      <c r="G843" s="35"/>
      <c r="H843" s="34"/>
      <c r="I843" s="37"/>
    </row>
    <row r="844" ht="22.5" customHeight="1">
      <c r="A844" s="30"/>
      <c r="B844" s="39"/>
      <c r="C844" s="32"/>
      <c r="D844" s="33"/>
      <c r="E844" s="34"/>
      <c r="F844" s="34"/>
      <c r="G844" s="35"/>
      <c r="H844" s="34"/>
      <c r="I844" s="37"/>
    </row>
    <row r="845" ht="22.5" customHeight="1">
      <c r="A845" s="30"/>
      <c r="B845" s="39"/>
      <c r="C845" s="32"/>
      <c r="D845" s="33"/>
      <c r="E845" s="34"/>
      <c r="F845" s="34"/>
      <c r="G845" s="35"/>
      <c r="H845" s="34"/>
      <c r="I845" s="37"/>
    </row>
    <row r="846" ht="22.5" customHeight="1">
      <c r="A846" s="30"/>
      <c r="B846" s="40"/>
      <c r="C846" s="32"/>
      <c r="D846" s="33"/>
      <c r="E846" s="34"/>
      <c r="F846" s="34"/>
      <c r="G846" s="35"/>
      <c r="H846" s="34"/>
      <c r="I846" s="37"/>
    </row>
    <row r="847" ht="22.5" customHeight="1">
      <c r="A847" s="30"/>
      <c r="B847" s="31"/>
      <c r="C847" s="32"/>
      <c r="D847" s="33"/>
      <c r="E847" s="34"/>
      <c r="F847" s="34"/>
      <c r="G847" s="35"/>
      <c r="H847" s="34"/>
      <c r="I847" s="37"/>
    </row>
    <row r="848" ht="22.5" customHeight="1">
      <c r="A848" s="30"/>
      <c r="B848" s="31"/>
      <c r="C848" s="32"/>
      <c r="D848" s="33"/>
      <c r="E848" s="34"/>
      <c r="F848" s="34"/>
      <c r="G848" s="35"/>
      <c r="H848" s="34"/>
      <c r="I848" s="37"/>
    </row>
    <row r="849" ht="22.5" customHeight="1">
      <c r="A849" s="30"/>
      <c r="B849" s="31"/>
      <c r="C849" s="32"/>
      <c r="D849" s="33"/>
      <c r="E849" s="34"/>
      <c r="F849" s="34"/>
      <c r="G849" s="35"/>
      <c r="H849" s="34"/>
      <c r="I849" s="37"/>
    </row>
    <row r="850" ht="22.5" customHeight="1">
      <c r="A850" s="30"/>
      <c r="B850" s="31"/>
      <c r="C850" s="32"/>
      <c r="D850" s="33"/>
      <c r="E850" s="34"/>
      <c r="F850" s="34"/>
      <c r="G850" s="35"/>
      <c r="H850" s="34"/>
      <c r="I850" s="37"/>
    </row>
    <row r="851" ht="22.5" customHeight="1">
      <c r="A851" s="30"/>
      <c r="B851" s="31"/>
      <c r="C851" s="32"/>
      <c r="D851" s="33"/>
      <c r="E851" s="34"/>
      <c r="F851" s="34"/>
      <c r="G851" s="35"/>
      <c r="H851" s="34"/>
      <c r="I851" s="37"/>
    </row>
    <row r="852" ht="22.5" customHeight="1">
      <c r="A852" s="30"/>
      <c r="B852" s="31"/>
      <c r="C852" s="32"/>
      <c r="D852" s="33"/>
      <c r="E852" s="34"/>
      <c r="F852" s="34"/>
      <c r="G852" s="35"/>
      <c r="H852" s="34"/>
      <c r="I852" s="37"/>
    </row>
    <row r="853" ht="22.5" customHeight="1">
      <c r="A853" s="30"/>
      <c r="B853" s="31"/>
      <c r="C853" s="32"/>
      <c r="D853" s="33"/>
      <c r="E853" s="34"/>
      <c r="F853" s="34"/>
      <c r="G853" s="35"/>
      <c r="H853" s="34"/>
      <c r="I853" s="37"/>
    </row>
    <row r="854" ht="22.5" customHeight="1">
      <c r="A854" s="30"/>
      <c r="B854" s="31"/>
      <c r="C854" s="32"/>
      <c r="D854" s="33"/>
      <c r="E854" s="34"/>
      <c r="F854" s="34"/>
      <c r="G854" s="35"/>
      <c r="H854" s="34"/>
      <c r="I854" s="37"/>
    </row>
    <row r="855" ht="22.5" customHeight="1">
      <c r="A855" s="30"/>
      <c r="B855" s="31"/>
      <c r="C855" s="32"/>
      <c r="D855" s="33"/>
      <c r="E855" s="34"/>
      <c r="F855" s="34"/>
      <c r="G855" s="35"/>
      <c r="H855" s="34"/>
      <c r="I855" s="37"/>
    </row>
    <row r="856" ht="22.5" customHeight="1">
      <c r="A856" s="30"/>
      <c r="B856" s="40"/>
      <c r="C856" s="32"/>
      <c r="D856" s="33"/>
      <c r="E856" s="34"/>
      <c r="F856" s="34"/>
      <c r="G856" s="35"/>
      <c r="H856" s="34"/>
      <c r="I856" s="37"/>
    </row>
    <row r="857" ht="22.5" customHeight="1">
      <c r="A857" s="30"/>
      <c r="B857" s="31"/>
      <c r="C857" s="32"/>
      <c r="D857" s="33"/>
      <c r="E857" s="34"/>
      <c r="F857" s="34"/>
      <c r="G857" s="35"/>
      <c r="H857" s="34"/>
      <c r="I857" s="37"/>
    </row>
    <row r="858" ht="22.5" customHeight="1">
      <c r="A858" s="30"/>
      <c r="B858" s="31"/>
      <c r="C858" s="32"/>
      <c r="D858" s="33"/>
      <c r="E858" s="34"/>
      <c r="F858" s="34"/>
      <c r="G858" s="35"/>
      <c r="H858" s="34"/>
      <c r="I858" s="37"/>
    </row>
    <row r="859" ht="22.5" customHeight="1">
      <c r="A859" s="30"/>
      <c r="B859" s="31"/>
      <c r="C859" s="32"/>
      <c r="D859" s="33"/>
      <c r="E859" s="34"/>
      <c r="F859" s="34"/>
      <c r="G859" s="35"/>
      <c r="H859" s="34"/>
      <c r="I859" s="37"/>
    </row>
    <row r="860" ht="22.5" customHeight="1">
      <c r="A860" s="30"/>
      <c r="B860" s="40"/>
      <c r="C860" s="32"/>
      <c r="D860" s="33"/>
      <c r="E860" s="34"/>
      <c r="F860" s="34"/>
      <c r="G860" s="35"/>
      <c r="H860" s="34"/>
      <c r="I860" s="37"/>
    </row>
    <row r="861" ht="22.5" customHeight="1">
      <c r="A861" s="30"/>
      <c r="B861" s="31"/>
      <c r="C861" s="32"/>
      <c r="D861" s="33"/>
      <c r="E861" s="34"/>
      <c r="F861" s="34"/>
      <c r="G861" s="35"/>
      <c r="H861" s="34"/>
      <c r="I861" s="37"/>
    </row>
    <row r="862" ht="22.5" customHeight="1">
      <c r="A862" s="30"/>
      <c r="B862" s="31"/>
      <c r="C862" s="32"/>
      <c r="D862" s="33"/>
      <c r="E862" s="34"/>
      <c r="F862" s="34"/>
      <c r="G862" s="35"/>
      <c r="H862" s="34"/>
      <c r="I862" s="37"/>
    </row>
    <row r="863" ht="22.5" customHeight="1">
      <c r="A863" s="30"/>
      <c r="B863" s="31"/>
      <c r="C863" s="32"/>
      <c r="D863" s="33"/>
      <c r="E863" s="34"/>
      <c r="F863" s="34"/>
      <c r="G863" s="35"/>
      <c r="H863" s="34"/>
      <c r="I863" s="37"/>
    </row>
    <row r="864" ht="22.5" customHeight="1">
      <c r="A864" s="30"/>
      <c r="B864" s="31"/>
      <c r="C864" s="32"/>
      <c r="D864" s="33"/>
      <c r="E864" s="34"/>
      <c r="F864" s="34"/>
      <c r="G864" s="35"/>
      <c r="H864" s="34"/>
      <c r="I864" s="37"/>
    </row>
    <row r="865" ht="22.5" customHeight="1">
      <c r="A865" s="30"/>
      <c r="B865" s="31"/>
      <c r="C865" s="32"/>
      <c r="D865" s="33"/>
      <c r="E865" s="34"/>
      <c r="F865" s="34"/>
      <c r="G865" s="35"/>
      <c r="H865" s="34"/>
      <c r="I865" s="37"/>
    </row>
    <row r="866" ht="22.5" customHeight="1">
      <c r="A866" s="30"/>
      <c r="B866" s="31"/>
      <c r="C866" s="32"/>
      <c r="D866" s="33"/>
      <c r="E866" s="34"/>
      <c r="F866" s="34"/>
      <c r="G866" s="35"/>
      <c r="H866" s="34"/>
      <c r="I866" s="37"/>
    </row>
    <row r="867" ht="22.5" customHeight="1">
      <c r="A867" s="30"/>
      <c r="B867" s="31"/>
      <c r="C867" s="32"/>
      <c r="D867" s="33"/>
      <c r="E867" s="34"/>
      <c r="F867" s="34"/>
      <c r="G867" s="35"/>
      <c r="H867" s="34"/>
      <c r="I867" s="37"/>
    </row>
    <row r="868" ht="22.5" customHeight="1">
      <c r="A868" s="30"/>
      <c r="B868" s="31"/>
      <c r="C868" s="32"/>
      <c r="D868" s="33"/>
      <c r="E868" s="34"/>
      <c r="F868" s="34"/>
      <c r="G868" s="35"/>
      <c r="H868" s="34"/>
      <c r="I868" s="37"/>
    </row>
    <row r="869" ht="22.5" customHeight="1">
      <c r="A869" s="30"/>
      <c r="B869" s="31"/>
      <c r="C869" s="32"/>
      <c r="D869" s="33"/>
      <c r="E869" s="34"/>
      <c r="F869" s="34"/>
      <c r="G869" s="35"/>
      <c r="H869" s="34"/>
      <c r="I869" s="37"/>
    </row>
    <row r="870" ht="22.5" customHeight="1">
      <c r="A870" s="30"/>
      <c r="B870" s="31"/>
      <c r="C870" s="32"/>
      <c r="D870" s="33"/>
      <c r="E870" s="34"/>
      <c r="F870" s="34"/>
      <c r="G870" s="35"/>
      <c r="H870" s="34"/>
      <c r="I870" s="37"/>
    </row>
    <row r="871" ht="22.5" customHeight="1">
      <c r="A871" s="30"/>
      <c r="B871" s="31"/>
      <c r="C871" s="32"/>
      <c r="D871" s="33"/>
      <c r="E871" s="34"/>
      <c r="F871" s="34"/>
      <c r="G871" s="35"/>
      <c r="H871" s="34"/>
      <c r="I871" s="37"/>
    </row>
    <row r="872" ht="22.5" customHeight="1">
      <c r="A872" s="30"/>
      <c r="B872" s="31"/>
      <c r="C872" s="32"/>
      <c r="D872" s="33"/>
      <c r="E872" s="34"/>
      <c r="F872" s="34"/>
      <c r="G872" s="35"/>
      <c r="H872" s="34"/>
      <c r="I872" s="37"/>
    </row>
    <row r="873" ht="22.5" customHeight="1">
      <c r="A873" s="30"/>
      <c r="B873" s="31"/>
      <c r="C873" s="32"/>
      <c r="D873" s="33"/>
      <c r="E873" s="34"/>
      <c r="F873" s="34"/>
      <c r="G873" s="35"/>
      <c r="H873" s="34"/>
      <c r="I873" s="37"/>
    </row>
    <row r="874" ht="22.5" customHeight="1">
      <c r="A874" s="30"/>
      <c r="B874" s="31"/>
      <c r="C874" s="32"/>
      <c r="D874" s="33"/>
      <c r="E874" s="34"/>
      <c r="F874" s="34"/>
      <c r="G874" s="35"/>
      <c r="H874" s="34"/>
      <c r="I874" s="37"/>
    </row>
    <row r="875" ht="22.5" customHeight="1">
      <c r="A875" s="30"/>
      <c r="B875" s="40"/>
      <c r="C875" s="32"/>
      <c r="D875" s="33"/>
      <c r="E875" s="34"/>
      <c r="F875" s="34"/>
      <c r="G875" s="35"/>
      <c r="H875" s="34"/>
      <c r="I875" s="37"/>
    </row>
    <row r="876" ht="22.5" customHeight="1">
      <c r="A876" s="30"/>
      <c r="B876" s="31"/>
      <c r="C876" s="32"/>
      <c r="D876" s="33"/>
      <c r="E876" s="34"/>
      <c r="F876" s="34"/>
      <c r="G876" s="35"/>
      <c r="H876" s="34"/>
      <c r="I876" s="37"/>
    </row>
    <row r="877" ht="22.5" customHeight="1">
      <c r="A877" s="30"/>
      <c r="B877" s="40"/>
      <c r="C877" s="32"/>
      <c r="D877" s="33"/>
      <c r="E877" s="34"/>
      <c r="F877" s="34"/>
      <c r="G877" s="35"/>
      <c r="H877" s="34"/>
      <c r="I877" s="37"/>
    </row>
    <row r="878" ht="22.5" customHeight="1">
      <c r="A878" s="30"/>
      <c r="B878" s="31"/>
      <c r="C878" s="32"/>
      <c r="D878" s="33"/>
      <c r="E878" s="34"/>
      <c r="F878" s="34"/>
      <c r="G878" s="35"/>
      <c r="H878" s="34"/>
      <c r="I878" s="37"/>
    </row>
    <row r="879" ht="22.5" customHeight="1">
      <c r="A879" s="30"/>
      <c r="B879" s="31"/>
      <c r="C879" s="32"/>
      <c r="D879" s="33"/>
      <c r="E879" s="34"/>
      <c r="F879" s="34"/>
      <c r="G879" s="35"/>
      <c r="H879" s="34"/>
      <c r="I879" s="37"/>
    </row>
    <row r="880" ht="22.5" customHeight="1">
      <c r="A880" s="30"/>
      <c r="B880" s="31"/>
      <c r="C880" s="32"/>
      <c r="D880" s="33"/>
      <c r="E880" s="34"/>
      <c r="F880" s="34"/>
      <c r="G880" s="35"/>
      <c r="H880" s="34"/>
      <c r="I880" s="37"/>
    </row>
    <row r="881" ht="22.5" customHeight="1">
      <c r="A881" s="30"/>
      <c r="B881" s="31"/>
      <c r="C881" s="32"/>
      <c r="D881" s="33"/>
      <c r="E881" s="34"/>
      <c r="F881" s="34"/>
      <c r="G881" s="35"/>
      <c r="H881" s="34"/>
      <c r="I881" s="37"/>
    </row>
    <row r="882" ht="22.5" customHeight="1">
      <c r="A882" s="30"/>
      <c r="B882" s="40"/>
      <c r="C882" s="32"/>
      <c r="D882" s="33"/>
      <c r="E882" s="34"/>
      <c r="F882" s="34"/>
      <c r="G882" s="35"/>
      <c r="H882" s="34"/>
      <c r="I882" s="37"/>
    </row>
    <row r="883" ht="22.5" customHeight="1">
      <c r="A883" s="30"/>
      <c r="B883" s="31"/>
      <c r="C883" s="32"/>
      <c r="D883" s="33"/>
      <c r="E883" s="34"/>
      <c r="F883" s="34"/>
      <c r="G883" s="35"/>
      <c r="H883" s="34"/>
      <c r="I883" s="37"/>
    </row>
    <row r="884" ht="22.5" customHeight="1">
      <c r="A884" s="30"/>
      <c r="B884" s="31"/>
      <c r="C884" s="32"/>
      <c r="D884" s="33"/>
      <c r="E884" s="34"/>
      <c r="F884" s="34"/>
      <c r="G884" s="35"/>
      <c r="H884" s="34"/>
      <c r="I884" s="37"/>
    </row>
    <row r="885" ht="22.5" customHeight="1">
      <c r="A885" s="30"/>
      <c r="B885" s="31"/>
      <c r="C885" s="32"/>
      <c r="D885" s="33"/>
      <c r="E885" s="34"/>
      <c r="F885" s="34"/>
      <c r="G885" s="35"/>
      <c r="H885" s="34"/>
      <c r="I885" s="37"/>
    </row>
    <row r="886" ht="22.5" customHeight="1">
      <c r="A886" s="30"/>
      <c r="B886" s="31"/>
      <c r="C886" s="32"/>
      <c r="D886" s="33"/>
      <c r="E886" s="34"/>
      <c r="F886" s="34"/>
      <c r="G886" s="35"/>
      <c r="H886" s="34"/>
      <c r="I886" s="37"/>
    </row>
    <row r="887" ht="22.5" customHeight="1">
      <c r="A887" s="30"/>
      <c r="B887" s="31"/>
      <c r="C887" s="32"/>
      <c r="D887" s="33"/>
      <c r="E887" s="34"/>
      <c r="F887" s="34"/>
      <c r="G887" s="35"/>
      <c r="H887" s="34"/>
      <c r="I887" s="37"/>
    </row>
    <row r="888" ht="22.5" customHeight="1">
      <c r="A888" s="30"/>
      <c r="B888" s="31"/>
      <c r="C888" s="32"/>
      <c r="D888" s="33"/>
      <c r="E888" s="34"/>
      <c r="F888" s="34"/>
      <c r="G888" s="35"/>
      <c r="H888" s="34"/>
      <c r="I888" s="37"/>
    </row>
    <row r="889" ht="22.5" customHeight="1">
      <c r="A889" s="30"/>
      <c r="B889" s="31"/>
      <c r="C889" s="32"/>
      <c r="D889" s="33"/>
      <c r="E889" s="34"/>
      <c r="F889" s="34"/>
      <c r="G889" s="35"/>
      <c r="H889" s="34"/>
      <c r="I889" s="37"/>
    </row>
    <row r="890" ht="22.5" customHeight="1">
      <c r="A890" s="30"/>
      <c r="B890" s="31"/>
      <c r="C890" s="32"/>
      <c r="D890" s="33"/>
      <c r="E890" s="34"/>
      <c r="F890" s="34"/>
      <c r="G890" s="35"/>
      <c r="H890" s="34"/>
      <c r="I890" s="37"/>
    </row>
    <row r="891" ht="22.5" customHeight="1">
      <c r="A891" s="30"/>
      <c r="B891" s="31"/>
      <c r="C891" s="32"/>
      <c r="D891" s="33"/>
      <c r="E891" s="34"/>
      <c r="F891" s="34"/>
      <c r="G891" s="35"/>
      <c r="H891" s="34"/>
      <c r="I891" s="37"/>
    </row>
    <row r="892" ht="22.5" customHeight="1">
      <c r="A892" s="30"/>
      <c r="B892" s="31"/>
      <c r="C892" s="32"/>
      <c r="D892" s="33"/>
      <c r="E892" s="34"/>
      <c r="F892" s="34"/>
      <c r="G892" s="35"/>
      <c r="H892" s="34"/>
      <c r="I892" s="37"/>
    </row>
    <row r="893" ht="22.5" customHeight="1">
      <c r="A893" s="30"/>
      <c r="B893" s="31"/>
      <c r="C893" s="32"/>
      <c r="D893" s="33"/>
      <c r="E893" s="34"/>
      <c r="F893" s="34"/>
      <c r="G893" s="35"/>
      <c r="H893" s="34"/>
      <c r="I893" s="37"/>
    </row>
    <row r="894" ht="22.5" customHeight="1">
      <c r="A894" s="30"/>
      <c r="B894" s="31"/>
      <c r="C894" s="32"/>
      <c r="D894" s="33"/>
      <c r="E894" s="34"/>
      <c r="F894" s="34"/>
      <c r="G894" s="35"/>
      <c r="H894" s="34"/>
      <c r="I894" s="37"/>
    </row>
    <row r="895" ht="22.5" customHeight="1">
      <c r="A895" s="30"/>
      <c r="B895" s="31"/>
      <c r="C895" s="32"/>
      <c r="D895" s="33"/>
      <c r="E895" s="34"/>
      <c r="F895" s="34"/>
      <c r="G895" s="35"/>
      <c r="H895" s="34"/>
      <c r="I895" s="37"/>
    </row>
    <row r="896" ht="22.5" customHeight="1">
      <c r="A896" s="30"/>
      <c r="B896" s="31"/>
      <c r="C896" s="32"/>
      <c r="D896" s="33"/>
      <c r="E896" s="34"/>
      <c r="F896" s="34"/>
      <c r="G896" s="35"/>
      <c r="H896" s="34"/>
      <c r="I896" s="37"/>
    </row>
    <row r="897" ht="22.5" customHeight="1">
      <c r="A897" s="30"/>
      <c r="B897" s="31"/>
      <c r="C897" s="32"/>
      <c r="D897" s="33"/>
      <c r="E897" s="34"/>
      <c r="F897" s="34"/>
      <c r="G897" s="35"/>
      <c r="H897" s="34"/>
      <c r="I897" s="37"/>
    </row>
    <row r="898" ht="22.5" customHeight="1">
      <c r="A898" s="30"/>
      <c r="B898" s="31"/>
      <c r="C898" s="32"/>
      <c r="D898" s="33"/>
      <c r="E898" s="34"/>
      <c r="F898" s="34"/>
      <c r="G898" s="35"/>
      <c r="H898" s="34"/>
      <c r="I898" s="37"/>
    </row>
    <row r="899" ht="22.5" customHeight="1">
      <c r="A899" s="30"/>
      <c r="B899" s="31"/>
      <c r="C899" s="32"/>
      <c r="D899" s="33"/>
      <c r="E899" s="34"/>
      <c r="F899" s="34"/>
      <c r="G899" s="35"/>
      <c r="H899" s="34"/>
      <c r="I899" s="37"/>
    </row>
    <row r="900" ht="22.5" customHeight="1">
      <c r="A900" s="30"/>
      <c r="B900" s="31"/>
      <c r="C900" s="32"/>
      <c r="D900" s="33"/>
      <c r="E900" s="34"/>
      <c r="F900" s="34"/>
      <c r="G900" s="35"/>
      <c r="H900" s="34"/>
      <c r="I900" s="37"/>
    </row>
    <row r="901" ht="22.5" customHeight="1">
      <c r="A901" s="30"/>
      <c r="B901" s="31"/>
      <c r="C901" s="32"/>
      <c r="D901" s="33"/>
      <c r="E901" s="34"/>
      <c r="F901" s="34"/>
      <c r="G901" s="35"/>
      <c r="H901" s="34"/>
      <c r="I901" s="37"/>
    </row>
    <row r="902" ht="22.5" customHeight="1">
      <c r="A902" s="30"/>
      <c r="B902" s="31"/>
      <c r="C902" s="32"/>
      <c r="D902" s="33"/>
      <c r="E902" s="34"/>
      <c r="F902" s="34"/>
      <c r="G902" s="35"/>
      <c r="H902" s="34"/>
      <c r="I902" s="37"/>
    </row>
    <row r="903" ht="22.5" customHeight="1">
      <c r="A903" s="30"/>
      <c r="B903" s="31"/>
      <c r="C903" s="32"/>
      <c r="D903" s="33"/>
      <c r="E903" s="34"/>
      <c r="F903" s="34"/>
      <c r="G903" s="35"/>
      <c r="H903" s="34"/>
      <c r="I903" s="37"/>
    </row>
    <row r="904" ht="22.5" customHeight="1">
      <c r="A904" s="30"/>
      <c r="B904" s="40"/>
      <c r="C904" s="32"/>
      <c r="D904" s="33"/>
      <c r="E904" s="34"/>
      <c r="F904" s="34"/>
      <c r="G904" s="35"/>
      <c r="H904" s="34"/>
      <c r="I904" s="37"/>
    </row>
    <row r="905" ht="22.5" customHeight="1">
      <c r="A905" s="30"/>
      <c r="B905" s="31"/>
      <c r="C905" s="32"/>
      <c r="D905" s="33"/>
      <c r="E905" s="34"/>
      <c r="F905" s="34"/>
      <c r="G905" s="35"/>
      <c r="H905" s="34"/>
      <c r="I905" s="37"/>
    </row>
    <row r="906" ht="22.5" customHeight="1">
      <c r="A906" s="30"/>
      <c r="B906" s="31"/>
      <c r="C906" s="32"/>
      <c r="D906" s="33"/>
      <c r="E906" s="34"/>
      <c r="F906" s="34"/>
      <c r="G906" s="35"/>
      <c r="H906" s="34"/>
      <c r="I906" s="37"/>
    </row>
    <row r="907" ht="22.5" customHeight="1">
      <c r="A907" s="30"/>
      <c r="B907" s="31"/>
      <c r="C907" s="32"/>
      <c r="D907" s="33"/>
      <c r="E907" s="34"/>
      <c r="F907" s="34"/>
      <c r="G907" s="35"/>
      <c r="H907" s="34"/>
      <c r="I907" s="37"/>
    </row>
    <row r="908" ht="22.5" customHeight="1">
      <c r="A908" s="30"/>
      <c r="B908" s="31"/>
      <c r="C908" s="32"/>
      <c r="D908" s="33"/>
      <c r="E908" s="34"/>
      <c r="F908" s="34"/>
      <c r="G908" s="35"/>
      <c r="H908" s="34"/>
      <c r="I908" s="38"/>
    </row>
    <row r="909" ht="22.5" customHeight="1">
      <c r="A909" s="30"/>
      <c r="B909" s="39"/>
      <c r="C909" s="32"/>
      <c r="D909" s="33"/>
      <c r="E909" s="34"/>
      <c r="F909" s="34"/>
      <c r="G909" s="35"/>
      <c r="H909" s="34"/>
      <c r="I909" s="37"/>
    </row>
    <row r="910" ht="22.5" customHeight="1">
      <c r="A910" s="30"/>
      <c r="B910" s="31"/>
      <c r="C910" s="32"/>
      <c r="D910" s="33"/>
      <c r="E910" s="34"/>
      <c r="F910" s="34"/>
      <c r="G910" s="35"/>
      <c r="H910" s="34"/>
      <c r="I910" s="37"/>
    </row>
    <row r="911" ht="22.5" customHeight="1">
      <c r="A911" s="30"/>
      <c r="B911" s="31"/>
      <c r="C911" s="32"/>
      <c r="D911" s="33"/>
      <c r="E911" s="34"/>
      <c r="F911" s="34"/>
      <c r="G911" s="35"/>
      <c r="H911" s="34"/>
      <c r="I911" s="37"/>
    </row>
    <row r="912" ht="22.5" customHeight="1">
      <c r="A912" s="30"/>
      <c r="B912" s="31"/>
      <c r="C912" s="32"/>
      <c r="D912" s="33"/>
      <c r="E912" s="34"/>
      <c r="F912" s="34"/>
      <c r="G912" s="35"/>
      <c r="H912" s="34"/>
      <c r="I912" s="37"/>
    </row>
    <row r="913" ht="22.5" customHeight="1">
      <c r="A913" s="30"/>
      <c r="B913" s="39"/>
      <c r="C913" s="32"/>
      <c r="D913" s="33"/>
      <c r="E913" s="34"/>
      <c r="F913" s="34"/>
      <c r="G913" s="35"/>
      <c r="H913" s="34"/>
      <c r="I913" s="37"/>
    </row>
    <row r="914" ht="22.5" customHeight="1">
      <c r="A914" s="30"/>
      <c r="B914" s="31"/>
      <c r="C914" s="32"/>
      <c r="D914" s="33"/>
      <c r="E914" s="34"/>
      <c r="F914" s="34"/>
      <c r="G914" s="35"/>
      <c r="H914" s="34"/>
      <c r="I914" s="37"/>
    </row>
    <row r="915" ht="22.5" customHeight="1">
      <c r="A915" s="30"/>
      <c r="B915" s="39"/>
      <c r="C915" s="32"/>
      <c r="D915" s="33"/>
      <c r="E915" s="34"/>
      <c r="F915" s="34"/>
      <c r="G915" s="35"/>
      <c r="H915" s="34"/>
      <c r="I915" s="37"/>
    </row>
    <row r="916" ht="22.5" customHeight="1">
      <c r="A916" s="30"/>
      <c r="B916" s="31"/>
      <c r="C916" s="32"/>
      <c r="D916" s="33"/>
      <c r="E916" s="34"/>
      <c r="F916" s="34"/>
      <c r="G916" s="35"/>
      <c r="H916" s="34"/>
      <c r="I916" s="37"/>
    </row>
    <row r="917" ht="22.5" customHeight="1">
      <c r="A917" s="30"/>
      <c r="B917" s="31"/>
      <c r="C917" s="32"/>
      <c r="D917" s="33"/>
      <c r="E917" s="34"/>
      <c r="F917" s="34"/>
      <c r="G917" s="35"/>
      <c r="H917" s="34"/>
      <c r="I917" s="37"/>
    </row>
    <row r="918" ht="22.5" customHeight="1">
      <c r="A918" s="30"/>
      <c r="B918" s="31"/>
      <c r="C918" s="32"/>
      <c r="D918" s="33"/>
      <c r="E918" s="34"/>
      <c r="F918" s="34"/>
      <c r="G918" s="35"/>
      <c r="H918" s="34"/>
      <c r="I918" s="37"/>
    </row>
    <row r="919" ht="22.5" customHeight="1">
      <c r="A919" s="30"/>
      <c r="B919" s="31"/>
      <c r="C919" s="32"/>
      <c r="D919" s="33"/>
      <c r="E919" s="34"/>
      <c r="F919" s="34"/>
      <c r="G919" s="35"/>
      <c r="H919" s="34"/>
      <c r="I919" s="37"/>
    </row>
    <row r="920" ht="22.5" customHeight="1">
      <c r="A920" s="30"/>
      <c r="B920" s="31"/>
      <c r="C920" s="32"/>
      <c r="D920" s="33"/>
      <c r="E920" s="34"/>
      <c r="F920" s="34"/>
      <c r="G920" s="35"/>
      <c r="H920" s="34"/>
      <c r="I920" s="37"/>
    </row>
    <row r="921" ht="22.5" customHeight="1">
      <c r="A921" s="30"/>
      <c r="B921" s="31"/>
      <c r="C921" s="32"/>
      <c r="D921" s="33"/>
      <c r="E921" s="34"/>
      <c r="F921" s="34"/>
      <c r="G921" s="35"/>
      <c r="H921" s="34"/>
      <c r="I921" s="37"/>
    </row>
    <row r="922" ht="22.5" customHeight="1">
      <c r="A922" s="30"/>
      <c r="B922" s="31"/>
      <c r="C922" s="32"/>
      <c r="D922" s="33"/>
      <c r="E922" s="34"/>
      <c r="F922" s="34"/>
      <c r="G922" s="35"/>
      <c r="H922" s="34"/>
      <c r="I922" s="37"/>
    </row>
    <row r="923" ht="22.5" customHeight="1">
      <c r="A923" s="30"/>
      <c r="B923" s="31"/>
      <c r="C923" s="32"/>
      <c r="D923" s="33"/>
      <c r="E923" s="34"/>
      <c r="F923" s="34"/>
      <c r="G923" s="35"/>
      <c r="H923" s="34"/>
      <c r="I923" s="37"/>
    </row>
    <row r="924" ht="22.5" customHeight="1">
      <c r="A924" s="30"/>
      <c r="B924" s="31"/>
      <c r="C924" s="32"/>
      <c r="D924" s="33"/>
      <c r="E924" s="34"/>
      <c r="F924" s="34"/>
      <c r="G924" s="35"/>
      <c r="H924" s="34"/>
      <c r="I924" s="37"/>
    </row>
    <row r="925" ht="22.5" customHeight="1">
      <c r="A925" s="30"/>
      <c r="B925" s="31"/>
      <c r="C925" s="32"/>
      <c r="D925" s="33"/>
      <c r="E925" s="34"/>
      <c r="F925" s="34"/>
      <c r="G925" s="35"/>
      <c r="H925" s="34"/>
      <c r="I925" s="37"/>
    </row>
    <row r="926" ht="22.5" customHeight="1">
      <c r="A926" s="30"/>
      <c r="B926" s="40"/>
      <c r="C926" s="32"/>
      <c r="D926" s="33"/>
      <c r="E926" s="34"/>
      <c r="F926" s="34"/>
      <c r="G926" s="35"/>
      <c r="H926" s="34"/>
      <c r="I926" s="37"/>
    </row>
    <row r="927" ht="22.5" customHeight="1">
      <c r="A927" s="30"/>
      <c r="B927" s="31"/>
      <c r="C927" s="32"/>
      <c r="D927" s="33"/>
      <c r="E927" s="34"/>
      <c r="F927" s="34"/>
      <c r="G927" s="35"/>
      <c r="H927" s="34"/>
      <c r="I927" s="37"/>
    </row>
    <row r="928" ht="22.5" customHeight="1">
      <c r="A928" s="30"/>
      <c r="B928" s="31"/>
      <c r="C928" s="32"/>
      <c r="D928" s="33"/>
      <c r="E928" s="34"/>
      <c r="F928" s="34"/>
      <c r="G928" s="35"/>
      <c r="H928" s="34"/>
      <c r="I928" s="37"/>
    </row>
    <row r="929" ht="22.5" customHeight="1">
      <c r="A929" s="30"/>
      <c r="B929" s="31"/>
      <c r="C929" s="32"/>
      <c r="D929" s="33"/>
      <c r="E929" s="34"/>
      <c r="F929" s="34"/>
      <c r="G929" s="35"/>
      <c r="H929" s="34"/>
      <c r="I929" s="37"/>
    </row>
    <row r="930" ht="22.5" customHeight="1">
      <c r="A930" s="30"/>
      <c r="B930" s="31"/>
      <c r="C930" s="32"/>
      <c r="D930" s="33"/>
      <c r="E930" s="34"/>
      <c r="F930" s="34"/>
      <c r="G930" s="35"/>
      <c r="H930" s="34"/>
      <c r="I930" s="37"/>
    </row>
    <row r="931" ht="22.5" customHeight="1">
      <c r="A931" s="30"/>
      <c r="B931" s="31"/>
      <c r="C931" s="32"/>
      <c r="D931" s="33"/>
      <c r="E931" s="34"/>
      <c r="F931" s="34"/>
      <c r="G931" s="35"/>
      <c r="H931" s="34"/>
      <c r="I931" s="37"/>
    </row>
    <row r="932" ht="22.5" customHeight="1">
      <c r="A932" s="30"/>
      <c r="B932" s="31"/>
      <c r="C932" s="32"/>
      <c r="D932" s="33"/>
      <c r="E932" s="34"/>
      <c r="F932" s="34"/>
      <c r="G932" s="35"/>
      <c r="H932" s="34"/>
      <c r="I932" s="37"/>
    </row>
    <row r="933" ht="22.5" customHeight="1">
      <c r="A933" s="30"/>
      <c r="B933" s="39"/>
      <c r="C933" s="32"/>
      <c r="D933" s="33"/>
      <c r="E933" s="34"/>
      <c r="F933" s="34"/>
      <c r="G933" s="35"/>
      <c r="H933" s="34"/>
      <c r="I933" s="37"/>
    </row>
    <row r="934" ht="22.5" customHeight="1">
      <c r="A934" s="30"/>
      <c r="B934" s="39"/>
      <c r="C934" s="32"/>
      <c r="D934" s="33"/>
      <c r="E934" s="34"/>
      <c r="F934" s="34"/>
      <c r="G934" s="35"/>
      <c r="H934" s="34"/>
      <c r="I934" s="37"/>
    </row>
    <row r="935" ht="22.5" customHeight="1">
      <c r="A935" s="30"/>
      <c r="B935" s="39"/>
      <c r="C935" s="32"/>
      <c r="D935" s="33"/>
      <c r="E935" s="34"/>
      <c r="F935" s="34"/>
      <c r="G935" s="35"/>
      <c r="H935" s="34"/>
      <c r="I935" s="37"/>
    </row>
    <row r="936" ht="22.5" customHeight="1">
      <c r="A936" s="30"/>
      <c r="B936" s="40"/>
      <c r="C936" s="32"/>
      <c r="D936" s="33"/>
      <c r="E936" s="34"/>
      <c r="F936" s="34"/>
      <c r="G936" s="35"/>
      <c r="H936" s="34"/>
      <c r="I936" s="37"/>
    </row>
    <row r="937" ht="22.5" customHeight="1">
      <c r="A937" s="30"/>
      <c r="B937" s="31"/>
      <c r="C937" s="32"/>
      <c r="D937" s="33"/>
      <c r="E937" s="34"/>
      <c r="F937" s="34"/>
      <c r="G937" s="35"/>
      <c r="H937" s="34"/>
      <c r="I937" s="37"/>
    </row>
    <row r="938" ht="22.5" customHeight="1">
      <c r="A938" s="30"/>
      <c r="B938" s="31"/>
      <c r="C938" s="32"/>
      <c r="D938" s="33"/>
      <c r="E938" s="34"/>
      <c r="F938" s="34"/>
      <c r="G938" s="35"/>
      <c r="H938" s="34"/>
      <c r="I938" s="37"/>
    </row>
    <row r="939" ht="22.5" customHeight="1">
      <c r="A939" s="30"/>
      <c r="B939" s="31"/>
      <c r="C939" s="32"/>
      <c r="D939" s="33"/>
      <c r="E939" s="34"/>
      <c r="F939" s="34"/>
      <c r="G939" s="35"/>
      <c r="H939" s="34"/>
      <c r="I939" s="37"/>
    </row>
    <row r="940" ht="22.5" customHeight="1">
      <c r="A940" s="30"/>
      <c r="B940" s="31"/>
      <c r="C940" s="32"/>
      <c r="D940" s="33"/>
      <c r="E940" s="34"/>
      <c r="F940" s="34"/>
      <c r="G940" s="35"/>
      <c r="H940" s="34"/>
      <c r="I940" s="37"/>
    </row>
    <row r="941" ht="22.5" customHeight="1">
      <c r="A941" s="30"/>
      <c r="B941" s="31"/>
      <c r="C941" s="32"/>
      <c r="D941" s="33"/>
      <c r="E941" s="34"/>
      <c r="F941" s="34"/>
      <c r="G941" s="35"/>
      <c r="H941" s="34"/>
      <c r="I941" s="37"/>
    </row>
    <row r="942" ht="22.5" customHeight="1">
      <c r="A942" s="30"/>
      <c r="B942" s="31"/>
      <c r="C942" s="32"/>
      <c r="D942" s="33"/>
      <c r="E942" s="34"/>
      <c r="F942" s="34"/>
      <c r="G942" s="35"/>
      <c r="H942" s="34"/>
      <c r="I942" s="37"/>
    </row>
    <row r="943" ht="22.5" customHeight="1">
      <c r="A943" s="30"/>
      <c r="B943" s="31"/>
      <c r="C943" s="32"/>
      <c r="D943" s="33"/>
      <c r="E943" s="34"/>
      <c r="F943" s="34"/>
      <c r="G943" s="35"/>
      <c r="H943" s="34"/>
      <c r="I943" s="37"/>
    </row>
    <row r="944" ht="22.5" customHeight="1">
      <c r="A944" s="30"/>
      <c r="B944" s="31"/>
      <c r="C944" s="32"/>
      <c r="D944" s="33"/>
      <c r="E944" s="34"/>
      <c r="F944" s="34"/>
      <c r="G944" s="35"/>
      <c r="H944" s="34"/>
      <c r="I944" s="37"/>
    </row>
    <row r="945" ht="22.5" customHeight="1">
      <c r="A945" s="30"/>
      <c r="B945" s="31"/>
      <c r="C945" s="32"/>
      <c r="D945" s="33"/>
      <c r="E945" s="34"/>
      <c r="F945" s="34"/>
      <c r="G945" s="35"/>
      <c r="H945" s="34"/>
      <c r="I945" s="37"/>
    </row>
    <row r="946" ht="22.5" customHeight="1">
      <c r="A946" s="30"/>
      <c r="B946" s="40"/>
      <c r="C946" s="32"/>
      <c r="D946" s="33"/>
      <c r="E946" s="34"/>
      <c r="F946" s="34"/>
      <c r="G946" s="35"/>
      <c r="H946" s="34"/>
      <c r="I946" s="37"/>
    </row>
    <row r="947" ht="22.5" customHeight="1">
      <c r="A947" s="30"/>
      <c r="B947" s="31"/>
      <c r="C947" s="32"/>
      <c r="D947" s="33"/>
      <c r="E947" s="34"/>
      <c r="F947" s="34"/>
      <c r="G947" s="35"/>
      <c r="H947" s="34"/>
      <c r="I947" s="37"/>
    </row>
    <row r="948" ht="22.5" customHeight="1">
      <c r="A948" s="30"/>
      <c r="B948" s="31"/>
      <c r="C948" s="32"/>
      <c r="D948" s="33"/>
      <c r="E948" s="34"/>
      <c r="F948" s="34"/>
      <c r="G948" s="35"/>
      <c r="H948" s="34"/>
      <c r="I948" s="37"/>
    </row>
    <row r="949" ht="22.5" customHeight="1">
      <c r="A949" s="30"/>
      <c r="B949" s="31"/>
      <c r="C949" s="32"/>
      <c r="D949" s="33"/>
      <c r="E949" s="34"/>
      <c r="F949" s="34"/>
      <c r="G949" s="35"/>
      <c r="H949" s="34"/>
      <c r="I949" s="37"/>
    </row>
    <row r="950" ht="22.5" customHeight="1">
      <c r="A950" s="30"/>
      <c r="B950" s="40"/>
      <c r="C950" s="32"/>
      <c r="D950" s="33"/>
      <c r="E950" s="34"/>
      <c r="F950" s="34"/>
      <c r="G950" s="35"/>
      <c r="H950" s="34"/>
      <c r="I950" s="37"/>
    </row>
    <row r="951" ht="22.5" customHeight="1">
      <c r="A951" s="30"/>
      <c r="B951" s="31"/>
      <c r="C951" s="32"/>
      <c r="D951" s="33"/>
      <c r="E951" s="34"/>
      <c r="F951" s="34"/>
      <c r="G951" s="35"/>
      <c r="H951" s="34"/>
      <c r="I951" s="37"/>
    </row>
    <row r="952" ht="22.5" customHeight="1">
      <c r="A952" s="30"/>
      <c r="B952" s="31"/>
      <c r="C952" s="32"/>
      <c r="D952" s="33"/>
      <c r="E952" s="34"/>
      <c r="F952" s="34"/>
      <c r="G952" s="35"/>
      <c r="H952" s="34"/>
      <c r="I952" s="37"/>
    </row>
    <row r="953" ht="22.5" customHeight="1">
      <c r="A953" s="30"/>
      <c r="B953" s="31"/>
      <c r="C953" s="32"/>
      <c r="D953" s="33"/>
      <c r="E953" s="34"/>
      <c r="F953" s="34"/>
      <c r="G953" s="35"/>
      <c r="H953" s="34"/>
      <c r="I953" s="37"/>
    </row>
    <row r="954" ht="22.5" customHeight="1">
      <c r="A954" s="30"/>
      <c r="B954" s="31"/>
      <c r="C954" s="32"/>
      <c r="D954" s="33"/>
      <c r="E954" s="34"/>
      <c r="F954" s="34"/>
      <c r="G954" s="35"/>
      <c r="H954" s="34"/>
      <c r="I954" s="37"/>
    </row>
    <row r="955" ht="22.5" customHeight="1">
      <c r="A955" s="30"/>
      <c r="B955" s="31"/>
      <c r="C955" s="32"/>
      <c r="D955" s="33"/>
      <c r="E955" s="34"/>
      <c r="F955" s="34"/>
      <c r="G955" s="35"/>
      <c r="H955" s="34"/>
      <c r="I955" s="37"/>
    </row>
    <row r="956" ht="22.5" customHeight="1">
      <c r="A956" s="30"/>
      <c r="B956" s="31"/>
      <c r="C956" s="32"/>
      <c r="D956" s="33"/>
      <c r="E956" s="34"/>
      <c r="F956" s="34"/>
      <c r="G956" s="35"/>
      <c r="H956" s="34"/>
      <c r="I956" s="37"/>
    </row>
    <row r="957" ht="22.5" customHeight="1">
      <c r="A957" s="30"/>
      <c r="B957" s="31"/>
      <c r="C957" s="32"/>
      <c r="D957" s="33"/>
      <c r="E957" s="34"/>
      <c r="F957" s="34"/>
      <c r="G957" s="35"/>
      <c r="H957" s="34"/>
      <c r="I957" s="37"/>
    </row>
    <row r="958" ht="22.5" customHeight="1">
      <c r="A958" s="30"/>
      <c r="B958" s="31"/>
      <c r="C958" s="32"/>
      <c r="D958" s="33"/>
      <c r="E958" s="34"/>
      <c r="F958" s="34"/>
      <c r="G958" s="35"/>
      <c r="H958" s="34"/>
      <c r="I958" s="37"/>
    </row>
    <row r="959" ht="22.5" customHeight="1">
      <c r="A959" s="30"/>
      <c r="B959" s="31"/>
      <c r="C959" s="32"/>
      <c r="D959" s="33"/>
      <c r="E959" s="34"/>
      <c r="F959" s="34"/>
      <c r="G959" s="35"/>
      <c r="H959" s="34"/>
      <c r="I959" s="37"/>
    </row>
    <row r="960" ht="22.5" customHeight="1">
      <c r="A960" s="30"/>
      <c r="B960" s="31"/>
      <c r="C960" s="32"/>
      <c r="D960" s="33"/>
      <c r="E960" s="34"/>
      <c r="F960" s="34"/>
      <c r="G960" s="35"/>
      <c r="H960" s="34"/>
      <c r="I960" s="37"/>
    </row>
    <row r="961" ht="22.5" customHeight="1">
      <c r="A961" s="30"/>
      <c r="B961" s="31"/>
      <c r="C961" s="32"/>
      <c r="D961" s="33"/>
      <c r="E961" s="34"/>
      <c r="F961" s="34"/>
      <c r="G961" s="35"/>
      <c r="H961" s="34"/>
      <c r="I961" s="37"/>
    </row>
    <row r="962" ht="22.5" customHeight="1">
      <c r="A962" s="30"/>
      <c r="B962" s="31"/>
      <c r="C962" s="32"/>
      <c r="D962" s="33"/>
      <c r="E962" s="34"/>
      <c r="F962" s="34"/>
      <c r="G962" s="35"/>
      <c r="H962" s="34"/>
      <c r="I962" s="37"/>
    </row>
    <row r="963" ht="22.5" customHeight="1">
      <c r="A963" s="30"/>
      <c r="B963" s="31"/>
      <c r="C963" s="32"/>
      <c r="D963" s="33"/>
      <c r="E963" s="34"/>
      <c r="F963" s="34"/>
      <c r="G963" s="35"/>
      <c r="H963" s="34"/>
      <c r="I963" s="37"/>
    </row>
    <row r="964" ht="22.5" customHeight="1">
      <c r="A964" s="30"/>
      <c r="B964" s="31"/>
      <c r="C964" s="32"/>
      <c r="D964" s="33"/>
      <c r="E964" s="34"/>
      <c r="F964" s="34"/>
      <c r="G964" s="35"/>
      <c r="H964" s="34"/>
      <c r="I964" s="37"/>
    </row>
    <row r="965" ht="22.5" customHeight="1">
      <c r="A965" s="30"/>
      <c r="B965" s="40"/>
      <c r="C965" s="32"/>
      <c r="D965" s="33"/>
      <c r="E965" s="34"/>
      <c r="F965" s="34"/>
      <c r="G965" s="35"/>
      <c r="H965" s="34"/>
      <c r="I965" s="37"/>
    </row>
    <row r="966" ht="22.5" customHeight="1">
      <c r="A966" s="30"/>
      <c r="B966" s="31"/>
      <c r="C966" s="32"/>
      <c r="D966" s="33"/>
      <c r="E966" s="34"/>
      <c r="F966" s="34"/>
      <c r="G966" s="35"/>
      <c r="H966" s="34"/>
      <c r="I966" s="37"/>
    </row>
    <row r="967" ht="22.5" customHeight="1">
      <c r="A967" s="30"/>
      <c r="B967" s="40"/>
      <c r="C967" s="32"/>
      <c r="D967" s="33"/>
      <c r="E967" s="34"/>
      <c r="F967" s="34"/>
      <c r="G967" s="35"/>
      <c r="H967" s="34"/>
      <c r="I967" s="37"/>
    </row>
    <row r="968" ht="22.5" customHeight="1">
      <c r="A968" s="30"/>
      <c r="B968" s="31"/>
      <c r="C968" s="32"/>
      <c r="D968" s="33"/>
      <c r="E968" s="34"/>
      <c r="F968" s="34"/>
      <c r="G968" s="35"/>
      <c r="H968" s="34"/>
      <c r="I968" s="37"/>
    </row>
    <row r="969" ht="22.5" customHeight="1">
      <c r="A969" s="30"/>
      <c r="B969" s="31"/>
      <c r="C969" s="32"/>
      <c r="D969" s="33"/>
      <c r="E969" s="34"/>
      <c r="F969" s="34"/>
      <c r="G969" s="35"/>
      <c r="H969" s="34"/>
      <c r="I969" s="37"/>
    </row>
    <row r="970" ht="22.5" customHeight="1">
      <c r="A970" s="30"/>
      <c r="B970" s="31"/>
      <c r="C970" s="32"/>
      <c r="D970" s="33"/>
      <c r="E970" s="34"/>
      <c r="F970" s="34"/>
      <c r="G970" s="35"/>
      <c r="H970" s="34"/>
      <c r="I970" s="37"/>
    </row>
    <row r="971" ht="22.5" customHeight="1">
      <c r="A971" s="30"/>
      <c r="B971" s="31"/>
      <c r="C971" s="32"/>
      <c r="D971" s="33"/>
      <c r="E971" s="34"/>
      <c r="F971" s="34"/>
      <c r="G971" s="35"/>
      <c r="H971" s="34"/>
      <c r="I971" s="37"/>
    </row>
    <row r="972" ht="22.5" customHeight="1">
      <c r="A972" s="30"/>
      <c r="B972" s="40"/>
      <c r="C972" s="32"/>
      <c r="D972" s="33"/>
      <c r="E972" s="34"/>
      <c r="F972" s="34"/>
      <c r="G972" s="35"/>
      <c r="H972" s="34"/>
      <c r="I972" s="37"/>
    </row>
    <row r="973" ht="22.5" customHeight="1">
      <c r="A973" s="30"/>
      <c r="B973" s="31"/>
      <c r="C973" s="32"/>
      <c r="D973" s="33"/>
      <c r="E973" s="34"/>
      <c r="F973" s="34"/>
      <c r="G973" s="35"/>
      <c r="H973" s="34"/>
      <c r="I973" s="37"/>
    </row>
    <row r="974" ht="22.5" customHeight="1">
      <c r="A974" s="30"/>
      <c r="B974" s="31"/>
      <c r="C974" s="32"/>
      <c r="D974" s="33"/>
      <c r="E974" s="34"/>
      <c r="F974" s="34"/>
      <c r="G974" s="35"/>
      <c r="H974" s="34"/>
      <c r="I974" s="37"/>
    </row>
    <row r="975" ht="22.5" customHeight="1">
      <c r="A975" s="30"/>
      <c r="B975" s="31"/>
      <c r="C975" s="32"/>
      <c r="D975" s="33"/>
      <c r="E975" s="34"/>
      <c r="F975" s="34"/>
      <c r="G975" s="35"/>
      <c r="H975" s="34"/>
      <c r="I975" s="37"/>
    </row>
    <row r="976" ht="22.5" customHeight="1">
      <c r="A976" s="30"/>
      <c r="B976" s="31"/>
      <c r="C976" s="32"/>
      <c r="D976" s="33"/>
      <c r="E976" s="34"/>
      <c r="F976" s="34"/>
      <c r="G976" s="35"/>
      <c r="H976" s="34"/>
      <c r="I976" s="37"/>
    </row>
    <row r="977" ht="22.5" customHeight="1">
      <c r="A977" s="30"/>
      <c r="B977" s="31"/>
      <c r="C977" s="32"/>
      <c r="D977" s="33"/>
      <c r="E977" s="34"/>
      <c r="F977" s="34"/>
      <c r="G977" s="35"/>
      <c r="H977" s="34"/>
      <c r="I977" s="37"/>
    </row>
    <row r="978" ht="22.5" customHeight="1">
      <c r="A978" s="30"/>
      <c r="B978" s="31"/>
      <c r="C978" s="32"/>
      <c r="D978" s="33"/>
      <c r="E978" s="34"/>
      <c r="F978" s="34"/>
      <c r="G978" s="35"/>
      <c r="H978" s="34"/>
      <c r="I978" s="37"/>
    </row>
    <row r="979" ht="22.5" customHeight="1">
      <c r="A979" s="30"/>
      <c r="B979" s="31"/>
      <c r="C979" s="32"/>
      <c r="D979" s="33"/>
      <c r="E979" s="34"/>
      <c r="F979" s="34"/>
      <c r="G979" s="35"/>
      <c r="H979" s="34"/>
      <c r="I979" s="37"/>
    </row>
    <row r="980" ht="22.5" customHeight="1">
      <c r="A980" s="30"/>
      <c r="B980" s="31"/>
      <c r="C980" s="32"/>
      <c r="D980" s="33"/>
      <c r="E980" s="34"/>
      <c r="F980" s="34"/>
      <c r="G980" s="35"/>
      <c r="H980" s="34"/>
      <c r="I980" s="37"/>
    </row>
    <row r="981" ht="22.5" customHeight="1">
      <c r="A981" s="30"/>
      <c r="B981" s="31"/>
      <c r="C981" s="32"/>
      <c r="D981" s="33"/>
      <c r="E981" s="34"/>
      <c r="F981" s="34"/>
      <c r="G981" s="35"/>
      <c r="H981" s="34"/>
      <c r="I981" s="37"/>
    </row>
    <row r="982" ht="22.5" customHeight="1">
      <c r="A982" s="30"/>
      <c r="B982" s="31"/>
      <c r="C982" s="32"/>
      <c r="D982" s="33"/>
      <c r="E982" s="34"/>
      <c r="F982" s="34"/>
      <c r="G982" s="35"/>
      <c r="H982" s="34"/>
      <c r="I982" s="37"/>
    </row>
    <row r="983" ht="22.5" customHeight="1">
      <c r="A983" s="30"/>
      <c r="B983" s="31"/>
      <c r="C983" s="32"/>
      <c r="D983" s="33"/>
      <c r="E983" s="34"/>
      <c r="F983" s="34"/>
      <c r="G983" s="35"/>
      <c r="H983" s="34"/>
      <c r="I983" s="37"/>
    </row>
    <row r="984" ht="22.5" customHeight="1">
      <c r="A984" s="30"/>
      <c r="B984" s="31"/>
      <c r="C984" s="32"/>
      <c r="D984" s="33"/>
      <c r="E984" s="34"/>
      <c r="F984" s="34"/>
      <c r="G984" s="35"/>
      <c r="H984" s="34"/>
      <c r="I984" s="37"/>
    </row>
    <row r="985" ht="22.5" customHeight="1">
      <c r="A985" s="30"/>
      <c r="B985" s="31"/>
      <c r="C985" s="32"/>
      <c r="D985" s="33"/>
      <c r="E985" s="34"/>
      <c r="F985" s="34"/>
      <c r="G985" s="35"/>
      <c r="H985" s="34"/>
      <c r="I985" s="37"/>
    </row>
    <row r="986" ht="22.5" customHeight="1">
      <c r="A986" s="30"/>
      <c r="B986" s="31"/>
      <c r="C986" s="32"/>
      <c r="D986" s="33"/>
      <c r="E986" s="34"/>
      <c r="F986" s="34"/>
      <c r="G986" s="35"/>
      <c r="H986" s="34"/>
      <c r="I986" s="37"/>
    </row>
    <row r="987" ht="22.5" customHeight="1">
      <c r="A987" s="30"/>
      <c r="B987" s="31"/>
      <c r="C987" s="32"/>
      <c r="D987" s="33"/>
      <c r="E987" s="34"/>
      <c r="F987" s="34"/>
      <c r="G987" s="35"/>
      <c r="H987" s="34"/>
      <c r="I987" s="37"/>
    </row>
    <row r="988" ht="22.5" customHeight="1">
      <c r="A988" s="30"/>
      <c r="B988" s="31"/>
      <c r="C988" s="32"/>
      <c r="D988" s="33"/>
      <c r="E988" s="34"/>
      <c r="F988" s="34"/>
      <c r="G988" s="35"/>
      <c r="H988" s="34"/>
      <c r="I988" s="37"/>
    </row>
    <row r="989" ht="22.5" customHeight="1">
      <c r="A989" s="30"/>
      <c r="B989" s="31"/>
      <c r="C989" s="32"/>
      <c r="D989" s="33"/>
      <c r="E989" s="34"/>
      <c r="F989" s="34"/>
      <c r="G989" s="35"/>
      <c r="H989" s="34"/>
      <c r="I989" s="37"/>
    </row>
    <row r="990" ht="22.5" customHeight="1">
      <c r="A990" s="30"/>
      <c r="B990" s="31"/>
      <c r="C990" s="32"/>
      <c r="D990" s="33"/>
      <c r="E990" s="34"/>
      <c r="F990" s="34"/>
      <c r="G990" s="35"/>
      <c r="H990" s="34"/>
      <c r="I990" s="37"/>
    </row>
    <row r="991" ht="22.5" customHeight="1">
      <c r="A991" s="30"/>
      <c r="B991" s="31"/>
      <c r="C991" s="32"/>
      <c r="D991" s="33"/>
      <c r="E991" s="34"/>
      <c r="F991" s="34"/>
      <c r="G991" s="35"/>
      <c r="H991" s="34"/>
      <c r="I991" s="37"/>
    </row>
    <row r="992" ht="22.5" customHeight="1">
      <c r="A992" s="30"/>
      <c r="B992" s="31"/>
      <c r="C992" s="32"/>
      <c r="D992" s="33"/>
      <c r="E992" s="34"/>
      <c r="F992" s="34"/>
      <c r="G992" s="35"/>
      <c r="H992" s="34"/>
      <c r="I992" s="37"/>
    </row>
    <row r="993" ht="22.5" customHeight="1">
      <c r="A993" s="30"/>
      <c r="B993" s="31"/>
      <c r="C993" s="32"/>
      <c r="D993" s="33"/>
      <c r="E993" s="34"/>
      <c r="F993" s="34"/>
      <c r="G993" s="35"/>
      <c r="H993" s="34"/>
      <c r="I993" s="37"/>
    </row>
    <row r="994" ht="22.5" customHeight="1">
      <c r="A994" s="30"/>
      <c r="B994" s="40"/>
      <c r="C994" s="32"/>
      <c r="D994" s="33"/>
      <c r="E994" s="34"/>
      <c r="F994" s="34"/>
      <c r="G994" s="35"/>
      <c r="H994" s="34"/>
      <c r="I994" s="37"/>
    </row>
    <row r="995" ht="22.5" customHeight="1">
      <c r="A995" s="30"/>
      <c r="B995" s="31"/>
      <c r="C995" s="32"/>
      <c r="D995" s="33"/>
      <c r="E995" s="34"/>
      <c r="F995" s="34"/>
      <c r="G995" s="35"/>
      <c r="H995" s="34"/>
      <c r="I995" s="37"/>
    </row>
    <row r="996" ht="22.5" customHeight="1">
      <c r="A996" s="30"/>
      <c r="B996" s="31"/>
      <c r="C996" s="32"/>
      <c r="D996" s="33"/>
      <c r="E996" s="34"/>
      <c r="F996" s="34"/>
      <c r="G996" s="35"/>
      <c r="H996" s="34"/>
      <c r="I996" s="37"/>
    </row>
    <row r="997" ht="22.5" customHeight="1">
      <c r="A997" s="30"/>
      <c r="B997" s="31"/>
      <c r="C997" s="32"/>
      <c r="D997" s="33"/>
      <c r="E997" s="34"/>
      <c r="F997" s="34"/>
      <c r="G997" s="35"/>
      <c r="H997" s="34"/>
      <c r="I997" s="37"/>
    </row>
    <row r="998" ht="22.5" customHeight="1">
      <c r="A998" s="30"/>
      <c r="B998" s="31"/>
      <c r="C998" s="32"/>
      <c r="D998" s="33"/>
      <c r="E998" s="34"/>
      <c r="F998" s="34"/>
      <c r="G998" s="35"/>
      <c r="H998" s="34"/>
      <c r="I998" s="38"/>
    </row>
    <row r="999" ht="22.5" customHeight="1">
      <c r="A999" s="30"/>
      <c r="B999" s="39"/>
      <c r="C999" s="32"/>
      <c r="D999" s="33"/>
      <c r="E999" s="34"/>
      <c r="F999" s="34"/>
      <c r="G999" s="35"/>
      <c r="H999" s="34"/>
      <c r="I999" s="37"/>
    </row>
    <row r="1000" ht="22.5" customHeight="1">
      <c r="A1000" s="30"/>
      <c r="B1000" s="31"/>
      <c r="C1000" s="32"/>
      <c r="D1000" s="33"/>
      <c r="E1000" s="34"/>
      <c r="F1000" s="34"/>
      <c r="G1000" s="35"/>
      <c r="H1000" s="34"/>
      <c r="I1000" s="37"/>
    </row>
    <row r="1001" ht="22.5" customHeight="1">
      <c r="A1001" s="30"/>
      <c r="B1001" s="31"/>
      <c r="C1001" s="32"/>
      <c r="D1001" s="33"/>
      <c r="E1001" s="34"/>
      <c r="F1001" s="34"/>
      <c r="G1001" s="35"/>
      <c r="H1001" s="34"/>
      <c r="I1001" s="37"/>
    </row>
    <row r="1002" ht="22.5" customHeight="1">
      <c r="A1002" s="30"/>
      <c r="B1002" s="31"/>
      <c r="C1002" s="32"/>
      <c r="D1002" s="33"/>
      <c r="E1002" s="34"/>
      <c r="F1002" s="34"/>
      <c r="G1002" s="35"/>
      <c r="H1002" s="34"/>
      <c r="I1002" s="37"/>
    </row>
    <row r="1003" ht="22.5" customHeight="1">
      <c r="A1003" s="30"/>
      <c r="B1003" s="39"/>
      <c r="C1003" s="32"/>
      <c r="D1003" s="33"/>
      <c r="E1003" s="34"/>
      <c r="F1003" s="34"/>
      <c r="G1003" s="35"/>
      <c r="H1003" s="34"/>
      <c r="I1003" s="37"/>
    </row>
    <row r="1004" ht="22.5" customHeight="1">
      <c r="A1004" s="30"/>
      <c r="B1004" s="31"/>
      <c r="C1004" s="32"/>
      <c r="D1004" s="33"/>
      <c r="E1004" s="34"/>
      <c r="F1004" s="34"/>
      <c r="G1004" s="35"/>
      <c r="H1004" s="34"/>
      <c r="I1004" s="37"/>
    </row>
    <row r="1005" ht="22.5" customHeight="1">
      <c r="A1005" s="30"/>
      <c r="B1005" s="39"/>
      <c r="C1005" s="32"/>
      <c r="D1005" s="33"/>
      <c r="E1005" s="34"/>
      <c r="F1005" s="34"/>
      <c r="G1005" s="35"/>
      <c r="H1005" s="34"/>
      <c r="I1005" s="37"/>
    </row>
    <row r="1006" ht="22.5" customHeight="1">
      <c r="A1006" s="30"/>
      <c r="B1006" s="31"/>
      <c r="C1006" s="32"/>
      <c r="D1006" s="33"/>
      <c r="E1006" s="34"/>
      <c r="F1006" s="34"/>
      <c r="G1006" s="35"/>
      <c r="H1006" s="34"/>
      <c r="I1006" s="37"/>
    </row>
    <row r="1007" ht="22.5" customHeight="1">
      <c r="A1007" s="30"/>
      <c r="B1007" s="31"/>
      <c r="C1007" s="32"/>
      <c r="D1007" s="33"/>
      <c r="E1007" s="34"/>
      <c r="F1007" s="34"/>
      <c r="G1007" s="35"/>
      <c r="H1007" s="34"/>
      <c r="I1007" s="37"/>
    </row>
    <row r="1008" ht="22.5" customHeight="1">
      <c r="A1008" s="30"/>
      <c r="B1008" s="31"/>
      <c r="C1008" s="32"/>
      <c r="D1008" s="33"/>
      <c r="E1008" s="34"/>
      <c r="F1008" s="34"/>
      <c r="G1008" s="35"/>
      <c r="H1008" s="34"/>
      <c r="I1008" s="37"/>
    </row>
    <row r="1009" ht="22.5" customHeight="1">
      <c r="A1009" s="30"/>
      <c r="B1009" s="31"/>
      <c r="C1009" s="32"/>
      <c r="D1009" s="33"/>
      <c r="E1009" s="34"/>
      <c r="F1009" s="34"/>
      <c r="G1009" s="35"/>
      <c r="H1009" s="34"/>
      <c r="I1009" s="37"/>
    </row>
    <row r="1010" ht="22.5" customHeight="1">
      <c r="A1010" s="30"/>
      <c r="B1010" s="31"/>
      <c r="C1010" s="32"/>
      <c r="D1010" s="33"/>
      <c r="E1010" s="34"/>
      <c r="F1010" s="34"/>
      <c r="G1010" s="35"/>
      <c r="H1010" s="34"/>
      <c r="I1010" s="37"/>
    </row>
    <row r="1011" ht="22.5" customHeight="1">
      <c r="A1011" s="30"/>
      <c r="B1011" s="31"/>
      <c r="C1011" s="32"/>
      <c r="D1011" s="33"/>
      <c r="E1011" s="34"/>
      <c r="F1011" s="34"/>
      <c r="G1011" s="35"/>
      <c r="H1011" s="34"/>
      <c r="I1011" s="37"/>
    </row>
    <row r="1012" ht="22.5" customHeight="1">
      <c r="A1012" s="30"/>
      <c r="B1012" s="31"/>
      <c r="C1012" s="32"/>
      <c r="D1012" s="33"/>
      <c r="E1012" s="34"/>
      <c r="F1012" s="34"/>
      <c r="G1012" s="35"/>
      <c r="H1012" s="34"/>
      <c r="I1012" s="37"/>
    </row>
    <row r="1013" ht="22.5" customHeight="1">
      <c r="A1013" s="30"/>
      <c r="B1013" s="31"/>
      <c r="C1013" s="32"/>
      <c r="D1013" s="33"/>
      <c r="E1013" s="34"/>
      <c r="F1013" s="34"/>
      <c r="G1013" s="35"/>
      <c r="H1013" s="34"/>
      <c r="I1013" s="37"/>
    </row>
    <row r="1014" ht="22.5" customHeight="1">
      <c r="A1014" s="30"/>
      <c r="B1014" s="31"/>
      <c r="C1014" s="32"/>
      <c r="D1014" s="33"/>
      <c r="E1014" s="34"/>
      <c r="F1014" s="34"/>
      <c r="G1014" s="35"/>
      <c r="H1014" s="34"/>
      <c r="I1014" s="37"/>
    </row>
    <row r="1015" ht="22.5" customHeight="1">
      <c r="A1015" s="30"/>
      <c r="B1015" s="31"/>
      <c r="C1015" s="32"/>
      <c r="D1015" s="33"/>
      <c r="E1015" s="34"/>
      <c r="F1015" s="34"/>
      <c r="G1015" s="35"/>
      <c r="H1015" s="34"/>
      <c r="I1015" s="37"/>
    </row>
    <row r="1016" ht="22.5" customHeight="1">
      <c r="A1016" s="30"/>
      <c r="B1016" s="40"/>
      <c r="C1016" s="32"/>
      <c r="D1016" s="33"/>
      <c r="E1016" s="34"/>
      <c r="F1016" s="34"/>
      <c r="G1016" s="35"/>
      <c r="H1016" s="34"/>
      <c r="I1016" s="37"/>
    </row>
    <row r="1017" ht="22.5" customHeight="1">
      <c r="A1017" s="30"/>
      <c r="B1017" s="31"/>
      <c r="C1017" s="32"/>
      <c r="D1017" s="33"/>
      <c r="E1017" s="34"/>
      <c r="F1017" s="34"/>
      <c r="G1017" s="35"/>
      <c r="H1017" s="34"/>
      <c r="I1017" s="37"/>
    </row>
    <row r="1018" ht="22.5" customHeight="1">
      <c r="A1018" s="30"/>
      <c r="B1018" s="31"/>
      <c r="C1018" s="32"/>
      <c r="D1018" s="33"/>
      <c r="E1018" s="34"/>
      <c r="F1018" s="34"/>
      <c r="G1018" s="35"/>
      <c r="H1018" s="34"/>
      <c r="I1018" s="37"/>
    </row>
    <row r="1019" ht="22.5" customHeight="1">
      <c r="A1019" s="30"/>
      <c r="B1019" s="31"/>
      <c r="C1019" s="32"/>
      <c r="D1019" s="33"/>
      <c r="E1019" s="34"/>
      <c r="F1019" s="34"/>
      <c r="G1019" s="35"/>
      <c r="H1019" s="34"/>
      <c r="I1019" s="37"/>
    </row>
    <row r="1020" ht="22.5" customHeight="1">
      <c r="A1020" s="30"/>
      <c r="B1020" s="31"/>
      <c r="C1020" s="32"/>
      <c r="D1020" s="33"/>
      <c r="E1020" s="34"/>
      <c r="F1020" s="34"/>
      <c r="G1020" s="35"/>
      <c r="H1020" s="34"/>
      <c r="I1020" s="37"/>
    </row>
    <row r="1021" ht="22.5" customHeight="1">
      <c r="A1021" s="30"/>
      <c r="B1021" s="31"/>
      <c r="C1021" s="32"/>
      <c r="D1021" s="33"/>
      <c r="E1021" s="34"/>
      <c r="F1021" s="34"/>
      <c r="G1021" s="35"/>
      <c r="H1021" s="34"/>
      <c r="I1021" s="37"/>
    </row>
    <row r="1022" ht="22.5" customHeight="1">
      <c r="A1022" s="30"/>
      <c r="B1022" s="31"/>
      <c r="C1022" s="32"/>
      <c r="D1022" s="33"/>
      <c r="E1022" s="34"/>
      <c r="F1022" s="34"/>
      <c r="G1022" s="35"/>
      <c r="H1022" s="34"/>
      <c r="I1022" s="37"/>
    </row>
    <row r="1023" ht="22.5" customHeight="1">
      <c r="A1023" s="30"/>
      <c r="B1023" s="39"/>
      <c r="C1023" s="32"/>
      <c r="D1023" s="33"/>
      <c r="E1023" s="34"/>
      <c r="F1023" s="34"/>
      <c r="G1023" s="35"/>
      <c r="H1023" s="34"/>
      <c r="I1023" s="37"/>
    </row>
    <row r="1024" ht="22.5" customHeight="1">
      <c r="A1024" s="30"/>
      <c r="B1024" s="39"/>
      <c r="C1024" s="32"/>
      <c r="D1024" s="33"/>
      <c r="E1024" s="34"/>
      <c r="F1024" s="34"/>
      <c r="G1024" s="35"/>
      <c r="H1024" s="34"/>
      <c r="I1024" s="37"/>
    </row>
    <row r="1025" ht="22.5" customHeight="1">
      <c r="A1025" s="30"/>
      <c r="B1025" s="39"/>
      <c r="C1025" s="32"/>
      <c r="D1025" s="33"/>
      <c r="E1025" s="34"/>
      <c r="F1025" s="34"/>
      <c r="G1025" s="35"/>
      <c r="H1025" s="34"/>
      <c r="I1025" s="37"/>
    </row>
    <row r="1026" ht="22.5" customHeight="1">
      <c r="A1026" s="30"/>
      <c r="B1026" s="40"/>
      <c r="C1026" s="32"/>
      <c r="D1026" s="33"/>
      <c r="E1026" s="34"/>
      <c r="F1026" s="34"/>
      <c r="G1026" s="35"/>
      <c r="H1026" s="34"/>
      <c r="I1026" s="37"/>
    </row>
    <row r="1027" ht="22.5" customHeight="1">
      <c r="A1027" s="30"/>
      <c r="B1027" s="31"/>
      <c r="C1027" s="32"/>
      <c r="D1027" s="33"/>
      <c r="E1027" s="34"/>
      <c r="F1027" s="34"/>
      <c r="G1027" s="35"/>
      <c r="H1027" s="34"/>
      <c r="I1027" s="37"/>
    </row>
    <row r="1028" ht="22.5" customHeight="1">
      <c r="A1028" s="30"/>
      <c r="B1028" s="31"/>
      <c r="C1028" s="32"/>
      <c r="D1028" s="33"/>
      <c r="E1028" s="34"/>
      <c r="F1028" s="34"/>
      <c r="G1028" s="35"/>
      <c r="H1028" s="34"/>
      <c r="I1028" s="37"/>
    </row>
    <row r="1029" ht="22.5" customHeight="1">
      <c r="A1029" s="30"/>
      <c r="B1029" s="31"/>
      <c r="C1029" s="32"/>
      <c r="D1029" s="33"/>
      <c r="E1029" s="34"/>
      <c r="F1029" s="34"/>
      <c r="G1029" s="35"/>
      <c r="H1029" s="34"/>
      <c r="I1029" s="37"/>
    </row>
    <row r="1030" ht="22.5" customHeight="1">
      <c r="A1030" s="30"/>
      <c r="B1030" s="31"/>
      <c r="C1030" s="32"/>
      <c r="D1030" s="33"/>
      <c r="E1030" s="34"/>
      <c r="F1030" s="34"/>
      <c r="G1030" s="35"/>
      <c r="H1030" s="34"/>
      <c r="I1030" s="37"/>
    </row>
    <row r="1031" ht="22.5" customHeight="1">
      <c r="A1031" s="30"/>
      <c r="B1031" s="31"/>
      <c r="C1031" s="32"/>
      <c r="D1031" s="33"/>
      <c r="E1031" s="34"/>
      <c r="F1031" s="34"/>
      <c r="G1031" s="35"/>
      <c r="H1031" s="34"/>
      <c r="I1031" s="37"/>
    </row>
    <row r="1032" ht="22.5" customHeight="1">
      <c r="A1032" s="30"/>
      <c r="B1032" s="31"/>
      <c r="C1032" s="32"/>
      <c r="D1032" s="33"/>
      <c r="E1032" s="34"/>
      <c r="F1032" s="34"/>
      <c r="G1032" s="35"/>
      <c r="H1032" s="34"/>
      <c r="I1032" s="37"/>
    </row>
    <row r="1033" ht="22.5" customHeight="1">
      <c r="A1033" s="30"/>
      <c r="B1033" s="31"/>
      <c r="C1033" s="32"/>
      <c r="D1033" s="33"/>
      <c r="E1033" s="34"/>
      <c r="F1033" s="34"/>
      <c r="G1033" s="35"/>
      <c r="H1033" s="34"/>
      <c r="I1033" s="37"/>
    </row>
    <row r="1034" ht="22.5" customHeight="1">
      <c r="A1034" s="30"/>
      <c r="B1034" s="31"/>
      <c r="C1034" s="32"/>
      <c r="D1034" s="33"/>
      <c r="E1034" s="34"/>
      <c r="F1034" s="34"/>
      <c r="G1034" s="35"/>
      <c r="H1034" s="34"/>
      <c r="I1034" s="37"/>
    </row>
    <row r="1035" ht="22.5" customHeight="1">
      <c r="A1035" s="30"/>
      <c r="B1035" s="31"/>
      <c r="C1035" s="32"/>
      <c r="D1035" s="33"/>
      <c r="E1035" s="34"/>
      <c r="F1035" s="34"/>
      <c r="G1035" s="35"/>
      <c r="H1035" s="34"/>
      <c r="I1035" s="37"/>
    </row>
    <row r="1036" ht="22.5" customHeight="1">
      <c r="A1036" s="30"/>
      <c r="B1036" s="40"/>
      <c r="C1036" s="32"/>
      <c r="D1036" s="33"/>
      <c r="E1036" s="34"/>
      <c r="F1036" s="34"/>
      <c r="G1036" s="35"/>
      <c r="H1036" s="34"/>
      <c r="I1036" s="37"/>
    </row>
    <row r="1037" ht="22.5" customHeight="1">
      <c r="A1037" s="30"/>
      <c r="B1037" s="31"/>
      <c r="C1037" s="32"/>
      <c r="D1037" s="33"/>
      <c r="E1037" s="34"/>
      <c r="F1037" s="34"/>
      <c r="G1037" s="35"/>
      <c r="H1037" s="34"/>
      <c r="I1037" s="37"/>
    </row>
    <row r="1038" ht="22.5" customHeight="1">
      <c r="A1038" s="30"/>
      <c r="B1038" s="31"/>
      <c r="C1038" s="32"/>
      <c r="D1038" s="33"/>
      <c r="E1038" s="34"/>
      <c r="F1038" s="34"/>
      <c r="G1038" s="35"/>
      <c r="H1038" s="34"/>
      <c r="I1038" s="37"/>
    </row>
    <row r="1039" ht="22.5" customHeight="1">
      <c r="A1039" s="30"/>
      <c r="B1039" s="31"/>
      <c r="C1039" s="32"/>
      <c r="D1039" s="33"/>
      <c r="E1039" s="34"/>
      <c r="F1039" s="34"/>
      <c r="G1039" s="35"/>
      <c r="H1039" s="34"/>
      <c r="I1039" s="37"/>
    </row>
    <row r="1040" ht="22.5" customHeight="1">
      <c r="A1040" s="30"/>
      <c r="B1040" s="40"/>
      <c r="C1040" s="32"/>
      <c r="D1040" s="33"/>
      <c r="E1040" s="34"/>
      <c r="F1040" s="34"/>
      <c r="G1040" s="35"/>
      <c r="H1040" s="34"/>
      <c r="I1040" s="37"/>
    </row>
    <row r="1041" ht="22.5" customHeight="1">
      <c r="A1041" s="30"/>
      <c r="B1041" s="31"/>
      <c r="C1041" s="32"/>
      <c r="D1041" s="33"/>
      <c r="E1041" s="34"/>
      <c r="F1041" s="34"/>
      <c r="G1041" s="35"/>
      <c r="H1041" s="34"/>
      <c r="I1041" s="37"/>
    </row>
    <row r="1042" ht="22.5" customHeight="1">
      <c r="A1042" s="30"/>
      <c r="B1042" s="31"/>
      <c r="C1042" s="32"/>
      <c r="D1042" s="33"/>
      <c r="E1042" s="34"/>
      <c r="F1042" s="34"/>
      <c r="G1042" s="35"/>
      <c r="H1042" s="34"/>
      <c r="I1042" s="37"/>
    </row>
    <row r="1043" ht="22.5" customHeight="1">
      <c r="A1043" s="30"/>
      <c r="B1043" s="31"/>
      <c r="C1043" s="32"/>
      <c r="D1043" s="33"/>
      <c r="E1043" s="34"/>
      <c r="F1043" s="34"/>
      <c r="G1043" s="35"/>
      <c r="H1043" s="34"/>
      <c r="I1043" s="37"/>
    </row>
    <row r="1044" ht="22.5" customHeight="1">
      <c r="A1044" s="30"/>
      <c r="B1044" s="31"/>
      <c r="C1044" s="32"/>
      <c r="D1044" s="33"/>
      <c r="E1044" s="34"/>
      <c r="F1044" s="34"/>
      <c r="G1044" s="35"/>
      <c r="H1044" s="34"/>
      <c r="I1044" s="37"/>
    </row>
    <row r="1045" ht="22.5" customHeight="1">
      <c r="A1045" s="30"/>
      <c r="B1045" s="31"/>
      <c r="C1045" s="32"/>
      <c r="D1045" s="33"/>
      <c r="E1045" s="34"/>
      <c r="F1045" s="34"/>
      <c r="G1045" s="35"/>
      <c r="H1045" s="34"/>
      <c r="I1045" s="37"/>
    </row>
    <row r="1046" ht="22.5" customHeight="1">
      <c r="A1046" s="30"/>
      <c r="B1046" s="31"/>
      <c r="C1046" s="32"/>
      <c r="D1046" s="33"/>
      <c r="E1046" s="34"/>
      <c r="F1046" s="34"/>
      <c r="G1046" s="35"/>
      <c r="H1046" s="34"/>
      <c r="I1046" s="37"/>
    </row>
    <row r="1047" ht="22.5" customHeight="1">
      <c r="A1047" s="30"/>
      <c r="B1047" s="31"/>
      <c r="C1047" s="32"/>
      <c r="D1047" s="33"/>
      <c r="E1047" s="34"/>
      <c r="F1047" s="34"/>
      <c r="G1047" s="35"/>
      <c r="H1047" s="34"/>
      <c r="I1047" s="37"/>
    </row>
    <row r="1048" ht="22.5" customHeight="1">
      <c r="A1048" s="30"/>
      <c r="B1048" s="31"/>
      <c r="C1048" s="32"/>
      <c r="D1048" s="33"/>
      <c r="E1048" s="34"/>
      <c r="F1048" s="34"/>
      <c r="G1048" s="35"/>
      <c r="H1048" s="34"/>
      <c r="I1048" s="37"/>
    </row>
    <row r="1049" ht="22.5" customHeight="1">
      <c r="A1049" s="30"/>
      <c r="B1049" s="31"/>
      <c r="C1049" s="32"/>
      <c r="D1049" s="33"/>
      <c r="E1049" s="34"/>
      <c r="F1049" s="34"/>
      <c r="G1049" s="35"/>
      <c r="H1049" s="34"/>
      <c r="I1049" s="37"/>
    </row>
    <row r="1050" ht="22.5" customHeight="1">
      <c r="A1050" s="30"/>
      <c r="B1050" s="31"/>
      <c r="C1050" s="32"/>
      <c r="D1050" s="33"/>
      <c r="E1050" s="34"/>
      <c r="F1050" s="34"/>
      <c r="G1050" s="35"/>
      <c r="H1050" s="34"/>
      <c r="I1050" s="37"/>
    </row>
    <row r="1051" ht="22.5" customHeight="1">
      <c r="A1051" s="30"/>
      <c r="B1051" s="31"/>
      <c r="C1051" s="32"/>
      <c r="D1051" s="33"/>
      <c r="E1051" s="34"/>
      <c r="F1051" s="34"/>
      <c r="G1051" s="35"/>
      <c r="H1051" s="34"/>
      <c r="I1051" s="37"/>
    </row>
    <row r="1052" ht="22.5" customHeight="1">
      <c r="A1052" s="30"/>
      <c r="B1052" s="31"/>
      <c r="C1052" s="32"/>
      <c r="D1052" s="33"/>
      <c r="E1052" s="34"/>
      <c r="F1052" s="34"/>
      <c r="G1052" s="35"/>
      <c r="H1052" s="34"/>
      <c r="I1052" s="37"/>
    </row>
    <row r="1053" ht="22.5" customHeight="1">
      <c r="A1053" s="30"/>
      <c r="B1053" s="31"/>
      <c r="C1053" s="32"/>
      <c r="D1053" s="33"/>
      <c r="E1053" s="34"/>
      <c r="F1053" s="34"/>
      <c r="G1053" s="35"/>
      <c r="H1053" s="34"/>
      <c r="I1053" s="37"/>
    </row>
    <row r="1054" ht="22.5" customHeight="1">
      <c r="A1054" s="30"/>
      <c r="B1054" s="31"/>
      <c r="C1054" s="32"/>
      <c r="D1054" s="33"/>
      <c r="E1054" s="34"/>
      <c r="F1054" s="34"/>
      <c r="G1054" s="35"/>
      <c r="H1054" s="34"/>
      <c r="I1054" s="37"/>
    </row>
    <row r="1055" ht="22.5" customHeight="1">
      <c r="A1055" s="30"/>
      <c r="B1055" s="40"/>
      <c r="C1055" s="32"/>
      <c r="D1055" s="33"/>
      <c r="E1055" s="34"/>
      <c r="F1055" s="34"/>
      <c r="G1055" s="35"/>
      <c r="H1055" s="34"/>
      <c r="I1055" s="37"/>
    </row>
    <row r="1056" ht="22.5" customHeight="1">
      <c r="A1056" s="30"/>
      <c r="B1056" s="31"/>
      <c r="C1056" s="32"/>
      <c r="D1056" s="33"/>
      <c r="E1056" s="34"/>
      <c r="F1056" s="34"/>
      <c r="G1056" s="35"/>
      <c r="H1056" s="34"/>
      <c r="I1056" s="37"/>
    </row>
    <row r="1057" ht="22.5" customHeight="1">
      <c r="A1057" s="30"/>
      <c r="B1057" s="40"/>
      <c r="C1057" s="32"/>
      <c r="D1057" s="33"/>
      <c r="E1057" s="34"/>
      <c r="F1057" s="34"/>
      <c r="G1057" s="35"/>
      <c r="H1057" s="34"/>
      <c r="I1057" s="37"/>
    </row>
    <row r="1058" ht="22.5" customHeight="1">
      <c r="A1058" s="30"/>
      <c r="B1058" s="31"/>
      <c r="C1058" s="32"/>
      <c r="D1058" s="33"/>
      <c r="E1058" s="34"/>
      <c r="F1058" s="34"/>
      <c r="G1058" s="35"/>
      <c r="H1058" s="34"/>
      <c r="I1058" s="37"/>
    </row>
    <row r="1059" ht="22.5" customHeight="1">
      <c r="A1059" s="30"/>
      <c r="B1059" s="31"/>
      <c r="C1059" s="32"/>
      <c r="D1059" s="33"/>
      <c r="E1059" s="34"/>
      <c r="F1059" s="34"/>
      <c r="G1059" s="35"/>
      <c r="H1059" s="34"/>
      <c r="I1059" s="37"/>
    </row>
    <row r="1060" ht="22.5" customHeight="1">
      <c r="A1060" s="30"/>
      <c r="B1060" s="31"/>
      <c r="C1060" s="32"/>
      <c r="D1060" s="33"/>
      <c r="E1060" s="34"/>
      <c r="F1060" s="34"/>
      <c r="G1060" s="35"/>
      <c r="H1060" s="34"/>
      <c r="I1060" s="37"/>
    </row>
    <row r="1061" ht="22.5" customHeight="1">
      <c r="A1061" s="30"/>
      <c r="B1061" s="31"/>
      <c r="C1061" s="32"/>
      <c r="D1061" s="33"/>
      <c r="E1061" s="34"/>
      <c r="F1061" s="34"/>
      <c r="G1061" s="35"/>
      <c r="H1061" s="34"/>
      <c r="I1061" s="37"/>
    </row>
    <row r="1062" ht="22.5" customHeight="1">
      <c r="A1062" s="30"/>
      <c r="B1062" s="40"/>
      <c r="C1062" s="32"/>
      <c r="D1062" s="33"/>
      <c r="E1062" s="34"/>
      <c r="F1062" s="34"/>
      <c r="G1062" s="35"/>
      <c r="H1062" s="34"/>
      <c r="I1062" s="37"/>
    </row>
    <row r="1063" ht="22.5" customHeight="1">
      <c r="A1063" s="30"/>
      <c r="B1063" s="31"/>
      <c r="C1063" s="32"/>
      <c r="D1063" s="33"/>
      <c r="E1063" s="34"/>
      <c r="F1063" s="34"/>
      <c r="G1063" s="35"/>
      <c r="H1063" s="34"/>
      <c r="I1063" s="37"/>
    </row>
    <row r="1064" ht="22.5" customHeight="1">
      <c r="A1064" s="30"/>
      <c r="B1064" s="31"/>
      <c r="C1064" s="32"/>
      <c r="D1064" s="33"/>
      <c r="E1064" s="34"/>
      <c r="F1064" s="34"/>
      <c r="G1064" s="35"/>
      <c r="H1064" s="34"/>
      <c r="I1064" s="37"/>
    </row>
    <row r="1065" ht="22.5" customHeight="1">
      <c r="A1065" s="30"/>
      <c r="B1065" s="31"/>
      <c r="C1065" s="32"/>
      <c r="D1065" s="33"/>
      <c r="E1065" s="34"/>
      <c r="F1065" s="34"/>
      <c r="G1065" s="35"/>
      <c r="H1065" s="34"/>
      <c r="I1065" s="37"/>
    </row>
    <row r="1066" ht="22.5" customHeight="1">
      <c r="A1066" s="30"/>
      <c r="B1066" s="31"/>
      <c r="C1066" s="32"/>
      <c r="D1066" s="33"/>
      <c r="E1066" s="34"/>
      <c r="F1066" s="34"/>
      <c r="G1066" s="35"/>
      <c r="H1066" s="34"/>
      <c r="I1066" s="37"/>
    </row>
    <row r="1067" ht="22.5" customHeight="1">
      <c r="A1067" s="30"/>
      <c r="B1067" s="31"/>
      <c r="C1067" s="32"/>
      <c r="D1067" s="33"/>
      <c r="E1067" s="34"/>
      <c r="F1067" s="34"/>
      <c r="G1067" s="35"/>
      <c r="H1067" s="34"/>
      <c r="I1067" s="37"/>
    </row>
    <row r="1068" ht="22.5" customHeight="1">
      <c r="A1068" s="30"/>
      <c r="B1068" s="31"/>
      <c r="C1068" s="32"/>
      <c r="D1068" s="33"/>
      <c r="E1068" s="34"/>
      <c r="F1068" s="34"/>
      <c r="G1068" s="35"/>
      <c r="H1068" s="34"/>
      <c r="I1068" s="37"/>
    </row>
    <row r="1069" ht="22.5" customHeight="1">
      <c r="A1069" s="30"/>
      <c r="B1069" s="31"/>
      <c r="C1069" s="32"/>
      <c r="D1069" s="33"/>
      <c r="E1069" s="34"/>
      <c r="F1069" s="34"/>
      <c r="G1069" s="35"/>
      <c r="H1069" s="34"/>
      <c r="I1069" s="37"/>
    </row>
    <row r="1070" ht="22.5" customHeight="1">
      <c r="A1070" s="30"/>
      <c r="B1070" s="31"/>
      <c r="C1070" s="32"/>
      <c r="D1070" s="33"/>
      <c r="E1070" s="34"/>
      <c r="F1070" s="34"/>
      <c r="G1070" s="35"/>
      <c r="H1070" s="34"/>
      <c r="I1070" s="37"/>
    </row>
    <row r="1071" ht="22.5" customHeight="1">
      <c r="A1071" s="30"/>
      <c r="B1071" s="31"/>
      <c r="C1071" s="32"/>
      <c r="D1071" s="33"/>
      <c r="E1071" s="34"/>
      <c r="F1071" s="34"/>
      <c r="G1071" s="35"/>
      <c r="H1071" s="34"/>
      <c r="I1071" s="37"/>
    </row>
    <row r="1072" ht="22.5" customHeight="1">
      <c r="A1072" s="30"/>
      <c r="B1072" s="31"/>
      <c r="C1072" s="32"/>
      <c r="D1072" s="33"/>
      <c r="E1072" s="34"/>
      <c r="F1072" s="34"/>
      <c r="G1072" s="35"/>
      <c r="H1072" s="34"/>
      <c r="I1072" s="37"/>
    </row>
    <row r="1073" ht="22.5" customHeight="1">
      <c r="A1073" s="30"/>
      <c r="B1073" s="31"/>
      <c r="C1073" s="32"/>
      <c r="D1073" s="33"/>
      <c r="E1073" s="34"/>
      <c r="F1073" s="34"/>
      <c r="G1073" s="35"/>
      <c r="H1073" s="34"/>
      <c r="I1073" s="37"/>
    </row>
    <row r="1074" ht="22.5" customHeight="1">
      <c r="A1074" s="30"/>
      <c r="B1074" s="31"/>
      <c r="C1074" s="32"/>
      <c r="D1074" s="33"/>
      <c r="E1074" s="34"/>
      <c r="F1074" s="34"/>
      <c r="G1074" s="35"/>
      <c r="H1074" s="34"/>
      <c r="I1074" s="37"/>
    </row>
    <row r="1075" ht="22.5" customHeight="1">
      <c r="A1075" s="30"/>
      <c r="B1075" s="31"/>
      <c r="C1075" s="32"/>
      <c r="D1075" s="33"/>
      <c r="E1075" s="34"/>
      <c r="F1075" s="34"/>
      <c r="G1075" s="35"/>
      <c r="H1075" s="34"/>
      <c r="I1075" s="37"/>
    </row>
    <row r="1076" ht="22.5" customHeight="1">
      <c r="A1076" s="30"/>
      <c r="B1076" s="31"/>
      <c r="C1076" s="32"/>
      <c r="D1076" s="33"/>
      <c r="E1076" s="34"/>
      <c r="F1076" s="34"/>
      <c r="G1076" s="35"/>
      <c r="H1076" s="34"/>
      <c r="I1076" s="37"/>
    </row>
    <row r="1077" ht="22.5" customHeight="1">
      <c r="A1077" s="30"/>
      <c r="B1077" s="31"/>
      <c r="C1077" s="32"/>
      <c r="D1077" s="33"/>
      <c r="E1077" s="34"/>
      <c r="F1077" s="34"/>
      <c r="G1077" s="35"/>
      <c r="H1077" s="34"/>
      <c r="I1077" s="37"/>
    </row>
    <row r="1078" ht="22.5" customHeight="1">
      <c r="A1078" s="30"/>
      <c r="B1078" s="31"/>
      <c r="C1078" s="32"/>
      <c r="D1078" s="33"/>
      <c r="E1078" s="34"/>
      <c r="F1078" s="34"/>
      <c r="G1078" s="35"/>
      <c r="H1078" s="34"/>
      <c r="I1078" s="37"/>
    </row>
    <row r="1079" ht="22.5" customHeight="1">
      <c r="A1079" s="30"/>
      <c r="B1079" s="31"/>
      <c r="C1079" s="32"/>
      <c r="D1079" s="33"/>
      <c r="E1079" s="34"/>
      <c r="F1079" s="34"/>
      <c r="G1079" s="35"/>
      <c r="H1079" s="34"/>
      <c r="I1079" s="37"/>
    </row>
    <row r="1080" ht="22.5" customHeight="1">
      <c r="A1080" s="30"/>
      <c r="B1080" s="31"/>
      <c r="C1080" s="32"/>
      <c r="D1080" s="33"/>
      <c r="E1080" s="34"/>
      <c r="F1080" s="34"/>
      <c r="G1080" s="35"/>
      <c r="H1080" s="34"/>
      <c r="I1080" s="37"/>
    </row>
    <row r="1081" ht="22.5" customHeight="1">
      <c r="A1081" s="30"/>
      <c r="B1081" s="31"/>
      <c r="C1081" s="32"/>
      <c r="D1081" s="33"/>
      <c r="E1081" s="34"/>
      <c r="F1081" s="34"/>
      <c r="G1081" s="35"/>
      <c r="H1081" s="34"/>
      <c r="I1081" s="37"/>
    </row>
    <row r="1082" ht="22.5" customHeight="1">
      <c r="A1082" s="30"/>
      <c r="B1082" s="31"/>
      <c r="C1082" s="32"/>
      <c r="D1082" s="33"/>
      <c r="E1082" s="34"/>
      <c r="F1082" s="34"/>
      <c r="G1082" s="35"/>
      <c r="H1082" s="34"/>
      <c r="I1082" s="37"/>
    </row>
    <row r="1083" ht="22.5" customHeight="1">
      <c r="A1083" s="30"/>
      <c r="B1083" s="31"/>
      <c r="C1083" s="32"/>
      <c r="D1083" s="33"/>
      <c r="E1083" s="34"/>
      <c r="F1083" s="34"/>
      <c r="G1083" s="35"/>
      <c r="H1083" s="34"/>
      <c r="I1083" s="37"/>
    </row>
    <row r="1084" ht="22.5" customHeight="1">
      <c r="A1084" s="30"/>
      <c r="B1084" s="40"/>
      <c r="C1084" s="32"/>
      <c r="D1084" s="33"/>
      <c r="E1084" s="34"/>
      <c r="F1084" s="34"/>
      <c r="G1084" s="35"/>
      <c r="H1084" s="34"/>
      <c r="I1084" s="37"/>
    </row>
    <row r="1085" ht="22.5" customHeight="1">
      <c r="A1085" s="30"/>
      <c r="B1085" s="31"/>
      <c r="C1085" s="32"/>
      <c r="D1085" s="33"/>
      <c r="E1085" s="34"/>
      <c r="F1085" s="34"/>
      <c r="G1085" s="35"/>
      <c r="H1085" s="34"/>
      <c r="I1085" s="37"/>
    </row>
    <row r="1086" ht="22.5" customHeight="1">
      <c r="A1086" s="30"/>
      <c r="B1086" s="31"/>
      <c r="C1086" s="32"/>
      <c r="D1086" s="33"/>
      <c r="E1086" s="34"/>
      <c r="F1086" s="34"/>
      <c r="G1086" s="35"/>
      <c r="H1086" s="34"/>
      <c r="I1086" s="37"/>
    </row>
    <row r="1087" ht="22.5" customHeight="1">
      <c r="A1087" s="30"/>
      <c r="B1087" s="31"/>
      <c r="C1087" s="32"/>
      <c r="D1087" s="33"/>
      <c r="E1087" s="34"/>
      <c r="F1087" s="34"/>
      <c r="G1087" s="35"/>
      <c r="H1087" s="34"/>
      <c r="I1087" s="37"/>
    </row>
    <row r="1088" ht="22.5" customHeight="1">
      <c r="A1088" s="30"/>
      <c r="B1088" s="31"/>
      <c r="C1088" s="32"/>
      <c r="D1088" s="33"/>
      <c r="E1088" s="34"/>
      <c r="F1088" s="34"/>
      <c r="G1088" s="35"/>
      <c r="H1088" s="34"/>
      <c r="I1088" s="38"/>
    </row>
    <row r="1089" ht="22.5" customHeight="1">
      <c r="A1089" s="30"/>
      <c r="B1089" s="39"/>
      <c r="C1089" s="32"/>
      <c r="D1089" s="33"/>
      <c r="E1089" s="34"/>
      <c r="F1089" s="34"/>
      <c r="G1089" s="35"/>
      <c r="H1089" s="34"/>
      <c r="I1089" s="37"/>
    </row>
    <row r="1090" ht="22.5" customHeight="1">
      <c r="A1090" s="30"/>
      <c r="B1090" s="31"/>
      <c r="C1090" s="32"/>
      <c r="D1090" s="33"/>
      <c r="E1090" s="34"/>
      <c r="F1090" s="34"/>
      <c r="G1090" s="35"/>
      <c r="H1090" s="34"/>
      <c r="I1090" s="37"/>
    </row>
    <row r="1091" ht="22.5" customHeight="1">
      <c r="A1091" s="30"/>
      <c r="B1091" s="31"/>
      <c r="C1091" s="32"/>
      <c r="D1091" s="33"/>
      <c r="E1091" s="34"/>
      <c r="F1091" s="34"/>
      <c r="G1091" s="35"/>
      <c r="H1091" s="34"/>
      <c r="I1091" s="37"/>
    </row>
    <row r="1092" ht="22.5" customHeight="1">
      <c r="A1092" s="30"/>
      <c r="B1092" s="31"/>
      <c r="C1092" s="32"/>
      <c r="D1092" s="33"/>
      <c r="E1092" s="34"/>
      <c r="F1092" s="34"/>
      <c r="G1092" s="35"/>
      <c r="H1092" s="34"/>
      <c r="I1092" s="37"/>
    </row>
    <row r="1093" ht="22.5" customHeight="1">
      <c r="A1093" s="30"/>
      <c r="B1093" s="39"/>
      <c r="C1093" s="32"/>
      <c r="D1093" s="33"/>
      <c r="E1093" s="34"/>
      <c r="F1093" s="34"/>
      <c r="G1093" s="35"/>
      <c r="H1093" s="34"/>
      <c r="I1093" s="37"/>
    </row>
    <row r="1094" ht="22.5" customHeight="1">
      <c r="A1094" s="30"/>
      <c r="B1094" s="31"/>
      <c r="C1094" s="32"/>
      <c r="D1094" s="33"/>
      <c r="E1094" s="34"/>
      <c r="F1094" s="34"/>
      <c r="G1094" s="35"/>
      <c r="H1094" s="34"/>
      <c r="I1094" s="37"/>
    </row>
    <row r="1095" ht="22.5" customHeight="1">
      <c r="A1095" s="30"/>
      <c r="B1095" s="39"/>
      <c r="C1095" s="32"/>
      <c r="D1095" s="33"/>
      <c r="E1095" s="34"/>
      <c r="F1095" s="34"/>
      <c r="G1095" s="35"/>
      <c r="H1095" s="34"/>
      <c r="I1095" s="37"/>
    </row>
    <row r="1096" ht="22.5" customHeight="1">
      <c r="A1096" s="30"/>
      <c r="B1096" s="31"/>
      <c r="C1096" s="32"/>
      <c r="D1096" s="33"/>
      <c r="E1096" s="34"/>
      <c r="F1096" s="34"/>
      <c r="G1096" s="35"/>
      <c r="H1096" s="34"/>
      <c r="I1096" s="37"/>
    </row>
    <row r="1097" ht="22.5" customHeight="1">
      <c r="A1097" s="30"/>
      <c r="B1097" s="31"/>
      <c r="C1097" s="32"/>
      <c r="D1097" s="33"/>
      <c r="E1097" s="34"/>
      <c r="F1097" s="34"/>
      <c r="G1097" s="35"/>
      <c r="H1097" s="34"/>
      <c r="I1097" s="37"/>
    </row>
    <row r="1098" ht="22.5" customHeight="1">
      <c r="A1098" s="30"/>
      <c r="B1098" s="31"/>
      <c r="C1098" s="32"/>
      <c r="D1098" s="33"/>
      <c r="E1098" s="34"/>
      <c r="F1098" s="34"/>
      <c r="G1098" s="35"/>
      <c r="H1098" s="34"/>
      <c r="I1098" s="37"/>
    </row>
    <row r="1099" ht="22.5" customHeight="1">
      <c r="A1099" s="30"/>
      <c r="B1099" s="31"/>
      <c r="C1099" s="32"/>
      <c r="D1099" s="33"/>
      <c r="E1099" s="34"/>
      <c r="F1099" s="34"/>
      <c r="G1099" s="35"/>
      <c r="H1099" s="34"/>
      <c r="I1099" s="37"/>
    </row>
    <row r="1100" ht="22.5" customHeight="1">
      <c r="A1100" s="30"/>
      <c r="B1100" s="31"/>
      <c r="C1100" s="32"/>
      <c r="D1100" s="33"/>
      <c r="E1100" s="34"/>
      <c r="F1100" s="34"/>
      <c r="G1100" s="35"/>
      <c r="H1100" s="34"/>
      <c r="I1100" s="37"/>
    </row>
    <row r="1101" ht="22.5" customHeight="1">
      <c r="A1101" s="30"/>
      <c r="B1101" s="31"/>
      <c r="C1101" s="32"/>
      <c r="D1101" s="33"/>
      <c r="E1101" s="34"/>
      <c r="F1101" s="34"/>
      <c r="G1101" s="35"/>
      <c r="H1101" s="34"/>
      <c r="I1101" s="37"/>
    </row>
    <row r="1102" ht="22.5" customHeight="1">
      <c r="A1102" s="30"/>
      <c r="B1102" s="31"/>
      <c r="C1102" s="32"/>
      <c r="D1102" s="33"/>
      <c r="E1102" s="34"/>
      <c r="F1102" s="34"/>
      <c r="G1102" s="35"/>
      <c r="H1102" s="34"/>
      <c r="I1102" s="37"/>
    </row>
    <row r="1103" ht="22.5" customHeight="1">
      <c r="A1103" s="30"/>
      <c r="B1103" s="31"/>
      <c r="C1103" s="32"/>
      <c r="D1103" s="33"/>
      <c r="E1103" s="34"/>
      <c r="F1103" s="34"/>
      <c r="G1103" s="35"/>
      <c r="H1103" s="34"/>
      <c r="I1103" s="37"/>
    </row>
    <row r="1104" ht="22.5" customHeight="1">
      <c r="A1104" s="30"/>
      <c r="B1104" s="31"/>
      <c r="C1104" s="32"/>
      <c r="D1104" s="33"/>
      <c r="E1104" s="34"/>
      <c r="F1104" s="34"/>
      <c r="G1104" s="35"/>
      <c r="H1104" s="34"/>
      <c r="I1104" s="37"/>
    </row>
    <row r="1105" ht="22.5" customHeight="1">
      <c r="A1105" s="30"/>
      <c r="B1105" s="31"/>
      <c r="C1105" s="32"/>
      <c r="D1105" s="33"/>
      <c r="E1105" s="34"/>
      <c r="F1105" s="34"/>
      <c r="G1105" s="35"/>
      <c r="H1105" s="34"/>
      <c r="I1105" s="37"/>
    </row>
    <row r="1106" ht="22.5" customHeight="1">
      <c r="A1106" s="30"/>
      <c r="B1106" s="40"/>
      <c r="C1106" s="32"/>
      <c r="D1106" s="33"/>
      <c r="E1106" s="34"/>
      <c r="F1106" s="34"/>
      <c r="G1106" s="35"/>
      <c r="H1106" s="34"/>
      <c r="I1106" s="37"/>
    </row>
    <row r="1107" ht="22.5" customHeight="1">
      <c r="A1107" s="30"/>
      <c r="B1107" s="31"/>
      <c r="C1107" s="32"/>
      <c r="D1107" s="33"/>
      <c r="E1107" s="34"/>
      <c r="F1107" s="34"/>
      <c r="G1107" s="35"/>
      <c r="H1107" s="34"/>
      <c r="I1107" s="37"/>
    </row>
    <row r="1108" ht="22.5" customHeight="1">
      <c r="A1108" s="30"/>
      <c r="B1108" s="31"/>
      <c r="C1108" s="32"/>
      <c r="D1108" s="33"/>
      <c r="E1108" s="34"/>
      <c r="F1108" s="34"/>
      <c r="G1108" s="35"/>
      <c r="H1108" s="34"/>
      <c r="I1108" s="37"/>
    </row>
    <row r="1109" ht="22.5" customHeight="1">
      <c r="A1109" s="30"/>
      <c r="B1109" s="31"/>
      <c r="C1109" s="32"/>
      <c r="D1109" s="33"/>
      <c r="E1109" s="34"/>
      <c r="F1109" s="34"/>
      <c r="G1109" s="35"/>
      <c r="H1109" s="34"/>
      <c r="I1109" s="37"/>
    </row>
    <row r="1110" ht="22.5" customHeight="1">
      <c r="A1110" s="30"/>
      <c r="B1110" s="31"/>
      <c r="C1110" s="32"/>
      <c r="D1110" s="33"/>
      <c r="E1110" s="34"/>
      <c r="F1110" s="34"/>
      <c r="G1110" s="35"/>
      <c r="H1110" s="34"/>
      <c r="I1110" s="37"/>
    </row>
    <row r="1111" ht="22.5" customHeight="1">
      <c r="A1111" s="30"/>
      <c r="B1111" s="31"/>
      <c r="C1111" s="32"/>
      <c r="D1111" s="33"/>
      <c r="E1111" s="34"/>
      <c r="F1111" s="34"/>
      <c r="G1111" s="35"/>
      <c r="H1111" s="34"/>
      <c r="I1111" s="37"/>
    </row>
    <row r="1112" ht="22.5" customHeight="1">
      <c r="A1112" s="30"/>
      <c r="B1112" s="31"/>
      <c r="C1112" s="32"/>
      <c r="D1112" s="33"/>
      <c r="E1112" s="34"/>
      <c r="F1112" s="34"/>
      <c r="G1112" s="35"/>
      <c r="H1112" s="34"/>
      <c r="I1112" s="37"/>
    </row>
    <row r="1113" ht="22.5" customHeight="1">
      <c r="A1113" s="30"/>
      <c r="B1113" s="39"/>
      <c r="C1113" s="32"/>
      <c r="D1113" s="33"/>
      <c r="E1113" s="34"/>
      <c r="F1113" s="34"/>
      <c r="G1113" s="35"/>
      <c r="H1113" s="34"/>
      <c r="I1113" s="37"/>
    </row>
    <row r="1114" ht="22.5" customHeight="1">
      <c r="A1114" s="30"/>
      <c r="B1114" s="39"/>
      <c r="C1114" s="32"/>
      <c r="D1114" s="33"/>
      <c r="E1114" s="34"/>
      <c r="F1114" s="34"/>
      <c r="G1114" s="35"/>
      <c r="H1114" s="34"/>
      <c r="I1114" s="37"/>
    </row>
    <row r="1115" ht="22.5" customHeight="1">
      <c r="A1115" s="30"/>
      <c r="B1115" s="39"/>
      <c r="C1115" s="32"/>
      <c r="D1115" s="33"/>
      <c r="E1115" s="34"/>
      <c r="F1115" s="34"/>
      <c r="G1115" s="35"/>
      <c r="H1115" s="34"/>
      <c r="I1115" s="37"/>
    </row>
    <row r="1116" ht="22.5" customHeight="1">
      <c r="A1116" s="30"/>
      <c r="B1116" s="40"/>
      <c r="C1116" s="32"/>
      <c r="D1116" s="33"/>
      <c r="E1116" s="34"/>
      <c r="F1116" s="34"/>
      <c r="G1116" s="35"/>
      <c r="H1116" s="34"/>
      <c r="I1116" s="37"/>
    </row>
    <row r="1117" ht="22.5" customHeight="1">
      <c r="A1117" s="30"/>
      <c r="B1117" s="31"/>
      <c r="C1117" s="32"/>
      <c r="D1117" s="33"/>
      <c r="E1117" s="34"/>
      <c r="F1117" s="34"/>
      <c r="G1117" s="35"/>
      <c r="H1117" s="34"/>
      <c r="I1117" s="37"/>
    </row>
    <row r="1118" ht="22.5" customHeight="1">
      <c r="A1118" s="30"/>
      <c r="B1118" s="31"/>
      <c r="C1118" s="32"/>
      <c r="D1118" s="33"/>
      <c r="E1118" s="34"/>
      <c r="F1118" s="34"/>
      <c r="G1118" s="35"/>
      <c r="H1118" s="34"/>
      <c r="I1118" s="37"/>
    </row>
    <row r="1119" ht="22.5" customHeight="1">
      <c r="A1119" s="30"/>
      <c r="B1119" s="31"/>
      <c r="C1119" s="32"/>
      <c r="D1119" s="33"/>
      <c r="E1119" s="34"/>
      <c r="F1119" s="34"/>
      <c r="G1119" s="35"/>
      <c r="H1119" s="34"/>
      <c r="I1119" s="37"/>
    </row>
    <row r="1120" ht="22.5" customHeight="1">
      <c r="A1120" s="30"/>
      <c r="B1120" s="31"/>
      <c r="C1120" s="32"/>
      <c r="D1120" s="33"/>
      <c r="E1120" s="34"/>
      <c r="F1120" s="34"/>
      <c r="G1120" s="35"/>
      <c r="H1120" s="34"/>
      <c r="I1120" s="37"/>
    </row>
    <row r="1121" ht="22.5" customHeight="1">
      <c r="A1121" s="30"/>
      <c r="B1121" s="31"/>
      <c r="C1121" s="32"/>
      <c r="D1121" s="33"/>
      <c r="E1121" s="34"/>
      <c r="F1121" s="34"/>
      <c r="G1121" s="35"/>
      <c r="H1121" s="34"/>
      <c r="I1121" s="37"/>
    </row>
    <row r="1122" ht="22.5" customHeight="1">
      <c r="A1122" s="30"/>
      <c r="B1122" s="31"/>
      <c r="C1122" s="32"/>
      <c r="D1122" s="33"/>
      <c r="E1122" s="34"/>
      <c r="F1122" s="34"/>
      <c r="G1122" s="35"/>
      <c r="H1122" s="34"/>
      <c r="I1122" s="37"/>
    </row>
    <row r="1123" ht="22.5" customHeight="1">
      <c r="A1123" s="30"/>
      <c r="B1123" s="31"/>
      <c r="C1123" s="32"/>
      <c r="D1123" s="33"/>
      <c r="E1123" s="34"/>
      <c r="F1123" s="34"/>
      <c r="G1123" s="35"/>
      <c r="H1123" s="34"/>
      <c r="I1123" s="37"/>
    </row>
    <row r="1124" ht="22.5" customHeight="1">
      <c r="A1124" s="30"/>
      <c r="B1124" s="31"/>
      <c r="C1124" s="32"/>
      <c r="D1124" s="33"/>
      <c r="E1124" s="34"/>
      <c r="F1124" s="34"/>
      <c r="G1124" s="35"/>
      <c r="H1124" s="34"/>
      <c r="I1124" s="37"/>
    </row>
    <row r="1125" ht="22.5" customHeight="1">
      <c r="A1125" s="30"/>
      <c r="B1125" s="31"/>
      <c r="C1125" s="32"/>
      <c r="D1125" s="33"/>
      <c r="E1125" s="34"/>
      <c r="F1125" s="34"/>
      <c r="G1125" s="35"/>
      <c r="H1125" s="34"/>
      <c r="I1125" s="37"/>
    </row>
    <row r="1126" ht="22.5" customHeight="1">
      <c r="A1126" s="30"/>
      <c r="B1126" s="40"/>
      <c r="C1126" s="32"/>
      <c r="D1126" s="33"/>
      <c r="E1126" s="34"/>
      <c r="F1126" s="34"/>
      <c r="G1126" s="35"/>
      <c r="H1126" s="34"/>
      <c r="I1126" s="37"/>
    </row>
    <row r="1127" ht="22.5" customHeight="1">
      <c r="A1127" s="30"/>
      <c r="B1127" s="31"/>
      <c r="C1127" s="32"/>
      <c r="D1127" s="33"/>
      <c r="E1127" s="34"/>
      <c r="F1127" s="34"/>
      <c r="G1127" s="35"/>
      <c r="H1127" s="34"/>
      <c r="I1127" s="37"/>
    </row>
    <row r="1128" ht="22.5" customHeight="1">
      <c r="A1128" s="30"/>
      <c r="B1128" s="31"/>
      <c r="C1128" s="32"/>
      <c r="D1128" s="33"/>
      <c r="E1128" s="34"/>
      <c r="F1128" s="34"/>
      <c r="G1128" s="35"/>
      <c r="H1128" s="34"/>
      <c r="I1128" s="37"/>
    </row>
    <row r="1129" ht="22.5" customHeight="1">
      <c r="A1129" s="30"/>
      <c r="B1129" s="31"/>
      <c r="C1129" s="32"/>
      <c r="D1129" s="33"/>
      <c r="E1129" s="34"/>
      <c r="F1129" s="34"/>
      <c r="G1129" s="35"/>
      <c r="H1129" s="34"/>
      <c r="I1129" s="37"/>
    </row>
    <row r="1130" ht="22.5" customHeight="1">
      <c r="A1130" s="30"/>
      <c r="B1130" s="40"/>
      <c r="C1130" s="32"/>
      <c r="D1130" s="33"/>
      <c r="E1130" s="34"/>
      <c r="F1130" s="34"/>
      <c r="G1130" s="35"/>
      <c r="H1130" s="34"/>
      <c r="I1130" s="37"/>
    </row>
    <row r="1131" ht="22.5" customHeight="1">
      <c r="A1131" s="30"/>
      <c r="B1131" s="31"/>
      <c r="C1131" s="32"/>
      <c r="D1131" s="33"/>
      <c r="E1131" s="34"/>
      <c r="F1131" s="34"/>
      <c r="G1131" s="35"/>
      <c r="H1131" s="34"/>
      <c r="I1131" s="37"/>
    </row>
    <row r="1132" ht="22.5" customHeight="1">
      <c r="A1132" s="30"/>
      <c r="B1132" s="31"/>
      <c r="C1132" s="32"/>
      <c r="D1132" s="33"/>
      <c r="E1132" s="34"/>
      <c r="F1132" s="34"/>
      <c r="G1132" s="35"/>
      <c r="H1132" s="34"/>
      <c r="I1132" s="37"/>
    </row>
    <row r="1133" ht="22.5" customHeight="1">
      <c r="A1133" s="30"/>
      <c r="B1133" s="31"/>
      <c r="C1133" s="32"/>
      <c r="D1133" s="33"/>
      <c r="E1133" s="34"/>
      <c r="F1133" s="34"/>
      <c r="G1133" s="35"/>
      <c r="H1133" s="34"/>
      <c r="I1133" s="37"/>
    </row>
    <row r="1134" ht="22.5" customHeight="1">
      <c r="A1134" s="30"/>
      <c r="B1134" s="31"/>
      <c r="C1134" s="32"/>
      <c r="D1134" s="33"/>
      <c r="E1134" s="34"/>
      <c r="F1134" s="34"/>
      <c r="G1134" s="35"/>
      <c r="H1134" s="34"/>
      <c r="I1134" s="37"/>
    </row>
    <row r="1135" ht="22.5" customHeight="1">
      <c r="A1135" s="30"/>
      <c r="B1135" s="31"/>
      <c r="C1135" s="32"/>
      <c r="D1135" s="33"/>
      <c r="E1135" s="34"/>
      <c r="F1135" s="34"/>
      <c r="G1135" s="35"/>
      <c r="H1135" s="34"/>
      <c r="I1135" s="37"/>
    </row>
    <row r="1136" ht="22.5" customHeight="1">
      <c r="A1136" s="30"/>
      <c r="B1136" s="31"/>
      <c r="C1136" s="32"/>
      <c r="D1136" s="33"/>
      <c r="E1136" s="34"/>
      <c r="F1136" s="34"/>
      <c r="G1136" s="35"/>
      <c r="H1136" s="34"/>
      <c r="I1136" s="37"/>
    </row>
    <row r="1137" ht="22.5" customHeight="1">
      <c r="A1137" s="30"/>
      <c r="B1137" s="31"/>
      <c r="C1137" s="32"/>
      <c r="D1137" s="33"/>
      <c r="E1137" s="34"/>
      <c r="F1137" s="34"/>
      <c r="G1137" s="35"/>
      <c r="H1137" s="34"/>
      <c r="I1137" s="37"/>
    </row>
    <row r="1138" ht="22.5" customHeight="1">
      <c r="A1138" s="30"/>
      <c r="B1138" s="31"/>
      <c r="C1138" s="32"/>
      <c r="D1138" s="33"/>
      <c r="E1138" s="34"/>
      <c r="F1138" s="34"/>
      <c r="G1138" s="35"/>
      <c r="H1138" s="34"/>
      <c r="I1138" s="37"/>
    </row>
    <row r="1139" ht="22.5" customHeight="1">
      <c r="A1139" s="30"/>
      <c r="B1139" s="31"/>
      <c r="C1139" s="32"/>
      <c r="D1139" s="33"/>
      <c r="E1139" s="34"/>
      <c r="F1139" s="34"/>
      <c r="G1139" s="35"/>
      <c r="H1139" s="34"/>
      <c r="I1139" s="37"/>
    </row>
    <row r="1140" ht="22.5" customHeight="1">
      <c r="A1140" s="30"/>
      <c r="B1140" s="31"/>
      <c r="C1140" s="32"/>
      <c r="D1140" s="33"/>
      <c r="E1140" s="34"/>
      <c r="F1140" s="34"/>
      <c r="G1140" s="35"/>
      <c r="H1140" s="34"/>
      <c r="I1140" s="37"/>
    </row>
    <row r="1141" ht="22.5" customHeight="1">
      <c r="A1141" s="30"/>
      <c r="B1141" s="31"/>
      <c r="C1141" s="32"/>
      <c r="D1141" s="33"/>
      <c r="E1141" s="34"/>
      <c r="F1141" s="34"/>
      <c r="G1141" s="35"/>
      <c r="H1141" s="34"/>
      <c r="I1141" s="37"/>
    </row>
    <row r="1142" ht="22.5" customHeight="1">
      <c r="A1142" s="30"/>
      <c r="B1142" s="31"/>
      <c r="C1142" s="32"/>
      <c r="D1142" s="33"/>
      <c r="E1142" s="34"/>
      <c r="F1142" s="34"/>
      <c r="G1142" s="35"/>
      <c r="H1142" s="34"/>
      <c r="I1142" s="37"/>
    </row>
    <row r="1143" ht="22.5" customHeight="1">
      <c r="A1143" s="30"/>
      <c r="B1143" s="31"/>
      <c r="C1143" s="32"/>
      <c r="D1143" s="33"/>
      <c r="E1143" s="34"/>
      <c r="F1143" s="34"/>
      <c r="G1143" s="35"/>
      <c r="H1143" s="34"/>
      <c r="I1143" s="37"/>
    </row>
    <row r="1144" ht="22.5" customHeight="1">
      <c r="A1144" s="30"/>
      <c r="B1144" s="31"/>
      <c r="C1144" s="32"/>
      <c r="D1144" s="33"/>
      <c r="E1144" s="34"/>
      <c r="F1144" s="34"/>
      <c r="G1144" s="35"/>
      <c r="H1144" s="34"/>
      <c r="I1144" s="37"/>
    </row>
    <row r="1145" ht="22.5" customHeight="1">
      <c r="A1145" s="30"/>
      <c r="B1145" s="40"/>
      <c r="C1145" s="32"/>
      <c r="D1145" s="33"/>
      <c r="E1145" s="34"/>
      <c r="F1145" s="34"/>
      <c r="G1145" s="35"/>
      <c r="H1145" s="34"/>
      <c r="I1145" s="37"/>
    </row>
    <row r="1146" ht="22.5" customHeight="1">
      <c r="A1146" s="30"/>
      <c r="B1146" s="31"/>
      <c r="C1146" s="32"/>
      <c r="D1146" s="33"/>
      <c r="E1146" s="34"/>
      <c r="F1146" s="34"/>
      <c r="G1146" s="35"/>
      <c r="H1146" s="34"/>
      <c r="I1146" s="37"/>
    </row>
    <row r="1147" ht="22.5" customHeight="1">
      <c r="A1147" s="30"/>
      <c r="B1147" s="40"/>
      <c r="C1147" s="32"/>
      <c r="D1147" s="33"/>
      <c r="E1147" s="34"/>
      <c r="F1147" s="34"/>
      <c r="G1147" s="35"/>
      <c r="H1147" s="34"/>
      <c r="I1147" s="37"/>
    </row>
    <row r="1148" ht="22.5" customHeight="1">
      <c r="A1148" s="30"/>
      <c r="B1148" s="31"/>
      <c r="C1148" s="32"/>
      <c r="D1148" s="33"/>
      <c r="E1148" s="34"/>
      <c r="F1148" s="34"/>
      <c r="G1148" s="35"/>
      <c r="H1148" s="34"/>
      <c r="I1148" s="37"/>
    </row>
    <row r="1149" ht="22.5" customHeight="1">
      <c r="A1149" s="30"/>
      <c r="B1149" s="31"/>
      <c r="C1149" s="32"/>
      <c r="D1149" s="33"/>
      <c r="E1149" s="34"/>
      <c r="F1149" s="34"/>
      <c r="G1149" s="35"/>
      <c r="H1149" s="34"/>
      <c r="I1149" s="37"/>
    </row>
    <row r="1150" ht="22.5" customHeight="1">
      <c r="A1150" s="30"/>
      <c r="B1150" s="31"/>
      <c r="C1150" s="32"/>
      <c r="D1150" s="33"/>
      <c r="E1150" s="34"/>
      <c r="F1150" s="34"/>
      <c r="G1150" s="35"/>
      <c r="H1150" s="34"/>
      <c r="I1150" s="37"/>
    </row>
    <row r="1151" ht="22.5" customHeight="1">
      <c r="A1151" s="30"/>
      <c r="B1151" s="31"/>
      <c r="C1151" s="32"/>
      <c r="D1151" s="33"/>
      <c r="E1151" s="34"/>
      <c r="F1151" s="34"/>
      <c r="G1151" s="35"/>
      <c r="H1151" s="34"/>
      <c r="I1151" s="37"/>
    </row>
    <row r="1152" ht="22.5" customHeight="1">
      <c r="A1152" s="30"/>
      <c r="B1152" s="40"/>
      <c r="C1152" s="32"/>
      <c r="D1152" s="33"/>
      <c r="E1152" s="34"/>
      <c r="F1152" s="34"/>
      <c r="G1152" s="35"/>
      <c r="H1152" s="34"/>
      <c r="I1152" s="37"/>
    </row>
    <row r="1153" ht="22.5" customHeight="1">
      <c r="A1153" s="30"/>
      <c r="B1153" s="31"/>
      <c r="C1153" s="32"/>
      <c r="D1153" s="33"/>
      <c r="E1153" s="34"/>
      <c r="F1153" s="34"/>
      <c r="G1153" s="35"/>
      <c r="H1153" s="34"/>
      <c r="I1153" s="37"/>
    </row>
    <row r="1154" ht="22.5" customHeight="1">
      <c r="A1154" s="30"/>
      <c r="B1154" s="31"/>
      <c r="C1154" s="32"/>
      <c r="D1154" s="33"/>
      <c r="E1154" s="34"/>
      <c r="F1154" s="34"/>
      <c r="G1154" s="35"/>
      <c r="H1154" s="34"/>
      <c r="I1154" s="37"/>
    </row>
    <row r="1155" ht="22.5" customHeight="1">
      <c r="A1155" s="30"/>
      <c r="B1155" s="31"/>
      <c r="C1155" s="32"/>
      <c r="D1155" s="33"/>
      <c r="E1155" s="34"/>
      <c r="F1155" s="34"/>
      <c r="G1155" s="35"/>
      <c r="H1155" s="34"/>
      <c r="I1155" s="37"/>
    </row>
    <row r="1156" ht="22.5" customHeight="1">
      <c r="A1156" s="30"/>
      <c r="B1156" s="31"/>
      <c r="C1156" s="32"/>
      <c r="D1156" s="33"/>
      <c r="E1156" s="34"/>
      <c r="F1156" s="34"/>
      <c r="G1156" s="35"/>
      <c r="H1156" s="34"/>
      <c r="I1156" s="37"/>
    </row>
    <row r="1157" ht="22.5" customHeight="1">
      <c r="A1157" s="30"/>
      <c r="B1157" s="31"/>
      <c r="C1157" s="32"/>
      <c r="D1157" s="33"/>
      <c r="E1157" s="34"/>
      <c r="F1157" s="34"/>
      <c r="G1157" s="35"/>
      <c r="H1157" s="34"/>
      <c r="I1157" s="37"/>
    </row>
    <row r="1158" ht="22.5" customHeight="1">
      <c r="A1158" s="30"/>
      <c r="B1158" s="31"/>
      <c r="C1158" s="32"/>
      <c r="D1158" s="33"/>
      <c r="E1158" s="34"/>
      <c r="F1158" s="34"/>
      <c r="G1158" s="35"/>
      <c r="H1158" s="34"/>
      <c r="I1158" s="37"/>
    </row>
    <row r="1159" ht="22.5" customHeight="1">
      <c r="A1159" s="30"/>
      <c r="B1159" s="31"/>
      <c r="C1159" s="32"/>
      <c r="D1159" s="33"/>
      <c r="E1159" s="34"/>
      <c r="F1159" s="34"/>
      <c r="G1159" s="35"/>
      <c r="H1159" s="34"/>
      <c r="I1159" s="37"/>
    </row>
    <row r="1160" ht="22.5" customHeight="1">
      <c r="A1160" s="30"/>
      <c r="B1160" s="31"/>
      <c r="C1160" s="32"/>
      <c r="D1160" s="33"/>
      <c r="E1160" s="34"/>
      <c r="F1160" s="34"/>
      <c r="G1160" s="35"/>
      <c r="H1160" s="34"/>
      <c r="I1160" s="37"/>
    </row>
    <row r="1161" ht="22.5" customHeight="1">
      <c r="A1161" s="30"/>
      <c r="B1161" s="31"/>
      <c r="C1161" s="32"/>
      <c r="D1161" s="33"/>
      <c r="E1161" s="34"/>
      <c r="F1161" s="34"/>
      <c r="G1161" s="35"/>
      <c r="H1161" s="34"/>
      <c r="I1161" s="37"/>
    </row>
    <row r="1162" ht="22.5" customHeight="1">
      <c r="A1162" s="30"/>
      <c r="B1162" s="31"/>
      <c r="C1162" s="32"/>
      <c r="D1162" s="33"/>
      <c r="E1162" s="34"/>
      <c r="F1162" s="34"/>
      <c r="G1162" s="35"/>
      <c r="H1162" s="34"/>
      <c r="I1162" s="37"/>
    </row>
    <row r="1163" ht="22.5" customHeight="1">
      <c r="A1163" s="30"/>
      <c r="B1163" s="31"/>
      <c r="C1163" s="32"/>
      <c r="D1163" s="33"/>
      <c r="E1163" s="34"/>
      <c r="F1163" s="34"/>
      <c r="G1163" s="35"/>
      <c r="H1163" s="34"/>
      <c r="I1163" s="37"/>
    </row>
    <row r="1164" ht="22.5" customHeight="1">
      <c r="A1164" s="30"/>
      <c r="B1164" s="31"/>
      <c r="C1164" s="32"/>
      <c r="D1164" s="33"/>
      <c r="E1164" s="34"/>
      <c r="F1164" s="34"/>
      <c r="G1164" s="35"/>
      <c r="H1164" s="34"/>
      <c r="I1164" s="37"/>
    </row>
    <row r="1165" ht="22.5" customHeight="1">
      <c r="A1165" s="30"/>
      <c r="B1165" s="31"/>
      <c r="C1165" s="32"/>
      <c r="D1165" s="33"/>
      <c r="E1165" s="34"/>
      <c r="F1165" s="34"/>
      <c r="G1165" s="35"/>
      <c r="H1165" s="34"/>
      <c r="I1165" s="37"/>
    </row>
    <row r="1166" ht="22.5" customHeight="1">
      <c r="A1166" s="30"/>
      <c r="B1166" s="31"/>
      <c r="C1166" s="32"/>
      <c r="D1166" s="33"/>
      <c r="E1166" s="34"/>
      <c r="F1166" s="34"/>
      <c r="G1166" s="35"/>
      <c r="H1166" s="34"/>
      <c r="I1166" s="37"/>
    </row>
    <row r="1167" ht="22.5" customHeight="1">
      <c r="A1167" s="30"/>
      <c r="B1167" s="31"/>
      <c r="C1167" s="32"/>
      <c r="D1167" s="33"/>
      <c r="E1167" s="34"/>
      <c r="F1167" s="34"/>
      <c r="G1167" s="35"/>
      <c r="H1167" s="34"/>
      <c r="I1167" s="37"/>
    </row>
    <row r="1168" ht="22.5" customHeight="1">
      <c r="A1168" s="30"/>
      <c r="B1168" s="31"/>
      <c r="C1168" s="32"/>
      <c r="D1168" s="33"/>
      <c r="E1168" s="34"/>
      <c r="F1168" s="34"/>
      <c r="G1168" s="35"/>
      <c r="H1168" s="34"/>
      <c r="I1168" s="37"/>
    </row>
    <row r="1169" ht="22.5" customHeight="1">
      <c r="A1169" s="30"/>
      <c r="B1169" s="31"/>
      <c r="C1169" s="32"/>
      <c r="D1169" s="33"/>
      <c r="E1169" s="34"/>
      <c r="F1169" s="34"/>
      <c r="G1169" s="35"/>
      <c r="H1169" s="34"/>
      <c r="I1169" s="37"/>
    </row>
    <row r="1170" ht="22.5" customHeight="1">
      <c r="A1170" s="30"/>
      <c r="B1170" s="31"/>
      <c r="C1170" s="32"/>
      <c r="D1170" s="33"/>
      <c r="E1170" s="34"/>
      <c r="F1170" s="34"/>
      <c r="G1170" s="35"/>
      <c r="H1170" s="34"/>
      <c r="I1170" s="37"/>
    </row>
    <row r="1171" ht="22.5" customHeight="1">
      <c r="A1171" s="30"/>
      <c r="B1171" s="31"/>
      <c r="C1171" s="32"/>
      <c r="D1171" s="33"/>
      <c r="E1171" s="34"/>
      <c r="F1171" s="34"/>
      <c r="G1171" s="35"/>
      <c r="H1171" s="34"/>
      <c r="I1171" s="37"/>
    </row>
    <row r="1172" ht="22.5" customHeight="1">
      <c r="A1172" s="30"/>
      <c r="B1172" s="31"/>
      <c r="C1172" s="32"/>
      <c r="D1172" s="33"/>
      <c r="E1172" s="34"/>
      <c r="F1172" s="34"/>
      <c r="G1172" s="35"/>
      <c r="H1172" s="34"/>
      <c r="I1172" s="37"/>
    </row>
    <row r="1173" ht="22.5" customHeight="1">
      <c r="A1173" s="30"/>
      <c r="B1173" s="31"/>
      <c r="C1173" s="32"/>
      <c r="D1173" s="33"/>
      <c r="E1173" s="34"/>
      <c r="F1173" s="34"/>
      <c r="G1173" s="35"/>
      <c r="H1173" s="34"/>
      <c r="I1173" s="37"/>
    </row>
    <row r="1174" ht="22.5" customHeight="1">
      <c r="A1174" s="30"/>
      <c r="B1174" s="40"/>
      <c r="C1174" s="32"/>
      <c r="D1174" s="33"/>
      <c r="E1174" s="34"/>
      <c r="F1174" s="34"/>
      <c r="G1174" s="35"/>
      <c r="H1174" s="34"/>
      <c r="I1174" s="37"/>
    </row>
    <row r="1175" ht="22.5" customHeight="1">
      <c r="A1175" s="30"/>
      <c r="B1175" s="31"/>
      <c r="C1175" s="32"/>
      <c r="D1175" s="33"/>
      <c r="E1175" s="34"/>
      <c r="F1175" s="34"/>
      <c r="G1175" s="35"/>
      <c r="H1175" s="34"/>
      <c r="I1175" s="37"/>
    </row>
    <row r="1176" ht="22.5" customHeight="1">
      <c r="A1176" s="30"/>
      <c r="B1176" s="31"/>
      <c r="C1176" s="32"/>
      <c r="D1176" s="33"/>
      <c r="E1176" s="34"/>
      <c r="F1176" s="34"/>
      <c r="G1176" s="35"/>
      <c r="H1176" s="34"/>
      <c r="I1176" s="37"/>
    </row>
    <row r="1177" ht="22.5" customHeight="1">
      <c r="A1177" s="30"/>
      <c r="B1177" s="31"/>
      <c r="C1177" s="32"/>
      <c r="D1177" s="33"/>
      <c r="E1177" s="34"/>
      <c r="F1177" s="34"/>
      <c r="G1177" s="35"/>
      <c r="H1177" s="34"/>
      <c r="I1177" s="37"/>
    </row>
    <row r="1178" ht="22.5" customHeight="1">
      <c r="A1178" s="30"/>
      <c r="B1178" s="31"/>
      <c r="C1178" s="32"/>
      <c r="D1178" s="33"/>
      <c r="E1178" s="34"/>
      <c r="F1178" s="34"/>
      <c r="G1178" s="35"/>
      <c r="H1178" s="34"/>
      <c r="I1178" s="38"/>
    </row>
    <row r="1179" ht="22.5" customHeight="1">
      <c r="A1179" s="30"/>
      <c r="B1179" s="39"/>
      <c r="C1179" s="32"/>
      <c r="D1179" s="33"/>
      <c r="E1179" s="34"/>
      <c r="F1179" s="34"/>
      <c r="G1179" s="35"/>
      <c r="H1179" s="34"/>
      <c r="I1179" s="37"/>
    </row>
    <row r="1180" ht="22.5" customHeight="1">
      <c r="A1180" s="30"/>
      <c r="B1180" s="31"/>
      <c r="C1180" s="32"/>
      <c r="D1180" s="33"/>
      <c r="E1180" s="34"/>
      <c r="F1180" s="34"/>
      <c r="G1180" s="35"/>
      <c r="H1180" s="34"/>
      <c r="I1180" s="37"/>
    </row>
    <row r="1181" ht="22.5" customHeight="1">
      <c r="A1181" s="30"/>
      <c r="B1181" s="31"/>
      <c r="C1181" s="32"/>
      <c r="D1181" s="33"/>
      <c r="E1181" s="34"/>
      <c r="F1181" s="34"/>
      <c r="G1181" s="35"/>
      <c r="H1181" s="34"/>
      <c r="I1181" s="37"/>
    </row>
    <row r="1182" ht="22.5" customHeight="1">
      <c r="A1182" s="30"/>
      <c r="B1182" s="31"/>
      <c r="C1182" s="32"/>
      <c r="D1182" s="33"/>
      <c r="E1182" s="34"/>
      <c r="F1182" s="34"/>
      <c r="G1182" s="35"/>
      <c r="H1182" s="34"/>
      <c r="I1182" s="37"/>
    </row>
    <row r="1183" ht="22.5" customHeight="1">
      <c r="A1183" s="30"/>
      <c r="B1183" s="39"/>
      <c r="C1183" s="32"/>
      <c r="D1183" s="33"/>
      <c r="E1183" s="34"/>
      <c r="F1183" s="34"/>
      <c r="G1183" s="35"/>
      <c r="H1183" s="34"/>
      <c r="I1183" s="37"/>
    </row>
    <row r="1184" ht="22.5" customHeight="1">
      <c r="A1184" s="30"/>
      <c r="B1184" s="31"/>
      <c r="C1184" s="32"/>
      <c r="D1184" s="33"/>
      <c r="E1184" s="34"/>
      <c r="F1184" s="34"/>
      <c r="G1184" s="35"/>
      <c r="H1184" s="34"/>
      <c r="I1184" s="37"/>
    </row>
    <row r="1185" ht="22.5" customHeight="1">
      <c r="A1185" s="30"/>
      <c r="B1185" s="39"/>
      <c r="C1185" s="32"/>
      <c r="D1185" s="33"/>
      <c r="E1185" s="34"/>
      <c r="F1185" s="34"/>
      <c r="G1185" s="35"/>
      <c r="H1185" s="34"/>
      <c r="I1185" s="37"/>
    </row>
    <row r="1186" ht="22.5" customHeight="1">
      <c r="A1186" s="30"/>
      <c r="B1186" s="31"/>
      <c r="C1186" s="32"/>
      <c r="D1186" s="33"/>
      <c r="E1186" s="34"/>
      <c r="F1186" s="34"/>
      <c r="G1186" s="35"/>
      <c r="H1186" s="34"/>
      <c r="I1186" s="37"/>
    </row>
    <row r="1187" ht="22.5" customHeight="1">
      <c r="A1187" s="30"/>
      <c r="B1187" s="31"/>
      <c r="C1187" s="32"/>
      <c r="D1187" s="33"/>
      <c r="E1187" s="34"/>
      <c r="F1187" s="34"/>
      <c r="G1187" s="35"/>
      <c r="H1187" s="34"/>
      <c r="I1187" s="37"/>
    </row>
    <row r="1188" ht="22.5" customHeight="1">
      <c r="A1188" s="30"/>
      <c r="B1188" s="31"/>
      <c r="C1188" s="32"/>
      <c r="D1188" s="33"/>
      <c r="E1188" s="34"/>
      <c r="F1188" s="34"/>
      <c r="G1188" s="35"/>
      <c r="H1188" s="34"/>
      <c r="I1188" s="37"/>
    </row>
    <row r="1189" ht="22.5" customHeight="1">
      <c r="A1189" s="30"/>
      <c r="B1189" s="31"/>
      <c r="C1189" s="32"/>
      <c r="D1189" s="33"/>
      <c r="E1189" s="34"/>
      <c r="F1189" s="34"/>
      <c r="G1189" s="35"/>
      <c r="H1189" s="34"/>
      <c r="I1189" s="37"/>
    </row>
    <row r="1190" ht="22.5" customHeight="1">
      <c r="A1190" s="30"/>
      <c r="B1190" s="31"/>
      <c r="C1190" s="32"/>
      <c r="D1190" s="33"/>
      <c r="E1190" s="34"/>
      <c r="F1190" s="34"/>
      <c r="G1190" s="35"/>
      <c r="H1190" s="34"/>
      <c r="I1190" s="37"/>
    </row>
    <row r="1191" ht="22.5" customHeight="1">
      <c r="A1191" s="30"/>
      <c r="B1191" s="31"/>
      <c r="C1191" s="32"/>
      <c r="D1191" s="33"/>
      <c r="E1191" s="34"/>
      <c r="F1191" s="34"/>
      <c r="G1191" s="35"/>
      <c r="H1191" s="34"/>
      <c r="I1191" s="37"/>
    </row>
    <row r="1192" ht="22.5" customHeight="1">
      <c r="A1192" s="30"/>
      <c r="B1192" s="31"/>
      <c r="C1192" s="32"/>
      <c r="D1192" s="33"/>
      <c r="E1192" s="34"/>
      <c r="F1192" s="34"/>
      <c r="G1192" s="35"/>
      <c r="H1192" s="34"/>
      <c r="I1192" s="37"/>
    </row>
    <row r="1193" ht="22.5" customHeight="1">
      <c r="A1193" s="30"/>
      <c r="B1193" s="31"/>
      <c r="C1193" s="32"/>
      <c r="D1193" s="33"/>
      <c r="E1193" s="34"/>
      <c r="F1193" s="34"/>
      <c r="G1193" s="35"/>
      <c r="H1193" s="34"/>
      <c r="I1193" s="37"/>
    </row>
    <row r="1194" ht="22.5" customHeight="1">
      <c r="A1194" s="30"/>
      <c r="B1194" s="31"/>
      <c r="C1194" s="32"/>
      <c r="D1194" s="33"/>
      <c r="E1194" s="34"/>
      <c r="F1194" s="34"/>
      <c r="G1194" s="35"/>
      <c r="H1194" s="34"/>
      <c r="I1194" s="37"/>
    </row>
    <row r="1195" ht="22.5" customHeight="1">
      <c r="A1195" s="30"/>
      <c r="B1195" s="31"/>
      <c r="C1195" s="32"/>
      <c r="D1195" s="33"/>
      <c r="E1195" s="34"/>
      <c r="F1195" s="34"/>
      <c r="G1195" s="35"/>
      <c r="H1195" s="34"/>
      <c r="I1195" s="37"/>
    </row>
    <row r="1196" ht="22.5" customHeight="1">
      <c r="A1196" s="30"/>
      <c r="B1196" s="40"/>
      <c r="C1196" s="32"/>
      <c r="D1196" s="33"/>
      <c r="E1196" s="34"/>
      <c r="F1196" s="34"/>
      <c r="G1196" s="35"/>
      <c r="H1196" s="34"/>
      <c r="I1196" s="37"/>
    </row>
    <row r="1197" ht="22.5" customHeight="1">
      <c r="A1197" s="30"/>
      <c r="B1197" s="31"/>
      <c r="C1197" s="32"/>
      <c r="D1197" s="33"/>
      <c r="E1197" s="34"/>
      <c r="F1197" s="34"/>
      <c r="G1197" s="35"/>
      <c r="H1197" s="34"/>
      <c r="I1197" s="37"/>
    </row>
    <row r="1198" ht="22.5" customHeight="1">
      <c r="A1198" s="30"/>
      <c r="B1198" s="31"/>
      <c r="C1198" s="32"/>
      <c r="D1198" s="33"/>
      <c r="E1198" s="34"/>
      <c r="F1198" s="34"/>
      <c r="G1198" s="35"/>
      <c r="H1198" s="34"/>
      <c r="I1198" s="37"/>
    </row>
    <row r="1199" ht="22.5" customHeight="1">
      <c r="A1199" s="30"/>
      <c r="B1199" s="31"/>
      <c r="C1199" s="32"/>
      <c r="D1199" s="33"/>
      <c r="E1199" s="34"/>
      <c r="F1199" s="34"/>
      <c r="G1199" s="35"/>
      <c r="H1199" s="34"/>
      <c r="I1199" s="37"/>
    </row>
    <row r="1200" ht="22.5" customHeight="1">
      <c r="A1200" s="30"/>
      <c r="B1200" s="31"/>
      <c r="C1200" s="32"/>
      <c r="D1200" s="33"/>
      <c r="E1200" s="34"/>
      <c r="F1200" s="34"/>
      <c r="G1200" s="35"/>
      <c r="H1200" s="34"/>
      <c r="I1200" s="37"/>
    </row>
    <row r="1201" ht="22.5" customHeight="1">
      <c r="A1201" s="30"/>
      <c r="B1201" s="31"/>
      <c r="C1201" s="32"/>
      <c r="D1201" s="33"/>
      <c r="E1201" s="34"/>
      <c r="F1201" s="34"/>
      <c r="G1201" s="35"/>
      <c r="H1201" s="34"/>
      <c r="I1201" s="37"/>
    </row>
    <row r="1202" ht="22.5" customHeight="1">
      <c r="A1202" s="30"/>
      <c r="B1202" s="31"/>
      <c r="C1202" s="32"/>
      <c r="D1202" s="33"/>
      <c r="E1202" s="34"/>
      <c r="F1202" s="34"/>
      <c r="G1202" s="35"/>
      <c r="H1202" s="34"/>
      <c r="I1202" s="37"/>
    </row>
    <row r="1203" ht="22.5" customHeight="1">
      <c r="A1203" s="30"/>
      <c r="B1203" s="39"/>
      <c r="C1203" s="32"/>
      <c r="D1203" s="33"/>
      <c r="E1203" s="34"/>
      <c r="F1203" s="34"/>
      <c r="G1203" s="35"/>
      <c r="H1203" s="34"/>
      <c r="I1203" s="37"/>
    </row>
    <row r="1204" ht="22.5" customHeight="1">
      <c r="A1204" s="30"/>
      <c r="B1204" s="39"/>
      <c r="C1204" s="32"/>
      <c r="D1204" s="33"/>
      <c r="E1204" s="34"/>
      <c r="F1204" s="34"/>
      <c r="G1204" s="35"/>
      <c r="H1204" s="34"/>
      <c r="I1204" s="37"/>
    </row>
    <row r="1205" ht="22.5" customHeight="1">
      <c r="A1205" s="30"/>
      <c r="B1205" s="39"/>
      <c r="C1205" s="32"/>
      <c r="D1205" s="33"/>
      <c r="E1205" s="34"/>
      <c r="F1205" s="34"/>
      <c r="G1205" s="35"/>
      <c r="H1205" s="34"/>
      <c r="I1205" s="37"/>
    </row>
    <row r="1206" ht="22.5" customHeight="1">
      <c r="A1206" s="30"/>
      <c r="B1206" s="40"/>
      <c r="C1206" s="32"/>
      <c r="D1206" s="33"/>
      <c r="E1206" s="34"/>
      <c r="F1206" s="34"/>
      <c r="G1206" s="35"/>
      <c r="H1206" s="34"/>
      <c r="I1206" s="37"/>
    </row>
    <row r="1207" ht="22.5" customHeight="1">
      <c r="A1207" s="30"/>
      <c r="B1207" s="31"/>
      <c r="C1207" s="32"/>
      <c r="D1207" s="33"/>
      <c r="E1207" s="34"/>
      <c r="F1207" s="34"/>
      <c r="G1207" s="35"/>
      <c r="H1207" s="34"/>
      <c r="I1207" s="37"/>
    </row>
    <row r="1208" ht="22.5" customHeight="1">
      <c r="A1208" s="30"/>
      <c r="B1208" s="31"/>
      <c r="C1208" s="32"/>
      <c r="D1208" s="33"/>
      <c r="E1208" s="34"/>
      <c r="F1208" s="34"/>
      <c r="G1208" s="35"/>
      <c r="H1208" s="34"/>
      <c r="I1208" s="37"/>
    </row>
    <row r="1209" ht="22.5" customHeight="1">
      <c r="A1209" s="30"/>
      <c r="B1209" s="31"/>
      <c r="C1209" s="32"/>
      <c r="D1209" s="33"/>
      <c r="E1209" s="34"/>
      <c r="F1209" s="34"/>
      <c r="G1209" s="35"/>
      <c r="H1209" s="34"/>
      <c r="I1209" s="37"/>
    </row>
    <row r="1210" ht="22.5" customHeight="1">
      <c r="A1210" s="30"/>
      <c r="B1210" s="31"/>
      <c r="C1210" s="32"/>
      <c r="D1210" s="33"/>
      <c r="E1210" s="34"/>
      <c r="F1210" s="34"/>
      <c r="G1210" s="35"/>
      <c r="H1210" s="34"/>
      <c r="I1210" s="37"/>
    </row>
    <row r="1211" ht="22.5" customHeight="1">
      <c r="A1211" s="30"/>
      <c r="B1211" s="31"/>
      <c r="C1211" s="32"/>
      <c r="D1211" s="33"/>
      <c r="E1211" s="34"/>
      <c r="F1211" s="34"/>
      <c r="G1211" s="35"/>
      <c r="H1211" s="34"/>
      <c r="I1211" s="37"/>
    </row>
    <row r="1212" ht="22.5" customHeight="1">
      <c r="A1212" s="30"/>
      <c r="B1212" s="31"/>
      <c r="C1212" s="32"/>
      <c r="D1212" s="33"/>
      <c r="E1212" s="34"/>
      <c r="F1212" s="34"/>
      <c r="G1212" s="35"/>
      <c r="H1212" s="34"/>
      <c r="I1212" s="37"/>
    </row>
    <row r="1213" ht="22.5" customHeight="1">
      <c r="A1213" s="30"/>
      <c r="B1213" s="31"/>
      <c r="C1213" s="32"/>
      <c r="D1213" s="33"/>
      <c r="E1213" s="34"/>
      <c r="F1213" s="34"/>
      <c r="G1213" s="35"/>
      <c r="H1213" s="34"/>
      <c r="I1213" s="37"/>
    </row>
    <row r="1214" ht="22.5" customHeight="1">
      <c r="A1214" s="30"/>
      <c r="B1214" s="31"/>
      <c r="C1214" s="32"/>
      <c r="D1214" s="33"/>
      <c r="E1214" s="34"/>
      <c r="F1214" s="34"/>
      <c r="G1214" s="35"/>
      <c r="H1214" s="34"/>
      <c r="I1214" s="37"/>
    </row>
    <row r="1215" ht="22.5" customHeight="1">
      <c r="A1215" s="30"/>
      <c r="B1215" s="31"/>
      <c r="C1215" s="32"/>
      <c r="D1215" s="33"/>
      <c r="E1215" s="34"/>
      <c r="F1215" s="34"/>
      <c r="G1215" s="35"/>
      <c r="H1215" s="34"/>
      <c r="I1215" s="37"/>
    </row>
    <row r="1216" ht="22.5" customHeight="1">
      <c r="A1216" s="30"/>
      <c r="B1216" s="40"/>
      <c r="C1216" s="32"/>
      <c r="D1216" s="33"/>
      <c r="E1216" s="34"/>
      <c r="F1216" s="34"/>
      <c r="G1216" s="35"/>
      <c r="H1216" s="34"/>
      <c r="I1216" s="37"/>
    </row>
    <row r="1217" ht="22.5" customHeight="1">
      <c r="A1217" s="30"/>
      <c r="B1217" s="31"/>
      <c r="C1217" s="32"/>
      <c r="D1217" s="33"/>
      <c r="E1217" s="34"/>
      <c r="F1217" s="34"/>
      <c r="G1217" s="35"/>
      <c r="H1217" s="34"/>
      <c r="I1217" s="37"/>
    </row>
    <row r="1218" ht="22.5" customHeight="1">
      <c r="A1218" s="30"/>
      <c r="B1218" s="31"/>
      <c r="C1218" s="32"/>
      <c r="D1218" s="33"/>
      <c r="E1218" s="34"/>
      <c r="F1218" s="34"/>
      <c r="G1218" s="35"/>
      <c r="H1218" s="34"/>
      <c r="I1218" s="37"/>
    </row>
    <row r="1219" ht="22.5" customHeight="1">
      <c r="A1219" s="30"/>
      <c r="B1219" s="31"/>
      <c r="C1219" s="32"/>
      <c r="D1219" s="33"/>
      <c r="E1219" s="34"/>
      <c r="F1219" s="34"/>
      <c r="G1219" s="35"/>
      <c r="H1219" s="34"/>
      <c r="I1219" s="37"/>
    </row>
    <row r="1220" ht="22.5" customHeight="1">
      <c r="A1220" s="30"/>
      <c r="B1220" s="40"/>
      <c r="C1220" s="32"/>
      <c r="D1220" s="33"/>
      <c r="E1220" s="34"/>
      <c r="F1220" s="34"/>
      <c r="G1220" s="35"/>
      <c r="H1220" s="34"/>
      <c r="I1220" s="37"/>
    </row>
    <row r="1221" ht="22.5" customHeight="1">
      <c r="A1221" s="30"/>
      <c r="B1221" s="31"/>
      <c r="C1221" s="32"/>
      <c r="D1221" s="33"/>
      <c r="E1221" s="34"/>
      <c r="F1221" s="34"/>
      <c r="G1221" s="35"/>
      <c r="H1221" s="34"/>
      <c r="I1221" s="37"/>
    </row>
    <row r="1222" ht="22.5" customHeight="1">
      <c r="A1222" s="30"/>
      <c r="B1222" s="31"/>
      <c r="C1222" s="32"/>
      <c r="D1222" s="33"/>
      <c r="E1222" s="34"/>
      <c r="F1222" s="34"/>
      <c r="G1222" s="35"/>
      <c r="H1222" s="34"/>
      <c r="I1222" s="37"/>
    </row>
    <row r="1223" ht="22.5" customHeight="1">
      <c r="A1223" s="30"/>
      <c r="B1223" s="31"/>
      <c r="C1223" s="32"/>
      <c r="D1223" s="33"/>
      <c r="E1223" s="34"/>
      <c r="F1223" s="34"/>
      <c r="G1223" s="35"/>
      <c r="H1223" s="34"/>
      <c r="I1223" s="37"/>
    </row>
    <row r="1224" ht="22.5" customHeight="1">
      <c r="A1224" s="30"/>
      <c r="B1224" s="31"/>
      <c r="C1224" s="32"/>
      <c r="D1224" s="33"/>
      <c r="E1224" s="34"/>
      <c r="F1224" s="34"/>
      <c r="G1224" s="35"/>
      <c r="H1224" s="34"/>
      <c r="I1224" s="37"/>
    </row>
    <row r="1225" ht="22.5" customHeight="1">
      <c r="A1225" s="30"/>
      <c r="B1225" s="31"/>
      <c r="C1225" s="32"/>
      <c r="D1225" s="33"/>
      <c r="E1225" s="34"/>
      <c r="F1225" s="34"/>
      <c r="G1225" s="35"/>
      <c r="H1225" s="34"/>
      <c r="I1225" s="37"/>
    </row>
    <row r="1226" ht="22.5" customHeight="1">
      <c r="A1226" s="30"/>
      <c r="B1226" s="31"/>
      <c r="C1226" s="32"/>
      <c r="D1226" s="33"/>
      <c r="E1226" s="34"/>
      <c r="F1226" s="34"/>
      <c r="G1226" s="35"/>
      <c r="H1226" s="34"/>
      <c r="I1226" s="37"/>
    </row>
    <row r="1227" ht="22.5" customHeight="1">
      <c r="A1227" s="30"/>
      <c r="B1227" s="31"/>
      <c r="C1227" s="32"/>
      <c r="D1227" s="33"/>
      <c r="E1227" s="34"/>
      <c r="F1227" s="34"/>
      <c r="G1227" s="35"/>
      <c r="H1227" s="34"/>
      <c r="I1227" s="37"/>
    </row>
    <row r="1228" ht="22.5" customHeight="1">
      <c r="A1228" s="30"/>
      <c r="B1228" s="31"/>
      <c r="C1228" s="32"/>
      <c r="D1228" s="33"/>
      <c r="E1228" s="34"/>
      <c r="F1228" s="34"/>
      <c r="G1228" s="35"/>
      <c r="H1228" s="34"/>
      <c r="I1228" s="37"/>
    </row>
    <row r="1229" ht="22.5" customHeight="1">
      <c r="A1229" s="30"/>
      <c r="B1229" s="31"/>
      <c r="C1229" s="32"/>
      <c r="D1229" s="33"/>
      <c r="E1229" s="34"/>
      <c r="F1229" s="34"/>
      <c r="G1229" s="35"/>
      <c r="H1229" s="34"/>
      <c r="I1229" s="37"/>
    </row>
    <row r="1230" ht="22.5" customHeight="1">
      <c r="A1230" s="30"/>
      <c r="B1230" s="31"/>
      <c r="C1230" s="32"/>
      <c r="D1230" s="33"/>
      <c r="E1230" s="34"/>
      <c r="F1230" s="34"/>
      <c r="G1230" s="35"/>
      <c r="H1230" s="34"/>
      <c r="I1230" s="37"/>
    </row>
    <row r="1231" ht="22.5" customHeight="1">
      <c r="A1231" s="30"/>
      <c r="B1231" s="31"/>
      <c r="C1231" s="32"/>
      <c r="D1231" s="33"/>
      <c r="E1231" s="34"/>
      <c r="F1231" s="34"/>
      <c r="G1231" s="35"/>
      <c r="H1231" s="34"/>
      <c r="I1231" s="37"/>
    </row>
    <row r="1232" ht="22.5" customHeight="1">
      <c r="A1232" s="30"/>
      <c r="B1232" s="31"/>
      <c r="C1232" s="32"/>
      <c r="D1232" s="33"/>
      <c r="E1232" s="34"/>
      <c r="F1232" s="34"/>
      <c r="G1232" s="35"/>
      <c r="H1232" s="34"/>
      <c r="I1232" s="37"/>
    </row>
    <row r="1233" ht="22.5" customHeight="1">
      <c r="A1233" s="30"/>
      <c r="B1233" s="31"/>
      <c r="C1233" s="32"/>
      <c r="D1233" s="33"/>
      <c r="E1233" s="34"/>
      <c r="F1233" s="34"/>
      <c r="G1233" s="35"/>
      <c r="H1233" s="34"/>
      <c r="I1233" s="37"/>
    </row>
    <row r="1234" ht="22.5" customHeight="1">
      <c r="A1234" s="30"/>
      <c r="B1234" s="31"/>
      <c r="C1234" s="32"/>
      <c r="D1234" s="33"/>
      <c r="E1234" s="34"/>
      <c r="F1234" s="34"/>
      <c r="G1234" s="35"/>
      <c r="H1234" s="34"/>
      <c r="I1234" s="37"/>
    </row>
    <row r="1235" ht="22.5" customHeight="1">
      <c r="A1235" s="30"/>
      <c r="B1235" s="40"/>
      <c r="C1235" s="32"/>
      <c r="D1235" s="33"/>
      <c r="E1235" s="34"/>
      <c r="F1235" s="34"/>
      <c r="G1235" s="35"/>
      <c r="H1235" s="34"/>
      <c r="I1235" s="37"/>
    </row>
    <row r="1236" ht="22.5" customHeight="1">
      <c r="A1236" s="30"/>
      <c r="B1236" s="31"/>
      <c r="C1236" s="32"/>
      <c r="D1236" s="33"/>
      <c r="E1236" s="34"/>
      <c r="F1236" s="34"/>
      <c r="G1236" s="35"/>
      <c r="H1236" s="34"/>
      <c r="I1236" s="37"/>
    </row>
    <row r="1237" ht="22.5" customHeight="1">
      <c r="A1237" s="30"/>
      <c r="B1237" s="40"/>
      <c r="C1237" s="32"/>
      <c r="D1237" s="33"/>
      <c r="E1237" s="34"/>
      <c r="F1237" s="34"/>
      <c r="G1237" s="35"/>
      <c r="H1237" s="34"/>
      <c r="I1237" s="37"/>
    </row>
    <row r="1238" ht="22.5" customHeight="1">
      <c r="A1238" s="30"/>
      <c r="B1238" s="31"/>
      <c r="C1238" s="32"/>
      <c r="D1238" s="33"/>
      <c r="E1238" s="34"/>
      <c r="F1238" s="34"/>
      <c r="G1238" s="35"/>
      <c r="H1238" s="34"/>
      <c r="I1238" s="37"/>
    </row>
    <row r="1239" ht="22.5" customHeight="1">
      <c r="A1239" s="30"/>
      <c r="B1239" s="31"/>
      <c r="C1239" s="32"/>
      <c r="D1239" s="33"/>
      <c r="E1239" s="34"/>
      <c r="F1239" s="34"/>
      <c r="G1239" s="35"/>
      <c r="H1239" s="34"/>
      <c r="I1239" s="37"/>
    </row>
    <row r="1240" ht="22.5" customHeight="1">
      <c r="A1240" s="30"/>
      <c r="B1240" s="31"/>
      <c r="C1240" s="32"/>
      <c r="D1240" s="33"/>
      <c r="E1240" s="34"/>
      <c r="F1240" s="34"/>
      <c r="G1240" s="35"/>
      <c r="H1240" s="34"/>
      <c r="I1240" s="37"/>
    </row>
    <row r="1241" ht="22.5" customHeight="1">
      <c r="A1241" s="30"/>
      <c r="B1241" s="31"/>
      <c r="C1241" s="32"/>
      <c r="D1241" s="33"/>
      <c r="E1241" s="34"/>
      <c r="F1241" s="34"/>
      <c r="G1241" s="35"/>
      <c r="H1241" s="34"/>
      <c r="I1241" s="37"/>
    </row>
    <row r="1242" ht="22.5" customHeight="1">
      <c r="A1242" s="30"/>
      <c r="B1242" s="40"/>
      <c r="C1242" s="32"/>
      <c r="D1242" s="33"/>
      <c r="E1242" s="34"/>
      <c r="F1242" s="34"/>
      <c r="G1242" s="35"/>
      <c r="H1242" s="34"/>
      <c r="I1242" s="37"/>
    </row>
    <row r="1243" ht="22.5" customHeight="1">
      <c r="A1243" s="30"/>
      <c r="B1243" s="31"/>
      <c r="C1243" s="32"/>
      <c r="D1243" s="33"/>
      <c r="E1243" s="34"/>
      <c r="F1243" s="34"/>
      <c r="G1243" s="35"/>
      <c r="H1243" s="34"/>
      <c r="I1243" s="37"/>
    </row>
    <row r="1244" ht="22.5" customHeight="1">
      <c r="A1244" s="30"/>
      <c r="B1244" s="31"/>
      <c r="C1244" s="32"/>
      <c r="D1244" s="33"/>
      <c r="E1244" s="34"/>
      <c r="F1244" s="34"/>
      <c r="G1244" s="35"/>
      <c r="H1244" s="34"/>
      <c r="I1244" s="37"/>
    </row>
    <row r="1245" ht="22.5" customHeight="1">
      <c r="A1245" s="30"/>
      <c r="B1245" s="31"/>
      <c r="C1245" s="32"/>
      <c r="D1245" s="33"/>
      <c r="E1245" s="34"/>
      <c r="F1245" s="34"/>
      <c r="G1245" s="35"/>
      <c r="H1245" s="34"/>
      <c r="I1245" s="37"/>
    </row>
    <row r="1246" ht="22.5" customHeight="1">
      <c r="A1246" s="30"/>
      <c r="B1246" s="31"/>
      <c r="C1246" s="32"/>
      <c r="D1246" s="33"/>
      <c r="E1246" s="34"/>
      <c r="F1246" s="34"/>
      <c r="G1246" s="35"/>
      <c r="H1246" s="34"/>
      <c r="I1246" s="37"/>
    </row>
    <row r="1247" ht="22.5" customHeight="1">
      <c r="A1247" s="30"/>
      <c r="B1247" s="31"/>
      <c r="C1247" s="32"/>
      <c r="D1247" s="33"/>
      <c r="E1247" s="34"/>
      <c r="F1247" s="34"/>
      <c r="G1247" s="35"/>
      <c r="H1247" s="34"/>
      <c r="I1247" s="37"/>
    </row>
    <row r="1248" ht="22.5" customHeight="1">
      <c r="A1248" s="30"/>
      <c r="B1248" s="31"/>
      <c r="C1248" s="32"/>
      <c r="D1248" s="33"/>
      <c r="E1248" s="34"/>
      <c r="F1248" s="34"/>
      <c r="G1248" s="35"/>
      <c r="H1248" s="34"/>
      <c r="I1248" s="37"/>
    </row>
    <row r="1249" ht="22.5" customHeight="1">
      <c r="A1249" s="30"/>
      <c r="B1249" s="31"/>
      <c r="C1249" s="32"/>
      <c r="D1249" s="33"/>
      <c r="E1249" s="34"/>
      <c r="F1249" s="34"/>
      <c r="G1249" s="35"/>
      <c r="H1249" s="34"/>
      <c r="I1249" s="37"/>
    </row>
    <row r="1250" ht="22.5" customHeight="1">
      <c r="A1250" s="30"/>
      <c r="B1250" s="31"/>
      <c r="C1250" s="32"/>
      <c r="D1250" s="33"/>
      <c r="E1250" s="34"/>
      <c r="F1250" s="34"/>
      <c r="G1250" s="35"/>
      <c r="H1250" s="34"/>
      <c r="I1250" s="37"/>
    </row>
    <row r="1251" ht="22.5" customHeight="1">
      <c r="A1251" s="30"/>
      <c r="B1251" s="31"/>
      <c r="C1251" s="32"/>
      <c r="D1251" s="33"/>
      <c r="E1251" s="34"/>
      <c r="F1251" s="34"/>
      <c r="G1251" s="35"/>
      <c r="H1251" s="34"/>
      <c r="I1251" s="37"/>
    </row>
    <row r="1252" ht="22.5" customHeight="1">
      <c r="A1252" s="30"/>
      <c r="B1252" s="31"/>
      <c r="C1252" s="32"/>
      <c r="D1252" s="33"/>
      <c r="E1252" s="34"/>
      <c r="F1252" s="34"/>
      <c r="G1252" s="35"/>
      <c r="H1252" s="34"/>
      <c r="I1252" s="37"/>
    </row>
    <row r="1253" ht="22.5" customHeight="1">
      <c r="A1253" s="30"/>
      <c r="B1253" s="31"/>
      <c r="C1253" s="32"/>
      <c r="D1253" s="33"/>
      <c r="E1253" s="34"/>
      <c r="F1253" s="34"/>
      <c r="G1253" s="35"/>
      <c r="H1253" s="34"/>
      <c r="I1253" s="37"/>
    </row>
    <row r="1254" ht="22.5" customHeight="1">
      <c r="A1254" s="30"/>
      <c r="B1254" s="31"/>
      <c r="C1254" s="32"/>
      <c r="D1254" s="33"/>
      <c r="E1254" s="34"/>
      <c r="F1254" s="34"/>
      <c r="G1254" s="35"/>
      <c r="H1254" s="34"/>
      <c r="I1254" s="37"/>
    </row>
    <row r="1255" ht="22.5" customHeight="1">
      <c r="A1255" s="30"/>
      <c r="B1255" s="31"/>
      <c r="C1255" s="32"/>
      <c r="D1255" s="33"/>
      <c r="E1255" s="34"/>
      <c r="F1255" s="34"/>
      <c r="G1255" s="35"/>
      <c r="H1255" s="34"/>
      <c r="I1255" s="37"/>
    </row>
    <row r="1256" ht="22.5" customHeight="1">
      <c r="A1256" s="30"/>
      <c r="B1256" s="31"/>
      <c r="C1256" s="32"/>
      <c r="D1256" s="33"/>
      <c r="E1256" s="34"/>
      <c r="F1256" s="34"/>
      <c r="G1256" s="35"/>
      <c r="H1256" s="34"/>
      <c r="I1256" s="37"/>
    </row>
    <row r="1257" ht="22.5" customHeight="1">
      <c r="A1257" s="30"/>
      <c r="B1257" s="31"/>
      <c r="C1257" s="32"/>
      <c r="D1257" s="33"/>
      <c r="E1257" s="34"/>
      <c r="F1257" s="34"/>
      <c r="G1257" s="35"/>
      <c r="H1257" s="34"/>
      <c r="I1257" s="37"/>
    </row>
    <row r="1258" ht="22.5" customHeight="1">
      <c r="A1258" s="30"/>
      <c r="B1258" s="31"/>
      <c r="C1258" s="32"/>
      <c r="D1258" s="33"/>
      <c r="E1258" s="34"/>
      <c r="F1258" s="34"/>
      <c r="G1258" s="35"/>
      <c r="H1258" s="34"/>
      <c r="I1258" s="37"/>
    </row>
    <row r="1259" ht="22.5" customHeight="1">
      <c r="A1259" s="30"/>
      <c r="B1259" s="31"/>
      <c r="C1259" s="32"/>
      <c r="D1259" s="33"/>
      <c r="E1259" s="34"/>
      <c r="F1259" s="34"/>
      <c r="G1259" s="35"/>
      <c r="H1259" s="34"/>
      <c r="I1259" s="37"/>
    </row>
    <row r="1260" ht="22.5" customHeight="1">
      <c r="A1260" s="30"/>
      <c r="B1260" s="31"/>
      <c r="C1260" s="32"/>
      <c r="D1260" s="33"/>
      <c r="E1260" s="34"/>
      <c r="F1260" s="34"/>
      <c r="G1260" s="35"/>
      <c r="H1260" s="34"/>
      <c r="I1260" s="37"/>
    </row>
    <row r="1261" ht="22.5" customHeight="1">
      <c r="A1261" s="30"/>
      <c r="B1261" s="31"/>
      <c r="C1261" s="32"/>
      <c r="D1261" s="33"/>
      <c r="E1261" s="34"/>
      <c r="F1261" s="34"/>
      <c r="G1261" s="35"/>
      <c r="H1261" s="34"/>
      <c r="I1261" s="37"/>
    </row>
    <row r="1262" ht="22.5" customHeight="1">
      <c r="A1262" s="30"/>
      <c r="B1262" s="31"/>
      <c r="C1262" s="32"/>
      <c r="D1262" s="33"/>
      <c r="E1262" s="34"/>
      <c r="F1262" s="34"/>
      <c r="G1262" s="35"/>
      <c r="H1262" s="34"/>
      <c r="I1262" s="37"/>
    </row>
    <row r="1263" ht="22.5" customHeight="1">
      <c r="A1263" s="30"/>
      <c r="B1263" s="31"/>
      <c r="C1263" s="32"/>
      <c r="D1263" s="33"/>
      <c r="E1263" s="34"/>
      <c r="F1263" s="34"/>
      <c r="G1263" s="35"/>
      <c r="H1263" s="34"/>
      <c r="I1263" s="37"/>
    </row>
    <row r="1264" ht="22.5" customHeight="1">
      <c r="A1264" s="30"/>
      <c r="B1264" s="40"/>
      <c r="C1264" s="32"/>
      <c r="D1264" s="33"/>
      <c r="E1264" s="34"/>
      <c r="F1264" s="34"/>
      <c r="G1264" s="35"/>
      <c r="H1264" s="34"/>
      <c r="I1264" s="37"/>
    </row>
    <row r="1265" ht="22.5" customHeight="1">
      <c r="A1265" s="30"/>
      <c r="B1265" s="31"/>
      <c r="C1265" s="32"/>
      <c r="D1265" s="33"/>
      <c r="E1265" s="34"/>
      <c r="F1265" s="34"/>
      <c r="G1265" s="35"/>
      <c r="H1265" s="34"/>
      <c r="I1265" s="37"/>
    </row>
    <row r="1266" ht="22.5" customHeight="1">
      <c r="A1266" s="30"/>
      <c r="B1266" s="31"/>
      <c r="C1266" s="32"/>
      <c r="D1266" s="33"/>
      <c r="E1266" s="34"/>
      <c r="F1266" s="34"/>
      <c r="G1266" s="35"/>
      <c r="H1266" s="34"/>
      <c r="I1266" s="37"/>
    </row>
    <row r="1267" ht="22.5" customHeight="1">
      <c r="A1267" s="30"/>
      <c r="B1267" s="31"/>
      <c r="C1267" s="32"/>
      <c r="D1267" s="33"/>
      <c r="E1267" s="34"/>
      <c r="F1267" s="34"/>
      <c r="G1267" s="35"/>
      <c r="H1267" s="34"/>
      <c r="I1267" s="37"/>
    </row>
    <row r="1268" ht="22.5" customHeight="1">
      <c r="A1268" s="30"/>
      <c r="B1268" s="31"/>
      <c r="C1268" s="32"/>
      <c r="D1268" s="33"/>
      <c r="E1268" s="34"/>
      <c r="F1268" s="34"/>
      <c r="G1268" s="35"/>
      <c r="H1268" s="34"/>
      <c r="I1268" s="38"/>
    </row>
    <row r="1269" ht="22.5" customHeight="1">
      <c r="A1269" s="30"/>
      <c r="B1269" s="39"/>
      <c r="C1269" s="32"/>
      <c r="D1269" s="33"/>
      <c r="E1269" s="34"/>
      <c r="F1269" s="34"/>
      <c r="G1269" s="35"/>
      <c r="H1269" s="34"/>
      <c r="I1269" s="37"/>
    </row>
    <row r="1270" ht="22.5" customHeight="1">
      <c r="A1270" s="30"/>
      <c r="B1270" s="31"/>
      <c r="C1270" s="32"/>
      <c r="D1270" s="33"/>
      <c r="E1270" s="34"/>
      <c r="F1270" s="34"/>
      <c r="G1270" s="35"/>
      <c r="H1270" s="34"/>
      <c r="I1270" s="37"/>
    </row>
    <row r="1271" ht="22.5" customHeight="1">
      <c r="A1271" s="30"/>
      <c r="B1271" s="31"/>
      <c r="C1271" s="32"/>
      <c r="D1271" s="33"/>
      <c r="E1271" s="34"/>
      <c r="F1271" s="34"/>
      <c r="G1271" s="35"/>
      <c r="H1271" s="34"/>
      <c r="I1271" s="37"/>
    </row>
    <row r="1272" ht="22.5" customHeight="1">
      <c r="A1272" s="30"/>
      <c r="B1272" s="31"/>
      <c r="C1272" s="32"/>
      <c r="D1272" s="33"/>
      <c r="E1272" s="34"/>
      <c r="F1272" s="34"/>
      <c r="G1272" s="35"/>
      <c r="H1272" s="34"/>
      <c r="I1272" s="37"/>
    </row>
    <row r="1273" ht="22.5" customHeight="1">
      <c r="A1273" s="30"/>
      <c r="B1273" s="39"/>
      <c r="C1273" s="32"/>
      <c r="D1273" s="33"/>
      <c r="E1273" s="34"/>
      <c r="F1273" s="34"/>
      <c r="G1273" s="35"/>
      <c r="H1273" s="34"/>
      <c r="I1273" s="37"/>
    </row>
    <row r="1274" ht="22.5" customHeight="1">
      <c r="A1274" s="30"/>
      <c r="B1274" s="31"/>
      <c r="C1274" s="32"/>
      <c r="D1274" s="33"/>
      <c r="E1274" s="34"/>
      <c r="F1274" s="34"/>
      <c r="G1274" s="35"/>
      <c r="H1274" s="34"/>
      <c r="I1274" s="37"/>
    </row>
    <row r="1275" ht="22.5" customHeight="1">
      <c r="A1275" s="30"/>
      <c r="B1275" s="39"/>
      <c r="C1275" s="32"/>
      <c r="D1275" s="33"/>
      <c r="E1275" s="34"/>
      <c r="F1275" s="34"/>
      <c r="G1275" s="35"/>
      <c r="H1275" s="34"/>
      <c r="I1275" s="37"/>
    </row>
    <row r="1276" ht="22.5" customHeight="1">
      <c r="A1276" s="30"/>
      <c r="B1276" s="31"/>
      <c r="C1276" s="32"/>
      <c r="D1276" s="33"/>
      <c r="E1276" s="34"/>
      <c r="F1276" s="34"/>
      <c r="G1276" s="35"/>
      <c r="H1276" s="34"/>
      <c r="I1276" s="37"/>
    </row>
    <row r="1277" ht="22.5" customHeight="1">
      <c r="A1277" s="30"/>
      <c r="B1277" s="31"/>
      <c r="C1277" s="32"/>
      <c r="D1277" s="33"/>
      <c r="E1277" s="34"/>
      <c r="F1277" s="34"/>
      <c r="G1277" s="35"/>
      <c r="H1277" s="34"/>
      <c r="I1277" s="37"/>
    </row>
    <row r="1278" ht="22.5" customHeight="1">
      <c r="A1278" s="30"/>
      <c r="B1278" s="31"/>
      <c r="C1278" s="32"/>
      <c r="D1278" s="33"/>
      <c r="E1278" s="34"/>
      <c r="F1278" s="34"/>
      <c r="G1278" s="35"/>
      <c r="H1278" s="34"/>
      <c r="I1278" s="37"/>
    </row>
    <row r="1279" ht="22.5" customHeight="1">
      <c r="A1279" s="30"/>
      <c r="B1279" s="31"/>
      <c r="C1279" s="32"/>
      <c r="D1279" s="33"/>
      <c r="E1279" s="34"/>
      <c r="F1279" s="34"/>
      <c r="G1279" s="35"/>
      <c r="H1279" s="34"/>
      <c r="I1279" s="37"/>
    </row>
    <row r="1280" ht="22.5" customHeight="1">
      <c r="A1280" s="30"/>
      <c r="B1280" s="31"/>
      <c r="C1280" s="32"/>
      <c r="D1280" s="33"/>
      <c r="E1280" s="34"/>
      <c r="F1280" s="34"/>
      <c r="G1280" s="35"/>
      <c r="H1280" s="34"/>
      <c r="I1280" s="37"/>
    </row>
    <row r="1281" ht="22.5" customHeight="1">
      <c r="A1281" s="30"/>
      <c r="B1281" s="31"/>
      <c r="C1281" s="32"/>
      <c r="D1281" s="33"/>
      <c r="E1281" s="34"/>
      <c r="F1281" s="34"/>
      <c r="G1281" s="35"/>
      <c r="H1281" s="34"/>
      <c r="I1281" s="37"/>
    </row>
    <row r="1282" ht="22.5" customHeight="1">
      <c r="A1282" s="30"/>
      <c r="B1282" s="31"/>
      <c r="C1282" s="32"/>
      <c r="D1282" s="33"/>
      <c r="E1282" s="34"/>
      <c r="F1282" s="34"/>
      <c r="G1282" s="35"/>
      <c r="H1282" s="34"/>
      <c r="I1282" s="37"/>
    </row>
    <row r="1283" ht="22.5" customHeight="1">
      <c r="A1283" s="30"/>
      <c r="B1283" s="31"/>
      <c r="C1283" s="32"/>
      <c r="D1283" s="33"/>
      <c r="E1283" s="34"/>
      <c r="F1283" s="34"/>
      <c r="G1283" s="35"/>
      <c r="H1283" s="34"/>
      <c r="I1283" s="37"/>
    </row>
    <row r="1284" ht="22.5" customHeight="1">
      <c r="A1284" s="30"/>
      <c r="B1284" s="31"/>
      <c r="C1284" s="32"/>
      <c r="D1284" s="33"/>
      <c r="E1284" s="34"/>
      <c r="F1284" s="34"/>
      <c r="G1284" s="35"/>
      <c r="H1284" s="34"/>
      <c r="I1284" s="37"/>
    </row>
    <row r="1285" ht="22.5" customHeight="1">
      <c r="A1285" s="30"/>
      <c r="B1285" s="31"/>
      <c r="C1285" s="32"/>
      <c r="D1285" s="33"/>
      <c r="E1285" s="34"/>
      <c r="F1285" s="34"/>
      <c r="G1285" s="35"/>
      <c r="H1285" s="34"/>
      <c r="I1285" s="37"/>
    </row>
    <row r="1286" ht="22.5" customHeight="1">
      <c r="A1286" s="30"/>
      <c r="B1286" s="40"/>
      <c r="C1286" s="32"/>
      <c r="D1286" s="33"/>
      <c r="E1286" s="34"/>
      <c r="F1286" s="34"/>
      <c r="G1286" s="35"/>
      <c r="H1286" s="34"/>
      <c r="I1286" s="37"/>
    </row>
    <row r="1287" ht="22.5" customHeight="1">
      <c r="A1287" s="30"/>
      <c r="B1287" s="31"/>
      <c r="C1287" s="32"/>
      <c r="D1287" s="33"/>
      <c r="E1287" s="34"/>
      <c r="F1287" s="34"/>
      <c r="G1287" s="35"/>
      <c r="H1287" s="34"/>
      <c r="I1287" s="37"/>
    </row>
    <row r="1288" ht="22.5" customHeight="1">
      <c r="A1288" s="30"/>
      <c r="B1288" s="31"/>
      <c r="C1288" s="32"/>
      <c r="D1288" s="33"/>
      <c r="E1288" s="34"/>
      <c r="F1288" s="34"/>
      <c r="G1288" s="35"/>
      <c r="H1288" s="34"/>
      <c r="I1288" s="37"/>
    </row>
    <row r="1289" ht="22.5" customHeight="1">
      <c r="A1289" s="30"/>
      <c r="B1289" s="31"/>
      <c r="C1289" s="32"/>
      <c r="D1289" s="33"/>
      <c r="E1289" s="34"/>
      <c r="F1289" s="34"/>
      <c r="G1289" s="35"/>
      <c r="H1289" s="34"/>
      <c r="I1289" s="37"/>
    </row>
    <row r="1290" ht="22.5" customHeight="1">
      <c r="A1290" s="30"/>
      <c r="B1290" s="31"/>
      <c r="C1290" s="32"/>
      <c r="D1290" s="33"/>
      <c r="E1290" s="34"/>
      <c r="F1290" s="34"/>
      <c r="G1290" s="35"/>
      <c r="H1290" s="34"/>
      <c r="I1290" s="37"/>
    </row>
    <row r="1291" ht="22.5" customHeight="1">
      <c r="A1291" s="30"/>
      <c r="B1291" s="31"/>
      <c r="C1291" s="32"/>
      <c r="D1291" s="33"/>
      <c r="E1291" s="34"/>
      <c r="F1291" s="34"/>
      <c r="G1291" s="35"/>
      <c r="H1291" s="34"/>
      <c r="I1291" s="37"/>
    </row>
    <row r="1292" ht="22.5" customHeight="1">
      <c r="A1292" s="30"/>
      <c r="B1292" s="31"/>
      <c r="C1292" s="32"/>
      <c r="D1292" s="33"/>
      <c r="E1292" s="34"/>
      <c r="F1292" s="34"/>
      <c r="G1292" s="35"/>
      <c r="H1292" s="34"/>
      <c r="I1292" s="37"/>
    </row>
    <row r="1293" ht="22.5" customHeight="1">
      <c r="A1293" s="30"/>
      <c r="B1293" s="39"/>
      <c r="C1293" s="32"/>
      <c r="D1293" s="33"/>
      <c r="E1293" s="34"/>
      <c r="F1293" s="34"/>
      <c r="G1293" s="35"/>
      <c r="H1293" s="34"/>
      <c r="I1293" s="37"/>
    </row>
    <row r="1294" ht="22.5" customHeight="1">
      <c r="A1294" s="30"/>
      <c r="B1294" s="39"/>
      <c r="C1294" s="32"/>
      <c r="D1294" s="33"/>
      <c r="E1294" s="34"/>
      <c r="F1294" s="34"/>
      <c r="G1294" s="35"/>
      <c r="H1294" s="34"/>
      <c r="I1294" s="37"/>
    </row>
    <row r="1295" ht="22.5" customHeight="1">
      <c r="A1295" s="30"/>
      <c r="B1295" s="39"/>
      <c r="C1295" s="32"/>
      <c r="D1295" s="33"/>
      <c r="E1295" s="34"/>
      <c r="F1295" s="34"/>
      <c r="G1295" s="35"/>
      <c r="H1295" s="34"/>
      <c r="I1295" s="37"/>
    </row>
    <row r="1296" ht="22.5" customHeight="1">
      <c r="A1296" s="30"/>
      <c r="B1296" s="40"/>
      <c r="C1296" s="32"/>
      <c r="D1296" s="33"/>
      <c r="E1296" s="34"/>
      <c r="F1296" s="34"/>
      <c r="G1296" s="35"/>
      <c r="H1296" s="34"/>
      <c r="I1296" s="37"/>
    </row>
    <row r="1297" ht="22.5" customHeight="1">
      <c r="A1297" s="30"/>
      <c r="B1297" s="31"/>
      <c r="C1297" s="32"/>
      <c r="D1297" s="33"/>
      <c r="E1297" s="34"/>
      <c r="F1297" s="34"/>
      <c r="G1297" s="35"/>
      <c r="H1297" s="34"/>
      <c r="I1297" s="37"/>
    </row>
    <row r="1298" ht="22.5" customHeight="1">
      <c r="A1298" s="30"/>
      <c r="B1298" s="31"/>
      <c r="C1298" s="32"/>
      <c r="D1298" s="33"/>
      <c r="E1298" s="34"/>
      <c r="F1298" s="34"/>
      <c r="G1298" s="35"/>
      <c r="H1298" s="34"/>
      <c r="I1298" s="37"/>
    </row>
    <row r="1299" ht="22.5" customHeight="1">
      <c r="A1299" s="30"/>
      <c r="B1299" s="31"/>
      <c r="C1299" s="32"/>
      <c r="D1299" s="33"/>
      <c r="E1299" s="34"/>
      <c r="F1299" s="34"/>
      <c r="G1299" s="35"/>
      <c r="H1299" s="34"/>
      <c r="I1299" s="37"/>
    </row>
    <row r="1300" ht="22.5" customHeight="1">
      <c r="A1300" s="30"/>
      <c r="B1300" s="31"/>
      <c r="C1300" s="32"/>
      <c r="D1300" s="33"/>
      <c r="E1300" s="34"/>
      <c r="F1300" s="34"/>
      <c r="G1300" s="35"/>
      <c r="H1300" s="34"/>
      <c r="I1300" s="37"/>
    </row>
    <row r="1301" ht="22.5" customHeight="1">
      <c r="A1301" s="30"/>
      <c r="B1301" s="31"/>
      <c r="C1301" s="32"/>
      <c r="D1301" s="33"/>
      <c r="E1301" s="34"/>
      <c r="F1301" s="34"/>
      <c r="G1301" s="35"/>
      <c r="H1301" s="34"/>
      <c r="I1301" s="37"/>
    </row>
    <row r="1302" ht="22.5" customHeight="1">
      <c r="A1302" s="30"/>
      <c r="B1302" s="31"/>
      <c r="C1302" s="32"/>
      <c r="D1302" s="33"/>
      <c r="E1302" s="34"/>
      <c r="F1302" s="34"/>
      <c r="G1302" s="35"/>
      <c r="H1302" s="34"/>
      <c r="I1302" s="37"/>
    </row>
    <row r="1303" ht="22.5" customHeight="1">
      <c r="A1303" s="30"/>
      <c r="B1303" s="31"/>
      <c r="C1303" s="32"/>
      <c r="D1303" s="33"/>
      <c r="E1303" s="34"/>
      <c r="F1303" s="34"/>
      <c r="G1303" s="35"/>
      <c r="H1303" s="34"/>
      <c r="I1303" s="37"/>
    </row>
    <row r="1304" ht="22.5" customHeight="1">
      <c r="A1304" s="30"/>
      <c r="B1304" s="31"/>
      <c r="C1304" s="32"/>
      <c r="D1304" s="33"/>
      <c r="E1304" s="34"/>
      <c r="F1304" s="34"/>
      <c r="G1304" s="35"/>
      <c r="H1304" s="34"/>
      <c r="I1304" s="37"/>
    </row>
    <row r="1305" ht="22.5" customHeight="1">
      <c r="A1305" s="30"/>
      <c r="B1305" s="31"/>
      <c r="C1305" s="32"/>
      <c r="D1305" s="33"/>
      <c r="E1305" s="34"/>
      <c r="F1305" s="34"/>
      <c r="G1305" s="35"/>
      <c r="H1305" s="34"/>
      <c r="I1305" s="37"/>
    </row>
    <row r="1306" ht="22.5" customHeight="1">
      <c r="A1306" s="30"/>
      <c r="B1306" s="40"/>
      <c r="C1306" s="32"/>
      <c r="D1306" s="33"/>
      <c r="E1306" s="34"/>
      <c r="F1306" s="34"/>
      <c r="G1306" s="35"/>
      <c r="H1306" s="34"/>
      <c r="I1306" s="37"/>
    </row>
    <row r="1307" ht="22.5" customHeight="1">
      <c r="A1307" s="30"/>
      <c r="B1307" s="31"/>
      <c r="C1307" s="32"/>
      <c r="D1307" s="33"/>
      <c r="E1307" s="34"/>
      <c r="F1307" s="34"/>
      <c r="G1307" s="35"/>
      <c r="H1307" s="34"/>
      <c r="I1307" s="37"/>
    </row>
    <row r="1308" ht="22.5" customHeight="1">
      <c r="A1308" s="30"/>
      <c r="B1308" s="31"/>
      <c r="C1308" s="32"/>
      <c r="D1308" s="33"/>
      <c r="E1308" s="34"/>
      <c r="F1308" s="34"/>
      <c r="G1308" s="35"/>
      <c r="H1308" s="34"/>
      <c r="I1308" s="37"/>
    </row>
    <row r="1309" ht="22.5" customHeight="1">
      <c r="A1309" s="30"/>
      <c r="B1309" s="31"/>
      <c r="C1309" s="32"/>
      <c r="D1309" s="33"/>
      <c r="E1309" s="34"/>
      <c r="F1309" s="34"/>
      <c r="G1309" s="35"/>
      <c r="H1309" s="34"/>
      <c r="I1309" s="37"/>
    </row>
    <row r="1310" ht="22.5" customHeight="1">
      <c r="A1310" s="30"/>
      <c r="B1310" s="40"/>
      <c r="C1310" s="32"/>
      <c r="D1310" s="33"/>
      <c r="E1310" s="34"/>
      <c r="F1310" s="34"/>
      <c r="G1310" s="35"/>
      <c r="H1310" s="34"/>
      <c r="I1310" s="37"/>
    </row>
    <row r="1311" ht="22.5" customHeight="1">
      <c r="A1311" s="30"/>
      <c r="B1311" s="31"/>
      <c r="C1311" s="32"/>
      <c r="D1311" s="33"/>
      <c r="E1311" s="34"/>
      <c r="F1311" s="34"/>
      <c r="G1311" s="35"/>
      <c r="H1311" s="34"/>
      <c r="I1311" s="37"/>
    </row>
    <row r="1312" ht="22.5" customHeight="1">
      <c r="A1312" s="30"/>
      <c r="B1312" s="31"/>
      <c r="C1312" s="32"/>
      <c r="D1312" s="33"/>
      <c r="E1312" s="34"/>
      <c r="F1312" s="34"/>
      <c r="G1312" s="35"/>
      <c r="H1312" s="34"/>
      <c r="I1312" s="37"/>
    </row>
    <row r="1313" ht="22.5" customHeight="1">
      <c r="A1313" s="30"/>
      <c r="B1313" s="31"/>
      <c r="C1313" s="32"/>
      <c r="D1313" s="33"/>
      <c r="E1313" s="34"/>
      <c r="F1313" s="34"/>
      <c r="G1313" s="35"/>
      <c r="H1313" s="34"/>
      <c r="I1313" s="37"/>
    </row>
    <row r="1314" ht="22.5" customHeight="1">
      <c r="A1314" s="30"/>
      <c r="B1314" s="31"/>
      <c r="C1314" s="32"/>
      <c r="D1314" s="33"/>
      <c r="E1314" s="34"/>
      <c r="F1314" s="34"/>
      <c r="G1314" s="35"/>
      <c r="H1314" s="34"/>
      <c r="I1314" s="37"/>
    </row>
    <row r="1315" ht="22.5" customHeight="1">
      <c r="A1315" s="30"/>
      <c r="B1315" s="31"/>
      <c r="C1315" s="32"/>
      <c r="D1315" s="33"/>
      <c r="E1315" s="34"/>
      <c r="F1315" s="34"/>
      <c r="G1315" s="35"/>
      <c r="H1315" s="34"/>
      <c r="I1315" s="37"/>
    </row>
    <row r="1316" ht="22.5" customHeight="1">
      <c r="A1316" s="30"/>
      <c r="B1316" s="31"/>
      <c r="C1316" s="32"/>
      <c r="D1316" s="33"/>
      <c r="E1316" s="34"/>
      <c r="F1316" s="34"/>
      <c r="G1316" s="35"/>
      <c r="H1316" s="34"/>
      <c r="I1316" s="37"/>
    </row>
    <row r="1317" ht="22.5" customHeight="1">
      <c r="A1317" s="30"/>
      <c r="B1317" s="31"/>
      <c r="C1317" s="32"/>
      <c r="D1317" s="33"/>
      <c r="E1317" s="34"/>
      <c r="F1317" s="34"/>
      <c r="G1317" s="35"/>
      <c r="H1317" s="34"/>
      <c r="I1317" s="37"/>
    </row>
    <row r="1318" ht="22.5" customHeight="1">
      <c r="A1318" s="30"/>
      <c r="B1318" s="31"/>
      <c r="C1318" s="32"/>
      <c r="D1318" s="33"/>
      <c r="E1318" s="34"/>
      <c r="F1318" s="34"/>
      <c r="G1318" s="35"/>
      <c r="H1318" s="34"/>
      <c r="I1318" s="37"/>
    </row>
    <row r="1319" ht="22.5" customHeight="1">
      <c r="A1319" s="30"/>
      <c r="B1319" s="31"/>
      <c r="C1319" s="32"/>
      <c r="D1319" s="33"/>
      <c r="E1319" s="34"/>
      <c r="F1319" s="34"/>
      <c r="G1319" s="35"/>
      <c r="H1319" s="34"/>
      <c r="I1319" s="37"/>
    </row>
    <row r="1320" ht="22.5" customHeight="1">
      <c r="A1320" s="30"/>
      <c r="B1320" s="31"/>
      <c r="C1320" s="32"/>
      <c r="D1320" s="33"/>
      <c r="E1320" s="34"/>
      <c r="F1320" s="34"/>
      <c r="G1320" s="35"/>
      <c r="H1320" s="34"/>
      <c r="I1320" s="37"/>
    </row>
    <row r="1321" ht="22.5" customHeight="1">
      <c r="A1321" s="30"/>
      <c r="B1321" s="31"/>
      <c r="C1321" s="32"/>
      <c r="D1321" s="33"/>
      <c r="E1321" s="34"/>
      <c r="F1321" s="34"/>
      <c r="G1321" s="35"/>
      <c r="H1321" s="34"/>
      <c r="I1321" s="37"/>
    </row>
    <row r="1322" ht="22.5" customHeight="1">
      <c r="A1322" s="30"/>
      <c r="B1322" s="31"/>
      <c r="C1322" s="32"/>
      <c r="D1322" s="33"/>
      <c r="E1322" s="34"/>
      <c r="F1322" s="34"/>
      <c r="G1322" s="35"/>
      <c r="H1322" s="34"/>
      <c r="I1322" s="37"/>
    </row>
    <row r="1323" ht="22.5" customHeight="1">
      <c r="A1323" s="30"/>
      <c r="B1323" s="31"/>
      <c r="C1323" s="32"/>
      <c r="D1323" s="33"/>
      <c r="E1323" s="34"/>
      <c r="F1323" s="34"/>
      <c r="G1323" s="35"/>
      <c r="H1323" s="34"/>
      <c r="I1323" s="37"/>
    </row>
    <row r="1324" ht="22.5" customHeight="1">
      <c r="A1324" s="30"/>
      <c r="B1324" s="31"/>
      <c r="C1324" s="32"/>
      <c r="D1324" s="33"/>
      <c r="E1324" s="34"/>
      <c r="F1324" s="34"/>
      <c r="G1324" s="35"/>
      <c r="H1324" s="34"/>
      <c r="I1324" s="37"/>
    </row>
    <row r="1325" ht="22.5" customHeight="1">
      <c r="A1325" s="30"/>
      <c r="B1325" s="40"/>
      <c r="C1325" s="32"/>
      <c r="D1325" s="33"/>
      <c r="E1325" s="34"/>
      <c r="F1325" s="34"/>
      <c r="G1325" s="35"/>
      <c r="H1325" s="34"/>
      <c r="I1325" s="37"/>
    </row>
    <row r="1326" ht="22.5" customHeight="1">
      <c r="A1326" s="30"/>
      <c r="B1326" s="31"/>
      <c r="C1326" s="32"/>
      <c r="D1326" s="33"/>
      <c r="E1326" s="34"/>
      <c r="F1326" s="34"/>
      <c r="G1326" s="35"/>
      <c r="H1326" s="34"/>
      <c r="I1326" s="37"/>
    </row>
    <row r="1327" ht="22.5" customHeight="1">
      <c r="A1327" s="30"/>
      <c r="B1327" s="40"/>
      <c r="C1327" s="32"/>
      <c r="D1327" s="33"/>
      <c r="E1327" s="34"/>
      <c r="F1327" s="34"/>
      <c r="G1327" s="35"/>
      <c r="H1327" s="34"/>
      <c r="I1327" s="37"/>
    </row>
    <row r="1328" ht="22.5" customHeight="1">
      <c r="A1328" s="30"/>
      <c r="B1328" s="31"/>
      <c r="C1328" s="32"/>
      <c r="D1328" s="33"/>
      <c r="E1328" s="34"/>
      <c r="F1328" s="34"/>
      <c r="G1328" s="35"/>
      <c r="H1328" s="34"/>
      <c r="I1328" s="37"/>
    </row>
    <row r="1329" ht="22.5" customHeight="1">
      <c r="A1329" s="30"/>
      <c r="B1329" s="31"/>
      <c r="C1329" s="32"/>
      <c r="D1329" s="33"/>
      <c r="E1329" s="34"/>
      <c r="F1329" s="34"/>
      <c r="G1329" s="35"/>
      <c r="H1329" s="34"/>
      <c r="I1329" s="37"/>
    </row>
    <row r="1330" ht="22.5" customHeight="1">
      <c r="A1330" s="30"/>
      <c r="B1330" s="31"/>
      <c r="C1330" s="32"/>
      <c r="D1330" s="33"/>
      <c r="E1330" s="34"/>
      <c r="F1330" s="34"/>
      <c r="G1330" s="35"/>
      <c r="H1330" s="34"/>
      <c r="I1330" s="37"/>
    </row>
    <row r="1331" ht="22.5" customHeight="1">
      <c r="A1331" s="30"/>
      <c r="B1331" s="31"/>
      <c r="C1331" s="32"/>
      <c r="D1331" s="33"/>
      <c r="E1331" s="34"/>
      <c r="F1331" s="34"/>
      <c r="G1331" s="35"/>
      <c r="H1331" s="34"/>
      <c r="I1331" s="37"/>
    </row>
    <row r="1332" ht="22.5" customHeight="1">
      <c r="A1332" s="30"/>
      <c r="B1332" s="40"/>
      <c r="C1332" s="32"/>
      <c r="D1332" s="33"/>
      <c r="E1332" s="34"/>
      <c r="F1332" s="34"/>
      <c r="G1332" s="35"/>
      <c r="H1332" s="34"/>
      <c r="I1332" s="37"/>
    </row>
    <row r="1333" ht="22.5" customHeight="1">
      <c r="A1333" s="30"/>
      <c r="B1333" s="31"/>
      <c r="C1333" s="32"/>
      <c r="D1333" s="33"/>
      <c r="E1333" s="34"/>
      <c r="F1333" s="34"/>
      <c r="G1333" s="35"/>
      <c r="H1333" s="34"/>
      <c r="I1333" s="37"/>
    </row>
    <row r="1334" ht="22.5" customHeight="1">
      <c r="A1334" s="30"/>
      <c r="B1334" s="31"/>
      <c r="C1334" s="32"/>
      <c r="D1334" s="33"/>
      <c r="E1334" s="34"/>
      <c r="F1334" s="34"/>
      <c r="G1334" s="35"/>
      <c r="H1334" s="34"/>
      <c r="I1334" s="37"/>
    </row>
    <row r="1335" ht="22.5" customHeight="1">
      <c r="A1335" s="30"/>
      <c r="B1335" s="31"/>
      <c r="C1335" s="32"/>
      <c r="D1335" s="33"/>
      <c r="E1335" s="34"/>
      <c r="F1335" s="34"/>
      <c r="G1335" s="35"/>
      <c r="H1335" s="34"/>
      <c r="I1335" s="37"/>
    </row>
    <row r="1336" ht="22.5" customHeight="1">
      <c r="A1336" s="30"/>
      <c r="B1336" s="31"/>
      <c r="C1336" s="32"/>
      <c r="D1336" s="33"/>
      <c r="E1336" s="34"/>
      <c r="F1336" s="34"/>
      <c r="G1336" s="35"/>
      <c r="H1336" s="34"/>
      <c r="I1336" s="37"/>
    </row>
    <row r="1337" ht="22.5" customHeight="1">
      <c r="A1337" s="30"/>
      <c r="B1337" s="31"/>
      <c r="C1337" s="32"/>
      <c r="D1337" s="33"/>
      <c r="E1337" s="34"/>
      <c r="F1337" s="34"/>
      <c r="G1337" s="35"/>
      <c r="H1337" s="34"/>
      <c r="I1337" s="37"/>
    </row>
    <row r="1338" ht="22.5" customHeight="1">
      <c r="A1338" s="30"/>
      <c r="B1338" s="31"/>
      <c r="C1338" s="32"/>
      <c r="D1338" s="33"/>
      <c r="E1338" s="34"/>
      <c r="F1338" s="34"/>
      <c r="G1338" s="35"/>
      <c r="H1338" s="34"/>
      <c r="I1338" s="37"/>
    </row>
    <row r="1339" ht="22.5" customHeight="1">
      <c r="A1339" s="30"/>
      <c r="B1339" s="31"/>
      <c r="C1339" s="32"/>
      <c r="D1339" s="33"/>
      <c r="E1339" s="34"/>
      <c r="F1339" s="34"/>
      <c r="G1339" s="35"/>
      <c r="H1339" s="34"/>
      <c r="I1339" s="37"/>
    </row>
    <row r="1340" ht="22.5" customHeight="1">
      <c r="A1340" s="30"/>
      <c r="B1340" s="31"/>
      <c r="C1340" s="32"/>
      <c r="D1340" s="33"/>
      <c r="E1340" s="34"/>
      <c r="F1340" s="34"/>
      <c r="G1340" s="35"/>
      <c r="H1340" s="34"/>
      <c r="I1340" s="37"/>
    </row>
    <row r="1341" ht="22.5" customHeight="1">
      <c r="A1341" s="30"/>
      <c r="B1341" s="31"/>
      <c r="C1341" s="32"/>
      <c r="D1341" s="33"/>
      <c r="E1341" s="34"/>
      <c r="F1341" s="34"/>
      <c r="G1341" s="35"/>
      <c r="H1341" s="34"/>
      <c r="I1341" s="37"/>
    </row>
    <row r="1342" ht="22.5" customHeight="1">
      <c r="A1342" s="30"/>
      <c r="B1342" s="31"/>
      <c r="C1342" s="32"/>
      <c r="D1342" s="33"/>
      <c r="E1342" s="34"/>
      <c r="F1342" s="34"/>
      <c r="G1342" s="35"/>
      <c r="H1342" s="34"/>
      <c r="I1342" s="37"/>
    </row>
    <row r="1343" ht="22.5" customHeight="1">
      <c r="A1343" s="30"/>
      <c r="B1343" s="31"/>
      <c r="C1343" s="32"/>
      <c r="D1343" s="33"/>
      <c r="E1343" s="34"/>
      <c r="F1343" s="34"/>
      <c r="G1343" s="35"/>
      <c r="H1343" s="34"/>
      <c r="I1343" s="37"/>
    </row>
    <row r="1344" ht="22.5" customHeight="1">
      <c r="A1344" s="30"/>
      <c r="B1344" s="31"/>
      <c r="C1344" s="32"/>
      <c r="D1344" s="33"/>
      <c r="E1344" s="34"/>
      <c r="F1344" s="34"/>
      <c r="G1344" s="35"/>
      <c r="H1344" s="34"/>
      <c r="I1344" s="37"/>
    </row>
    <row r="1345" ht="22.5" customHeight="1">
      <c r="A1345" s="30"/>
      <c r="B1345" s="31"/>
      <c r="C1345" s="32"/>
      <c r="D1345" s="33"/>
      <c r="E1345" s="34"/>
      <c r="F1345" s="34"/>
      <c r="G1345" s="35"/>
      <c r="H1345" s="34"/>
      <c r="I1345" s="37"/>
    </row>
    <row r="1346" ht="22.5" customHeight="1">
      <c r="A1346" s="30"/>
      <c r="B1346" s="31"/>
      <c r="C1346" s="32"/>
      <c r="D1346" s="33"/>
      <c r="E1346" s="34"/>
      <c r="F1346" s="34"/>
      <c r="G1346" s="35"/>
      <c r="H1346" s="34"/>
      <c r="I1346" s="37"/>
    </row>
    <row r="1347" ht="22.5" customHeight="1">
      <c r="A1347" s="30"/>
      <c r="B1347" s="31"/>
      <c r="C1347" s="32"/>
      <c r="D1347" s="33"/>
      <c r="E1347" s="34"/>
      <c r="F1347" s="34"/>
      <c r="G1347" s="35"/>
      <c r="H1347" s="34"/>
      <c r="I1347" s="37"/>
    </row>
    <row r="1348" ht="22.5" customHeight="1">
      <c r="A1348" s="30"/>
      <c r="B1348" s="31"/>
      <c r="C1348" s="32"/>
      <c r="D1348" s="33"/>
      <c r="E1348" s="34"/>
      <c r="F1348" s="34"/>
      <c r="G1348" s="35"/>
      <c r="H1348" s="34"/>
      <c r="I1348" s="37"/>
    </row>
    <row r="1349" ht="22.5" customHeight="1">
      <c r="A1349" s="30"/>
      <c r="B1349" s="31"/>
      <c r="C1349" s="32"/>
      <c r="D1349" s="33"/>
      <c r="E1349" s="34"/>
      <c r="F1349" s="34"/>
      <c r="G1349" s="35"/>
      <c r="H1349" s="34"/>
      <c r="I1349" s="37"/>
    </row>
    <row r="1350" ht="22.5" customHeight="1">
      <c r="A1350" s="30"/>
      <c r="B1350" s="31"/>
      <c r="C1350" s="32"/>
      <c r="D1350" s="33"/>
      <c r="E1350" s="34"/>
      <c r="F1350" s="34"/>
      <c r="G1350" s="35"/>
      <c r="H1350" s="34"/>
      <c r="I1350" s="37"/>
    </row>
    <row r="1351" ht="22.5" customHeight="1">
      <c r="A1351" s="30"/>
      <c r="B1351" s="31"/>
      <c r="C1351" s="32"/>
      <c r="D1351" s="33"/>
      <c r="E1351" s="34"/>
      <c r="F1351" s="34"/>
      <c r="G1351" s="35"/>
      <c r="H1351" s="34"/>
      <c r="I1351" s="37"/>
    </row>
    <row r="1352" ht="22.5" customHeight="1">
      <c r="A1352" s="30"/>
      <c r="B1352" s="31"/>
      <c r="C1352" s="32"/>
      <c r="D1352" s="33"/>
      <c r="E1352" s="34"/>
      <c r="F1352" s="34"/>
      <c r="G1352" s="35"/>
      <c r="H1352" s="34"/>
      <c r="I1352" s="37"/>
    </row>
    <row r="1353" ht="22.5" customHeight="1">
      <c r="A1353" s="30"/>
      <c r="B1353" s="31"/>
      <c r="C1353" s="32"/>
      <c r="D1353" s="33"/>
      <c r="E1353" s="34"/>
      <c r="F1353" s="34"/>
      <c r="G1353" s="35"/>
      <c r="H1353" s="34"/>
      <c r="I1353" s="37"/>
    </row>
    <row r="1354" ht="22.5" customHeight="1">
      <c r="A1354" s="30"/>
      <c r="B1354" s="40"/>
      <c r="C1354" s="32"/>
      <c r="D1354" s="33"/>
      <c r="E1354" s="34"/>
      <c r="F1354" s="34"/>
      <c r="G1354" s="35"/>
      <c r="H1354" s="34"/>
      <c r="I1354" s="37"/>
    </row>
    <row r="1355" ht="22.5" customHeight="1">
      <c r="A1355" s="30"/>
      <c r="B1355" s="31"/>
      <c r="C1355" s="32"/>
      <c r="D1355" s="33"/>
      <c r="E1355" s="34"/>
      <c r="F1355" s="34"/>
      <c r="G1355" s="35"/>
      <c r="H1355" s="34"/>
      <c r="I1355" s="37"/>
    </row>
    <row r="1356" ht="22.5" customHeight="1">
      <c r="A1356" s="30"/>
      <c r="B1356" s="31"/>
      <c r="C1356" s="32"/>
      <c r="D1356" s="33"/>
      <c r="E1356" s="34"/>
      <c r="F1356" s="34"/>
      <c r="G1356" s="35"/>
      <c r="H1356" s="34"/>
      <c r="I1356" s="37"/>
    </row>
    <row r="1357" ht="22.5" customHeight="1">
      <c r="A1357" s="30"/>
      <c r="B1357" s="31"/>
      <c r="C1357" s="32"/>
      <c r="D1357" s="33"/>
      <c r="E1357" s="34"/>
      <c r="F1357" s="34"/>
      <c r="G1357" s="35"/>
      <c r="H1357" s="34"/>
      <c r="I1357" s="37"/>
    </row>
    <row r="1358" ht="22.5" customHeight="1">
      <c r="A1358" s="30"/>
      <c r="B1358" s="31"/>
      <c r="C1358" s="32"/>
      <c r="D1358" s="33"/>
      <c r="E1358" s="34"/>
      <c r="F1358" s="34"/>
      <c r="G1358" s="35"/>
      <c r="H1358" s="34"/>
      <c r="I1358" s="38"/>
    </row>
    <row r="1359" ht="22.5" customHeight="1">
      <c r="A1359" s="30"/>
      <c r="B1359" s="39"/>
      <c r="C1359" s="32"/>
      <c r="D1359" s="33"/>
      <c r="E1359" s="34"/>
      <c r="F1359" s="34"/>
      <c r="G1359" s="35"/>
      <c r="H1359" s="34"/>
      <c r="I1359" s="37"/>
    </row>
    <row r="1360" ht="22.5" customHeight="1">
      <c r="A1360" s="30"/>
      <c r="B1360" s="31"/>
      <c r="C1360" s="32"/>
      <c r="D1360" s="33"/>
      <c r="E1360" s="34"/>
      <c r="F1360" s="34"/>
      <c r="G1360" s="35"/>
      <c r="H1360" s="34"/>
      <c r="I1360" s="37"/>
    </row>
    <row r="1361" ht="22.5" customHeight="1">
      <c r="A1361" s="30"/>
      <c r="B1361" s="31"/>
      <c r="C1361" s="32"/>
      <c r="D1361" s="33"/>
      <c r="E1361" s="34"/>
      <c r="F1361" s="34"/>
      <c r="G1361" s="35"/>
      <c r="H1361" s="34"/>
      <c r="I1361" s="37"/>
    </row>
    <row r="1362" ht="22.5" customHeight="1">
      <c r="A1362" s="30"/>
      <c r="B1362" s="31"/>
      <c r="C1362" s="32"/>
      <c r="D1362" s="33"/>
      <c r="E1362" s="34"/>
      <c r="F1362" s="34"/>
      <c r="G1362" s="35"/>
      <c r="H1362" s="34"/>
      <c r="I1362" s="37"/>
    </row>
    <row r="1363" ht="22.5" customHeight="1">
      <c r="A1363" s="30"/>
      <c r="B1363" s="39"/>
      <c r="C1363" s="32"/>
      <c r="D1363" s="33"/>
      <c r="E1363" s="34"/>
      <c r="F1363" s="34"/>
      <c r="G1363" s="35"/>
      <c r="H1363" s="34"/>
      <c r="I1363" s="37"/>
    </row>
    <row r="1364" ht="22.5" customHeight="1">
      <c r="A1364" s="30"/>
      <c r="B1364" s="31"/>
      <c r="C1364" s="32"/>
      <c r="D1364" s="33"/>
      <c r="E1364" s="34"/>
      <c r="F1364" s="34"/>
      <c r="G1364" s="35"/>
      <c r="H1364" s="34"/>
      <c r="I1364" s="37"/>
    </row>
    <row r="1365" ht="22.5" customHeight="1">
      <c r="A1365" s="30"/>
      <c r="B1365" s="39"/>
      <c r="C1365" s="32"/>
      <c r="D1365" s="33"/>
      <c r="E1365" s="34"/>
      <c r="F1365" s="34"/>
      <c r="G1365" s="35"/>
      <c r="H1365" s="34"/>
      <c r="I1365" s="37"/>
    </row>
    <row r="1366" ht="22.5" customHeight="1">
      <c r="A1366" s="30"/>
      <c r="B1366" s="31"/>
      <c r="C1366" s="32"/>
      <c r="D1366" s="33"/>
      <c r="E1366" s="34"/>
      <c r="F1366" s="34"/>
      <c r="G1366" s="35"/>
      <c r="H1366" s="34"/>
      <c r="I1366" s="37"/>
    </row>
    <row r="1367" ht="22.5" customHeight="1">
      <c r="A1367" s="30"/>
      <c r="B1367" s="31"/>
      <c r="C1367" s="32"/>
      <c r="D1367" s="33"/>
      <c r="E1367" s="34"/>
      <c r="F1367" s="34"/>
      <c r="G1367" s="35"/>
      <c r="H1367" s="34"/>
      <c r="I1367" s="37"/>
    </row>
    <row r="1368" ht="22.5" customHeight="1">
      <c r="A1368" s="30"/>
      <c r="B1368" s="31"/>
      <c r="C1368" s="32"/>
      <c r="D1368" s="33"/>
      <c r="E1368" s="34"/>
      <c r="F1368" s="34"/>
      <c r="G1368" s="35"/>
      <c r="H1368" s="34"/>
      <c r="I1368" s="37"/>
    </row>
    <row r="1369" ht="22.5" customHeight="1">
      <c r="A1369" s="30"/>
      <c r="B1369" s="31"/>
      <c r="C1369" s="32"/>
      <c r="D1369" s="33"/>
      <c r="E1369" s="34"/>
      <c r="F1369" s="34"/>
      <c r="G1369" s="35"/>
      <c r="H1369" s="34"/>
      <c r="I1369" s="37"/>
    </row>
    <row r="1370" ht="22.5" customHeight="1">
      <c r="A1370" s="30"/>
      <c r="B1370" s="31"/>
      <c r="C1370" s="32"/>
      <c r="D1370" s="33"/>
      <c r="E1370" s="34"/>
      <c r="F1370" s="34"/>
      <c r="G1370" s="35"/>
      <c r="H1370" s="34"/>
      <c r="I1370" s="37"/>
    </row>
    <row r="1371" ht="22.5" customHeight="1">
      <c r="A1371" s="30"/>
      <c r="B1371" s="31"/>
      <c r="C1371" s="32"/>
      <c r="D1371" s="33"/>
      <c r="E1371" s="34"/>
      <c r="F1371" s="34"/>
      <c r="G1371" s="35"/>
      <c r="H1371" s="34"/>
      <c r="I1371" s="37"/>
    </row>
    <row r="1372" ht="22.5" customHeight="1">
      <c r="A1372" s="30"/>
      <c r="B1372" s="31"/>
      <c r="C1372" s="32"/>
      <c r="D1372" s="33"/>
      <c r="E1372" s="34"/>
      <c r="F1372" s="34"/>
      <c r="G1372" s="35"/>
      <c r="H1372" s="34"/>
      <c r="I1372" s="37"/>
    </row>
    <row r="1373" ht="22.5" customHeight="1">
      <c r="A1373" s="30"/>
      <c r="B1373" s="31"/>
      <c r="C1373" s="32"/>
      <c r="D1373" s="33"/>
      <c r="E1373" s="34"/>
      <c r="F1373" s="34"/>
      <c r="G1373" s="35"/>
      <c r="H1373" s="34"/>
      <c r="I1373" s="37"/>
    </row>
    <row r="1374" ht="22.5" customHeight="1">
      <c r="A1374" s="30"/>
      <c r="B1374" s="31"/>
      <c r="C1374" s="32"/>
      <c r="D1374" s="33"/>
      <c r="E1374" s="34"/>
      <c r="F1374" s="34"/>
      <c r="G1374" s="35"/>
      <c r="H1374" s="34"/>
      <c r="I1374" s="37"/>
    </row>
    <row r="1375" ht="22.5" customHeight="1">
      <c r="A1375" s="30"/>
      <c r="B1375" s="31"/>
      <c r="C1375" s="32"/>
      <c r="D1375" s="33"/>
      <c r="E1375" s="34"/>
      <c r="F1375" s="34"/>
      <c r="G1375" s="35"/>
      <c r="H1375" s="34"/>
      <c r="I1375" s="37"/>
    </row>
    <row r="1376" ht="22.5" customHeight="1">
      <c r="A1376" s="30"/>
      <c r="B1376" s="40"/>
      <c r="C1376" s="32"/>
      <c r="D1376" s="33"/>
      <c r="E1376" s="34"/>
      <c r="F1376" s="34"/>
      <c r="G1376" s="35"/>
      <c r="H1376" s="34"/>
      <c r="I1376" s="37"/>
    </row>
    <row r="1377" ht="22.5" customHeight="1">
      <c r="A1377" s="30"/>
      <c r="B1377" s="31"/>
      <c r="C1377" s="32"/>
      <c r="D1377" s="33"/>
      <c r="E1377" s="34"/>
      <c r="F1377" s="34"/>
      <c r="G1377" s="35"/>
      <c r="H1377" s="34"/>
      <c r="I1377" s="37"/>
    </row>
    <row r="1378" ht="22.5" customHeight="1">
      <c r="A1378" s="30"/>
      <c r="B1378" s="31"/>
      <c r="C1378" s="32"/>
      <c r="D1378" s="33"/>
      <c r="E1378" s="34"/>
      <c r="F1378" s="34"/>
      <c r="G1378" s="35"/>
      <c r="H1378" s="34"/>
      <c r="I1378" s="37"/>
    </row>
    <row r="1379" ht="22.5" customHeight="1">
      <c r="A1379" s="30"/>
      <c r="B1379" s="31"/>
      <c r="C1379" s="32"/>
      <c r="D1379" s="33"/>
      <c r="E1379" s="34"/>
      <c r="F1379" s="34"/>
      <c r="G1379" s="35"/>
      <c r="H1379" s="34"/>
      <c r="I1379" s="37"/>
    </row>
    <row r="1380" ht="22.5" customHeight="1">
      <c r="A1380" s="30"/>
      <c r="B1380" s="31"/>
      <c r="C1380" s="32"/>
      <c r="D1380" s="33"/>
      <c r="E1380" s="34"/>
      <c r="F1380" s="34"/>
      <c r="G1380" s="35"/>
      <c r="H1380" s="34"/>
      <c r="I1380" s="37"/>
    </row>
    <row r="1381" ht="22.5" customHeight="1">
      <c r="A1381" s="30"/>
      <c r="B1381" s="31"/>
      <c r="C1381" s="32"/>
      <c r="D1381" s="33"/>
      <c r="E1381" s="34"/>
      <c r="F1381" s="34"/>
      <c r="G1381" s="35"/>
      <c r="H1381" s="34"/>
      <c r="I1381" s="37"/>
    </row>
    <row r="1382" ht="22.5" customHeight="1">
      <c r="A1382" s="30"/>
      <c r="B1382" s="31"/>
      <c r="C1382" s="32"/>
      <c r="D1382" s="33"/>
      <c r="E1382" s="34"/>
      <c r="F1382" s="34"/>
      <c r="G1382" s="35"/>
      <c r="H1382" s="34"/>
      <c r="I1382" s="37"/>
    </row>
    <row r="1383" ht="22.5" customHeight="1">
      <c r="A1383" s="30"/>
      <c r="B1383" s="39"/>
      <c r="C1383" s="32"/>
      <c r="D1383" s="33"/>
      <c r="E1383" s="34"/>
      <c r="F1383" s="34"/>
      <c r="G1383" s="35"/>
      <c r="H1383" s="34"/>
      <c r="I1383" s="37"/>
    </row>
    <row r="1384" ht="22.5" customHeight="1">
      <c r="A1384" s="30"/>
      <c r="B1384" s="39"/>
      <c r="C1384" s="32"/>
      <c r="D1384" s="33"/>
      <c r="E1384" s="34"/>
      <c r="F1384" s="34"/>
      <c r="G1384" s="35"/>
      <c r="H1384" s="34"/>
      <c r="I1384" s="37"/>
    </row>
    <row r="1385" ht="22.5" customHeight="1">
      <c r="A1385" s="30"/>
      <c r="B1385" s="39"/>
      <c r="C1385" s="32"/>
      <c r="D1385" s="33"/>
      <c r="E1385" s="34"/>
      <c r="F1385" s="34"/>
      <c r="G1385" s="35"/>
      <c r="H1385" s="34"/>
      <c r="I1385" s="37"/>
    </row>
    <row r="1386" ht="22.5" customHeight="1">
      <c r="A1386" s="30"/>
      <c r="B1386" s="40"/>
      <c r="C1386" s="32"/>
      <c r="D1386" s="33"/>
      <c r="E1386" s="34"/>
      <c r="F1386" s="34"/>
      <c r="G1386" s="35"/>
      <c r="H1386" s="34"/>
      <c r="I1386" s="37"/>
    </row>
    <row r="1387" ht="22.5" customHeight="1">
      <c r="A1387" s="30"/>
      <c r="B1387" s="31"/>
      <c r="C1387" s="32"/>
      <c r="D1387" s="33"/>
      <c r="E1387" s="34"/>
      <c r="F1387" s="34"/>
      <c r="G1387" s="35"/>
      <c r="H1387" s="34"/>
      <c r="I1387" s="37"/>
    </row>
    <row r="1388" ht="22.5" customHeight="1">
      <c r="A1388" s="30"/>
      <c r="B1388" s="31"/>
      <c r="C1388" s="32"/>
      <c r="D1388" s="33"/>
      <c r="E1388" s="34"/>
      <c r="F1388" s="34"/>
      <c r="G1388" s="35"/>
      <c r="H1388" s="34"/>
      <c r="I1388" s="37"/>
    </row>
    <row r="1389" ht="22.5" customHeight="1">
      <c r="A1389" s="30"/>
      <c r="B1389" s="31"/>
      <c r="C1389" s="32"/>
      <c r="D1389" s="33"/>
      <c r="E1389" s="34"/>
      <c r="F1389" s="34"/>
      <c r="G1389" s="35"/>
      <c r="H1389" s="34"/>
      <c r="I1389" s="37"/>
    </row>
    <row r="1390" ht="22.5" customHeight="1">
      <c r="A1390" s="30"/>
      <c r="B1390" s="31"/>
      <c r="C1390" s="32"/>
      <c r="D1390" s="33"/>
      <c r="E1390" s="34"/>
      <c r="F1390" s="34"/>
      <c r="G1390" s="35"/>
      <c r="H1390" s="34"/>
      <c r="I1390" s="37"/>
    </row>
    <row r="1391" ht="22.5" customHeight="1">
      <c r="A1391" s="30"/>
      <c r="B1391" s="31"/>
      <c r="C1391" s="32"/>
      <c r="D1391" s="33"/>
      <c r="E1391" s="34"/>
      <c r="F1391" s="34"/>
      <c r="G1391" s="35"/>
      <c r="H1391" s="34"/>
      <c r="I1391" s="37"/>
    </row>
    <row r="1392" ht="22.5" customHeight="1">
      <c r="A1392" s="30"/>
      <c r="B1392" s="31"/>
      <c r="C1392" s="32"/>
      <c r="D1392" s="33"/>
      <c r="E1392" s="34"/>
      <c r="F1392" s="34"/>
      <c r="G1392" s="35"/>
      <c r="H1392" s="34"/>
      <c r="I1392" s="37"/>
    </row>
    <row r="1393" ht="22.5" customHeight="1">
      <c r="A1393" s="30"/>
      <c r="B1393" s="31"/>
      <c r="C1393" s="32"/>
      <c r="D1393" s="33"/>
      <c r="E1393" s="34"/>
      <c r="F1393" s="34"/>
      <c r="G1393" s="35"/>
      <c r="H1393" s="34"/>
      <c r="I1393" s="37"/>
    </row>
    <row r="1394" ht="22.5" customHeight="1">
      <c r="A1394" s="30"/>
      <c r="B1394" s="31"/>
      <c r="C1394" s="32"/>
      <c r="D1394" s="33"/>
      <c r="E1394" s="34"/>
      <c r="F1394" s="34"/>
      <c r="G1394" s="35"/>
      <c r="H1394" s="34"/>
      <c r="I1394" s="37"/>
    </row>
    <row r="1395" ht="22.5" customHeight="1">
      <c r="A1395" s="30"/>
      <c r="B1395" s="31"/>
      <c r="C1395" s="32"/>
      <c r="D1395" s="33"/>
      <c r="E1395" s="34"/>
      <c r="F1395" s="34"/>
      <c r="G1395" s="35"/>
      <c r="H1395" s="34"/>
      <c r="I1395" s="37"/>
    </row>
    <row r="1396" ht="22.5" customHeight="1">
      <c r="A1396" s="30"/>
      <c r="B1396" s="40"/>
      <c r="C1396" s="32"/>
      <c r="D1396" s="33"/>
      <c r="E1396" s="34"/>
      <c r="F1396" s="34"/>
      <c r="G1396" s="35"/>
      <c r="H1396" s="34"/>
      <c r="I1396" s="37"/>
    </row>
    <row r="1397" ht="22.5" customHeight="1">
      <c r="A1397" s="30"/>
      <c r="B1397" s="31"/>
      <c r="C1397" s="32"/>
      <c r="D1397" s="33"/>
      <c r="E1397" s="34"/>
      <c r="F1397" s="34"/>
      <c r="G1397" s="35"/>
      <c r="H1397" s="34"/>
      <c r="I1397" s="37"/>
    </row>
    <row r="1398" ht="22.5" customHeight="1">
      <c r="A1398" s="30"/>
      <c r="B1398" s="31"/>
      <c r="C1398" s="32"/>
      <c r="D1398" s="33"/>
      <c r="E1398" s="34"/>
      <c r="F1398" s="34"/>
      <c r="G1398" s="35"/>
      <c r="H1398" s="34"/>
      <c r="I1398" s="37"/>
    </row>
    <row r="1399" ht="22.5" customHeight="1">
      <c r="A1399" s="30"/>
      <c r="B1399" s="31"/>
      <c r="C1399" s="32"/>
      <c r="D1399" s="33"/>
      <c r="E1399" s="34"/>
      <c r="F1399" s="34"/>
      <c r="G1399" s="35"/>
      <c r="H1399" s="34"/>
      <c r="I1399" s="37"/>
    </row>
    <row r="1400" ht="22.5" customHeight="1">
      <c r="A1400" s="30"/>
      <c r="B1400" s="40"/>
      <c r="C1400" s="32"/>
      <c r="D1400" s="33"/>
      <c r="E1400" s="34"/>
      <c r="F1400" s="34"/>
      <c r="G1400" s="35"/>
      <c r="H1400" s="34"/>
      <c r="I1400" s="37"/>
    </row>
    <row r="1401" ht="22.5" customHeight="1">
      <c r="A1401" s="30"/>
      <c r="B1401" s="31"/>
      <c r="C1401" s="32"/>
      <c r="D1401" s="33"/>
      <c r="E1401" s="34"/>
      <c r="F1401" s="34"/>
      <c r="G1401" s="35"/>
      <c r="H1401" s="34"/>
      <c r="I1401" s="37"/>
    </row>
    <row r="1402" ht="22.5" customHeight="1">
      <c r="A1402" s="30"/>
      <c r="B1402" s="31"/>
      <c r="C1402" s="32"/>
      <c r="D1402" s="33"/>
      <c r="E1402" s="34"/>
      <c r="F1402" s="34"/>
      <c r="G1402" s="35"/>
      <c r="H1402" s="34"/>
      <c r="I1402" s="37"/>
    </row>
    <row r="1403" ht="22.5" customHeight="1">
      <c r="A1403" s="30"/>
      <c r="B1403" s="31"/>
      <c r="C1403" s="32"/>
      <c r="D1403" s="33"/>
      <c r="E1403" s="34"/>
      <c r="F1403" s="34"/>
      <c r="G1403" s="35"/>
      <c r="H1403" s="34"/>
      <c r="I1403" s="37"/>
    </row>
    <row r="1404" ht="22.5" customHeight="1">
      <c r="A1404" s="30"/>
      <c r="B1404" s="31"/>
      <c r="C1404" s="32"/>
      <c r="D1404" s="33"/>
      <c r="E1404" s="34"/>
      <c r="F1404" s="34"/>
      <c r="G1404" s="35"/>
      <c r="H1404" s="34"/>
      <c r="I1404" s="37"/>
    </row>
    <row r="1405" ht="22.5" customHeight="1">
      <c r="A1405" s="30"/>
      <c r="B1405" s="31"/>
      <c r="C1405" s="32"/>
      <c r="D1405" s="33"/>
      <c r="E1405" s="34"/>
      <c r="F1405" s="34"/>
      <c r="G1405" s="35"/>
      <c r="H1405" s="34"/>
      <c r="I1405" s="37"/>
    </row>
    <row r="1406" ht="22.5" customHeight="1">
      <c r="A1406" s="30"/>
      <c r="B1406" s="31"/>
      <c r="C1406" s="32"/>
      <c r="D1406" s="33"/>
      <c r="E1406" s="34"/>
      <c r="F1406" s="34"/>
      <c r="G1406" s="35"/>
      <c r="H1406" s="34"/>
      <c r="I1406" s="37"/>
    </row>
    <row r="1407" ht="22.5" customHeight="1">
      <c r="A1407" s="30"/>
      <c r="B1407" s="31"/>
      <c r="C1407" s="32"/>
      <c r="D1407" s="33"/>
      <c r="E1407" s="34"/>
      <c r="F1407" s="34"/>
      <c r="G1407" s="35"/>
      <c r="H1407" s="34"/>
      <c r="I1407" s="37"/>
    </row>
    <row r="1408" ht="22.5" customHeight="1">
      <c r="A1408" s="30"/>
      <c r="B1408" s="31"/>
      <c r="C1408" s="32"/>
      <c r="D1408" s="33"/>
      <c r="E1408" s="34"/>
      <c r="F1408" s="34"/>
      <c r="G1408" s="35"/>
      <c r="H1408" s="34"/>
      <c r="I1408" s="37"/>
    </row>
    <row r="1409" ht="22.5" customHeight="1">
      <c r="A1409" s="30"/>
      <c r="B1409" s="31"/>
      <c r="C1409" s="32"/>
      <c r="D1409" s="33"/>
      <c r="E1409" s="34"/>
      <c r="F1409" s="34"/>
      <c r="G1409" s="35"/>
      <c r="H1409" s="34"/>
      <c r="I1409" s="37"/>
    </row>
    <row r="1410" ht="22.5" customHeight="1">
      <c r="A1410" s="30"/>
      <c r="B1410" s="31"/>
      <c r="C1410" s="32"/>
      <c r="D1410" s="33"/>
      <c r="E1410" s="34"/>
      <c r="F1410" s="34"/>
      <c r="G1410" s="35"/>
      <c r="H1410" s="34"/>
      <c r="I1410" s="37"/>
    </row>
    <row r="1411" ht="22.5" customHeight="1">
      <c r="A1411" s="30"/>
      <c r="B1411" s="31"/>
      <c r="C1411" s="32"/>
      <c r="D1411" s="33"/>
      <c r="E1411" s="34"/>
      <c r="F1411" s="34"/>
      <c r="G1411" s="35"/>
      <c r="H1411" s="34"/>
      <c r="I1411" s="37"/>
    </row>
    <row r="1412" ht="22.5" customHeight="1">
      <c r="A1412" s="30"/>
      <c r="B1412" s="31"/>
      <c r="C1412" s="32"/>
      <c r="D1412" s="33"/>
      <c r="E1412" s="34"/>
      <c r="F1412" s="34"/>
      <c r="G1412" s="35"/>
      <c r="H1412" s="34"/>
      <c r="I1412" s="37"/>
    </row>
    <row r="1413" ht="22.5" customHeight="1">
      <c r="A1413" s="30"/>
      <c r="B1413" s="31"/>
      <c r="C1413" s="32"/>
      <c r="D1413" s="33"/>
      <c r="E1413" s="34"/>
      <c r="F1413" s="34"/>
      <c r="G1413" s="35"/>
      <c r="H1413" s="34"/>
      <c r="I1413" s="37"/>
    </row>
    <row r="1414" ht="22.5" customHeight="1">
      <c r="A1414" s="30"/>
      <c r="B1414" s="31"/>
      <c r="C1414" s="32"/>
      <c r="D1414" s="33"/>
      <c r="E1414" s="34"/>
      <c r="F1414" s="34"/>
      <c r="G1414" s="35"/>
      <c r="H1414" s="34"/>
      <c r="I1414" s="37"/>
    </row>
    <row r="1415" ht="22.5" customHeight="1">
      <c r="A1415" s="30"/>
      <c r="B1415" s="40"/>
      <c r="C1415" s="32"/>
      <c r="D1415" s="33"/>
      <c r="E1415" s="34"/>
      <c r="F1415" s="34"/>
      <c r="G1415" s="35"/>
      <c r="H1415" s="34"/>
      <c r="I1415" s="37"/>
    </row>
    <row r="1416" ht="22.5" customHeight="1">
      <c r="A1416" s="30"/>
      <c r="B1416" s="31"/>
      <c r="C1416" s="32"/>
      <c r="D1416" s="33"/>
      <c r="E1416" s="34"/>
      <c r="F1416" s="34"/>
      <c r="G1416" s="35"/>
      <c r="H1416" s="34"/>
      <c r="I1416" s="37"/>
    </row>
    <row r="1417" ht="22.5" customHeight="1">
      <c r="A1417" s="30"/>
      <c r="B1417" s="40"/>
      <c r="C1417" s="32"/>
      <c r="D1417" s="33"/>
      <c r="E1417" s="34"/>
      <c r="F1417" s="34"/>
      <c r="G1417" s="35"/>
      <c r="H1417" s="34"/>
      <c r="I1417" s="37"/>
    </row>
    <row r="1418" ht="22.5" customHeight="1">
      <c r="A1418" s="30"/>
      <c r="B1418" s="31"/>
      <c r="C1418" s="32"/>
      <c r="D1418" s="33"/>
      <c r="E1418" s="34"/>
      <c r="F1418" s="34"/>
      <c r="G1418" s="35"/>
      <c r="H1418" s="34"/>
      <c r="I1418" s="37"/>
    </row>
    <row r="1419" ht="22.5" customHeight="1">
      <c r="A1419" s="30"/>
      <c r="B1419" s="31"/>
      <c r="C1419" s="32"/>
      <c r="D1419" s="33"/>
      <c r="E1419" s="34"/>
      <c r="F1419" s="34"/>
      <c r="G1419" s="35"/>
      <c r="H1419" s="34"/>
      <c r="I1419" s="37"/>
    </row>
    <row r="1420" ht="22.5" customHeight="1">
      <c r="A1420" s="30"/>
      <c r="B1420" s="31"/>
      <c r="C1420" s="32"/>
      <c r="D1420" s="33"/>
      <c r="E1420" s="34"/>
      <c r="F1420" s="34"/>
      <c r="G1420" s="35"/>
      <c r="H1420" s="34"/>
      <c r="I1420" s="37"/>
    </row>
    <row r="1421" ht="22.5" customHeight="1">
      <c r="A1421" s="30"/>
      <c r="B1421" s="31"/>
      <c r="C1421" s="32"/>
      <c r="D1421" s="33"/>
      <c r="E1421" s="34"/>
      <c r="F1421" s="34"/>
      <c r="G1421" s="35"/>
      <c r="H1421" s="34"/>
      <c r="I1421" s="37"/>
    </row>
    <row r="1422" ht="22.5" customHeight="1">
      <c r="A1422" s="30"/>
      <c r="B1422" s="40"/>
      <c r="C1422" s="32"/>
      <c r="D1422" s="33"/>
      <c r="E1422" s="34"/>
      <c r="F1422" s="34"/>
      <c r="G1422" s="35"/>
      <c r="H1422" s="34"/>
      <c r="I1422" s="37"/>
    </row>
    <row r="1423" ht="22.5" customHeight="1">
      <c r="A1423" s="30"/>
      <c r="B1423" s="31"/>
      <c r="C1423" s="32"/>
      <c r="D1423" s="33"/>
      <c r="E1423" s="34"/>
      <c r="F1423" s="34"/>
      <c r="G1423" s="35"/>
      <c r="H1423" s="34"/>
      <c r="I1423" s="37"/>
    </row>
    <row r="1424" ht="22.5" customHeight="1">
      <c r="A1424" s="30"/>
      <c r="B1424" s="31"/>
      <c r="C1424" s="32"/>
      <c r="D1424" s="33"/>
      <c r="E1424" s="34"/>
      <c r="F1424" s="34"/>
      <c r="G1424" s="35"/>
      <c r="H1424" s="34"/>
      <c r="I1424" s="37"/>
    </row>
    <row r="1425" ht="22.5" customHeight="1">
      <c r="A1425" s="30"/>
      <c r="B1425" s="31"/>
      <c r="C1425" s="32"/>
      <c r="D1425" s="33"/>
      <c r="E1425" s="34"/>
      <c r="F1425" s="34"/>
      <c r="G1425" s="35"/>
      <c r="H1425" s="34"/>
      <c r="I1425" s="37"/>
    </row>
    <row r="1426" ht="22.5" customHeight="1">
      <c r="A1426" s="30"/>
      <c r="B1426" s="31"/>
      <c r="C1426" s="32"/>
      <c r="D1426" s="33"/>
      <c r="E1426" s="34"/>
      <c r="F1426" s="34"/>
      <c r="G1426" s="35"/>
      <c r="H1426" s="34"/>
      <c r="I1426" s="37"/>
    </row>
    <row r="1427" ht="22.5" customHeight="1">
      <c r="A1427" s="30"/>
      <c r="B1427" s="31"/>
      <c r="C1427" s="32"/>
      <c r="D1427" s="33"/>
      <c r="E1427" s="34"/>
      <c r="F1427" s="34"/>
      <c r="G1427" s="35"/>
      <c r="H1427" s="34"/>
      <c r="I1427" s="37"/>
    </row>
    <row r="1428" ht="22.5" customHeight="1">
      <c r="A1428" s="30"/>
      <c r="B1428" s="31"/>
      <c r="C1428" s="32"/>
      <c r="D1428" s="33"/>
      <c r="E1428" s="34"/>
      <c r="F1428" s="34"/>
      <c r="G1428" s="35"/>
      <c r="H1428" s="34"/>
      <c r="I1428" s="37"/>
    </row>
    <row r="1429" ht="22.5" customHeight="1">
      <c r="A1429" s="30"/>
      <c r="B1429" s="31"/>
      <c r="C1429" s="32"/>
      <c r="D1429" s="33"/>
      <c r="E1429" s="34"/>
      <c r="F1429" s="34"/>
      <c r="G1429" s="35"/>
      <c r="H1429" s="34"/>
      <c r="I1429" s="37"/>
    </row>
    <row r="1430" ht="22.5" customHeight="1">
      <c r="A1430" s="30"/>
      <c r="B1430" s="31"/>
      <c r="C1430" s="32"/>
      <c r="D1430" s="33"/>
      <c r="E1430" s="34"/>
      <c r="F1430" s="34"/>
      <c r="G1430" s="35"/>
      <c r="H1430" s="34"/>
      <c r="I1430" s="37"/>
    </row>
    <row r="1431" ht="22.5" customHeight="1">
      <c r="A1431" s="30"/>
      <c r="B1431" s="31"/>
      <c r="C1431" s="32"/>
      <c r="D1431" s="33"/>
      <c r="E1431" s="34"/>
      <c r="F1431" s="34"/>
      <c r="G1431" s="35"/>
      <c r="H1431" s="34"/>
      <c r="I1431" s="37"/>
    </row>
    <row r="1432" ht="22.5" customHeight="1">
      <c r="A1432" s="30"/>
      <c r="B1432" s="31"/>
      <c r="C1432" s="32"/>
      <c r="D1432" s="33"/>
      <c r="E1432" s="34"/>
      <c r="F1432" s="34"/>
      <c r="G1432" s="35"/>
      <c r="H1432" s="34"/>
      <c r="I1432" s="37"/>
    </row>
    <row r="1433" ht="22.5" customHeight="1">
      <c r="A1433" s="30"/>
      <c r="B1433" s="31"/>
      <c r="C1433" s="32"/>
      <c r="D1433" s="33"/>
      <c r="E1433" s="34"/>
      <c r="F1433" s="34"/>
      <c r="G1433" s="35"/>
      <c r="H1433" s="34"/>
      <c r="I1433" s="37"/>
    </row>
    <row r="1434" ht="22.5" customHeight="1">
      <c r="A1434" s="30"/>
      <c r="B1434" s="31"/>
      <c r="C1434" s="32"/>
      <c r="D1434" s="33"/>
      <c r="E1434" s="34"/>
      <c r="F1434" s="34"/>
      <c r="G1434" s="35"/>
      <c r="H1434" s="34"/>
      <c r="I1434" s="37"/>
    </row>
    <row r="1435" ht="22.5" customHeight="1">
      <c r="A1435" s="30"/>
      <c r="B1435" s="31"/>
      <c r="C1435" s="32"/>
      <c r="D1435" s="33"/>
      <c r="E1435" s="34"/>
      <c r="F1435" s="34"/>
      <c r="G1435" s="35"/>
      <c r="H1435" s="34"/>
      <c r="I1435" s="37"/>
    </row>
    <row r="1436" ht="22.5" customHeight="1">
      <c r="A1436" s="30"/>
      <c r="B1436" s="31"/>
      <c r="C1436" s="32"/>
      <c r="D1436" s="33"/>
      <c r="E1436" s="34"/>
      <c r="F1436" s="34"/>
      <c r="G1436" s="35"/>
      <c r="H1436" s="34"/>
      <c r="I1436" s="37"/>
    </row>
    <row r="1437" ht="22.5" customHeight="1">
      <c r="A1437" s="30"/>
      <c r="B1437" s="31"/>
      <c r="C1437" s="32"/>
      <c r="D1437" s="33"/>
      <c r="E1437" s="34"/>
      <c r="F1437" s="34"/>
      <c r="G1437" s="35"/>
      <c r="H1437" s="34"/>
      <c r="I1437" s="37"/>
    </row>
    <row r="1438" ht="22.5" customHeight="1">
      <c r="A1438" s="30"/>
      <c r="B1438" s="31"/>
      <c r="C1438" s="32"/>
      <c r="D1438" s="33"/>
      <c r="E1438" s="34"/>
      <c r="F1438" s="34"/>
      <c r="G1438" s="35"/>
      <c r="H1438" s="34"/>
      <c r="I1438" s="37"/>
    </row>
    <row r="1439" ht="22.5" customHeight="1">
      <c r="A1439" s="30"/>
      <c r="B1439" s="31"/>
      <c r="C1439" s="32"/>
      <c r="D1439" s="33"/>
      <c r="E1439" s="34"/>
      <c r="F1439" s="34"/>
      <c r="G1439" s="35"/>
      <c r="H1439" s="34"/>
      <c r="I1439" s="37"/>
    </row>
    <row r="1440" ht="22.5" customHeight="1">
      <c r="A1440" s="30"/>
      <c r="B1440" s="31"/>
      <c r="C1440" s="32"/>
      <c r="D1440" s="33"/>
      <c r="E1440" s="34"/>
      <c r="F1440" s="34"/>
      <c r="G1440" s="35"/>
      <c r="H1440" s="34"/>
      <c r="I1440" s="37"/>
    </row>
    <row r="1441" ht="22.5" customHeight="1">
      <c r="A1441" s="30"/>
      <c r="B1441" s="31"/>
      <c r="C1441" s="32"/>
      <c r="D1441" s="33"/>
      <c r="E1441" s="34"/>
      <c r="F1441" s="34"/>
      <c r="G1441" s="35"/>
      <c r="H1441" s="34"/>
      <c r="I1441" s="37"/>
    </row>
    <row r="1442" ht="22.5" customHeight="1">
      <c r="A1442" s="30"/>
      <c r="B1442" s="31"/>
      <c r="C1442" s="32"/>
      <c r="D1442" s="33"/>
      <c r="E1442" s="34"/>
      <c r="F1442" s="34"/>
      <c r="G1442" s="35"/>
      <c r="H1442" s="34"/>
      <c r="I1442" s="37"/>
    </row>
    <row r="1443" ht="22.5" customHeight="1">
      <c r="A1443" s="30"/>
      <c r="B1443" s="31"/>
      <c r="C1443" s="32"/>
      <c r="D1443" s="33"/>
      <c r="E1443" s="34"/>
      <c r="F1443" s="34"/>
      <c r="G1443" s="35"/>
      <c r="H1443" s="34"/>
      <c r="I1443" s="37"/>
    </row>
    <row r="1444" ht="22.5" customHeight="1">
      <c r="A1444" s="30"/>
      <c r="B1444" s="40"/>
      <c r="C1444" s="32"/>
      <c r="D1444" s="33"/>
      <c r="E1444" s="34"/>
      <c r="F1444" s="34"/>
      <c r="G1444" s="35"/>
      <c r="H1444" s="34"/>
      <c r="I1444" s="37"/>
    </row>
    <row r="1445" ht="22.5" customHeight="1">
      <c r="A1445" s="30"/>
      <c r="B1445" s="31"/>
      <c r="C1445" s="32"/>
      <c r="D1445" s="33"/>
      <c r="E1445" s="34"/>
      <c r="F1445" s="34"/>
      <c r="G1445" s="35"/>
      <c r="H1445" s="34"/>
      <c r="I1445" s="37"/>
    </row>
    <row r="1446" ht="22.5" customHeight="1">
      <c r="A1446" s="30"/>
      <c r="B1446" s="31"/>
      <c r="C1446" s="32"/>
      <c r="D1446" s="33"/>
      <c r="E1446" s="34"/>
      <c r="F1446" s="34"/>
      <c r="G1446" s="35"/>
      <c r="H1446" s="34"/>
      <c r="I1446" s="37"/>
    </row>
    <row r="1447" ht="22.5" customHeight="1">
      <c r="A1447" s="30"/>
      <c r="B1447" s="31"/>
      <c r="C1447" s="32"/>
      <c r="D1447" s="33"/>
      <c r="E1447" s="34"/>
      <c r="F1447" s="34"/>
      <c r="G1447" s="35"/>
      <c r="H1447" s="34"/>
      <c r="I1447" s="37"/>
    </row>
    <row r="1448" ht="22.5" customHeight="1">
      <c r="A1448" s="30"/>
      <c r="B1448" s="31"/>
      <c r="C1448" s="32"/>
      <c r="D1448" s="33"/>
      <c r="E1448" s="34"/>
      <c r="F1448" s="34"/>
      <c r="G1448" s="35"/>
      <c r="H1448" s="34"/>
      <c r="I1448" s="38"/>
    </row>
    <row r="1449" ht="22.5" customHeight="1">
      <c r="A1449" s="30"/>
      <c r="B1449" s="39"/>
      <c r="C1449" s="32"/>
      <c r="D1449" s="33"/>
      <c r="E1449" s="34"/>
      <c r="F1449" s="34"/>
      <c r="G1449" s="35"/>
      <c r="H1449" s="34"/>
      <c r="I1449" s="37"/>
    </row>
    <row r="1450" ht="22.5" customHeight="1">
      <c r="A1450" s="30"/>
      <c r="B1450" s="31"/>
      <c r="C1450" s="32"/>
      <c r="D1450" s="33"/>
      <c r="E1450" s="34"/>
      <c r="F1450" s="34"/>
      <c r="G1450" s="35"/>
      <c r="H1450" s="34"/>
      <c r="I1450" s="37"/>
    </row>
    <row r="1451" ht="22.5" customHeight="1">
      <c r="A1451" s="30"/>
      <c r="B1451" s="31"/>
      <c r="C1451" s="32"/>
      <c r="D1451" s="33"/>
      <c r="E1451" s="34"/>
      <c r="F1451" s="34"/>
      <c r="G1451" s="35"/>
      <c r="H1451" s="34"/>
      <c r="I1451" s="37"/>
    </row>
    <row r="1452" ht="22.5" customHeight="1">
      <c r="A1452" s="30"/>
      <c r="B1452" s="31"/>
      <c r="C1452" s="32"/>
      <c r="D1452" s="33"/>
      <c r="E1452" s="34"/>
      <c r="F1452" s="34"/>
      <c r="G1452" s="35"/>
      <c r="H1452" s="34"/>
      <c r="I1452" s="37"/>
    </row>
    <row r="1453" ht="22.5" customHeight="1">
      <c r="A1453" s="30"/>
      <c r="B1453" s="39"/>
      <c r="C1453" s="32"/>
      <c r="D1453" s="33"/>
      <c r="E1453" s="34"/>
      <c r="F1453" s="34"/>
      <c r="G1453" s="35"/>
      <c r="H1453" s="34"/>
      <c r="I1453" s="37"/>
    </row>
    <row r="1454" ht="22.5" customHeight="1">
      <c r="A1454" s="30"/>
      <c r="B1454" s="31"/>
      <c r="C1454" s="32"/>
      <c r="D1454" s="33"/>
      <c r="E1454" s="34"/>
      <c r="F1454" s="34"/>
      <c r="G1454" s="35"/>
      <c r="H1454" s="34"/>
      <c r="I1454" s="37"/>
    </row>
    <row r="1455" ht="22.5" customHeight="1">
      <c r="A1455" s="30"/>
      <c r="B1455" s="39"/>
      <c r="C1455" s="32"/>
      <c r="D1455" s="33"/>
      <c r="E1455" s="34"/>
      <c r="F1455" s="34"/>
      <c r="G1455" s="35"/>
      <c r="H1455" s="34"/>
      <c r="I1455" s="37"/>
    </row>
    <row r="1456" ht="22.5" customHeight="1">
      <c r="A1456" s="30"/>
      <c r="B1456" s="31"/>
      <c r="C1456" s="32"/>
      <c r="D1456" s="33"/>
      <c r="E1456" s="34"/>
      <c r="F1456" s="34"/>
      <c r="G1456" s="35"/>
      <c r="H1456" s="34"/>
      <c r="I1456" s="37"/>
    </row>
    <row r="1457" ht="22.5" customHeight="1">
      <c r="A1457" s="30"/>
      <c r="B1457" s="31"/>
      <c r="C1457" s="32"/>
      <c r="D1457" s="33"/>
      <c r="E1457" s="34"/>
      <c r="F1457" s="34"/>
      <c r="G1457" s="35"/>
      <c r="H1457" s="34"/>
      <c r="I1457" s="37"/>
    </row>
    <row r="1458" ht="22.5" customHeight="1">
      <c r="A1458" s="30"/>
      <c r="B1458" s="31"/>
      <c r="C1458" s="32"/>
      <c r="D1458" s="33"/>
      <c r="E1458" s="34"/>
      <c r="F1458" s="34"/>
      <c r="G1458" s="35"/>
      <c r="H1458" s="34"/>
      <c r="I1458" s="37"/>
    </row>
    <row r="1459" ht="22.5" customHeight="1">
      <c r="A1459" s="30"/>
      <c r="B1459" s="31"/>
      <c r="C1459" s="32"/>
      <c r="D1459" s="33"/>
      <c r="E1459" s="34"/>
      <c r="F1459" s="34"/>
      <c r="G1459" s="35"/>
      <c r="H1459" s="34"/>
      <c r="I1459" s="37"/>
    </row>
    <row r="1460" ht="22.5" customHeight="1">
      <c r="A1460" s="30"/>
      <c r="B1460" s="31"/>
      <c r="C1460" s="32"/>
      <c r="D1460" s="33"/>
      <c r="E1460" s="34"/>
      <c r="F1460" s="34"/>
      <c r="G1460" s="35"/>
      <c r="H1460" s="34"/>
      <c r="I1460" s="37"/>
    </row>
    <row r="1461" ht="22.5" customHeight="1">
      <c r="A1461" s="30"/>
      <c r="B1461" s="31"/>
      <c r="C1461" s="32"/>
      <c r="D1461" s="33"/>
      <c r="E1461" s="34"/>
      <c r="F1461" s="34"/>
      <c r="G1461" s="35"/>
      <c r="H1461" s="34"/>
      <c r="I1461" s="37"/>
    </row>
    <row r="1462" ht="22.5" customHeight="1">
      <c r="A1462" s="30"/>
      <c r="B1462" s="31"/>
      <c r="C1462" s="32"/>
      <c r="D1462" s="33"/>
      <c r="E1462" s="34"/>
      <c r="F1462" s="34"/>
      <c r="G1462" s="35"/>
      <c r="H1462" s="34"/>
      <c r="I1462" s="37"/>
    </row>
    <row r="1463" ht="22.5" customHeight="1">
      <c r="A1463" s="30"/>
      <c r="B1463" s="31"/>
      <c r="C1463" s="32"/>
      <c r="D1463" s="33"/>
      <c r="E1463" s="34"/>
      <c r="F1463" s="34"/>
      <c r="G1463" s="35"/>
      <c r="H1463" s="34"/>
      <c r="I1463" s="37"/>
    </row>
    <row r="1464" ht="22.5" customHeight="1">
      <c r="A1464" s="30"/>
      <c r="B1464" s="31"/>
      <c r="C1464" s="32"/>
      <c r="D1464" s="33"/>
      <c r="E1464" s="34"/>
      <c r="F1464" s="34"/>
      <c r="G1464" s="35"/>
      <c r="H1464" s="34"/>
      <c r="I1464" s="37"/>
    </row>
    <row r="1465" ht="22.5" customHeight="1">
      <c r="A1465" s="30"/>
      <c r="B1465" s="31"/>
      <c r="C1465" s="32"/>
      <c r="D1465" s="33"/>
      <c r="E1465" s="34"/>
      <c r="F1465" s="34"/>
      <c r="G1465" s="35"/>
      <c r="H1465" s="34"/>
      <c r="I1465" s="37"/>
    </row>
    <row r="1466" ht="22.5" customHeight="1">
      <c r="A1466" s="30"/>
      <c r="B1466" s="40"/>
      <c r="C1466" s="32"/>
      <c r="D1466" s="33"/>
      <c r="E1466" s="34"/>
      <c r="F1466" s="34"/>
      <c r="G1466" s="35"/>
      <c r="H1466" s="34"/>
      <c r="I1466" s="37"/>
    </row>
    <row r="1467" ht="22.5" customHeight="1">
      <c r="A1467" s="30"/>
      <c r="B1467" s="31"/>
      <c r="C1467" s="32"/>
      <c r="D1467" s="33"/>
      <c r="E1467" s="34"/>
      <c r="F1467" s="34"/>
      <c r="G1467" s="35"/>
      <c r="H1467" s="34"/>
      <c r="I1467" s="37"/>
    </row>
    <row r="1468" ht="22.5" customHeight="1">
      <c r="A1468" s="30"/>
      <c r="B1468" s="31"/>
      <c r="C1468" s="32"/>
      <c r="D1468" s="33"/>
      <c r="E1468" s="34"/>
      <c r="F1468" s="34"/>
      <c r="G1468" s="35"/>
      <c r="H1468" s="34"/>
      <c r="I1468" s="37"/>
    </row>
    <row r="1469" ht="22.5" customHeight="1">
      <c r="A1469" s="30"/>
      <c r="B1469" s="31"/>
      <c r="C1469" s="32"/>
      <c r="D1469" s="33"/>
      <c r="E1469" s="34"/>
      <c r="F1469" s="34"/>
      <c r="G1469" s="35"/>
      <c r="H1469" s="34"/>
      <c r="I1469" s="37"/>
    </row>
    <row r="1470" ht="22.5" customHeight="1">
      <c r="A1470" s="30"/>
      <c r="B1470" s="31"/>
      <c r="C1470" s="32"/>
      <c r="D1470" s="33"/>
      <c r="E1470" s="34"/>
      <c r="F1470" s="34"/>
      <c r="G1470" s="35"/>
      <c r="H1470" s="34"/>
      <c r="I1470" s="37"/>
    </row>
    <row r="1471" ht="22.5" customHeight="1">
      <c r="A1471" s="30"/>
      <c r="B1471" s="31"/>
      <c r="C1471" s="32"/>
      <c r="D1471" s="33"/>
      <c r="E1471" s="34"/>
      <c r="F1471" s="34"/>
      <c r="G1471" s="35"/>
      <c r="H1471" s="34"/>
      <c r="I1471" s="37"/>
    </row>
    <row r="1472" ht="22.5" customHeight="1">
      <c r="A1472" s="30"/>
      <c r="B1472" s="31"/>
      <c r="C1472" s="32"/>
      <c r="D1472" s="33"/>
      <c r="E1472" s="34"/>
      <c r="F1472" s="34"/>
      <c r="G1472" s="35"/>
      <c r="H1472" s="34"/>
      <c r="I1472" s="37"/>
    </row>
    <row r="1473" ht="22.5" customHeight="1">
      <c r="A1473" s="30"/>
      <c r="B1473" s="39"/>
      <c r="C1473" s="32"/>
      <c r="D1473" s="33"/>
      <c r="E1473" s="34"/>
      <c r="F1473" s="34"/>
      <c r="G1473" s="35"/>
      <c r="H1473" s="34"/>
      <c r="I1473" s="37"/>
    </row>
    <row r="1474" ht="22.5" customHeight="1">
      <c r="A1474" s="30"/>
      <c r="B1474" s="39"/>
      <c r="C1474" s="32"/>
      <c r="D1474" s="33"/>
      <c r="E1474" s="34"/>
      <c r="F1474" s="34"/>
      <c r="G1474" s="35"/>
      <c r="H1474" s="34"/>
      <c r="I1474" s="37"/>
    </row>
    <row r="1475" ht="22.5" customHeight="1">
      <c r="A1475" s="30"/>
      <c r="B1475" s="39"/>
      <c r="C1475" s="32"/>
      <c r="D1475" s="33"/>
      <c r="E1475" s="34"/>
      <c r="F1475" s="34"/>
      <c r="G1475" s="35"/>
      <c r="H1475" s="34"/>
      <c r="I1475" s="37"/>
    </row>
    <row r="1476" ht="22.5" customHeight="1">
      <c r="A1476" s="30"/>
      <c r="B1476" s="40"/>
      <c r="C1476" s="32"/>
      <c r="D1476" s="33"/>
      <c r="E1476" s="34"/>
      <c r="F1476" s="34"/>
      <c r="G1476" s="35"/>
      <c r="H1476" s="34"/>
      <c r="I1476" s="37"/>
    </row>
    <row r="1477" ht="22.5" customHeight="1">
      <c r="A1477" s="30"/>
      <c r="B1477" s="31"/>
      <c r="C1477" s="32"/>
      <c r="D1477" s="33"/>
      <c r="E1477" s="34"/>
      <c r="F1477" s="34"/>
      <c r="G1477" s="35"/>
      <c r="H1477" s="34"/>
      <c r="I1477" s="37"/>
    </row>
    <row r="1478" ht="22.5" customHeight="1">
      <c r="A1478" s="30"/>
      <c r="B1478" s="31"/>
      <c r="C1478" s="32"/>
      <c r="D1478" s="33"/>
      <c r="E1478" s="34"/>
      <c r="F1478" s="34"/>
      <c r="G1478" s="35"/>
      <c r="H1478" s="34"/>
      <c r="I1478" s="37"/>
    </row>
    <row r="1479" ht="22.5" customHeight="1">
      <c r="A1479" s="30"/>
      <c r="B1479" s="31"/>
      <c r="C1479" s="32"/>
      <c r="D1479" s="33"/>
      <c r="E1479" s="34"/>
      <c r="F1479" s="34"/>
      <c r="G1479" s="35"/>
      <c r="H1479" s="34"/>
      <c r="I1479" s="37"/>
    </row>
    <row r="1480" ht="22.5" customHeight="1">
      <c r="A1480" s="30"/>
      <c r="B1480" s="31"/>
      <c r="C1480" s="32"/>
      <c r="D1480" s="33"/>
      <c r="E1480" s="34"/>
      <c r="F1480" s="34"/>
      <c r="G1480" s="35"/>
      <c r="H1480" s="34"/>
      <c r="I1480" s="37"/>
    </row>
    <row r="1481" ht="22.5" customHeight="1">
      <c r="A1481" s="30"/>
      <c r="B1481" s="31"/>
      <c r="C1481" s="32"/>
      <c r="D1481" s="33"/>
      <c r="E1481" s="34"/>
      <c r="F1481" s="34"/>
      <c r="G1481" s="35"/>
      <c r="H1481" s="34"/>
      <c r="I1481" s="37"/>
    </row>
    <row r="1482" ht="22.5" customHeight="1">
      <c r="A1482" s="30"/>
      <c r="B1482" s="31"/>
      <c r="C1482" s="32"/>
      <c r="D1482" s="33"/>
      <c r="E1482" s="34"/>
      <c r="F1482" s="34"/>
      <c r="G1482" s="35"/>
      <c r="H1482" s="34"/>
      <c r="I1482" s="37"/>
    </row>
    <row r="1483" ht="22.5" customHeight="1">
      <c r="A1483" s="30"/>
      <c r="B1483" s="31"/>
      <c r="C1483" s="32"/>
      <c r="D1483" s="33"/>
      <c r="E1483" s="34"/>
      <c r="F1483" s="34"/>
      <c r="G1483" s="35"/>
      <c r="H1483" s="34"/>
      <c r="I1483" s="37"/>
    </row>
    <row r="1484" ht="22.5" customHeight="1">
      <c r="A1484" s="30"/>
      <c r="B1484" s="31"/>
      <c r="C1484" s="32"/>
      <c r="D1484" s="33"/>
      <c r="E1484" s="34"/>
      <c r="F1484" s="34"/>
      <c r="G1484" s="35"/>
      <c r="H1484" s="34"/>
      <c r="I1484" s="37"/>
    </row>
    <row r="1485" ht="22.5" customHeight="1">
      <c r="A1485" s="30"/>
      <c r="B1485" s="31"/>
      <c r="C1485" s="32"/>
      <c r="D1485" s="33"/>
      <c r="E1485" s="34"/>
      <c r="F1485" s="34"/>
      <c r="G1485" s="35"/>
      <c r="H1485" s="34"/>
      <c r="I1485" s="37"/>
    </row>
    <row r="1486" ht="22.5" customHeight="1">
      <c r="A1486" s="30"/>
      <c r="B1486" s="40"/>
      <c r="C1486" s="32"/>
      <c r="D1486" s="33"/>
      <c r="E1486" s="34"/>
      <c r="F1486" s="34"/>
      <c r="G1486" s="35"/>
      <c r="H1486" s="34"/>
      <c r="I1486" s="37"/>
    </row>
    <row r="1487" ht="22.5" customHeight="1">
      <c r="A1487" s="30"/>
      <c r="B1487" s="31"/>
      <c r="C1487" s="32"/>
      <c r="D1487" s="33"/>
      <c r="E1487" s="34"/>
      <c r="F1487" s="34"/>
      <c r="G1487" s="35"/>
      <c r="H1487" s="34"/>
      <c r="I1487" s="37"/>
    </row>
    <row r="1488" ht="22.5" customHeight="1">
      <c r="A1488" s="30"/>
      <c r="B1488" s="31"/>
      <c r="C1488" s="32"/>
      <c r="D1488" s="33"/>
      <c r="E1488" s="34"/>
      <c r="F1488" s="34"/>
      <c r="G1488" s="35"/>
      <c r="H1488" s="34"/>
      <c r="I1488" s="37"/>
    </row>
    <row r="1489" ht="22.5" customHeight="1">
      <c r="A1489" s="30"/>
      <c r="B1489" s="31"/>
      <c r="C1489" s="32"/>
      <c r="D1489" s="33"/>
      <c r="E1489" s="34"/>
      <c r="F1489" s="34"/>
      <c r="G1489" s="35"/>
      <c r="H1489" s="34"/>
      <c r="I1489" s="37"/>
    </row>
    <row r="1490" ht="22.5" customHeight="1">
      <c r="A1490" s="30"/>
      <c r="B1490" s="40"/>
      <c r="C1490" s="32"/>
      <c r="D1490" s="33"/>
      <c r="E1490" s="34"/>
      <c r="F1490" s="34"/>
      <c r="G1490" s="35"/>
      <c r="H1490" s="34"/>
      <c r="I1490" s="37"/>
    </row>
    <row r="1491" ht="22.5" customHeight="1">
      <c r="A1491" s="30"/>
      <c r="B1491" s="31"/>
      <c r="C1491" s="32"/>
      <c r="D1491" s="33"/>
      <c r="E1491" s="34"/>
      <c r="F1491" s="34"/>
      <c r="G1491" s="35"/>
      <c r="H1491" s="34"/>
      <c r="I1491" s="37"/>
    </row>
    <row r="1492" ht="22.5" customHeight="1">
      <c r="A1492" s="30"/>
      <c r="B1492" s="31"/>
      <c r="C1492" s="32"/>
      <c r="D1492" s="33"/>
      <c r="E1492" s="34"/>
      <c r="F1492" s="34"/>
      <c r="G1492" s="35"/>
      <c r="H1492" s="34"/>
      <c r="I1492" s="37"/>
    </row>
    <row r="1493" ht="22.5" customHeight="1">
      <c r="A1493" s="30"/>
      <c r="B1493" s="31"/>
      <c r="C1493" s="32"/>
      <c r="D1493" s="33"/>
      <c r="E1493" s="34"/>
      <c r="F1493" s="34"/>
      <c r="G1493" s="35"/>
      <c r="H1493" s="34"/>
      <c r="I1493" s="37"/>
    </row>
    <row r="1494" ht="22.5" customHeight="1">
      <c r="A1494" s="30"/>
      <c r="B1494" s="31"/>
      <c r="C1494" s="32"/>
      <c r="D1494" s="33"/>
      <c r="E1494" s="34"/>
      <c r="F1494" s="34"/>
      <c r="G1494" s="35"/>
      <c r="H1494" s="34"/>
      <c r="I1494" s="37"/>
    </row>
    <row r="1495" ht="22.5" customHeight="1">
      <c r="A1495" s="30"/>
      <c r="B1495" s="31"/>
      <c r="C1495" s="32"/>
      <c r="D1495" s="33"/>
      <c r="E1495" s="34"/>
      <c r="F1495" s="34"/>
      <c r="G1495" s="35"/>
      <c r="H1495" s="34"/>
      <c r="I1495" s="37"/>
    </row>
    <row r="1496" ht="22.5" customHeight="1">
      <c r="A1496" s="30"/>
      <c r="B1496" s="31"/>
      <c r="C1496" s="32"/>
      <c r="D1496" s="33"/>
      <c r="E1496" s="34"/>
      <c r="F1496" s="34"/>
      <c r="G1496" s="35"/>
      <c r="H1496" s="34"/>
      <c r="I1496" s="37"/>
    </row>
    <row r="1497" ht="22.5" customHeight="1">
      <c r="A1497" s="30"/>
      <c r="B1497" s="31"/>
      <c r="C1497" s="32"/>
      <c r="D1497" s="33"/>
      <c r="E1497" s="34"/>
      <c r="F1497" s="34"/>
      <c r="G1497" s="35"/>
      <c r="H1497" s="34"/>
      <c r="I1497" s="37"/>
    </row>
    <row r="1498" ht="22.5" customHeight="1">
      <c r="A1498" s="30"/>
      <c r="B1498" s="31"/>
      <c r="C1498" s="32"/>
      <c r="D1498" s="33"/>
      <c r="E1498" s="34"/>
      <c r="F1498" s="34"/>
      <c r="G1498" s="35"/>
      <c r="H1498" s="34"/>
      <c r="I1498" s="37"/>
    </row>
    <row r="1499" ht="22.5" customHeight="1">
      <c r="A1499" s="30"/>
      <c r="B1499" s="31"/>
      <c r="C1499" s="32"/>
      <c r="D1499" s="33"/>
      <c r="E1499" s="34"/>
      <c r="F1499" s="34"/>
      <c r="G1499" s="35"/>
      <c r="H1499" s="34"/>
      <c r="I1499" s="37"/>
    </row>
    <row r="1500" ht="22.5" customHeight="1">
      <c r="A1500" s="30"/>
      <c r="B1500" s="31"/>
      <c r="C1500" s="32"/>
      <c r="D1500" s="33"/>
      <c r="E1500" s="34"/>
      <c r="F1500" s="34"/>
      <c r="G1500" s="35"/>
      <c r="H1500" s="34"/>
      <c r="I1500" s="37"/>
    </row>
    <row r="1501" ht="22.5" customHeight="1">
      <c r="A1501" s="30"/>
      <c r="B1501" s="31"/>
      <c r="C1501" s="32"/>
      <c r="D1501" s="33"/>
      <c r="E1501" s="34"/>
      <c r="F1501" s="34"/>
      <c r="G1501" s="35"/>
      <c r="H1501" s="34"/>
      <c r="I1501" s="37"/>
    </row>
    <row r="1502" ht="22.5" customHeight="1">
      <c r="A1502" s="30"/>
      <c r="B1502" s="31"/>
      <c r="C1502" s="32"/>
      <c r="D1502" s="33"/>
      <c r="E1502" s="34"/>
      <c r="F1502" s="34"/>
      <c r="G1502" s="35"/>
      <c r="H1502" s="34"/>
      <c r="I1502" s="37"/>
    </row>
    <row r="1503" ht="22.5" customHeight="1">
      <c r="A1503" s="30"/>
      <c r="B1503" s="31"/>
      <c r="C1503" s="32"/>
      <c r="D1503" s="33"/>
      <c r="E1503" s="34"/>
      <c r="F1503" s="34"/>
      <c r="G1503" s="35"/>
      <c r="H1503" s="34"/>
      <c r="I1503" s="37"/>
    </row>
    <row r="1504" ht="22.5" customHeight="1">
      <c r="A1504" s="30"/>
      <c r="B1504" s="31"/>
      <c r="C1504" s="32"/>
      <c r="D1504" s="33"/>
      <c r="E1504" s="34"/>
      <c r="F1504" s="34"/>
      <c r="G1504" s="35"/>
      <c r="H1504" s="34"/>
      <c r="I1504" s="37"/>
    </row>
    <row r="1505" ht="22.5" customHeight="1">
      <c r="A1505" s="30"/>
      <c r="B1505" s="40"/>
      <c r="C1505" s="32"/>
      <c r="D1505" s="33"/>
      <c r="E1505" s="34"/>
      <c r="F1505" s="34"/>
      <c r="G1505" s="35"/>
      <c r="H1505" s="34"/>
      <c r="I1505" s="37"/>
    </row>
    <row r="1506" ht="22.5" customHeight="1">
      <c r="A1506" s="30"/>
      <c r="B1506" s="31"/>
      <c r="C1506" s="32"/>
      <c r="D1506" s="33"/>
      <c r="E1506" s="34"/>
      <c r="F1506" s="34"/>
      <c r="G1506" s="35"/>
      <c r="H1506" s="34"/>
      <c r="I1506" s="37"/>
    </row>
    <row r="1507" ht="22.5" customHeight="1">
      <c r="A1507" s="30"/>
      <c r="B1507" s="40"/>
      <c r="C1507" s="32"/>
      <c r="D1507" s="33"/>
      <c r="E1507" s="34"/>
      <c r="F1507" s="34"/>
      <c r="G1507" s="35"/>
      <c r="H1507" s="34"/>
      <c r="I1507" s="37"/>
    </row>
    <row r="1508" ht="22.5" customHeight="1">
      <c r="A1508" s="30"/>
      <c r="B1508" s="31"/>
      <c r="C1508" s="32"/>
      <c r="D1508" s="33"/>
      <c r="E1508" s="34"/>
      <c r="F1508" s="34"/>
      <c r="G1508" s="35"/>
      <c r="H1508" s="34"/>
      <c r="I1508" s="37"/>
    </row>
    <row r="1509" ht="22.5" customHeight="1">
      <c r="A1509" s="30"/>
      <c r="B1509" s="31"/>
      <c r="C1509" s="32"/>
      <c r="D1509" s="33"/>
      <c r="E1509" s="34"/>
      <c r="F1509" s="34"/>
      <c r="G1509" s="35"/>
      <c r="H1509" s="34"/>
      <c r="I1509" s="37"/>
    </row>
    <row r="1510" ht="22.5" customHeight="1">
      <c r="A1510" s="30"/>
      <c r="B1510" s="31"/>
      <c r="C1510" s="32"/>
      <c r="D1510" s="33"/>
      <c r="E1510" s="34"/>
      <c r="F1510" s="34"/>
      <c r="G1510" s="35"/>
      <c r="H1510" s="34"/>
      <c r="I1510" s="37"/>
    </row>
    <row r="1511" ht="22.5" customHeight="1">
      <c r="A1511" s="30"/>
      <c r="B1511" s="31"/>
      <c r="C1511" s="32"/>
      <c r="D1511" s="33"/>
      <c r="E1511" s="34"/>
      <c r="F1511" s="34"/>
      <c r="G1511" s="35"/>
      <c r="H1511" s="34"/>
      <c r="I1511" s="37"/>
    </row>
    <row r="1512" ht="22.5" customHeight="1">
      <c r="A1512" s="30"/>
      <c r="B1512" s="40"/>
      <c r="C1512" s="32"/>
      <c r="D1512" s="33"/>
      <c r="E1512" s="34"/>
      <c r="F1512" s="34"/>
      <c r="G1512" s="35"/>
      <c r="H1512" s="34"/>
      <c r="I1512" s="37"/>
    </row>
    <row r="1513" ht="22.5" customHeight="1">
      <c r="A1513" s="30"/>
      <c r="B1513" s="31"/>
      <c r="C1513" s="32"/>
      <c r="D1513" s="33"/>
      <c r="E1513" s="34"/>
      <c r="F1513" s="34"/>
      <c r="G1513" s="35"/>
      <c r="H1513" s="34"/>
      <c r="I1513" s="37"/>
    </row>
    <row r="1514" ht="22.5" customHeight="1">
      <c r="A1514" s="30"/>
      <c r="B1514" s="31"/>
      <c r="C1514" s="32"/>
      <c r="D1514" s="33"/>
      <c r="E1514" s="34"/>
      <c r="F1514" s="34"/>
      <c r="G1514" s="35"/>
      <c r="H1514" s="34"/>
      <c r="I1514" s="37"/>
    </row>
    <row r="1515" ht="22.5" customHeight="1">
      <c r="A1515" s="30"/>
      <c r="B1515" s="31"/>
      <c r="C1515" s="32"/>
      <c r="D1515" s="33"/>
      <c r="E1515" s="34"/>
      <c r="F1515" s="34"/>
      <c r="G1515" s="35"/>
      <c r="H1515" s="34"/>
      <c r="I1515" s="37"/>
    </row>
    <row r="1516" ht="22.5" customHeight="1">
      <c r="A1516" s="30"/>
      <c r="B1516" s="31"/>
      <c r="C1516" s="32"/>
      <c r="D1516" s="33"/>
      <c r="E1516" s="34"/>
      <c r="F1516" s="34"/>
      <c r="G1516" s="35"/>
      <c r="H1516" s="34"/>
      <c r="I1516" s="37"/>
    </row>
    <row r="1517" ht="22.5" customHeight="1">
      <c r="A1517" s="30"/>
      <c r="B1517" s="31"/>
      <c r="C1517" s="32"/>
      <c r="D1517" s="33"/>
      <c r="E1517" s="34"/>
      <c r="F1517" s="34"/>
      <c r="G1517" s="35"/>
      <c r="H1517" s="34"/>
      <c r="I1517" s="37"/>
    </row>
    <row r="1518" ht="22.5" customHeight="1">
      <c r="A1518" s="30"/>
      <c r="B1518" s="31"/>
      <c r="C1518" s="32"/>
      <c r="D1518" s="33"/>
      <c r="E1518" s="34"/>
      <c r="F1518" s="34"/>
      <c r="G1518" s="35"/>
      <c r="H1518" s="34"/>
      <c r="I1518" s="37"/>
    </row>
    <row r="1519" ht="22.5" customHeight="1">
      <c r="A1519" s="30"/>
      <c r="B1519" s="31"/>
      <c r="C1519" s="32"/>
      <c r="D1519" s="33"/>
      <c r="E1519" s="34"/>
      <c r="F1519" s="34"/>
      <c r="G1519" s="35"/>
      <c r="H1519" s="34"/>
      <c r="I1519" s="37"/>
    </row>
    <row r="1520" ht="22.5" customHeight="1">
      <c r="A1520" s="30"/>
      <c r="B1520" s="31"/>
      <c r="C1520" s="32"/>
      <c r="D1520" s="33"/>
      <c r="E1520" s="34"/>
      <c r="F1520" s="34"/>
      <c r="G1520" s="35"/>
      <c r="H1520" s="34"/>
      <c r="I1520" s="37"/>
    </row>
    <row r="1521" ht="22.5" customHeight="1">
      <c r="A1521" s="30"/>
      <c r="B1521" s="31"/>
      <c r="C1521" s="32"/>
      <c r="D1521" s="33"/>
      <c r="E1521" s="34"/>
      <c r="F1521" s="34"/>
      <c r="G1521" s="35"/>
      <c r="H1521" s="34"/>
      <c r="I1521" s="37"/>
    </row>
    <row r="1522" ht="22.5" customHeight="1">
      <c r="A1522" s="30"/>
      <c r="B1522" s="31"/>
      <c r="C1522" s="32"/>
      <c r="D1522" s="33"/>
      <c r="E1522" s="34"/>
      <c r="F1522" s="34"/>
      <c r="G1522" s="35"/>
      <c r="H1522" s="34"/>
      <c r="I1522" s="37"/>
    </row>
    <row r="1523" ht="22.5" customHeight="1">
      <c r="A1523" s="30"/>
      <c r="B1523" s="31"/>
      <c r="C1523" s="32"/>
      <c r="D1523" s="33"/>
      <c r="E1523" s="34"/>
      <c r="F1523" s="34"/>
      <c r="G1523" s="35"/>
      <c r="H1523" s="34"/>
      <c r="I1523" s="37"/>
    </row>
    <row r="1524" ht="22.5" customHeight="1">
      <c r="A1524" s="30"/>
      <c r="B1524" s="31"/>
      <c r="C1524" s="32"/>
      <c r="D1524" s="33"/>
      <c r="E1524" s="34"/>
      <c r="F1524" s="34"/>
      <c r="G1524" s="35"/>
      <c r="H1524" s="34"/>
      <c r="I1524" s="37"/>
    </row>
    <row r="1525" ht="22.5" customHeight="1">
      <c r="A1525" s="30"/>
      <c r="B1525" s="31"/>
      <c r="C1525" s="32"/>
      <c r="D1525" s="33"/>
      <c r="E1525" s="34"/>
      <c r="F1525" s="34"/>
      <c r="G1525" s="35"/>
      <c r="H1525" s="34"/>
      <c r="I1525" s="37"/>
    </row>
    <row r="1526" ht="22.5" customHeight="1">
      <c r="A1526" s="30"/>
      <c r="B1526" s="31"/>
      <c r="C1526" s="32"/>
      <c r="D1526" s="33"/>
      <c r="E1526" s="34"/>
      <c r="F1526" s="34"/>
      <c r="G1526" s="35"/>
      <c r="H1526" s="34"/>
      <c r="I1526" s="37"/>
    </row>
    <row r="1527" ht="22.5" customHeight="1">
      <c r="A1527" s="30"/>
      <c r="B1527" s="31"/>
      <c r="C1527" s="32"/>
      <c r="D1527" s="33"/>
      <c r="E1527" s="34"/>
      <c r="F1527" s="34"/>
      <c r="G1527" s="35"/>
      <c r="H1527" s="34"/>
      <c r="I1527" s="37"/>
    </row>
    <row r="1528" ht="22.5" customHeight="1">
      <c r="A1528" s="30"/>
      <c r="B1528" s="31"/>
      <c r="C1528" s="32"/>
      <c r="D1528" s="33"/>
      <c r="E1528" s="34"/>
      <c r="F1528" s="34"/>
      <c r="G1528" s="35"/>
      <c r="H1528" s="34"/>
      <c r="I1528" s="37"/>
    </row>
    <row r="1529" ht="22.5" customHeight="1">
      <c r="A1529" s="30"/>
      <c r="B1529" s="31"/>
      <c r="C1529" s="32"/>
      <c r="D1529" s="33"/>
      <c r="E1529" s="34"/>
      <c r="F1529" s="34"/>
      <c r="G1529" s="35"/>
      <c r="H1529" s="34"/>
      <c r="I1529" s="37"/>
    </row>
    <row r="1530" ht="22.5" customHeight="1">
      <c r="A1530" s="30"/>
      <c r="B1530" s="31"/>
      <c r="C1530" s="32"/>
      <c r="D1530" s="33"/>
      <c r="E1530" s="34"/>
      <c r="F1530" s="34"/>
      <c r="G1530" s="35"/>
      <c r="H1530" s="34"/>
      <c r="I1530" s="37"/>
    </row>
    <row r="1531" ht="22.5" customHeight="1">
      <c r="A1531" s="30"/>
      <c r="B1531" s="31"/>
      <c r="C1531" s="32"/>
      <c r="D1531" s="33"/>
      <c r="E1531" s="34"/>
      <c r="F1531" s="34"/>
      <c r="G1531" s="35"/>
      <c r="H1531" s="34"/>
      <c r="I1531" s="37"/>
    </row>
    <row r="1532" ht="22.5" customHeight="1">
      <c r="A1532" s="30"/>
      <c r="B1532" s="31"/>
      <c r="C1532" s="32"/>
      <c r="D1532" s="33"/>
      <c r="E1532" s="34"/>
      <c r="F1532" s="34"/>
      <c r="G1532" s="35"/>
      <c r="H1532" s="34"/>
      <c r="I1532" s="37"/>
    </row>
    <row r="1533" ht="22.5" customHeight="1">
      <c r="A1533" s="30"/>
      <c r="B1533" s="31"/>
      <c r="C1533" s="32"/>
      <c r="D1533" s="33"/>
      <c r="E1533" s="34"/>
      <c r="F1533" s="34"/>
      <c r="G1533" s="35"/>
      <c r="H1533" s="34"/>
      <c r="I1533" s="37"/>
    </row>
    <row r="1534" ht="22.5" customHeight="1">
      <c r="A1534" s="30"/>
      <c r="B1534" s="40"/>
      <c r="C1534" s="32"/>
      <c r="D1534" s="33"/>
      <c r="E1534" s="34"/>
      <c r="F1534" s="34"/>
      <c r="G1534" s="35"/>
      <c r="H1534" s="34"/>
      <c r="I1534" s="37"/>
    </row>
    <row r="1535" ht="22.5" customHeight="1">
      <c r="A1535" s="30"/>
      <c r="B1535" s="31"/>
      <c r="C1535" s="32"/>
      <c r="D1535" s="33"/>
      <c r="E1535" s="34"/>
      <c r="F1535" s="34"/>
      <c r="G1535" s="35"/>
      <c r="H1535" s="34"/>
      <c r="I1535" s="37"/>
    </row>
    <row r="1536" ht="22.5" customHeight="1">
      <c r="A1536" s="30"/>
      <c r="B1536" s="31"/>
      <c r="C1536" s="32"/>
      <c r="D1536" s="33"/>
      <c r="E1536" s="34"/>
      <c r="F1536" s="34"/>
      <c r="G1536" s="35"/>
      <c r="H1536" s="34"/>
      <c r="I1536" s="37"/>
    </row>
    <row r="1537" ht="22.5" customHeight="1">
      <c r="A1537" s="30"/>
      <c r="B1537" s="31"/>
      <c r="C1537" s="32"/>
      <c r="D1537" s="33"/>
      <c r="E1537" s="34"/>
      <c r="F1537" s="34"/>
      <c r="G1537" s="35"/>
      <c r="H1537" s="34"/>
      <c r="I1537" s="37"/>
    </row>
    <row r="1538" ht="22.5" customHeight="1">
      <c r="A1538" s="30"/>
      <c r="B1538" s="31"/>
      <c r="C1538" s="32"/>
      <c r="D1538" s="33"/>
      <c r="E1538" s="34"/>
      <c r="F1538" s="34"/>
      <c r="G1538" s="35"/>
      <c r="H1538" s="34"/>
      <c r="I1538" s="38"/>
    </row>
    <row r="1539" ht="22.5" customHeight="1">
      <c r="A1539" s="30"/>
      <c r="B1539" s="39"/>
      <c r="C1539" s="32"/>
      <c r="D1539" s="33"/>
      <c r="E1539" s="34"/>
      <c r="F1539" s="34"/>
      <c r="G1539" s="35"/>
      <c r="H1539" s="34"/>
      <c r="I1539" s="37"/>
    </row>
    <row r="1540" ht="22.5" customHeight="1">
      <c r="A1540" s="30"/>
      <c r="B1540" s="31"/>
      <c r="C1540" s="32"/>
      <c r="D1540" s="33"/>
      <c r="E1540" s="34"/>
      <c r="F1540" s="34"/>
      <c r="G1540" s="35"/>
      <c r="H1540" s="34"/>
      <c r="I1540" s="37"/>
    </row>
    <row r="1541" ht="22.5" customHeight="1">
      <c r="A1541" s="30"/>
      <c r="B1541" s="31"/>
      <c r="C1541" s="32"/>
      <c r="D1541" s="33"/>
      <c r="E1541" s="34"/>
      <c r="F1541" s="34"/>
      <c r="G1541" s="35"/>
      <c r="H1541" s="34"/>
      <c r="I1541" s="37"/>
    </row>
    <row r="1542" ht="22.5" customHeight="1">
      <c r="A1542" s="30"/>
      <c r="B1542" s="31"/>
      <c r="C1542" s="32"/>
      <c r="D1542" s="33"/>
      <c r="E1542" s="34"/>
      <c r="F1542" s="34"/>
      <c r="G1542" s="35"/>
      <c r="H1542" s="34"/>
      <c r="I1542" s="37"/>
    </row>
    <row r="1543" ht="22.5" customHeight="1">
      <c r="A1543" s="30"/>
      <c r="B1543" s="39"/>
      <c r="C1543" s="32"/>
      <c r="D1543" s="33"/>
      <c r="E1543" s="34"/>
      <c r="F1543" s="34"/>
      <c r="G1543" s="35"/>
      <c r="H1543" s="34"/>
      <c r="I1543" s="37"/>
    </row>
    <row r="1544" ht="22.5" customHeight="1">
      <c r="A1544" s="30"/>
      <c r="B1544" s="31"/>
      <c r="C1544" s="32"/>
      <c r="D1544" s="33"/>
      <c r="E1544" s="34"/>
      <c r="F1544" s="34"/>
      <c r="G1544" s="35"/>
      <c r="H1544" s="34"/>
      <c r="I1544" s="37"/>
    </row>
    <row r="1545" ht="22.5" customHeight="1">
      <c r="A1545" s="30"/>
      <c r="B1545" s="39"/>
      <c r="C1545" s="32"/>
      <c r="D1545" s="33"/>
      <c r="E1545" s="34"/>
      <c r="F1545" s="34"/>
      <c r="G1545" s="35"/>
      <c r="H1545" s="34"/>
      <c r="I1545" s="37"/>
    </row>
    <row r="1546" ht="22.5" customHeight="1">
      <c r="A1546" s="30"/>
      <c r="B1546" s="31"/>
      <c r="C1546" s="32"/>
      <c r="D1546" s="33"/>
      <c r="E1546" s="34"/>
      <c r="F1546" s="34"/>
      <c r="G1546" s="35"/>
      <c r="H1546" s="34"/>
      <c r="I1546" s="37"/>
    </row>
    <row r="1547" ht="22.5" customHeight="1">
      <c r="A1547" s="30"/>
      <c r="B1547" s="31"/>
      <c r="C1547" s="32"/>
      <c r="D1547" s="33"/>
      <c r="E1547" s="34"/>
      <c r="F1547" s="34"/>
      <c r="G1547" s="35"/>
      <c r="H1547" s="34"/>
      <c r="I1547" s="37"/>
    </row>
    <row r="1548" ht="22.5" customHeight="1">
      <c r="A1548" s="30"/>
      <c r="B1548" s="31"/>
      <c r="C1548" s="32"/>
      <c r="D1548" s="33"/>
      <c r="E1548" s="34"/>
      <c r="F1548" s="34"/>
      <c r="G1548" s="35"/>
      <c r="H1548" s="34"/>
      <c r="I1548" s="37"/>
    </row>
    <row r="1549" ht="22.5" customHeight="1">
      <c r="A1549" s="30"/>
      <c r="B1549" s="31"/>
      <c r="C1549" s="32"/>
      <c r="D1549" s="33"/>
      <c r="E1549" s="34"/>
      <c r="F1549" s="34"/>
      <c r="G1549" s="35"/>
      <c r="H1549" s="34"/>
      <c r="I1549" s="37"/>
    </row>
    <row r="1550" ht="22.5" customHeight="1">
      <c r="A1550" s="30"/>
      <c r="B1550" s="31"/>
      <c r="C1550" s="32"/>
      <c r="D1550" s="33"/>
      <c r="E1550" s="34"/>
      <c r="F1550" s="34"/>
      <c r="G1550" s="35"/>
      <c r="H1550" s="34"/>
      <c r="I1550" s="37"/>
    </row>
    <row r="1551" ht="22.5" customHeight="1">
      <c r="A1551" s="30"/>
      <c r="B1551" s="31"/>
      <c r="C1551" s="32"/>
      <c r="D1551" s="33"/>
      <c r="E1551" s="34"/>
      <c r="F1551" s="34"/>
      <c r="G1551" s="35"/>
      <c r="H1551" s="34"/>
      <c r="I1551" s="37"/>
    </row>
    <row r="1552" ht="22.5" customHeight="1">
      <c r="A1552" s="30"/>
      <c r="B1552" s="31"/>
      <c r="C1552" s="32"/>
      <c r="D1552" s="33"/>
      <c r="E1552" s="34"/>
      <c r="F1552" s="34"/>
      <c r="G1552" s="35"/>
      <c r="H1552" s="34"/>
      <c r="I1552" s="37"/>
    </row>
    <row r="1553" ht="22.5" customHeight="1">
      <c r="A1553" s="30"/>
      <c r="B1553" s="31"/>
      <c r="C1553" s="32"/>
      <c r="D1553" s="33"/>
      <c r="E1553" s="34"/>
      <c r="F1553" s="34"/>
      <c r="G1553" s="35"/>
      <c r="H1553" s="34"/>
      <c r="I1553" s="37"/>
    </row>
    <row r="1554" ht="22.5" customHeight="1">
      <c r="A1554" s="30"/>
      <c r="B1554" s="31"/>
      <c r="C1554" s="32"/>
      <c r="D1554" s="33"/>
      <c r="E1554" s="34"/>
      <c r="F1554" s="34"/>
      <c r="G1554" s="35"/>
      <c r="H1554" s="34"/>
      <c r="I1554" s="37"/>
    </row>
    <row r="1555" ht="22.5" customHeight="1">
      <c r="A1555" s="30"/>
      <c r="B1555" s="31"/>
      <c r="C1555" s="32"/>
      <c r="D1555" s="33"/>
      <c r="E1555" s="34"/>
      <c r="F1555" s="34"/>
      <c r="G1555" s="35"/>
      <c r="H1555" s="34"/>
      <c r="I1555" s="37"/>
    </row>
    <row r="1556" ht="22.5" customHeight="1">
      <c r="A1556" s="30"/>
      <c r="B1556" s="40"/>
      <c r="C1556" s="32"/>
      <c r="D1556" s="33"/>
      <c r="E1556" s="34"/>
      <c r="F1556" s="34"/>
      <c r="G1556" s="35"/>
      <c r="H1556" s="34"/>
      <c r="I1556" s="37"/>
    </row>
    <row r="1557" ht="22.5" customHeight="1">
      <c r="A1557" s="30"/>
      <c r="B1557" s="31"/>
      <c r="C1557" s="32"/>
      <c r="D1557" s="33"/>
      <c r="E1557" s="34"/>
      <c r="F1557" s="34"/>
      <c r="G1557" s="35"/>
      <c r="H1557" s="34"/>
      <c r="I1557" s="37"/>
    </row>
    <row r="1558" ht="22.5" customHeight="1">
      <c r="A1558" s="30"/>
      <c r="B1558" s="31"/>
      <c r="C1558" s="32"/>
      <c r="D1558" s="33"/>
      <c r="E1558" s="34"/>
      <c r="F1558" s="34"/>
      <c r="G1558" s="35"/>
      <c r="H1558" s="34"/>
      <c r="I1558" s="37"/>
    </row>
    <row r="1559" ht="22.5" customHeight="1">
      <c r="A1559" s="30"/>
      <c r="B1559" s="31"/>
      <c r="C1559" s="32"/>
      <c r="D1559" s="33"/>
      <c r="E1559" s="34"/>
      <c r="F1559" s="34"/>
      <c r="G1559" s="35"/>
      <c r="H1559" s="34"/>
      <c r="I1559" s="37"/>
    </row>
    <row r="1560" ht="22.5" customHeight="1">
      <c r="A1560" s="30"/>
      <c r="B1560" s="31"/>
      <c r="C1560" s="32"/>
      <c r="D1560" s="33"/>
      <c r="E1560" s="34"/>
      <c r="F1560" s="34"/>
      <c r="G1560" s="35"/>
      <c r="H1560" s="34"/>
      <c r="I1560" s="37"/>
    </row>
    <row r="1561" ht="22.5" customHeight="1">
      <c r="A1561" s="30"/>
      <c r="B1561" s="31"/>
      <c r="C1561" s="32"/>
      <c r="D1561" s="33"/>
      <c r="E1561" s="34"/>
      <c r="F1561" s="34"/>
      <c r="G1561" s="35"/>
      <c r="H1561" s="34"/>
      <c r="I1561" s="37"/>
    </row>
    <row r="1562" ht="22.5" customHeight="1">
      <c r="A1562" s="30"/>
      <c r="B1562" s="31"/>
      <c r="C1562" s="32"/>
      <c r="D1562" s="33"/>
      <c r="E1562" s="34"/>
      <c r="F1562" s="34"/>
      <c r="G1562" s="35"/>
      <c r="H1562" s="34"/>
      <c r="I1562" s="37"/>
    </row>
    <row r="1563" ht="22.5" customHeight="1">
      <c r="A1563" s="30"/>
      <c r="B1563" s="39"/>
      <c r="C1563" s="32"/>
      <c r="D1563" s="33"/>
      <c r="E1563" s="34"/>
      <c r="F1563" s="34"/>
      <c r="G1563" s="35"/>
      <c r="H1563" s="34"/>
      <c r="I1563" s="37"/>
    </row>
    <row r="1564" ht="22.5" customHeight="1">
      <c r="A1564" s="30"/>
      <c r="B1564" s="39"/>
      <c r="C1564" s="32"/>
      <c r="D1564" s="33"/>
      <c r="E1564" s="34"/>
      <c r="F1564" s="34"/>
      <c r="G1564" s="35"/>
      <c r="H1564" s="34"/>
      <c r="I1564" s="37"/>
    </row>
    <row r="1565" ht="22.5" customHeight="1">
      <c r="A1565" s="30"/>
      <c r="B1565" s="39"/>
      <c r="C1565" s="32"/>
      <c r="D1565" s="33"/>
      <c r="E1565" s="34"/>
      <c r="F1565" s="34"/>
      <c r="G1565" s="35"/>
      <c r="H1565" s="34"/>
      <c r="I1565" s="37"/>
    </row>
    <row r="1566" ht="22.5" customHeight="1">
      <c r="A1566" s="30"/>
      <c r="B1566" s="40"/>
      <c r="C1566" s="32"/>
      <c r="D1566" s="33"/>
      <c r="E1566" s="34"/>
      <c r="F1566" s="34"/>
      <c r="G1566" s="35"/>
      <c r="H1566" s="34"/>
      <c r="I1566" s="37"/>
    </row>
    <row r="1567" ht="22.5" customHeight="1">
      <c r="A1567" s="30"/>
      <c r="B1567" s="31"/>
      <c r="C1567" s="32"/>
      <c r="D1567" s="33"/>
      <c r="E1567" s="34"/>
      <c r="F1567" s="34"/>
      <c r="G1567" s="35"/>
      <c r="H1567" s="34"/>
      <c r="I1567" s="37"/>
    </row>
    <row r="1568" ht="22.5" customHeight="1">
      <c r="A1568" s="30"/>
      <c r="B1568" s="31"/>
      <c r="C1568" s="32"/>
      <c r="D1568" s="33"/>
      <c r="E1568" s="34"/>
      <c r="F1568" s="34"/>
      <c r="G1568" s="35"/>
      <c r="H1568" s="34"/>
      <c r="I1568" s="37"/>
    </row>
    <row r="1569" ht="22.5" customHeight="1">
      <c r="A1569" s="30"/>
      <c r="B1569" s="31"/>
      <c r="C1569" s="32"/>
      <c r="D1569" s="33"/>
      <c r="E1569" s="34"/>
      <c r="F1569" s="34"/>
      <c r="G1569" s="35"/>
      <c r="H1569" s="34"/>
      <c r="I1569" s="37"/>
    </row>
    <row r="1570" ht="22.5" customHeight="1">
      <c r="A1570" s="30"/>
      <c r="B1570" s="31"/>
      <c r="C1570" s="32"/>
      <c r="D1570" s="33"/>
      <c r="E1570" s="34"/>
      <c r="F1570" s="34"/>
      <c r="G1570" s="35"/>
      <c r="H1570" s="34"/>
      <c r="I1570" s="37"/>
    </row>
    <row r="1571" ht="22.5" customHeight="1">
      <c r="A1571" s="30"/>
      <c r="B1571" s="31"/>
      <c r="C1571" s="32"/>
      <c r="D1571" s="33"/>
      <c r="E1571" s="34"/>
      <c r="F1571" s="34"/>
      <c r="G1571" s="35"/>
      <c r="H1571" s="34"/>
      <c r="I1571" s="37"/>
    </row>
    <row r="1572" ht="22.5" customHeight="1">
      <c r="A1572" s="30"/>
      <c r="B1572" s="31"/>
      <c r="C1572" s="32"/>
      <c r="D1572" s="33"/>
      <c r="E1572" s="34"/>
      <c r="F1572" s="34"/>
      <c r="G1572" s="35"/>
      <c r="H1572" s="34"/>
      <c r="I1572" s="37"/>
    </row>
    <row r="1573" ht="22.5" customHeight="1">
      <c r="A1573" s="30"/>
      <c r="B1573" s="31"/>
      <c r="C1573" s="32"/>
      <c r="D1573" s="33"/>
      <c r="E1573" s="34"/>
      <c r="F1573" s="34"/>
      <c r="G1573" s="35"/>
      <c r="H1573" s="34"/>
      <c r="I1573" s="37"/>
    </row>
    <row r="1574" ht="22.5" customHeight="1">
      <c r="A1574" s="30"/>
      <c r="B1574" s="31"/>
      <c r="C1574" s="32"/>
      <c r="D1574" s="33"/>
      <c r="E1574" s="34"/>
      <c r="F1574" s="34"/>
      <c r="G1574" s="35"/>
      <c r="H1574" s="34"/>
      <c r="I1574" s="37"/>
    </row>
    <row r="1575" ht="22.5" customHeight="1">
      <c r="A1575" s="30"/>
      <c r="B1575" s="31"/>
      <c r="C1575" s="32"/>
      <c r="D1575" s="33"/>
      <c r="E1575" s="34"/>
      <c r="F1575" s="34"/>
      <c r="G1575" s="35"/>
      <c r="H1575" s="34"/>
      <c r="I1575" s="37"/>
    </row>
    <row r="1576" ht="22.5" customHeight="1">
      <c r="A1576" s="30"/>
      <c r="B1576" s="40"/>
      <c r="C1576" s="32"/>
      <c r="D1576" s="33"/>
      <c r="E1576" s="34"/>
      <c r="F1576" s="34"/>
      <c r="G1576" s="35"/>
      <c r="H1576" s="34"/>
      <c r="I1576" s="37"/>
    </row>
    <row r="1577" ht="22.5" customHeight="1">
      <c r="A1577" s="30"/>
      <c r="B1577" s="31"/>
      <c r="C1577" s="32"/>
      <c r="D1577" s="33"/>
      <c r="E1577" s="34"/>
      <c r="F1577" s="34"/>
      <c r="G1577" s="35"/>
      <c r="H1577" s="34"/>
      <c r="I1577" s="37"/>
    </row>
    <row r="1578" ht="22.5" customHeight="1">
      <c r="A1578" s="30"/>
      <c r="B1578" s="31"/>
      <c r="C1578" s="32"/>
      <c r="D1578" s="33"/>
      <c r="E1578" s="34"/>
      <c r="F1578" s="34"/>
      <c r="G1578" s="35"/>
      <c r="H1578" s="34"/>
      <c r="I1578" s="37"/>
    </row>
    <row r="1579" ht="22.5" customHeight="1">
      <c r="A1579" s="30"/>
      <c r="B1579" s="31"/>
      <c r="C1579" s="32"/>
      <c r="D1579" s="33"/>
      <c r="E1579" s="34"/>
      <c r="F1579" s="34"/>
      <c r="G1579" s="35"/>
      <c r="H1579" s="34"/>
      <c r="I1579" s="37"/>
    </row>
    <row r="1580" ht="22.5" customHeight="1">
      <c r="A1580" s="30"/>
      <c r="B1580" s="40"/>
      <c r="C1580" s="32"/>
      <c r="D1580" s="33"/>
      <c r="E1580" s="34"/>
      <c r="F1580" s="34"/>
      <c r="G1580" s="35"/>
      <c r="H1580" s="34"/>
      <c r="I1580" s="37"/>
    </row>
    <row r="1581" ht="22.5" customHeight="1">
      <c r="A1581" s="30"/>
      <c r="B1581" s="31"/>
      <c r="C1581" s="32"/>
      <c r="D1581" s="33"/>
      <c r="E1581" s="34"/>
      <c r="F1581" s="34"/>
      <c r="G1581" s="35"/>
      <c r="H1581" s="34"/>
      <c r="I1581" s="37"/>
    </row>
    <row r="1582" ht="22.5" customHeight="1">
      <c r="A1582" s="30"/>
      <c r="B1582" s="31"/>
      <c r="C1582" s="32"/>
      <c r="D1582" s="33"/>
      <c r="E1582" s="34"/>
      <c r="F1582" s="34"/>
      <c r="G1582" s="35"/>
      <c r="H1582" s="34"/>
      <c r="I1582" s="37"/>
    </row>
    <row r="1583" ht="22.5" customHeight="1">
      <c r="A1583" s="30"/>
      <c r="B1583" s="31"/>
      <c r="C1583" s="32"/>
      <c r="D1583" s="33"/>
      <c r="E1583" s="34"/>
      <c r="F1583" s="34"/>
      <c r="G1583" s="35"/>
      <c r="H1583" s="34"/>
      <c r="I1583" s="37"/>
    </row>
    <row r="1584" ht="22.5" customHeight="1">
      <c r="A1584" s="30"/>
      <c r="B1584" s="31"/>
      <c r="C1584" s="32"/>
      <c r="D1584" s="33"/>
      <c r="E1584" s="34"/>
      <c r="F1584" s="34"/>
      <c r="G1584" s="35"/>
      <c r="H1584" s="34"/>
      <c r="I1584" s="37"/>
    </row>
    <row r="1585" ht="22.5" customHeight="1">
      <c r="A1585" s="30"/>
      <c r="B1585" s="31"/>
      <c r="C1585" s="32"/>
      <c r="D1585" s="33"/>
      <c r="E1585" s="34"/>
      <c r="F1585" s="34"/>
      <c r="G1585" s="35"/>
      <c r="H1585" s="34"/>
      <c r="I1585" s="37"/>
    </row>
    <row r="1586" ht="22.5" customHeight="1">
      <c r="A1586" s="30"/>
      <c r="B1586" s="31"/>
      <c r="C1586" s="32"/>
      <c r="D1586" s="33"/>
      <c r="E1586" s="34"/>
      <c r="F1586" s="34"/>
      <c r="G1586" s="35"/>
      <c r="H1586" s="34"/>
      <c r="I1586" s="37"/>
    </row>
    <row r="1587" ht="22.5" customHeight="1">
      <c r="A1587" s="30"/>
      <c r="B1587" s="31"/>
      <c r="C1587" s="32"/>
      <c r="D1587" s="33"/>
      <c r="E1587" s="34"/>
      <c r="F1587" s="34"/>
      <c r="G1587" s="35"/>
      <c r="H1587" s="34"/>
      <c r="I1587" s="37"/>
    </row>
    <row r="1588" ht="22.5" customHeight="1">
      <c r="A1588" s="30"/>
      <c r="B1588" s="31"/>
      <c r="C1588" s="32"/>
      <c r="D1588" s="33"/>
      <c r="E1588" s="34"/>
      <c r="F1588" s="34"/>
      <c r="G1588" s="35"/>
      <c r="H1588" s="34"/>
      <c r="I1588" s="37"/>
    </row>
    <row r="1589" ht="22.5" customHeight="1">
      <c r="A1589" s="30"/>
      <c r="B1589" s="31"/>
      <c r="C1589" s="32"/>
      <c r="D1589" s="33"/>
      <c r="E1589" s="34"/>
      <c r="F1589" s="34"/>
      <c r="G1589" s="35"/>
      <c r="H1589" s="34"/>
      <c r="I1589" s="37"/>
    </row>
    <row r="1590" ht="22.5" customHeight="1">
      <c r="A1590" s="30"/>
      <c r="B1590" s="31"/>
      <c r="C1590" s="32"/>
      <c r="D1590" s="33"/>
      <c r="E1590" s="34"/>
      <c r="F1590" s="34"/>
      <c r="G1590" s="35"/>
      <c r="H1590" s="34"/>
      <c r="I1590" s="37"/>
    </row>
    <row r="1591" ht="22.5" customHeight="1">
      <c r="A1591" s="30"/>
      <c r="B1591" s="31"/>
      <c r="C1591" s="32"/>
      <c r="D1591" s="33"/>
      <c r="E1591" s="34"/>
      <c r="F1591" s="34"/>
      <c r="G1591" s="35"/>
      <c r="H1591" s="34"/>
      <c r="I1591" s="37"/>
    </row>
    <row r="1592" ht="22.5" customHeight="1">
      <c r="A1592" s="30"/>
      <c r="B1592" s="31"/>
      <c r="C1592" s="32"/>
      <c r="D1592" s="33"/>
      <c r="E1592" s="34"/>
      <c r="F1592" s="34"/>
      <c r="G1592" s="35"/>
      <c r="H1592" s="34"/>
      <c r="I1592" s="37"/>
    </row>
    <row r="1593" ht="22.5" customHeight="1">
      <c r="A1593" s="30"/>
      <c r="B1593" s="31"/>
      <c r="C1593" s="32"/>
      <c r="D1593" s="33"/>
      <c r="E1593" s="34"/>
      <c r="F1593" s="34"/>
      <c r="G1593" s="35"/>
      <c r="H1593" s="34"/>
      <c r="I1593" s="37"/>
    </row>
    <row r="1594" ht="22.5" customHeight="1">
      <c r="A1594" s="30"/>
      <c r="B1594" s="31"/>
      <c r="C1594" s="32"/>
      <c r="D1594" s="33"/>
      <c r="E1594" s="34"/>
      <c r="F1594" s="34"/>
      <c r="G1594" s="35"/>
      <c r="H1594" s="34"/>
      <c r="I1594" s="37"/>
    </row>
    <row r="1595" ht="22.5" customHeight="1">
      <c r="A1595" s="30"/>
      <c r="B1595" s="40"/>
      <c r="C1595" s="32"/>
      <c r="D1595" s="33"/>
      <c r="E1595" s="34"/>
      <c r="F1595" s="34"/>
      <c r="G1595" s="35"/>
      <c r="H1595" s="34"/>
      <c r="I1595" s="37"/>
    </row>
    <row r="1596" ht="22.5" customHeight="1">
      <c r="A1596" s="30"/>
      <c r="B1596" s="31"/>
      <c r="C1596" s="32"/>
      <c r="D1596" s="33"/>
      <c r="E1596" s="34"/>
      <c r="F1596" s="34"/>
      <c r="G1596" s="35"/>
      <c r="H1596" s="34"/>
      <c r="I1596" s="37"/>
    </row>
    <row r="1597" ht="22.5" customHeight="1">
      <c r="A1597" s="30"/>
      <c r="B1597" s="40"/>
      <c r="C1597" s="32"/>
      <c r="D1597" s="33"/>
      <c r="E1597" s="34"/>
      <c r="F1597" s="34"/>
      <c r="G1597" s="35"/>
      <c r="H1597" s="34"/>
      <c r="I1597" s="37"/>
    </row>
    <row r="1598" ht="22.5" customHeight="1">
      <c r="A1598" s="30"/>
      <c r="B1598" s="31"/>
      <c r="C1598" s="32"/>
      <c r="D1598" s="33"/>
      <c r="E1598" s="34"/>
      <c r="F1598" s="34"/>
      <c r="G1598" s="35"/>
      <c r="H1598" s="34"/>
      <c r="I1598" s="37"/>
    </row>
    <row r="1599" ht="22.5" customHeight="1">
      <c r="A1599" s="30"/>
      <c r="B1599" s="31"/>
      <c r="C1599" s="32"/>
      <c r="D1599" s="33"/>
      <c r="E1599" s="34"/>
      <c r="F1599" s="34"/>
      <c r="G1599" s="35"/>
      <c r="H1599" s="34"/>
      <c r="I1599" s="37"/>
    </row>
    <row r="1600" ht="22.5" customHeight="1">
      <c r="A1600" s="30"/>
      <c r="B1600" s="31"/>
      <c r="C1600" s="32"/>
      <c r="D1600" s="33"/>
      <c r="E1600" s="34"/>
      <c r="F1600" s="34"/>
      <c r="G1600" s="35"/>
      <c r="H1600" s="34"/>
      <c r="I1600" s="37"/>
    </row>
    <row r="1601" ht="22.5" customHeight="1">
      <c r="A1601" s="30"/>
      <c r="B1601" s="31"/>
      <c r="C1601" s="32"/>
      <c r="D1601" s="33"/>
      <c r="E1601" s="34"/>
      <c r="F1601" s="34"/>
      <c r="G1601" s="35"/>
      <c r="H1601" s="34"/>
      <c r="I1601" s="37"/>
    </row>
    <row r="1602" ht="22.5" customHeight="1">
      <c r="A1602" s="30"/>
      <c r="B1602" s="40"/>
      <c r="C1602" s="32"/>
      <c r="D1602" s="33"/>
      <c r="E1602" s="34"/>
      <c r="F1602" s="34"/>
      <c r="G1602" s="35"/>
      <c r="H1602" s="34"/>
      <c r="I1602" s="37"/>
    </row>
    <row r="1603" ht="22.5" customHeight="1">
      <c r="A1603" s="30"/>
      <c r="B1603" s="31"/>
      <c r="C1603" s="32"/>
      <c r="D1603" s="33"/>
      <c r="E1603" s="34"/>
      <c r="F1603" s="34"/>
      <c r="G1603" s="35"/>
      <c r="H1603" s="34"/>
      <c r="I1603" s="37"/>
    </row>
    <row r="1604" ht="22.5" customHeight="1">
      <c r="A1604" s="30"/>
      <c r="B1604" s="31"/>
      <c r="C1604" s="32"/>
      <c r="D1604" s="33"/>
      <c r="E1604" s="34"/>
      <c r="F1604" s="34"/>
      <c r="G1604" s="35"/>
      <c r="H1604" s="34"/>
      <c r="I1604" s="37"/>
    </row>
    <row r="1605" ht="22.5" customHeight="1">
      <c r="A1605" s="30"/>
      <c r="B1605" s="31"/>
      <c r="C1605" s="32"/>
      <c r="D1605" s="33"/>
      <c r="E1605" s="34"/>
      <c r="F1605" s="34"/>
      <c r="G1605" s="35"/>
      <c r="H1605" s="34"/>
      <c r="I1605" s="37"/>
    </row>
    <row r="1606" ht="22.5" customHeight="1">
      <c r="A1606" s="30"/>
      <c r="B1606" s="31"/>
      <c r="C1606" s="32"/>
      <c r="D1606" s="33"/>
      <c r="E1606" s="34"/>
      <c r="F1606" s="34"/>
      <c r="G1606" s="35"/>
      <c r="H1606" s="34"/>
      <c r="I1606" s="37"/>
    </row>
    <row r="1607" ht="22.5" customHeight="1">
      <c r="A1607" s="30"/>
      <c r="B1607" s="31"/>
      <c r="C1607" s="32"/>
      <c r="D1607" s="33"/>
      <c r="E1607" s="34"/>
      <c r="F1607" s="34"/>
      <c r="G1607" s="35"/>
      <c r="H1607" s="34"/>
      <c r="I1607" s="37"/>
    </row>
    <row r="1608" ht="22.5" customHeight="1">
      <c r="A1608" s="30"/>
      <c r="B1608" s="31"/>
      <c r="C1608" s="32"/>
      <c r="D1608" s="33"/>
      <c r="E1608" s="34"/>
      <c r="F1608" s="34"/>
      <c r="G1608" s="35"/>
      <c r="H1608" s="34"/>
      <c r="I1608" s="37"/>
    </row>
    <row r="1609" ht="22.5" customHeight="1">
      <c r="A1609" s="30"/>
      <c r="B1609" s="31"/>
      <c r="C1609" s="32"/>
      <c r="D1609" s="33"/>
      <c r="E1609" s="34"/>
      <c r="F1609" s="34"/>
      <c r="G1609" s="35"/>
      <c r="H1609" s="34"/>
      <c r="I1609" s="37"/>
    </row>
    <row r="1610" ht="22.5" customHeight="1">
      <c r="A1610" s="30"/>
      <c r="B1610" s="31"/>
      <c r="C1610" s="32"/>
      <c r="D1610" s="33"/>
      <c r="E1610" s="34"/>
      <c r="F1610" s="34"/>
      <c r="G1610" s="35"/>
      <c r="H1610" s="34"/>
      <c r="I1610" s="37"/>
    </row>
    <row r="1611" ht="22.5" customHeight="1">
      <c r="A1611" s="30"/>
      <c r="B1611" s="31"/>
      <c r="C1611" s="32"/>
      <c r="D1611" s="33"/>
      <c r="E1611" s="34"/>
      <c r="F1611" s="34"/>
      <c r="G1611" s="35"/>
      <c r="H1611" s="34"/>
      <c r="I1611" s="37"/>
    </row>
    <row r="1612" ht="22.5" customHeight="1">
      <c r="A1612" s="30"/>
      <c r="B1612" s="31"/>
      <c r="C1612" s="32"/>
      <c r="D1612" s="33"/>
      <c r="E1612" s="34"/>
      <c r="F1612" s="34"/>
      <c r="G1612" s="35"/>
      <c r="H1612" s="34"/>
      <c r="I1612" s="37"/>
    </row>
    <row r="1613" ht="22.5" customHeight="1">
      <c r="A1613" s="30"/>
      <c r="B1613" s="31"/>
      <c r="C1613" s="32"/>
      <c r="D1613" s="33"/>
      <c r="E1613" s="34"/>
      <c r="F1613" s="34"/>
      <c r="G1613" s="35"/>
      <c r="H1613" s="34"/>
      <c r="I1613" s="37"/>
    </row>
    <row r="1614" ht="22.5" customHeight="1">
      <c r="A1614" s="30"/>
      <c r="B1614" s="31"/>
      <c r="C1614" s="32"/>
      <c r="D1614" s="33"/>
      <c r="E1614" s="34"/>
      <c r="F1614" s="34"/>
      <c r="G1614" s="35"/>
      <c r="H1614" s="34"/>
      <c r="I1614" s="37"/>
    </row>
    <row r="1615" ht="22.5" customHeight="1">
      <c r="A1615" s="30"/>
      <c r="B1615" s="31"/>
      <c r="C1615" s="32"/>
      <c r="D1615" s="33"/>
      <c r="E1615" s="34"/>
      <c r="F1615" s="34"/>
      <c r="G1615" s="35"/>
      <c r="H1615" s="34"/>
      <c r="I1615" s="37"/>
    </row>
    <row r="1616" ht="22.5" customHeight="1">
      <c r="A1616" s="30"/>
      <c r="B1616" s="31"/>
      <c r="C1616" s="32"/>
      <c r="D1616" s="33"/>
      <c r="E1616" s="34"/>
      <c r="F1616" s="34"/>
      <c r="G1616" s="35"/>
      <c r="H1616" s="34"/>
      <c r="I1616" s="37"/>
    </row>
    <row r="1617" ht="22.5" customHeight="1">
      <c r="A1617" s="30"/>
      <c r="B1617" s="31"/>
      <c r="C1617" s="32"/>
      <c r="D1617" s="33"/>
      <c r="E1617" s="34"/>
      <c r="F1617" s="34"/>
      <c r="G1617" s="35"/>
      <c r="H1617" s="34"/>
      <c r="I1617" s="37"/>
    </row>
    <row r="1618" ht="22.5" customHeight="1">
      <c r="A1618" s="30"/>
      <c r="B1618" s="31"/>
      <c r="C1618" s="32"/>
      <c r="D1618" s="33"/>
      <c r="E1618" s="34"/>
      <c r="F1618" s="34"/>
      <c r="G1618" s="35"/>
      <c r="H1618" s="34"/>
      <c r="I1618" s="37"/>
    </row>
    <row r="1619" ht="22.5" customHeight="1">
      <c r="A1619" s="30"/>
      <c r="B1619" s="31"/>
      <c r="C1619" s="32"/>
      <c r="D1619" s="33"/>
      <c r="E1619" s="34"/>
      <c r="F1619" s="34"/>
      <c r="G1619" s="35"/>
      <c r="H1619" s="34"/>
      <c r="I1619" s="37"/>
    </row>
    <row r="1620" ht="22.5" customHeight="1">
      <c r="A1620" s="30"/>
      <c r="B1620" s="31"/>
      <c r="C1620" s="32"/>
      <c r="D1620" s="33"/>
      <c r="E1620" s="34"/>
      <c r="F1620" s="34"/>
      <c r="G1620" s="35"/>
      <c r="H1620" s="34"/>
      <c r="I1620" s="37"/>
    </row>
    <row r="1621" ht="22.5" customHeight="1">
      <c r="A1621" s="30"/>
      <c r="B1621" s="31"/>
      <c r="C1621" s="32"/>
      <c r="D1621" s="33"/>
      <c r="E1621" s="34"/>
      <c r="F1621" s="34"/>
      <c r="G1621" s="35"/>
      <c r="H1621" s="34"/>
      <c r="I1621" s="37"/>
    </row>
    <row r="1622" ht="22.5" customHeight="1">
      <c r="A1622" s="30"/>
      <c r="B1622" s="31"/>
      <c r="C1622" s="32"/>
      <c r="D1622" s="33"/>
      <c r="E1622" s="34"/>
      <c r="F1622" s="34"/>
      <c r="G1622" s="35"/>
      <c r="H1622" s="34"/>
      <c r="I1622" s="37"/>
    </row>
    <row r="1623" ht="22.5" customHeight="1">
      <c r="A1623" s="30"/>
      <c r="B1623" s="31"/>
      <c r="C1623" s="32"/>
      <c r="D1623" s="33"/>
      <c r="E1623" s="34"/>
      <c r="F1623" s="34"/>
      <c r="G1623" s="35"/>
      <c r="H1623" s="34"/>
      <c r="I1623" s="37"/>
    </row>
    <row r="1624" ht="22.5" customHeight="1">
      <c r="A1624" s="30"/>
      <c r="B1624" s="31"/>
      <c r="C1624" s="30"/>
      <c r="D1624" s="33"/>
      <c r="E1624" s="34"/>
      <c r="F1624" s="34"/>
      <c r="G1624" s="36"/>
      <c r="H1624" s="34"/>
      <c r="I1624" s="37"/>
    </row>
    <row r="1625" ht="22.5" customHeight="1">
      <c r="A1625" s="30"/>
      <c r="B1625" s="31"/>
      <c r="C1625" s="30"/>
      <c r="D1625" s="33"/>
      <c r="E1625" s="34"/>
      <c r="F1625" s="34"/>
      <c r="G1625" s="36"/>
      <c r="H1625" s="34"/>
      <c r="I1625" s="37"/>
    </row>
    <row r="1626" ht="22.5" customHeight="1">
      <c r="A1626" s="30"/>
      <c r="B1626" s="31"/>
      <c r="C1626" s="30"/>
      <c r="D1626" s="33"/>
      <c r="E1626" s="34"/>
      <c r="F1626" s="34"/>
      <c r="G1626" s="36"/>
      <c r="H1626" s="34"/>
      <c r="I1626" s="37"/>
    </row>
    <row r="1627" ht="22.5" customHeight="1">
      <c r="A1627" s="30"/>
      <c r="B1627" s="31"/>
      <c r="C1627" s="30"/>
      <c r="D1627" s="33"/>
      <c r="E1627" s="34"/>
      <c r="F1627" s="34"/>
      <c r="G1627" s="36"/>
      <c r="H1627" s="34"/>
      <c r="I1627" s="37"/>
    </row>
    <row r="1628" ht="22.5" customHeight="1">
      <c r="A1628" s="30"/>
      <c r="B1628" s="31"/>
      <c r="C1628" s="30"/>
      <c r="D1628" s="33"/>
      <c r="E1628" s="34"/>
      <c r="F1628" s="34"/>
      <c r="G1628" s="36"/>
      <c r="H1628" s="34"/>
      <c r="I1628" s="37"/>
    </row>
    <row r="1629" ht="22.5" customHeight="1">
      <c r="A1629" s="30"/>
      <c r="B1629" s="31"/>
      <c r="C1629" s="30"/>
      <c r="D1629" s="33"/>
      <c r="E1629" s="34"/>
      <c r="F1629" s="34"/>
      <c r="G1629" s="36"/>
      <c r="H1629" s="34"/>
      <c r="I1629" s="37"/>
    </row>
    <row r="1630" ht="22.5" customHeight="1">
      <c r="A1630" s="30"/>
      <c r="B1630" s="31"/>
      <c r="C1630" s="30"/>
      <c r="D1630" s="33"/>
      <c r="E1630" s="34"/>
      <c r="F1630" s="34"/>
      <c r="G1630" s="36"/>
      <c r="H1630" s="34"/>
      <c r="I1630" s="37"/>
    </row>
    <row r="1631" ht="22.5" customHeight="1">
      <c r="A1631" s="30"/>
      <c r="B1631" s="31"/>
      <c r="C1631" s="30"/>
      <c r="D1631" s="33"/>
      <c r="E1631" s="34"/>
      <c r="F1631" s="34"/>
      <c r="G1631" s="36"/>
      <c r="H1631" s="34"/>
      <c r="I1631" s="37"/>
    </row>
    <row r="1632" ht="22.5" customHeight="1">
      <c r="A1632" s="30"/>
      <c r="B1632" s="31"/>
      <c r="C1632" s="30"/>
      <c r="D1632" s="33"/>
      <c r="E1632" s="34"/>
      <c r="F1632" s="34"/>
      <c r="G1632" s="36"/>
      <c r="H1632" s="34"/>
      <c r="I1632" s="37"/>
    </row>
    <row r="1633" ht="22.5" customHeight="1">
      <c r="A1633" s="30"/>
      <c r="B1633" s="31"/>
      <c r="C1633" s="30"/>
      <c r="D1633" s="33"/>
      <c r="E1633" s="34"/>
      <c r="F1633" s="34"/>
      <c r="G1633" s="36"/>
      <c r="H1633" s="34"/>
      <c r="I1633" s="37"/>
    </row>
    <row r="1634" ht="22.5" customHeight="1">
      <c r="A1634" s="30"/>
      <c r="B1634" s="31"/>
      <c r="C1634" s="30"/>
      <c r="D1634" s="33"/>
      <c r="E1634" s="34"/>
      <c r="F1634" s="34"/>
      <c r="G1634" s="36"/>
      <c r="H1634" s="34"/>
      <c r="I1634" s="37"/>
    </row>
    <row r="1635" ht="22.5" customHeight="1">
      <c r="A1635" s="30"/>
      <c r="B1635" s="31"/>
      <c r="C1635" s="30"/>
      <c r="D1635" s="33"/>
      <c r="E1635" s="34"/>
      <c r="F1635" s="34"/>
      <c r="G1635" s="36"/>
      <c r="H1635" s="34"/>
      <c r="I1635" s="37"/>
    </row>
    <row r="1636" ht="22.5" customHeight="1">
      <c r="A1636" s="30"/>
      <c r="B1636" s="31"/>
      <c r="C1636" s="30"/>
      <c r="D1636" s="33"/>
      <c r="E1636" s="34"/>
      <c r="F1636" s="34"/>
      <c r="G1636" s="36"/>
      <c r="H1636" s="34"/>
      <c r="I1636" s="37"/>
    </row>
    <row r="1637" ht="22.5" customHeight="1">
      <c r="A1637" s="30"/>
      <c r="B1637" s="31"/>
      <c r="C1637" s="30"/>
      <c r="D1637" s="33"/>
      <c r="E1637" s="34"/>
      <c r="F1637" s="34"/>
      <c r="G1637" s="36"/>
      <c r="H1637" s="34"/>
      <c r="I1637" s="37"/>
    </row>
    <row r="1638" ht="22.5" customHeight="1">
      <c r="A1638" s="30"/>
      <c r="B1638" s="31"/>
      <c r="C1638" s="30"/>
      <c r="D1638" s="33"/>
      <c r="E1638" s="34"/>
      <c r="F1638" s="34"/>
      <c r="G1638" s="36"/>
      <c r="H1638" s="34"/>
      <c r="I1638" s="37"/>
    </row>
    <row r="1639" ht="22.5" customHeight="1">
      <c r="A1639" s="30"/>
      <c r="B1639" s="31"/>
      <c r="C1639" s="30"/>
      <c r="D1639" s="33"/>
      <c r="E1639" s="34"/>
      <c r="F1639" s="34"/>
      <c r="G1639" s="36"/>
      <c r="H1639" s="34"/>
      <c r="I1639" s="37"/>
    </row>
    <row r="1640" ht="22.5" customHeight="1">
      <c r="A1640" s="30"/>
      <c r="B1640" s="31"/>
      <c r="C1640" s="30"/>
      <c r="D1640" s="33"/>
      <c r="E1640" s="34"/>
      <c r="F1640" s="34"/>
      <c r="G1640" s="36"/>
      <c r="H1640" s="34"/>
      <c r="I1640" s="37"/>
    </row>
    <row r="1641" ht="22.5" customHeight="1">
      <c r="A1641" s="30"/>
      <c r="B1641" s="31"/>
      <c r="C1641" s="30"/>
      <c r="D1641" s="33"/>
      <c r="E1641" s="34"/>
      <c r="F1641" s="34"/>
      <c r="G1641" s="36"/>
      <c r="H1641" s="34"/>
      <c r="I1641" s="37"/>
    </row>
    <row r="1642" ht="22.5" customHeight="1">
      <c r="A1642" s="30"/>
      <c r="B1642" s="31"/>
      <c r="C1642" s="30"/>
      <c r="D1642" s="33"/>
      <c r="E1642" s="34"/>
      <c r="F1642" s="34"/>
      <c r="G1642" s="36"/>
      <c r="H1642" s="34"/>
      <c r="I1642" s="37"/>
    </row>
    <row r="1643" ht="22.5" customHeight="1">
      <c r="A1643" s="30"/>
      <c r="B1643" s="31"/>
      <c r="C1643" s="30"/>
      <c r="D1643" s="33"/>
      <c r="E1643" s="34"/>
      <c r="F1643" s="34"/>
      <c r="G1643" s="36"/>
      <c r="H1643" s="34"/>
      <c r="I1643" s="37"/>
    </row>
    <row r="1644" ht="22.5" customHeight="1">
      <c r="A1644" s="30"/>
      <c r="B1644" s="31"/>
      <c r="C1644" s="30"/>
      <c r="D1644" s="33"/>
      <c r="E1644" s="34"/>
      <c r="F1644" s="34"/>
      <c r="G1644" s="36"/>
      <c r="H1644" s="34"/>
      <c r="I1644" s="37"/>
    </row>
    <row r="1645" ht="22.5" customHeight="1">
      <c r="A1645" s="30"/>
      <c r="B1645" s="31"/>
      <c r="C1645" s="30"/>
      <c r="D1645" s="33"/>
      <c r="E1645" s="34"/>
      <c r="F1645" s="34"/>
      <c r="G1645" s="36"/>
      <c r="H1645" s="34"/>
      <c r="I1645" s="37"/>
    </row>
    <row r="1646" ht="22.5" customHeight="1">
      <c r="A1646" s="30"/>
      <c r="B1646" s="31"/>
      <c r="C1646" s="30"/>
      <c r="D1646" s="33"/>
      <c r="E1646" s="34"/>
      <c r="F1646" s="34"/>
      <c r="G1646" s="36"/>
      <c r="H1646" s="34"/>
      <c r="I1646" s="37"/>
    </row>
    <row r="1647" ht="22.5" customHeight="1">
      <c r="A1647" s="30"/>
      <c r="B1647" s="31"/>
      <c r="C1647" s="30"/>
      <c r="D1647" s="33"/>
      <c r="E1647" s="34"/>
      <c r="F1647" s="34"/>
      <c r="G1647" s="36"/>
      <c r="H1647" s="34"/>
      <c r="I1647" s="37"/>
    </row>
    <row r="1648" ht="22.5" customHeight="1">
      <c r="A1648" s="30"/>
      <c r="B1648" s="31"/>
      <c r="C1648" s="30"/>
      <c r="D1648" s="33"/>
      <c r="E1648" s="34"/>
      <c r="F1648" s="34"/>
      <c r="G1648" s="36"/>
      <c r="H1648" s="34"/>
      <c r="I1648" s="37"/>
    </row>
    <row r="1649" ht="22.5" customHeight="1">
      <c r="A1649" s="30"/>
      <c r="B1649" s="31"/>
      <c r="C1649" s="30"/>
      <c r="D1649" s="33"/>
      <c r="E1649" s="34"/>
      <c r="F1649" s="34"/>
      <c r="G1649" s="36"/>
      <c r="H1649" s="34"/>
      <c r="I1649" s="37"/>
    </row>
    <row r="1650" ht="22.5" customHeight="1">
      <c r="A1650" s="30"/>
      <c r="B1650" s="31"/>
      <c r="C1650" s="30"/>
      <c r="D1650" s="33"/>
      <c r="E1650" s="34"/>
      <c r="F1650" s="34"/>
      <c r="G1650" s="36"/>
      <c r="H1650" s="34"/>
      <c r="I1650" s="37"/>
    </row>
    <row r="1651" ht="22.5" customHeight="1">
      <c r="A1651" s="30"/>
      <c r="B1651" s="31"/>
      <c r="C1651" s="30"/>
      <c r="D1651" s="33"/>
      <c r="E1651" s="34"/>
      <c r="F1651" s="34"/>
      <c r="G1651" s="36"/>
      <c r="H1651" s="34"/>
      <c r="I1651" s="37"/>
    </row>
    <row r="1652" ht="22.5" customHeight="1">
      <c r="A1652" s="30"/>
      <c r="B1652" s="31"/>
      <c r="C1652" s="30"/>
      <c r="D1652" s="33"/>
      <c r="E1652" s="34"/>
      <c r="F1652" s="34"/>
      <c r="G1652" s="36"/>
      <c r="H1652" s="34"/>
      <c r="I1652" s="37"/>
    </row>
    <row r="1653" ht="22.5" customHeight="1">
      <c r="A1653" s="30"/>
      <c r="B1653" s="31"/>
      <c r="C1653" s="30"/>
      <c r="D1653" s="33"/>
      <c r="E1653" s="34"/>
      <c r="F1653" s="34"/>
      <c r="G1653" s="36"/>
      <c r="H1653" s="34"/>
      <c r="I1653" s="37"/>
    </row>
    <row r="1654" ht="22.5" customHeight="1">
      <c r="A1654" s="30"/>
      <c r="B1654" s="31"/>
      <c r="C1654" s="30"/>
      <c r="D1654" s="33"/>
      <c r="E1654" s="34"/>
      <c r="F1654" s="34"/>
      <c r="G1654" s="36"/>
      <c r="H1654" s="34"/>
      <c r="I1654" s="37"/>
    </row>
    <row r="1655" ht="22.5" customHeight="1">
      <c r="A1655" s="30"/>
      <c r="B1655" s="31"/>
      <c r="C1655" s="30"/>
      <c r="D1655" s="33"/>
      <c r="E1655" s="34"/>
      <c r="F1655" s="34"/>
      <c r="G1655" s="36"/>
      <c r="H1655" s="34"/>
      <c r="I1655" s="37"/>
    </row>
    <row r="1656" ht="22.5" customHeight="1">
      <c r="A1656" s="30"/>
      <c r="B1656" s="31"/>
      <c r="C1656" s="30"/>
      <c r="D1656" s="33"/>
      <c r="E1656" s="34"/>
      <c r="F1656" s="34"/>
      <c r="G1656" s="36"/>
      <c r="H1656" s="34"/>
      <c r="I1656" s="37"/>
    </row>
    <row r="1657" ht="22.5" customHeight="1">
      <c r="A1657" s="30"/>
      <c r="B1657" s="31"/>
      <c r="C1657" s="30"/>
      <c r="D1657" s="33"/>
      <c r="E1657" s="34"/>
      <c r="F1657" s="34"/>
      <c r="G1657" s="36"/>
      <c r="H1657" s="34"/>
      <c r="I1657" s="37"/>
    </row>
    <row r="1658" ht="22.5" customHeight="1">
      <c r="A1658" s="30"/>
      <c r="B1658" s="31"/>
      <c r="C1658" s="30"/>
      <c r="D1658" s="33"/>
      <c r="E1658" s="34"/>
      <c r="F1658" s="34"/>
      <c r="G1658" s="36"/>
      <c r="H1658" s="34"/>
      <c r="I1658" s="37"/>
    </row>
    <row r="1659" ht="22.5" customHeight="1">
      <c r="A1659" s="30"/>
      <c r="B1659" s="31"/>
      <c r="C1659" s="30"/>
      <c r="D1659" s="33"/>
      <c r="E1659" s="34"/>
      <c r="F1659" s="34"/>
      <c r="G1659" s="36"/>
      <c r="H1659" s="34"/>
      <c r="I1659" s="37"/>
    </row>
    <row r="1660" ht="22.5" customHeight="1">
      <c r="A1660" s="30"/>
      <c r="B1660" s="31"/>
      <c r="C1660" s="30"/>
      <c r="D1660" s="33"/>
      <c r="E1660" s="34"/>
      <c r="F1660" s="34"/>
      <c r="G1660" s="36"/>
      <c r="H1660" s="34"/>
      <c r="I1660" s="37"/>
    </row>
    <row r="1661" ht="22.5" customHeight="1">
      <c r="A1661" s="30"/>
      <c r="B1661" s="31"/>
      <c r="C1661" s="30"/>
      <c r="D1661" s="33"/>
      <c r="E1661" s="34"/>
      <c r="F1661" s="34"/>
      <c r="G1661" s="36"/>
      <c r="H1661" s="34"/>
      <c r="I1661" s="37"/>
    </row>
    <row r="1662" ht="22.5" customHeight="1">
      <c r="A1662" s="30"/>
      <c r="B1662" s="31"/>
      <c r="C1662" s="30"/>
      <c r="D1662" s="33"/>
      <c r="E1662" s="34"/>
      <c r="F1662" s="34"/>
      <c r="G1662" s="36"/>
      <c r="H1662" s="34"/>
      <c r="I1662" s="37"/>
    </row>
    <row r="1663" ht="22.5" customHeight="1">
      <c r="A1663" s="30"/>
      <c r="B1663" s="31"/>
      <c r="C1663" s="30"/>
      <c r="D1663" s="33"/>
      <c r="E1663" s="34"/>
      <c r="F1663" s="34"/>
      <c r="G1663" s="36"/>
      <c r="H1663" s="34"/>
      <c r="I1663" s="37"/>
    </row>
    <row r="1664" ht="22.5" customHeight="1">
      <c r="A1664" s="30"/>
      <c r="B1664" s="31"/>
      <c r="C1664" s="30"/>
      <c r="D1664" s="33"/>
      <c r="E1664" s="34"/>
      <c r="F1664" s="34"/>
      <c r="G1664" s="36"/>
      <c r="H1664" s="34"/>
      <c r="I1664" s="37"/>
    </row>
    <row r="1665" ht="22.5" customHeight="1">
      <c r="A1665" s="30"/>
      <c r="B1665" s="31"/>
      <c r="C1665" s="30"/>
      <c r="D1665" s="33"/>
      <c r="E1665" s="34"/>
      <c r="F1665" s="34"/>
      <c r="G1665" s="36"/>
      <c r="H1665" s="34"/>
      <c r="I1665" s="37"/>
    </row>
    <row r="1666" ht="22.5" customHeight="1">
      <c r="A1666" s="30"/>
      <c r="B1666" s="31"/>
      <c r="C1666" s="30"/>
      <c r="D1666" s="33"/>
      <c r="E1666" s="34"/>
      <c r="F1666" s="34"/>
      <c r="G1666" s="36"/>
      <c r="H1666" s="34"/>
      <c r="I1666" s="37"/>
    </row>
    <row r="1667" ht="22.5" customHeight="1">
      <c r="A1667" s="30"/>
      <c r="B1667" s="31"/>
      <c r="C1667" s="30"/>
      <c r="D1667" s="33"/>
      <c r="E1667" s="34"/>
      <c r="F1667" s="34"/>
      <c r="G1667" s="36"/>
      <c r="H1667" s="34"/>
      <c r="I1667" s="37"/>
    </row>
    <row r="1668" ht="22.5" customHeight="1">
      <c r="A1668" s="30"/>
      <c r="B1668" s="31"/>
      <c r="C1668" s="30"/>
      <c r="D1668" s="33"/>
      <c r="E1668" s="34"/>
      <c r="F1668" s="34"/>
      <c r="G1668" s="36"/>
      <c r="H1668" s="34"/>
      <c r="I1668" s="37"/>
    </row>
    <row r="1669" ht="22.5" customHeight="1">
      <c r="A1669" s="30"/>
      <c r="B1669" s="31"/>
      <c r="C1669" s="30"/>
      <c r="D1669" s="33"/>
      <c r="E1669" s="34"/>
      <c r="F1669" s="34"/>
      <c r="G1669" s="36"/>
      <c r="H1669" s="34"/>
      <c r="I1669" s="37"/>
    </row>
    <row r="1670" ht="22.5" customHeight="1">
      <c r="A1670" s="30"/>
      <c r="B1670" s="31"/>
      <c r="C1670" s="30"/>
      <c r="D1670" s="33"/>
      <c r="E1670" s="34"/>
      <c r="F1670" s="34"/>
      <c r="G1670" s="36"/>
      <c r="H1670" s="34"/>
      <c r="I1670" s="37"/>
    </row>
    <row r="1671" ht="22.5" customHeight="1">
      <c r="A1671" s="30"/>
      <c r="B1671" s="31"/>
      <c r="C1671" s="30"/>
      <c r="D1671" s="33"/>
      <c r="E1671" s="34"/>
      <c r="F1671" s="34"/>
      <c r="G1671" s="36"/>
      <c r="H1671" s="34"/>
      <c r="I1671" s="37"/>
    </row>
    <row r="1672" ht="22.5" customHeight="1">
      <c r="A1672" s="30"/>
      <c r="B1672" s="31"/>
      <c r="C1672" s="30"/>
      <c r="D1672" s="33"/>
      <c r="E1672" s="34"/>
      <c r="F1672" s="34"/>
      <c r="G1672" s="36"/>
      <c r="H1672" s="34"/>
      <c r="I1672" s="37"/>
    </row>
    <row r="1673" ht="22.5" customHeight="1">
      <c r="A1673" s="30"/>
      <c r="B1673" s="31"/>
      <c r="C1673" s="30"/>
      <c r="D1673" s="33"/>
      <c r="E1673" s="34"/>
      <c r="F1673" s="34"/>
      <c r="G1673" s="36"/>
      <c r="H1673" s="34"/>
      <c r="I1673" s="37"/>
    </row>
    <row r="1674" ht="22.5" customHeight="1">
      <c r="A1674" s="30"/>
      <c r="B1674" s="31"/>
      <c r="C1674" s="30"/>
      <c r="D1674" s="33"/>
      <c r="E1674" s="34"/>
      <c r="F1674" s="34"/>
      <c r="G1674" s="36"/>
      <c r="H1674" s="34"/>
      <c r="I1674" s="37"/>
    </row>
    <row r="1675" ht="22.5" customHeight="1">
      <c r="A1675" s="30"/>
      <c r="B1675" s="31"/>
      <c r="C1675" s="30"/>
      <c r="D1675" s="33"/>
      <c r="E1675" s="34"/>
      <c r="F1675" s="34"/>
      <c r="G1675" s="36"/>
      <c r="H1675" s="34"/>
      <c r="I1675" s="37"/>
    </row>
    <row r="1676" ht="22.5" customHeight="1">
      <c r="A1676" s="30"/>
      <c r="B1676" s="31"/>
      <c r="C1676" s="30"/>
      <c r="D1676" s="33"/>
      <c r="E1676" s="34"/>
      <c r="F1676" s="34"/>
      <c r="G1676" s="36"/>
      <c r="H1676" s="34"/>
      <c r="I1676" s="37"/>
    </row>
    <row r="1677" ht="22.5" customHeight="1">
      <c r="A1677" s="30"/>
      <c r="B1677" s="31"/>
      <c r="C1677" s="30"/>
      <c r="D1677" s="33"/>
      <c r="E1677" s="34"/>
      <c r="F1677" s="34"/>
      <c r="G1677" s="36"/>
      <c r="H1677" s="34"/>
      <c r="I1677" s="37"/>
    </row>
    <row r="1678" ht="22.5" customHeight="1">
      <c r="A1678" s="30"/>
      <c r="B1678" s="31"/>
      <c r="C1678" s="30"/>
      <c r="D1678" s="33"/>
      <c r="E1678" s="34"/>
      <c r="F1678" s="34"/>
      <c r="G1678" s="36"/>
      <c r="H1678" s="34"/>
      <c r="I1678" s="37"/>
    </row>
    <row r="1679" ht="22.5" customHeight="1">
      <c r="A1679" s="30"/>
      <c r="B1679" s="31"/>
      <c r="C1679" s="30"/>
      <c r="D1679" s="33"/>
      <c r="E1679" s="34"/>
      <c r="F1679" s="34"/>
      <c r="G1679" s="36"/>
      <c r="H1679" s="34"/>
      <c r="I1679" s="37"/>
    </row>
    <row r="1680" ht="22.5" customHeight="1">
      <c r="A1680" s="30"/>
      <c r="B1680" s="31"/>
      <c r="C1680" s="30"/>
      <c r="D1680" s="33"/>
      <c r="E1680" s="34"/>
      <c r="F1680" s="34"/>
      <c r="G1680" s="36"/>
      <c r="H1680" s="34"/>
      <c r="I1680" s="37"/>
    </row>
    <row r="1681" ht="22.5" customHeight="1">
      <c r="A1681" s="30"/>
      <c r="B1681" s="31"/>
      <c r="C1681" s="30"/>
      <c r="D1681" s="33"/>
      <c r="E1681" s="34"/>
      <c r="F1681" s="34"/>
      <c r="G1681" s="36"/>
      <c r="H1681" s="34"/>
      <c r="I1681" s="37"/>
    </row>
    <row r="1682" ht="22.5" customHeight="1">
      <c r="A1682" s="30"/>
      <c r="B1682" s="31"/>
      <c r="C1682" s="30"/>
      <c r="D1682" s="33"/>
      <c r="E1682" s="34"/>
      <c r="F1682" s="34"/>
      <c r="G1682" s="36"/>
      <c r="H1682" s="34"/>
      <c r="I1682" s="37"/>
    </row>
    <row r="1683" ht="22.5" customHeight="1">
      <c r="A1683" s="30"/>
      <c r="B1683" s="31"/>
      <c r="C1683" s="30"/>
      <c r="D1683" s="33"/>
      <c r="E1683" s="34"/>
      <c r="F1683" s="34"/>
      <c r="G1683" s="36"/>
      <c r="H1683" s="34"/>
      <c r="I1683" s="37"/>
    </row>
    <row r="1684" ht="22.5" customHeight="1">
      <c r="A1684" s="30"/>
      <c r="B1684" s="31"/>
      <c r="C1684" s="30"/>
      <c r="D1684" s="33"/>
      <c r="E1684" s="34"/>
      <c r="F1684" s="34"/>
      <c r="G1684" s="36"/>
      <c r="H1684" s="34"/>
      <c r="I1684" s="37"/>
    </row>
    <row r="1685" ht="22.5" customHeight="1">
      <c r="A1685" s="30"/>
      <c r="B1685" s="31"/>
      <c r="C1685" s="30"/>
      <c r="D1685" s="33"/>
      <c r="E1685" s="34"/>
      <c r="F1685" s="34"/>
      <c r="G1685" s="36"/>
      <c r="H1685" s="34"/>
      <c r="I1685" s="37"/>
    </row>
    <row r="1686" ht="22.5" customHeight="1">
      <c r="A1686" s="30"/>
      <c r="B1686" s="31"/>
      <c r="C1686" s="30"/>
      <c r="D1686" s="33"/>
      <c r="E1686" s="34"/>
      <c r="F1686" s="34"/>
      <c r="G1686" s="36"/>
      <c r="H1686" s="34"/>
      <c r="I1686" s="37"/>
    </row>
    <row r="1687" ht="22.5" customHeight="1">
      <c r="A1687" s="30"/>
      <c r="B1687" s="31"/>
      <c r="C1687" s="30"/>
      <c r="D1687" s="33"/>
      <c r="E1687" s="34"/>
      <c r="F1687" s="34"/>
      <c r="G1687" s="36"/>
      <c r="H1687" s="34"/>
      <c r="I1687" s="37"/>
    </row>
    <row r="1688" ht="22.5" customHeight="1">
      <c r="A1688" s="30"/>
      <c r="B1688" s="31"/>
      <c r="C1688" s="30"/>
      <c r="D1688" s="33"/>
      <c r="E1688" s="34"/>
      <c r="F1688" s="34"/>
      <c r="G1688" s="36"/>
      <c r="H1688" s="34"/>
      <c r="I1688" s="37"/>
    </row>
    <row r="1689" ht="22.5" customHeight="1">
      <c r="A1689" s="30"/>
      <c r="B1689" s="31"/>
      <c r="C1689" s="30"/>
      <c r="D1689" s="33"/>
      <c r="E1689" s="34"/>
      <c r="F1689" s="34"/>
      <c r="G1689" s="36"/>
      <c r="H1689" s="34"/>
      <c r="I1689" s="37"/>
    </row>
    <row r="1690" ht="22.5" customHeight="1">
      <c r="A1690" s="30"/>
      <c r="B1690" s="31"/>
      <c r="C1690" s="30"/>
      <c r="D1690" s="33"/>
      <c r="E1690" s="34"/>
      <c r="F1690" s="34"/>
      <c r="G1690" s="36"/>
      <c r="H1690" s="34"/>
      <c r="I1690" s="37"/>
    </row>
    <row r="1691" ht="22.5" customHeight="1">
      <c r="A1691" s="30"/>
      <c r="B1691" s="31"/>
      <c r="C1691" s="30"/>
      <c r="D1691" s="33"/>
      <c r="E1691" s="34"/>
      <c r="F1691" s="34"/>
      <c r="G1691" s="36"/>
      <c r="H1691" s="34"/>
      <c r="I1691" s="37"/>
    </row>
    <row r="1692" ht="22.5" customHeight="1">
      <c r="A1692" s="30"/>
      <c r="B1692" s="31"/>
      <c r="C1692" s="30"/>
      <c r="D1692" s="33"/>
      <c r="E1692" s="34"/>
      <c r="F1692" s="34"/>
      <c r="G1692" s="36"/>
      <c r="H1692" s="34"/>
      <c r="I1692" s="37"/>
    </row>
    <row r="1693" ht="22.5" customHeight="1">
      <c r="A1693" s="30"/>
      <c r="B1693" s="31"/>
      <c r="C1693" s="30"/>
      <c r="D1693" s="33"/>
      <c r="E1693" s="34"/>
      <c r="F1693" s="34"/>
      <c r="G1693" s="36"/>
      <c r="H1693" s="34"/>
      <c r="I1693" s="37"/>
    </row>
    <row r="1694" ht="22.5" customHeight="1">
      <c r="A1694" s="30"/>
      <c r="B1694" s="31"/>
      <c r="C1694" s="30"/>
      <c r="D1694" s="33"/>
      <c r="E1694" s="34"/>
      <c r="F1694" s="34"/>
      <c r="G1694" s="36"/>
      <c r="H1694" s="34"/>
      <c r="I1694" s="37"/>
    </row>
    <row r="1695" ht="22.5" customHeight="1">
      <c r="A1695" s="30"/>
      <c r="B1695" s="31"/>
      <c r="C1695" s="30"/>
      <c r="D1695" s="33"/>
      <c r="E1695" s="34"/>
      <c r="F1695" s="34"/>
      <c r="G1695" s="36"/>
      <c r="H1695" s="34"/>
      <c r="I1695" s="37"/>
    </row>
    <row r="1696" ht="22.5" customHeight="1">
      <c r="A1696" s="30"/>
      <c r="B1696" s="31"/>
      <c r="C1696" s="30"/>
      <c r="D1696" s="33"/>
      <c r="E1696" s="34"/>
      <c r="F1696" s="34"/>
      <c r="G1696" s="36"/>
      <c r="H1696" s="34"/>
      <c r="I1696" s="37"/>
    </row>
    <row r="1697" ht="22.5" customHeight="1">
      <c r="A1697" s="30"/>
      <c r="B1697" s="31"/>
      <c r="C1697" s="30"/>
      <c r="D1697" s="33"/>
      <c r="E1697" s="34"/>
      <c r="F1697" s="34"/>
      <c r="G1697" s="36"/>
      <c r="H1697" s="34"/>
      <c r="I1697" s="37"/>
    </row>
    <row r="1698" ht="22.5" customHeight="1">
      <c r="A1698" s="30"/>
      <c r="B1698" s="31"/>
      <c r="C1698" s="30"/>
      <c r="D1698" s="33"/>
      <c r="E1698" s="34"/>
      <c r="F1698" s="34"/>
      <c r="G1698" s="36"/>
      <c r="H1698" s="34"/>
      <c r="I1698" s="37"/>
    </row>
    <row r="1699" ht="22.5" customHeight="1">
      <c r="A1699" s="30"/>
      <c r="B1699" s="31"/>
      <c r="C1699" s="30"/>
      <c r="D1699" s="33"/>
      <c r="E1699" s="34"/>
      <c r="F1699" s="34"/>
      <c r="G1699" s="36"/>
      <c r="H1699" s="34"/>
      <c r="I1699" s="37"/>
    </row>
    <row r="1700" ht="22.5" customHeight="1">
      <c r="A1700" s="30"/>
      <c r="B1700" s="31"/>
      <c r="C1700" s="30"/>
      <c r="D1700" s="33"/>
      <c r="E1700" s="34"/>
      <c r="F1700" s="34"/>
      <c r="G1700" s="36"/>
      <c r="H1700" s="34"/>
      <c r="I1700" s="37"/>
    </row>
    <row r="1701" ht="22.5" customHeight="1">
      <c r="A1701" s="30"/>
      <c r="B1701" s="31"/>
      <c r="C1701" s="30"/>
      <c r="D1701" s="33"/>
      <c r="E1701" s="34"/>
      <c r="F1701" s="34"/>
      <c r="G1701" s="36"/>
      <c r="H1701" s="34"/>
      <c r="I1701" s="37"/>
    </row>
    <row r="1702" ht="22.5" customHeight="1">
      <c r="A1702" s="41"/>
      <c r="B1702" s="42"/>
      <c r="C1702" s="41"/>
      <c r="D1702" s="43"/>
      <c r="E1702" s="44"/>
      <c r="F1702" s="44"/>
      <c r="G1702" s="45"/>
      <c r="H1702" s="44"/>
      <c r="I1702" s="46"/>
    </row>
    <row r="1703" ht="22.5" customHeight="1">
      <c r="A1703" s="14"/>
      <c r="B1703" s="60"/>
      <c r="C1703" s="14"/>
      <c r="D1703" s="17"/>
      <c r="E1703" s="18"/>
      <c r="F1703" s="18"/>
      <c r="G1703" s="20"/>
      <c r="H1703" s="18"/>
      <c r="I1703" s="21"/>
    </row>
  </sheetData>
  <conditionalFormatting sqref="A5:I1702">
    <cfRule type="expression" dxfId="6" priority="1">
      <formula>$F5="BOLSA SALV. ALTURA (MERET)"</formula>
    </cfRule>
  </conditionalFormatting>
  <conditionalFormatting sqref="A5:I1702">
    <cfRule type="expression" dxfId="7" priority="2">
      <formula>$F5="BOX 01"</formula>
    </cfRule>
  </conditionalFormatting>
  <conditionalFormatting sqref="A5:I1702">
    <cfRule type="expression" dxfId="8" priority="3">
      <formula>$F5="BOX 02"</formula>
    </cfRule>
  </conditionalFormatting>
  <conditionalFormatting sqref="A5:I1702">
    <cfRule type="expression" dxfId="9" priority="4">
      <formula>$F5="BOX 03"</formula>
    </cfRule>
  </conditionalFormatting>
  <conditionalFormatting sqref="A5:I1702">
    <cfRule type="expression" dxfId="10" priority="5">
      <formula>$F5="BOX 04"</formula>
    </cfRule>
  </conditionalFormatting>
  <conditionalFormatting sqref="A5:I1702">
    <cfRule type="expression" dxfId="11" priority="6">
      <formula>$F5="BOX 05"</formula>
    </cfRule>
  </conditionalFormatting>
  <conditionalFormatting sqref="A5:I1702">
    <cfRule type="expression" dxfId="12" priority="7">
      <formula>$F5="BOX CENTRAL"</formula>
    </cfRule>
  </conditionalFormatting>
  <conditionalFormatting sqref="A5:I1702">
    <cfRule type="expression" dxfId="13" priority="8">
      <formula>$F5="BOX SUPERIOR 01"</formula>
    </cfRule>
  </conditionalFormatting>
  <conditionalFormatting sqref="A5:I1702">
    <cfRule type="expression" dxfId="14" priority="9">
      <formula>$F5="CABINE"</formula>
    </cfRule>
  </conditionalFormatting>
  <conditionalFormatting sqref="A5:I1702">
    <cfRule type="expression" dxfId="15" priority="10">
      <formula>$F5="CARROCERIA"</formula>
    </cfRule>
  </conditionalFormatting>
  <conditionalFormatting sqref="A5:I1702">
    <cfRule type="expression" dxfId="16" priority="11">
      <formula>$F5="CAIXA DE FERRAMENTA"</formula>
    </cfRule>
  </conditionalFormatting>
  <conditionalFormatting sqref="A5:I1702">
    <cfRule type="expression" dxfId="17" priority="12">
      <formula>$F5="BOLSA DE SALV. ALTURA"</formula>
    </cfRule>
  </conditionalFormatting>
  <conditionalFormatting sqref="A5:I1702">
    <cfRule type="expression" dxfId="18" priority="13">
      <formula>$F5="BOLSA DE SALV ALTURA VERMELHA LACRADA"</formula>
    </cfRule>
  </conditionalFormatting>
  <conditionalFormatting sqref="A5:I1702">
    <cfRule type="expression" dxfId="19" priority="14">
      <formula>$F5="BOLSA DE SALV ALTURA CINZA LACRADA"</formula>
    </cfRule>
  </conditionalFormatting>
  <conditionalFormatting sqref="A5:I1702">
    <cfRule type="expression" dxfId="20" priority="15">
      <formula>$F5="BOX 06"</formula>
    </cfRule>
  </conditionalFormatting>
  <conditionalFormatting sqref="A5:I1702">
    <cfRule type="expression" dxfId="21" priority="16">
      <formula>$F5="BOX 07"</formula>
    </cfRule>
  </conditionalFormatting>
  <conditionalFormatting sqref="A5:I1702">
    <cfRule type="expression" dxfId="22" priority="17">
      <formula>$F5="BOX 08"</formula>
    </cfRule>
  </conditionalFormatting>
  <conditionalFormatting sqref="A5:I1702">
    <cfRule type="expression" dxfId="34" priority="18">
      <formula>$F5="OFICINA"</formula>
    </cfRule>
  </conditionalFormatting>
  <dataValidations>
    <dataValidation type="list" allowBlank="1" sqref="B2">
      <formula1>'Cadastro Automático VTRSEÇÃOMIL'!$C$1:$C1703</formula1>
    </dataValidation>
    <dataValidation allowBlank="1" showDropDown="1" sqref="B5:B1703"/>
    <dataValidation type="list" allowBlank="1" sqref="B1">
      <formula1>'Cadastro Automático VTRSEÇÃOMIL'!$B$1:$B1703</formula1>
    </dataValidation>
  </dataValidations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1"/>
  <tableParts count="2">
    <tablePart r:id="rId4"/>
    <tablePart r:id="rId5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13"/>
    <col customWidth="1" min="2" max="2" width="52.25"/>
    <col customWidth="1" min="3" max="3" width="12.25"/>
    <col customWidth="1" min="4" max="4" width="18.38"/>
    <col customWidth="1" min="5" max="5" width="41.25"/>
    <col customWidth="1" min="6" max="6" width="21.63"/>
    <col customWidth="1" min="7" max="7" width="26.88"/>
    <col customWidth="1" min="8" max="8" width="46.63"/>
    <col customWidth="1" min="9" max="9" width="47.38"/>
  </cols>
  <sheetData>
    <row r="1" ht="39.0" customHeight="1">
      <c r="A1" s="82" t="str">
        <f>IFERROR(__xludf.DUMMYFUNCTION("QUERY({
IMPORTRANGE(""1-PwbPb5vRfJ6KmBoQl4zt2keHu4QWBCLD_oZslgEf6k"",""carga de materiais!A1:I"");
 IMPORTRANGE(""1StUcDRIH-7sRUgcVA_r1oPqajw9NNXyJ0sUZRwBV6rI"",""Entrada de Estoque!A2:I"")},
  ""Select * Where Col1 is not null""
)"),"12 ID")</f>
        <v>12 ID</v>
      </c>
      <c r="B1" s="83" t="str">
        <f>IFERROR(__xludf.DUMMYFUNCTION("""COMPUTED_VALUE""")," Produto ")</f>
        <v> Produto </v>
      </c>
      <c r="C1" s="82" t="str">
        <f>IFERROR(__xludf.DUMMYFUNCTION("""COMPUTED_VALUE""")," Qantidade")</f>
        <v> Qantidade</v>
      </c>
      <c r="D1" s="83" t="str">
        <f>IFERROR(__xludf.DUMMYFUNCTION("""COMPUTED_VALUE""")," TIPO")</f>
        <v> TIPO</v>
      </c>
      <c r="E1" s="83" t="str">
        <f>IFERROR(__xludf.DUMMYFUNCTION("""COMPUTED_VALUE""")," Viatura/Militar/Seção")</f>
        <v> Viatura/Militar/Seção</v>
      </c>
      <c r="F1" s="82" t="str">
        <f>IFERROR(__xludf.DUMMYFUNCTION("""COMPUTED_VALUE""")," Local de armazenamento")</f>
        <v> Local de armazenamento</v>
      </c>
      <c r="G1" s="83" t="str">
        <f>IFERROR(__xludf.DUMMYFUNCTION("""COMPUTED_VALUE""")," Número Patrimônio")</f>
        <v> Número Patrimônio</v>
      </c>
      <c r="H1" s="83" t="str">
        <f>IFERROR(__xludf.DUMMYFUNCTION("""COMPUTED_VALUE""")," Número de Série")</f>
        <v> Número de Série</v>
      </c>
      <c r="I1" s="83" t="str">
        <f>IFERROR(__xludf.DUMMYFUNCTION("""COMPUTED_VALUE""")," Especificação do Material")</f>
        <v> Especificação do Material</v>
      </c>
      <c r="J1" s="83"/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</row>
    <row r="2">
      <c r="A2" s="84">
        <f>IFERROR(__xludf.DUMMYFUNCTION("""COMPUTED_VALUE"""),1.0)</f>
        <v>1</v>
      </c>
      <c r="B2" s="85" t="str">
        <f>IFERROR(__xludf.DUMMYFUNCTION("""COMPUTED_VALUE"""),"RADIO TRANSCEPTOR -")</f>
        <v>RADIO TRANSCEPTOR -</v>
      </c>
      <c r="C2" s="86">
        <f>IFERROR(__xludf.DUMMYFUNCTION("""COMPUTED_VALUE"""),1.0)</f>
        <v>1</v>
      </c>
      <c r="D2" s="87" t="str">
        <f>IFERROR(__xludf.DUMMYFUNCTION("""COMPUTED_VALUE"""),"SEÇÃO")</f>
        <v>SEÇÃO</v>
      </c>
      <c r="E2" s="87" t="str">
        <f>IFERROR(__xludf.DUMMYFUNCTION("""COMPUTED_VALUE"""),"3 - DESCARGA")</f>
        <v>3 - DESCARGA</v>
      </c>
      <c r="F2" s="88"/>
      <c r="G2" s="89">
        <f>IFERROR(__xludf.DUMMYFUNCTION("""COMPUTED_VALUE"""),1.3854852E7)</f>
        <v>13854852</v>
      </c>
      <c r="H2" s="87"/>
      <c r="I2" s="87" t="str">
        <f>IFERROR(__xludf.DUMMYFUNCTION("""COMPUTED_VALUE"""),"MATERIAL DESCARREGADO - PROCESSO Nº 1400.01.0026473/2023-01")</f>
        <v>MATERIAL DESCARREGADO - PROCESSO Nº 1400.01.0026473/2023-01</v>
      </c>
    </row>
    <row r="3">
      <c r="A3" s="84">
        <f>IFERROR(__xludf.DUMMYFUNCTION("""COMPUTED_VALUE"""),2.0)</f>
        <v>2</v>
      </c>
      <c r="B3" s="85" t="str">
        <f>IFERROR(__xludf.DUMMYFUNCTION("""COMPUTED_VALUE"""),"CADEIRA PARA ESCRITORIO -")</f>
        <v>CADEIRA PARA ESCRITORIO -</v>
      </c>
      <c r="C3" s="86">
        <f>IFERROR(__xludf.DUMMYFUNCTION("""COMPUTED_VALUE"""),1.0)</f>
        <v>1</v>
      </c>
      <c r="D3" s="87" t="str">
        <f>IFERROR(__xludf.DUMMYFUNCTION("""COMPUTED_VALUE"""),"SEÇÃO")</f>
        <v>SEÇÃO</v>
      </c>
      <c r="E3" s="87" t="str">
        <f>IFERROR(__xludf.DUMMYFUNCTION("""COMPUTED_VALUE"""),"3 - SEPLAN")</f>
        <v>3 - SEPLAN</v>
      </c>
      <c r="F3" s="88"/>
      <c r="G3" s="89">
        <f>IFERROR(__xludf.DUMMYFUNCTION("""COMPUTED_VALUE"""),3.047003E7)</f>
        <v>30470030</v>
      </c>
      <c r="H3" s="87"/>
      <c r="I3" s="87" t="str">
        <f>IFERROR(__xludf.DUMMYFUNCTION("""COMPUTED_VALUE"""),"EM PROCESSO DE DESCARGA  1400.01.0026473/2023-03")</f>
        <v>EM PROCESSO DE DESCARGA  1400.01.0026473/2023-03</v>
      </c>
    </row>
    <row r="4">
      <c r="A4" s="84">
        <f>IFERROR(__xludf.DUMMYFUNCTION("""COMPUTED_VALUE"""),3.0)</f>
        <v>3</v>
      </c>
      <c r="B4" s="85" t="str">
        <f>IFERROR(__xludf.DUMMYFUNCTION("""COMPUTED_VALUE"""),"CADEIRA PARA ESCRITORIO -")</f>
        <v>CADEIRA PARA ESCRITORIO -</v>
      </c>
      <c r="C4" s="86">
        <f>IFERROR(__xludf.DUMMYFUNCTION("""COMPUTED_VALUE"""),1.0)</f>
        <v>1</v>
      </c>
      <c r="D4" s="87" t="str">
        <f>IFERROR(__xludf.DUMMYFUNCTION("""COMPUTED_VALUE"""),"SEÇÃO")</f>
        <v>SEÇÃO</v>
      </c>
      <c r="E4" s="87" t="str">
        <f>IFERROR(__xludf.DUMMYFUNCTION("""COMPUTED_VALUE"""),"3 - DESCARGA")</f>
        <v>3 - DESCARGA</v>
      </c>
      <c r="F4" s="88"/>
      <c r="G4" s="89">
        <f>IFERROR(__xludf.DUMMYFUNCTION("""COMPUTED_VALUE"""),3.0470048E7)</f>
        <v>30470048</v>
      </c>
      <c r="H4" s="87"/>
      <c r="I4" s="87" t="str">
        <f>IFERROR(__xludf.DUMMYFUNCTION("""COMPUTED_VALUE"""),"MATERIAL DESCARREGADO - PROCESSO Nº 1400.01.0026473/2023-01")</f>
        <v>MATERIAL DESCARREGADO - PROCESSO Nº 1400.01.0026473/2023-01</v>
      </c>
    </row>
    <row r="5">
      <c r="A5" s="84">
        <f>IFERROR(__xludf.DUMMYFUNCTION("""COMPUTED_VALUE"""),4.0)</f>
        <v>4</v>
      </c>
      <c r="B5" s="85" t="str">
        <f>IFERROR(__xludf.DUMMYFUNCTION("""COMPUTED_VALUE"""),"CADEIRA PARA ESCRITORIO -")</f>
        <v>CADEIRA PARA ESCRITORIO -</v>
      </c>
      <c r="C5" s="86">
        <f>IFERROR(__xludf.DUMMYFUNCTION("""COMPUTED_VALUE"""),1.0)</f>
        <v>1</v>
      </c>
      <c r="D5" s="87" t="str">
        <f>IFERROR(__xludf.DUMMYFUNCTION("""COMPUTED_VALUE"""),"SEÇÃO")</f>
        <v>SEÇÃO</v>
      </c>
      <c r="E5" s="87" t="str">
        <f>IFERROR(__xludf.DUMMYFUNCTION("""COMPUTED_VALUE"""),"3 - 1ª CIA OP")</f>
        <v>3 - 1ª CIA OP</v>
      </c>
      <c r="F5" s="88" t="str">
        <f>IFERROR(__xludf.DUMMYFUNCTION("""COMPUTED_VALUE"""),"CPD")</f>
        <v>CPD</v>
      </c>
      <c r="G5" s="89">
        <f>IFERROR(__xludf.DUMMYFUNCTION("""COMPUTED_VALUE"""),3.0470056E7)</f>
        <v>30470056</v>
      </c>
      <c r="H5" s="87"/>
      <c r="I5" s="87" t="str">
        <f>IFERROR(__xludf.DUMMYFUNCTION("""COMPUTED_VALUE"""),"EM PROCESSO DE DESCARGA  1400.01.0026473/2023-03")</f>
        <v>EM PROCESSO DE DESCARGA  1400.01.0026473/2023-03</v>
      </c>
    </row>
    <row r="6">
      <c r="A6" s="84">
        <f>IFERROR(__xludf.DUMMYFUNCTION("""COMPUTED_VALUE"""),5.0)</f>
        <v>5</v>
      </c>
      <c r="B6" s="85" t="str">
        <f>IFERROR(__xludf.DUMMYFUNCTION("""COMPUTED_VALUE"""),"CADEIRA PARA ESCRITORIO -")</f>
        <v>CADEIRA PARA ESCRITORIO -</v>
      </c>
      <c r="C6" s="86">
        <f>IFERROR(__xludf.DUMMYFUNCTION("""COMPUTED_VALUE"""),1.0)</f>
        <v>1</v>
      </c>
      <c r="D6" s="87" t="str">
        <f>IFERROR(__xludf.DUMMYFUNCTION("""COMPUTED_VALUE"""),"SEÇÃO")</f>
        <v>SEÇÃO</v>
      </c>
      <c r="E6" s="87" t="str">
        <f>IFERROR(__xludf.DUMMYFUNCTION("""COMPUTED_VALUE"""),"3 - CARTÓRIO")</f>
        <v>3 - CARTÓRIO</v>
      </c>
      <c r="F6" s="88"/>
      <c r="G6" s="89">
        <f>IFERROR(__xludf.DUMMYFUNCTION("""COMPUTED_VALUE"""),3.0470064E7)</f>
        <v>30470064</v>
      </c>
      <c r="H6" s="87"/>
      <c r="I6" s="87"/>
    </row>
    <row r="7">
      <c r="A7" s="84">
        <f>IFERROR(__xludf.DUMMYFUNCTION("""COMPUTED_VALUE"""),6.0)</f>
        <v>6</v>
      </c>
      <c r="B7" s="85" t="str">
        <f>IFERROR(__xludf.DUMMYFUNCTION("""COMPUTED_VALUE"""),"CADEIRA PARA ESCRITORIO -")</f>
        <v>CADEIRA PARA ESCRITORIO -</v>
      </c>
      <c r="C7" s="86">
        <f>IFERROR(__xludf.DUMMYFUNCTION("""COMPUTED_VALUE"""),1.0)</f>
        <v>1</v>
      </c>
      <c r="D7" s="87" t="str">
        <f>IFERROR(__xludf.DUMMYFUNCTION("""COMPUTED_VALUE"""),"SEÇÃO")</f>
        <v>SEÇÃO</v>
      </c>
      <c r="E7" s="87" t="str">
        <f>IFERROR(__xludf.DUMMYFUNCTION("""COMPUTED_VALUE"""),"3 - SEPLAN")</f>
        <v>3 - SEPLAN</v>
      </c>
      <c r="F7" s="88"/>
      <c r="G7" s="89">
        <f>IFERROR(__xludf.DUMMYFUNCTION("""COMPUTED_VALUE"""),3.0470072E7)</f>
        <v>30470072</v>
      </c>
      <c r="H7" s="87"/>
      <c r="I7" s="87" t="str">
        <f>IFERROR(__xludf.DUMMYFUNCTION("""COMPUTED_VALUE"""),"EM PROCESSO DE DESCARGA  1400.01.0026473/2023-03")</f>
        <v>EM PROCESSO DE DESCARGA  1400.01.0026473/2023-03</v>
      </c>
    </row>
    <row r="8">
      <c r="A8" s="84">
        <f>IFERROR(__xludf.DUMMYFUNCTION("""COMPUTED_VALUE"""),7.0)</f>
        <v>7</v>
      </c>
      <c r="B8" s="85" t="str">
        <f>IFERROR(__xludf.DUMMYFUNCTION("""COMPUTED_VALUE"""),"CADEIRA PARA ESCRITORIO -")</f>
        <v>CADEIRA PARA ESCRITORIO -</v>
      </c>
      <c r="C8" s="86">
        <f>IFERROR(__xludf.DUMMYFUNCTION("""COMPUTED_VALUE"""),1.0)</f>
        <v>1</v>
      </c>
      <c r="D8" s="87" t="str">
        <f>IFERROR(__xludf.DUMMYFUNCTION("""COMPUTED_VALUE"""),"SEÇÃO")</f>
        <v>SEÇÃO</v>
      </c>
      <c r="E8" s="87" t="str">
        <f>IFERROR(__xludf.DUMMYFUNCTION("""COMPUTED_VALUE"""),"3 - SUB COMANDANTE")</f>
        <v>3 - SUB COMANDANTE</v>
      </c>
      <c r="F8" s="88"/>
      <c r="G8" s="89">
        <f>IFERROR(__xludf.DUMMYFUNCTION("""COMPUTED_VALUE"""),3.047008E7)</f>
        <v>30470080</v>
      </c>
      <c r="H8" s="87"/>
      <c r="I8" s="90"/>
    </row>
    <row r="9">
      <c r="A9" s="84">
        <f>IFERROR(__xludf.DUMMYFUNCTION("""COMPUTED_VALUE"""),8.0)</f>
        <v>8</v>
      </c>
      <c r="B9" s="85" t="str">
        <f>IFERROR(__xludf.DUMMYFUNCTION("""COMPUTED_VALUE"""),"RADIO TRANSCEPTOR -")</f>
        <v>RADIO TRANSCEPTOR -</v>
      </c>
      <c r="C9" s="86">
        <f>IFERROR(__xludf.DUMMYFUNCTION("""COMPUTED_VALUE"""),1.0)</f>
        <v>1</v>
      </c>
      <c r="D9" s="87" t="str">
        <f>IFERROR(__xludf.DUMMYFUNCTION("""COMPUTED_VALUE"""),"SEÇÃO")</f>
        <v>SEÇÃO</v>
      </c>
      <c r="E9" s="87" t="str">
        <f>IFERROR(__xludf.DUMMYFUNCTION("""COMPUTED_VALUE"""),"3 - ALMOX. ESTOQUE")</f>
        <v>3 - ALMOX. ESTOQUE</v>
      </c>
      <c r="F9" s="88"/>
      <c r="G9" s="89">
        <f>IFERROR(__xludf.DUMMYFUNCTION("""COMPUTED_VALUE"""),4.029733E7)</f>
        <v>40297330</v>
      </c>
      <c r="H9" s="87" t="str">
        <f>IFERROR(__xludf.DUMMYFUNCTION("""COMPUTED_VALUE"""),"N.S.25951661")</f>
        <v>N.S.25951661</v>
      </c>
      <c r="I9" s="87" t="str">
        <f>IFERROR(__xludf.DUMMYFUNCTION("""COMPUTED_VALUE"""),"HT DIGITAL T03-00035-BCDG COM PTT")</f>
        <v>HT DIGITAL T03-00035-BCDG COM PTT</v>
      </c>
    </row>
    <row r="10">
      <c r="A10" s="84">
        <f>IFERROR(__xludf.DUMMYFUNCTION("""COMPUTED_VALUE"""),9.0)</f>
        <v>9</v>
      </c>
      <c r="B10" s="91" t="str">
        <f>IFERROR(__xludf.DUMMYFUNCTION("""COMPUTED_VALUE"""),"RADIO TRANSCEPTOR -")</f>
        <v>RADIO TRANSCEPTOR -</v>
      </c>
      <c r="C10" s="86">
        <f>IFERROR(__xludf.DUMMYFUNCTION("""COMPUTED_VALUE"""),1.0)</f>
        <v>1</v>
      </c>
      <c r="D10" s="87" t="str">
        <f>IFERROR(__xludf.DUMMYFUNCTION("""COMPUTED_VALUE"""),"SEÇÃO")</f>
        <v>SEÇÃO</v>
      </c>
      <c r="E10" s="87" t="str">
        <f>IFERROR(__xludf.DUMMYFUNCTION("""COMPUTED_VALUE"""),"3 - CURVELO")</f>
        <v>3 - CURVELO</v>
      </c>
      <c r="F10" s="88"/>
      <c r="G10" s="89">
        <f>IFERROR(__xludf.DUMMYFUNCTION("""COMPUTED_VALUE"""),4.0300692E7)</f>
        <v>40300692</v>
      </c>
      <c r="H10" s="87"/>
      <c r="I10" s="87" t="str">
        <f>IFERROR(__xludf.DUMMYFUNCTION("""COMPUTED_VALUE"""),"transferido para o 2º BBM")</f>
        <v>transferido para o 2º BBM</v>
      </c>
    </row>
    <row r="11">
      <c r="A11" s="84">
        <f>IFERROR(__xludf.DUMMYFUNCTION("""COMPUTED_VALUE"""),10.0)</f>
        <v>10</v>
      </c>
      <c r="B11" s="85" t="str">
        <f>IFERROR(__xludf.DUMMYFUNCTION("""COMPUTED_VALUE"""),"RADIO TRANSCEPTOR -")</f>
        <v>RADIO TRANSCEPTOR -</v>
      </c>
      <c r="C11" s="86">
        <f>IFERROR(__xludf.DUMMYFUNCTION("""COMPUTED_VALUE"""),1.0)</f>
        <v>1</v>
      </c>
      <c r="D11" s="87" t="str">
        <f>IFERROR(__xludf.DUMMYFUNCTION("""COMPUTED_VALUE"""),"SEÇÃO")</f>
        <v>SEÇÃO</v>
      </c>
      <c r="E11" s="87" t="str">
        <f>IFERROR(__xludf.DUMMYFUNCTION("""COMPUTED_VALUE"""),"3 - CURVELO")</f>
        <v>3 - CURVELO</v>
      </c>
      <c r="F11" s="88"/>
      <c r="G11" s="89">
        <f>IFERROR(__xludf.DUMMYFUNCTION("""COMPUTED_VALUE"""),4.0300749E7)</f>
        <v>40300749</v>
      </c>
      <c r="H11" s="87"/>
      <c r="I11" s="87" t="str">
        <f>IFERROR(__xludf.DUMMYFUNCTION("""COMPUTED_VALUE"""),"transferido para Ribeirão das Neves")</f>
        <v>transferido para Ribeirão das Neves</v>
      </c>
    </row>
    <row r="12">
      <c r="A12" s="84">
        <f>IFERROR(__xludf.DUMMYFUNCTION("""COMPUTED_VALUE"""),11.0)</f>
        <v>11</v>
      </c>
      <c r="B12" s="85" t="str">
        <f>IFERROR(__xludf.DUMMYFUNCTION("""COMPUTED_VALUE"""),"RADIO TRANSCEPTOR -")</f>
        <v>RADIO TRANSCEPTOR -</v>
      </c>
      <c r="C12" s="86">
        <f>IFERROR(__xludf.DUMMYFUNCTION("""COMPUTED_VALUE"""),1.0)</f>
        <v>1</v>
      </c>
      <c r="D12" s="87" t="str">
        <f>IFERROR(__xludf.DUMMYFUNCTION("""COMPUTED_VALUE"""),"SEÇÃO")</f>
        <v>SEÇÃO</v>
      </c>
      <c r="E12" s="87" t="str">
        <f>IFERROR(__xludf.DUMMYFUNCTION("""COMPUTED_VALUE"""),"3 - ALMOX. ESTOQUE")</f>
        <v>3 - ALMOX. ESTOQUE</v>
      </c>
      <c r="F12" s="88"/>
      <c r="G12" s="89">
        <f>IFERROR(__xludf.DUMMYFUNCTION("""COMPUTED_VALUE"""),4.0301982E7)</f>
        <v>40301982</v>
      </c>
      <c r="H12" s="87" t="str">
        <f>IFERROR(__xludf.DUMMYFUNCTION("""COMPUTED_VALUE"""),"N.S.25921624")</f>
        <v>N.S.25921624</v>
      </c>
      <c r="I12" s="87" t="str">
        <f>IFERROR(__xludf.DUMMYFUNCTION("""COMPUTED_VALUE"""),"HT DIGITAL T03-00035-BCDG COM PTT")</f>
        <v>HT DIGITAL T03-00035-BCDG COM PTT</v>
      </c>
    </row>
    <row r="13">
      <c r="A13" s="84">
        <f>IFERROR(__xludf.DUMMYFUNCTION("""COMPUTED_VALUE"""),12.0)</f>
        <v>12</v>
      </c>
      <c r="B13" s="85" t="str">
        <f>IFERROR(__xludf.DUMMYFUNCTION("""COMPUTED_VALUE"""),"RADIO TRANSCEPTOR -")</f>
        <v>RADIO TRANSCEPTOR -</v>
      </c>
      <c r="C13" s="86">
        <f>IFERROR(__xludf.DUMMYFUNCTION("""COMPUTED_VALUE"""),1.0)</f>
        <v>1</v>
      </c>
      <c r="D13" s="87" t="str">
        <f>IFERROR(__xludf.DUMMYFUNCTION("""COMPUTED_VALUE"""),"SEÇÃO")</f>
        <v>SEÇÃO</v>
      </c>
      <c r="E13" s="87" t="str">
        <f>IFERROR(__xludf.DUMMYFUNCTION("""COMPUTED_VALUE"""),"3 - ALMOX. ESTOQUE")</f>
        <v>3 - ALMOX. ESTOQUE</v>
      </c>
      <c r="F13" s="88"/>
      <c r="G13" s="89">
        <f>IFERROR(__xludf.DUMMYFUNCTION("""COMPUTED_VALUE"""),4.0303462E7)</f>
        <v>40303462</v>
      </c>
      <c r="H13" s="87" t="str">
        <f>IFERROR(__xludf.DUMMYFUNCTION("""COMPUTED_VALUE"""),"N.S.25937873")</f>
        <v>N.S.25937873</v>
      </c>
      <c r="I13" s="87" t="str">
        <f>IFERROR(__xludf.DUMMYFUNCTION("""COMPUTED_VALUE"""),"HT DIGITAL T03-00035-BCDG COM PTT")</f>
        <v>HT DIGITAL T03-00035-BCDG COM PTT</v>
      </c>
    </row>
    <row r="14">
      <c r="A14" s="84">
        <f>IFERROR(__xludf.DUMMYFUNCTION("""COMPUTED_VALUE"""),13.0)</f>
        <v>13</v>
      </c>
      <c r="B14" s="85" t="str">
        <f>IFERROR(__xludf.DUMMYFUNCTION("""COMPUTED_VALUE"""),"RADIO TRANSCEPTOR -")</f>
        <v>RADIO TRANSCEPTOR -</v>
      </c>
      <c r="C14" s="86">
        <f>IFERROR(__xludf.DUMMYFUNCTION("""COMPUTED_VALUE"""),1.0)</f>
        <v>1</v>
      </c>
      <c r="D14" s="87" t="str">
        <f>IFERROR(__xludf.DUMMYFUNCTION("""COMPUTED_VALUE"""),"SEÇÃO")</f>
        <v>SEÇÃO</v>
      </c>
      <c r="E14" s="87" t="str">
        <f>IFERROR(__xludf.DUMMYFUNCTION("""COMPUTED_VALUE"""),"3 - ALMOX. ESTOQUE")</f>
        <v>3 - ALMOX. ESTOQUE</v>
      </c>
      <c r="F14" s="88"/>
      <c r="G14" s="89">
        <f>IFERROR(__xludf.DUMMYFUNCTION("""COMPUTED_VALUE"""),4.0305007E7)</f>
        <v>40305007</v>
      </c>
      <c r="H14" s="87" t="str">
        <f>IFERROR(__xludf.DUMMYFUNCTION("""COMPUTED_VALUE"""),"N.S.25929266")</f>
        <v>N.S.25929266</v>
      </c>
      <c r="I14" s="87" t="str">
        <f>IFERROR(__xludf.DUMMYFUNCTION("""COMPUTED_VALUE"""),"HT DIGITAL T03-00035-BCDG COM PTT")</f>
        <v>HT DIGITAL T03-00035-BCDG COM PTT</v>
      </c>
    </row>
    <row r="15">
      <c r="A15" s="84">
        <f>IFERROR(__xludf.DUMMYFUNCTION("""COMPUTED_VALUE"""),14.0)</f>
        <v>14</v>
      </c>
      <c r="B15" s="85" t="str">
        <f>IFERROR(__xludf.DUMMYFUNCTION("""COMPUTED_VALUE"""),"RADIO TRANSCEPTOR -")</f>
        <v>RADIO TRANSCEPTOR -</v>
      </c>
      <c r="C15" s="86">
        <f>IFERROR(__xludf.DUMMYFUNCTION("""COMPUTED_VALUE"""),1.0)</f>
        <v>1</v>
      </c>
      <c r="D15" s="87" t="str">
        <f>IFERROR(__xludf.DUMMYFUNCTION("""COMPUTED_VALUE"""),"SEÇÃO")</f>
        <v>SEÇÃO</v>
      </c>
      <c r="E15" s="87" t="str">
        <f>IFERROR(__xludf.DUMMYFUNCTION("""COMPUTED_VALUE"""),"3 - ALMOX. ESTOQUE")</f>
        <v>3 - ALMOX. ESTOQUE</v>
      </c>
      <c r="F15" s="88"/>
      <c r="G15" s="89">
        <f>IFERROR(__xludf.DUMMYFUNCTION("""COMPUTED_VALUE"""),4.0306364E7)</f>
        <v>40306364</v>
      </c>
      <c r="H15" s="87" t="str">
        <f>IFERROR(__xludf.DUMMYFUNCTION("""COMPUTED_VALUE"""),"N.S.25929270")</f>
        <v>N.S.25929270</v>
      </c>
      <c r="I15" s="87" t="str">
        <f>IFERROR(__xludf.DUMMYFUNCTION("""COMPUTED_VALUE"""),"HT DIGITAL T03-00035-BCDG COM PTT")</f>
        <v>HT DIGITAL T03-00035-BCDG COM PTT</v>
      </c>
    </row>
    <row r="16">
      <c r="A16" s="84">
        <f>IFERROR(__xludf.DUMMYFUNCTION("""COMPUTED_VALUE"""),15.0)</f>
        <v>15</v>
      </c>
      <c r="B16" s="85" t="str">
        <f>IFERROR(__xludf.DUMMYFUNCTION("""COMPUTED_VALUE"""),"MOTOSSERRA -")</f>
        <v>MOTOSSERRA -</v>
      </c>
      <c r="C16" s="86">
        <f>IFERROR(__xludf.DUMMYFUNCTION("""COMPUTED_VALUE"""),1.0)</f>
        <v>1</v>
      </c>
      <c r="D16" s="87" t="str">
        <f>IFERROR(__xludf.DUMMYFUNCTION("""COMPUTED_VALUE"""),"SEÇÃO")</f>
        <v>SEÇÃO</v>
      </c>
      <c r="E16" s="87" t="str">
        <f>IFERROR(__xludf.DUMMYFUNCTION("""COMPUTED_VALUE"""),"3 - 2ª ALA OP.")</f>
        <v>3 - 2ª ALA OP.</v>
      </c>
      <c r="F16" s="88"/>
      <c r="G16" s="89">
        <f>IFERROR(__xludf.DUMMYFUNCTION("""COMPUTED_VALUE"""),4.0312054E7)</f>
        <v>40312054</v>
      </c>
      <c r="H16" s="87" t="str">
        <f>IFERROR(__xludf.DUMMYFUNCTION("""COMPUTED_VALUE"""),"N.S. 20173205149")</f>
        <v>N.S. 20173205149</v>
      </c>
      <c r="I16" s="87" t="str">
        <f>IFERROR(__xludf.DUMMYFUNCTION("""COMPUTED_VALUE"""),"HUSQVARNA, T435 1,5KW; ROTACAO MIN  MA DE 12000 RPM; TANQUE DE COMBUSTIVEL MINIMA DE 250ML; TANQUE DE OLEO MINIMA DE 145ML; SABRE 16 POLEGADAS")</f>
        <v>HUSQVARNA, T435 1,5KW; ROTACAO MIN  MA DE 12000 RPM; TANQUE DE COMBUSTIVEL MINIMA DE 250ML; TANQUE DE OLEO MINIMA DE 145ML; SABRE 16 POLEGADAS</v>
      </c>
    </row>
    <row r="17">
      <c r="A17" s="84">
        <f>IFERROR(__xludf.DUMMYFUNCTION("""COMPUTED_VALUE"""),16.0)</f>
        <v>16</v>
      </c>
      <c r="B17" s="85" t="str">
        <f>IFERROR(__xludf.DUMMYFUNCTION("""COMPUTED_VALUE"""),"CAPACETE PARA COMBATE INCENDIO -")</f>
        <v>CAPACETE PARA COMBATE INCENDIO -</v>
      </c>
      <c r="C17" s="86">
        <f>IFERROR(__xludf.DUMMYFUNCTION("""COMPUTED_VALUE"""),1.0)</f>
        <v>1</v>
      </c>
      <c r="D17" s="87" t="str">
        <f>IFERROR(__xludf.DUMMYFUNCTION("""COMPUTED_VALUE"""),"SEÇÃO")</f>
        <v>SEÇÃO</v>
      </c>
      <c r="E17" s="87" t="str">
        <f>IFERROR(__xludf.DUMMYFUNCTION("""COMPUTED_VALUE"""),"3 - ALMOX. ESTOQUE")</f>
        <v>3 - ALMOX. ESTOQUE</v>
      </c>
      <c r="F17" s="88" t="str">
        <f>IFERROR(__xludf.DUMMYFUNCTION("""COMPUTED_VALUE"""),"SAO")</f>
        <v>SAO</v>
      </c>
      <c r="G17" s="89">
        <f>IFERROR(__xludf.DUMMYFUNCTION("""COMPUTED_VALUE"""),7.6679357E7)</f>
        <v>76679357</v>
      </c>
      <c r="H17" s="87"/>
      <c r="I17" s="87"/>
    </row>
    <row r="18">
      <c r="A18" s="84">
        <f>IFERROR(__xludf.DUMMYFUNCTION("""COMPUTED_VALUE"""),17.0)</f>
        <v>17</v>
      </c>
      <c r="B18" s="85" t="str">
        <f>IFERROR(__xludf.DUMMYFUNCTION("""COMPUTED_VALUE"""),"CAPACETE PARA COMBATE INCENDIO -")</f>
        <v>CAPACETE PARA COMBATE INCENDIO -</v>
      </c>
      <c r="C18" s="86">
        <f>IFERROR(__xludf.DUMMYFUNCTION("""COMPUTED_VALUE"""),1.0)</f>
        <v>1</v>
      </c>
      <c r="D18" s="87" t="str">
        <f>IFERROR(__xludf.DUMMYFUNCTION("""COMPUTED_VALUE"""),"MILITAR")</f>
        <v>MILITAR</v>
      </c>
      <c r="E18" s="87" t="str">
        <f>IFERROR(__xludf.DUMMYFUNCTION("""COMPUTED_VALUE"""),"2 - SD NUNES")</f>
        <v>2 - SD NUNES</v>
      </c>
      <c r="F18" s="88"/>
      <c r="G18" s="89">
        <f>IFERROR(__xludf.DUMMYFUNCTION("""COMPUTED_VALUE"""),7.6679586E7)</f>
        <v>76679586</v>
      </c>
      <c r="H18" s="87"/>
      <c r="I18" s="87" t="str">
        <f>IFERROR(__xludf.DUMMYFUNCTION("""COMPUTED_VALUE"""),"capacete SICOR, Amarelo, Sd Nunes, tranferido p/ 1º BBM")</f>
        <v>capacete SICOR, Amarelo, Sd Nunes, tranferido p/ 1º BBM</v>
      </c>
    </row>
    <row r="19">
      <c r="A19" s="84">
        <f>IFERROR(__xludf.DUMMYFUNCTION("""COMPUTED_VALUE"""),18.0)</f>
        <v>18</v>
      </c>
      <c r="B19" s="85" t="str">
        <f>IFERROR(__xludf.DUMMYFUNCTION("""COMPUTED_VALUE"""),"CAPACETE PARA COMBATE INCENDIO -")</f>
        <v>CAPACETE PARA COMBATE INCENDIO -</v>
      </c>
      <c r="C19" s="86">
        <f>IFERROR(__xludf.DUMMYFUNCTION("""COMPUTED_VALUE"""),1.0)</f>
        <v>1</v>
      </c>
      <c r="D19" s="87" t="str">
        <f>IFERROR(__xludf.DUMMYFUNCTION("""COMPUTED_VALUE"""),"SEÇÃO")</f>
        <v>SEÇÃO</v>
      </c>
      <c r="E19" s="87" t="str">
        <f>IFERROR(__xludf.DUMMYFUNCTION("""COMPUTED_VALUE"""),"3 - ALMOX. ESTOQUE")</f>
        <v>3 - ALMOX. ESTOQUE</v>
      </c>
      <c r="F19" s="88" t="str">
        <f>IFERROR(__xludf.DUMMYFUNCTION("""COMPUTED_VALUE"""),"SAO")</f>
        <v>SAO</v>
      </c>
      <c r="G19" s="89">
        <f>IFERROR(__xludf.DUMMYFUNCTION("""COMPUTED_VALUE"""),7.667964E7)</f>
        <v>76679640</v>
      </c>
      <c r="H19" s="87"/>
      <c r="I19" s="87"/>
    </row>
    <row r="20">
      <c r="A20" s="84">
        <f>IFERROR(__xludf.DUMMYFUNCTION("""COMPUTED_VALUE"""),19.0)</f>
        <v>19</v>
      </c>
      <c r="B20" s="85" t="str">
        <f>IFERROR(__xludf.DUMMYFUNCTION("""COMPUTED_VALUE"""),"CAPACETE PARA COMBATE INCENDIO -")</f>
        <v>CAPACETE PARA COMBATE INCENDIO -</v>
      </c>
      <c r="C20" s="86">
        <f>IFERROR(__xludf.DUMMYFUNCTION("""COMPUTED_VALUE"""),1.0)</f>
        <v>1</v>
      </c>
      <c r="D20" s="87" t="str">
        <f>IFERROR(__xludf.DUMMYFUNCTION("""COMPUTED_VALUE"""),"SEÇÃO")</f>
        <v>SEÇÃO</v>
      </c>
      <c r="E20" s="87" t="str">
        <f>IFERROR(__xludf.DUMMYFUNCTION("""COMPUTED_VALUE"""),"3 - ALMOX. ESTOQUE")</f>
        <v>3 - ALMOX. ESTOQUE</v>
      </c>
      <c r="F20" s="88" t="str">
        <f>IFERROR(__xludf.DUMMYFUNCTION("""COMPUTED_VALUE"""),"SAO")</f>
        <v>SAO</v>
      </c>
      <c r="G20" s="89">
        <f>IFERROR(__xludf.DUMMYFUNCTION("""COMPUTED_VALUE"""),7.6679659E7)</f>
        <v>76679659</v>
      </c>
      <c r="H20" s="87"/>
      <c r="I20" s="87"/>
    </row>
    <row r="21">
      <c r="A21" s="84">
        <f>IFERROR(__xludf.DUMMYFUNCTION("""COMPUTED_VALUE"""),20.0)</f>
        <v>20</v>
      </c>
      <c r="B21" s="85" t="str">
        <f>IFERROR(__xludf.DUMMYFUNCTION("""COMPUTED_VALUE"""),"ESFIGMOMANOMETRO -")</f>
        <v>ESFIGMOMANOMETRO -</v>
      </c>
      <c r="C21" s="86">
        <f>IFERROR(__xludf.DUMMYFUNCTION("""COMPUTED_VALUE"""),1.0)</f>
        <v>1</v>
      </c>
      <c r="D21" s="87" t="str">
        <f>IFERROR(__xludf.DUMMYFUNCTION("""COMPUTED_VALUE"""),"SEÇÃO")</f>
        <v>SEÇÃO</v>
      </c>
      <c r="E21" s="87" t="str">
        <f>IFERROR(__xludf.DUMMYFUNCTION("""COMPUTED_VALUE"""),"3 - ALMOX. ESTOQUE")</f>
        <v>3 - ALMOX. ESTOQUE</v>
      </c>
      <c r="F21" s="88" t="str">
        <f>IFERROR(__xludf.DUMMYFUNCTION("""COMPUTED_VALUE"""),"ALMOX. APH")</f>
        <v>ALMOX. APH</v>
      </c>
      <c r="G21" s="89">
        <f>IFERROR(__xludf.DUMMYFUNCTION("""COMPUTED_VALUE"""),7.672882E7)</f>
        <v>76728820</v>
      </c>
      <c r="H21" s="87"/>
      <c r="I21" s="87" t="str">
        <f>IFERROR(__xludf.DUMMYFUNCTION("""COMPUTED_VALUE"""),"INFANTIL")</f>
        <v>INFANTIL</v>
      </c>
    </row>
    <row r="22">
      <c r="A22" s="84">
        <f>IFERROR(__xludf.DUMMYFUNCTION("""COMPUTED_VALUE"""),21.0)</f>
        <v>21</v>
      </c>
      <c r="B22" s="85" t="str">
        <f>IFERROR(__xludf.DUMMYFUNCTION("""COMPUTED_VALUE"""),"ESFIGMOMANOMETRO -")</f>
        <v>ESFIGMOMANOMETRO -</v>
      </c>
      <c r="C22" s="86">
        <f>IFERROR(__xludf.DUMMYFUNCTION("""COMPUTED_VALUE"""),1.0)</f>
        <v>1</v>
      </c>
      <c r="D22" s="87" t="str">
        <f>IFERROR(__xludf.DUMMYFUNCTION("""COMPUTED_VALUE"""),"SEÇÃO")</f>
        <v>SEÇÃO</v>
      </c>
      <c r="E22" s="87" t="str">
        <f>IFERROR(__xludf.DUMMYFUNCTION("""COMPUTED_VALUE"""),"3 - DESCARGA")</f>
        <v>3 - DESCARGA</v>
      </c>
      <c r="F22" s="88"/>
      <c r="G22" s="89">
        <f>IFERROR(__xludf.DUMMYFUNCTION("""COMPUTED_VALUE"""),7.6728889E7)</f>
        <v>76728889</v>
      </c>
      <c r="H22" s="87"/>
      <c r="I22" s="87" t="str">
        <f>IFERROR(__xludf.DUMMYFUNCTION("""COMPUTED_VALUE"""),"MATERIAL DESCARREGADO - PROCESSO Nº 1400.01.0026473/2023-01")</f>
        <v>MATERIAL DESCARREGADO - PROCESSO Nº 1400.01.0026473/2023-01</v>
      </c>
    </row>
    <row r="23">
      <c r="A23" s="84">
        <f>IFERROR(__xludf.DUMMYFUNCTION("""COMPUTED_VALUE"""),22.0)</f>
        <v>22</v>
      </c>
      <c r="B23" s="85" t="str">
        <f>IFERROR(__xludf.DUMMYFUNCTION("""COMPUTED_VALUE"""),"ESFIGMOMANOMETRO -")</f>
        <v>ESFIGMOMANOMETRO -</v>
      </c>
      <c r="C23" s="86">
        <f>IFERROR(__xludf.DUMMYFUNCTION("""COMPUTED_VALUE"""),1.0)</f>
        <v>1</v>
      </c>
      <c r="D23" s="87" t="str">
        <f>IFERROR(__xludf.DUMMYFUNCTION("""COMPUTED_VALUE"""),"SEÇÃO")</f>
        <v>SEÇÃO</v>
      </c>
      <c r="E23" s="87" t="str">
        <f>IFERROR(__xludf.DUMMYFUNCTION("""COMPUTED_VALUE"""),"3 - DESCARGA")</f>
        <v>3 - DESCARGA</v>
      </c>
      <c r="F23" s="88"/>
      <c r="G23" s="89">
        <f>IFERROR(__xludf.DUMMYFUNCTION("""COMPUTED_VALUE"""),7.6728943E7)</f>
        <v>76728943</v>
      </c>
      <c r="H23" s="87"/>
      <c r="I23" s="87" t="str">
        <f>IFERROR(__xludf.DUMMYFUNCTION("""COMPUTED_VALUE"""),"MATERIAL DESCARREGADO - PROCESSO Nº 1400.01.0026473/2023-01")</f>
        <v>MATERIAL DESCARREGADO - PROCESSO Nº 1400.01.0026473/2023-01</v>
      </c>
    </row>
    <row r="24">
      <c r="A24" s="84">
        <f>IFERROR(__xludf.DUMMYFUNCTION("""COMPUTED_VALUE"""),23.0)</f>
        <v>23</v>
      </c>
      <c r="B24" s="85" t="str">
        <f>IFERROR(__xludf.DUMMYFUNCTION("""COMPUTED_VALUE"""),"ESFIGMOMANOMETRO -")</f>
        <v>ESFIGMOMANOMETRO -</v>
      </c>
      <c r="C24" s="86">
        <f>IFERROR(__xludf.DUMMYFUNCTION("""COMPUTED_VALUE"""),1.0)</f>
        <v>1</v>
      </c>
      <c r="D24" s="87" t="str">
        <f>IFERROR(__xludf.DUMMYFUNCTION("""COMPUTED_VALUE"""),"SEÇÃO")</f>
        <v>SEÇÃO</v>
      </c>
      <c r="E24" s="87" t="str">
        <f>IFERROR(__xludf.DUMMYFUNCTION("""COMPUTED_VALUE"""),"3 - ALMOX. ESTOQUE")</f>
        <v>3 - ALMOX. ESTOQUE</v>
      </c>
      <c r="F24" s="88" t="str">
        <f>IFERROR(__xludf.DUMMYFUNCTION("""COMPUTED_VALUE"""),"ALMOX. APH")</f>
        <v>ALMOX. APH</v>
      </c>
      <c r="G24" s="89">
        <f>IFERROR(__xludf.DUMMYFUNCTION("""COMPUTED_VALUE"""),7.6728986E7)</f>
        <v>76728986</v>
      </c>
      <c r="H24" s="87"/>
      <c r="I24" s="87" t="str">
        <f>IFERROR(__xludf.DUMMYFUNCTION("""COMPUTED_VALUE"""),"INFANTIL")</f>
        <v>INFANTIL</v>
      </c>
    </row>
    <row r="25">
      <c r="A25" s="84">
        <f>IFERROR(__xludf.DUMMYFUNCTION("""COMPUTED_VALUE"""),24.0)</f>
        <v>24</v>
      </c>
      <c r="B25" s="85" t="str">
        <f>IFERROR(__xludf.DUMMYFUNCTION("""COMPUTED_VALUE"""),"ASPIRADOR DE SECRECAO -")</f>
        <v>ASPIRADOR DE SECRECAO -</v>
      </c>
      <c r="C25" s="86">
        <f>IFERROR(__xludf.DUMMYFUNCTION("""COMPUTED_VALUE"""),1.0)</f>
        <v>1</v>
      </c>
      <c r="D25" s="87" t="str">
        <f>IFERROR(__xludf.DUMMYFUNCTION("""COMPUTED_VALUE"""),"VIATURA")</f>
        <v>VIATURA</v>
      </c>
      <c r="E25" s="87" t="str">
        <f>IFERROR(__xludf.DUMMYFUNCTION("""COMPUTED_VALUE"""),"1 - UR3486")</f>
        <v>1 - UR3486</v>
      </c>
      <c r="F25" s="88" t="str">
        <f>IFERROR(__xludf.DUMMYFUNCTION("""COMPUTED_VALUE"""),"PRATELEIRAS E GAVETAS")</f>
        <v>PRATELEIRAS E GAVETAS</v>
      </c>
      <c r="G25" s="89">
        <f>IFERROR(__xludf.DUMMYFUNCTION("""COMPUTED_VALUE"""),7.6740536E7)</f>
        <v>76740536</v>
      </c>
      <c r="H25" s="87"/>
      <c r="I25" s="87"/>
    </row>
    <row r="26">
      <c r="A26" s="84">
        <f>IFERROR(__xludf.DUMMYFUNCTION("""COMPUTED_VALUE"""),25.0)</f>
        <v>25</v>
      </c>
      <c r="B26" s="85" t="str">
        <f>IFERROR(__xludf.DUMMYFUNCTION("""COMPUTED_VALUE"""),"ASPIRADOR DE SECRECAO -")</f>
        <v>ASPIRADOR DE SECRECAO -</v>
      </c>
      <c r="C26" s="86">
        <f>IFERROR(__xludf.DUMMYFUNCTION("""COMPUTED_VALUE"""),1.0)</f>
        <v>1</v>
      </c>
      <c r="D26" s="87" t="str">
        <f>IFERROR(__xludf.DUMMYFUNCTION("""COMPUTED_VALUE"""),"SEÇÃO")</f>
        <v>SEÇÃO</v>
      </c>
      <c r="E26" s="87" t="str">
        <f>IFERROR(__xludf.DUMMYFUNCTION("""COMPUTED_VALUE"""),"3 - CURVELO")</f>
        <v>3 - CURVELO</v>
      </c>
      <c r="F26" s="88"/>
      <c r="G26" s="89">
        <f>IFERROR(__xludf.DUMMYFUNCTION("""COMPUTED_VALUE"""),7.6740544E7)</f>
        <v>76740544</v>
      </c>
      <c r="H26" s="87"/>
      <c r="I26" s="87" t="str">
        <f>IFERROR(__xludf.DUMMYFUNCTION("""COMPUTED_VALUE"""),"transferido para Curvelo")</f>
        <v>transferido para Curvelo</v>
      </c>
    </row>
    <row r="27">
      <c r="A27" s="84">
        <f>IFERROR(__xludf.DUMMYFUNCTION("""COMPUTED_VALUE"""),26.0)</f>
        <v>26</v>
      </c>
      <c r="B27" s="85" t="str">
        <f>IFERROR(__xludf.DUMMYFUNCTION("""COMPUTED_VALUE"""),"ESFIGMOMANOMETRO -")</f>
        <v>ESFIGMOMANOMETRO -</v>
      </c>
      <c r="C27" s="86">
        <f>IFERROR(__xludf.DUMMYFUNCTION("""COMPUTED_VALUE"""),1.0)</f>
        <v>1</v>
      </c>
      <c r="D27" s="87" t="str">
        <f>IFERROR(__xludf.DUMMYFUNCTION("""COMPUTED_VALUE"""),"SEÇÃO")</f>
        <v>SEÇÃO</v>
      </c>
      <c r="E27" s="87" t="str">
        <f>IFERROR(__xludf.DUMMYFUNCTION("""COMPUTED_VALUE"""),"1 - APV8340")</f>
        <v>1 - APV8340</v>
      </c>
      <c r="F27" s="88" t="str">
        <f>IFERROR(__xludf.DUMMYFUNCTION("""COMPUTED_VALUE"""),"BOLSA DE RESGATE")</f>
        <v>BOLSA DE RESGATE</v>
      </c>
      <c r="G27" s="89">
        <f>IFERROR(__xludf.DUMMYFUNCTION("""COMPUTED_VALUE"""),7.6742393E7)</f>
        <v>76742393</v>
      </c>
      <c r="H27" s="87"/>
      <c r="I27" s="87"/>
    </row>
    <row r="28">
      <c r="A28" s="84">
        <f>IFERROR(__xludf.DUMMYFUNCTION("""COMPUTED_VALUE"""),27.0)</f>
        <v>27</v>
      </c>
      <c r="B28" s="85" t="str">
        <f>IFERROR(__xludf.DUMMYFUNCTION("""COMPUTED_VALUE"""),"ESFIGMOMANOMETRO -")</f>
        <v>ESFIGMOMANOMETRO -</v>
      </c>
      <c r="C28" s="86">
        <f>IFERROR(__xludf.DUMMYFUNCTION("""COMPUTED_VALUE"""),1.0)</f>
        <v>1</v>
      </c>
      <c r="D28" s="87" t="str">
        <f>IFERROR(__xludf.DUMMYFUNCTION("""COMPUTED_VALUE"""),"SEÇÃO")</f>
        <v>SEÇÃO</v>
      </c>
      <c r="E28" s="87" t="str">
        <f>IFERROR(__xludf.DUMMYFUNCTION("""COMPUTED_VALUE"""),"3 - SALA DE INSTRUÇÃO")</f>
        <v>3 - SALA DE INSTRUÇÃO</v>
      </c>
      <c r="F28" s="88" t="str">
        <f>IFERROR(__xludf.DUMMYFUNCTION("""COMPUTED_VALUE"""),"BOLSA DE RESGATE")</f>
        <v>BOLSA DE RESGATE</v>
      </c>
      <c r="G28" s="89">
        <f>IFERROR(__xludf.DUMMYFUNCTION("""COMPUTED_VALUE"""),7.674244E7)</f>
        <v>76742440</v>
      </c>
      <c r="H28" s="87"/>
      <c r="I28" s="87"/>
    </row>
    <row r="29">
      <c r="A29" s="84">
        <f>IFERROR(__xludf.DUMMYFUNCTION("""COMPUTED_VALUE"""),28.0)</f>
        <v>28</v>
      </c>
      <c r="B29" s="85" t="str">
        <f>IFERROR(__xludf.DUMMYFUNCTION("""COMPUTED_VALUE"""),"ESFIGMOMANOMETRO -")</f>
        <v>ESFIGMOMANOMETRO -</v>
      </c>
      <c r="C29" s="86">
        <f>IFERROR(__xludf.DUMMYFUNCTION("""COMPUTED_VALUE"""),1.0)</f>
        <v>1</v>
      </c>
      <c r="D29" s="87" t="str">
        <f>IFERROR(__xludf.DUMMYFUNCTION("""COMPUTED_VALUE"""),"VIATURA")</f>
        <v>VIATURA</v>
      </c>
      <c r="E29" s="87" t="str">
        <f>IFERROR(__xludf.DUMMYFUNCTION("""COMPUTED_VALUE"""),"1 - APV1331")</f>
        <v>1 - APV1331</v>
      </c>
      <c r="F29" s="88" t="str">
        <f>IFERROR(__xludf.DUMMYFUNCTION("""COMPUTED_VALUE"""),"BOLSA DE RESGATE")</f>
        <v>BOLSA DE RESGATE</v>
      </c>
      <c r="G29" s="89">
        <f>IFERROR(__xludf.DUMMYFUNCTION("""COMPUTED_VALUE"""),7.6742695E7)</f>
        <v>76742695</v>
      </c>
      <c r="H29" s="87"/>
      <c r="I29" s="87" t="str">
        <f>IFERROR(__xludf.DUMMYFUNCTION("""COMPUTED_VALUE"""),"bolsa de instrução")</f>
        <v>bolsa de instrução</v>
      </c>
    </row>
    <row r="30">
      <c r="A30" s="84">
        <f>IFERROR(__xludf.DUMMYFUNCTION("""COMPUTED_VALUE"""),29.0)</f>
        <v>29</v>
      </c>
      <c r="B30" s="85" t="str">
        <f>IFERROR(__xludf.DUMMYFUNCTION("""COMPUTED_VALUE"""),"ESFIGMOMANOMETRO -")</f>
        <v>ESFIGMOMANOMETRO -</v>
      </c>
      <c r="C30" s="86">
        <f>IFERROR(__xludf.DUMMYFUNCTION("""COMPUTED_VALUE"""),1.0)</f>
        <v>1</v>
      </c>
      <c r="D30" s="87" t="str">
        <f>IFERROR(__xludf.DUMMYFUNCTION("""COMPUTED_VALUE"""),"VIATURA")</f>
        <v>VIATURA</v>
      </c>
      <c r="E30" s="87" t="str">
        <f>IFERROR(__xludf.DUMMYFUNCTION("""COMPUTED_VALUE"""),"1 - ABTS5911")</f>
        <v>1 - ABTS5911</v>
      </c>
      <c r="F30" s="88" t="str">
        <f>IFERROR(__xludf.DUMMYFUNCTION("""COMPUTED_VALUE"""),"BOLSA DE RESGATE")</f>
        <v>BOLSA DE RESGATE</v>
      </c>
      <c r="G30" s="89">
        <f>IFERROR(__xludf.DUMMYFUNCTION("""COMPUTED_VALUE"""),7.674289E7)</f>
        <v>76742890</v>
      </c>
      <c r="H30" s="87"/>
      <c r="I30" s="87"/>
    </row>
    <row r="31">
      <c r="A31" s="84">
        <f>IFERROR(__xludf.DUMMYFUNCTION("""COMPUTED_VALUE"""),30.0)</f>
        <v>30</v>
      </c>
      <c r="B31" s="85" t="str">
        <f>IFERROR(__xludf.DUMMYFUNCTION("""COMPUTED_VALUE"""),"ESFIGMOMANOMETRO -")</f>
        <v>ESFIGMOMANOMETRO -</v>
      </c>
      <c r="C31" s="86">
        <f>IFERROR(__xludf.DUMMYFUNCTION("""COMPUTED_VALUE"""),1.0)</f>
        <v>1</v>
      </c>
      <c r="D31" s="87" t="str">
        <f>IFERROR(__xludf.DUMMYFUNCTION("""COMPUTED_VALUE"""),"VIATURA")</f>
        <v>VIATURA</v>
      </c>
      <c r="E31" s="87" t="str">
        <f>IFERROR(__xludf.DUMMYFUNCTION("""COMPUTED_VALUE"""),"1 - APV1330")</f>
        <v>1 - APV1330</v>
      </c>
      <c r="F31" s="88" t="str">
        <f>IFERROR(__xludf.DUMMYFUNCTION("""COMPUTED_VALUE"""),"BOLSA DE RESGATE")</f>
        <v>BOLSA DE RESGATE</v>
      </c>
      <c r="G31" s="89">
        <f>IFERROR(__xludf.DUMMYFUNCTION("""COMPUTED_VALUE"""),7.6743985E7)</f>
        <v>76743985</v>
      </c>
      <c r="H31" s="87"/>
      <c r="I31" s="87"/>
    </row>
    <row r="32">
      <c r="A32" s="84">
        <f>IFERROR(__xludf.DUMMYFUNCTION("""COMPUTED_VALUE"""),31.0)</f>
        <v>31</v>
      </c>
      <c r="B32" s="85" t="str">
        <f>IFERROR(__xludf.DUMMYFUNCTION("""COMPUTED_VALUE"""),"OXIMETRO -")</f>
        <v>OXIMETRO -</v>
      </c>
      <c r="C32" s="86">
        <f>IFERROR(__xludf.DUMMYFUNCTION("""COMPUTED_VALUE"""),1.0)</f>
        <v>1</v>
      </c>
      <c r="D32" s="87" t="str">
        <f>IFERROR(__xludf.DUMMYFUNCTION("""COMPUTED_VALUE"""),"SEÇÃO")</f>
        <v>SEÇÃO</v>
      </c>
      <c r="E32" s="87" t="str">
        <f>IFERROR(__xludf.DUMMYFUNCTION("""COMPUTED_VALUE"""),"3 - GUARDA")</f>
        <v>3 - GUARDA</v>
      </c>
      <c r="F32" s="88" t="str">
        <f>IFERROR(__xludf.DUMMYFUNCTION("""COMPUTED_VALUE"""),"BOLSA DE RESGATE")</f>
        <v>BOLSA DE RESGATE</v>
      </c>
      <c r="G32" s="89">
        <f>IFERROR(__xludf.DUMMYFUNCTION("""COMPUTED_VALUE"""),7.67444E7)</f>
        <v>76744400</v>
      </c>
      <c r="H32" s="87" t="str">
        <f>IFERROR(__xludf.DUMMYFUNCTION("""COMPUTED_VALUE"""),"N.S. 202854505980")</f>
        <v>N.S. 202854505980</v>
      </c>
      <c r="I32" s="87" t="str">
        <f>IFERROR(__xludf.DUMMYFUNCTION("""COMPUTED_VALUE"""),"Oximetro de pulso G-TECH")</f>
        <v>Oximetro de pulso G-TECH</v>
      </c>
    </row>
    <row r="33">
      <c r="A33" s="84">
        <f>IFERROR(__xludf.DUMMYFUNCTION("""COMPUTED_VALUE"""),32.0)</f>
        <v>32</v>
      </c>
      <c r="B33" s="85" t="str">
        <f>IFERROR(__xludf.DUMMYFUNCTION("""COMPUTED_VALUE"""),"OXIMETRO -")</f>
        <v>OXIMETRO -</v>
      </c>
      <c r="C33" s="86">
        <f>IFERROR(__xludf.DUMMYFUNCTION("""COMPUTED_VALUE"""),1.0)</f>
        <v>1</v>
      </c>
      <c r="D33" s="87" t="str">
        <f>IFERROR(__xludf.DUMMYFUNCTION("""COMPUTED_VALUE"""),"VIATURA")</f>
        <v>VIATURA</v>
      </c>
      <c r="E33" s="87" t="str">
        <f>IFERROR(__xludf.DUMMYFUNCTION("""COMPUTED_VALUE"""),"1 - APV8340")</f>
        <v>1 - APV8340</v>
      </c>
      <c r="F33" s="88" t="str">
        <f>IFERROR(__xludf.DUMMYFUNCTION("""COMPUTED_VALUE"""),"BOLSA DE RESGATE")</f>
        <v>BOLSA DE RESGATE</v>
      </c>
      <c r="G33" s="89">
        <f>IFERROR(__xludf.DUMMYFUNCTION("""COMPUTED_VALUE"""),7.674445E7)</f>
        <v>76744450</v>
      </c>
      <c r="H33" s="87" t="str">
        <f>IFERROR(__xludf.DUMMYFUNCTION("""COMPUTED_VALUE"""),"N.S. 202854505975")</f>
        <v>N.S. 202854505975</v>
      </c>
      <c r="I33" s="87" t="str">
        <f>IFERROR(__xludf.DUMMYFUNCTION("""COMPUTED_VALUE"""),"Oximetro de pulso G-TECH")</f>
        <v>Oximetro de pulso G-TECH</v>
      </c>
    </row>
    <row r="34">
      <c r="A34" s="84">
        <f>IFERROR(__xludf.DUMMYFUNCTION("""COMPUTED_VALUE"""),33.0)</f>
        <v>33</v>
      </c>
      <c r="B34" s="85" t="str">
        <f>IFERROR(__xludf.DUMMYFUNCTION("""COMPUTED_VALUE"""),"OXIMETRO -")</f>
        <v>OXIMETRO -</v>
      </c>
      <c r="C34" s="86">
        <f>IFERROR(__xludf.DUMMYFUNCTION("""COMPUTED_VALUE"""),1.0)</f>
        <v>1</v>
      </c>
      <c r="D34" s="87" t="str">
        <f>IFERROR(__xludf.DUMMYFUNCTION("""COMPUTED_VALUE"""),"SEÇÃO")</f>
        <v>SEÇÃO</v>
      </c>
      <c r="E34" s="87" t="str">
        <f>IFERROR(__xludf.DUMMYFUNCTION("""COMPUTED_VALUE"""),"3 - ALMOX. ESTOQUE")</f>
        <v>3 - ALMOX. ESTOQUE</v>
      </c>
      <c r="F34" s="88" t="str">
        <f>IFERROR(__xludf.DUMMYFUNCTION("""COMPUTED_VALUE"""),"ALMOX. APH")</f>
        <v>ALMOX. APH</v>
      </c>
      <c r="G34" s="89">
        <f>IFERROR(__xludf.DUMMYFUNCTION("""COMPUTED_VALUE"""),7.6744507E7)</f>
        <v>76744507</v>
      </c>
      <c r="H34" s="87" t="str">
        <f>IFERROR(__xludf.DUMMYFUNCTION("""COMPUTED_VALUE"""),"N.S. 182323208985")</f>
        <v>N.S. 182323208985</v>
      </c>
      <c r="I34" s="87" t="str">
        <f>IFERROR(__xludf.DUMMYFUNCTION("""COMPUTED_VALUE"""),"Oximetro de pulso G-TECH")</f>
        <v>Oximetro de pulso G-TECH</v>
      </c>
    </row>
    <row r="35">
      <c r="A35" s="84">
        <f>IFERROR(__xludf.DUMMYFUNCTION("""COMPUTED_VALUE"""),34.0)</f>
        <v>34</v>
      </c>
      <c r="B35" s="85" t="str">
        <f>IFERROR(__xludf.DUMMYFUNCTION("""COMPUTED_VALUE"""),"MOTOSSERRA -")</f>
        <v>MOTOSSERRA -</v>
      </c>
      <c r="C35" s="86">
        <f>IFERROR(__xludf.DUMMYFUNCTION("""COMPUTED_VALUE"""),1.0)</f>
        <v>1</v>
      </c>
      <c r="D35" s="87" t="str">
        <f>IFERROR(__xludf.DUMMYFUNCTION("""COMPUTED_VALUE"""),"SEÇÃO")</f>
        <v>SEÇÃO</v>
      </c>
      <c r="E35" s="87" t="str">
        <f>IFERROR(__xludf.DUMMYFUNCTION("""COMPUTED_VALUE"""),"3 - 1ª ALA OP.")</f>
        <v>3 - 1ª ALA OP.</v>
      </c>
      <c r="F35" s="88"/>
      <c r="G35" s="89">
        <f>IFERROR(__xludf.DUMMYFUNCTION("""COMPUTED_VALUE"""),7.6751457E7)</f>
        <v>76751457</v>
      </c>
      <c r="H35" s="87"/>
      <c r="I35" s="87" t="str">
        <f>IFERROR(__xludf.DUMMYFUNCTION("""COMPUTED_VALUE"""),"MOTOSSERRA - POTENCIA MOTOR MINIMA DE 4,2KW; ROTACAO MINIMA DE 12000; TANQUE DE COMBUSTIVEL MINIMA DE 800ML; TANQUE DE OLEO MINIMA DE 360ML; SABRE DE 16"" A 28""")</f>
        <v>MOTOSSERRA - POTENCIA MOTOR MINIMA DE 4,2KW; ROTACAO MINIMA DE 12000; TANQUE DE COMBUSTIVEL MINIMA DE 800ML; TANQUE DE OLEO MINIMA DE 360ML; SABRE DE 16" A 28"</v>
      </c>
    </row>
    <row r="36">
      <c r="A36" s="84">
        <f>IFERROR(__xludf.DUMMYFUNCTION("""COMPUTED_VALUE"""),35.0)</f>
        <v>35</v>
      </c>
      <c r="B36" s="85" t="str">
        <f>IFERROR(__xludf.DUMMYFUNCTION("""COMPUTED_VALUE"""),"ESTETOSCOPIO -")</f>
        <v>ESTETOSCOPIO -</v>
      </c>
      <c r="C36" s="86">
        <f>IFERROR(__xludf.DUMMYFUNCTION("""COMPUTED_VALUE"""),1.0)</f>
        <v>1</v>
      </c>
      <c r="D36" s="87" t="str">
        <f>IFERROR(__xludf.DUMMYFUNCTION("""COMPUTED_VALUE"""),"SEÇÃO")</f>
        <v>SEÇÃO</v>
      </c>
      <c r="E36" s="87" t="str">
        <f>IFERROR(__xludf.DUMMYFUNCTION("""COMPUTED_VALUE"""),"3 - GUARDA")</f>
        <v>3 - GUARDA</v>
      </c>
      <c r="F36" s="88" t="str">
        <f>IFERROR(__xludf.DUMMYFUNCTION("""COMPUTED_VALUE"""),"BOLSA DE RESGATE")</f>
        <v>BOLSA DE RESGATE</v>
      </c>
      <c r="G36" s="89">
        <f>IFERROR(__xludf.DUMMYFUNCTION("""COMPUTED_VALUE"""),7.6755169E7)</f>
        <v>76755169</v>
      </c>
      <c r="H36" s="87"/>
      <c r="I36" s="87"/>
    </row>
    <row r="37">
      <c r="A37" s="84">
        <f>IFERROR(__xludf.DUMMYFUNCTION("""COMPUTED_VALUE"""),36.0)</f>
        <v>36</v>
      </c>
      <c r="B37" s="85" t="str">
        <f>IFERROR(__xludf.DUMMYFUNCTION("""COMPUTED_VALUE"""),"ESTETOSCOPIO -")</f>
        <v>ESTETOSCOPIO -</v>
      </c>
      <c r="C37" s="86">
        <f>IFERROR(__xludf.DUMMYFUNCTION("""COMPUTED_VALUE"""),1.0)</f>
        <v>1</v>
      </c>
      <c r="D37" s="87" t="str">
        <f>IFERROR(__xludf.DUMMYFUNCTION("""COMPUTED_VALUE"""),"VIATURA")</f>
        <v>VIATURA</v>
      </c>
      <c r="E37" s="87" t="str">
        <f>IFERROR(__xludf.DUMMYFUNCTION("""COMPUTED_VALUE"""),"1 - APV1330")</f>
        <v>1 - APV1330</v>
      </c>
      <c r="F37" s="88" t="str">
        <f>IFERROR(__xludf.DUMMYFUNCTION("""COMPUTED_VALUE"""),"BOLSA DE RESGATE")</f>
        <v>BOLSA DE RESGATE</v>
      </c>
      <c r="G37" s="89">
        <f>IFERROR(__xludf.DUMMYFUNCTION("""COMPUTED_VALUE"""),7.6757463E7)</f>
        <v>76757463</v>
      </c>
      <c r="H37" s="87"/>
      <c r="I37" s="87"/>
    </row>
    <row r="38">
      <c r="A38" s="84">
        <f>IFERROR(__xludf.DUMMYFUNCTION("""COMPUTED_VALUE"""),37.0)</f>
        <v>37</v>
      </c>
      <c r="B38" s="85" t="str">
        <f>IFERROR(__xludf.DUMMYFUNCTION("""COMPUTED_VALUE"""),"ESTETOSCOPIO -")</f>
        <v>ESTETOSCOPIO -</v>
      </c>
      <c r="C38" s="86">
        <f>IFERROR(__xludf.DUMMYFUNCTION("""COMPUTED_VALUE"""),1.0)</f>
        <v>1</v>
      </c>
      <c r="D38" s="87" t="str">
        <f>IFERROR(__xludf.DUMMYFUNCTION("""COMPUTED_VALUE"""),"SEÇÃO")</f>
        <v>SEÇÃO</v>
      </c>
      <c r="E38" s="87" t="str">
        <f>IFERROR(__xludf.DUMMYFUNCTION("""COMPUTED_VALUE"""),"3 - ALMOX. ESTOQUE")</f>
        <v>3 - ALMOX. ESTOQUE</v>
      </c>
      <c r="F38" s="88" t="str">
        <f>IFERROR(__xludf.DUMMYFUNCTION("""COMPUTED_VALUE"""),"ALMOX. APH")</f>
        <v>ALMOX. APH</v>
      </c>
      <c r="G38" s="89">
        <f>IFERROR(__xludf.DUMMYFUNCTION("""COMPUTED_VALUE"""),7.6757501E7)</f>
        <v>76757501</v>
      </c>
      <c r="H38" s="87"/>
      <c r="I38" s="87"/>
    </row>
    <row r="39">
      <c r="A39" s="84">
        <f>IFERROR(__xludf.DUMMYFUNCTION("""COMPUTED_VALUE"""),38.0)</f>
        <v>38</v>
      </c>
      <c r="B39" s="85" t="str">
        <f>IFERROR(__xludf.DUMMYFUNCTION("""COMPUTED_VALUE"""),"ESTETOSCOPIO -")</f>
        <v>ESTETOSCOPIO -</v>
      </c>
      <c r="C39" s="86">
        <f>IFERROR(__xludf.DUMMYFUNCTION("""COMPUTED_VALUE"""),1.0)</f>
        <v>1</v>
      </c>
      <c r="D39" s="87" t="str">
        <f>IFERROR(__xludf.DUMMYFUNCTION("""COMPUTED_VALUE"""),"SEÇÃO")</f>
        <v>SEÇÃO</v>
      </c>
      <c r="E39" s="87" t="str">
        <f>IFERROR(__xludf.DUMMYFUNCTION("""COMPUTED_VALUE"""),"3 - ALMOX. ESTOQUE")</f>
        <v>3 - ALMOX. ESTOQUE</v>
      </c>
      <c r="F39" s="88" t="str">
        <f>IFERROR(__xludf.DUMMYFUNCTION("""COMPUTED_VALUE"""),"ALMOX. APH")</f>
        <v>ALMOX. APH</v>
      </c>
      <c r="G39" s="89">
        <f>IFERROR(__xludf.DUMMYFUNCTION("""COMPUTED_VALUE"""),7.6757528E7)</f>
        <v>76757528</v>
      </c>
      <c r="H39" s="87"/>
      <c r="I39" s="87"/>
    </row>
    <row r="40">
      <c r="A40" s="84">
        <f>IFERROR(__xludf.DUMMYFUNCTION("""COMPUTED_VALUE"""),39.0)</f>
        <v>39</v>
      </c>
      <c r="B40" s="85" t="str">
        <f>IFERROR(__xludf.DUMMYFUNCTION("""COMPUTED_VALUE"""),"ARQUIVO PARA ESCRITORIO -(II)")</f>
        <v>ARQUIVO PARA ESCRITORIO -(II)</v>
      </c>
      <c r="C40" s="86">
        <f>IFERROR(__xludf.DUMMYFUNCTION("""COMPUTED_VALUE"""),1.0)</f>
        <v>1</v>
      </c>
      <c r="D40" s="87" t="str">
        <f>IFERROR(__xludf.DUMMYFUNCTION("""COMPUTED_VALUE"""),"SEÇÃO")</f>
        <v>SEÇÃO</v>
      </c>
      <c r="E40" s="87" t="str">
        <f>IFERROR(__xludf.DUMMYFUNCTION("""COMPUTED_VALUE"""),"3 - SETOR DE MEIOS")</f>
        <v>3 - SETOR DE MEIOS</v>
      </c>
      <c r="F40" s="88" t="str">
        <f>IFERROR(__xludf.DUMMYFUNCTION("""COMPUTED_VALUE"""),"MATERIAL DE MERGULHO")</f>
        <v>MATERIAL DE MERGULHO</v>
      </c>
      <c r="G40" s="89">
        <f>IFERROR(__xludf.DUMMYFUNCTION("""COMPUTED_VALUE"""),1.2190241E7)</f>
        <v>12190241</v>
      </c>
      <c r="H40" s="87"/>
      <c r="I40" s="87" t="str">
        <f>IFERROR(__xludf.DUMMYFUNCTION("""COMPUTED_VALUE"""),"seção de mergulho ")</f>
        <v>seção de mergulho </v>
      </c>
    </row>
    <row r="41">
      <c r="A41" s="84">
        <f>IFERROR(__xludf.DUMMYFUNCTION("""COMPUTED_VALUE"""),40.0)</f>
        <v>40</v>
      </c>
      <c r="B41" s="85" t="str">
        <f>IFERROR(__xludf.DUMMYFUNCTION("""COMPUTED_VALUE"""),"ESTETOSCOPIO -")</f>
        <v>ESTETOSCOPIO -</v>
      </c>
      <c r="C41" s="86">
        <f>IFERROR(__xludf.DUMMYFUNCTION("""COMPUTED_VALUE"""),1.0)</f>
        <v>1</v>
      </c>
      <c r="D41" s="87" t="str">
        <f>IFERROR(__xludf.DUMMYFUNCTION("""COMPUTED_VALUE"""),"VIATURA")</f>
        <v>VIATURA</v>
      </c>
      <c r="E41" s="87" t="str">
        <f>IFERROR(__xludf.DUMMYFUNCTION("""COMPUTED_VALUE"""),"1 - ABTS5911")</f>
        <v>1 - ABTS5911</v>
      </c>
      <c r="F41" s="88" t="str">
        <f>IFERROR(__xludf.DUMMYFUNCTION("""COMPUTED_VALUE"""),"BOLSA DE RESGATE")</f>
        <v>BOLSA DE RESGATE</v>
      </c>
      <c r="G41" s="89">
        <f>IFERROR(__xludf.DUMMYFUNCTION("""COMPUTED_VALUE"""),7.6757595E7)</f>
        <v>76757595</v>
      </c>
      <c r="H41" s="87"/>
      <c r="I41" s="87"/>
    </row>
    <row r="42">
      <c r="A42" s="84">
        <f>IFERROR(__xludf.DUMMYFUNCTION("""COMPUTED_VALUE"""),41.0)</f>
        <v>41</v>
      </c>
      <c r="B42" s="85" t="str">
        <f>IFERROR(__xludf.DUMMYFUNCTION("""COMPUTED_VALUE"""),"ESTETOSCOPIO -")</f>
        <v>ESTETOSCOPIO -</v>
      </c>
      <c r="C42" s="86">
        <f>IFERROR(__xludf.DUMMYFUNCTION("""COMPUTED_VALUE"""),1.0)</f>
        <v>1</v>
      </c>
      <c r="D42" s="87" t="str">
        <f>IFERROR(__xludf.DUMMYFUNCTION("""COMPUTED_VALUE"""),"VIATURA")</f>
        <v>VIATURA</v>
      </c>
      <c r="E42" s="87" t="str">
        <f>IFERROR(__xludf.DUMMYFUNCTION("""COMPUTED_VALUE"""),"1 - APV8340")</f>
        <v>1 - APV8340</v>
      </c>
      <c r="F42" s="88" t="str">
        <f>IFERROR(__xludf.DUMMYFUNCTION("""COMPUTED_VALUE"""),"BOLSA DE RESGATE")</f>
        <v>BOLSA DE RESGATE</v>
      </c>
      <c r="G42" s="89">
        <f>IFERROR(__xludf.DUMMYFUNCTION("""COMPUTED_VALUE"""),7.6757617E7)</f>
        <v>76757617</v>
      </c>
      <c r="H42" s="87"/>
      <c r="I42" s="87"/>
    </row>
    <row r="43">
      <c r="A43" s="84">
        <f>IFERROR(__xludf.DUMMYFUNCTION("""COMPUTED_VALUE"""),42.0)</f>
        <v>42</v>
      </c>
      <c r="B43" s="85" t="str">
        <f>IFERROR(__xludf.DUMMYFUNCTION("""COMPUTED_VALUE"""),"CAPACETE PARA COMBATE INCENDIO -")</f>
        <v>CAPACETE PARA COMBATE INCENDIO -</v>
      </c>
      <c r="C43" s="86">
        <f>IFERROR(__xludf.DUMMYFUNCTION("""COMPUTED_VALUE"""),1.0)</f>
        <v>1</v>
      </c>
      <c r="D43" s="87" t="str">
        <f>IFERROR(__xludf.DUMMYFUNCTION("""COMPUTED_VALUE"""),"SEÇÃO")</f>
        <v>SEÇÃO</v>
      </c>
      <c r="E43" s="87" t="str">
        <f>IFERROR(__xludf.DUMMYFUNCTION("""COMPUTED_VALUE"""),"3 - ALMOX. ESTOQUE")</f>
        <v>3 - ALMOX. ESTOQUE</v>
      </c>
      <c r="F43" s="88" t="str">
        <f>IFERROR(__xludf.DUMMYFUNCTION("""COMPUTED_VALUE"""),"SAO")</f>
        <v>SAO</v>
      </c>
      <c r="G43" s="89">
        <f>IFERROR(__xludf.DUMMYFUNCTION("""COMPUTED_VALUE"""),7.6782972E7)</f>
        <v>76782972</v>
      </c>
      <c r="H43" s="87"/>
      <c r="I43" s="87"/>
    </row>
    <row r="44">
      <c r="A44" s="84">
        <f>IFERROR(__xludf.DUMMYFUNCTION("""COMPUTED_VALUE"""),43.0)</f>
        <v>43</v>
      </c>
      <c r="B44" s="85" t="str">
        <f>IFERROR(__xludf.DUMMYFUNCTION("""COMPUTED_VALUE"""),"CAPACETE PARA COMBATE INCENDIO -")</f>
        <v>CAPACETE PARA COMBATE INCENDIO -</v>
      </c>
      <c r="C44" s="86">
        <f>IFERROR(__xludf.DUMMYFUNCTION("""COMPUTED_VALUE"""),1.0)</f>
        <v>1</v>
      </c>
      <c r="D44" s="87" t="str">
        <f>IFERROR(__xludf.DUMMYFUNCTION("""COMPUTED_VALUE"""),"SEÇÃO")</f>
        <v>SEÇÃO</v>
      </c>
      <c r="E44" s="87" t="str">
        <f>IFERROR(__xludf.DUMMYFUNCTION("""COMPUTED_VALUE"""),"3 - ALMOX. ESTOQUE")</f>
        <v>3 - ALMOX. ESTOQUE</v>
      </c>
      <c r="F44" s="88" t="str">
        <f>IFERROR(__xludf.DUMMYFUNCTION("""COMPUTED_VALUE"""),"SAO")</f>
        <v>SAO</v>
      </c>
      <c r="G44" s="89">
        <f>IFERROR(__xludf.DUMMYFUNCTION("""COMPUTED_VALUE"""),7.678298E7)</f>
        <v>76782980</v>
      </c>
      <c r="H44" s="87"/>
      <c r="I44" s="87"/>
    </row>
    <row r="45">
      <c r="A45" s="84">
        <f>IFERROR(__xludf.DUMMYFUNCTION("""COMPUTED_VALUE"""),44.0)</f>
        <v>44</v>
      </c>
      <c r="B45" s="85" t="str">
        <f>IFERROR(__xludf.DUMMYFUNCTION("""COMPUTED_VALUE"""),"CAPACETE PARA COMBATE INCENDIO -")</f>
        <v>CAPACETE PARA COMBATE INCENDIO -</v>
      </c>
      <c r="C45" s="86">
        <f>IFERROR(__xludf.DUMMYFUNCTION("""COMPUTED_VALUE"""),1.0)</f>
        <v>1</v>
      </c>
      <c r="D45" s="87" t="str">
        <f>IFERROR(__xludf.DUMMYFUNCTION("""COMPUTED_VALUE"""),"SEÇÃO")</f>
        <v>SEÇÃO</v>
      </c>
      <c r="E45" s="87" t="str">
        <f>IFERROR(__xludf.DUMMYFUNCTION("""COMPUTED_VALUE"""),"3 - ALMOX. ESTOQUE")</f>
        <v>3 - ALMOX. ESTOQUE</v>
      </c>
      <c r="F45" s="88" t="str">
        <f>IFERROR(__xludf.DUMMYFUNCTION("""COMPUTED_VALUE"""),"SAO")</f>
        <v>SAO</v>
      </c>
      <c r="G45" s="89">
        <f>IFERROR(__xludf.DUMMYFUNCTION("""COMPUTED_VALUE"""),7.6782999E7)</f>
        <v>76782999</v>
      </c>
      <c r="H45" s="87"/>
      <c r="I45" s="87"/>
    </row>
    <row r="46">
      <c r="A46" s="84">
        <f>IFERROR(__xludf.DUMMYFUNCTION("""COMPUTED_VALUE"""),45.0)</f>
        <v>45</v>
      </c>
      <c r="B46" s="85" t="str">
        <f>IFERROR(__xludf.DUMMYFUNCTION("""COMPUTED_VALUE"""),"MICRO RETIFICA -")</f>
        <v>MICRO RETIFICA -</v>
      </c>
      <c r="C46" s="86">
        <f>IFERROR(__xludf.DUMMYFUNCTION("""COMPUTED_VALUE"""),1.0)</f>
        <v>1</v>
      </c>
      <c r="D46" s="87" t="str">
        <f>IFERROR(__xludf.DUMMYFUNCTION("""COMPUTED_VALUE"""),"SEÇÃO")</f>
        <v>SEÇÃO</v>
      </c>
      <c r="E46" s="87" t="str">
        <f>IFERROR(__xludf.DUMMYFUNCTION("""COMPUTED_VALUE"""),"3 - SOU")</f>
        <v>3 - SOU</v>
      </c>
      <c r="F46" s="88" t="str">
        <f>IFERROR(__xludf.DUMMYFUNCTION("""COMPUTED_VALUE"""),"RÁDIO OPERADOR")</f>
        <v>RÁDIO OPERADOR</v>
      </c>
      <c r="G46" s="89">
        <f>IFERROR(__xludf.DUMMYFUNCTION("""COMPUTED_VALUE"""),7.6783456E7)</f>
        <v>76783456</v>
      </c>
      <c r="H46" s="87"/>
      <c r="I46" s="87"/>
    </row>
    <row r="47">
      <c r="A47" s="84">
        <f>IFERROR(__xludf.DUMMYFUNCTION("""COMPUTED_VALUE"""),46.0)</f>
        <v>46</v>
      </c>
      <c r="B47" s="85" t="str">
        <f>IFERROR(__xludf.DUMMYFUNCTION("""COMPUTED_VALUE"""),"MICRO RETIFICA -")</f>
        <v>MICRO RETIFICA -</v>
      </c>
      <c r="C47" s="86">
        <f>IFERROR(__xludf.DUMMYFUNCTION("""COMPUTED_VALUE"""),1.0)</f>
        <v>1</v>
      </c>
      <c r="D47" s="87" t="str">
        <f>IFERROR(__xludf.DUMMYFUNCTION("""COMPUTED_VALUE"""),"SEÇÃO")</f>
        <v>SEÇÃO</v>
      </c>
      <c r="E47" s="87" t="str">
        <f>IFERROR(__xludf.DUMMYFUNCTION("""COMPUTED_VALUE"""),"3 - ALMOX. ESTOQUE")</f>
        <v>3 - ALMOX. ESTOQUE</v>
      </c>
      <c r="F47" s="88" t="str">
        <f>IFERROR(__xludf.DUMMYFUNCTION("""COMPUTED_VALUE"""),"SAO")</f>
        <v>SAO</v>
      </c>
      <c r="G47" s="89">
        <f>IFERROR(__xludf.DUMMYFUNCTION("""COMPUTED_VALUE"""),7.678351E7)</f>
        <v>76783510</v>
      </c>
      <c r="H47" s="87"/>
      <c r="I47" s="87"/>
    </row>
    <row r="48">
      <c r="A48" s="84">
        <f>IFERROR(__xludf.DUMMYFUNCTION("""COMPUTED_VALUE"""),47.0)</f>
        <v>47</v>
      </c>
      <c r="B48" s="85" t="str">
        <f>IFERROR(__xludf.DUMMYFUNCTION("""COMPUTED_VALUE"""),"BOMBA COSTAL PARA COMBATE A INCENDIO -")</f>
        <v>BOMBA COSTAL PARA COMBATE A INCENDIO -</v>
      </c>
      <c r="C48" s="86">
        <f>IFERROR(__xludf.DUMMYFUNCTION("""COMPUTED_VALUE"""),1.0)</f>
        <v>1</v>
      </c>
      <c r="D48" s="87" t="str">
        <f>IFERROR(__xludf.DUMMYFUNCTION("""COMPUTED_VALUE"""),"SEÇÃO")</f>
        <v>SEÇÃO</v>
      </c>
      <c r="E48" s="87" t="str">
        <f>IFERROR(__xludf.DUMMYFUNCTION("""COMPUTED_VALUE"""),"3 - SETOR DE MEIOS")</f>
        <v>3 - SETOR DE MEIOS</v>
      </c>
      <c r="F48" s="88"/>
      <c r="G48" s="89">
        <f>IFERROR(__xludf.DUMMYFUNCTION("""COMPUTED_VALUE"""),7.6788946E7)</f>
        <v>76788946</v>
      </c>
      <c r="H48" s="87"/>
      <c r="I48" s="87"/>
    </row>
    <row r="49">
      <c r="A49" s="84">
        <f>IFERROR(__xludf.DUMMYFUNCTION("""COMPUTED_VALUE"""),48.0)</f>
        <v>48</v>
      </c>
      <c r="B49" s="85" t="str">
        <f>IFERROR(__xludf.DUMMYFUNCTION("""COMPUTED_VALUE"""),"BOMBA COSTAL PARA COMBATE A INCENDIO -")</f>
        <v>BOMBA COSTAL PARA COMBATE A INCENDIO -</v>
      </c>
      <c r="C49" s="86">
        <f>IFERROR(__xludf.DUMMYFUNCTION("""COMPUTED_VALUE"""),1.0)</f>
        <v>1</v>
      </c>
      <c r="D49" s="87" t="str">
        <f>IFERROR(__xludf.DUMMYFUNCTION("""COMPUTED_VALUE"""),"SEÇÃO")</f>
        <v>SEÇÃO</v>
      </c>
      <c r="E49" s="87" t="str">
        <f>IFERROR(__xludf.DUMMYFUNCTION("""COMPUTED_VALUE"""),"3 - SETOR DE MEIOS")</f>
        <v>3 - SETOR DE MEIOS</v>
      </c>
      <c r="F49" s="88" t="str">
        <f>IFERROR(__xludf.DUMMYFUNCTION("""COMPUTED_VALUE"""),"SETOR DE MEIOS")</f>
        <v>SETOR DE MEIOS</v>
      </c>
      <c r="G49" s="89">
        <f>IFERROR(__xludf.DUMMYFUNCTION("""COMPUTED_VALUE"""),7.6788954E7)</f>
        <v>76788954</v>
      </c>
      <c r="H49" s="87"/>
      <c r="I49" s="87" t="str">
        <f>IFERROR(__xludf.DUMMYFUNCTION("""COMPUTED_VALUE"""),"pago no dia 15/06/2026, retirado do Almoxifado")</f>
        <v>pago no dia 15/06/2026, retirado do Almoxifado</v>
      </c>
    </row>
    <row r="50">
      <c r="A50" s="84">
        <f>IFERROR(__xludf.DUMMYFUNCTION("""COMPUTED_VALUE"""),49.0)</f>
        <v>49</v>
      </c>
      <c r="B50" s="85" t="str">
        <f>IFERROR(__xludf.DUMMYFUNCTION("""COMPUTED_VALUE"""),"BOMBA COSTAL PARA COMBATE A INCENDIO -")</f>
        <v>BOMBA COSTAL PARA COMBATE A INCENDIO -</v>
      </c>
      <c r="C50" s="86">
        <f>IFERROR(__xludf.DUMMYFUNCTION("""COMPUTED_VALUE"""),1.0)</f>
        <v>1</v>
      </c>
      <c r="D50" s="87" t="str">
        <f>IFERROR(__xludf.DUMMYFUNCTION("""COMPUTED_VALUE"""),"SEÇÃO")</f>
        <v>SEÇÃO</v>
      </c>
      <c r="E50" s="87" t="str">
        <f>IFERROR(__xludf.DUMMYFUNCTION("""COMPUTED_VALUE"""),"3 - ALMOX. ESTOQUE")</f>
        <v>3 - ALMOX. ESTOQUE</v>
      </c>
      <c r="F50" s="88" t="str">
        <f>IFERROR(__xludf.DUMMYFUNCTION("""COMPUTED_VALUE"""),"SETOR DE MEIOS")</f>
        <v>SETOR DE MEIOS</v>
      </c>
      <c r="G50" s="89">
        <f>IFERROR(__xludf.DUMMYFUNCTION("""COMPUTED_VALUE"""),7.6788962E7)</f>
        <v>76788962</v>
      </c>
      <c r="H50" s="87"/>
      <c r="I50" s="87" t="str">
        <f>IFERROR(__xludf.DUMMYFUNCTION("""COMPUTED_VALUE"""),"pago no dia 15/06/2026, retirado do Almoxifado")</f>
        <v>pago no dia 15/06/2026, retirado do Almoxifado</v>
      </c>
    </row>
    <row r="51">
      <c r="A51" s="84">
        <f>IFERROR(__xludf.DUMMYFUNCTION("""COMPUTED_VALUE"""),50.0)</f>
        <v>50</v>
      </c>
      <c r="B51" s="85" t="str">
        <f>IFERROR(__xludf.DUMMYFUNCTION("""COMPUTED_VALUE"""),"BOMBA COSTAL PARA COMBATE A INCENDIO -")</f>
        <v>BOMBA COSTAL PARA COMBATE A INCENDIO -</v>
      </c>
      <c r="C51" s="86">
        <f>IFERROR(__xludf.DUMMYFUNCTION("""COMPUTED_VALUE"""),1.0)</f>
        <v>1</v>
      </c>
      <c r="D51" s="87" t="str">
        <f>IFERROR(__xludf.DUMMYFUNCTION("""COMPUTED_VALUE"""),"SEÇÃO")</f>
        <v>SEÇÃO</v>
      </c>
      <c r="E51" s="87" t="str">
        <f>IFERROR(__xludf.DUMMYFUNCTION("""COMPUTED_VALUE"""),"3 - ALMOX. ESTOQUE")</f>
        <v>3 - ALMOX. ESTOQUE</v>
      </c>
      <c r="F51" s="88" t="str">
        <f>IFERROR(__xludf.DUMMYFUNCTION("""COMPUTED_VALUE"""),"ALMOX. SAO (SEDE)")</f>
        <v>ALMOX. SAO (SEDE)</v>
      </c>
      <c r="G51" s="89">
        <f>IFERROR(__xludf.DUMMYFUNCTION("""COMPUTED_VALUE"""),7.678897E7)</f>
        <v>76788970</v>
      </c>
      <c r="H51" s="87"/>
      <c r="I51" s="87"/>
    </row>
    <row r="52">
      <c r="A52" s="84">
        <f>IFERROR(__xludf.DUMMYFUNCTION("""COMPUTED_VALUE"""),51.0)</f>
        <v>51</v>
      </c>
      <c r="B52" s="85" t="str">
        <f>IFERROR(__xludf.DUMMYFUNCTION("""COMPUTED_VALUE"""),"BOMBA COSTAL PARA COMBATE A INCENDIO -")</f>
        <v>BOMBA COSTAL PARA COMBATE A INCENDIO -</v>
      </c>
      <c r="C52" s="86">
        <f>IFERROR(__xludf.DUMMYFUNCTION("""COMPUTED_VALUE"""),1.0)</f>
        <v>1</v>
      </c>
      <c r="D52" s="87" t="str">
        <f>IFERROR(__xludf.DUMMYFUNCTION("""COMPUTED_VALUE"""),"SEÇÃO")</f>
        <v>SEÇÃO</v>
      </c>
      <c r="E52" s="87" t="str">
        <f>IFERROR(__xludf.DUMMYFUNCTION("""COMPUTED_VALUE"""),"3 - ALMOX. ESTOQUE")</f>
        <v>3 - ALMOX. ESTOQUE</v>
      </c>
      <c r="F52" s="88" t="str">
        <f>IFERROR(__xludf.DUMMYFUNCTION("""COMPUTED_VALUE"""),"ALMOX. SAO (SEDE)")</f>
        <v>ALMOX. SAO (SEDE)</v>
      </c>
      <c r="G52" s="89">
        <f>IFERROR(__xludf.DUMMYFUNCTION("""COMPUTED_VALUE"""),7.6788989E7)</f>
        <v>76788989</v>
      </c>
      <c r="H52" s="87"/>
      <c r="I52" s="87"/>
    </row>
    <row r="53">
      <c r="A53" s="84">
        <f>IFERROR(__xludf.DUMMYFUNCTION("""COMPUTED_VALUE"""),52.0)</f>
        <v>52</v>
      </c>
      <c r="B53" s="85" t="str">
        <f>IFERROR(__xludf.DUMMYFUNCTION("""COMPUTED_VALUE"""),"BOMBA COSTAL PARA COMBATE A INCENDIO -")</f>
        <v>BOMBA COSTAL PARA COMBATE A INCENDIO -</v>
      </c>
      <c r="C53" s="86">
        <f>IFERROR(__xludf.DUMMYFUNCTION("""COMPUTED_VALUE"""),1.0)</f>
        <v>1</v>
      </c>
      <c r="D53" s="87" t="str">
        <f>IFERROR(__xludf.DUMMYFUNCTION("""COMPUTED_VALUE"""),"SEÇÃO")</f>
        <v>SEÇÃO</v>
      </c>
      <c r="E53" s="87" t="str">
        <f>IFERROR(__xludf.DUMMYFUNCTION("""COMPUTED_VALUE"""),"3 - ALMOX. ESTOQUE")</f>
        <v>3 - ALMOX. ESTOQUE</v>
      </c>
      <c r="F53" s="88" t="str">
        <f>IFERROR(__xludf.DUMMYFUNCTION("""COMPUTED_VALUE"""),"ALMOX. SAO (SEDE)")</f>
        <v>ALMOX. SAO (SEDE)</v>
      </c>
      <c r="G53" s="89">
        <f>IFERROR(__xludf.DUMMYFUNCTION("""COMPUTED_VALUE"""),7.6788997E7)</f>
        <v>76788997</v>
      </c>
      <c r="H53" s="87"/>
      <c r="I53" s="87"/>
    </row>
    <row r="54">
      <c r="A54" s="84">
        <f>IFERROR(__xludf.DUMMYFUNCTION("""COMPUTED_VALUE"""),53.0)</f>
        <v>53</v>
      </c>
      <c r="B54" s="85" t="str">
        <f>IFERROR(__xludf.DUMMYFUNCTION("""COMPUTED_VALUE"""),"BOMBA COSTAL PARA COMBATE A INCENDIO -")</f>
        <v>BOMBA COSTAL PARA COMBATE A INCENDIO -</v>
      </c>
      <c r="C54" s="86">
        <f>IFERROR(__xludf.DUMMYFUNCTION("""COMPUTED_VALUE"""),1.0)</f>
        <v>1</v>
      </c>
      <c r="D54" s="87" t="str">
        <f>IFERROR(__xludf.DUMMYFUNCTION("""COMPUTED_VALUE"""),"SEÇÃO")</f>
        <v>SEÇÃO</v>
      </c>
      <c r="E54" s="87" t="str">
        <f>IFERROR(__xludf.DUMMYFUNCTION("""COMPUTED_VALUE"""),"3 - ALMOX. ESTOQUE")</f>
        <v>3 - ALMOX. ESTOQUE</v>
      </c>
      <c r="F54" s="88" t="str">
        <f>IFERROR(__xludf.DUMMYFUNCTION("""COMPUTED_VALUE"""),"ALMOX. SAO (SEDE)")</f>
        <v>ALMOX. SAO (SEDE)</v>
      </c>
      <c r="G54" s="89">
        <f>IFERROR(__xludf.DUMMYFUNCTION("""COMPUTED_VALUE"""),7.6789004E7)</f>
        <v>76789004</v>
      </c>
      <c r="H54" s="87"/>
      <c r="I54" s="87"/>
    </row>
    <row r="55">
      <c r="A55" s="84">
        <f>IFERROR(__xludf.DUMMYFUNCTION("""COMPUTED_VALUE"""),54.0)</f>
        <v>54</v>
      </c>
      <c r="B55" s="85" t="str">
        <f>IFERROR(__xludf.DUMMYFUNCTION("""COMPUTED_VALUE"""),"BOMBA COSTAL PARA COMBATE A INCENDIO -")</f>
        <v>BOMBA COSTAL PARA COMBATE A INCENDIO -</v>
      </c>
      <c r="C55" s="86">
        <f>IFERROR(__xludf.DUMMYFUNCTION("""COMPUTED_VALUE"""),1.0)</f>
        <v>1</v>
      </c>
      <c r="D55" s="87" t="str">
        <f>IFERROR(__xludf.DUMMYFUNCTION("""COMPUTED_VALUE"""),"SEÇÃO")</f>
        <v>SEÇÃO</v>
      </c>
      <c r="E55" s="87" t="str">
        <f>IFERROR(__xludf.DUMMYFUNCTION("""COMPUTED_VALUE"""),"3 - ALMOX. ESTOQUE")</f>
        <v>3 - ALMOX. ESTOQUE</v>
      </c>
      <c r="F55" s="88" t="str">
        <f>IFERROR(__xludf.DUMMYFUNCTION("""COMPUTED_VALUE"""),"ALMOX. SAO (SEDE)")</f>
        <v>ALMOX. SAO (SEDE)</v>
      </c>
      <c r="G55" s="89">
        <f>IFERROR(__xludf.DUMMYFUNCTION("""COMPUTED_VALUE"""),7.6789012E7)</f>
        <v>76789012</v>
      </c>
      <c r="H55" s="87"/>
      <c r="I55" s="87"/>
    </row>
    <row r="56">
      <c r="A56" s="84">
        <f>IFERROR(__xludf.DUMMYFUNCTION("""COMPUTED_VALUE"""),55.0)</f>
        <v>55</v>
      </c>
      <c r="B56" s="85" t="str">
        <f>IFERROR(__xludf.DUMMYFUNCTION("""COMPUTED_VALUE"""),"BOMBA COSTAL PARA COMBATE A INCENDIO -")</f>
        <v>BOMBA COSTAL PARA COMBATE A INCENDIO -</v>
      </c>
      <c r="C56" s="86">
        <f>IFERROR(__xludf.DUMMYFUNCTION("""COMPUTED_VALUE"""),1.0)</f>
        <v>1</v>
      </c>
      <c r="D56" s="87" t="str">
        <f>IFERROR(__xludf.DUMMYFUNCTION("""COMPUTED_VALUE"""),"SEÇÃO")</f>
        <v>SEÇÃO</v>
      </c>
      <c r="E56" s="87" t="str">
        <f>IFERROR(__xludf.DUMMYFUNCTION("""COMPUTED_VALUE"""),"3 - ALMOX. ESTOQUE")</f>
        <v>3 - ALMOX. ESTOQUE</v>
      </c>
      <c r="F56" s="88" t="str">
        <f>IFERROR(__xludf.DUMMYFUNCTION("""COMPUTED_VALUE"""),"ALMOX. SAO (SEDE)")</f>
        <v>ALMOX. SAO (SEDE)</v>
      </c>
      <c r="G56" s="89">
        <f>IFERROR(__xludf.DUMMYFUNCTION("""COMPUTED_VALUE"""),7.678902E7)</f>
        <v>76789020</v>
      </c>
      <c r="H56" s="87"/>
      <c r="I56" s="87"/>
    </row>
    <row r="57">
      <c r="A57" s="84">
        <f>IFERROR(__xludf.DUMMYFUNCTION("""COMPUTED_VALUE"""),56.0)</f>
        <v>56</v>
      </c>
      <c r="B57" s="85" t="str">
        <f>IFERROR(__xludf.DUMMYFUNCTION("""COMPUTED_VALUE"""),"BOMBA COSTAL PARA COMBATE A INCENDIO -")</f>
        <v>BOMBA COSTAL PARA COMBATE A INCENDIO -</v>
      </c>
      <c r="C57" s="86">
        <f>IFERROR(__xludf.DUMMYFUNCTION("""COMPUTED_VALUE"""),1.0)</f>
        <v>1</v>
      </c>
      <c r="D57" s="87" t="str">
        <f>IFERROR(__xludf.DUMMYFUNCTION("""COMPUTED_VALUE"""),"SEÇÃO")</f>
        <v>SEÇÃO</v>
      </c>
      <c r="E57" s="87" t="str">
        <f>IFERROR(__xludf.DUMMYFUNCTION("""COMPUTED_VALUE"""),"3 - ALMOX. ESTOQUE")</f>
        <v>3 - ALMOX. ESTOQUE</v>
      </c>
      <c r="F57" s="88" t="str">
        <f>IFERROR(__xludf.DUMMYFUNCTION("""COMPUTED_VALUE"""),"ALMOX. SAO (SEDE)")</f>
        <v>ALMOX. SAO (SEDE)</v>
      </c>
      <c r="G57" s="89">
        <f>IFERROR(__xludf.DUMMYFUNCTION("""COMPUTED_VALUE"""),7.6789039E7)</f>
        <v>76789039</v>
      </c>
      <c r="H57" s="87"/>
      <c r="I57" s="87"/>
    </row>
    <row r="58">
      <c r="A58" s="84">
        <f>IFERROR(__xludf.DUMMYFUNCTION("""COMPUTED_VALUE"""),57.0)</f>
        <v>57</v>
      </c>
      <c r="B58" s="85" t="str">
        <f>IFERROR(__xludf.DUMMYFUNCTION("""COMPUTED_VALUE"""),"CAPACETE PARA COMBATE INCENDIO -")</f>
        <v>CAPACETE PARA COMBATE INCENDIO -</v>
      </c>
      <c r="C58" s="86">
        <f>IFERROR(__xludf.DUMMYFUNCTION("""COMPUTED_VALUE"""),1.0)</f>
        <v>1</v>
      </c>
      <c r="D58" s="87" t="str">
        <f>IFERROR(__xludf.DUMMYFUNCTION("""COMPUTED_VALUE"""),"MILITAR")</f>
        <v>MILITAR</v>
      </c>
      <c r="E58" s="87" t="str">
        <f>IFERROR(__xludf.DUMMYFUNCTION("""COMPUTED_VALUE"""),"2 - SD LUIS PAULO")</f>
        <v>2 - SD LUIS PAULO</v>
      </c>
      <c r="F58" s="88"/>
      <c r="G58" s="89">
        <f>IFERROR(__xludf.DUMMYFUNCTION("""COMPUTED_VALUE"""),7.680584E7)</f>
        <v>76805840</v>
      </c>
      <c r="H58" s="87"/>
      <c r="I58" s="87" t="str">
        <f>IFERROR(__xludf.DUMMYFUNCTION("""COMPUTED_VALUE"""),"capacete amarelo. patr. tranferido para o 3º BBM ")</f>
        <v>capacete amarelo. patr. tranferido para o 3º BBM </v>
      </c>
    </row>
    <row r="59">
      <c r="A59" s="84">
        <f>IFERROR(__xludf.DUMMYFUNCTION("""COMPUTED_VALUE"""),58.0)</f>
        <v>58</v>
      </c>
      <c r="B59" s="85" t="str">
        <f>IFERROR(__xludf.DUMMYFUNCTION("""COMPUTED_VALUE"""),"COMPUTADOR -")</f>
        <v>COMPUTADOR -</v>
      </c>
      <c r="C59" s="86">
        <f>IFERROR(__xludf.DUMMYFUNCTION("""COMPUTED_VALUE"""),1.0)</f>
        <v>1</v>
      </c>
      <c r="D59" s="87" t="str">
        <f>IFERROR(__xludf.DUMMYFUNCTION("""COMPUTED_VALUE"""),"SEÇÃO")</f>
        <v>SEÇÃO</v>
      </c>
      <c r="E59" s="87" t="str">
        <f>IFERROR(__xludf.DUMMYFUNCTION("""COMPUTED_VALUE"""),"3 - DESCARGA")</f>
        <v>3 - DESCARGA</v>
      </c>
      <c r="F59" s="88"/>
      <c r="G59" s="89">
        <f>IFERROR(__xludf.DUMMYFUNCTION("""COMPUTED_VALUE"""),1.3922092E7)</f>
        <v>13922092</v>
      </c>
      <c r="H59" s="87"/>
      <c r="I59" s="87" t="str">
        <f>IFERROR(__xludf.DUMMYFUNCTION("""COMPUTED_VALUE"""),"MATERIAL DESCARREGADO - PROCESSO Nº 1400.01.0026473/2023-03")</f>
        <v>MATERIAL DESCARREGADO - PROCESSO Nº 1400.01.0026473/2023-03</v>
      </c>
    </row>
    <row r="60">
      <c r="A60" s="84">
        <f>IFERROR(__xludf.DUMMYFUNCTION("""COMPUTED_VALUE"""),59.0)</f>
        <v>59</v>
      </c>
      <c r="B60" s="85" t="str">
        <f>IFERROR(__xludf.DUMMYFUNCTION("""COMPUTED_VALUE"""),"IMPRESSORA -")</f>
        <v>IMPRESSORA -</v>
      </c>
      <c r="C60" s="86">
        <f>IFERROR(__xludf.DUMMYFUNCTION("""COMPUTED_VALUE"""),1.0)</f>
        <v>1</v>
      </c>
      <c r="D60" s="87" t="str">
        <f>IFERROR(__xludf.DUMMYFUNCTION("""COMPUTED_VALUE"""),"SEÇÃO")</f>
        <v>SEÇÃO</v>
      </c>
      <c r="E60" s="87" t="str">
        <f>IFERROR(__xludf.DUMMYFUNCTION("""COMPUTED_VALUE"""),"3 - DESCARGA")</f>
        <v>3 - DESCARGA</v>
      </c>
      <c r="F60" s="88"/>
      <c r="G60" s="89">
        <f>IFERROR(__xludf.DUMMYFUNCTION("""COMPUTED_VALUE"""),1.397453E7)</f>
        <v>13974530</v>
      </c>
      <c r="H60" s="87"/>
      <c r="I60" s="87" t="str">
        <f>IFERROR(__xludf.DUMMYFUNCTION("""COMPUTED_VALUE"""),"MATERIAL DESCARREGADO - PROCESSO Nº 1400.01.0026473/2023-03")</f>
        <v>MATERIAL DESCARREGADO - PROCESSO Nº 1400.01.0026473/2023-03</v>
      </c>
    </row>
    <row r="61">
      <c r="A61" s="84">
        <f>IFERROR(__xludf.DUMMYFUNCTION("""COMPUTED_VALUE"""),60.0)</f>
        <v>60</v>
      </c>
      <c r="B61" s="85" t="str">
        <f>IFERROR(__xludf.DUMMYFUNCTION("""COMPUTED_VALUE"""),"COMPUTADOR -")</f>
        <v>COMPUTADOR -</v>
      </c>
      <c r="C61" s="86">
        <f>IFERROR(__xludf.DUMMYFUNCTION("""COMPUTED_VALUE"""),1.0)</f>
        <v>1</v>
      </c>
      <c r="D61" s="87" t="str">
        <f>IFERROR(__xludf.DUMMYFUNCTION("""COMPUTED_VALUE"""),"SEÇÃO")</f>
        <v>SEÇÃO</v>
      </c>
      <c r="E61" s="87" t="str">
        <f>IFERROR(__xludf.DUMMYFUNCTION("""COMPUTED_VALUE"""),"3 - DESCARGA")</f>
        <v>3 - DESCARGA</v>
      </c>
      <c r="F61" s="88"/>
      <c r="G61" s="89">
        <f>IFERROR(__xludf.DUMMYFUNCTION("""COMPUTED_VALUE"""),4.009071E7)</f>
        <v>40090710</v>
      </c>
      <c r="H61" s="87"/>
      <c r="I61" s="87" t="str">
        <f>IFERROR(__xludf.DUMMYFUNCTION("""COMPUTED_VALUE"""),"MATERIAL DESCARREGADO - PROCESSO Nº 1400.01.0026473/2023-03")</f>
        <v>MATERIAL DESCARREGADO - PROCESSO Nº 1400.01.0026473/2023-03</v>
      </c>
    </row>
    <row r="62">
      <c r="A62" s="84">
        <f>IFERROR(__xludf.DUMMYFUNCTION("""COMPUTED_VALUE"""),61.0)</f>
        <v>61</v>
      </c>
      <c r="B62" s="85" t="str">
        <f>IFERROR(__xludf.DUMMYFUNCTION("""COMPUTED_VALUE"""),"SOFA PARA ESCRITORIO -")</f>
        <v>SOFA PARA ESCRITORIO -</v>
      </c>
      <c r="C62" s="86">
        <f>IFERROR(__xludf.DUMMYFUNCTION("""COMPUTED_VALUE"""),1.0)</f>
        <v>1</v>
      </c>
      <c r="D62" s="87" t="str">
        <f>IFERROR(__xludf.DUMMYFUNCTION("""COMPUTED_VALUE"""),"SEÇÃO")</f>
        <v>SEÇÃO</v>
      </c>
      <c r="E62" s="87" t="str">
        <f>IFERROR(__xludf.DUMMYFUNCTION("""COMPUTED_VALUE"""),"3 - SUPRIMENTOS")</f>
        <v>3 - SUPRIMENTOS</v>
      </c>
      <c r="F62" s="88"/>
      <c r="G62" s="89">
        <f>IFERROR(__xludf.DUMMYFUNCTION("""COMPUTED_VALUE"""),4.0142019E7)</f>
        <v>40142019</v>
      </c>
      <c r="H62" s="87"/>
      <c r="I62" s="87"/>
    </row>
    <row r="63">
      <c r="A63" s="84">
        <f>IFERROR(__xludf.DUMMYFUNCTION("""COMPUTED_VALUE"""),62.0)</f>
        <v>62</v>
      </c>
      <c r="B63" s="85" t="str">
        <f>IFERROR(__xludf.DUMMYFUNCTION("""COMPUTED_VALUE"""),"CAPACETE PARA COMBATE INCENDIO -")</f>
        <v>CAPACETE PARA COMBATE INCENDIO -</v>
      </c>
      <c r="C63" s="86">
        <f>IFERROR(__xludf.DUMMYFUNCTION("""COMPUTED_VALUE"""),1.0)</f>
        <v>1</v>
      </c>
      <c r="D63" s="87" t="str">
        <f>IFERROR(__xludf.DUMMYFUNCTION("""COMPUTED_VALUE"""),"MILITAR")</f>
        <v>MILITAR</v>
      </c>
      <c r="E63" s="87" t="str">
        <f>IFERROR(__xludf.DUMMYFUNCTION("""COMPUTED_VALUE"""),"2 - MAJ ULISSES SILVA DE OLIVEIRA")</f>
        <v>2 - MAJ ULISSES SILVA DE OLIVEIRA</v>
      </c>
      <c r="F63" s="88"/>
      <c r="G63" s="89">
        <f>IFERROR(__xludf.DUMMYFUNCTION("""COMPUTED_VALUE"""),4.0160971E7)</f>
        <v>40160971</v>
      </c>
      <c r="H63" s="87"/>
      <c r="I63" s="87" t="str">
        <f>IFERROR(__xludf.DUMMYFUNCTION("""COMPUTED_VALUE"""),"TRANSFERIR PARA BT VARGINHA")</f>
        <v>TRANSFERIR PARA BT VARGINHA</v>
      </c>
    </row>
    <row r="64">
      <c r="A64" s="84">
        <f>IFERROR(__xludf.DUMMYFUNCTION("""COMPUTED_VALUE"""),63.0)</f>
        <v>63</v>
      </c>
      <c r="B64" s="85" t="str">
        <f>IFERROR(__xludf.DUMMYFUNCTION("""COMPUTED_VALUE"""),"CAPACETE PARA COMBATE INCENDIO -")</f>
        <v>CAPACETE PARA COMBATE INCENDIO -</v>
      </c>
      <c r="C64" s="86">
        <f>IFERROR(__xludf.DUMMYFUNCTION("""COMPUTED_VALUE"""),1.0)</f>
        <v>1</v>
      </c>
      <c r="D64" s="87" t="str">
        <f>IFERROR(__xludf.DUMMYFUNCTION("""COMPUTED_VALUE"""),"MILITAR")</f>
        <v>MILITAR</v>
      </c>
      <c r="E64" s="87" t="str">
        <f>IFERROR(__xludf.DUMMYFUNCTION("""COMPUTED_VALUE"""),"2 - CAP RAFAEL DE FIGUEIREDO BARBOSA")</f>
        <v>2 - CAP RAFAEL DE FIGUEIREDO BARBOSA</v>
      </c>
      <c r="F64" s="88"/>
      <c r="G64" s="89">
        <f>IFERROR(__xludf.DUMMYFUNCTION("""COMPUTED_VALUE"""),4.0168654E7)</f>
        <v>40168654</v>
      </c>
      <c r="H64" s="87"/>
      <c r="I64" s="87" t="str">
        <f>IFERROR(__xludf.DUMMYFUNCTION("""COMPUTED_VALUE"""),"capacete SICOR, ")</f>
        <v>capacete SICOR, </v>
      </c>
    </row>
    <row r="65">
      <c r="A65" s="84">
        <f>IFERROR(__xludf.DUMMYFUNCTION("""COMPUTED_VALUE"""),64.0)</f>
        <v>64</v>
      </c>
      <c r="B65" s="85" t="str">
        <f>IFERROR(__xludf.DUMMYFUNCTION("""COMPUTED_VALUE"""),"CAPACETE PARA COMBATE INCENDIO -")</f>
        <v>CAPACETE PARA COMBATE INCENDIO -</v>
      </c>
      <c r="C65" s="86">
        <f>IFERROR(__xludf.DUMMYFUNCTION("""COMPUTED_VALUE"""),1.0)</f>
        <v>1</v>
      </c>
      <c r="D65" s="87" t="str">
        <f>IFERROR(__xludf.DUMMYFUNCTION("""COMPUTED_VALUE"""),"MILITAR")</f>
        <v>MILITAR</v>
      </c>
      <c r="E65" s="87" t="str">
        <f>IFERROR(__xludf.DUMMYFUNCTION("""COMPUTED_VALUE"""),"2 - 1º SGT LUCIANO CARLOS BATISTA")</f>
        <v>2 - 1º SGT LUCIANO CARLOS BATISTA</v>
      </c>
      <c r="F65" s="88"/>
      <c r="G65" s="89">
        <f>IFERROR(__xludf.DUMMYFUNCTION("""COMPUTED_VALUE"""),4.01687E7)</f>
        <v>40168700</v>
      </c>
      <c r="H65" s="87"/>
      <c r="I65" s="87" t="str">
        <f>IFERROR(__xludf.DUMMYFUNCTION("""COMPUTED_VALUE"""),"capacete SICOR, vermelho, Sgt Batista")</f>
        <v>capacete SICOR, vermelho, Sgt Batista</v>
      </c>
    </row>
    <row r="66">
      <c r="A66" s="84">
        <f>IFERROR(__xludf.DUMMYFUNCTION("""COMPUTED_VALUE"""),65.0)</f>
        <v>65</v>
      </c>
      <c r="B66" s="85" t="str">
        <f>IFERROR(__xludf.DUMMYFUNCTION("""COMPUTED_VALUE"""),"CAPACETE PARA COMBATE INCENDIO -")</f>
        <v>CAPACETE PARA COMBATE INCENDIO -</v>
      </c>
      <c r="C66" s="86">
        <f>IFERROR(__xludf.DUMMYFUNCTION("""COMPUTED_VALUE"""),1.0)</f>
        <v>1</v>
      </c>
      <c r="D66" s="87" t="str">
        <f>IFERROR(__xludf.DUMMYFUNCTION("""COMPUTED_VALUE"""),"SEÇÃO")</f>
        <v>SEÇÃO</v>
      </c>
      <c r="E66" s="87" t="str">
        <f>IFERROR(__xludf.DUMMYFUNCTION("""COMPUTED_VALUE"""),"3 - ALMOX. ESTOQUE")</f>
        <v>3 - ALMOX. ESTOQUE</v>
      </c>
      <c r="F66" s="88" t="str">
        <f>IFERROR(__xludf.DUMMYFUNCTION("""COMPUTED_VALUE"""),"SAO")</f>
        <v>SAO</v>
      </c>
      <c r="G66" s="89">
        <f>IFERROR(__xludf.DUMMYFUNCTION("""COMPUTED_VALUE"""),4.017405E7)</f>
        <v>40174050</v>
      </c>
      <c r="H66" s="87"/>
      <c r="I66" s="87" t="str">
        <f>IFERROR(__xludf.DUMMYFUNCTION("""COMPUTED_VALUE"""),"capacete SICOR, AMARELO")</f>
        <v>capacete SICOR, AMARELO</v>
      </c>
    </row>
    <row r="67">
      <c r="A67" s="84">
        <f>IFERROR(__xludf.DUMMYFUNCTION("""COMPUTED_VALUE"""),66.0)</f>
        <v>66</v>
      </c>
      <c r="B67" s="85" t="str">
        <f>IFERROR(__xludf.DUMMYFUNCTION("""COMPUTED_VALUE"""),"CAPACETE PARA COMBATE INCENDIO -")</f>
        <v>CAPACETE PARA COMBATE INCENDIO -</v>
      </c>
      <c r="C67" s="86">
        <f>IFERROR(__xludf.DUMMYFUNCTION("""COMPUTED_VALUE"""),1.0)</f>
        <v>1</v>
      </c>
      <c r="D67" s="87" t="str">
        <f>IFERROR(__xludf.DUMMYFUNCTION("""COMPUTED_VALUE"""),"MILITAR")</f>
        <v>MILITAR</v>
      </c>
      <c r="E67" s="87" t="str">
        <f>IFERROR(__xludf.DUMMYFUNCTION("""COMPUTED_VALUE"""),"2 - 2º TEN CARLOS EDUARDO COSTA DIAS")</f>
        <v>2 - 2º TEN CARLOS EDUARDO COSTA DIAS</v>
      </c>
      <c r="F67" s="88"/>
      <c r="G67" s="89">
        <f>IFERROR(__xludf.DUMMYFUNCTION("""COMPUTED_VALUE"""),4.017422E7)</f>
        <v>40174220</v>
      </c>
      <c r="H67" s="87"/>
      <c r="I67" s="87" t="str">
        <f>IFERROR(__xludf.DUMMYFUNCTION("""COMPUTED_VALUE"""),"capacete SICOR, BRANCO MSA")</f>
        <v>capacete SICOR, BRANCO MSA</v>
      </c>
    </row>
    <row r="68">
      <c r="A68" s="84">
        <f>IFERROR(__xludf.DUMMYFUNCTION("""COMPUTED_VALUE"""),67.0)</f>
        <v>67</v>
      </c>
      <c r="B68" s="85" t="str">
        <f>IFERROR(__xludf.DUMMYFUNCTION("""COMPUTED_VALUE"""),"CAPACETE PARA COMBATE INCENDIO -")</f>
        <v>CAPACETE PARA COMBATE INCENDIO -</v>
      </c>
      <c r="C68" s="86">
        <f>IFERROR(__xludf.DUMMYFUNCTION("""COMPUTED_VALUE"""),1.0)</f>
        <v>1</v>
      </c>
      <c r="D68" s="87" t="str">
        <f>IFERROR(__xludf.DUMMYFUNCTION("""COMPUTED_VALUE"""),"MILITAR")</f>
        <v>MILITAR</v>
      </c>
      <c r="E68" s="87" t="str">
        <f>IFERROR(__xludf.DUMMYFUNCTION("""COMPUTED_VALUE"""),"2 - SUBTEN WALISTON ALEX DOURADO SIQUEIRA")</f>
        <v>2 - SUBTEN WALISTON ALEX DOURADO SIQUEIRA</v>
      </c>
      <c r="F68" s="88"/>
      <c r="G68" s="89">
        <f>IFERROR(__xludf.DUMMYFUNCTION("""COMPUTED_VALUE"""),4.017428E7)</f>
        <v>40174280</v>
      </c>
      <c r="H68" s="87"/>
      <c r="I68" s="87" t="str">
        <f>IFERROR(__xludf.DUMMYFUNCTION("""COMPUTED_VALUE"""),"capacete SICOR, vermelho, Sub ten Alex Dourado")</f>
        <v>capacete SICOR, vermelho, Sub ten Alex Dourado</v>
      </c>
    </row>
    <row r="69">
      <c r="A69" s="84">
        <f>IFERROR(__xludf.DUMMYFUNCTION("""COMPUTED_VALUE"""),68.0)</f>
        <v>68</v>
      </c>
      <c r="B69" s="85" t="str">
        <f>IFERROR(__xludf.DUMMYFUNCTION("""COMPUTED_VALUE"""),"CAPACETE PARA COMBATE INCENDIO -")</f>
        <v>CAPACETE PARA COMBATE INCENDIO -</v>
      </c>
      <c r="C69" s="86">
        <f>IFERROR(__xludf.DUMMYFUNCTION("""COMPUTED_VALUE"""),1.0)</f>
        <v>1</v>
      </c>
      <c r="D69" s="87" t="str">
        <f>IFERROR(__xludf.DUMMYFUNCTION("""COMPUTED_VALUE"""),"SEÇÃO")</f>
        <v>SEÇÃO</v>
      </c>
      <c r="E69" s="87" t="str">
        <f>IFERROR(__xludf.DUMMYFUNCTION("""COMPUTED_VALUE"""),"3 - ALMOX. ESTOQUE")</f>
        <v>3 - ALMOX. ESTOQUE</v>
      </c>
      <c r="F69" s="88" t="str">
        <f>IFERROR(__xludf.DUMMYFUNCTION("""COMPUTED_VALUE"""),"SAO")</f>
        <v>SAO</v>
      </c>
      <c r="G69" s="89">
        <f>IFERROR(__xludf.DUMMYFUNCTION("""COMPUTED_VALUE"""),4.0174581E7)</f>
        <v>40174581</v>
      </c>
      <c r="H69" s="87"/>
      <c r="I69" s="87" t="str">
        <f>IFERROR(__xludf.DUMMYFUNCTION("""COMPUTED_VALUE"""),"capacete SICOR, vermelho ")</f>
        <v>capacete SICOR, vermelho </v>
      </c>
    </row>
    <row r="70">
      <c r="A70" s="84">
        <f>IFERROR(__xludf.DUMMYFUNCTION("""COMPUTED_VALUE"""),69.0)</f>
        <v>69</v>
      </c>
      <c r="B70" s="85" t="str">
        <f>IFERROR(__xludf.DUMMYFUNCTION("""COMPUTED_VALUE"""),"CAPACETE PARA COMBATE INCENDIO -")</f>
        <v>CAPACETE PARA COMBATE INCENDIO -</v>
      </c>
      <c r="C70" s="86">
        <f>IFERROR(__xludf.DUMMYFUNCTION("""COMPUTED_VALUE"""),1.0)</f>
        <v>1</v>
      </c>
      <c r="D70" s="87" t="str">
        <f>IFERROR(__xludf.DUMMYFUNCTION("""COMPUTED_VALUE"""),"SEÇÃO")</f>
        <v>SEÇÃO</v>
      </c>
      <c r="E70" s="87" t="str">
        <f>IFERROR(__xludf.DUMMYFUNCTION("""COMPUTED_VALUE"""),"3 - ALMOX. ESTOQUE")</f>
        <v>3 - ALMOX. ESTOQUE</v>
      </c>
      <c r="F70" s="88" t="str">
        <f>IFERROR(__xludf.DUMMYFUNCTION("""COMPUTED_VALUE"""),"SAO")</f>
        <v>SAO</v>
      </c>
      <c r="G70" s="89">
        <f>IFERROR(__xludf.DUMMYFUNCTION("""COMPUTED_VALUE"""),4.017459E7)</f>
        <v>40174590</v>
      </c>
      <c r="H70" s="87"/>
      <c r="I70" s="87" t="str">
        <f>IFERROR(__xludf.DUMMYFUNCTION("""COMPUTED_VALUE"""),"capacete SICOR, Amarelo, Cb Eder")</f>
        <v>capacete SICOR, Amarelo, Cb Eder</v>
      </c>
    </row>
    <row r="71">
      <c r="A71" s="84">
        <f>IFERROR(__xludf.DUMMYFUNCTION("""COMPUTED_VALUE"""),70.0)</f>
        <v>70</v>
      </c>
      <c r="B71" s="85" t="str">
        <f>IFERROR(__xludf.DUMMYFUNCTION("""COMPUTED_VALUE"""),"CAPACETE PARA COMBATE INCENDIO -")</f>
        <v>CAPACETE PARA COMBATE INCENDIO -</v>
      </c>
      <c r="C71" s="86">
        <f>IFERROR(__xludf.DUMMYFUNCTION("""COMPUTED_VALUE"""),1.0)</f>
        <v>1</v>
      </c>
      <c r="D71" s="87" t="str">
        <f>IFERROR(__xludf.DUMMYFUNCTION("""COMPUTED_VALUE"""),"MILITAR")</f>
        <v>MILITAR</v>
      </c>
      <c r="E71" s="87" t="str">
        <f>IFERROR(__xludf.DUMMYFUNCTION("""COMPUTED_VALUE"""),"2 - 2º SGT DEMÉTRIO DE CARVALHO SILVA")</f>
        <v>2 - 2º SGT DEMÉTRIO DE CARVALHO SILVA</v>
      </c>
      <c r="F71" s="88"/>
      <c r="G71" s="89">
        <f>IFERROR(__xludf.DUMMYFUNCTION("""COMPUTED_VALUE"""),4.017476E7)</f>
        <v>40174760</v>
      </c>
      <c r="H71" s="87"/>
      <c r="I71" s="87" t="str">
        <f>IFERROR(__xludf.DUMMYFUNCTION("""COMPUTED_VALUE"""),"capacete SICOR, vermelho")</f>
        <v>capacete SICOR, vermelho</v>
      </c>
    </row>
    <row r="72">
      <c r="A72" s="84">
        <f>IFERROR(__xludf.DUMMYFUNCTION("""COMPUTED_VALUE"""),71.0)</f>
        <v>71</v>
      </c>
      <c r="B72" s="85" t="str">
        <f>IFERROR(__xludf.DUMMYFUNCTION("""COMPUTED_VALUE"""),"CAPACETE PARA COMBATE INCENDIO -")</f>
        <v>CAPACETE PARA COMBATE INCENDIO -</v>
      </c>
      <c r="C72" s="86">
        <f>IFERROR(__xludf.DUMMYFUNCTION("""COMPUTED_VALUE"""),1.0)</f>
        <v>1</v>
      </c>
      <c r="D72" s="87" t="str">
        <f>IFERROR(__xludf.DUMMYFUNCTION("""COMPUTED_VALUE"""),"MILITAR")</f>
        <v>MILITAR</v>
      </c>
      <c r="E72" s="87" t="str">
        <f>IFERROR(__xludf.DUMMYFUNCTION("""COMPUTED_VALUE"""),"2 - CAP JEFFERSON GERALDO DE MIRANDA")</f>
        <v>2 - CAP JEFFERSON GERALDO DE MIRANDA</v>
      </c>
      <c r="F72" s="88"/>
      <c r="G72" s="89">
        <f>IFERROR(__xludf.DUMMYFUNCTION("""COMPUTED_VALUE"""),4.01761E7)</f>
        <v>40176100</v>
      </c>
      <c r="H72" s="87"/>
      <c r="I72" s="87" t="str">
        <f>IFERROR(__xludf.DUMMYFUNCTION("""COMPUTED_VALUE"""),"capacete SICOR")</f>
        <v>capacete SICOR</v>
      </c>
    </row>
    <row r="73">
      <c r="A73" s="84">
        <f>IFERROR(__xludf.DUMMYFUNCTION("""COMPUTED_VALUE"""),72.0)</f>
        <v>72</v>
      </c>
      <c r="B73" s="85" t="str">
        <f>IFERROR(__xludf.DUMMYFUNCTION("""COMPUTED_VALUE"""),"CAPACETE PARA COMBATE INCENDIO -")</f>
        <v>CAPACETE PARA COMBATE INCENDIO -</v>
      </c>
      <c r="C73" s="86">
        <f>IFERROR(__xludf.DUMMYFUNCTION("""COMPUTED_VALUE"""),1.0)</f>
        <v>1</v>
      </c>
      <c r="D73" s="87" t="str">
        <f>IFERROR(__xludf.DUMMYFUNCTION("""COMPUTED_VALUE"""),"MILITAR")</f>
        <v>MILITAR</v>
      </c>
      <c r="E73" s="87" t="str">
        <f>IFERROR(__xludf.DUMMYFUNCTION("""COMPUTED_VALUE"""),"2 - 2º TEN MARCO PAULO LAGES")</f>
        <v>2 - 2º TEN MARCO PAULO LAGES</v>
      </c>
      <c r="F73" s="88"/>
      <c r="G73" s="89">
        <f>IFERROR(__xludf.DUMMYFUNCTION("""COMPUTED_VALUE"""),4.0176118E7)</f>
        <v>40176118</v>
      </c>
      <c r="H73" s="87" t="str">
        <f>IFERROR(__xludf.DUMMYFUNCTION("""COMPUTED_VALUE"""),"SEI nº 101078254")</f>
        <v>SEI nº 101078254</v>
      </c>
      <c r="I73" s="87" t="str">
        <f>IFERROR(__xludf.DUMMYFUNCTION("""COMPUTED_VALUE"""),"capacete SICOR, BRANCO")</f>
        <v>capacete SICOR, BRANCO</v>
      </c>
    </row>
    <row r="74">
      <c r="A74" s="84">
        <f>IFERROR(__xludf.DUMMYFUNCTION("""COMPUTED_VALUE"""),73.0)</f>
        <v>73</v>
      </c>
      <c r="B74" s="85" t="str">
        <f>IFERROR(__xludf.DUMMYFUNCTION("""COMPUTED_VALUE"""),"CAPACETE PARA COMBATE INCENDIO -")</f>
        <v>CAPACETE PARA COMBATE INCENDIO -</v>
      </c>
      <c r="C74" s="86">
        <f>IFERROR(__xludf.DUMMYFUNCTION("""COMPUTED_VALUE"""),1.0)</f>
        <v>1</v>
      </c>
      <c r="D74" s="87" t="str">
        <f>IFERROR(__xludf.DUMMYFUNCTION("""COMPUTED_VALUE"""),"MILITAR")</f>
        <v>MILITAR</v>
      </c>
      <c r="E74" s="87" t="str">
        <f>IFERROR(__xludf.DUMMYFUNCTION("""COMPUTED_VALUE"""),"2 - 3º SGT SABRINE LARISSA PRATES CARMO")</f>
        <v>2 - 3º SGT SABRINE LARISSA PRATES CARMO</v>
      </c>
      <c r="F74" s="88"/>
      <c r="G74" s="89">
        <f>IFERROR(__xludf.DUMMYFUNCTION("""COMPUTED_VALUE"""),4.017629E7)</f>
        <v>40176290</v>
      </c>
      <c r="H74" s="87" t="str">
        <f>IFERROR(__xludf.DUMMYFUNCTION("""COMPUTED_VALUE"""),"SEI nº 129284852")</f>
        <v>SEI nº 129284852</v>
      </c>
      <c r="I74" s="87" t="str">
        <f>IFERROR(__xludf.DUMMYFUNCTION("""COMPUTED_VALUE"""),"capacete GALLET Vermelho")</f>
        <v>capacete GALLET Vermelho</v>
      </c>
    </row>
    <row r="75">
      <c r="A75" s="84">
        <f>IFERROR(__xludf.DUMMYFUNCTION("""COMPUTED_VALUE"""),74.0)</f>
        <v>74</v>
      </c>
      <c r="B75" s="85" t="str">
        <f>IFERROR(__xludf.DUMMYFUNCTION("""COMPUTED_VALUE"""),"CAPACETE PARA COMBATE INCENDIO -")</f>
        <v>CAPACETE PARA COMBATE INCENDIO -</v>
      </c>
      <c r="C75" s="86">
        <f>IFERROR(__xludf.DUMMYFUNCTION("""COMPUTED_VALUE"""),1.0)</f>
        <v>1</v>
      </c>
      <c r="D75" s="87" t="str">
        <f>IFERROR(__xludf.DUMMYFUNCTION("""COMPUTED_VALUE"""),"MILITAR")</f>
        <v>MILITAR</v>
      </c>
      <c r="E75" s="87" t="str">
        <f>IFERROR(__xludf.DUMMYFUNCTION("""COMPUTED_VALUE"""),"2 - 2º SGT ADENILSON LUIZ MENDES")</f>
        <v>2 - 2º SGT ADENILSON LUIZ MENDES</v>
      </c>
      <c r="F75" s="88"/>
      <c r="G75" s="89">
        <f>IFERROR(__xludf.DUMMYFUNCTION("""COMPUTED_VALUE"""),4.017655E7)</f>
        <v>40176550</v>
      </c>
      <c r="H75" s="87"/>
      <c r="I75" s="87" t="str">
        <f>IFERROR(__xludf.DUMMYFUNCTION("""COMPUTED_VALUE"""),"capacete SICOR, VERMELHO, Condição Ruim")</f>
        <v>capacete SICOR, VERMELHO, Condição Ruim</v>
      </c>
    </row>
    <row r="76">
      <c r="A76" s="84">
        <f>IFERROR(__xludf.DUMMYFUNCTION("""COMPUTED_VALUE"""),75.0)</f>
        <v>75</v>
      </c>
      <c r="B76" s="85" t="str">
        <f>IFERROR(__xludf.DUMMYFUNCTION("""COMPUTED_VALUE"""),"CAPACETE PARA COMBATE INCENDIO -")</f>
        <v>CAPACETE PARA COMBATE INCENDIO -</v>
      </c>
      <c r="C76" s="86">
        <f>IFERROR(__xludf.DUMMYFUNCTION("""COMPUTED_VALUE"""),1.0)</f>
        <v>1</v>
      </c>
      <c r="D76" s="87" t="str">
        <f>IFERROR(__xludf.DUMMYFUNCTION("""COMPUTED_VALUE"""),"SEÇÃO")</f>
        <v>SEÇÃO</v>
      </c>
      <c r="E76" s="87" t="str">
        <f>IFERROR(__xludf.DUMMYFUNCTION("""COMPUTED_VALUE"""),"3 - ALMOX. ESTOQUE")</f>
        <v>3 - ALMOX. ESTOQUE</v>
      </c>
      <c r="F76" s="88" t="str">
        <f>IFERROR(__xludf.DUMMYFUNCTION("""COMPUTED_VALUE"""),"SAO")</f>
        <v>SAO</v>
      </c>
      <c r="G76" s="89">
        <f>IFERROR(__xludf.DUMMYFUNCTION("""COMPUTED_VALUE"""),4.017672E7)</f>
        <v>40176720</v>
      </c>
      <c r="H76" s="87"/>
      <c r="I76" s="87" t="str">
        <f>IFERROR(__xludf.DUMMYFUNCTION("""COMPUTED_VALUE"""),"capacete SICOR, AMARELO")</f>
        <v>capacete SICOR, AMARELO</v>
      </c>
    </row>
    <row r="77">
      <c r="A77" s="84">
        <f>IFERROR(__xludf.DUMMYFUNCTION("""COMPUTED_VALUE"""),76.0)</f>
        <v>76</v>
      </c>
      <c r="B77" s="85" t="str">
        <f>IFERROR(__xludf.DUMMYFUNCTION("""COMPUTED_VALUE"""),"CAPACETE PARA COMBATE INCENDIO -")</f>
        <v>CAPACETE PARA COMBATE INCENDIO -</v>
      </c>
      <c r="C77" s="86">
        <f>IFERROR(__xludf.DUMMYFUNCTION("""COMPUTED_VALUE"""),1.0)</f>
        <v>1</v>
      </c>
      <c r="D77" s="87" t="str">
        <f>IFERROR(__xludf.DUMMYFUNCTION("""COMPUTED_VALUE"""),"MILITAR")</f>
        <v>MILITAR</v>
      </c>
      <c r="E77" s="87" t="str">
        <f>IFERROR(__xludf.DUMMYFUNCTION("""COMPUTED_VALUE"""),"2 - 1º TEN OTACILIO COUTINHO JÚNIOR")</f>
        <v>2 - 1º TEN OTACILIO COUTINHO JÚNIOR</v>
      </c>
      <c r="F77" s="88"/>
      <c r="G77" s="89">
        <f>IFERROR(__xludf.DUMMYFUNCTION("""COMPUTED_VALUE"""),4.0176924E7)</f>
        <v>40176924</v>
      </c>
      <c r="H77" s="87"/>
      <c r="I77" s="87"/>
    </row>
    <row r="78">
      <c r="A78" s="84">
        <f>IFERROR(__xludf.DUMMYFUNCTION("""COMPUTED_VALUE"""),77.0)</f>
        <v>77</v>
      </c>
      <c r="B78" s="85" t="str">
        <f>IFERROR(__xludf.DUMMYFUNCTION("""COMPUTED_VALUE"""),"CAPACETE PARA COMBATE INCENDIO -")</f>
        <v>CAPACETE PARA COMBATE INCENDIO -</v>
      </c>
      <c r="C78" s="86">
        <f>IFERROR(__xludf.DUMMYFUNCTION("""COMPUTED_VALUE"""),1.0)</f>
        <v>1</v>
      </c>
      <c r="D78" s="87" t="str">
        <f>IFERROR(__xludf.DUMMYFUNCTION("""COMPUTED_VALUE"""),"SEÇÃO")</f>
        <v>SEÇÃO</v>
      </c>
      <c r="E78" s="87" t="str">
        <f>IFERROR(__xludf.DUMMYFUNCTION("""COMPUTED_VALUE"""),"3 - ALMOX. ESTOQUE")</f>
        <v>3 - ALMOX. ESTOQUE</v>
      </c>
      <c r="F78" s="88" t="str">
        <f>IFERROR(__xludf.DUMMYFUNCTION("""COMPUTED_VALUE"""),"SAO")</f>
        <v>SAO</v>
      </c>
      <c r="G78" s="89">
        <f>IFERROR(__xludf.DUMMYFUNCTION("""COMPUTED_VALUE"""),4.01773E7)</f>
        <v>40177300</v>
      </c>
      <c r="H78" s="87"/>
      <c r="I78" s="87" t="str">
        <f>IFERROR(__xludf.DUMMYFUNCTION("""COMPUTED_VALUE"""),"capacete SICOR, AMARELO")</f>
        <v>capacete SICOR, AMARELO</v>
      </c>
    </row>
    <row r="79">
      <c r="A79" s="84">
        <f>IFERROR(__xludf.DUMMYFUNCTION("""COMPUTED_VALUE"""),78.0)</f>
        <v>78</v>
      </c>
      <c r="B79" s="85" t="str">
        <f>IFERROR(__xludf.DUMMYFUNCTION("""COMPUTED_VALUE"""),"CAPACETE PARA COMBATE INCENDIO -")</f>
        <v>CAPACETE PARA COMBATE INCENDIO -</v>
      </c>
      <c r="C79" s="86">
        <f>IFERROR(__xludf.DUMMYFUNCTION("""COMPUTED_VALUE"""),1.0)</f>
        <v>1</v>
      </c>
      <c r="D79" s="87" t="str">
        <f>IFERROR(__xludf.DUMMYFUNCTION("""COMPUTED_VALUE"""),"MILITAR")</f>
        <v>MILITAR</v>
      </c>
      <c r="E79" s="87" t="str">
        <f>IFERROR(__xludf.DUMMYFUNCTION("""COMPUTED_VALUE"""),"2 - 2º SGT GABRIEL CAMILO SANTOS")</f>
        <v>2 - 2º SGT GABRIEL CAMILO SANTOS</v>
      </c>
      <c r="F79" s="88"/>
      <c r="G79" s="89">
        <f>IFERROR(__xludf.DUMMYFUNCTION("""COMPUTED_VALUE"""),4.0177718E7)</f>
        <v>40177718</v>
      </c>
      <c r="H79" s="87"/>
      <c r="I79" s="87" t="str">
        <f>IFERROR(__xludf.DUMMYFUNCTION("""COMPUTED_VALUE"""),"capacete SICOR, vermelho, CAPACETE TRANSFERIDO PARA A ABM")</f>
        <v>capacete SICOR, vermelho, CAPACETE TRANSFERIDO PARA A ABM</v>
      </c>
    </row>
    <row r="80">
      <c r="A80" s="84">
        <f>IFERROR(__xludf.DUMMYFUNCTION("""COMPUTED_VALUE"""),79.0)</f>
        <v>79</v>
      </c>
      <c r="B80" s="85" t="str">
        <f>IFERROR(__xludf.DUMMYFUNCTION("""COMPUTED_VALUE"""),"CAPACETE PARA COMBATE INCENDIO -")</f>
        <v>CAPACETE PARA COMBATE INCENDIO -</v>
      </c>
      <c r="C80" s="86">
        <f>IFERROR(__xludf.DUMMYFUNCTION("""COMPUTED_VALUE"""),1.0)</f>
        <v>1</v>
      </c>
      <c r="D80" s="87" t="str">
        <f>IFERROR(__xludf.DUMMYFUNCTION("""COMPUTED_VALUE"""),"SEÇÃO")</f>
        <v>SEÇÃO</v>
      </c>
      <c r="E80" s="87" t="str">
        <f>IFERROR(__xludf.DUMMYFUNCTION("""COMPUTED_VALUE"""),"3 - ALMOX. ESTOQUE")</f>
        <v>3 - ALMOX. ESTOQUE</v>
      </c>
      <c r="F80" s="88" t="str">
        <f>IFERROR(__xludf.DUMMYFUNCTION("""COMPUTED_VALUE"""),"SAO")</f>
        <v>SAO</v>
      </c>
      <c r="G80" s="89">
        <f>IFERROR(__xludf.DUMMYFUNCTION("""COMPUTED_VALUE"""),4.0177858E7)</f>
        <v>40177858</v>
      </c>
      <c r="H80" s="87"/>
      <c r="I80" s="87" t="str">
        <f>IFERROR(__xludf.DUMMYFUNCTION("""COMPUTED_VALUE"""),"capacete SICOR, AMARELO")</f>
        <v>capacete SICOR, AMARELO</v>
      </c>
    </row>
    <row r="81">
      <c r="A81" s="84">
        <f>IFERROR(__xludf.DUMMYFUNCTION("""COMPUTED_VALUE"""),80.0)</f>
        <v>80</v>
      </c>
      <c r="B81" s="85" t="str">
        <f>IFERROR(__xludf.DUMMYFUNCTION("""COMPUTED_VALUE"""),"CAPACETE PARA COMBATE INCENDIO -")</f>
        <v>CAPACETE PARA COMBATE INCENDIO -</v>
      </c>
      <c r="C81" s="86">
        <f>IFERROR(__xludf.DUMMYFUNCTION("""COMPUTED_VALUE"""),1.0)</f>
        <v>1</v>
      </c>
      <c r="D81" s="87" t="str">
        <f>IFERROR(__xludf.DUMMYFUNCTION("""COMPUTED_VALUE"""),"SEÇÃO")</f>
        <v>SEÇÃO</v>
      </c>
      <c r="E81" s="87" t="str">
        <f>IFERROR(__xludf.DUMMYFUNCTION("""COMPUTED_VALUE"""),"3 - ALMOX. ESTOQUE")</f>
        <v>3 - ALMOX. ESTOQUE</v>
      </c>
      <c r="F81" s="88" t="str">
        <f>IFERROR(__xludf.DUMMYFUNCTION("""COMPUTED_VALUE"""),"SAO")</f>
        <v>SAO</v>
      </c>
      <c r="G81" s="89">
        <f>IFERROR(__xludf.DUMMYFUNCTION("""COMPUTED_VALUE"""),4.017789E7)</f>
        <v>40177890</v>
      </c>
      <c r="H81" s="87"/>
      <c r="I81" s="87" t="str">
        <f>IFERROR(__xludf.DUMMYFUNCTION("""COMPUTED_VALUE"""),"capacete SICOR, vermelho")</f>
        <v>capacete SICOR, vermelho</v>
      </c>
    </row>
    <row r="82">
      <c r="A82" s="84">
        <f>IFERROR(__xludf.DUMMYFUNCTION("""COMPUTED_VALUE"""),81.0)</f>
        <v>81</v>
      </c>
      <c r="B82" s="85" t="str">
        <f>IFERROR(__xludf.DUMMYFUNCTION("""COMPUTED_VALUE"""),"CAPACETE PARA COMBATE INCENDIO -")</f>
        <v>CAPACETE PARA COMBATE INCENDIO -</v>
      </c>
      <c r="C82" s="86">
        <f>IFERROR(__xludf.DUMMYFUNCTION("""COMPUTED_VALUE"""),1.0)</f>
        <v>1</v>
      </c>
      <c r="D82" s="87" t="str">
        <f>IFERROR(__xludf.DUMMYFUNCTION("""COMPUTED_VALUE"""),"SEÇÃO")</f>
        <v>SEÇÃO</v>
      </c>
      <c r="E82" s="87" t="str">
        <f>IFERROR(__xludf.DUMMYFUNCTION("""COMPUTED_VALUE"""),"3 - ALMOX. ESTOQUE")</f>
        <v>3 - ALMOX. ESTOQUE</v>
      </c>
      <c r="F82" s="88" t="str">
        <f>IFERROR(__xludf.DUMMYFUNCTION("""COMPUTED_VALUE"""),"SAO")</f>
        <v>SAO</v>
      </c>
      <c r="G82" s="89">
        <f>IFERROR(__xludf.DUMMYFUNCTION("""COMPUTED_VALUE"""),4.0178153E7)</f>
        <v>40178153</v>
      </c>
      <c r="H82" s="87"/>
      <c r="I82" s="87" t="str">
        <f>IFERROR(__xludf.DUMMYFUNCTION("""COMPUTED_VALUE"""),"capacete SICOR, vermelho")</f>
        <v>capacete SICOR, vermelho</v>
      </c>
    </row>
    <row r="83">
      <c r="A83" s="84">
        <f>IFERROR(__xludf.DUMMYFUNCTION("""COMPUTED_VALUE"""),82.0)</f>
        <v>82</v>
      </c>
      <c r="B83" s="85" t="str">
        <f>IFERROR(__xludf.DUMMYFUNCTION("""COMPUTED_VALUE"""),"CAPACETE PARA COMBATE INCENDIO -")</f>
        <v>CAPACETE PARA COMBATE INCENDIO -</v>
      </c>
      <c r="C83" s="86">
        <f>IFERROR(__xludf.DUMMYFUNCTION("""COMPUTED_VALUE"""),1.0)</f>
        <v>1</v>
      </c>
      <c r="D83" s="87" t="str">
        <f>IFERROR(__xludf.DUMMYFUNCTION("""COMPUTED_VALUE"""),"MILITAR")</f>
        <v>MILITAR</v>
      </c>
      <c r="E83" s="87" t="str">
        <f>IFERROR(__xludf.DUMMYFUNCTION("""COMPUTED_VALUE"""),"2 - 2º SGT ANTÔNIO FREDERICO RIBEIRO")</f>
        <v>2 - 2º SGT ANTÔNIO FREDERICO RIBEIRO</v>
      </c>
      <c r="F83" s="88"/>
      <c r="G83" s="89">
        <f>IFERROR(__xludf.DUMMYFUNCTION("""COMPUTED_VALUE"""),4.017825E7)</f>
        <v>40178250</v>
      </c>
      <c r="H83" s="87"/>
      <c r="I83" s="87" t="str">
        <f>IFERROR(__xludf.DUMMYFUNCTION("""COMPUTED_VALUE"""),"capacete SICOR, Amarelo, Cb Ribeiro")</f>
        <v>capacete SICOR, Amarelo, Cb Ribeiro</v>
      </c>
    </row>
    <row r="84">
      <c r="A84" s="84">
        <f>IFERROR(__xludf.DUMMYFUNCTION("""COMPUTED_VALUE"""),83.0)</f>
        <v>83</v>
      </c>
      <c r="B84" s="85" t="str">
        <f>IFERROR(__xludf.DUMMYFUNCTION("""COMPUTED_VALUE"""),"CAPACETE PARA COMBATE INCENDIO -")</f>
        <v>CAPACETE PARA COMBATE INCENDIO -</v>
      </c>
      <c r="C84" s="86">
        <f>IFERROR(__xludf.DUMMYFUNCTION("""COMPUTED_VALUE"""),1.0)</f>
        <v>1</v>
      </c>
      <c r="D84" s="87" t="str">
        <f>IFERROR(__xludf.DUMMYFUNCTION("""COMPUTED_VALUE"""),"MILITAR")</f>
        <v>MILITAR</v>
      </c>
      <c r="E84" s="87" t="str">
        <f>IFERROR(__xludf.DUMMYFUNCTION("""COMPUTED_VALUE"""),"2 - 2º SGT ANDRÉ ALVES DOS SANTOS")</f>
        <v>2 - 2º SGT ANDRÉ ALVES DOS SANTOS</v>
      </c>
      <c r="F84" s="88"/>
      <c r="G84" s="89">
        <f>IFERROR(__xludf.DUMMYFUNCTION("""COMPUTED_VALUE"""),4.017848E7)</f>
        <v>40178480</v>
      </c>
      <c r="H84" s="87"/>
      <c r="I84" s="87" t="str">
        <f>IFERROR(__xludf.DUMMYFUNCTION("""COMPUTED_VALUE"""),"capacete SICOR")</f>
        <v>capacete SICOR</v>
      </c>
    </row>
    <row r="85">
      <c r="A85" s="84">
        <f>IFERROR(__xludf.DUMMYFUNCTION("""COMPUTED_VALUE"""),84.0)</f>
        <v>84</v>
      </c>
      <c r="B85" s="85" t="str">
        <f>IFERROR(__xludf.DUMMYFUNCTION("""COMPUTED_VALUE"""),"CAPACETE PARA COMBATE INCENDIO -")</f>
        <v>CAPACETE PARA COMBATE INCENDIO -</v>
      </c>
      <c r="C85" s="86">
        <f>IFERROR(__xludf.DUMMYFUNCTION("""COMPUTED_VALUE"""),1.0)</f>
        <v>1</v>
      </c>
      <c r="D85" s="87" t="str">
        <f>IFERROR(__xludf.DUMMYFUNCTION("""COMPUTED_VALUE"""),"MILITAR")</f>
        <v>MILITAR</v>
      </c>
      <c r="E85" s="87" t="str">
        <f>IFERROR(__xludf.DUMMYFUNCTION("""COMPUTED_VALUE"""),"2- SD PEDRO HENRIQUE PASSOS PEREIRA")</f>
        <v>2- SD PEDRO HENRIQUE PASSOS PEREIRA</v>
      </c>
      <c r="F85" s="88"/>
      <c r="G85" s="89">
        <f>IFERROR(__xludf.DUMMYFUNCTION("""COMPUTED_VALUE"""),4.017851E7)</f>
        <v>40178510</v>
      </c>
      <c r="H85" s="87"/>
      <c r="I85" s="87" t="str">
        <f>IFERROR(__xludf.DUMMYFUNCTION("""COMPUTED_VALUE"""),"capacete SICOR, AMARELO")</f>
        <v>capacete SICOR, AMARELO</v>
      </c>
    </row>
    <row r="86">
      <c r="A86" s="84">
        <f>IFERROR(__xludf.DUMMYFUNCTION("""COMPUTED_VALUE"""),85.0)</f>
        <v>85</v>
      </c>
      <c r="B86" s="85" t="str">
        <f>IFERROR(__xludf.DUMMYFUNCTION("""COMPUTED_VALUE"""),"CAPACETE PARA COMBATE INCENDIO -")</f>
        <v>CAPACETE PARA COMBATE INCENDIO -</v>
      </c>
      <c r="C86" s="86">
        <f>IFERROR(__xludf.DUMMYFUNCTION("""COMPUTED_VALUE"""),1.0)</f>
        <v>1</v>
      </c>
      <c r="D86" s="87" t="str">
        <f>IFERROR(__xludf.DUMMYFUNCTION("""COMPUTED_VALUE"""),"MILITAR")</f>
        <v>MILITAR</v>
      </c>
      <c r="E86" s="87" t="str">
        <f>IFERROR(__xludf.DUMMYFUNCTION("""COMPUTED_VALUE"""),"2 - CB GUILHERME HENRIQUE PAULINO ORDONHES")</f>
        <v>2 - CB GUILHERME HENRIQUE PAULINO ORDONHES</v>
      </c>
      <c r="F86" s="88"/>
      <c r="G86" s="89">
        <f>IFERROR(__xludf.DUMMYFUNCTION("""COMPUTED_VALUE"""),4.017856E7)</f>
        <v>40178560</v>
      </c>
      <c r="H86" s="87"/>
      <c r="I86" s="87" t="str">
        <f>IFERROR(__xludf.DUMMYFUNCTION("""COMPUTED_VALUE"""),"capacete SICOR, vermelho, ")</f>
        <v>capacete SICOR, vermelho, </v>
      </c>
    </row>
    <row r="87">
      <c r="A87" s="84">
        <f>IFERROR(__xludf.DUMMYFUNCTION("""COMPUTED_VALUE"""),86.0)</f>
        <v>86</v>
      </c>
      <c r="B87" s="85" t="str">
        <f>IFERROR(__xludf.DUMMYFUNCTION("""COMPUTED_VALUE"""),"CAPACETE PARA COMBATE INCENDIO -")</f>
        <v>CAPACETE PARA COMBATE INCENDIO -</v>
      </c>
      <c r="C87" s="86">
        <f>IFERROR(__xludf.DUMMYFUNCTION("""COMPUTED_VALUE"""),1.0)</f>
        <v>1</v>
      </c>
      <c r="D87" s="87" t="str">
        <f>IFERROR(__xludf.DUMMYFUNCTION("""COMPUTED_VALUE"""),"MILITAR")</f>
        <v>MILITAR</v>
      </c>
      <c r="E87" s="87" t="str">
        <f>IFERROR(__xludf.DUMMYFUNCTION("""COMPUTED_VALUE"""),"2 - CB BRUNO MENDES SILVA")</f>
        <v>2 - CB BRUNO MENDES SILVA</v>
      </c>
      <c r="F87" s="88"/>
      <c r="G87" s="89">
        <f>IFERROR(__xludf.DUMMYFUNCTION("""COMPUTED_VALUE"""),4.0178862E7)</f>
        <v>40178862</v>
      </c>
      <c r="H87" s="87"/>
      <c r="I87" s="87" t="str">
        <f>IFERROR(__xludf.DUMMYFUNCTION("""COMPUTED_VALUE"""),"capacete SICOR, ")</f>
        <v>capacete SICOR, </v>
      </c>
    </row>
    <row r="88">
      <c r="A88" s="84">
        <f>IFERROR(__xludf.DUMMYFUNCTION("""COMPUTED_VALUE"""),87.0)</f>
        <v>87</v>
      </c>
      <c r="B88" s="85" t="str">
        <f>IFERROR(__xludf.DUMMYFUNCTION("""COMPUTED_VALUE"""),"CAPACETE PARA COMBATE INCENDIO -")</f>
        <v>CAPACETE PARA COMBATE INCENDIO -</v>
      </c>
      <c r="C88" s="86">
        <f>IFERROR(__xludf.DUMMYFUNCTION("""COMPUTED_VALUE"""),1.0)</f>
        <v>1</v>
      </c>
      <c r="D88" s="87" t="str">
        <f>IFERROR(__xludf.DUMMYFUNCTION("""COMPUTED_VALUE"""),"MILITAR")</f>
        <v>MILITAR</v>
      </c>
      <c r="E88" s="87" t="str">
        <f>IFERROR(__xludf.DUMMYFUNCTION("""COMPUTED_VALUE"""),"2 - CB TIAGO DE OLIVEIRA ALMEIDA")</f>
        <v>2 - CB TIAGO DE OLIVEIRA ALMEIDA</v>
      </c>
      <c r="F88" s="88"/>
      <c r="G88" s="89">
        <f>IFERROR(__xludf.DUMMYFUNCTION("""COMPUTED_VALUE"""),4.0178943E7)</f>
        <v>40178943</v>
      </c>
      <c r="H88" s="87"/>
      <c r="I88" s="87" t="str">
        <f>IFERROR(__xludf.DUMMYFUNCTION("""COMPUTED_VALUE"""),"capacete SICOR, Amarelo, Sd Almeida")</f>
        <v>capacete SICOR, Amarelo, Sd Almeida</v>
      </c>
    </row>
    <row r="89">
      <c r="A89" s="84">
        <f>IFERROR(__xludf.DUMMYFUNCTION("""COMPUTED_VALUE"""),88.0)</f>
        <v>88</v>
      </c>
      <c r="B89" s="85" t="str">
        <f>IFERROR(__xludf.DUMMYFUNCTION("""COMPUTED_VALUE"""),"CAPACETE PARA COMBATE INCENDIO -")</f>
        <v>CAPACETE PARA COMBATE INCENDIO -</v>
      </c>
      <c r="C89" s="86">
        <f>IFERROR(__xludf.DUMMYFUNCTION("""COMPUTED_VALUE"""),1.0)</f>
        <v>1</v>
      </c>
      <c r="D89" s="87" t="str">
        <f>IFERROR(__xludf.DUMMYFUNCTION("""COMPUTED_VALUE"""),"SEÇÃO")</f>
        <v>SEÇÃO</v>
      </c>
      <c r="E89" s="87" t="str">
        <f>IFERROR(__xludf.DUMMYFUNCTION("""COMPUTED_VALUE"""),"3 - ALMOX. ESTOQUE")</f>
        <v>3 - ALMOX. ESTOQUE</v>
      </c>
      <c r="F89" s="88" t="str">
        <f>IFERROR(__xludf.DUMMYFUNCTION("""COMPUTED_VALUE"""),"SAO")</f>
        <v>SAO</v>
      </c>
      <c r="G89" s="89">
        <f>IFERROR(__xludf.DUMMYFUNCTION("""COMPUTED_VALUE"""),4.018697E7)</f>
        <v>40186970</v>
      </c>
      <c r="H89" s="87"/>
      <c r="I89" s="87" t="str">
        <f>IFERROR(__xludf.DUMMYFUNCTION("""COMPUTED_VALUE"""),"capacete vermelho Sgt Amarildo")</f>
        <v>capacete vermelho Sgt Amarildo</v>
      </c>
    </row>
    <row r="90">
      <c r="A90" s="84">
        <f>IFERROR(__xludf.DUMMYFUNCTION("""COMPUTED_VALUE"""),89.0)</f>
        <v>89</v>
      </c>
      <c r="B90" s="85" t="str">
        <f>IFERROR(__xludf.DUMMYFUNCTION("""COMPUTED_VALUE"""),"CAPACETE PARA COMBATE INCENDIO -")</f>
        <v>CAPACETE PARA COMBATE INCENDIO -</v>
      </c>
      <c r="C90" s="86">
        <f>IFERROR(__xludf.DUMMYFUNCTION("""COMPUTED_VALUE"""),1.0)</f>
        <v>1</v>
      </c>
      <c r="D90" s="87" t="str">
        <f>IFERROR(__xludf.DUMMYFUNCTION("""COMPUTED_VALUE"""),"MILITAR")</f>
        <v>MILITAR</v>
      </c>
      <c r="E90" s="87" t="str">
        <f>IFERROR(__xludf.DUMMYFUNCTION("""COMPUTED_VALUE"""),"2 - 1º SGT DAVIDSON GATTI")</f>
        <v>2 - 1º SGT DAVIDSON GATTI</v>
      </c>
      <c r="F90" s="88"/>
      <c r="G90" s="89">
        <f>IFERROR(__xludf.DUMMYFUNCTION("""COMPUTED_VALUE"""),4.0229505E7)</f>
        <v>40229505</v>
      </c>
      <c r="H90" s="87"/>
      <c r="I90" s="87" t="str">
        <f>IFERROR(__xludf.DUMMYFUNCTION("""COMPUTED_VALUE"""),"capacete SICOR, vermelho, Sgt Gatti")</f>
        <v>capacete SICOR, vermelho, Sgt Gatti</v>
      </c>
    </row>
    <row r="91">
      <c r="A91" s="84">
        <f>IFERROR(__xludf.DUMMYFUNCTION("""COMPUTED_VALUE"""),90.0)</f>
        <v>90</v>
      </c>
      <c r="B91" s="85" t="str">
        <f>IFERROR(__xludf.DUMMYFUNCTION("""COMPUTED_VALUE"""),"INTERFACE CELULAR -")</f>
        <v>INTERFACE CELULAR -</v>
      </c>
      <c r="C91" s="86">
        <f>IFERROR(__xludf.DUMMYFUNCTION("""COMPUTED_VALUE"""),1.0)</f>
        <v>1</v>
      </c>
      <c r="D91" s="87" t="str">
        <f>IFERROR(__xludf.DUMMYFUNCTION("""COMPUTED_VALUE"""),"SEÇÃO")</f>
        <v>SEÇÃO</v>
      </c>
      <c r="E91" s="87" t="str">
        <f>IFERROR(__xludf.DUMMYFUNCTION("""COMPUTED_VALUE"""),"3 - 1ª CIA OP")</f>
        <v>3 - 1ª CIA OP</v>
      </c>
      <c r="F91" s="88" t="str">
        <f>IFERROR(__xludf.DUMMYFUNCTION("""COMPUTED_VALUE"""),"CPD")</f>
        <v>CPD</v>
      </c>
      <c r="G91" s="89">
        <f>IFERROR(__xludf.DUMMYFUNCTION("""COMPUTED_VALUE"""),4.0304175E7)</f>
        <v>40304175</v>
      </c>
      <c r="H91" s="87"/>
      <c r="I91" s="87"/>
    </row>
    <row r="92">
      <c r="A92" s="84">
        <f>IFERROR(__xludf.DUMMYFUNCTION("""COMPUTED_VALUE"""),91.0)</f>
        <v>91</v>
      </c>
      <c r="B92" s="85" t="str">
        <f>IFERROR(__xludf.DUMMYFUNCTION("""COMPUTED_VALUE"""),"GAVETEIRO -")</f>
        <v>GAVETEIRO -</v>
      </c>
      <c r="C92" s="86">
        <f>IFERROR(__xludf.DUMMYFUNCTION("""COMPUTED_VALUE"""),1.0)</f>
        <v>1</v>
      </c>
      <c r="D92" s="87" t="str">
        <f>IFERROR(__xludf.DUMMYFUNCTION("""COMPUTED_VALUE"""),"SEÇÃO")</f>
        <v>SEÇÃO</v>
      </c>
      <c r="E92" s="87" t="str">
        <f>IFERROR(__xludf.DUMMYFUNCTION("""COMPUTED_VALUE"""),"3 - SOU")</f>
        <v>3 - SOU</v>
      </c>
      <c r="F92" s="88" t="str">
        <f>IFERROR(__xludf.DUMMYFUNCTION("""COMPUTED_VALUE"""),"RÁDIO OPERADOR")</f>
        <v>RÁDIO OPERADOR</v>
      </c>
      <c r="G92" s="89">
        <f>IFERROR(__xludf.DUMMYFUNCTION("""COMPUTED_VALUE"""),5.352996E7)</f>
        <v>53529960</v>
      </c>
      <c r="H92" s="87"/>
      <c r="I92" s="87" t="str">
        <f>IFERROR(__xludf.DUMMYFUNCTION("""COMPUTED_VALUE"""),"sala telefones")</f>
        <v>sala telefones</v>
      </c>
    </row>
    <row r="93">
      <c r="A93" s="84">
        <f>IFERROR(__xludf.DUMMYFUNCTION("""COMPUTED_VALUE"""),92.0)</f>
        <v>92</v>
      </c>
      <c r="B93" s="85" t="str">
        <f>IFERROR(__xludf.DUMMYFUNCTION("""COMPUTED_VALUE"""),"QUADRO DE AVISO -")</f>
        <v>QUADRO DE AVISO -</v>
      </c>
      <c r="C93" s="86">
        <f>IFERROR(__xludf.DUMMYFUNCTION("""COMPUTED_VALUE"""),1.0)</f>
        <v>1</v>
      </c>
      <c r="D93" s="87" t="str">
        <f>IFERROR(__xludf.DUMMYFUNCTION("""COMPUTED_VALUE"""),"SEÇÃO")</f>
        <v>SEÇÃO</v>
      </c>
      <c r="E93" s="87" t="str">
        <f>IFERROR(__xludf.DUMMYFUNCTION("""COMPUTED_VALUE"""),"3 - ALMOX. ESTOQUE")</f>
        <v>3 - ALMOX. ESTOQUE</v>
      </c>
      <c r="F93" s="88"/>
      <c r="G93" s="89">
        <f>IFERROR(__xludf.DUMMYFUNCTION("""COMPUTED_VALUE"""),5.7278687E7)</f>
        <v>57278687</v>
      </c>
      <c r="H93" s="87"/>
      <c r="I93" s="87" t="str">
        <f>IFERROR(__xludf.DUMMYFUNCTION("""COMPUTED_VALUE"""),"CORREDOR DA COZINHA (SEDE)")</f>
        <v>CORREDOR DA COZINHA (SEDE)</v>
      </c>
    </row>
    <row r="94">
      <c r="A94" s="84">
        <f>IFERROR(__xludf.DUMMYFUNCTION("""COMPUTED_VALUE"""),93.0)</f>
        <v>93</v>
      </c>
      <c r="B94" s="85" t="str">
        <f>IFERROR(__xludf.DUMMYFUNCTION("""COMPUTED_VALUE"""),"LANTERNA DE BOMBEIRO -")</f>
        <v>LANTERNA DE BOMBEIRO -</v>
      </c>
      <c r="C94" s="86">
        <f>IFERROR(__xludf.DUMMYFUNCTION("""COMPUTED_VALUE"""),1.0)</f>
        <v>1</v>
      </c>
      <c r="D94" s="87" t="str">
        <f>IFERROR(__xludf.DUMMYFUNCTION("""COMPUTED_VALUE"""),"SEÇÃO")</f>
        <v>SEÇÃO</v>
      </c>
      <c r="E94" s="87" t="str">
        <f>IFERROR(__xludf.DUMMYFUNCTION("""COMPUTED_VALUE"""),"3 - GUARDA")</f>
        <v>3 - GUARDA</v>
      </c>
      <c r="F94" s="88"/>
      <c r="G94" s="89">
        <f>IFERROR(__xludf.DUMMYFUNCTION("""COMPUTED_VALUE"""),7.6841529E7)</f>
        <v>76841529</v>
      </c>
      <c r="H94" s="87" t="str">
        <f>IFERROR(__xludf.DUMMYFUNCTION("""COMPUTED_VALUE"""),"N.S BR012000")</f>
        <v>N.S BR012000</v>
      </c>
      <c r="I94" s="87" t="str">
        <f>IFERROR(__xludf.DUMMYFUNCTION("""COMPUTED_VALUE"""),"Lanterna Survivor streamlight  c/ base carregador e carr. veicular")</f>
        <v>Lanterna Survivor streamlight  c/ base carregador e carr. veicular</v>
      </c>
    </row>
    <row r="95">
      <c r="A95" s="84">
        <f>IFERROR(__xludf.DUMMYFUNCTION("""COMPUTED_VALUE"""),94.0)</f>
        <v>94</v>
      </c>
      <c r="B95" s="85" t="str">
        <f>IFERROR(__xludf.DUMMYFUNCTION("""COMPUTED_VALUE"""),"LANTERNA DE BOMBEIRO -")</f>
        <v>LANTERNA DE BOMBEIRO -</v>
      </c>
      <c r="C95" s="86">
        <f>IFERROR(__xludf.DUMMYFUNCTION("""COMPUTED_VALUE"""),1.0)</f>
        <v>1</v>
      </c>
      <c r="D95" s="87" t="str">
        <f>IFERROR(__xludf.DUMMYFUNCTION("""COMPUTED_VALUE"""),"MILITAR")</f>
        <v>MILITAR</v>
      </c>
      <c r="E95" s="87" t="str">
        <f>IFERROR(__xludf.DUMMYFUNCTION("""COMPUTED_VALUE"""),"2 - 2º TEN MARCO PAULO LAGES")</f>
        <v>2 - 2º TEN MARCO PAULO LAGES</v>
      </c>
      <c r="F95" s="88"/>
      <c r="G95" s="89">
        <f>IFERROR(__xludf.DUMMYFUNCTION("""COMPUTED_VALUE"""),7.6841537E7)</f>
        <v>76841537</v>
      </c>
      <c r="H95" s="87" t="str">
        <f>IFERROR(__xludf.DUMMYFUNCTION("""COMPUTED_VALUE"""),"N.S. BR012346")</f>
        <v>N.S. BR012346</v>
      </c>
      <c r="I95" s="87" t="str">
        <f>IFERROR(__xludf.DUMMYFUNCTION("""COMPUTED_VALUE"""),"Lanterna Survivor streamlight  c/ base carregador e carr. veicular")</f>
        <v>Lanterna Survivor streamlight  c/ base carregador e carr. veicular</v>
      </c>
    </row>
    <row r="96">
      <c r="A96" s="84">
        <f>IFERROR(__xludf.DUMMYFUNCTION("""COMPUTED_VALUE"""),95.0)</f>
        <v>95</v>
      </c>
      <c r="B96" s="85" t="str">
        <f>IFERROR(__xludf.DUMMYFUNCTION("""COMPUTED_VALUE"""),"LANTERNA DE BOMBEIRO -")</f>
        <v>LANTERNA DE BOMBEIRO -</v>
      </c>
      <c r="C96" s="86">
        <f>IFERROR(__xludf.DUMMYFUNCTION("""COMPUTED_VALUE"""),1.0)</f>
        <v>1</v>
      </c>
      <c r="D96" s="87" t="str">
        <f>IFERROR(__xludf.DUMMYFUNCTION("""COMPUTED_VALUE"""),"MILITAR")</f>
        <v>MILITAR</v>
      </c>
      <c r="E96" s="87" t="str">
        <f>IFERROR(__xludf.DUMMYFUNCTION("""COMPUTED_VALUE"""),"2 - 2º TEN CARLOS EDUARDO COSTA DIAS")</f>
        <v>2 - 2º TEN CARLOS EDUARDO COSTA DIAS</v>
      </c>
      <c r="F96" s="88"/>
      <c r="G96" s="89">
        <f>IFERROR(__xludf.DUMMYFUNCTION("""COMPUTED_VALUE"""),7.6841545E7)</f>
        <v>76841545</v>
      </c>
      <c r="H96" s="87" t="str">
        <f>IFERROR(__xludf.DUMMYFUNCTION("""COMPUTED_VALUE"""),"N.S. BR012349")</f>
        <v>N.S. BR012349</v>
      </c>
      <c r="I96" s="87"/>
    </row>
    <row r="97">
      <c r="A97" s="84">
        <f>IFERROR(__xludf.DUMMYFUNCTION("""COMPUTED_VALUE"""),96.0)</f>
        <v>96</v>
      </c>
      <c r="B97" s="85" t="str">
        <f>IFERROR(__xludf.DUMMYFUNCTION("""COMPUTED_VALUE"""),"LANTERNA DE BOMBEIRO -")</f>
        <v>LANTERNA DE BOMBEIRO -</v>
      </c>
      <c r="C97" s="86">
        <f>IFERROR(__xludf.DUMMYFUNCTION("""COMPUTED_VALUE"""),1.0)</f>
        <v>1</v>
      </c>
      <c r="D97" s="87" t="str">
        <f>IFERROR(__xludf.DUMMYFUNCTION("""COMPUTED_VALUE"""),"MILITAR")</f>
        <v>MILITAR</v>
      </c>
      <c r="E97" s="87" t="str">
        <f>IFERROR(__xludf.DUMMYFUNCTION("""COMPUTED_VALUE"""),"2 - SUBTEN WALISTON ALEX DOURADO SIQUEIRA")</f>
        <v>2 - SUBTEN WALISTON ALEX DOURADO SIQUEIRA</v>
      </c>
      <c r="F97" s="88"/>
      <c r="G97" s="89">
        <f>IFERROR(__xludf.DUMMYFUNCTION("""COMPUTED_VALUE"""),7.6841553E7)</f>
        <v>76841553</v>
      </c>
      <c r="H97" s="87"/>
      <c r="I97" s="87"/>
    </row>
    <row r="98">
      <c r="A98" s="84">
        <f>IFERROR(__xludf.DUMMYFUNCTION("""COMPUTED_VALUE"""),97.0)</f>
        <v>97</v>
      </c>
      <c r="B98" s="85" t="str">
        <f>IFERROR(__xludf.DUMMYFUNCTION("""COMPUTED_VALUE"""),"NOTEBOOK,NETBOOK E/OU ULTRAFINO -")</f>
        <v>NOTEBOOK,NETBOOK E/OU ULTRAFINO -</v>
      </c>
      <c r="C98" s="86">
        <f>IFERROR(__xludf.DUMMYFUNCTION("""COMPUTED_VALUE"""),1.0)</f>
        <v>1</v>
      </c>
      <c r="D98" s="87" t="str">
        <f>IFERROR(__xludf.DUMMYFUNCTION("""COMPUTED_VALUE"""),"SEÇÃO")</f>
        <v>SEÇÃO</v>
      </c>
      <c r="E98" s="87" t="str">
        <f>IFERROR(__xludf.DUMMYFUNCTION("""COMPUTED_VALUE"""),"3 - ADM Cia OP.")</f>
        <v>3 - ADM Cia OP.</v>
      </c>
      <c r="F98" s="88"/>
      <c r="G98" s="89">
        <f>IFERROR(__xludf.DUMMYFUNCTION("""COMPUTED_VALUE"""),7.6881199E7)</f>
        <v>76881199</v>
      </c>
      <c r="H98" s="87" t="str">
        <f>IFERROR(__xludf.DUMMYFUNCTION("""COMPUTED_VALUE"""),"N.S.UL154M16W11832")</f>
        <v>N.S.UL154M16W11832</v>
      </c>
      <c r="I98" s="87" t="str">
        <f>IFERROR(__xludf.DUMMYFUNCTION("""COMPUTED_VALUE"""),"utilizando para curso Bombeiro nas Escolas. MULTILASER UL154 I5 16GB - ULTRA")</f>
        <v>utilizando para curso Bombeiro nas Escolas. MULTILASER UL154 I5 16GB - ULTRA</v>
      </c>
    </row>
    <row r="99">
      <c r="A99" s="84">
        <f>IFERROR(__xludf.DUMMYFUNCTION("""COMPUTED_VALUE"""),98.0)</f>
        <v>98</v>
      </c>
      <c r="B99" s="85" t="str">
        <f>IFERROR(__xludf.DUMMYFUNCTION("""COMPUTED_VALUE"""),"ALMOFADA PNEUMATICA -")</f>
        <v>ALMOFADA PNEUMATICA -</v>
      </c>
      <c r="C99" s="86">
        <f>IFERROR(__xludf.DUMMYFUNCTION("""COMPUTED_VALUE"""),1.0)</f>
        <v>1</v>
      </c>
      <c r="D99" s="87" t="str">
        <f>IFERROR(__xludf.DUMMYFUNCTION("""COMPUTED_VALUE"""),"SEÇÃO")</f>
        <v>SEÇÃO</v>
      </c>
      <c r="E99" s="87" t="str">
        <f>IFERROR(__xludf.DUMMYFUNCTION("""COMPUTED_VALUE"""),"3 - DESCARGA")</f>
        <v>3 - DESCARGA</v>
      </c>
      <c r="F99" s="88"/>
      <c r="G99" s="89">
        <f>IFERROR(__xludf.DUMMYFUNCTION("""COMPUTED_VALUE"""),1.3874438E7)</f>
        <v>13874438</v>
      </c>
      <c r="H99" s="87"/>
      <c r="I99" s="87" t="str">
        <f>IFERROR(__xludf.DUMMYFUNCTION("""COMPUTED_VALUE"""),"MATERIAL DESCARREGADO - PROCESSO Nº 1400.01.0026473/2023-03")</f>
        <v>MATERIAL DESCARREGADO - PROCESSO Nº 1400.01.0026473/2023-03</v>
      </c>
    </row>
    <row r="100">
      <c r="A100" s="84">
        <f>IFERROR(__xludf.DUMMYFUNCTION("""COMPUTED_VALUE"""),99.0)</f>
        <v>99</v>
      </c>
      <c r="B100" s="85" t="str">
        <f>IFERROR(__xludf.DUMMYFUNCTION("""COMPUTED_VALUE"""),"ALMOFADA PNEUMATICA -")</f>
        <v>ALMOFADA PNEUMATICA -</v>
      </c>
      <c r="C100" s="86">
        <f>IFERROR(__xludf.DUMMYFUNCTION("""COMPUTED_VALUE"""),1.0)</f>
        <v>1</v>
      </c>
      <c r="D100" s="87"/>
      <c r="E100" s="87" t="str">
        <f>IFERROR(__xludf.DUMMYFUNCTION("""COMPUTED_VALUE"""),"3 - CURVELO")</f>
        <v>3 - CURVELO</v>
      </c>
      <c r="F100" s="88"/>
      <c r="G100" s="89">
        <f>IFERROR(__xludf.DUMMYFUNCTION("""COMPUTED_VALUE"""),1.3986678E7)</f>
        <v>13986678</v>
      </c>
      <c r="H100" s="87"/>
      <c r="I100" s="87" t="str">
        <f>IFERROR(__xludf.DUMMYFUNCTION("""COMPUTED_VALUE"""),"36 cm/ 8bar/ 621L/ 31,4T Material armazenado temporariamente na antiga sala da PPV cia op.")</f>
        <v>36 cm/ 8bar/ 621L/ 31,4T Material armazenado temporariamente na antiga sala da PPV cia op.</v>
      </c>
    </row>
    <row r="101">
      <c r="A101" s="84">
        <f>IFERROR(__xludf.DUMMYFUNCTION("""COMPUTED_VALUE"""),100.0)</f>
        <v>100</v>
      </c>
      <c r="B101" s="85" t="str">
        <f>IFERROR(__xludf.DUMMYFUNCTION("""COMPUTED_VALUE"""),"AMBULANCIA -")</f>
        <v>AMBULANCIA -</v>
      </c>
      <c r="C101" s="86">
        <f>IFERROR(__xludf.DUMMYFUNCTION("""COMPUTED_VALUE"""),1.0)</f>
        <v>1</v>
      </c>
      <c r="D101" s="87" t="str">
        <f>IFERROR(__xludf.DUMMYFUNCTION("""COMPUTED_VALUE"""),"VIATURA")</f>
        <v>VIATURA</v>
      </c>
      <c r="E101" s="87" t="str">
        <f>IFERROR(__xludf.DUMMYFUNCTION("""COMPUTED_VALUE"""),"3 - DESCARGA")</f>
        <v>3 - DESCARGA</v>
      </c>
      <c r="F101" s="88"/>
      <c r="G101" s="89">
        <f>IFERROR(__xludf.DUMMYFUNCTION("""COMPUTED_VALUE"""),4.0355268E7)</f>
        <v>40355268</v>
      </c>
      <c r="H101" s="87" t="str">
        <f>IFERROR(__xludf.DUMMYFUNCTION("""COMPUTED_VALUE"""),"Chassi:93W245G3RG2159239")</f>
        <v>Chassi:93W245G3RG2159239</v>
      </c>
      <c r="I101" s="87" t="str">
        <f>IFERROR(__xludf.DUMMYFUNCTION("""COMPUTED_VALUE"""),"PUE8I36  -  LOTE/LEILAO: 0194019412000092025")</f>
        <v>PUE8I36  -  LOTE/LEILAO: 0194019412000092025</v>
      </c>
    </row>
    <row r="102">
      <c r="A102" s="84">
        <f>IFERROR(__xludf.DUMMYFUNCTION("""COMPUTED_VALUE"""),101.0)</f>
        <v>101</v>
      </c>
      <c r="B102" s="85" t="str">
        <f>IFERROR(__xludf.DUMMYFUNCTION("""COMPUTED_VALUE"""),"AMBULANCIA -")</f>
        <v>AMBULANCIA -</v>
      </c>
      <c r="C102" s="86">
        <f>IFERROR(__xludf.DUMMYFUNCTION("""COMPUTED_VALUE"""),1.0)</f>
        <v>1</v>
      </c>
      <c r="D102" s="87" t="str">
        <f>IFERROR(__xludf.DUMMYFUNCTION("""COMPUTED_VALUE"""),"VIATURA")</f>
        <v>VIATURA</v>
      </c>
      <c r="E102" s="87" t="str">
        <f>IFERROR(__xludf.DUMMYFUNCTION("""COMPUTED_VALUE"""),"3 - CURVELO")</f>
        <v>3 - CURVELO</v>
      </c>
      <c r="F102" s="88"/>
      <c r="G102" s="89">
        <f>IFERROR(__xludf.DUMMYFUNCTION("""COMPUTED_VALUE"""),4.0416488E7)</f>
        <v>40416488</v>
      </c>
      <c r="H102" s="87" t="str">
        <f>IFERROR(__xludf.DUMMYFUNCTION("""COMPUTED_VALUE"""),"8AC907643NE213947")</f>
        <v>8AC907643NE213947</v>
      </c>
      <c r="I102" s="87" t="str">
        <f>IFERROR(__xludf.DUMMYFUNCTION("""COMPUTED_VALUE"""),"UR-4336 placa QXW4D36 ")</f>
        <v>UR-4336 placa QXW4D36 </v>
      </c>
    </row>
    <row r="103">
      <c r="A103" s="84">
        <f>IFERROR(__xludf.DUMMYFUNCTION("""COMPUTED_VALUE"""),102.0)</f>
        <v>102</v>
      </c>
      <c r="B103" s="85" t="str">
        <f>IFERROR(__xludf.DUMMYFUNCTION("""COMPUTED_VALUE"""),"AMBULANCIA -")</f>
        <v>AMBULANCIA -</v>
      </c>
      <c r="C103" s="86">
        <f>IFERROR(__xludf.DUMMYFUNCTION("""COMPUTED_VALUE"""),1.0)</f>
        <v>1</v>
      </c>
      <c r="D103" s="87" t="str">
        <f>IFERROR(__xludf.DUMMYFUNCTION("""COMPUTED_VALUE"""),"VIATURA")</f>
        <v>VIATURA</v>
      </c>
      <c r="E103" s="87" t="str">
        <f>IFERROR(__xludf.DUMMYFUNCTION("""COMPUTED_VALUE"""),"3 - CURVELO")</f>
        <v>3 - CURVELO</v>
      </c>
      <c r="F103" s="88"/>
      <c r="G103" s="89">
        <f>IFERROR(__xludf.DUMMYFUNCTION("""COMPUTED_VALUE"""),7.677572E7)</f>
        <v>76775720</v>
      </c>
      <c r="H103" s="87" t="str">
        <f>IFERROR(__xludf.DUMMYFUNCTION("""COMPUTED_VALUE"""),"3C6DFVDK5ME538089")</f>
        <v>3C6DFVDK5ME538089</v>
      </c>
      <c r="I103" s="87" t="str">
        <f>IFERROR(__xludf.DUMMYFUNCTION("""COMPUTED_VALUE"""),"UR-5125 placa RTE5B25")</f>
        <v>UR-5125 placa RTE5B25</v>
      </c>
    </row>
    <row r="104">
      <c r="A104" s="84">
        <f>IFERROR(__xludf.DUMMYFUNCTION("""COMPUTED_VALUE"""),103.0)</f>
        <v>103</v>
      </c>
      <c r="B104" s="85" t="str">
        <f>IFERROR(__xludf.DUMMYFUNCTION("""COMPUTED_VALUE"""),"APARELHO DE POCO - COMPLETO")</f>
        <v>APARELHO DE POCO - COMPLETO</v>
      </c>
      <c r="C104" s="86">
        <f>IFERROR(__xludf.DUMMYFUNCTION("""COMPUTED_VALUE"""),1.0)</f>
        <v>1</v>
      </c>
      <c r="D104" s="87"/>
      <c r="E104" s="87" t="str">
        <f>IFERROR(__xludf.DUMMYFUNCTION("""COMPUTED_VALUE"""),"3 - CURVELO")</f>
        <v>3 - CURVELO</v>
      </c>
      <c r="F104" s="88"/>
      <c r="G104" s="89">
        <f>IFERROR(__xludf.DUMMYFUNCTION("""COMPUTED_VALUE"""),1.3947702E7)</f>
        <v>13947702</v>
      </c>
      <c r="H104" s="87"/>
      <c r="I104" s="87"/>
    </row>
    <row r="105">
      <c r="A105" s="84">
        <f>IFERROR(__xludf.DUMMYFUNCTION("""COMPUTED_VALUE"""),104.0)</f>
        <v>104</v>
      </c>
      <c r="B105" s="85" t="str">
        <f>IFERROR(__xludf.DUMMYFUNCTION("""COMPUTED_VALUE"""),"APARELHO TELEFONICO -")</f>
        <v>APARELHO TELEFONICO -</v>
      </c>
      <c r="C105" s="86">
        <f>IFERROR(__xludf.DUMMYFUNCTION("""COMPUTED_VALUE"""),1.0)</f>
        <v>1</v>
      </c>
      <c r="D105" s="87" t="str">
        <f>IFERROR(__xludf.DUMMYFUNCTION("""COMPUTED_VALUE"""),"SEÇÃO")</f>
        <v>SEÇÃO</v>
      </c>
      <c r="E105" s="87" t="str">
        <f>IFERROR(__xludf.DUMMYFUNCTION("""COMPUTED_VALUE"""),"3 - DESCARGA")</f>
        <v>3 - DESCARGA</v>
      </c>
      <c r="F105" s="88"/>
      <c r="G105" s="89">
        <f>IFERROR(__xludf.DUMMYFUNCTION("""COMPUTED_VALUE"""),4.021177E7)</f>
        <v>40211770</v>
      </c>
      <c r="H105" s="87"/>
      <c r="I105" s="87" t="str">
        <f>IFERROR(__xludf.DUMMYFUNCTION("""COMPUTED_VALUE"""),"MATERIAL DESCARREGADO - PROCESSO Nº 1400.01.0026473/2023-01")</f>
        <v>MATERIAL DESCARREGADO - PROCESSO Nº 1400.01.0026473/2023-01</v>
      </c>
    </row>
    <row r="106">
      <c r="A106" s="84">
        <f>IFERROR(__xludf.DUMMYFUNCTION("""COMPUTED_VALUE"""),105.0)</f>
        <v>105</v>
      </c>
      <c r="B106" s="85" t="str">
        <f>IFERROR(__xludf.DUMMYFUNCTION("""COMPUTED_VALUE"""),"APARELHO TELEFONICO -")</f>
        <v>APARELHO TELEFONICO -</v>
      </c>
      <c r="C106" s="86">
        <f>IFERROR(__xludf.DUMMYFUNCTION("""COMPUTED_VALUE"""),1.0)</f>
        <v>1</v>
      </c>
      <c r="D106" s="87" t="str">
        <f>IFERROR(__xludf.DUMMYFUNCTION("""COMPUTED_VALUE"""),"SEÇÃO")</f>
        <v>SEÇÃO</v>
      </c>
      <c r="E106" s="87" t="str">
        <f>IFERROR(__xludf.DUMMYFUNCTION("""COMPUTED_VALUE"""),"3 - DESCARGA")</f>
        <v>3 - DESCARGA</v>
      </c>
      <c r="F106" s="88"/>
      <c r="G106" s="89">
        <f>IFERROR(__xludf.DUMMYFUNCTION("""COMPUTED_VALUE"""),4.0211789E7)</f>
        <v>40211789</v>
      </c>
      <c r="H106" s="87"/>
      <c r="I106" s="87" t="str">
        <f>IFERROR(__xludf.DUMMYFUNCTION("""COMPUTED_VALUE"""),"MATERIAL DESCARREGADO - PROCESSO Nº 1400.01.0026473/2023-01")</f>
        <v>MATERIAL DESCARREGADO - PROCESSO Nº 1400.01.0026473/2023-01</v>
      </c>
    </row>
    <row r="107">
      <c r="A107" s="84">
        <f>IFERROR(__xludf.DUMMYFUNCTION("""COMPUTED_VALUE"""),106.0)</f>
        <v>106</v>
      </c>
      <c r="B107" s="85" t="str">
        <f>IFERROR(__xludf.DUMMYFUNCTION("""COMPUTED_VALUE"""),"APARELHO TELEFONICO -")</f>
        <v>APARELHO TELEFONICO -</v>
      </c>
      <c r="C107" s="86">
        <f>IFERROR(__xludf.DUMMYFUNCTION("""COMPUTED_VALUE"""),1.0)</f>
        <v>1</v>
      </c>
      <c r="D107" s="87" t="str">
        <f>IFERROR(__xludf.DUMMYFUNCTION("""COMPUTED_VALUE"""),"SEÇÃO")</f>
        <v>SEÇÃO</v>
      </c>
      <c r="E107" s="87" t="str">
        <f>IFERROR(__xludf.DUMMYFUNCTION("""COMPUTED_VALUE"""),"3 - CURVELO")</f>
        <v>3 - CURVELO</v>
      </c>
      <c r="F107" s="88"/>
      <c r="G107" s="89">
        <f>IFERROR(__xludf.DUMMYFUNCTION("""COMPUTED_VALUE"""),4.0211797E7)</f>
        <v>40211797</v>
      </c>
      <c r="H107" s="87"/>
      <c r="I107" s="87" t="str">
        <f>IFERROR(__xludf.DUMMYFUNCTION("""COMPUTED_VALUE"""),"ADM")</f>
        <v>ADM</v>
      </c>
    </row>
    <row r="108">
      <c r="A108" s="84">
        <f>IFERROR(__xludf.DUMMYFUNCTION("""COMPUTED_VALUE"""),107.0)</f>
        <v>107</v>
      </c>
      <c r="B108" s="85" t="str">
        <f>IFERROR(__xludf.DUMMYFUNCTION("""COMPUTED_VALUE"""),"APARELHO TELEFONICO -")</f>
        <v>APARELHO TELEFONICO -</v>
      </c>
      <c r="C108" s="86">
        <f>IFERROR(__xludf.DUMMYFUNCTION("""COMPUTED_VALUE"""),1.0)</f>
        <v>1</v>
      </c>
      <c r="D108" s="87" t="str">
        <f>IFERROR(__xludf.DUMMYFUNCTION("""COMPUTED_VALUE"""),"SEÇÃO")</f>
        <v>SEÇÃO</v>
      </c>
      <c r="E108" s="87" t="str">
        <f>IFERROR(__xludf.DUMMYFUNCTION("""COMPUTED_VALUE"""),"3 - DESCARGA")</f>
        <v>3 - DESCARGA</v>
      </c>
      <c r="F108" s="88"/>
      <c r="G108" s="89">
        <f>IFERROR(__xludf.DUMMYFUNCTION("""COMPUTED_VALUE"""),4.02118E7)</f>
        <v>40211800</v>
      </c>
      <c r="H108" s="87"/>
      <c r="I108" s="87" t="str">
        <f>IFERROR(__xludf.DUMMYFUNCTION("""COMPUTED_VALUE"""),"MATERIAL DESCARREGADO - PROCESSO Nº 1400.01.0026473/2023-01")</f>
        <v>MATERIAL DESCARREGADO - PROCESSO Nº 1400.01.0026473/2023-01</v>
      </c>
    </row>
    <row r="109">
      <c r="A109" s="84">
        <f>IFERROR(__xludf.DUMMYFUNCTION("""COMPUTED_VALUE"""),108.0)</f>
        <v>108</v>
      </c>
      <c r="B109" s="85" t="str">
        <f>IFERROR(__xludf.DUMMYFUNCTION("""COMPUTED_VALUE"""),"AR CONDICIONADO SPLIT -")</f>
        <v>AR CONDICIONADO SPLIT -</v>
      </c>
      <c r="C109" s="86">
        <f>IFERROR(__xludf.DUMMYFUNCTION("""COMPUTED_VALUE"""),1.0)</f>
        <v>1</v>
      </c>
      <c r="D109" s="87" t="str">
        <f>IFERROR(__xludf.DUMMYFUNCTION("""COMPUTED_VALUE"""),"SEÇÃO")</f>
        <v>SEÇÃO</v>
      </c>
      <c r="E109" s="87" t="str">
        <f>IFERROR(__xludf.DUMMYFUNCTION("""COMPUTED_VALUE"""),"3 - CURVELO")</f>
        <v>3 - CURVELO</v>
      </c>
      <c r="F109" s="88"/>
      <c r="G109" s="89">
        <f>IFERROR(__xludf.DUMMYFUNCTION("""COMPUTED_VALUE"""),7.6702073E7)</f>
        <v>76702073</v>
      </c>
      <c r="H109" s="87"/>
      <c r="I109" s="87" t="str">
        <f>IFERROR(__xludf.DUMMYFUNCTION("""COMPUTED_VALUE"""),"ALOJ. OFICIAL")</f>
        <v>ALOJ. OFICIAL</v>
      </c>
    </row>
    <row r="110">
      <c r="A110" s="84">
        <f>IFERROR(__xludf.DUMMYFUNCTION("""COMPUTED_VALUE"""),109.0)</f>
        <v>109</v>
      </c>
      <c r="B110" s="85" t="str">
        <f>IFERROR(__xludf.DUMMYFUNCTION("""COMPUTED_VALUE"""),"AR CONDICIONADO SPLIT -")</f>
        <v>AR CONDICIONADO SPLIT -</v>
      </c>
      <c r="C110" s="86">
        <f>IFERROR(__xludf.DUMMYFUNCTION("""COMPUTED_VALUE"""),1.0)</f>
        <v>1</v>
      </c>
      <c r="D110" s="87" t="str">
        <f>IFERROR(__xludf.DUMMYFUNCTION("""COMPUTED_VALUE"""),"SEÇÃO")</f>
        <v>SEÇÃO</v>
      </c>
      <c r="E110" s="87" t="str">
        <f>IFERROR(__xludf.DUMMYFUNCTION("""COMPUTED_VALUE"""),"3 - CURVELO")</f>
        <v>3 - CURVELO</v>
      </c>
      <c r="F110" s="88"/>
      <c r="G110" s="89">
        <f>IFERROR(__xludf.DUMMYFUNCTION("""COMPUTED_VALUE"""),7.6702081E7)</f>
        <v>76702081</v>
      </c>
      <c r="H110" s="87"/>
      <c r="I110" s="87" t="str">
        <f>IFERROR(__xludf.DUMMYFUNCTION("""COMPUTED_VALUE"""),"ALOJ. CB/SD")</f>
        <v>ALOJ. CB/SD</v>
      </c>
    </row>
    <row r="111">
      <c r="A111" s="84">
        <f>IFERROR(__xludf.DUMMYFUNCTION("""COMPUTED_VALUE"""),110.0)</f>
        <v>110</v>
      </c>
      <c r="B111" s="85" t="str">
        <f>IFERROR(__xludf.DUMMYFUNCTION("""COMPUTED_VALUE"""),"AR CONDICIONADO SPLIT -")</f>
        <v>AR CONDICIONADO SPLIT -</v>
      </c>
      <c r="C111" s="86">
        <f>IFERROR(__xludf.DUMMYFUNCTION("""COMPUTED_VALUE"""),1.0)</f>
        <v>1</v>
      </c>
      <c r="D111" s="87" t="str">
        <f>IFERROR(__xludf.DUMMYFUNCTION("""COMPUTED_VALUE"""),"SEÇÃO")</f>
        <v>SEÇÃO</v>
      </c>
      <c r="E111" s="87" t="str">
        <f>IFERROR(__xludf.DUMMYFUNCTION("""COMPUTED_VALUE"""),"3 - CURVELO")</f>
        <v>3 - CURVELO</v>
      </c>
      <c r="F111" s="88"/>
      <c r="G111" s="89">
        <f>IFERROR(__xludf.DUMMYFUNCTION("""COMPUTED_VALUE"""),7.670209E7)</f>
        <v>76702090</v>
      </c>
      <c r="H111" s="87"/>
      <c r="I111" s="87" t="str">
        <f>IFERROR(__xludf.DUMMYFUNCTION("""COMPUTED_VALUE"""),"ALOJ. CB/SD")</f>
        <v>ALOJ. CB/SD</v>
      </c>
    </row>
    <row r="112">
      <c r="A112" s="84">
        <f>IFERROR(__xludf.DUMMYFUNCTION("""COMPUTED_VALUE"""),111.0)</f>
        <v>111</v>
      </c>
      <c r="B112" s="85" t="str">
        <f>IFERROR(__xludf.DUMMYFUNCTION("""COMPUTED_VALUE"""),"AR CONDICIONADO SPLIT -")</f>
        <v>AR CONDICIONADO SPLIT -</v>
      </c>
      <c r="C112" s="86">
        <f>IFERROR(__xludf.DUMMYFUNCTION("""COMPUTED_VALUE"""),1.0)</f>
        <v>1</v>
      </c>
      <c r="D112" s="87" t="str">
        <f>IFERROR(__xludf.DUMMYFUNCTION("""COMPUTED_VALUE"""),"SEÇÃO")</f>
        <v>SEÇÃO</v>
      </c>
      <c r="E112" s="87" t="str">
        <f>IFERROR(__xludf.DUMMYFUNCTION("""COMPUTED_VALUE"""),"3 - CURVELO")</f>
        <v>3 - CURVELO</v>
      </c>
      <c r="F112" s="88"/>
      <c r="G112" s="89">
        <f>IFERROR(__xludf.DUMMYFUNCTION("""COMPUTED_VALUE"""),7.6702103E7)</f>
        <v>76702103</v>
      </c>
      <c r="H112" s="87"/>
      <c r="I112" s="87" t="str">
        <f>IFERROR(__xludf.DUMMYFUNCTION("""COMPUTED_VALUE"""),"ALOJ. CB/SD")</f>
        <v>ALOJ. CB/SD</v>
      </c>
    </row>
    <row r="113">
      <c r="A113" s="84">
        <f>IFERROR(__xludf.DUMMYFUNCTION("""COMPUTED_VALUE"""),112.0)</f>
        <v>112</v>
      </c>
      <c r="B113" s="85" t="str">
        <f>IFERROR(__xludf.DUMMYFUNCTION("""COMPUTED_VALUE"""),"AR CONDICIONADO SPLIT -")</f>
        <v>AR CONDICIONADO SPLIT -</v>
      </c>
      <c r="C113" s="86">
        <f>IFERROR(__xludf.DUMMYFUNCTION("""COMPUTED_VALUE"""),1.0)</f>
        <v>1</v>
      </c>
      <c r="D113" s="87" t="str">
        <f>IFERROR(__xludf.DUMMYFUNCTION("""COMPUTED_VALUE"""),"SEÇÃO")</f>
        <v>SEÇÃO</v>
      </c>
      <c r="E113" s="87" t="str">
        <f>IFERROR(__xludf.DUMMYFUNCTION("""COMPUTED_VALUE"""),"3 - CURVELO")</f>
        <v>3 - CURVELO</v>
      </c>
      <c r="F113" s="88"/>
      <c r="G113" s="89">
        <f>IFERROR(__xludf.DUMMYFUNCTION("""COMPUTED_VALUE"""),7.6702111E7)</f>
        <v>76702111</v>
      </c>
      <c r="H113" s="87"/>
      <c r="I113" s="87" t="str">
        <f>IFERROR(__xludf.DUMMYFUNCTION("""COMPUTED_VALUE"""),"ALOJ. FEM.")</f>
        <v>ALOJ. FEM.</v>
      </c>
    </row>
    <row r="114">
      <c r="A114" s="84">
        <f>IFERROR(__xludf.DUMMYFUNCTION("""COMPUTED_VALUE"""),113.0)</f>
        <v>113</v>
      </c>
      <c r="B114" s="85" t="str">
        <f>IFERROR(__xludf.DUMMYFUNCTION("""COMPUTED_VALUE"""),"ARMARIO DE USO GERAL -")</f>
        <v>ARMARIO DE USO GERAL -</v>
      </c>
      <c r="C114" s="86">
        <f>IFERROR(__xludf.DUMMYFUNCTION("""COMPUTED_VALUE"""),1.0)</f>
        <v>1</v>
      </c>
      <c r="D114" s="87"/>
      <c r="E114" s="87" t="str">
        <f>IFERROR(__xludf.DUMMYFUNCTION("""COMPUTED_VALUE"""),"3 - CURVELO")</f>
        <v>3 - CURVELO</v>
      </c>
      <c r="F114" s="88"/>
      <c r="G114" s="89">
        <f>IFERROR(__xludf.DUMMYFUNCTION("""COMPUTED_VALUE"""),1.3930087E7)</f>
        <v>13930087</v>
      </c>
      <c r="H114" s="87"/>
      <c r="I114" s="87"/>
    </row>
    <row r="115">
      <c r="A115" s="84">
        <f>IFERROR(__xludf.DUMMYFUNCTION("""COMPUTED_VALUE"""),114.0)</f>
        <v>114</v>
      </c>
      <c r="B115" s="85" t="str">
        <f>IFERROR(__xludf.DUMMYFUNCTION("""COMPUTED_VALUE"""),"ARMARIO PARA ESCRITORIO -(II)")</f>
        <v>ARMARIO PARA ESCRITORIO -(II)</v>
      </c>
      <c r="C115" s="86">
        <f>IFERROR(__xludf.DUMMYFUNCTION("""COMPUTED_VALUE"""),1.0)</f>
        <v>1</v>
      </c>
      <c r="D115" s="87" t="str">
        <f>IFERROR(__xludf.DUMMYFUNCTION("""COMPUTED_VALUE"""),"SEÇÃO")</f>
        <v>SEÇÃO</v>
      </c>
      <c r="E115" s="87" t="str">
        <f>IFERROR(__xludf.DUMMYFUNCTION("""COMPUTED_VALUE"""),"3 - CURVELO")</f>
        <v>3 - CURVELO</v>
      </c>
      <c r="F115" s="88"/>
      <c r="G115" s="89">
        <f>IFERROR(__xludf.DUMMYFUNCTION("""COMPUTED_VALUE"""),3525082.0)</f>
        <v>3525082</v>
      </c>
      <c r="H115" s="87"/>
      <c r="I115" s="87" t="str">
        <f>IFERROR(__xludf.DUMMYFUNCTION("""COMPUTED_VALUE"""),"REFEITÓRIO (RUIM)")</f>
        <v>REFEITÓRIO (RUIM)</v>
      </c>
    </row>
    <row r="116">
      <c r="A116" s="84">
        <f>IFERROR(__xludf.DUMMYFUNCTION("""COMPUTED_VALUE"""),115.0)</f>
        <v>115</v>
      </c>
      <c r="B116" s="85" t="str">
        <f>IFERROR(__xludf.DUMMYFUNCTION("""COMPUTED_VALUE"""),"ARQUIVO PARA ESCRITORIO -")</f>
        <v>ARQUIVO PARA ESCRITORIO -</v>
      </c>
      <c r="C116" s="86">
        <f>IFERROR(__xludf.DUMMYFUNCTION("""COMPUTED_VALUE"""),1.0)</f>
        <v>1</v>
      </c>
      <c r="D116" s="87"/>
      <c r="E116" s="87" t="str">
        <f>IFERROR(__xludf.DUMMYFUNCTION("""COMPUTED_VALUE"""),"3 - CURVELO")</f>
        <v>3 - CURVELO</v>
      </c>
      <c r="F116" s="88"/>
      <c r="G116" s="89">
        <f>IFERROR(__xludf.DUMMYFUNCTION("""COMPUTED_VALUE"""),3.1598803E7)</f>
        <v>31598803</v>
      </c>
      <c r="H116" s="87"/>
      <c r="I116" s="87"/>
    </row>
    <row r="117">
      <c r="A117" s="84">
        <f>IFERROR(__xludf.DUMMYFUNCTION("""COMPUTED_VALUE"""),116.0)</f>
        <v>116</v>
      </c>
      <c r="B117" s="85" t="str">
        <f>IFERROR(__xludf.DUMMYFUNCTION("""COMPUTED_VALUE"""),"ARQUIVO PARA ESCRITORIO -(II)")</f>
        <v>ARQUIVO PARA ESCRITORIO -(II)</v>
      </c>
      <c r="C117" s="86">
        <f>IFERROR(__xludf.DUMMYFUNCTION("""COMPUTED_VALUE"""),1.0)</f>
        <v>1</v>
      </c>
      <c r="D117" s="87"/>
      <c r="E117" s="87" t="str">
        <f>IFERROR(__xludf.DUMMYFUNCTION("""COMPUTED_VALUE"""),"3 - CURVELO")</f>
        <v>3 - CURVELO</v>
      </c>
      <c r="F117" s="88"/>
      <c r="G117" s="89">
        <f>IFERROR(__xludf.DUMMYFUNCTION("""COMPUTED_VALUE"""),1.106666E7)</f>
        <v>11066660</v>
      </c>
      <c r="H117" s="87"/>
      <c r="I117" s="87"/>
    </row>
    <row r="118">
      <c r="A118" s="84">
        <f>IFERROR(__xludf.DUMMYFUNCTION("""COMPUTED_VALUE"""),117.0)</f>
        <v>117</v>
      </c>
      <c r="B118" s="85" t="str">
        <f>IFERROR(__xludf.DUMMYFUNCTION("""COMPUTED_VALUE"""),"ARQUIVO PARA ESCRITORIO -(II)")</f>
        <v>ARQUIVO PARA ESCRITORIO -(II)</v>
      </c>
      <c r="C118" s="86">
        <f>IFERROR(__xludf.DUMMYFUNCTION("""COMPUTED_VALUE"""),1.0)</f>
        <v>1</v>
      </c>
      <c r="D118" s="87"/>
      <c r="E118" s="87" t="str">
        <f>IFERROR(__xludf.DUMMYFUNCTION("""COMPUTED_VALUE"""),"3 - CURVELO")</f>
        <v>3 - CURVELO</v>
      </c>
      <c r="F118" s="88"/>
      <c r="G118" s="89">
        <f>IFERROR(__xludf.DUMMYFUNCTION("""COMPUTED_VALUE"""),1.106823E7)</f>
        <v>11068230</v>
      </c>
      <c r="H118" s="87"/>
      <c r="I118" s="87"/>
    </row>
    <row r="119">
      <c r="A119" s="84">
        <f>IFERROR(__xludf.DUMMYFUNCTION("""COMPUTED_VALUE"""),118.0)</f>
        <v>118</v>
      </c>
      <c r="B119" s="85" t="str">
        <f>IFERROR(__xludf.DUMMYFUNCTION("""COMPUTED_VALUE"""),"ARQUIVO PARA ESCRITORIO -(II)")</f>
        <v>ARQUIVO PARA ESCRITORIO -(II)</v>
      </c>
      <c r="C119" s="86">
        <f>IFERROR(__xludf.DUMMYFUNCTION("""COMPUTED_VALUE"""),1.0)</f>
        <v>1</v>
      </c>
      <c r="D119" s="87"/>
      <c r="E119" s="87" t="str">
        <f>IFERROR(__xludf.DUMMYFUNCTION("""COMPUTED_VALUE"""),"3 - CURVELO")</f>
        <v>3 - CURVELO</v>
      </c>
      <c r="F119" s="88"/>
      <c r="G119" s="89">
        <f>IFERROR(__xludf.DUMMYFUNCTION("""COMPUTED_VALUE"""),3400557.0)</f>
        <v>3400557</v>
      </c>
      <c r="H119" s="87"/>
      <c r="I119" s="87"/>
    </row>
    <row r="120">
      <c r="A120" s="84">
        <f>IFERROR(__xludf.DUMMYFUNCTION("""COMPUTED_VALUE"""),119.0)</f>
        <v>119</v>
      </c>
      <c r="B120" s="85" t="str">
        <f>IFERROR(__xludf.DUMMYFUNCTION("""COMPUTED_VALUE"""),"ARQUIVO PARA ESCRITORIO -(II)")</f>
        <v>ARQUIVO PARA ESCRITORIO -(II)</v>
      </c>
      <c r="C120" s="86">
        <f>IFERROR(__xludf.DUMMYFUNCTION("""COMPUTED_VALUE"""),1.0)</f>
        <v>1</v>
      </c>
      <c r="D120" s="87"/>
      <c r="E120" s="87" t="str">
        <f>IFERROR(__xludf.DUMMYFUNCTION("""COMPUTED_VALUE"""),"3 - CURVELO")</f>
        <v>3 - CURVELO</v>
      </c>
      <c r="F120" s="88"/>
      <c r="G120" s="89">
        <f>IFERROR(__xludf.DUMMYFUNCTION("""COMPUTED_VALUE"""),3526810.0)</f>
        <v>3526810</v>
      </c>
      <c r="H120" s="87"/>
      <c r="I120" s="87"/>
    </row>
    <row r="121">
      <c r="A121" s="84">
        <f>IFERROR(__xludf.DUMMYFUNCTION("""COMPUTED_VALUE"""),120.0)</f>
        <v>120</v>
      </c>
      <c r="B121" s="85" t="str">
        <f>IFERROR(__xludf.DUMMYFUNCTION("""COMPUTED_VALUE"""),"ARQUIVO PARA ESCRITORIO -(II)")</f>
        <v>ARQUIVO PARA ESCRITORIO -(II)</v>
      </c>
      <c r="C121" s="86">
        <f>IFERROR(__xludf.DUMMYFUNCTION("""COMPUTED_VALUE"""),1.0)</f>
        <v>1</v>
      </c>
      <c r="D121" s="87" t="str">
        <f>IFERROR(__xludf.DUMMYFUNCTION("""COMPUTED_VALUE"""),"SEÇÃO")</f>
        <v>SEÇÃO</v>
      </c>
      <c r="E121" s="87" t="str">
        <f>IFERROR(__xludf.DUMMYFUNCTION("""COMPUTED_VALUE"""),"3 - CURVELO")</f>
        <v>3 - CURVELO</v>
      </c>
      <c r="F121" s="88"/>
      <c r="G121" s="89">
        <f>IFERROR(__xludf.DUMMYFUNCTION("""COMPUTED_VALUE"""),4255909.0)</f>
        <v>4255909</v>
      </c>
      <c r="H121" s="87"/>
      <c r="I121" s="87" t="str">
        <f>IFERROR(__xludf.DUMMYFUNCTION("""COMPUTED_VALUE"""),"B4")</f>
        <v>B4</v>
      </c>
    </row>
    <row r="122">
      <c r="A122" s="84">
        <f>IFERROR(__xludf.DUMMYFUNCTION("""COMPUTED_VALUE"""),121.0)</f>
        <v>121</v>
      </c>
      <c r="B122" s="85" t="str">
        <f>IFERROR(__xludf.DUMMYFUNCTION("""COMPUTED_VALUE"""),"ARQUIVO PARA ESCRITORIO -(II)")</f>
        <v>ARQUIVO PARA ESCRITORIO -(II)</v>
      </c>
      <c r="C122" s="86">
        <f>IFERROR(__xludf.DUMMYFUNCTION("""COMPUTED_VALUE"""),1.0)</f>
        <v>1</v>
      </c>
      <c r="D122" s="87"/>
      <c r="E122" s="87" t="str">
        <f>IFERROR(__xludf.DUMMYFUNCTION("""COMPUTED_VALUE"""),"3 - CURVELO")</f>
        <v>3 - CURVELO</v>
      </c>
      <c r="F122" s="88"/>
      <c r="G122" s="89">
        <f>IFERROR(__xludf.DUMMYFUNCTION("""COMPUTED_VALUE"""),674583.0)</f>
        <v>674583</v>
      </c>
      <c r="H122" s="87"/>
      <c r="I122" s="87"/>
    </row>
    <row r="123">
      <c r="A123" s="84">
        <f>IFERROR(__xludf.DUMMYFUNCTION("""COMPUTED_VALUE"""),122.0)</f>
        <v>122</v>
      </c>
      <c r="B123" s="85" t="str">
        <f>IFERROR(__xludf.DUMMYFUNCTION("""COMPUTED_VALUE"""),"ARQUIVO PARA ESCRITORIO -(III)")</f>
        <v>ARQUIVO PARA ESCRITORIO -(III)</v>
      </c>
      <c r="C123" s="86">
        <f>IFERROR(__xludf.DUMMYFUNCTION("""COMPUTED_VALUE"""),1.0)</f>
        <v>1</v>
      </c>
      <c r="D123" s="87"/>
      <c r="E123" s="87" t="str">
        <f>IFERROR(__xludf.DUMMYFUNCTION("""COMPUTED_VALUE"""),"3 - CURVELO")</f>
        <v>3 - CURVELO</v>
      </c>
      <c r="F123" s="88"/>
      <c r="G123" s="89">
        <f>IFERROR(__xludf.DUMMYFUNCTION("""COMPUTED_VALUE"""),1.0920366E7)</f>
        <v>10920366</v>
      </c>
      <c r="H123" s="87"/>
      <c r="I123" s="87"/>
    </row>
    <row r="124">
      <c r="A124" s="84">
        <f>IFERROR(__xludf.DUMMYFUNCTION("""COMPUTED_VALUE"""),123.0)</f>
        <v>123</v>
      </c>
      <c r="B124" s="85" t="str">
        <f>IFERROR(__xludf.DUMMYFUNCTION("""COMPUTED_VALUE"""),"ASPIRADOR DE PO E/OU LIQUIDOS -")</f>
        <v>ASPIRADOR DE PO E/OU LIQUIDOS -</v>
      </c>
      <c r="C124" s="86">
        <f>IFERROR(__xludf.DUMMYFUNCTION("""COMPUTED_VALUE"""),1.0)</f>
        <v>1</v>
      </c>
      <c r="D124" s="87"/>
      <c r="E124" s="87" t="str">
        <f>IFERROR(__xludf.DUMMYFUNCTION("""COMPUTED_VALUE"""),"3 - CURVELO")</f>
        <v>3 - CURVELO</v>
      </c>
      <c r="F124" s="88"/>
      <c r="G124" s="89">
        <f>IFERROR(__xludf.DUMMYFUNCTION("""COMPUTED_VALUE"""),4.0358852E7)</f>
        <v>40358852</v>
      </c>
      <c r="H124" s="87"/>
      <c r="I124" s="87" t="str">
        <f>IFERROR(__xludf.DUMMYFUNCTION("""COMPUTED_VALUE"""),"B4")</f>
        <v>B4</v>
      </c>
    </row>
    <row r="125">
      <c r="A125" s="84">
        <f>IFERROR(__xludf.DUMMYFUNCTION("""COMPUTED_VALUE"""),124.0)</f>
        <v>124</v>
      </c>
      <c r="B125" s="85" t="str">
        <f>IFERROR(__xludf.DUMMYFUNCTION("""COMPUTED_VALUE"""),"AUTOMOVEL DE SERVICO -")</f>
        <v>AUTOMOVEL DE SERVICO -</v>
      </c>
      <c r="C125" s="86">
        <f>IFERROR(__xludf.DUMMYFUNCTION("""COMPUTED_VALUE"""),1.0)</f>
        <v>1</v>
      </c>
      <c r="D125" s="87" t="str">
        <f>IFERROR(__xludf.DUMMYFUNCTION("""COMPUTED_VALUE"""),"VIATURA")</f>
        <v>VIATURA</v>
      </c>
      <c r="E125" s="87" t="str">
        <f>IFERROR(__xludf.DUMMYFUNCTION("""COMPUTED_VALUE"""),"3 - DESCARGA")</f>
        <v>3 - DESCARGA</v>
      </c>
      <c r="F125" s="88"/>
      <c r="G125" s="89">
        <f>IFERROR(__xludf.DUMMYFUNCTION("""COMPUTED_VALUE"""),1.3927469E7)</f>
        <v>13927469</v>
      </c>
      <c r="H125" s="87" t="str">
        <f>IFERROR(__xludf.DUMMYFUNCTION("""COMPUTED_VALUE"""),"9BD15822786075261")</f>
        <v>9BD15822786075261</v>
      </c>
      <c r="I125" s="87" t="str">
        <f>IFERROR(__xludf.DUMMYFUNCTION("""COMPUTED_VALUE"""),"APF - 0779 placa HMH2069")</f>
        <v>APF - 0779 placa HMH2069</v>
      </c>
    </row>
    <row r="126">
      <c r="A126" s="84">
        <f>IFERROR(__xludf.DUMMYFUNCTION("""COMPUTED_VALUE"""),125.0)</f>
        <v>125</v>
      </c>
      <c r="B126" s="85" t="str">
        <f>IFERROR(__xludf.DUMMYFUNCTION("""COMPUTED_VALUE"""),"BARCO -")</f>
        <v>BARCO -</v>
      </c>
      <c r="C126" s="86">
        <f>IFERROR(__xludf.DUMMYFUNCTION("""COMPUTED_VALUE"""),1.0)</f>
        <v>1</v>
      </c>
      <c r="D126" s="87"/>
      <c r="E126" s="87" t="str">
        <f>IFERROR(__xludf.DUMMYFUNCTION("""COMPUTED_VALUE"""),"3 - CURVELO")</f>
        <v>3 - CURVELO</v>
      </c>
      <c r="F126" s="88"/>
      <c r="G126" s="89">
        <f>IFERROR(__xludf.DUMMYFUNCTION("""COMPUTED_VALUE"""),1.396738E7)</f>
        <v>13967380</v>
      </c>
      <c r="H126" s="87"/>
      <c r="I126" s="87" t="str">
        <f>IFERROR(__xludf.DUMMYFUNCTION("""COMPUTED_VALUE"""),"GARAGEM P I")</f>
        <v>GARAGEM P I</v>
      </c>
    </row>
    <row r="127">
      <c r="A127" s="84">
        <f>IFERROR(__xludf.DUMMYFUNCTION("""COMPUTED_VALUE"""),126.0)</f>
        <v>126</v>
      </c>
      <c r="B127" s="85" t="str">
        <f>IFERROR(__xludf.DUMMYFUNCTION("""COMPUTED_VALUE"""),"BARCO -")</f>
        <v>BARCO -</v>
      </c>
      <c r="C127" s="86">
        <f>IFERROR(__xludf.DUMMYFUNCTION("""COMPUTED_VALUE"""),1.0)</f>
        <v>1</v>
      </c>
      <c r="D127" s="87"/>
      <c r="E127" s="87" t="str">
        <f>IFERROR(__xludf.DUMMYFUNCTION("""COMPUTED_VALUE"""),"3 - CURVELO")</f>
        <v>3 - CURVELO</v>
      </c>
      <c r="F127" s="88"/>
      <c r="G127" s="89">
        <f>IFERROR(__xludf.DUMMYFUNCTION("""COMPUTED_VALUE"""),1.4063018E7)</f>
        <v>14063018</v>
      </c>
      <c r="H127" s="87"/>
      <c r="I127" s="87" t="str">
        <f>IFERROR(__xludf.DUMMYFUNCTION("""COMPUTED_VALUE"""),"GARAGEM PI")</f>
        <v>GARAGEM PI</v>
      </c>
    </row>
    <row r="128">
      <c r="A128" s="84">
        <f>IFERROR(__xludf.DUMMYFUNCTION("""COMPUTED_VALUE"""),127.0)</f>
        <v>127</v>
      </c>
      <c r="B128" s="85" t="str">
        <f>IFERROR(__xludf.DUMMYFUNCTION("""COMPUTED_VALUE"""),"BEBEDOURO PARA GARRAFAO AGUA MINERAL -")</f>
        <v>BEBEDOURO PARA GARRAFAO AGUA MINERAL -</v>
      </c>
      <c r="C128" s="86">
        <f>IFERROR(__xludf.DUMMYFUNCTION("""COMPUTED_VALUE"""),1.0)</f>
        <v>1</v>
      </c>
      <c r="D128" s="87" t="str">
        <f>IFERROR(__xludf.DUMMYFUNCTION("""COMPUTED_VALUE"""),"SEÇÃO")</f>
        <v>SEÇÃO</v>
      </c>
      <c r="E128" s="87" t="str">
        <f>IFERROR(__xludf.DUMMYFUNCTION("""COMPUTED_VALUE"""),"3 - DESCARGA")</f>
        <v>3 - DESCARGA</v>
      </c>
      <c r="F128" s="88"/>
      <c r="G128" s="89">
        <f>IFERROR(__xludf.DUMMYFUNCTION("""COMPUTED_VALUE"""),4.0309444E7)</f>
        <v>40309444</v>
      </c>
      <c r="H128" s="87"/>
      <c r="I128" s="87" t="str">
        <f>IFERROR(__xludf.DUMMYFUNCTION("""COMPUTED_VALUE"""),"MATERIAL DESCARREGADO - PROCESSO Nº 1400.01.0026473/2023-01")</f>
        <v>MATERIAL DESCARREGADO - PROCESSO Nº 1400.01.0026473/2023-01</v>
      </c>
    </row>
    <row r="129">
      <c r="A129" s="84">
        <f>IFERROR(__xludf.DUMMYFUNCTION("""COMPUTED_VALUE"""),128.0)</f>
        <v>128</v>
      </c>
      <c r="B129" s="85" t="str">
        <f>IFERROR(__xludf.DUMMYFUNCTION("""COMPUTED_VALUE"""),"BEBEDOURO REFRIGERADO -")</f>
        <v>BEBEDOURO REFRIGERADO -</v>
      </c>
      <c r="C129" s="86">
        <f>IFERROR(__xludf.DUMMYFUNCTION("""COMPUTED_VALUE"""),1.0)</f>
        <v>1</v>
      </c>
      <c r="D129" s="87" t="str">
        <f>IFERROR(__xludf.DUMMYFUNCTION("""COMPUTED_VALUE"""),"SEÇÃO")</f>
        <v>SEÇÃO</v>
      </c>
      <c r="E129" s="87" t="str">
        <f>IFERROR(__xludf.DUMMYFUNCTION("""COMPUTED_VALUE"""),"3 - DESCARGA")</f>
        <v>3 - DESCARGA</v>
      </c>
      <c r="F129" s="88"/>
      <c r="G129" s="89">
        <f>IFERROR(__xludf.DUMMYFUNCTION("""COMPUTED_VALUE"""),4.0259331E7)</f>
        <v>40259331</v>
      </c>
      <c r="H129" s="87"/>
      <c r="I129" s="87" t="str">
        <f>IFERROR(__xludf.DUMMYFUNCTION("""COMPUTED_VALUE"""),"MATERIAL DESCARREGADO - PROCESSO Nº 1400.01.0026473/2023-01")</f>
        <v>MATERIAL DESCARREGADO - PROCESSO Nº 1400.01.0026473/2023-01</v>
      </c>
    </row>
    <row r="130">
      <c r="A130" s="84">
        <f>IFERROR(__xludf.DUMMYFUNCTION("""COMPUTED_VALUE"""),129.0)</f>
        <v>129</v>
      </c>
      <c r="B130" s="85" t="str">
        <f>IFERROR(__xludf.DUMMYFUNCTION("""COMPUTED_VALUE"""),"BEBEDOURO REFRIGERADO -")</f>
        <v>BEBEDOURO REFRIGERADO -</v>
      </c>
      <c r="C130" s="86">
        <f>IFERROR(__xludf.DUMMYFUNCTION("""COMPUTED_VALUE"""),1.0)</f>
        <v>1</v>
      </c>
      <c r="D130" s="87"/>
      <c r="E130" s="87" t="str">
        <f>IFERROR(__xludf.DUMMYFUNCTION("""COMPUTED_VALUE"""),"3 - CURVELO")</f>
        <v>3 - CURVELO</v>
      </c>
      <c r="F130" s="88"/>
      <c r="G130" s="89">
        <f>IFERROR(__xludf.DUMMYFUNCTION("""COMPUTED_VALUE"""),4.025934E7)</f>
        <v>40259340</v>
      </c>
      <c r="H130" s="87"/>
      <c r="I130" s="87" t="str">
        <f>IFERROR(__xludf.DUMMYFUNCTION("""COMPUTED_VALUE"""),"ADM (OK)")</f>
        <v>ADM (OK)</v>
      </c>
    </row>
    <row r="131">
      <c r="A131" s="84">
        <f>IFERROR(__xludf.DUMMYFUNCTION("""COMPUTED_VALUE"""),130.0)</f>
        <v>130</v>
      </c>
      <c r="B131" s="85" t="str">
        <f>IFERROR(__xludf.DUMMYFUNCTION("""COMPUTED_VALUE"""),"BINOCULO -")</f>
        <v>BINOCULO -</v>
      </c>
      <c r="C131" s="86">
        <f>IFERROR(__xludf.DUMMYFUNCTION("""COMPUTED_VALUE"""),1.0)</f>
        <v>1</v>
      </c>
      <c r="D131" s="87" t="str">
        <f>IFERROR(__xludf.DUMMYFUNCTION("""COMPUTED_VALUE"""),"SEÇÃO")</f>
        <v>SEÇÃO</v>
      </c>
      <c r="E131" s="87" t="str">
        <f>IFERROR(__xludf.DUMMYFUNCTION("""COMPUTED_VALUE"""),"3 - DESCARGA")</f>
        <v>3 - DESCARGA</v>
      </c>
      <c r="F131" s="88"/>
      <c r="G131" s="89">
        <f>IFERROR(__xludf.DUMMYFUNCTION("""COMPUTED_VALUE"""),1.3857819E7)</f>
        <v>13857819</v>
      </c>
      <c r="H131" s="87"/>
      <c r="I131" s="87" t="str">
        <f>IFERROR(__xludf.DUMMYFUNCTION("""COMPUTED_VALUE"""),"MATERIAL DESCARREGADO - PROCESSO Nº 1400.01.0026473/2023-01")</f>
        <v>MATERIAL DESCARREGADO - PROCESSO Nº 1400.01.0026473/2023-01</v>
      </c>
    </row>
    <row r="132">
      <c r="A132" s="84">
        <f>IFERROR(__xludf.DUMMYFUNCTION("""COMPUTED_VALUE"""),131.0)</f>
        <v>131</v>
      </c>
      <c r="B132" s="85" t="str">
        <f>IFERROR(__xludf.DUMMYFUNCTION("""COMPUTED_VALUE"""),"BINOCULO -")</f>
        <v>BINOCULO -</v>
      </c>
      <c r="C132" s="86">
        <f>IFERROR(__xludf.DUMMYFUNCTION("""COMPUTED_VALUE"""),1.0)</f>
        <v>1</v>
      </c>
      <c r="D132" s="87"/>
      <c r="E132" s="87" t="str">
        <f>IFERROR(__xludf.DUMMYFUNCTION("""COMPUTED_VALUE"""),"3 - CURVELO")</f>
        <v>3 - CURVELO</v>
      </c>
      <c r="F132" s="88"/>
      <c r="G132" s="89">
        <f>IFERROR(__xludf.DUMMYFUNCTION("""COMPUTED_VALUE"""),1.3954563E7)</f>
        <v>13954563</v>
      </c>
      <c r="H132" s="87"/>
      <c r="I132" s="87"/>
    </row>
    <row r="133">
      <c r="A133" s="84">
        <f>IFERROR(__xludf.DUMMYFUNCTION("""COMPUTED_VALUE"""),132.0)</f>
        <v>132</v>
      </c>
      <c r="B133" s="85" t="str">
        <f>IFERROR(__xludf.DUMMYFUNCTION("""COMPUTED_VALUE"""),"BINOCULO -")</f>
        <v>BINOCULO -</v>
      </c>
      <c r="C133" s="86">
        <f>IFERROR(__xludf.DUMMYFUNCTION("""COMPUTED_VALUE"""),1.0)</f>
        <v>1</v>
      </c>
      <c r="D133" s="87" t="str">
        <f>IFERROR(__xludf.DUMMYFUNCTION("""COMPUTED_VALUE"""),"SEÇÃO")</f>
        <v>SEÇÃO</v>
      </c>
      <c r="E133" s="87" t="str">
        <f>IFERROR(__xludf.DUMMYFUNCTION("""COMPUTED_VALUE"""),"3 - DESCARGA")</f>
        <v>3 - DESCARGA</v>
      </c>
      <c r="F133" s="88"/>
      <c r="G133" s="89">
        <f>IFERROR(__xludf.DUMMYFUNCTION("""COMPUTED_VALUE"""),1.4142155E7)</f>
        <v>14142155</v>
      </c>
      <c r="H133" s="87"/>
      <c r="I133" s="87" t="str">
        <f>IFERROR(__xludf.DUMMYFUNCTION("""COMPUTED_VALUE"""),"MATERIAL DESCARREGADO - PROCESSO Nº 1400.01.0026473/2023-01")</f>
        <v>MATERIAL DESCARREGADO - PROCESSO Nº 1400.01.0026473/2023-01</v>
      </c>
    </row>
    <row r="134">
      <c r="A134" s="84">
        <f>IFERROR(__xludf.DUMMYFUNCTION("""COMPUTED_VALUE"""),133.0)</f>
        <v>133</v>
      </c>
      <c r="B134" s="85" t="str">
        <f>IFERROR(__xludf.DUMMYFUNCTION("""COMPUTED_VALUE"""),"BINOCULO -")</f>
        <v>BINOCULO -</v>
      </c>
      <c r="C134" s="86">
        <f>IFERROR(__xludf.DUMMYFUNCTION("""COMPUTED_VALUE"""),1.0)</f>
        <v>1</v>
      </c>
      <c r="D134" s="87"/>
      <c r="E134" s="87" t="str">
        <f>IFERROR(__xludf.DUMMYFUNCTION("""COMPUTED_VALUE"""),"3 - CURVELO")</f>
        <v>3 - CURVELO</v>
      </c>
      <c r="F134" s="88"/>
      <c r="G134" s="89">
        <f>IFERROR(__xludf.DUMMYFUNCTION("""COMPUTED_VALUE"""),1.4142163E7)</f>
        <v>14142163</v>
      </c>
      <c r="H134" s="87"/>
      <c r="I134" s="87"/>
    </row>
    <row r="135">
      <c r="A135" s="84">
        <f>IFERROR(__xludf.DUMMYFUNCTION("""COMPUTED_VALUE"""),134.0)</f>
        <v>134</v>
      </c>
      <c r="B135" s="85" t="str">
        <f>IFERROR(__xludf.DUMMYFUNCTION("""COMPUTED_VALUE"""),"BINOCULO -")</f>
        <v>BINOCULO -</v>
      </c>
      <c r="C135" s="86">
        <f>IFERROR(__xludf.DUMMYFUNCTION("""COMPUTED_VALUE"""),1.0)</f>
        <v>1</v>
      </c>
      <c r="D135" s="87" t="str">
        <f>IFERROR(__xludf.DUMMYFUNCTION("""COMPUTED_VALUE"""),"SEÇÃO")</f>
        <v>SEÇÃO</v>
      </c>
      <c r="E135" s="87" t="str">
        <f>IFERROR(__xludf.DUMMYFUNCTION("""COMPUTED_VALUE"""),"3 - DESCARGA")</f>
        <v>3 - DESCARGA</v>
      </c>
      <c r="F135" s="88"/>
      <c r="G135" s="89">
        <f>IFERROR(__xludf.DUMMYFUNCTION("""COMPUTED_VALUE"""),4.0076962E7)</f>
        <v>40076962</v>
      </c>
      <c r="H135" s="87"/>
      <c r="I135" s="87" t="str">
        <f>IFERROR(__xludf.DUMMYFUNCTION("""COMPUTED_VALUE"""),"MATERIAL DESCARREGADO - PROCESSO Nº 1400.01.0026473/2023-01")</f>
        <v>MATERIAL DESCARREGADO - PROCESSO Nº 1400.01.0026473/2023-01</v>
      </c>
    </row>
    <row r="136">
      <c r="A136" s="84">
        <f>IFERROR(__xludf.DUMMYFUNCTION("""COMPUTED_VALUE"""),135.0)</f>
        <v>135</v>
      </c>
      <c r="B136" s="85" t="str">
        <f>IFERROR(__xludf.DUMMYFUNCTION("""COMPUTED_VALUE"""),"BINOCULO -")</f>
        <v>BINOCULO -</v>
      </c>
      <c r="C136" s="86">
        <f>IFERROR(__xludf.DUMMYFUNCTION("""COMPUTED_VALUE"""),1.0)</f>
        <v>1</v>
      </c>
      <c r="D136" s="87" t="str">
        <f>IFERROR(__xludf.DUMMYFUNCTION("""COMPUTED_VALUE"""),"SEÇÃO")</f>
        <v>SEÇÃO</v>
      </c>
      <c r="E136" s="87" t="str">
        <f>IFERROR(__xludf.DUMMYFUNCTION("""COMPUTED_VALUE"""),"3 - CURVELO")</f>
        <v>3 - CURVELO</v>
      </c>
      <c r="F136" s="88"/>
      <c r="G136" s="89">
        <f>IFERROR(__xludf.DUMMYFUNCTION("""COMPUTED_VALUE"""),7.6730743E7)</f>
        <v>76730743</v>
      </c>
      <c r="H136" s="87"/>
      <c r="I136" s="87" t="str">
        <f>IFERROR(__xludf.DUMMYFUNCTION("""COMPUTED_VALUE"""),"B4")</f>
        <v>B4</v>
      </c>
    </row>
    <row r="137">
      <c r="A137" s="84">
        <f>IFERROR(__xludf.DUMMYFUNCTION("""COMPUTED_VALUE"""),136.0)</f>
        <v>136</v>
      </c>
      <c r="B137" s="85" t="str">
        <f>IFERROR(__xludf.DUMMYFUNCTION("""COMPUTED_VALUE"""),"BINOCULO -")</f>
        <v>BINOCULO -</v>
      </c>
      <c r="C137" s="86">
        <f>IFERROR(__xludf.DUMMYFUNCTION("""COMPUTED_VALUE"""),1.0)</f>
        <v>1</v>
      </c>
      <c r="D137" s="87" t="str">
        <f>IFERROR(__xludf.DUMMYFUNCTION("""COMPUTED_VALUE"""),"SEÇÃO")</f>
        <v>SEÇÃO</v>
      </c>
      <c r="E137" s="87" t="str">
        <f>IFERROR(__xludf.DUMMYFUNCTION("""COMPUTED_VALUE"""),"3 - CURVELO")</f>
        <v>3 - CURVELO</v>
      </c>
      <c r="F137" s="88"/>
      <c r="G137" s="89">
        <f>IFERROR(__xludf.DUMMYFUNCTION("""COMPUTED_VALUE"""),7.6730751E7)</f>
        <v>76730751</v>
      </c>
      <c r="H137" s="87"/>
      <c r="I137" s="87" t="str">
        <f>IFERROR(__xludf.DUMMYFUNCTION("""COMPUTED_VALUE"""),"B4")</f>
        <v>B4</v>
      </c>
    </row>
    <row r="138">
      <c r="A138" s="84">
        <f>IFERROR(__xludf.DUMMYFUNCTION("""COMPUTED_VALUE"""),137.0)</f>
        <v>137</v>
      </c>
      <c r="B138" s="85" t="str">
        <f>IFERROR(__xludf.DUMMYFUNCTION("""COMPUTED_VALUE"""),"BINOCULO -")</f>
        <v>BINOCULO -</v>
      </c>
      <c r="C138" s="86">
        <f>IFERROR(__xludf.DUMMYFUNCTION("""COMPUTED_VALUE"""),1.0)</f>
        <v>1</v>
      </c>
      <c r="D138" s="87" t="str">
        <f>IFERROR(__xludf.DUMMYFUNCTION("""COMPUTED_VALUE"""),"SEÇÃO")</f>
        <v>SEÇÃO</v>
      </c>
      <c r="E138" s="87" t="str">
        <f>IFERROR(__xludf.DUMMYFUNCTION("""COMPUTED_VALUE"""),"3 - CURVELO")</f>
        <v>3 - CURVELO</v>
      </c>
      <c r="F138" s="88"/>
      <c r="G138" s="89">
        <f>IFERROR(__xludf.DUMMYFUNCTION("""COMPUTED_VALUE"""),7.673076E7)</f>
        <v>76730760</v>
      </c>
      <c r="H138" s="87"/>
      <c r="I138" s="87" t="str">
        <f>IFERROR(__xludf.DUMMYFUNCTION("""COMPUTED_VALUE"""),"B4")</f>
        <v>B4</v>
      </c>
    </row>
    <row r="139">
      <c r="A139" s="84">
        <f>IFERROR(__xludf.DUMMYFUNCTION("""COMPUTED_VALUE"""),138.0)</f>
        <v>138</v>
      </c>
      <c r="B139" s="85" t="str">
        <f>IFERROR(__xludf.DUMMYFUNCTION("""COMPUTED_VALUE"""),"BINOCULO -")</f>
        <v>BINOCULO -</v>
      </c>
      <c r="C139" s="86">
        <f>IFERROR(__xludf.DUMMYFUNCTION("""COMPUTED_VALUE"""),1.0)</f>
        <v>1</v>
      </c>
      <c r="D139" s="87" t="str">
        <f>IFERROR(__xludf.DUMMYFUNCTION("""COMPUTED_VALUE"""),"SEÇÃO")</f>
        <v>SEÇÃO</v>
      </c>
      <c r="E139" s="87" t="str">
        <f>IFERROR(__xludf.DUMMYFUNCTION("""COMPUTED_VALUE"""),"3 - CURVELO")</f>
        <v>3 - CURVELO</v>
      </c>
      <c r="F139" s="88"/>
      <c r="G139" s="89">
        <f>IFERROR(__xludf.DUMMYFUNCTION("""COMPUTED_VALUE"""),7.6730778E7)</f>
        <v>76730778</v>
      </c>
      <c r="H139" s="87"/>
      <c r="I139" s="87" t="str">
        <f>IFERROR(__xludf.DUMMYFUNCTION("""COMPUTED_VALUE"""),"B4")</f>
        <v>B4</v>
      </c>
    </row>
    <row r="140">
      <c r="A140" s="84">
        <f>IFERROR(__xludf.DUMMYFUNCTION("""COMPUTED_VALUE"""),139.0)</f>
        <v>139</v>
      </c>
      <c r="B140" s="85" t="str">
        <f>IFERROR(__xludf.DUMMYFUNCTION("""COMPUTED_VALUE"""),"BINOCULO -")</f>
        <v>BINOCULO -</v>
      </c>
      <c r="C140" s="86">
        <f>IFERROR(__xludf.DUMMYFUNCTION("""COMPUTED_VALUE"""),1.0)</f>
        <v>1</v>
      </c>
      <c r="D140" s="87" t="str">
        <f>IFERROR(__xludf.DUMMYFUNCTION("""COMPUTED_VALUE"""),"SEÇÃO")</f>
        <v>SEÇÃO</v>
      </c>
      <c r="E140" s="87" t="str">
        <f>IFERROR(__xludf.DUMMYFUNCTION("""COMPUTED_VALUE"""),"3 - CURVELO")</f>
        <v>3 - CURVELO</v>
      </c>
      <c r="F140" s="88"/>
      <c r="G140" s="89">
        <f>IFERROR(__xludf.DUMMYFUNCTION("""COMPUTED_VALUE"""),7.6730786E7)</f>
        <v>76730786</v>
      </c>
      <c r="H140" s="87"/>
      <c r="I140" s="87" t="str">
        <f>IFERROR(__xludf.DUMMYFUNCTION("""COMPUTED_VALUE"""),"B4")</f>
        <v>B4</v>
      </c>
    </row>
    <row r="141">
      <c r="A141" s="84">
        <f>IFERROR(__xludf.DUMMYFUNCTION("""COMPUTED_VALUE"""),140.0)</f>
        <v>140</v>
      </c>
      <c r="B141" s="85" t="str">
        <f>IFERROR(__xludf.DUMMYFUNCTION("""COMPUTED_VALUE"""),"BINOCULO -")</f>
        <v>BINOCULO -</v>
      </c>
      <c r="C141" s="86">
        <f>IFERROR(__xludf.DUMMYFUNCTION("""COMPUTED_VALUE"""),1.0)</f>
        <v>1</v>
      </c>
      <c r="D141" s="87" t="str">
        <f>IFERROR(__xludf.DUMMYFUNCTION("""COMPUTED_VALUE"""),"SEÇÃO")</f>
        <v>SEÇÃO</v>
      </c>
      <c r="E141" s="87" t="str">
        <f>IFERROR(__xludf.DUMMYFUNCTION("""COMPUTED_VALUE"""),"3 - CURVELO")</f>
        <v>3 - CURVELO</v>
      </c>
      <c r="F141" s="88"/>
      <c r="G141" s="89">
        <f>IFERROR(__xludf.DUMMYFUNCTION("""COMPUTED_VALUE"""),7.6730794E7)</f>
        <v>76730794</v>
      </c>
      <c r="H141" s="87"/>
      <c r="I141" s="87" t="str">
        <f>IFERROR(__xludf.DUMMYFUNCTION("""COMPUTED_VALUE"""),"B4")</f>
        <v>B4</v>
      </c>
    </row>
    <row r="142">
      <c r="A142" s="84">
        <f>IFERROR(__xludf.DUMMYFUNCTION("""COMPUTED_VALUE"""),141.0)</f>
        <v>141</v>
      </c>
      <c r="B142" s="85" t="str">
        <f>IFERROR(__xludf.DUMMYFUNCTION("""COMPUTED_VALUE"""),"BOMBA COSTAL PARA COMBATE A INCENDIO -")</f>
        <v>BOMBA COSTAL PARA COMBATE A INCENDIO -</v>
      </c>
      <c r="C142" s="86">
        <f>IFERROR(__xludf.DUMMYFUNCTION("""COMPUTED_VALUE"""),1.0)</f>
        <v>1</v>
      </c>
      <c r="D142" s="87" t="str">
        <f>IFERROR(__xludf.DUMMYFUNCTION("""COMPUTED_VALUE"""),"SEÇÃO")</f>
        <v>SEÇÃO</v>
      </c>
      <c r="E142" s="87" t="str">
        <f>IFERROR(__xludf.DUMMYFUNCTION("""COMPUTED_VALUE"""),"3 - CURVELO")</f>
        <v>3 - CURVELO</v>
      </c>
      <c r="F142" s="88"/>
      <c r="G142" s="89">
        <f>IFERROR(__xludf.DUMMYFUNCTION("""COMPUTED_VALUE"""),1.3884816E7)</f>
        <v>13884816</v>
      </c>
      <c r="H142" s="87"/>
      <c r="I142" s="87" t="str">
        <f>IFERROR(__xludf.DUMMYFUNCTION("""COMPUTED_VALUE"""),"SAO")</f>
        <v>SAO</v>
      </c>
    </row>
    <row r="143">
      <c r="A143" s="84">
        <f>IFERROR(__xludf.DUMMYFUNCTION("""COMPUTED_VALUE"""),142.0)</f>
        <v>142</v>
      </c>
      <c r="B143" s="85" t="str">
        <f>IFERROR(__xludf.DUMMYFUNCTION("""COMPUTED_VALUE"""),"BOMBA COSTAL PARA COMBATE A INCENDIO -")</f>
        <v>BOMBA COSTAL PARA COMBATE A INCENDIO -</v>
      </c>
      <c r="C143" s="86">
        <f>IFERROR(__xludf.DUMMYFUNCTION("""COMPUTED_VALUE"""),1.0)</f>
        <v>1</v>
      </c>
      <c r="D143" s="87" t="str">
        <f>IFERROR(__xludf.DUMMYFUNCTION("""COMPUTED_VALUE"""),"SEÇÃO")</f>
        <v>SEÇÃO</v>
      </c>
      <c r="E143" s="87" t="str">
        <f>IFERROR(__xludf.DUMMYFUNCTION("""COMPUTED_VALUE"""),"3 - CURVELO")</f>
        <v>3 - CURVELO</v>
      </c>
      <c r="F143" s="88"/>
      <c r="G143" s="89">
        <f>IFERROR(__xludf.DUMMYFUNCTION("""COMPUTED_VALUE"""),1.3884824E7)</f>
        <v>13884824</v>
      </c>
      <c r="H143" s="87"/>
      <c r="I143" s="87" t="str">
        <f>IFERROR(__xludf.DUMMYFUNCTION("""COMPUTED_VALUE"""),"SAO")</f>
        <v>SAO</v>
      </c>
    </row>
    <row r="144">
      <c r="A144" s="84">
        <f>IFERROR(__xludf.DUMMYFUNCTION("""COMPUTED_VALUE"""),143.0)</f>
        <v>143</v>
      </c>
      <c r="B144" s="85" t="str">
        <f>IFERROR(__xludf.DUMMYFUNCTION("""COMPUTED_VALUE"""),"BOMBA COSTAL PARA COMBATE A INCENDIO -")</f>
        <v>BOMBA COSTAL PARA COMBATE A INCENDIO -</v>
      </c>
      <c r="C144" s="86">
        <f>IFERROR(__xludf.DUMMYFUNCTION("""COMPUTED_VALUE"""),1.0)</f>
        <v>1</v>
      </c>
      <c r="D144" s="87" t="str">
        <f>IFERROR(__xludf.DUMMYFUNCTION("""COMPUTED_VALUE"""),"SEÇÃO")</f>
        <v>SEÇÃO</v>
      </c>
      <c r="E144" s="87" t="str">
        <f>IFERROR(__xludf.DUMMYFUNCTION("""COMPUTED_VALUE"""),"3 - CURVELO")</f>
        <v>3 - CURVELO</v>
      </c>
      <c r="F144" s="88"/>
      <c r="G144" s="89">
        <f>IFERROR(__xludf.DUMMYFUNCTION("""COMPUTED_VALUE"""),1.3884832E7)</f>
        <v>13884832</v>
      </c>
      <c r="H144" s="87"/>
      <c r="I144" s="87" t="str">
        <f>IFERROR(__xludf.DUMMYFUNCTION("""COMPUTED_VALUE"""),"SAO")</f>
        <v>SAO</v>
      </c>
    </row>
    <row r="145">
      <c r="A145" s="84">
        <f>IFERROR(__xludf.DUMMYFUNCTION("""COMPUTED_VALUE"""),144.0)</f>
        <v>144</v>
      </c>
      <c r="B145" s="85" t="str">
        <f>IFERROR(__xludf.DUMMYFUNCTION("""COMPUTED_VALUE"""),"BOMBA COSTAL PARA COMBATE A INCENDIO -")</f>
        <v>BOMBA COSTAL PARA COMBATE A INCENDIO -</v>
      </c>
      <c r="C145" s="86">
        <f>IFERROR(__xludf.DUMMYFUNCTION("""COMPUTED_VALUE"""),1.0)</f>
        <v>1</v>
      </c>
      <c r="D145" s="87" t="str">
        <f>IFERROR(__xludf.DUMMYFUNCTION("""COMPUTED_VALUE"""),"SEÇÃO")</f>
        <v>SEÇÃO</v>
      </c>
      <c r="E145" s="87" t="str">
        <f>IFERROR(__xludf.DUMMYFUNCTION("""COMPUTED_VALUE"""),"3 - CURVELO")</f>
        <v>3 - CURVELO</v>
      </c>
      <c r="F145" s="88"/>
      <c r="G145" s="89">
        <f>IFERROR(__xludf.DUMMYFUNCTION("""COMPUTED_VALUE"""),1.388484E7)</f>
        <v>13884840</v>
      </c>
      <c r="H145" s="87"/>
      <c r="I145" s="87" t="str">
        <f>IFERROR(__xludf.DUMMYFUNCTION("""COMPUTED_VALUE"""),"SAO")</f>
        <v>SAO</v>
      </c>
    </row>
    <row r="146">
      <c r="A146" s="84">
        <f>IFERROR(__xludf.DUMMYFUNCTION("""COMPUTED_VALUE"""),145.0)</f>
        <v>145</v>
      </c>
      <c r="B146" s="85" t="str">
        <f>IFERROR(__xludf.DUMMYFUNCTION("""COMPUTED_VALUE"""),"BOMBA COSTAL PARA COMBATE A INCENDIO -")</f>
        <v>BOMBA COSTAL PARA COMBATE A INCENDIO -</v>
      </c>
      <c r="C146" s="86">
        <f>IFERROR(__xludf.DUMMYFUNCTION("""COMPUTED_VALUE"""),1.0)</f>
        <v>1</v>
      </c>
      <c r="D146" s="87" t="str">
        <f>IFERROR(__xludf.DUMMYFUNCTION("""COMPUTED_VALUE"""),"SEÇÃO")</f>
        <v>SEÇÃO</v>
      </c>
      <c r="E146" s="87" t="str">
        <f>IFERROR(__xludf.DUMMYFUNCTION("""COMPUTED_VALUE"""),"3 - CURVELO")</f>
        <v>3 - CURVELO</v>
      </c>
      <c r="F146" s="88"/>
      <c r="G146" s="89">
        <f>IFERROR(__xludf.DUMMYFUNCTION("""COMPUTED_VALUE"""),1.3884859E7)</f>
        <v>13884859</v>
      </c>
      <c r="H146" s="87"/>
      <c r="I146" s="87" t="str">
        <f>IFERROR(__xludf.DUMMYFUNCTION("""COMPUTED_VALUE"""),"SAO")</f>
        <v>SAO</v>
      </c>
    </row>
    <row r="147">
      <c r="A147" s="84">
        <f>IFERROR(__xludf.DUMMYFUNCTION("""COMPUTED_VALUE"""),146.0)</f>
        <v>146</v>
      </c>
      <c r="B147" s="85" t="str">
        <f>IFERROR(__xludf.DUMMYFUNCTION("""COMPUTED_VALUE"""),"BOMBA COSTAL PARA COMBATE A INCENDIO -")</f>
        <v>BOMBA COSTAL PARA COMBATE A INCENDIO -</v>
      </c>
      <c r="C147" s="86">
        <f>IFERROR(__xludf.DUMMYFUNCTION("""COMPUTED_VALUE"""),1.0)</f>
        <v>1</v>
      </c>
      <c r="D147" s="87" t="str">
        <f>IFERROR(__xludf.DUMMYFUNCTION("""COMPUTED_VALUE"""),"SEÇÃO")</f>
        <v>SEÇÃO</v>
      </c>
      <c r="E147" s="87" t="str">
        <f>IFERROR(__xludf.DUMMYFUNCTION("""COMPUTED_VALUE"""),"3 - CURVELO")</f>
        <v>3 - CURVELO</v>
      </c>
      <c r="F147" s="88"/>
      <c r="G147" s="89">
        <f>IFERROR(__xludf.DUMMYFUNCTION("""COMPUTED_VALUE"""),1.3884867E7)</f>
        <v>13884867</v>
      </c>
      <c r="H147" s="87"/>
      <c r="I147" s="87" t="str">
        <f>IFERROR(__xludf.DUMMYFUNCTION("""COMPUTED_VALUE"""),"SAO")</f>
        <v>SAO</v>
      </c>
    </row>
    <row r="148">
      <c r="A148" s="84">
        <f>IFERROR(__xludf.DUMMYFUNCTION("""COMPUTED_VALUE"""),147.0)</f>
        <v>147</v>
      </c>
      <c r="B148" s="85" t="str">
        <f>IFERROR(__xludf.DUMMYFUNCTION("""COMPUTED_VALUE"""),"BOMBA COSTAL PARA COMBATE A INCENDIO -")</f>
        <v>BOMBA COSTAL PARA COMBATE A INCENDIO -</v>
      </c>
      <c r="C148" s="86">
        <f>IFERROR(__xludf.DUMMYFUNCTION("""COMPUTED_VALUE"""),1.0)</f>
        <v>1</v>
      </c>
      <c r="D148" s="87" t="str">
        <f>IFERROR(__xludf.DUMMYFUNCTION("""COMPUTED_VALUE"""),"SEÇÃO")</f>
        <v>SEÇÃO</v>
      </c>
      <c r="E148" s="87" t="str">
        <f>IFERROR(__xludf.DUMMYFUNCTION("""COMPUTED_VALUE"""),"3 - CURVELO")</f>
        <v>3 - CURVELO</v>
      </c>
      <c r="F148" s="88"/>
      <c r="G148" s="89">
        <f>IFERROR(__xludf.DUMMYFUNCTION("""COMPUTED_VALUE"""),1.3884875E7)</f>
        <v>13884875</v>
      </c>
      <c r="H148" s="87"/>
      <c r="I148" s="87" t="str">
        <f>IFERROR(__xludf.DUMMYFUNCTION("""COMPUTED_VALUE"""),"SAO")</f>
        <v>SAO</v>
      </c>
    </row>
    <row r="149">
      <c r="A149" s="84">
        <f>IFERROR(__xludf.DUMMYFUNCTION("""COMPUTED_VALUE"""),148.0)</f>
        <v>148</v>
      </c>
      <c r="B149" s="85" t="str">
        <f>IFERROR(__xludf.DUMMYFUNCTION("""COMPUTED_VALUE"""),"BOMBA COSTAL PARA COMBATE A INCENDIO -")</f>
        <v>BOMBA COSTAL PARA COMBATE A INCENDIO -</v>
      </c>
      <c r="C149" s="86">
        <f>IFERROR(__xludf.DUMMYFUNCTION("""COMPUTED_VALUE"""),1.0)</f>
        <v>1</v>
      </c>
      <c r="D149" s="87" t="str">
        <f>IFERROR(__xludf.DUMMYFUNCTION("""COMPUTED_VALUE"""),"VIATURA")</f>
        <v>VIATURA</v>
      </c>
      <c r="E149" s="87" t="str">
        <f>IFERROR(__xludf.DUMMYFUNCTION("""COMPUTED_VALUE"""),"3 - CURVELO")</f>
        <v>3 - CURVELO</v>
      </c>
      <c r="F149" s="88"/>
      <c r="G149" s="89">
        <f>IFERROR(__xludf.DUMMYFUNCTION("""COMPUTED_VALUE"""),4.0224511E7)</f>
        <v>40224511</v>
      </c>
      <c r="H149" s="87"/>
      <c r="I149" s="87" t="str">
        <f>IFERROR(__xludf.DUMMYFUNCTION("""COMPUTED_VALUE"""),"ABTS-3026")</f>
        <v>ABTS-3026</v>
      </c>
    </row>
    <row r="150">
      <c r="A150" s="84">
        <f>IFERROR(__xludf.DUMMYFUNCTION("""COMPUTED_VALUE"""),149.0)</f>
        <v>149</v>
      </c>
      <c r="B150" s="85" t="str">
        <f>IFERROR(__xludf.DUMMYFUNCTION("""COMPUTED_VALUE"""),"BOMBA COSTAL PARA COMBATE A INCENDIO -")</f>
        <v>BOMBA COSTAL PARA COMBATE A INCENDIO -</v>
      </c>
      <c r="C150" s="86">
        <f>IFERROR(__xludf.DUMMYFUNCTION("""COMPUTED_VALUE"""),1.0)</f>
        <v>1</v>
      </c>
      <c r="D150" s="87" t="str">
        <f>IFERROR(__xludf.DUMMYFUNCTION("""COMPUTED_VALUE"""),"VIATURA")</f>
        <v>VIATURA</v>
      </c>
      <c r="E150" s="87" t="str">
        <f>IFERROR(__xludf.DUMMYFUNCTION("""COMPUTED_VALUE"""),"3 - CURVELO")</f>
        <v>3 - CURVELO</v>
      </c>
      <c r="F150" s="88"/>
      <c r="G150" s="89">
        <f>IFERROR(__xludf.DUMMYFUNCTION("""COMPUTED_VALUE"""),4.022452E7)</f>
        <v>40224520</v>
      </c>
      <c r="H150" s="87"/>
      <c r="I150" s="87" t="str">
        <f>IFERROR(__xludf.DUMMYFUNCTION("""COMPUTED_VALUE"""),"ABTS-3026")</f>
        <v>ABTS-3026</v>
      </c>
    </row>
    <row r="151">
      <c r="A151" s="84">
        <f>IFERROR(__xludf.DUMMYFUNCTION("""COMPUTED_VALUE"""),150.0)</f>
        <v>150</v>
      </c>
      <c r="B151" s="85" t="str">
        <f>IFERROR(__xludf.DUMMYFUNCTION("""COMPUTED_VALUE"""),"BOMBA COSTAL PARA COMBATE A INCENDIO -")</f>
        <v>BOMBA COSTAL PARA COMBATE A INCENDIO -</v>
      </c>
      <c r="C151" s="86">
        <f>IFERROR(__xludf.DUMMYFUNCTION("""COMPUTED_VALUE"""),1.0)</f>
        <v>1</v>
      </c>
      <c r="D151" s="87" t="str">
        <f>IFERROR(__xludf.DUMMYFUNCTION("""COMPUTED_VALUE"""),"SEÇÃO")</f>
        <v>SEÇÃO</v>
      </c>
      <c r="E151" s="87" t="str">
        <f>IFERROR(__xludf.DUMMYFUNCTION("""COMPUTED_VALUE"""),"3 - CURVELO")</f>
        <v>3 - CURVELO</v>
      </c>
      <c r="F151" s="88"/>
      <c r="G151" s="89">
        <f>IFERROR(__xludf.DUMMYFUNCTION("""COMPUTED_VALUE"""),4.0224554E7)</f>
        <v>40224554</v>
      </c>
      <c r="H151" s="87"/>
      <c r="I151" s="87" t="str">
        <f>IFERROR(__xludf.DUMMYFUNCTION("""COMPUTED_VALUE"""),"B4")</f>
        <v>B4</v>
      </c>
    </row>
    <row r="152">
      <c r="A152" s="84">
        <f>IFERROR(__xludf.DUMMYFUNCTION("""COMPUTED_VALUE"""),151.0)</f>
        <v>151</v>
      </c>
      <c r="B152" s="85" t="str">
        <f>IFERROR(__xludf.DUMMYFUNCTION("""COMPUTED_VALUE"""),"BOMBA COSTAL PARA COMBATE A INCENDIO -")</f>
        <v>BOMBA COSTAL PARA COMBATE A INCENDIO -</v>
      </c>
      <c r="C152" s="86">
        <f>IFERROR(__xludf.DUMMYFUNCTION("""COMPUTED_VALUE"""),1.0)</f>
        <v>1</v>
      </c>
      <c r="D152" s="87" t="str">
        <f>IFERROR(__xludf.DUMMYFUNCTION("""COMPUTED_VALUE"""),"SEÇÃO")</f>
        <v>SEÇÃO</v>
      </c>
      <c r="E152" s="87" t="str">
        <f>IFERROR(__xludf.DUMMYFUNCTION("""COMPUTED_VALUE"""),"3 - CURVELO")</f>
        <v>3 - CURVELO</v>
      </c>
      <c r="F152" s="88"/>
      <c r="G152" s="89">
        <f>IFERROR(__xludf.DUMMYFUNCTION("""COMPUTED_VALUE"""),4.0224619E7)</f>
        <v>40224619</v>
      </c>
      <c r="H152" s="87"/>
      <c r="I152" s="87" t="str">
        <f>IFERROR(__xludf.DUMMYFUNCTION("""COMPUTED_VALUE"""),"B4")</f>
        <v>B4</v>
      </c>
    </row>
    <row r="153">
      <c r="A153" s="84">
        <f>IFERROR(__xludf.DUMMYFUNCTION("""COMPUTED_VALUE"""),152.0)</f>
        <v>152</v>
      </c>
      <c r="B153" s="85" t="str">
        <f>IFERROR(__xludf.DUMMYFUNCTION("""COMPUTED_VALUE"""),"BOMBA COSTAL PARA COMBATE A INCENDIO -")</f>
        <v>BOMBA COSTAL PARA COMBATE A INCENDIO -</v>
      </c>
      <c r="C153" s="86">
        <f>IFERROR(__xludf.DUMMYFUNCTION("""COMPUTED_VALUE"""),1.0)</f>
        <v>1</v>
      </c>
      <c r="D153" s="87" t="str">
        <f>IFERROR(__xludf.DUMMYFUNCTION("""COMPUTED_VALUE"""),"SEÇÃO")</f>
        <v>SEÇÃO</v>
      </c>
      <c r="E153" s="87" t="str">
        <f>IFERROR(__xludf.DUMMYFUNCTION("""COMPUTED_VALUE"""),"3 - CURVELO")</f>
        <v>3 - CURVELO</v>
      </c>
      <c r="F153" s="88"/>
      <c r="G153" s="89">
        <f>IFERROR(__xludf.DUMMYFUNCTION("""COMPUTED_VALUE"""),4.0224635E7)</f>
        <v>40224635</v>
      </c>
      <c r="H153" s="87"/>
      <c r="I153" s="87" t="str">
        <f>IFERROR(__xludf.DUMMYFUNCTION("""COMPUTED_VALUE"""),"B4")</f>
        <v>B4</v>
      </c>
    </row>
    <row r="154">
      <c r="A154" s="84">
        <f>IFERROR(__xludf.DUMMYFUNCTION("""COMPUTED_VALUE"""),153.0)</f>
        <v>153</v>
      </c>
      <c r="B154" s="85" t="str">
        <f>IFERROR(__xludf.DUMMYFUNCTION("""COMPUTED_VALUE"""),"BOMBA COSTAL PARA COMBATE A INCENDIO -")</f>
        <v>BOMBA COSTAL PARA COMBATE A INCENDIO -</v>
      </c>
      <c r="C154" s="86">
        <f>IFERROR(__xludf.DUMMYFUNCTION("""COMPUTED_VALUE"""),1.0)</f>
        <v>1</v>
      </c>
      <c r="D154" s="87" t="str">
        <f>IFERROR(__xludf.DUMMYFUNCTION("""COMPUTED_VALUE"""),"SEÇÃO")</f>
        <v>SEÇÃO</v>
      </c>
      <c r="E154" s="87" t="str">
        <f>IFERROR(__xludf.DUMMYFUNCTION("""COMPUTED_VALUE"""),"3 - CURVELO")</f>
        <v>3 - CURVELO</v>
      </c>
      <c r="F154" s="88"/>
      <c r="G154" s="89">
        <f>IFERROR(__xludf.DUMMYFUNCTION("""COMPUTED_VALUE"""),4.0224678E7)</f>
        <v>40224678</v>
      </c>
      <c r="H154" s="87"/>
      <c r="I154" s="87" t="str">
        <f>IFERROR(__xludf.DUMMYFUNCTION("""COMPUTED_VALUE"""),"B4")</f>
        <v>B4</v>
      </c>
    </row>
    <row r="155">
      <c r="A155" s="84">
        <f>IFERROR(__xludf.DUMMYFUNCTION("""COMPUTED_VALUE"""),154.0)</f>
        <v>154</v>
      </c>
      <c r="B155" s="85" t="str">
        <f>IFERROR(__xludf.DUMMYFUNCTION("""COMPUTED_VALUE"""),"BOMBA COSTAL PARA COMBATE A INCENDIO -")</f>
        <v>BOMBA COSTAL PARA COMBATE A INCENDIO -</v>
      </c>
      <c r="C155" s="86">
        <f>IFERROR(__xludf.DUMMYFUNCTION("""COMPUTED_VALUE"""),1.0)</f>
        <v>1</v>
      </c>
      <c r="D155" s="87" t="str">
        <f>IFERROR(__xludf.DUMMYFUNCTION("""COMPUTED_VALUE"""),"SEÇÃO")</f>
        <v>SEÇÃO</v>
      </c>
      <c r="E155" s="87" t="str">
        <f>IFERROR(__xludf.DUMMYFUNCTION("""COMPUTED_VALUE"""),"3 - CURVELO")</f>
        <v>3 - CURVELO</v>
      </c>
      <c r="F155" s="88"/>
      <c r="G155" s="89">
        <f>IFERROR(__xludf.DUMMYFUNCTION("""COMPUTED_VALUE"""),4.0224805E7)</f>
        <v>40224805</v>
      </c>
      <c r="H155" s="87"/>
      <c r="I155" s="87" t="str">
        <f>IFERROR(__xludf.DUMMYFUNCTION("""COMPUTED_VALUE"""),"B4")</f>
        <v>B4</v>
      </c>
    </row>
    <row r="156">
      <c r="A156" s="84">
        <f>IFERROR(__xludf.DUMMYFUNCTION("""COMPUTED_VALUE"""),155.0)</f>
        <v>155</v>
      </c>
      <c r="B156" s="85" t="str">
        <f>IFERROR(__xludf.DUMMYFUNCTION("""COMPUTED_VALUE"""),"BOMBA COSTAL PARA COMBATE A INCENDIO -")</f>
        <v>BOMBA COSTAL PARA COMBATE A INCENDIO -</v>
      </c>
      <c r="C156" s="86">
        <f>IFERROR(__xludf.DUMMYFUNCTION("""COMPUTED_VALUE"""),1.0)</f>
        <v>1</v>
      </c>
      <c r="D156" s="87" t="str">
        <f>IFERROR(__xludf.DUMMYFUNCTION("""COMPUTED_VALUE"""),"SEÇÃO")</f>
        <v>SEÇÃO</v>
      </c>
      <c r="E156" s="87" t="str">
        <f>IFERROR(__xludf.DUMMYFUNCTION("""COMPUTED_VALUE"""),"3 - CURVELO")</f>
        <v>3 - CURVELO</v>
      </c>
      <c r="F156" s="88"/>
      <c r="G156" s="89">
        <f>IFERROR(__xludf.DUMMYFUNCTION("""COMPUTED_VALUE"""),4.0224821E7)</f>
        <v>40224821</v>
      </c>
      <c r="H156" s="87"/>
      <c r="I156" s="87" t="str">
        <f>IFERROR(__xludf.DUMMYFUNCTION("""COMPUTED_VALUE"""),"B4")</f>
        <v>B4</v>
      </c>
    </row>
    <row r="157">
      <c r="A157" s="84">
        <f>IFERROR(__xludf.DUMMYFUNCTION("""COMPUTED_VALUE"""),156.0)</f>
        <v>156</v>
      </c>
      <c r="B157" s="85" t="str">
        <f>IFERROR(__xludf.DUMMYFUNCTION("""COMPUTED_VALUE"""),"BOMBA COSTAL PARA COMBATE A INCENDIO -")</f>
        <v>BOMBA COSTAL PARA COMBATE A INCENDIO -</v>
      </c>
      <c r="C157" s="86">
        <f>IFERROR(__xludf.DUMMYFUNCTION("""COMPUTED_VALUE"""),1.0)</f>
        <v>1</v>
      </c>
      <c r="D157" s="87" t="str">
        <f>IFERROR(__xludf.DUMMYFUNCTION("""COMPUTED_VALUE"""),"SEÇÃO")</f>
        <v>SEÇÃO</v>
      </c>
      <c r="E157" s="87" t="str">
        <f>IFERROR(__xludf.DUMMYFUNCTION("""COMPUTED_VALUE"""),"3 - CURVELO")</f>
        <v>3 - CURVELO</v>
      </c>
      <c r="F157" s="88"/>
      <c r="G157" s="89">
        <f>IFERROR(__xludf.DUMMYFUNCTION("""COMPUTED_VALUE"""),4.0225054E7)</f>
        <v>40225054</v>
      </c>
      <c r="H157" s="87"/>
      <c r="I157" s="87" t="str">
        <f>IFERROR(__xludf.DUMMYFUNCTION("""COMPUTED_VALUE"""),"B4")</f>
        <v>B4</v>
      </c>
    </row>
    <row r="158">
      <c r="A158" s="84">
        <f>IFERROR(__xludf.DUMMYFUNCTION("""COMPUTED_VALUE"""),157.0)</f>
        <v>157</v>
      </c>
      <c r="B158" s="85" t="str">
        <f>IFERROR(__xludf.DUMMYFUNCTION("""COMPUTED_VALUE"""),"BOMBA COSTAL PARA COMBATE A INCENDIO -")</f>
        <v>BOMBA COSTAL PARA COMBATE A INCENDIO -</v>
      </c>
      <c r="C158" s="86">
        <f>IFERROR(__xludf.DUMMYFUNCTION("""COMPUTED_VALUE"""),1.0)</f>
        <v>1</v>
      </c>
      <c r="D158" s="87" t="str">
        <f>IFERROR(__xludf.DUMMYFUNCTION("""COMPUTED_VALUE"""),"SEÇÃO")</f>
        <v>SEÇÃO</v>
      </c>
      <c r="E158" s="87" t="str">
        <f>IFERROR(__xludf.DUMMYFUNCTION("""COMPUTED_VALUE"""),"3 - CURVELO")</f>
        <v>3 - CURVELO</v>
      </c>
      <c r="F158" s="88"/>
      <c r="G158" s="89">
        <f>IFERROR(__xludf.DUMMYFUNCTION("""COMPUTED_VALUE"""),4.022572E7)</f>
        <v>40225720</v>
      </c>
      <c r="H158" s="87"/>
      <c r="I158" s="87" t="str">
        <f>IFERROR(__xludf.DUMMYFUNCTION("""COMPUTED_VALUE"""),"B4")</f>
        <v>B4</v>
      </c>
    </row>
    <row r="159">
      <c r="A159" s="84">
        <f>IFERROR(__xludf.DUMMYFUNCTION("""COMPUTED_VALUE"""),158.0)</f>
        <v>158</v>
      </c>
      <c r="B159" s="85" t="str">
        <f>IFERROR(__xludf.DUMMYFUNCTION("""COMPUTED_VALUE"""),"BOMBA COSTAL PARA COMBATE A INCENDIO -")</f>
        <v>BOMBA COSTAL PARA COMBATE A INCENDIO -</v>
      </c>
      <c r="C159" s="86">
        <f>IFERROR(__xludf.DUMMYFUNCTION("""COMPUTED_VALUE"""),1.0)</f>
        <v>1</v>
      </c>
      <c r="D159" s="87" t="str">
        <f>IFERROR(__xludf.DUMMYFUNCTION("""COMPUTED_VALUE"""),"SEÇÃO")</f>
        <v>SEÇÃO</v>
      </c>
      <c r="E159" s="87" t="str">
        <f>IFERROR(__xludf.DUMMYFUNCTION("""COMPUTED_VALUE"""),"3 - CURVELO")</f>
        <v>3 - CURVELO</v>
      </c>
      <c r="F159" s="88"/>
      <c r="G159" s="89">
        <f>IFERROR(__xludf.DUMMYFUNCTION("""COMPUTED_VALUE"""),7.6789225E7)</f>
        <v>76789225</v>
      </c>
      <c r="H159" s="87"/>
      <c r="I159" s="87" t="str">
        <f>IFERROR(__xludf.DUMMYFUNCTION("""COMPUTED_VALUE"""),"B4")</f>
        <v>B4</v>
      </c>
    </row>
    <row r="160">
      <c r="A160" s="84">
        <f>IFERROR(__xludf.DUMMYFUNCTION("""COMPUTED_VALUE"""),159.0)</f>
        <v>159</v>
      </c>
      <c r="B160" s="85" t="str">
        <f>IFERROR(__xludf.DUMMYFUNCTION("""COMPUTED_VALUE"""),"BOMBA COSTAL PARA COMBATE A INCENDIO -")</f>
        <v>BOMBA COSTAL PARA COMBATE A INCENDIO -</v>
      </c>
      <c r="C160" s="86">
        <f>IFERROR(__xludf.DUMMYFUNCTION("""COMPUTED_VALUE"""),1.0)</f>
        <v>1</v>
      </c>
      <c r="D160" s="87" t="str">
        <f>IFERROR(__xludf.DUMMYFUNCTION("""COMPUTED_VALUE"""),"SEÇÃO")</f>
        <v>SEÇÃO</v>
      </c>
      <c r="E160" s="87" t="str">
        <f>IFERROR(__xludf.DUMMYFUNCTION("""COMPUTED_VALUE"""),"3 - CURVELO")</f>
        <v>3 - CURVELO</v>
      </c>
      <c r="F160" s="88"/>
      <c r="G160" s="89">
        <f>IFERROR(__xludf.DUMMYFUNCTION("""COMPUTED_VALUE"""),7.6789233E7)</f>
        <v>76789233</v>
      </c>
      <c r="H160" s="87"/>
      <c r="I160" s="87" t="str">
        <f>IFERROR(__xludf.DUMMYFUNCTION("""COMPUTED_VALUE"""),"B4")</f>
        <v>B4</v>
      </c>
    </row>
    <row r="161">
      <c r="A161" s="84">
        <f>IFERROR(__xludf.DUMMYFUNCTION("""COMPUTED_VALUE"""),160.0)</f>
        <v>160</v>
      </c>
      <c r="B161" s="85" t="str">
        <f>IFERROR(__xludf.DUMMYFUNCTION("""COMPUTED_VALUE"""),"BOMBA COSTAL PARA COMBATE A INCENDIO -")</f>
        <v>BOMBA COSTAL PARA COMBATE A INCENDIO -</v>
      </c>
      <c r="C161" s="86">
        <f>IFERROR(__xludf.DUMMYFUNCTION("""COMPUTED_VALUE"""),1.0)</f>
        <v>1</v>
      </c>
      <c r="D161" s="87" t="str">
        <f>IFERROR(__xludf.DUMMYFUNCTION("""COMPUTED_VALUE"""),"SEÇÃO")</f>
        <v>SEÇÃO</v>
      </c>
      <c r="E161" s="87" t="str">
        <f>IFERROR(__xludf.DUMMYFUNCTION("""COMPUTED_VALUE"""),"3 - CURVELO")</f>
        <v>3 - CURVELO</v>
      </c>
      <c r="F161" s="88"/>
      <c r="G161" s="89">
        <f>IFERROR(__xludf.DUMMYFUNCTION("""COMPUTED_VALUE"""),7.6789241E7)</f>
        <v>76789241</v>
      </c>
      <c r="H161" s="87"/>
      <c r="I161" s="87" t="str">
        <f>IFERROR(__xludf.DUMMYFUNCTION("""COMPUTED_VALUE"""),"B4")</f>
        <v>B4</v>
      </c>
    </row>
    <row r="162">
      <c r="A162" s="84">
        <f>IFERROR(__xludf.DUMMYFUNCTION("""COMPUTED_VALUE"""),161.0)</f>
        <v>161</v>
      </c>
      <c r="B162" s="85" t="str">
        <f>IFERROR(__xludf.DUMMYFUNCTION("""COMPUTED_VALUE"""),"BOMBA COSTAL PARA COMBATE A INCENDIO -")</f>
        <v>BOMBA COSTAL PARA COMBATE A INCENDIO -</v>
      </c>
      <c r="C162" s="86">
        <f>IFERROR(__xludf.DUMMYFUNCTION("""COMPUTED_VALUE"""),1.0)</f>
        <v>1</v>
      </c>
      <c r="D162" s="87" t="str">
        <f>IFERROR(__xludf.DUMMYFUNCTION("""COMPUTED_VALUE"""),"SEÇÃO")</f>
        <v>SEÇÃO</v>
      </c>
      <c r="E162" s="87" t="str">
        <f>IFERROR(__xludf.DUMMYFUNCTION("""COMPUTED_VALUE"""),"3 - CURVELO")</f>
        <v>3 - CURVELO</v>
      </c>
      <c r="F162" s="88"/>
      <c r="G162" s="89">
        <f>IFERROR(__xludf.DUMMYFUNCTION("""COMPUTED_VALUE"""),7.678925E7)</f>
        <v>76789250</v>
      </c>
      <c r="H162" s="87"/>
      <c r="I162" s="87" t="str">
        <f>IFERROR(__xludf.DUMMYFUNCTION("""COMPUTED_VALUE"""),"B4")</f>
        <v>B4</v>
      </c>
    </row>
    <row r="163">
      <c r="A163" s="84">
        <f>IFERROR(__xludf.DUMMYFUNCTION("""COMPUTED_VALUE"""),162.0)</f>
        <v>162</v>
      </c>
      <c r="B163" s="85" t="str">
        <f>IFERROR(__xludf.DUMMYFUNCTION("""COMPUTED_VALUE"""),"BOMBA COSTAL PARA COMBATE A INCENDIO -")</f>
        <v>BOMBA COSTAL PARA COMBATE A INCENDIO -</v>
      </c>
      <c r="C163" s="86">
        <f>IFERROR(__xludf.DUMMYFUNCTION("""COMPUTED_VALUE"""),1.0)</f>
        <v>1</v>
      </c>
      <c r="D163" s="87" t="str">
        <f>IFERROR(__xludf.DUMMYFUNCTION("""COMPUTED_VALUE"""),"SEÇÃO")</f>
        <v>SEÇÃO</v>
      </c>
      <c r="E163" s="87" t="str">
        <f>IFERROR(__xludf.DUMMYFUNCTION("""COMPUTED_VALUE"""),"3 - CURVELO")</f>
        <v>3 - CURVELO</v>
      </c>
      <c r="F163" s="88"/>
      <c r="G163" s="89">
        <f>IFERROR(__xludf.DUMMYFUNCTION("""COMPUTED_VALUE"""),7.6789268E7)</f>
        <v>76789268</v>
      </c>
      <c r="H163" s="87"/>
      <c r="I163" s="87" t="str">
        <f>IFERROR(__xludf.DUMMYFUNCTION("""COMPUTED_VALUE"""),"B4")</f>
        <v>B4</v>
      </c>
    </row>
    <row r="164">
      <c r="A164" s="84">
        <f>IFERROR(__xludf.DUMMYFUNCTION("""COMPUTED_VALUE"""),163.0)</f>
        <v>163</v>
      </c>
      <c r="B164" s="85" t="str">
        <f>IFERROR(__xludf.DUMMYFUNCTION("""COMPUTED_VALUE"""),"BOMBA COSTAL PARA COMBATE A INCENDIO -")</f>
        <v>BOMBA COSTAL PARA COMBATE A INCENDIO -</v>
      </c>
      <c r="C164" s="86">
        <f>IFERROR(__xludf.DUMMYFUNCTION("""COMPUTED_VALUE"""),1.0)</f>
        <v>1</v>
      </c>
      <c r="D164" s="87" t="str">
        <f>IFERROR(__xludf.DUMMYFUNCTION("""COMPUTED_VALUE"""),"SEÇÃO")</f>
        <v>SEÇÃO</v>
      </c>
      <c r="E164" s="87" t="str">
        <f>IFERROR(__xludf.DUMMYFUNCTION("""COMPUTED_VALUE"""),"3 - CURVELO")</f>
        <v>3 - CURVELO</v>
      </c>
      <c r="F164" s="88"/>
      <c r="G164" s="89">
        <f>IFERROR(__xludf.DUMMYFUNCTION("""COMPUTED_VALUE"""),7.6789276E7)</f>
        <v>76789276</v>
      </c>
      <c r="H164" s="87"/>
      <c r="I164" s="87" t="str">
        <f>IFERROR(__xludf.DUMMYFUNCTION("""COMPUTED_VALUE"""),"B4")</f>
        <v>B4</v>
      </c>
    </row>
    <row r="165">
      <c r="A165" s="84">
        <f>IFERROR(__xludf.DUMMYFUNCTION("""COMPUTED_VALUE"""),164.0)</f>
        <v>164</v>
      </c>
      <c r="B165" s="85" t="str">
        <f>IFERROR(__xludf.DUMMYFUNCTION("""COMPUTED_VALUE"""),"BOMBA COSTAL PARA COMBATE A INCENDIO -")</f>
        <v>BOMBA COSTAL PARA COMBATE A INCENDIO -</v>
      </c>
      <c r="C165" s="86">
        <f>IFERROR(__xludf.DUMMYFUNCTION("""COMPUTED_VALUE"""),1.0)</f>
        <v>1</v>
      </c>
      <c r="D165" s="87" t="str">
        <f>IFERROR(__xludf.DUMMYFUNCTION("""COMPUTED_VALUE"""),"SEÇÃO")</f>
        <v>SEÇÃO</v>
      </c>
      <c r="E165" s="87" t="str">
        <f>IFERROR(__xludf.DUMMYFUNCTION("""COMPUTED_VALUE"""),"3 - CURVELO")</f>
        <v>3 - CURVELO</v>
      </c>
      <c r="F165" s="88"/>
      <c r="G165" s="89">
        <f>IFERROR(__xludf.DUMMYFUNCTION("""COMPUTED_VALUE"""),7.6789284E7)</f>
        <v>76789284</v>
      </c>
      <c r="H165" s="87"/>
      <c r="I165" s="87" t="str">
        <f>IFERROR(__xludf.DUMMYFUNCTION("""COMPUTED_VALUE"""),"B4")</f>
        <v>B4</v>
      </c>
    </row>
    <row r="166">
      <c r="A166" s="84">
        <f>IFERROR(__xludf.DUMMYFUNCTION("""COMPUTED_VALUE"""),165.0)</f>
        <v>165</v>
      </c>
      <c r="B166" s="85" t="str">
        <f>IFERROR(__xludf.DUMMYFUNCTION("""COMPUTED_VALUE"""),"BOTE SALVA-VIDAS, PNEUMATICO -")</f>
        <v>BOTE SALVA-VIDAS, PNEUMATICO -</v>
      </c>
      <c r="C166" s="86">
        <f>IFERROR(__xludf.DUMMYFUNCTION("""COMPUTED_VALUE"""),1.0)</f>
        <v>1</v>
      </c>
      <c r="D166" s="87"/>
      <c r="E166" s="87" t="str">
        <f>IFERROR(__xludf.DUMMYFUNCTION("""COMPUTED_VALUE"""),"3 - CURVELO")</f>
        <v>3 - CURVELO</v>
      </c>
      <c r="F166" s="88"/>
      <c r="G166" s="89">
        <f>IFERROR(__xludf.DUMMYFUNCTION("""COMPUTED_VALUE"""),4.0077497E7)</f>
        <v>40077497</v>
      </c>
      <c r="H166" s="87" t="str">
        <f>IFERROR(__xludf.DUMMYFUNCTION("""COMPUTED_VALUE"""),"NÃO CONSTA NA CARGA ATUAL")</f>
        <v>NÃO CONSTA NA CARGA ATUAL</v>
      </c>
      <c r="I166" s="87" t="str">
        <f>IFERROR(__xludf.DUMMYFUNCTION("""COMPUTED_VALUE"""),"transferido para a 6ª Cia Ind BM")</f>
        <v>transferido para a 6ª Cia Ind BM</v>
      </c>
    </row>
    <row r="167">
      <c r="A167" s="84">
        <f>IFERROR(__xludf.DUMMYFUNCTION("""COMPUTED_VALUE"""),166.0)</f>
        <v>166</v>
      </c>
      <c r="B167" s="85" t="str">
        <f>IFERROR(__xludf.DUMMYFUNCTION("""COMPUTED_VALUE"""),"CADEIRA -")</f>
        <v>CADEIRA -</v>
      </c>
      <c r="C167" s="86">
        <f>IFERROR(__xludf.DUMMYFUNCTION("""COMPUTED_VALUE"""),1.0)</f>
        <v>1</v>
      </c>
      <c r="D167" s="87" t="str">
        <f>IFERROR(__xludf.DUMMYFUNCTION("""COMPUTED_VALUE"""),"SEÇÃO")</f>
        <v>SEÇÃO</v>
      </c>
      <c r="E167" s="87" t="str">
        <f>IFERROR(__xludf.DUMMYFUNCTION("""COMPUTED_VALUE"""),"3 - DESCARGA")</f>
        <v>3 - DESCARGA</v>
      </c>
      <c r="F167" s="88"/>
      <c r="G167" s="89">
        <f>IFERROR(__xludf.DUMMYFUNCTION("""COMPUTED_VALUE"""),4.009426E7)</f>
        <v>40094260</v>
      </c>
      <c r="H167" s="87"/>
      <c r="I167" s="87" t="str">
        <f>IFERROR(__xludf.DUMMYFUNCTION("""COMPUTED_VALUE"""),"MATERIAL DESCARREGADO - PROCESSO Nº 1400.01.0026473/2023-03						")</f>
        <v>MATERIAL DESCARREGADO - PROCESSO Nº 1400.01.0026473/2023-03						</v>
      </c>
    </row>
    <row r="168">
      <c r="A168" s="84">
        <f>IFERROR(__xludf.DUMMYFUNCTION("""COMPUTED_VALUE"""),167.0)</f>
        <v>167</v>
      </c>
      <c r="B168" s="85" t="str">
        <f>IFERROR(__xludf.DUMMYFUNCTION("""COMPUTED_VALUE"""),"CADEIRA -")</f>
        <v>CADEIRA -</v>
      </c>
      <c r="C168" s="86">
        <f>IFERROR(__xludf.DUMMYFUNCTION("""COMPUTED_VALUE"""),1.0)</f>
        <v>1</v>
      </c>
      <c r="D168" s="87" t="str">
        <f>IFERROR(__xludf.DUMMYFUNCTION("""COMPUTED_VALUE"""),"SEÇÃO")</f>
        <v>SEÇÃO</v>
      </c>
      <c r="E168" s="87" t="str">
        <f>IFERROR(__xludf.DUMMYFUNCTION("""COMPUTED_VALUE"""),"3 - DESCARGA")</f>
        <v>3 - DESCARGA</v>
      </c>
      <c r="F168" s="88"/>
      <c r="G168" s="89">
        <f>IFERROR(__xludf.DUMMYFUNCTION("""COMPUTED_VALUE"""),4.0094278E7)</f>
        <v>40094278</v>
      </c>
      <c r="H168" s="87"/>
      <c r="I168" s="87" t="str">
        <f>IFERROR(__xludf.DUMMYFUNCTION("""COMPUTED_VALUE"""),"MATERIAL DESCARREGADO - PROCESSO Nº 1400.01.0026473/2023-03						")</f>
        <v>MATERIAL DESCARREGADO - PROCESSO Nº 1400.01.0026473/2023-03						</v>
      </c>
    </row>
    <row r="169">
      <c r="A169" s="84">
        <f>IFERROR(__xludf.DUMMYFUNCTION("""COMPUTED_VALUE"""),168.0)</f>
        <v>168</v>
      </c>
      <c r="B169" s="85" t="str">
        <f>IFERROR(__xludf.DUMMYFUNCTION("""COMPUTED_VALUE"""),"CADEIRA -")</f>
        <v>CADEIRA -</v>
      </c>
      <c r="C169" s="86">
        <f>IFERROR(__xludf.DUMMYFUNCTION("""COMPUTED_VALUE"""),1.0)</f>
        <v>1</v>
      </c>
      <c r="D169" s="87" t="str">
        <f>IFERROR(__xludf.DUMMYFUNCTION("""COMPUTED_VALUE"""),"SEÇÃO")</f>
        <v>SEÇÃO</v>
      </c>
      <c r="E169" s="87" t="str">
        <f>IFERROR(__xludf.DUMMYFUNCTION("""COMPUTED_VALUE"""),"3 - DESCARGA")</f>
        <v>3 - DESCARGA</v>
      </c>
      <c r="F169" s="88"/>
      <c r="G169" s="89">
        <f>IFERROR(__xludf.DUMMYFUNCTION("""COMPUTED_VALUE"""),4.009457E7)</f>
        <v>40094570</v>
      </c>
      <c r="H169" s="87"/>
      <c r="I169" s="87" t="str">
        <f>IFERROR(__xludf.DUMMYFUNCTION("""COMPUTED_VALUE"""),"MATERIAL DESCARREGADO - PROCESSO Nº 1400.01.0026473/2023-03						")</f>
        <v>MATERIAL DESCARREGADO - PROCESSO Nº 1400.01.0026473/2023-03						</v>
      </c>
    </row>
    <row r="170">
      <c r="A170" s="84">
        <f>IFERROR(__xludf.DUMMYFUNCTION("""COMPUTED_VALUE"""),169.0)</f>
        <v>169</v>
      </c>
      <c r="B170" s="85" t="str">
        <f>IFERROR(__xludf.DUMMYFUNCTION("""COMPUTED_VALUE"""),"CADEIRA -")</f>
        <v>CADEIRA -</v>
      </c>
      <c r="C170" s="86">
        <f>IFERROR(__xludf.DUMMYFUNCTION("""COMPUTED_VALUE"""),1.0)</f>
        <v>1</v>
      </c>
      <c r="D170" s="87"/>
      <c r="E170" s="87" t="str">
        <f>IFERROR(__xludf.DUMMYFUNCTION("""COMPUTED_VALUE"""),"3 - CURVELO")</f>
        <v>3 - CURVELO</v>
      </c>
      <c r="F170" s="88"/>
      <c r="G170" s="89">
        <f>IFERROR(__xludf.DUMMYFUNCTION("""COMPUTED_VALUE"""),7.6701859E7)</f>
        <v>76701859</v>
      </c>
      <c r="H170" s="87"/>
      <c r="I170" s="87"/>
    </row>
    <row r="171">
      <c r="A171" s="84">
        <f>IFERROR(__xludf.DUMMYFUNCTION("""COMPUTED_VALUE"""),170.0)</f>
        <v>170</v>
      </c>
      <c r="B171" s="85" t="str">
        <f>IFERROR(__xludf.DUMMYFUNCTION("""COMPUTED_VALUE"""),"CADEIRA -")</f>
        <v>CADEIRA -</v>
      </c>
      <c r="C171" s="86">
        <f>IFERROR(__xludf.DUMMYFUNCTION("""COMPUTED_VALUE"""),1.0)</f>
        <v>1</v>
      </c>
      <c r="D171" s="87"/>
      <c r="E171" s="87" t="str">
        <f>IFERROR(__xludf.DUMMYFUNCTION("""COMPUTED_VALUE"""),"3 - CURVELO")</f>
        <v>3 - CURVELO</v>
      </c>
      <c r="F171" s="88"/>
      <c r="G171" s="89">
        <f>IFERROR(__xludf.DUMMYFUNCTION("""COMPUTED_VALUE"""),7.6701867E7)</f>
        <v>76701867</v>
      </c>
      <c r="H171" s="87"/>
      <c r="I171" s="87"/>
    </row>
    <row r="172">
      <c r="A172" s="84">
        <f>IFERROR(__xludf.DUMMYFUNCTION("""COMPUTED_VALUE"""),171.0)</f>
        <v>171</v>
      </c>
      <c r="B172" s="85" t="str">
        <f>IFERROR(__xludf.DUMMYFUNCTION("""COMPUTED_VALUE"""),"CADEIRA -")</f>
        <v>CADEIRA -</v>
      </c>
      <c r="C172" s="86">
        <f>IFERROR(__xludf.DUMMYFUNCTION("""COMPUTED_VALUE"""),1.0)</f>
        <v>1</v>
      </c>
      <c r="D172" s="87"/>
      <c r="E172" s="87" t="str">
        <f>IFERROR(__xludf.DUMMYFUNCTION("""COMPUTED_VALUE"""),"3 - CURVELO")</f>
        <v>3 - CURVELO</v>
      </c>
      <c r="F172" s="88"/>
      <c r="G172" s="89">
        <f>IFERROR(__xludf.DUMMYFUNCTION("""COMPUTED_VALUE"""),7.6701875E7)</f>
        <v>76701875</v>
      </c>
      <c r="H172" s="87"/>
      <c r="I172" s="87"/>
    </row>
    <row r="173">
      <c r="A173" s="84">
        <f>IFERROR(__xludf.DUMMYFUNCTION("""COMPUTED_VALUE"""),172.0)</f>
        <v>172</v>
      </c>
      <c r="B173" s="85" t="str">
        <f>IFERROR(__xludf.DUMMYFUNCTION("""COMPUTED_VALUE"""),"CADEIRA -")</f>
        <v>CADEIRA -</v>
      </c>
      <c r="C173" s="86">
        <f>IFERROR(__xludf.DUMMYFUNCTION("""COMPUTED_VALUE"""),1.0)</f>
        <v>1</v>
      </c>
      <c r="D173" s="87"/>
      <c r="E173" s="87" t="str">
        <f>IFERROR(__xludf.DUMMYFUNCTION("""COMPUTED_VALUE"""),"3 - CURVELO")</f>
        <v>3 - CURVELO</v>
      </c>
      <c r="F173" s="88"/>
      <c r="G173" s="89">
        <f>IFERROR(__xludf.DUMMYFUNCTION("""COMPUTED_VALUE"""),7.6701883E7)</f>
        <v>76701883</v>
      </c>
      <c r="H173" s="87"/>
      <c r="I173" s="87"/>
    </row>
    <row r="174">
      <c r="A174" s="84">
        <f>IFERROR(__xludf.DUMMYFUNCTION("""COMPUTED_VALUE"""),173.0)</f>
        <v>173</v>
      </c>
      <c r="B174" s="85" t="str">
        <f>IFERROR(__xludf.DUMMYFUNCTION("""COMPUTED_VALUE"""),"CADEIRA -")</f>
        <v>CADEIRA -</v>
      </c>
      <c r="C174" s="86">
        <f>IFERROR(__xludf.DUMMYFUNCTION("""COMPUTED_VALUE"""),1.0)</f>
        <v>1</v>
      </c>
      <c r="D174" s="87"/>
      <c r="E174" s="87" t="str">
        <f>IFERROR(__xludf.DUMMYFUNCTION("""COMPUTED_VALUE"""),"3 - CURVELO")</f>
        <v>3 - CURVELO</v>
      </c>
      <c r="F174" s="88"/>
      <c r="G174" s="89">
        <f>IFERROR(__xludf.DUMMYFUNCTION("""COMPUTED_VALUE"""),7.6701891E7)</f>
        <v>76701891</v>
      </c>
      <c r="H174" s="87"/>
      <c r="I174" s="87"/>
    </row>
    <row r="175">
      <c r="A175" s="84">
        <f>IFERROR(__xludf.DUMMYFUNCTION("""COMPUTED_VALUE"""),174.0)</f>
        <v>174</v>
      </c>
      <c r="B175" s="85" t="str">
        <f>IFERROR(__xludf.DUMMYFUNCTION("""COMPUTED_VALUE"""),"CADEIRA -")</f>
        <v>CADEIRA -</v>
      </c>
      <c r="C175" s="86">
        <f>IFERROR(__xludf.DUMMYFUNCTION("""COMPUTED_VALUE"""),1.0)</f>
        <v>1</v>
      </c>
      <c r="D175" s="87"/>
      <c r="E175" s="87" t="str">
        <f>IFERROR(__xludf.DUMMYFUNCTION("""COMPUTED_VALUE"""),"3 - CURVELO")</f>
        <v>3 - CURVELO</v>
      </c>
      <c r="F175" s="88"/>
      <c r="G175" s="89">
        <f>IFERROR(__xludf.DUMMYFUNCTION("""COMPUTED_VALUE"""),7.6701905E7)</f>
        <v>76701905</v>
      </c>
      <c r="H175" s="87"/>
      <c r="I175" s="87"/>
    </row>
    <row r="176">
      <c r="A176" s="84">
        <f>IFERROR(__xludf.DUMMYFUNCTION("""COMPUTED_VALUE"""),175.0)</f>
        <v>175</v>
      </c>
      <c r="B176" s="85" t="str">
        <f>IFERROR(__xludf.DUMMYFUNCTION("""COMPUTED_VALUE"""),"CADEIRA -")</f>
        <v>CADEIRA -</v>
      </c>
      <c r="C176" s="86">
        <f>IFERROR(__xludf.DUMMYFUNCTION("""COMPUTED_VALUE"""),1.0)</f>
        <v>1</v>
      </c>
      <c r="D176" s="87"/>
      <c r="E176" s="87" t="str">
        <f>IFERROR(__xludf.DUMMYFUNCTION("""COMPUTED_VALUE"""),"3 - CURVELO")</f>
        <v>3 - CURVELO</v>
      </c>
      <c r="F176" s="88"/>
      <c r="G176" s="89">
        <f>IFERROR(__xludf.DUMMYFUNCTION("""COMPUTED_VALUE"""),7.6701913E7)</f>
        <v>76701913</v>
      </c>
      <c r="H176" s="87"/>
      <c r="I176" s="87"/>
    </row>
    <row r="177">
      <c r="A177" s="84">
        <f>IFERROR(__xludf.DUMMYFUNCTION("""COMPUTED_VALUE"""),176.0)</f>
        <v>176</v>
      </c>
      <c r="B177" s="85" t="str">
        <f>IFERROR(__xludf.DUMMYFUNCTION("""COMPUTED_VALUE"""),"CADEIRA -")</f>
        <v>CADEIRA -</v>
      </c>
      <c r="C177" s="86">
        <f>IFERROR(__xludf.DUMMYFUNCTION("""COMPUTED_VALUE"""),1.0)</f>
        <v>1</v>
      </c>
      <c r="D177" s="87"/>
      <c r="E177" s="87" t="str">
        <f>IFERROR(__xludf.DUMMYFUNCTION("""COMPUTED_VALUE"""),"3 - CURVELO")</f>
        <v>3 - CURVELO</v>
      </c>
      <c r="F177" s="88"/>
      <c r="G177" s="89">
        <f>IFERROR(__xludf.DUMMYFUNCTION("""COMPUTED_VALUE"""),7.6701921E7)</f>
        <v>76701921</v>
      </c>
      <c r="H177" s="87"/>
      <c r="I177" s="87"/>
    </row>
    <row r="178">
      <c r="A178" s="84">
        <f>IFERROR(__xludf.DUMMYFUNCTION("""COMPUTED_VALUE"""),177.0)</f>
        <v>177</v>
      </c>
      <c r="B178" s="85" t="str">
        <f>IFERROR(__xludf.DUMMYFUNCTION("""COMPUTED_VALUE"""),"CADEIRA -")</f>
        <v>CADEIRA -</v>
      </c>
      <c r="C178" s="86">
        <f>IFERROR(__xludf.DUMMYFUNCTION("""COMPUTED_VALUE"""),1.0)</f>
        <v>1</v>
      </c>
      <c r="D178" s="87"/>
      <c r="E178" s="87" t="str">
        <f>IFERROR(__xludf.DUMMYFUNCTION("""COMPUTED_VALUE"""),"3 - CURVELO")</f>
        <v>3 - CURVELO</v>
      </c>
      <c r="F178" s="88"/>
      <c r="G178" s="89">
        <f>IFERROR(__xludf.DUMMYFUNCTION("""COMPUTED_VALUE"""),7.670193E7)</f>
        <v>76701930</v>
      </c>
      <c r="H178" s="87"/>
      <c r="I178" s="87"/>
    </row>
    <row r="179">
      <c r="A179" s="84">
        <f>IFERROR(__xludf.DUMMYFUNCTION("""COMPUTED_VALUE"""),178.0)</f>
        <v>178</v>
      </c>
      <c r="B179" s="85" t="str">
        <f>IFERROR(__xludf.DUMMYFUNCTION("""COMPUTED_VALUE"""),"CADEIRA -")</f>
        <v>CADEIRA -</v>
      </c>
      <c r="C179" s="86">
        <f>IFERROR(__xludf.DUMMYFUNCTION("""COMPUTED_VALUE"""),1.0)</f>
        <v>1</v>
      </c>
      <c r="D179" s="87"/>
      <c r="E179" s="87" t="str">
        <f>IFERROR(__xludf.DUMMYFUNCTION("""COMPUTED_VALUE"""),"3 - CURVELO")</f>
        <v>3 - CURVELO</v>
      </c>
      <c r="F179" s="88"/>
      <c r="G179" s="89">
        <f>IFERROR(__xludf.DUMMYFUNCTION("""COMPUTED_VALUE"""),7.6701948E7)</f>
        <v>76701948</v>
      </c>
      <c r="H179" s="87"/>
      <c r="I179" s="87"/>
    </row>
    <row r="180">
      <c r="A180" s="84">
        <f>IFERROR(__xludf.DUMMYFUNCTION("""COMPUTED_VALUE"""),179.0)</f>
        <v>179</v>
      </c>
      <c r="B180" s="85" t="str">
        <f>IFERROR(__xludf.DUMMYFUNCTION("""COMPUTED_VALUE"""),"CADEIRA PARA ESCRITORIO -")</f>
        <v>CADEIRA PARA ESCRITORIO -</v>
      </c>
      <c r="C180" s="86">
        <f>IFERROR(__xludf.DUMMYFUNCTION("""COMPUTED_VALUE"""),1.0)</f>
        <v>1</v>
      </c>
      <c r="D180" s="87" t="str">
        <f>IFERROR(__xludf.DUMMYFUNCTION("""COMPUTED_VALUE"""),"SEÇÃO")</f>
        <v>SEÇÃO</v>
      </c>
      <c r="E180" s="87" t="str">
        <f>IFERROR(__xludf.DUMMYFUNCTION("""COMPUTED_VALUE"""),"3 - DESCARGA")</f>
        <v>3 - DESCARGA</v>
      </c>
      <c r="F180" s="88"/>
      <c r="G180" s="89">
        <f>IFERROR(__xludf.DUMMYFUNCTION("""COMPUTED_VALUE"""),4.009496E7)</f>
        <v>40094960</v>
      </c>
      <c r="H180" s="87"/>
      <c r="I180" s="87" t="str">
        <f>IFERROR(__xludf.DUMMYFUNCTION("""COMPUTED_VALUE"""),"MATERIAL DESCARREGADO - PROCESSO Nº 1400.01.0026473/2023-01                                                ")</f>
        <v>MATERIAL DESCARREGADO - PROCESSO Nº 1400.01.0026473/2023-01                                                </v>
      </c>
    </row>
    <row r="181">
      <c r="A181" s="84">
        <f>IFERROR(__xludf.DUMMYFUNCTION("""COMPUTED_VALUE"""),180.0)</f>
        <v>180</v>
      </c>
      <c r="B181" s="85" t="str">
        <f>IFERROR(__xludf.DUMMYFUNCTION("""COMPUTED_VALUE"""),"CADEIRA PARA ESCRITORIO -")</f>
        <v>CADEIRA PARA ESCRITORIO -</v>
      </c>
      <c r="C181" s="86">
        <f>IFERROR(__xludf.DUMMYFUNCTION("""COMPUTED_VALUE"""),1.0)</f>
        <v>1</v>
      </c>
      <c r="D181" s="87" t="str">
        <f>IFERROR(__xludf.DUMMYFUNCTION("""COMPUTED_VALUE"""),"SEÇÃO")</f>
        <v>SEÇÃO</v>
      </c>
      <c r="E181" s="87" t="str">
        <f>IFERROR(__xludf.DUMMYFUNCTION("""COMPUTED_VALUE"""),"3 - DESCARGA")</f>
        <v>3 - DESCARGA</v>
      </c>
      <c r="F181" s="88"/>
      <c r="G181" s="89">
        <f>IFERROR(__xludf.DUMMYFUNCTION("""COMPUTED_VALUE"""),4.0094979E7)</f>
        <v>40094979</v>
      </c>
      <c r="H181" s="87"/>
      <c r="I181" s="87" t="str">
        <f>IFERROR(__xludf.DUMMYFUNCTION("""COMPUTED_VALUE"""),"MATERIAL DESCARREGADO - PROCESSO Nº 1400.01.0026473/2023-01                                                ")</f>
        <v>MATERIAL DESCARREGADO - PROCESSO Nº 1400.01.0026473/2023-01                                                </v>
      </c>
    </row>
    <row r="182">
      <c r="A182" s="84">
        <f>IFERROR(__xludf.DUMMYFUNCTION("""COMPUTED_VALUE"""),181.0)</f>
        <v>181</v>
      </c>
      <c r="B182" s="85" t="str">
        <f>IFERROR(__xludf.DUMMYFUNCTION("""COMPUTED_VALUE"""),"CADEIRA PARA ESCRITORIO -")</f>
        <v>CADEIRA PARA ESCRITORIO -</v>
      </c>
      <c r="C182" s="86">
        <f>IFERROR(__xludf.DUMMYFUNCTION("""COMPUTED_VALUE"""),1.0)</f>
        <v>1</v>
      </c>
      <c r="D182" s="87"/>
      <c r="E182" s="87" t="str">
        <f>IFERROR(__xludf.DUMMYFUNCTION("""COMPUTED_VALUE"""),"3 - CURVELO")</f>
        <v>3 - CURVELO</v>
      </c>
      <c r="F182" s="88"/>
      <c r="G182" s="89">
        <f>IFERROR(__xludf.DUMMYFUNCTION("""COMPUTED_VALUE"""),4.021205E7)</f>
        <v>40212050</v>
      </c>
      <c r="H182" s="87"/>
      <c r="I182" s="87"/>
    </row>
    <row r="183">
      <c r="A183" s="84">
        <f>IFERROR(__xludf.DUMMYFUNCTION("""COMPUTED_VALUE"""),182.0)</f>
        <v>182</v>
      </c>
      <c r="B183" s="85" t="str">
        <f>IFERROR(__xludf.DUMMYFUNCTION("""COMPUTED_VALUE"""),"CADEIRA PARA ESCRITORIO -")</f>
        <v>CADEIRA PARA ESCRITORIO -</v>
      </c>
      <c r="C183" s="86">
        <f>IFERROR(__xludf.DUMMYFUNCTION("""COMPUTED_VALUE"""),1.0)</f>
        <v>1</v>
      </c>
      <c r="D183" s="87" t="str">
        <f>IFERROR(__xludf.DUMMYFUNCTION("""COMPUTED_VALUE"""),"SEÇÃO")</f>
        <v>SEÇÃO</v>
      </c>
      <c r="E183" s="87" t="str">
        <f>IFERROR(__xludf.DUMMYFUNCTION("""COMPUTED_VALUE"""),"3 - DESCARGA")</f>
        <v>3 - DESCARGA</v>
      </c>
      <c r="F183" s="88"/>
      <c r="G183" s="89">
        <f>IFERROR(__xludf.DUMMYFUNCTION("""COMPUTED_VALUE"""),4.025939E7)</f>
        <v>40259390</v>
      </c>
      <c r="H183" s="87"/>
      <c r="I183" s="87" t="str">
        <f>IFERROR(__xludf.DUMMYFUNCTION("""COMPUTED_VALUE"""),"MATERIAL DESCARREGADO - PROCESSO Nº 1400.01.0026473/2023-01                                                ")</f>
        <v>MATERIAL DESCARREGADO - PROCESSO Nº 1400.01.0026473/2023-01                                                </v>
      </c>
    </row>
    <row r="184">
      <c r="A184" s="84">
        <f>IFERROR(__xludf.DUMMYFUNCTION("""COMPUTED_VALUE"""),183.0)</f>
        <v>183</v>
      </c>
      <c r="B184" s="85" t="str">
        <f>IFERROR(__xludf.DUMMYFUNCTION("""COMPUTED_VALUE"""),"CADEIRA PARA ESCRITORIO -")</f>
        <v>CADEIRA PARA ESCRITORIO -</v>
      </c>
      <c r="C184" s="86">
        <f>IFERROR(__xludf.DUMMYFUNCTION("""COMPUTED_VALUE"""),1.0)</f>
        <v>1</v>
      </c>
      <c r="D184" s="87"/>
      <c r="E184" s="87" t="str">
        <f>IFERROR(__xludf.DUMMYFUNCTION("""COMPUTED_VALUE"""),"3 - CURVELO")</f>
        <v>3 - CURVELO</v>
      </c>
      <c r="F184" s="88"/>
      <c r="G184" s="89">
        <f>IFERROR(__xludf.DUMMYFUNCTION("""COMPUTED_VALUE"""),4.0259404E7)</f>
        <v>40259404</v>
      </c>
      <c r="H184" s="87"/>
      <c r="I184" s="87"/>
    </row>
    <row r="185">
      <c r="A185" s="84">
        <f>IFERROR(__xludf.DUMMYFUNCTION("""COMPUTED_VALUE"""),184.0)</f>
        <v>184</v>
      </c>
      <c r="B185" s="85" t="str">
        <f>IFERROR(__xludf.DUMMYFUNCTION("""COMPUTED_VALUE"""),"CADEIRA PARA ESCRITORIO -")</f>
        <v>CADEIRA PARA ESCRITORIO -</v>
      </c>
      <c r="C185" s="86">
        <f>IFERROR(__xludf.DUMMYFUNCTION("""COMPUTED_VALUE"""),1.0)</f>
        <v>1</v>
      </c>
      <c r="D185" s="87" t="str">
        <f>IFERROR(__xludf.DUMMYFUNCTION("""COMPUTED_VALUE"""),"SEÇÃO")</f>
        <v>SEÇÃO</v>
      </c>
      <c r="E185" s="87" t="str">
        <f>IFERROR(__xludf.DUMMYFUNCTION("""COMPUTED_VALUE"""),"3 - DESCARGA")</f>
        <v>3 - DESCARGA</v>
      </c>
      <c r="F185" s="88"/>
      <c r="G185" s="89">
        <f>IFERROR(__xludf.DUMMYFUNCTION("""COMPUTED_VALUE"""),4.0287092E7)</f>
        <v>40287092</v>
      </c>
      <c r="H185" s="87"/>
      <c r="I185" s="87" t="str">
        <f>IFERROR(__xludf.DUMMYFUNCTION("""COMPUTED_VALUE"""),"MATERIAL DESCARREGADO - PROCESSO Nº 1400.01.0026473/2023-01                                                ")</f>
        <v>MATERIAL DESCARREGADO - PROCESSO Nº 1400.01.0026473/2023-01                                                </v>
      </c>
    </row>
    <row r="186">
      <c r="A186" s="84">
        <f>IFERROR(__xludf.DUMMYFUNCTION("""COMPUTED_VALUE"""),185.0)</f>
        <v>185</v>
      </c>
      <c r="B186" s="85" t="str">
        <f>IFERROR(__xludf.DUMMYFUNCTION("""COMPUTED_VALUE"""),"CADEIRA PARA ESCRITORIO -")</f>
        <v>CADEIRA PARA ESCRITORIO -</v>
      </c>
      <c r="C186" s="86">
        <f>IFERROR(__xludf.DUMMYFUNCTION("""COMPUTED_VALUE"""),1.0)</f>
        <v>1</v>
      </c>
      <c r="D186" s="87" t="str">
        <f>IFERROR(__xludf.DUMMYFUNCTION("""COMPUTED_VALUE"""),"SEÇÃO")</f>
        <v>SEÇÃO</v>
      </c>
      <c r="E186" s="87" t="str">
        <f>IFERROR(__xludf.DUMMYFUNCTION("""COMPUTED_VALUE"""),"3 - DESCARGA")</f>
        <v>3 - DESCARGA</v>
      </c>
      <c r="F186" s="88"/>
      <c r="G186" s="89">
        <f>IFERROR(__xludf.DUMMYFUNCTION("""COMPUTED_VALUE"""),4.0287122E7)</f>
        <v>40287122</v>
      </c>
      <c r="H186" s="87"/>
      <c r="I186" s="87" t="str">
        <f>IFERROR(__xludf.DUMMYFUNCTION("""COMPUTED_VALUE"""),"MATERIAL DESCARREGADO - PROCESSO Nº 1400.01.0026473/2023-01                                                ")</f>
        <v>MATERIAL DESCARREGADO - PROCESSO Nº 1400.01.0026473/2023-01                                                </v>
      </c>
    </row>
    <row r="187">
      <c r="A187" s="84">
        <f>IFERROR(__xludf.DUMMYFUNCTION("""COMPUTED_VALUE"""),186.0)</f>
        <v>186</v>
      </c>
      <c r="B187" s="85" t="str">
        <f>IFERROR(__xludf.DUMMYFUNCTION("""COMPUTED_VALUE"""),"CADEIRA PARA ESCRITORIO -")</f>
        <v>CADEIRA PARA ESCRITORIO -</v>
      </c>
      <c r="C187" s="86">
        <f>IFERROR(__xludf.DUMMYFUNCTION("""COMPUTED_VALUE"""),1.0)</f>
        <v>1</v>
      </c>
      <c r="D187" s="87" t="str">
        <f>IFERROR(__xludf.DUMMYFUNCTION("""COMPUTED_VALUE"""),"SEÇÃO")</f>
        <v>SEÇÃO</v>
      </c>
      <c r="E187" s="87" t="str">
        <f>IFERROR(__xludf.DUMMYFUNCTION("""COMPUTED_VALUE"""),"3 - DESCARGA")</f>
        <v>3 - DESCARGA</v>
      </c>
      <c r="F187" s="88"/>
      <c r="G187" s="89">
        <f>IFERROR(__xludf.DUMMYFUNCTION("""COMPUTED_VALUE"""),4.028713E7)</f>
        <v>40287130</v>
      </c>
      <c r="H187" s="87"/>
      <c r="I187" s="87" t="str">
        <f>IFERROR(__xludf.DUMMYFUNCTION("""COMPUTED_VALUE"""),"MATERIAL DESCARREGADO - PROCESSO Nº 1400.01.0026473/2023-01                                                ")</f>
        <v>MATERIAL DESCARREGADO - PROCESSO Nº 1400.01.0026473/2023-01                                                </v>
      </c>
    </row>
    <row r="188">
      <c r="A188" s="84">
        <f>IFERROR(__xludf.DUMMYFUNCTION("""COMPUTED_VALUE"""),187.0)</f>
        <v>187</v>
      </c>
      <c r="B188" s="85" t="str">
        <f>IFERROR(__xludf.DUMMYFUNCTION("""COMPUTED_VALUE"""),"CADEIRA PARA ESCRITORIO -")</f>
        <v>CADEIRA PARA ESCRITORIO -</v>
      </c>
      <c r="C188" s="86">
        <f>IFERROR(__xludf.DUMMYFUNCTION("""COMPUTED_VALUE"""),1.0)</f>
        <v>1</v>
      </c>
      <c r="D188" s="87"/>
      <c r="E188" s="87" t="str">
        <f>IFERROR(__xludf.DUMMYFUNCTION("""COMPUTED_VALUE"""),"3 - CURVELO")</f>
        <v>3 - CURVELO</v>
      </c>
      <c r="F188" s="88"/>
      <c r="G188" s="89">
        <f>IFERROR(__xludf.DUMMYFUNCTION("""COMPUTED_VALUE"""),4.0287149E7)</f>
        <v>40287149</v>
      </c>
      <c r="H188" s="87"/>
      <c r="I188" s="87"/>
    </row>
    <row r="189">
      <c r="A189" s="84">
        <f>IFERROR(__xludf.DUMMYFUNCTION("""COMPUTED_VALUE"""),188.0)</f>
        <v>188</v>
      </c>
      <c r="B189" s="85" t="str">
        <f>IFERROR(__xludf.DUMMYFUNCTION("""COMPUTED_VALUE"""),"CADEIRA PARA ESCRITORIO -(III)")</f>
        <v>CADEIRA PARA ESCRITORIO -(III)</v>
      </c>
      <c r="C189" s="86">
        <f>IFERROR(__xludf.DUMMYFUNCTION("""COMPUTED_VALUE"""),1.0)</f>
        <v>1</v>
      </c>
      <c r="D189" s="87"/>
      <c r="E189" s="87" t="str">
        <f>IFERROR(__xludf.DUMMYFUNCTION("""COMPUTED_VALUE"""),"3 - CURVELO")</f>
        <v>3 - CURVELO</v>
      </c>
      <c r="F189" s="88"/>
      <c r="G189" s="89">
        <f>IFERROR(__xludf.DUMMYFUNCTION("""COMPUTED_VALUE"""),2.2970355E7)</f>
        <v>22970355</v>
      </c>
      <c r="H189" s="87"/>
      <c r="I189" s="87"/>
    </row>
    <row r="190">
      <c r="A190" s="84">
        <f>IFERROR(__xludf.DUMMYFUNCTION("""COMPUTED_VALUE"""),189.0)</f>
        <v>189</v>
      </c>
      <c r="B190" s="85" t="str">
        <f>IFERROR(__xludf.DUMMYFUNCTION("""COMPUTED_VALUE"""),"CAMA -")</f>
        <v>CAMA -</v>
      </c>
      <c r="C190" s="86">
        <f>IFERROR(__xludf.DUMMYFUNCTION("""COMPUTED_VALUE"""),1.0)</f>
        <v>1</v>
      </c>
      <c r="D190" s="87"/>
      <c r="E190" s="87" t="str">
        <f>IFERROR(__xludf.DUMMYFUNCTION("""COMPUTED_VALUE"""),"3 - CURVELO")</f>
        <v>3 - CURVELO</v>
      </c>
      <c r="F190" s="88"/>
      <c r="G190" s="89">
        <f>IFERROR(__xludf.DUMMYFUNCTION("""COMPUTED_VALUE"""),4.0357236E7)</f>
        <v>40357236</v>
      </c>
      <c r="H190" s="87"/>
      <c r="I190" s="87"/>
    </row>
    <row r="191">
      <c r="A191" s="84">
        <f>IFERROR(__xludf.DUMMYFUNCTION("""COMPUTED_VALUE"""),190.0)</f>
        <v>190</v>
      </c>
      <c r="B191" s="85" t="str">
        <f>IFERROR(__xludf.DUMMYFUNCTION("""COMPUTED_VALUE"""),"CAMA -")</f>
        <v>CAMA -</v>
      </c>
      <c r="C191" s="86">
        <f>IFERROR(__xludf.DUMMYFUNCTION("""COMPUTED_VALUE"""),1.0)</f>
        <v>1</v>
      </c>
      <c r="D191" s="87"/>
      <c r="E191" s="87" t="str">
        <f>IFERROR(__xludf.DUMMYFUNCTION("""COMPUTED_VALUE"""),"3 - CURVELO")</f>
        <v>3 - CURVELO</v>
      </c>
      <c r="F191" s="88"/>
      <c r="G191" s="89">
        <f>IFERROR(__xludf.DUMMYFUNCTION("""COMPUTED_VALUE"""),4.0357252E7)</f>
        <v>40357252</v>
      </c>
      <c r="H191" s="87"/>
      <c r="I191" s="87"/>
    </row>
    <row r="192">
      <c r="A192" s="84">
        <f>IFERROR(__xludf.DUMMYFUNCTION("""COMPUTED_VALUE"""),191.0)</f>
        <v>191</v>
      </c>
      <c r="B192" s="85" t="str">
        <f>IFERROR(__xludf.DUMMYFUNCTION("""COMPUTED_VALUE"""),"CAMERA FILMADORA DIGITAL -")</f>
        <v>CAMERA FILMADORA DIGITAL -</v>
      </c>
      <c r="C192" s="86">
        <f>IFERROR(__xludf.DUMMYFUNCTION("""COMPUTED_VALUE"""),1.0)</f>
        <v>1</v>
      </c>
      <c r="D192" s="87" t="str">
        <f>IFERROR(__xludf.DUMMYFUNCTION("""COMPUTED_VALUE"""),"SEÇÃO")</f>
        <v>SEÇÃO</v>
      </c>
      <c r="E192" s="87" t="str">
        <f>IFERROR(__xludf.DUMMYFUNCTION("""COMPUTED_VALUE"""),"3 - DESCARGA")</f>
        <v>3 - DESCARGA</v>
      </c>
      <c r="F192" s="88"/>
      <c r="G192" s="89">
        <f>IFERROR(__xludf.DUMMYFUNCTION("""COMPUTED_VALUE"""),4.006856E7)</f>
        <v>40068560</v>
      </c>
      <c r="H192" s="87"/>
      <c r="I192" s="87" t="str">
        <f>IFERROR(__xludf.DUMMYFUNCTION("""COMPUTED_VALUE"""),"MATERIAL DESCARREGADO - PROCESSO Nº 1400.01.0026473/2023-03")</f>
        <v>MATERIAL DESCARREGADO - PROCESSO Nº 1400.01.0026473/2023-03</v>
      </c>
    </row>
    <row r="193">
      <c r="A193" s="84">
        <f>IFERROR(__xludf.DUMMYFUNCTION("""COMPUTED_VALUE"""),192.0)</f>
        <v>192</v>
      </c>
      <c r="B193" s="85" t="str">
        <f>IFERROR(__xludf.DUMMYFUNCTION("""COMPUTED_VALUE"""),"CAMERA FOTOGRAFICA DIGITAL -")</f>
        <v>CAMERA FOTOGRAFICA DIGITAL -</v>
      </c>
      <c r="C193" s="86">
        <f>IFERROR(__xludf.DUMMYFUNCTION("""COMPUTED_VALUE"""),1.0)</f>
        <v>1</v>
      </c>
      <c r="D193" s="87" t="str">
        <f>IFERROR(__xludf.DUMMYFUNCTION("""COMPUTED_VALUE"""),"SEÇÃO")</f>
        <v>SEÇÃO</v>
      </c>
      <c r="E193" s="87" t="str">
        <f>IFERROR(__xludf.DUMMYFUNCTION("""COMPUTED_VALUE"""),"3 - DESCARGA")</f>
        <v>3 - DESCARGA</v>
      </c>
      <c r="F193" s="88"/>
      <c r="G193" s="89">
        <f>IFERROR(__xludf.DUMMYFUNCTION("""COMPUTED_VALUE"""),4.0259315E7)</f>
        <v>40259315</v>
      </c>
      <c r="H193" s="87"/>
      <c r="I193" s="87" t="str">
        <f>IFERROR(__xludf.DUMMYFUNCTION("""COMPUTED_VALUE"""),"MATERIAL DESCARREGADO - PROCESSO Nº 1400.01.0026473/2023-03")</f>
        <v>MATERIAL DESCARREGADO - PROCESSO Nº 1400.01.0026473/2023-03</v>
      </c>
    </row>
    <row r="194">
      <c r="A194" s="84">
        <f>IFERROR(__xludf.DUMMYFUNCTION("""COMPUTED_VALUE"""),193.0)</f>
        <v>193</v>
      </c>
      <c r="B194" s="85" t="str">
        <f>IFERROR(__xludf.DUMMYFUNCTION("""COMPUTED_VALUE"""),"CAMERA FOTOGRAFICA DIGITAL -")</f>
        <v>CAMERA FOTOGRAFICA DIGITAL -</v>
      </c>
      <c r="C194" s="86">
        <f>IFERROR(__xludf.DUMMYFUNCTION("""COMPUTED_VALUE"""),1.0)</f>
        <v>1</v>
      </c>
      <c r="D194" s="87" t="str">
        <f>IFERROR(__xludf.DUMMYFUNCTION("""COMPUTED_VALUE"""),"SEÇÃO")</f>
        <v>SEÇÃO</v>
      </c>
      <c r="E194" s="87" t="str">
        <f>IFERROR(__xludf.DUMMYFUNCTION("""COMPUTED_VALUE"""),"3 - DESCARGA")</f>
        <v>3 - DESCARGA</v>
      </c>
      <c r="F194" s="88"/>
      <c r="G194" s="89">
        <f>IFERROR(__xludf.DUMMYFUNCTION("""COMPUTED_VALUE"""),4.0259323E7)</f>
        <v>40259323</v>
      </c>
      <c r="H194" s="87"/>
      <c r="I194" s="87" t="str">
        <f>IFERROR(__xludf.DUMMYFUNCTION("""COMPUTED_VALUE"""),"MATERIAL DESCARREGADO - PROCESSO Nº 1400.01.0026473/2023-03")</f>
        <v>MATERIAL DESCARREGADO - PROCESSO Nº 1400.01.0026473/2023-03</v>
      </c>
    </row>
    <row r="195">
      <c r="A195" s="84">
        <f>IFERROR(__xludf.DUMMYFUNCTION("""COMPUTED_VALUE"""),194.0)</f>
        <v>194</v>
      </c>
      <c r="B195" s="85" t="str">
        <f>IFERROR(__xludf.DUMMYFUNCTION("""COMPUTED_VALUE"""),"CAMINHAO (S) -")</f>
        <v>CAMINHAO (S) -</v>
      </c>
      <c r="C195" s="86">
        <f>IFERROR(__xludf.DUMMYFUNCTION("""COMPUTED_VALUE"""),1.0)</f>
        <v>1</v>
      </c>
      <c r="D195" s="87" t="str">
        <f>IFERROR(__xludf.DUMMYFUNCTION("""COMPUTED_VALUE"""),"VIATURA")</f>
        <v>VIATURA</v>
      </c>
      <c r="E195" s="87" t="str">
        <f>IFERROR(__xludf.DUMMYFUNCTION("""COMPUTED_VALUE"""),"3 - CURVELO")</f>
        <v>3 - CURVELO</v>
      </c>
      <c r="F195" s="88"/>
      <c r="G195" s="89">
        <f>IFERROR(__xludf.DUMMYFUNCTION("""COMPUTED_VALUE"""),1.3870068E7)</f>
        <v>13870068</v>
      </c>
      <c r="H195" s="87" t="str">
        <f>IFERROR(__xludf.DUMMYFUNCTION("""COMPUTED_VALUE"""),"93ZC53B0198408144")</f>
        <v>93ZC53B0198408144</v>
      </c>
      <c r="I195" s="87" t="str">
        <f>IFERROR(__xludf.DUMMYFUNCTION("""COMPUTED_VALUE"""),"ASM - 0866 PLACA , HMH4885")</f>
        <v>ASM - 0866 PLACA , HMH4885</v>
      </c>
    </row>
    <row r="196">
      <c r="A196" s="84">
        <f>IFERROR(__xludf.DUMMYFUNCTION("""COMPUTED_VALUE"""),195.0)</f>
        <v>195</v>
      </c>
      <c r="B196" s="85" t="str">
        <f>IFERROR(__xludf.DUMMYFUNCTION("""COMPUTED_VALUE"""),"CAMINHAO (S) -")</f>
        <v>CAMINHAO (S) -</v>
      </c>
      <c r="C196" s="86">
        <f>IFERROR(__xludf.DUMMYFUNCTION("""COMPUTED_VALUE"""),1.0)</f>
        <v>1</v>
      </c>
      <c r="D196" s="87" t="str">
        <f>IFERROR(__xludf.DUMMYFUNCTION("""COMPUTED_VALUE"""),"VIATURA")</f>
        <v>VIATURA</v>
      </c>
      <c r="E196" s="87" t="str">
        <f>IFERROR(__xludf.DUMMYFUNCTION("""COMPUTED_VALUE"""),"3 - CURVELO")</f>
        <v>3 - CURVELO</v>
      </c>
      <c r="F196" s="88"/>
      <c r="G196" s="89">
        <f>IFERROR(__xludf.DUMMYFUNCTION("""COMPUTED_VALUE"""),1.4042789E7)</f>
        <v>14042789</v>
      </c>
      <c r="H196" s="87" t="str">
        <f>IFERROR(__xludf.DUMMYFUNCTION("""COMPUTED_VALUE"""),"9BWCN82T55R534396")</f>
        <v>9BWCN82T55R534396</v>
      </c>
      <c r="I196" s="87" t="str">
        <f>IFERROR(__xludf.DUMMYFUNCTION("""COMPUTED_VALUE"""),"ABT - 0477, placa HMG5273 (BAIXADA)")</f>
        <v>ABT - 0477, placa HMG5273 (BAIXADA)</v>
      </c>
    </row>
    <row r="197">
      <c r="A197" s="84">
        <f>IFERROR(__xludf.DUMMYFUNCTION("""COMPUTED_VALUE"""),196.0)</f>
        <v>196</v>
      </c>
      <c r="B197" s="85" t="str">
        <f>IFERROR(__xludf.DUMMYFUNCTION("""COMPUTED_VALUE"""),"CAPACETE DE SALVAMENTO E PROTECAO -")</f>
        <v>CAPACETE DE SALVAMENTO E PROTECAO -</v>
      </c>
      <c r="C197" s="86">
        <f>IFERROR(__xludf.DUMMYFUNCTION("""COMPUTED_VALUE"""),1.0)</f>
        <v>1</v>
      </c>
      <c r="D197" s="87"/>
      <c r="E197" s="87" t="str">
        <f>IFERROR(__xludf.DUMMYFUNCTION("""COMPUTED_VALUE"""),"3 - CURVELO")</f>
        <v>3 - CURVELO</v>
      </c>
      <c r="F197" s="88"/>
      <c r="G197" s="89">
        <f>IFERROR(__xludf.DUMMYFUNCTION("""COMPUTED_VALUE"""),4.0208478E7)</f>
        <v>40208478</v>
      </c>
      <c r="H197" s="87"/>
      <c r="I197" s="87"/>
    </row>
    <row r="198">
      <c r="A198" s="84">
        <f>IFERROR(__xludf.DUMMYFUNCTION("""COMPUTED_VALUE"""),197.0)</f>
        <v>197</v>
      </c>
      <c r="B198" s="85" t="str">
        <f>IFERROR(__xludf.DUMMYFUNCTION("""COMPUTED_VALUE"""),"CAPACETE DE SALVAMENTO E PROTECAO -")</f>
        <v>CAPACETE DE SALVAMENTO E PROTECAO -</v>
      </c>
      <c r="C198" s="86">
        <f>IFERROR(__xludf.DUMMYFUNCTION("""COMPUTED_VALUE"""),1.0)</f>
        <v>1</v>
      </c>
      <c r="D198" s="87"/>
      <c r="E198" s="87" t="str">
        <f>IFERROR(__xludf.DUMMYFUNCTION("""COMPUTED_VALUE"""),"3 - CURVELO")</f>
        <v>3 - CURVELO</v>
      </c>
      <c r="F198" s="88"/>
      <c r="G198" s="89">
        <f>IFERROR(__xludf.DUMMYFUNCTION("""COMPUTED_VALUE"""),4.021916E7)</f>
        <v>40219160</v>
      </c>
      <c r="H198" s="87"/>
      <c r="I198" s="87" t="str">
        <f>IFERROR(__xludf.DUMMYFUNCTION("""COMPUTED_VALUE"""),"EM PROCESSO DE DESCARGA SEI- 1400.01.0026473/2023-03")</f>
        <v>EM PROCESSO DE DESCARGA SEI- 1400.01.0026473/2023-03</v>
      </c>
    </row>
    <row r="199">
      <c r="A199" s="84">
        <f>IFERROR(__xludf.DUMMYFUNCTION("""COMPUTED_VALUE"""),198.0)</f>
        <v>198</v>
      </c>
      <c r="B199" s="85" t="str">
        <f>IFERROR(__xludf.DUMMYFUNCTION("""COMPUTED_VALUE"""),"CAPACETE DE SALVAMENTO E PROTECAO -")</f>
        <v>CAPACETE DE SALVAMENTO E PROTECAO -</v>
      </c>
      <c r="C199" s="86">
        <f>IFERROR(__xludf.DUMMYFUNCTION("""COMPUTED_VALUE"""),1.0)</f>
        <v>1</v>
      </c>
      <c r="D199" s="87" t="str">
        <f>IFERROR(__xludf.DUMMYFUNCTION("""COMPUTED_VALUE"""),"SEÇÃO")</f>
        <v>SEÇÃO</v>
      </c>
      <c r="E199" s="87" t="str">
        <f>IFERROR(__xludf.DUMMYFUNCTION("""COMPUTED_VALUE"""),"3 - CURVELO")</f>
        <v>3 - CURVELO</v>
      </c>
      <c r="F199" s="88"/>
      <c r="G199" s="89">
        <f>IFERROR(__xludf.DUMMYFUNCTION("""COMPUTED_VALUE"""),4.0219313E7)</f>
        <v>40219313</v>
      </c>
      <c r="H199" s="87"/>
      <c r="I199" s="87" t="str">
        <f>IFERROR(__xludf.DUMMYFUNCTION("""COMPUTED_VALUE"""),"B4 - KIT CSALT")</f>
        <v>B4 - KIT CSALT</v>
      </c>
    </row>
    <row r="200">
      <c r="A200" s="84">
        <f>IFERROR(__xludf.DUMMYFUNCTION("""COMPUTED_VALUE"""),199.0)</f>
        <v>199</v>
      </c>
      <c r="B200" s="85" t="str">
        <f>IFERROR(__xludf.DUMMYFUNCTION("""COMPUTED_VALUE"""),"CAPACETE DE SALVAMENTO E PROTECAO -")</f>
        <v>CAPACETE DE SALVAMENTO E PROTECAO -</v>
      </c>
      <c r="C200" s="86">
        <f>IFERROR(__xludf.DUMMYFUNCTION("""COMPUTED_VALUE"""),1.0)</f>
        <v>1</v>
      </c>
      <c r="D200" s="87" t="str">
        <f>IFERROR(__xludf.DUMMYFUNCTION("""COMPUTED_VALUE"""),"SEÇÃO")</f>
        <v>SEÇÃO</v>
      </c>
      <c r="E200" s="87" t="str">
        <f>IFERROR(__xludf.DUMMYFUNCTION("""COMPUTED_VALUE"""),"3 - CURVELO")</f>
        <v>3 - CURVELO</v>
      </c>
      <c r="F200" s="88"/>
      <c r="G200" s="89">
        <f>IFERROR(__xludf.DUMMYFUNCTION("""COMPUTED_VALUE"""),4.0219399E7)</f>
        <v>40219399</v>
      </c>
      <c r="H200" s="87"/>
      <c r="I200" s="87" t="str">
        <f>IFERROR(__xludf.DUMMYFUNCTION("""COMPUTED_VALUE"""),"B4 ")</f>
        <v>B4 </v>
      </c>
    </row>
    <row r="201">
      <c r="A201" s="84">
        <f>IFERROR(__xludf.DUMMYFUNCTION("""COMPUTED_VALUE"""),200.0)</f>
        <v>200</v>
      </c>
      <c r="B201" s="85" t="str">
        <f>IFERROR(__xludf.DUMMYFUNCTION("""COMPUTED_VALUE"""),"CAPACETE DE SALVAMENTO E PROTECAO -")</f>
        <v>CAPACETE DE SALVAMENTO E PROTECAO -</v>
      </c>
      <c r="C201" s="86">
        <f>IFERROR(__xludf.DUMMYFUNCTION("""COMPUTED_VALUE"""),1.0)</f>
        <v>1</v>
      </c>
      <c r="D201" s="87" t="str">
        <f>IFERROR(__xludf.DUMMYFUNCTION("""COMPUTED_VALUE"""),"VIATURA")</f>
        <v>VIATURA</v>
      </c>
      <c r="E201" s="87" t="str">
        <f>IFERROR(__xludf.DUMMYFUNCTION("""COMPUTED_VALUE"""),"3 - CURVELO")</f>
        <v>3 - CURVELO</v>
      </c>
      <c r="F201" s="88"/>
      <c r="G201" s="89">
        <f>IFERROR(__xludf.DUMMYFUNCTION("""COMPUTED_VALUE"""),4.0219526E7)</f>
        <v>40219526</v>
      </c>
      <c r="H201" s="87"/>
      <c r="I201" s="87" t="str">
        <f>IFERROR(__xludf.DUMMYFUNCTION("""COMPUTED_VALUE"""),"ABTS-3026")</f>
        <v>ABTS-3026</v>
      </c>
    </row>
    <row r="202">
      <c r="A202" s="84">
        <f>IFERROR(__xludf.DUMMYFUNCTION("""COMPUTED_VALUE"""),201.0)</f>
        <v>201</v>
      </c>
      <c r="B202" s="85" t="str">
        <f>IFERROR(__xludf.DUMMYFUNCTION("""COMPUTED_VALUE"""),"CAPACETE DE SALVAMENTO E PROTECAO -")</f>
        <v>CAPACETE DE SALVAMENTO E PROTECAO -</v>
      </c>
      <c r="C202" s="86">
        <f>IFERROR(__xludf.DUMMYFUNCTION("""COMPUTED_VALUE"""),1.0)</f>
        <v>1</v>
      </c>
      <c r="D202" s="87" t="str">
        <f>IFERROR(__xludf.DUMMYFUNCTION("""COMPUTED_VALUE"""),"VIATURA")</f>
        <v>VIATURA</v>
      </c>
      <c r="E202" s="87" t="str">
        <f>IFERROR(__xludf.DUMMYFUNCTION("""COMPUTED_VALUE"""),"3 - CURVELO")</f>
        <v>3 - CURVELO</v>
      </c>
      <c r="F202" s="88"/>
      <c r="G202" s="89">
        <f>IFERROR(__xludf.DUMMYFUNCTION("""COMPUTED_VALUE"""),4.0219542E7)</f>
        <v>40219542</v>
      </c>
      <c r="H202" s="87"/>
      <c r="I202" s="87" t="str">
        <f>IFERROR(__xludf.DUMMYFUNCTION("""COMPUTED_VALUE"""),"ASL-1382")</f>
        <v>ASL-1382</v>
      </c>
    </row>
    <row r="203">
      <c r="A203" s="84">
        <f>IFERROR(__xludf.DUMMYFUNCTION("""COMPUTED_VALUE"""),202.0)</f>
        <v>202</v>
      </c>
      <c r="B203" s="85" t="str">
        <f>IFERROR(__xludf.DUMMYFUNCTION("""COMPUTED_VALUE"""),"CAPACETE DE SALVAMENTO E PROTECAO -")</f>
        <v>CAPACETE DE SALVAMENTO E PROTECAO -</v>
      </c>
      <c r="C203" s="86">
        <f>IFERROR(__xludf.DUMMYFUNCTION("""COMPUTED_VALUE"""),1.0)</f>
        <v>1</v>
      </c>
      <c r="D203" s="87" t="str">
        <f>IFERROR(__xludf.DUMMYFUNCTION("""COMPUTED_VALUE"""),"VIATURA")</f>
        <v>VIATURA</v>
      </c>
      <c r="E203" s="87" t="str">
        <f>IFERROR(__xludf.DUMMYFUNCTION("""COMPUTED_VALUE"""),"3 - CURVELO")</f>
        <v>3 - CURVELO</v>
      </c>
      <c r="F203" s="88"/>
      <c r="G203" s="89">
        <f>IFERROR(__xludf.DUMMYFUNCTION("""COMPUTED_VALUE"""),4.021986E7)</f>
        <v>40219860</v>
      </c>
      <c r="H203" s="87"/>
      <c r="I203" s="87" t="str">
        <f>IFERROR(__xludf.DUMMYFUNCTION("""COMPUTED_VALUE"""),"UR-4336")</f>
        <v>UR-4336</v>
      </c>
    </row>
    <row r="204">
      <c r="A204" s="84">
        <f>IFERROR(__xludf.DUMMYFUNCTION("""COMPUTED_VALUE"""),203.0)</f>
        <v>203</v>
      </c>
      <c r="B204" s="85" t="str">
        <f>IFERROR(__xludf.DUMMYFUNCTION("""COMPUTED_VALUE"""),"CAPACETE DE SALVAMENTO E PROTECAO -")</f>
        <v>CAPACETE DE SALVAMENTO E PROTECAO -</v>
      </c>
      <c r="C204" s="86">
        <f>IFERROR(__xludf.DUMMYFUNCTION("""COMPUTED_VALUE"""),1.0)</f>
        <v>1</v>
      </c>
      <c r="D204" s="87"/>
      <c r="E204" s="87" t="str">
        <f>IFERROR(__xludf.DUMMYFUNCTION("""COMPUTED_VALUE"""),"3 - CURVELO")</f>
        <v>3 - CURVELO</v>
      </c>
      <c r="F204" s="88"/>
      <c r="G204" s="89">
        <f>IFERROR(__xludf.DUMMYFUNCTION("""COMPUTED_VALUE"""),4.0324842E7)</f>
        <v>40324842</v>
      </c>
      <c r="H204" s="87"/>
      <c r="I204" s="87"/>
    </row>
    <row r="205">
      <c r="A205" s="84">
        <f>IFERROR(__xludf.DUMMYFUNCTION("""COMPUTED_VALUE"""),204.0)</f>
        <v>204</v>
      </c>
      <c r="B205" s="85" t="str">
        <f>IFERROR(__xludf.DUMMYFUNCTION("""COMPUTED_VALUE"""),"CAPACETE DE SALVAMENTO E PROTECAO -")</f>
        <v>CAPACETE DE SALVAMENTO E PROTECAO -</v>
      </c>
      <c r="C205" s="86">
        <f>IFERROR(__xludf.DUMMYFUNCTION("""COMPUTED_VALUE"""),1.0)</f>
        <v>1</v>
      </c>
      <c r="D205" s="87" t="str">
        <f>IFERROR(__xludf.DUMMYFUNCTION("""COMPUTED_VALUE"""),"SEÇÃO")</f>
        <v>SEÇÃO</v>
      </c>
      <c r="E205" s="87" t="str">
        <f>IFERROR(__xludf.DUMMYFUNCTION("""COMPUTED_VALUE"""),"3 - CURVELO")</f>
        <v>3 - CURVELO</v>
      </c>
      <c r="F205" s="88"/>
      <c r="G205" s="89">
        <f>IFERROR(__xludf.DUMMYFUNCTION("""COMPUTED_VALUE"""),4.0346714E7)</f>
        <v>40346714</v>
      </c>
      <c r="H205" s="87"/>
      <c r="I205" s="87"/>
    </row>
    <row r="206">
      <c r="A206" s="84">
        <f>IFERROR(__xludf.DUMMYFUNCTION("""COMPUTED_VALUE"""),205.0)</f>
        <v>205</v>
      </c>
      <c r="B206" s="85" t="str">
        <f>IFERROR(__xludf.DUMMYFUNCTION("""COMPUTED_VALUE"""),"CAPACETE DE SALVAMENTO E PROTECAO -")</f>
        <v>CAPACETE DE SALVAMENTO E PROTECAO -</v>
      </c>
      <c r="C206" s="86">
        <f>IFERROR(__xludf.DUMMYFUNCTION("""COMPUTED_VALUE"""),1.0)</f>
        <v>1</v>
      </c>
      <c r="D206" s="87" t="str">
        <f>IFERROR(__xludf.DUMMYFUNCTION("""COMPUTED_VALUE"""),"VIATURA")</f>
        <v>VIATURA</v>
      </c>
      <c r="E206" s="87" t="str">
        <f>IFERROR(__xludf.DUMMYFUNCTION("""COMPUTED_VALUE"""),"3 - CURVELO")</f>
        <v>3 - CURVELO</v>
      </c>
      <c r="F206" s="88"/>
      <c r="G206" s="89">
        <f>IFERROR(__xludf.DUMMYFUNCTION("""COMPUTED_VALUE"""),4.0346722E7)</f>
        <v>40346722</v>
      </c>
      <c r="H206" s="87"/>
      <c r="I206" s="87" t="str">
        <f>IFERROR(__xludf.DUMMYFUNCTION("""COMPUTED_VALUE"""),"ABTS-3026")</f>
        <v>ABTS-3026</v>
      </c>
    </row>
    <row r="207">
      <c r="A207" s="84">
        <f>IFERROR(__xludf.DUMMYFUNCTION("""COMPUTED_VALUE"""),206.0)</f>
        <v>206</v>
      </c>
      <c r="B207" s="85" t="str">
        <f>IFERROR(__xludf.DUMMYFUNCTION("""COMPUTED_VALUE"""),"CAPACETE DE SALVAMENTO E PROTECAO -")</f>
        <v>CAPACETE DE SALVAMENTO E PROTECAO -</v>
      </c>
      <c r="C207" s="86">
        <f>IFERROR(__xludf.DUMMYFUNCTION("""COMPUTED_VALUE"""),1.0)</f>
        <v>1</v>
      </c>
      <c r="D207" s="87" t="str">
        <f>IFERROR(__xludf.DUMMYFUNCTION("""COMPUTED_VALUE"""),"SEÇÃO")</f>
        <v>SEÇÃO</v>
      </c>
      <c r="E207" s="87" t="str">
        <f>IFERROR(__xludf.DUMMYFUNCTION("""COMPUTED_VALUE"""),"3 - CURVELO")</f>
        <v>3 - CURVELO</v>
      </c>
      <c r="F207" s="88"/>
      <c r="G207" s="89">
        <f>IFERROR(__xludf.DUMMYFUNCTION("""COMPUTED_VALUE"""),4.034673E7)</f>
        <v>40346730</v>
      </c>
      <c r="H207" s="87"/>
      <c r="I207" s="87"/>
    </row>
    <row r="208">
      <c r="A208" s="84">
        <f>IFERROR(__xludf.DUMMYFUNCTION("""COMPUTED_VALUE"""),207.0)</f>
        <v>207</v>
      </c>
      <c r="B208" s="85" t="str">
        <f>IFERROR(__xludf.DUMMYFUNCTION("""COMPUTED_VALUE"""),"CAPACETE DE SALVAMENTO E PROTECAO -")</f>
        <v>CAPACETE DE SALVAMENTO E PROTECAO -</v>
      </c>
      <c r="C208" s="86">
        <f>IFERROR(__xludf.DUMMYFUNCTION("""COMPUTED_VALUE"""),1.0)</f>
        <v>1</v>
      </c>
      <c r="D208" s="87" t="str">
        <f>IFERROR(__xludf.DUMMYFUNCTION("""COMPUTED_VALUE"""),"VIATURA")</f>
        <v>VIATURA</v>
      </c>
      <c r="E208" s="87" t="str">
        <f>IFERROR(__xludf.DUMMYFUNCTION("""COMPUTED_VALUE"""),"3 - CURVELO")</f>
        <v>3 - CURVELO</v>
      </c>
      <c r="F208" s="88"/>
      <c r="G208" s="89">
        <f>IFERROR(__xludf.DUMMYFUNCTION("""COMPUTED_VALUE"""),4.0346749E7)</f>
        <v>40346749</v>
      </c>
      <c r="H208" s="87"/>
      <c r="I208" s="87" t="str">
        <f>IFERROR(__xludf.DUMMYFUNCTION("""COMPUTED_VALUE"""),"ASL-1382")</f>
        <v>ASL-1382</v>
      </c>
    </row>
    <row r="209">
      <c r="A209" s="84">
        <f>IFERROR(__xludf.DUMMYFUNCTION("""COMPUTED_VALUE"""),208.0)</f>
        <v>208</v>
      </c>
      <c r="B209" s="85" t="str">
        <f>IFERROR(__xludf.DUMMYFUNCTION("""COMPUTED_VALUE"""),"CAPACETE DE SALVAMENTO E PROTECAO -")</f>
        <v>CAPACETE DE SALVAMENTO E PROTECAO -</v>
      </c>
      <c r="C209" s="86">
        <f>IFERROR(__xludf.DUMMYFUNCTION("""COMPUTED_VALUE"""),1.0)</f>
        <v>1</v>
      </c>
      <c r="D209" s="87" t="str">
        <f>IFERROR(__xludf.DUMMYFUNCTION("""COMPUTED_VALUE"""),"SEÇÃO")</f>
        <v>SEÇÃO</v>
      </c>
      <c r="E209" s="87" t="str">
        <f>IFERROR(__xludf.DUMMYFUNCTION("""COMPUTED_VALUE"""),"3 - CURVELO")</f>
        <v>3 - CURVELO</v>
      </c>
      <c r="F209" s="88"/>
      <c r="G209" s="89">
        <f>IFERROR(__xludf.DUMMYFUNCTION("""COMPUTED_VALUE"""),4.0346757E7)</f>
        <v>40346757</v>
      </c>
      <c r="H209" s="87"/>
      <c r="I209" s="87"/>
    </row>
    <row r="210">
      <c r="A210" s="84">
        <f>IFERROR(__xludf.DUMMYFUNCTION("""COMPUTED_VALUE"""),209.0)</f>
        <v>209</v>
      </c>
      <c r="B210" s="85" t="str">
        <f>IFERROR(__xludf.DUMMYFUNCTION("""COMPUTED_VALUE"""),"CAPACETE DE SALVAMENTO E PROTECAO -")</f>
        <v>CAPACETE DE SALVAMENTO E PROTECAO -</v>
      </c>
      <c r="C210" s="86">
        <f>IFERROR(__xludf.DUMMYFUNCTION("""COMPUTED_VALUE"""),1.0)</f>
        <v>1</v>
      </c>
      <c r="D210" s="87" t="str">
        <f>IFERROR(__xludf.DUMMYFUNCTION("""COMPUTED_VALUE"""),"SEÇÃO")</f>
        <v>SEÇÃO</v>
      </c>
      <c r="E210" s="87" t="str">
        <f>IFERROR(__xludf.DUMMYFUNCTION("""COMPUTED_VALUE"""),"3 - CURVELO")</f>
        <v>3 - CURVELO</v>
      </c>
      <c r="F210" s="88"/>
      <c r="G210" s="89">
        <f>IFERROR(__xludf.DUMMYFUNCTION("""COMPUTED_VALUE"""),4.0346765E7)</f>
        <v>40346765</v>
      </c>
      <c r="H210" s="87"/>
      <c r="I210" s="87"/>
    </row>
    <row r="211">
      <c r="A211" s="84">
        <f>IFERROR(__xludf.DUMMYFUNCTION("""COMPUTED_VALUE"""),210.0)</f>
        <v>210</v>
      </c>
      <c r="B211" s="85" t="str">
        <f>IFERROR(__xludf.DUMMYFUNCTION("""COMPUTED_VALUE"""),"CAPACETE DE SALVAMENTO E PROTECAO -")</f>
        <v>CAPACETE DE SALVAMENTO E PROTECAO -</v>
      </c>
      <c r="C211" s="86">
        <f>IFERROR(__xludf.DUMMYFUNCTION("""COMPUTED_VALUE"""),1.0)</f>
        <v>1</v>
      </c>
      <c r="D211" s="87" t="str">
        <f>IFERROR(__xludf.DUMMYFUNCTION("""COMPUTED_VALUE"""),"VIATURA")</f>
        <v>VIATURA</v>
      </c>
      <c r="E211" s="87" t="str">
        <f>IFERROR(__xludf.DUMMYFUNCTION("""COMPUTED_VALUE"""),"3 - CURVELO")</f>
        <v>3 - CURVELO</v>
      </c>
      <c r="F211" s="88"/>
      <c r="G211" s="89">
        <f>IFERROR(__xludf.DUMMYFUNCTION("""COMPUTED_VALUE"""),4.0346773E7)</f>
        <v>40346773</v>
      </c>
      <c r="H211" s="87"/>
      <c r="I211" s="87" t="str">
        <f>IFERROR(__xludf.DUMMYFUNCTION("""COMPUTED_VALUE"""),"ABTS-3026")</f>
        <v>ABTS-3026</v>
      </c>
    </row>
    <row r="212">
      <c r="A212" s="84">
        <f>IFERROR(__xludf.DUMMYFUNCTION("""COMPUTED_VALUE"""),211.0)</f>
        <v>211</v>
      </c>
      <c r="B212" s="85" t="str">
        <f>IFERROR(__xludf.DUMMYFUNCTION("""COMPUTED_VALUE"""),"CAPACETE DE SALVAMENTO E PROTECAO -")</f>
        <v>CAPACETE DE SALVAMENTO E PROTECAO -</v>
      </c>
      <c r="C212" s="86">
        <f>IFERROR(__xludf.DUMMYFUNCTION("""COMPUTED_VALUE"""),1.0)</f>
        <v>1</v>
      </c>
      <c r="D212" s="87" t="str">
        <f>IFERROR(__xludf.DUMMYFUNCTION("""COMPUTED_VALUE"""),"VIATURA")</f>
        <v>VIATURA</v>
      </c>
      <c r="E212" s="87" t="str">
        <f>IFERROR(__xludf.DUMMYFUNCTION("""COMPUTED_VALUE"""),"3 - CURVELO")</f>
        <v>3 - CURVELO</v>
      </c>
      <c r="F212" s="88"/>
      <c r="G212" s="89">
        <f>IFERROR(__xludf.DUMMYFUNCTION("""COMPUTED_VALUE"""),4.0346897E7)</f>
        <v>40346897</v>
      </c>
      <c r="H212" s="87"/>
      <c r="I212" s="87" t="str">
        <f>IFERROR(__xludf.DUMMYFUNCTION("""COMPUTED_VALUE"""),"ABTS-3026")</f>
        <v>ABTS-3026</v>
      </c>
    </row>
    <row r="213">
      <c r="A213" s="84">
        <f>IFERROR(__xludf.DUMMYFUNCTION("""COMPUTED_VALUE"""),212.0)</f>
        <v>212</v>
      </c>
      <c r="B213" s="85" t="str">
        <f>IFERROR(__xludf.DUMMYFUNCTION("""COMPUTED_VALUE"""),"CAPACETE DE SALVAMENTO E PROTECAO -")</f>
        <v>CAPACETE DE SALVAMENTO E PROTECAO -</v>
      </c>
      <c r="C213" s="86">
        <f>IFERROR(__xludf.DUMMYFUNCTION("""COMPUTED_VALUE"""),1.0)</f>
        <v>1</v>
      </c>
      <c r="D213" s="87" t="str">
        <f>IFERROR(__xludf.DUMMYFUNCTION("""COMPUTED_VALUE"""),"VIATURA")</f>
        <v>VIATURA</v>
      </c>
      <c r="E213" s="87" t="str">
        <f>IFERROR(__xludf.DUMMYFUNCTION("""COMPUTED_VALUE"""),"3 - CURVELO")</f>
        <v>3 - CURVELO</v>
      </c>
      <c r="F213" s="88"/>
      <c r="G213" s="89">
        <f>IFERROR(__xludf.DUMMYFUNCTION("""COMPUTED_VALUE"""),4.03469E7)</f>
        <v>40346900</v>
      </c>
      <c r="H213" s="87"/>
      <c r="I213" s="87" t="str">
        <f>IFERROR(__xludf.DUMMYFUNCTION("""COMPUTED_VALUE"""),"UR-5125")</f>
        <v>UR-5125</v>
      </c>
    </row>
    <row r="214">
      <c r="A214" s="84">
        <f>IFERROR(__xludf.DUMMYFUNCTION("""COMPUTED_VALUE"""),213.0)</f>
        <v>213</v>
      </c>
      <c r="B214" s="85" t="str">
        <f>IFERROR(__xludf.DUMMYFUNCTION("""COMPUTED_VALUE"""),"CAPACETE PARA COMBATE INCENDIO -")</f>
        <v>CAPACETE PARA COMBATE INCENDIO -</v>
      </c>
      <c r="C214" s="86">
        <f>IFERROR(__xludf.DUMMYFUNCTION("""COMPUTED_VALUE"""),1.0)</f>
        <v>1</v>
      </c>
      <c r="D214" s="87"/>
      <c r="E214" s="87" t="str">
        <f>IFERROR(__xludf.DUMMYFUNCTION("""COMPUTED_VALUE"""),"3 - CURVELO")</f>
        <v>3 - CURVELO</v>
      </c>
      <c r="F214" s="88"/>
      <c r="G214" s="89">
        <f>IFERROR(__xludf.DUMMYFUNCTION("""COMPUTED_VALUE"""),3.9947491E7)</f>
        <v>39947491</v>
      </c>
      <c r="H214" s="87"/>
      <c r="I214" s="87"/>
    </row>
    <row r="215">
      <c r="A215" s="84">
        <f>IFERROR(__xludf.DUMMYFUNCTION("""COMPUTED_VALUE"""),214.0)</f>
        <v>214</v>
      </c>
      <c r="B215" s="85" t="str">
        <f>IFERROR(__xludf.DUMMYFUNCTION("""COMPUTED_VALUE"""),"CAPACETE PARA COMBATE INCENDIO -")</f>
        <v>CAPACETE PARA COMBATE INCENDIO -</v>
      </c>
      <c r="C215" s="86">
        <f>IFERROR(__xludf.DUMMYFUNCTION("""COMPUTED_VALUE"""),1.0)</f>
        <v>1</v>
      </c>
      <c r="D215" s="87"/>
      <c r="E215" s="87" t="str">
        <f>IFERROR(__xludf.DUMMYFUNCTION("""COMPUTED_VALUE"""),"3 - CURVELO")</f>
        <v>3 - CURVELO</v>
      </c>
      <c r="F215" s="88"/>
      <c r="G215" s="89">
        <f>IFERROR(__xludf.DUMMYFUNCTION("""COMPUTED_VALUE"""),3.994758E7)</f>
        <v>39947580</v>
      </c>
      <c r="H215" s="87"/>
      <c r="I215" s="87"/>
    </row>
    <row r="216">
      <c r="A216" s="84">
        <f>IFERROR(__xludf.DUMMYFUNCTION("""COMPUTED_VALUE"""),215.0)</f>
        <v>215</v>
      </c>
      <c r="B216" s="85" t="str">
        <f>IFERROR(__xludf.DUMMYFUNCTION("""COMPUTED_VALUE"""),"CAPACETE PARA COMBATE INCENDIO -")</f>
        <v>CAPACETE PARA COMBATE INCENDIO -</v>
      </c>
      <c r="C216" s="86">
        <f>IFERROR(__xludf.DUMMYFUNCTION("""COMPUTED_VALUE"""),1.0)</f>
        <v>1</v>
      </c>
      <c r="D216" s="87" t="str">
        <f>IFERROR(__xludf.DUMMYFUNCTION("""COMPUTED_VALUE"""),"MILITAR")</f>
        <v>MILITAR</v>
      </c>
      <c r="E216" s="87" t="str">
        <f>IFERROR(__xludf.DUMMYFUNCTION("""COMPUTED_VALUE"""),"3 - CURVELO")</f>
        <v>3 - CURVELO</v>
      </c>
      <c r="F216" s="88"/>
      <c r="G216" s="89">
        <f>IFERROR(__xludf.DUMMYFUNCTION("""COMPUTED_VALUE"""),3.9948129E7)</f>
        <v>39948129</v>
      </c>
      <c r="H216" s="87"/>
      <c r="I216" s="87" t="str">
        <f>IFERROR(__xludf.DUMMYFUNCTION("""COMPUTED_VALUE"""),"CB RICARDO, TRANSFERIDO P/ TRÊS MARIAS")</f>
        <v>CB RICARDO, TRANSFERIDO P/ TRÊS MARIAS</v>
      </c>
    </row>
    <row r="217">
      <c r="A217" s="84">
        <f>IFERROR(__xludf.DUMMYFUNCTION("""COMPUTED_VALUE"""),216.0)</f>
        <v>216</v>
      </c>
      <c r="B217" s="85" t="str">
        <f>IFERROR(__xludf.DUMMYFUNCTION("""COMPUTED_VALUE"""),"CAPACETE PARA COMBATE INCENDIO -")</f>
        <v>CAPACETE PARA COMBATE INCENDIO -</v>
      </c>
      <c r="C217" s="86">
        <f>IFERROR(__xludf.DUMMYFUNCTION("""COMPUTED_VALUE"""),1.0)</f>
        <v>1</v>
      </c>
      <c r="D217" s="87" t="str">
        <f>IFERROR(__xludf.DUMMYFUNCTION("""COMPUTED_VALUE"""),"MILITAR")</f>
        <v>MILITAR</v>
      </c>
      <c r="E217" s="87" t="str">
        <f>IFERROR(__xludf.DUMMYFUNCTION("""COMPUTED_VALUE"""),"3 - CURVELO")</f>
        <v>3 - CURVELO</v>
      </c>
      <c r="F217" s="88"/>
      <c r="G217" s="89">
        <f>IFERROR(__xludf.DUMMYFUNCTION("""COMPUTED_VALUE"""),3.9950751E7)</f>
        <v>39950751</v>
      </c>
      <c r="H217" s="87"/>
      <c r="I217" s="87" t="str">
        <f>IFERROR(__xludf.DUMMYFUNCTION("""COMPUTED_VALUE"""),"CB NUNES, TRANSFERIDO P/ MONTES CLAROS")</f>
        <v>CB NUNES, TRANSFERIDO P/ MONTES CLAROS</v>
      </c>
    </row>
    <row r="218">
      <c r="A218" s="84">
        <f>IFERROR(__xludf.DUMMYFUNCTION("""COMPUTED_VALUE"""),217.0)</f>
        <v>217</v>
      </c>
      <c r="B218" s="85" t="str">
        <f>IFERROR(__xludf.DUMMYFUNCTION("""COMPUTED_VALUE"""),"CAPACETE PARA COMBATE INCENDIO -")</f>
        <v>CAPACETE PARA COMBATE INCENDIO -</v>
      </c>
      <c r="C218" s="86">
        <f>IFERROR(__xludf.DUMMYFUNCTION("""COMPUTED_VALUE"""),1.0)</f>
        <v>1</v>
      </c>
      <c r="D218" s="87"/>
      <c r="E218" s="87" t="str">
        <f>IFERROR(__xludf.DUMMYFUNCTION("""COMPUTED_VALUE"""),"3 - CURVELO")</f>
        <v>3 - CURVELO</v>
      </c>
      <c r="F218" s="88"/>
      <c r="G218" s="89">
        <f>IFERROR(__xludf.DUMMYFUNCTION("""COMPUTED_VALUE"""),4.0174131E7)</f>
        <v>40174131</v>
      </c>
      <c r="H218" s="87"/>
      <c r="I218" s="87" t="str">
        <f>IFERROR(__xludf.DUMMYFUNCTION("""COMPUTED_VALUE"""),"ARMAZENADO NA B4")</f>
        <v>ARMAZENADO NA B4</v>
      </c>
    </row>
    <row r="219">
      <c r="A219" s="84">
        <f>IFERROR(__xludf.DUMMYFUNCTION("""COMPUTED_VALUE"""),218.0)</f>
        <v>218</v>
      </c>
      <c r="B219" s="85" t="str">
        <f>IFERROR(__xludf.DUMMYFUNCTION("""COMPUTED_VALUE"""),"CAPACETE PARA COMBATE INCENDIO -")</f>
        <v>CAPACETE PARA COMBATE INCENDIO -</v>
      </c>
      <c r="C219" s="86">
        <f>IFERROR(__xludf.DUMMYFUNCTION("""COMPUTED_VALUE"""),1.0)</f>
        <v>1</v>
      </c>
      <c r="D219" s="87"/>
      <c r="E219" s="87" t="str">
        <f>IFERROR(__xludf.DUMMYFUNCTION("""COMPUTED_VALUE"""),"3 - CURVELO")</f>
        <v>3 - CURVELO</v>
      </c>
      <c r="F219" s="88"/>
      <c r="G219" s="89">
        <f>IFERROR(__xludf.DUMMYFUNCTION("""COMPUTED_VALUE"""),4.0174255E7)</f>
        <v>40174255</v>
      </c>
      <c r="H219" s="87"/>
      <c r="I219" s="87" t="str">
        <f>IFERROR(__xludf.DUMMYFUNCTION("""COMPUTED_VALUE"""),"DESCARGA")</f>
        <v>DESCARGA</v>
      </c>
    </row>
    <row r="220">
      <c r="A220" s="84">
        <f>IFERROR(__xludf.DUMMYFUNCTION("""COMPUTED_VALUE"""),219.0)</f>
        <v>219</v>
      </c>
      <c r="B220" s="85" t="str">
        <f>IFERROR(__xludf.DUMMYFUNCTION("""COMPUTED_VALUE"""),"CAPACETE PARA COMBATE INCENDIO -")</f>
        <v>CAPACETE PARA COMBATE INCENDIO -</v>
      </c>
      <c r="C220" s="86">
        <f>IFERROR(__xludf.DUMMYFUNCTION("""COMPUTED_VALUE"""),1.0)</f>
        <v>1</v>
      </c>
      <c r="D220" s="87"/>
      <c r="E220" s="87" t="str">
        <f>IFERROR(__xludf.DUMMYFUNCTION("""COMPUTED_VALUE"""),"3 - CURVELO")</f>
        <v>3 - CURVELO</v>
      </c>
      <c r="F220" s="88"/>
      <c r="G220" s="89">
        <f>IFERROR(__xludf.DUMMYFUNCTION("""COMPUTED_VALUE"""),4.0175138E7)</f>
        <v>40175138</v>
      </c>
      <c r="H220" s="87"/>
      <c r="I220" s="87" t="str">
        <f>IFERROR(__xludf.DUMMYFUNCTION("""COMPUTED_VALUE"""),"ARMAZENADO NA B4")</f>
        <v>ARMAZENADO NA B4</v>
      </c>
    </row>
    <row r="221">
      <c r="A221" s="84">
        <f>IFERROR(__xludf.DUMMYFUNCTION("""COMPUTED_VALUE"""),220.0)</f>
        <v>220</v>
      </c>
      <c r="B221" s="85" t="str">
        <f>IFERROR(__xludf.DUMMYFUNCTION("""COMPUTED_VALUE"""),"CAPACETE PARA COMBATE INCENDIO -")</f>
        <v>CAPACETE PARA COMBATE INCENDIO -</v>
      </c>
      <c r="C221" s="86">
        <f>IFERROR(__xludf.DUMMYFUNCTION("""COMPUTED_VALUE"""),1.0)</f>
        <v>1</v>
      </c>
      <c r="D221" s="87"/>
      <c r="E221" s="87" t="str">
        <f>IFERROR(__xludf.DUMMYFUNCTION("""COMPUTED_VALUE"""),"3 - CURVELO")</f>
        <v>3 - CURVELO</v>
      </c>
      <c r="F221" s="88"/>
      <c r="G221" s="89">
        <f>IFERROR(__xludf.DUMMYFUNCTION("""COMPUTED_VALUE"""),4.0175979E7)</f>
        <v>40175979</v>
      </c>
      <c r="H221" s="87"/>
      <c r="I221" s="87" t="str">
        <f>IFERROR(__xludf.DUMMYFUNCTION("""COMPUTED_VALUE"""),"ARMAZENADO NA B4")</f>
        <v>ARMAZENADO NA B4</v>
      </c>
    </row>
    <row r="222">
      <c r="A222" s="84">
        <f>IFERROR(__xludf.DUMMYFUNCTION("""COMPUTED_VALUE"""),221.0)</f>
        <v>221</v>
      </c>
      <c r="B222" s="85" t="str">
        <f>IFERROR(__xludf.DUMMYFUNCTION("""COMPUTED_VALUE"""),"CAPACETE PARA COMBATE INCENDIO -")</f>
        <v>CAPACETE PARA COMBATE INCENDIO -</v>
      </c>
      <c r="C222" s="86">
        <f>IFERROR(__xludf.DUMMYFUNCTION("""COMPUTED_VALUE"""),1.0)</f>
        <v>1</v>
      </c>
      <c r="D222" s="87"/>
      <c r="E222" s="87" t="str">
        <f>IFERROR(__xludf.DUMMYFUNCTION("""COMPUTED_VALUE"""),"3 - CURVELO")</f>
        <v>3 - CURVELO</v>
      </c>
      <c r="F222" s="88"/>
      <c r="G222" s="89">
        <f>IFERROR(__xludf.DUMMYFUNCTION("""COMPUTED_VALUE"""),4.0176967E7)</f>
        <v>40176967</v>
      </c>
      <c r="H222" s="87"/>
      <c r="I222" s="87" t="str">
        <f>IFERROR(__xludf.DUMMYFUNCTION("""COMPUTED_VALUE"""),"TEN SANTOS, TRANFERIDO PARA PIRAPORA")</f>
        <v>TEN SANTOS, TRANFERIDO PARA PIRAPORA</v>
      </c>
    </row>
    <row r="223">
      <c r="A223" s="84">
        <f>IFERROR(__xludf.DUMMYFUNCTION("""COMPUTED_VALUE"""),222.0)</f>
        <v>222</v>
      </c>
      <c r="B223" s="85" t="str">
        <f>IFERROR(__xludf.DUMMYFUNCTION("""COMPUTED_VALUE"""),"CAPACETE PARA COMBATE INCENDIO -")</f>
        <v>CAPACETE PARA COMBATE INCENDIO -</v>
      </c>
      <c r="C223" s="86">
        <f>IFERROR(__xludf.DUMMYFUNCTION("""COMPUTED_VALUE"""),1.0)</f>
        <v>1</v>
      </c>
      <c r="D223" s="87"/>
      <c r="E223" s="87" t="str">
        <f>IFERROR(__xludf.DUMMYFUNCTION("""COMPUTED_VALUE"""),"3 - CURVELO")</f>
        <v>3 - CURVELO</v>
      </c>
      <c r="F223" s="88"/>
      <c r="G223" s="89">
        <f>IFERROR(__xludf.DUMMYFUNCTION("""COMPUTED_VALUE"""),4.0176975E7)</f>
        <v>40176975</v>
      </c>
      <c r="H223" s="87"/>
      <c r="I223" s="87" t="str">
        <f>IFERROR(__xludf.DUMMYFUNCTION("""COMPUTED_VALUE"""),"SD HENRIQUE, TRANFERIDO PARA MONTES CLAROS")</f>
        <v>SD HENRIQUE, TRANFERIDO PARA MONTES CLAROS</v>
      </c>
    </row>
    <row r="224">
      <c r="A224" s="84">
        <f>IFERROR(__xludf.DUMMYFUNCTION("""COMPUTED_VALUE"""),223.0)</f>
        <v>223</v>
      </c>
      <c r="B224" s="85" t="str">
        <f>IFERROR(__xludf.DUMMYFUNCTION("""COMPUTED_VALUE"""),"CAPACETE PARA COMBATE INCENDIO -")</f>
        <v>CAPACETE PARA COMBATE INCENDIO -</v>
      </c>
      <c r="C224" s="86">
        <f>IFERROR(__xludf.DUMMYFUNCTION("""COMPUTED_VALUE"""),1.0)</f>
        <v>1</v>
      </c>
      <c r="D224" s="87"/>
      <c r="E224" s="87" t="str">
        <f>IFERROR(__xludf.DUMMYFUNCTION("""COMPUTED_VALUE"""),"3 - CURVELO")</f>
        <v>3 - CURVELO</v>
      </c>
      <c r="F224" s="88"/>
      <c r="G224" s="89">
        <f>IFERROR(__xludf.DUMMYFUNCTION("""COMPUTED_VALUE"""),4.0177785E7)</f>
        <v>40177785</v>
      </c>
      <c r="H224" s="87"/>
      <c r="I224" s="87" t="str">
        <f>IFERROR(__xludf.DUMMYFUNCTION("""COMPUTED_VALUE"""),"CB BATISTA, TRANSFERIDO PARA PIRAPORA")</f>
        <v>CB BATISTA, TRANSFERIDO PARA PIRAPORA</v>
      </c>
    </row>
    <row r="225">
      <c r="A225" s="84">
        <f>IFERROR(__xludf.DUMMYFUNCTION("""COMPUTED_VALUE"""),224.0)</f>
        <v>224</v>
      </c>
      <c r="B225" s="85" t="str">
        <f>IFERROR(__xludf.DUMMYFUNCTION("""COMPUTED_VALUE"""),"CAPACETE PARA COMBATE INCENDIO -")</f>
        <v>CAPACETE PARA COMBATE INCENDIO -</v>
      </c>
      <c r="C225" s="86">
        <f>IFERROR(__xludf.DUMMYFUNCTION("""COMPUTED_VALUE"""),1.0)</f>
        <v>1</v>
      </c>
      <c r="D225" s="87"/>
      <c r="E225" s="87" t="str">
        <f>IFERROR(__xludf.DUMMYFUNCTION("""COMPUTED_VALUE"""),"3 - CURVELO")</f>
        <v>3 - CURVELO</v>
      </c>
      <c r="F225" s="88"/>
      <c r="G225" s="89">
        <f>IFERROR(__xludf.DUMMYFUNCTION("""COMPUTED_VALUE"""),4.017784E7)</f>
        <v>40177840</v>
      </c>
      <c r="H225" s="87"/>
      <c r="I225" s="87" t="str">
        <f>IFERROR(__xludf.DUMMYFUNCTION("""COMPUTED_VALUE"""),"SGT EDMAR, TRANSFERIDO PARA TRÊS MARIAS")</f>
        <v>SGT EDMAR, TRANSFERIDO PARA TRÊS MARIAS</v>
      </c>
    </row>
    <row r="226">
      <c r="A226" s="84">
        <f>IFERROR(__xludf.DUMMYFUNCTION("""COMPUTED_VALUE"""),225.0)</f>
        <v>225</v>
      </c>
      <c r="B226" s="85" t="str">
        <f>IFERROR(__xludf.DUMMYFUNCTION("""COMPUTED_VALUE"""),"CAPACETE PARA COMBATE INCENDIO -")</f>
        <v>CAPACETE PARA COMBATE INCENDIO -</v>
      </c>
      <c r="C226" s="86">
        <f>IFERROR(__xludf.DUMMYFUNCTION("""COMPUTED_VALUE"""),1.0)</f>
        <v>1</v>
      </c>
      <c r="D226" s="87"/>
      <c r="E226" s="87" t="str">
        <f>IFERROR(__xludf.DUMMYFUNCTION("""COMPUTED_VALUE"""),"3 - CURVELO")</f>
        <v>3 - CURVELO</v>
      </c>
      <c r="F226" s="88"/>
      <c r="G226" s="89">
        <f>IFERROR(__xludf.DUMMYFUNCTION("""COMPUTED_VALUE"""),4.017811E7)</f>
        <v>40178110</v>
      </c>
      <c r="H226" s="87"/>
      <c r="I226" s="87" t="str">
        <f>IFERROR(__xludf.DUMMYFUNCTION("""COMPUTED_VALUE"""),"SGT DOS ANJOS, TRANFERIDO PARA 7 LAGOAS")</f>
        <v>SGT DOS ANJOS, TRANFERIDO PARA 7 LAGOAS</v>
      </c>
    </row>
    <row r="227">
      <c r="A227" s="84">
        <f>IFERROR(__xludf.DUMMYFUNCTION("""COMPUTED_VALUE"""),226.0)</f>
        <v>226</v>
      </c>
      <c r="B227" s="85" t="str">
        <f>IFERROR(__xludf.DUMMYFUNCTION("""COMPUTED_VALUE"""),"CAPACETE PARA COMBATE INCENDIO -")</f>
        <v>CAPACETE PARA COMBATE INCENDIO -</v>
      </c>
      <c r="C227" s="86">
        <f>IFERROR(__xludf.DUMMYFUNCTION("""COMPUTED_VALUE"""),1.0)</f>
        <v>1</v>
      </c>
      <c r="D227" s="87"/>
      <c r="E227" s="87" t="str">
        <f>IFERROR(__xludf.DUMMYFUNCTION("""COMPUTED_VALUE"""),"3 - CURVELO")</f>
        <v>3 - CURVELO</v>
      </c>
      <c r="F227" s="88"/>
      <c r="G227" s="89">
        <f>IFERROR(__xludf.DUMMYFUNCTION("""COMPUTED_VALUE"""),4.0178471E7)</f>
        <v>40178471</v>
      </c>
      <c r="H227" s="87"/>
      <c r="I227" s="87" t="str">
        <f>IFERROR(__xludf.DUMMYFUNCTION("""COMPUTED_VALUE"""),"ARMAZENADO NA B4")</f>
        <v>ARMAZENADO NA B4</v>
      </c>
    </row>
    <row r="228">
      <c r="A228" s="84">
        <f>IFERROR(__xludf.DUMMYFUNCTION("""COMPUTED_VALUE"""),227.0)</f>
        <v>227</v>
      </c>
      <c r="B228" s="85" t="str">
        <f>IFERROR(__xludf.DUMMYFUNCTION("""COMPUTED_VALUE"""),"CAPACETE PARA COMBATE INCENDIO -")</f>
        <v>CAPACETE PARA COMBATE INCENDIO -</v>
      </c>
      <c r="C228" s="86">
        <f>IFERROR(__xludf.DUMMYFUNCTION("""COMPUTED_VALUE"""),1.0)</f>
        <v>1</v>
      </c>
      <c r="D228" s="87"/>
      <c r="E228" s="87" t="str">
        <f>IFERROR(__xludf.DUMMYFUNCTION("""COMPUTED_VALUE"""),"3 - CURVELO")</f>
        <v>3 - CURVELO</v>
      </c>
      <c r="F228" s="88"/>
      <c r="G228" s="89">
        <f>IFERROR(__xludf.DUMMYFUNCTION("""COMPUTED_VALUE"""),4.0180492E7)</f>
        <v>40180492</v>
      </c>
      <c r="H228" s="87"/>
      <c r="I228" s="87" t="str">
        <f>IFERROR(__xludf.DUMMYFUNCTION("""COMPUTED_VALUE"""),"ARMAZENADO NA B4")</f>
        <v>ARMAZENADO NA B4</v>
      </c>
    </row>
    <row r="229">
      <c r="A229" s="84">
        <f>IFERROR(__xludf.DUMMYFUNCTION("""COMPUTED_VALUE"""),228.0)</f>
        <v>228</v>
      </c>
      <c r="B229" s="85" t="str">
        <f>IFERROR(__xludf.DUMMYFUNCTION("""COMPUTED_VALUE"""),"CAPACETE PARA COMBATE INCENDIO -")</f>
        <v>CAPACETE PARA COMBATE INCENDIO -</v>
      </c>
      <c r="C229" s="86">
        <f>IFERROR(__xludf.DUMMYFUNCTION("""COMPUTED_VALUE"""),1.0)</f>
        <v>1</v>
      </c>
      <c r="D229" s="87" t="str">
        <f>IFERROR(__xludf.DUMMYFUNCTION("""COMPUTED_VALUE"""),"MILITAR")</f>
        <v>MILITAR</v>
      </c>
      <c r="E229" s="87" t="str">
        <f>IFERROR(__xludf.DUMMYFUNCTION("""COMPUTED_VALUE"""),"2 - CB ALCEBÍADES RIBEIRO DE VARGAS")</f>
        <v>2 - CB ALCEBÍADES RIBEIRO DE VARGAS</v>
      </c>
      <c r="F229" s="88"/>
      <c r="G229" s="89">
        <f>IFERROR(__xludf.DUMMYFUNCTION("""COMPUTED_VALUE"""),4.0183769E7)</f>
        <v>40183769</v>
      </c>
      <c r="H229" s="87"/>
      <c r="I229" s="87" t="str">
        <f>IFERROR(__xludf.DUMMYFUNCTION("""COMPUTED_VALUE"""),"Capacete SICOR Amarelo, condição BOM, CB vargas")</f>
        <v>Capacete SICOR Amarelo, condição BOM, CB vargas</v>
      </c>
    </row>
    <row r="230">
      <c r="A230" s="84">
        <f>IFERROR(__xludf.DUMMYFUNCTION("""COMPUTED_VALUE"""),229.0)</f>
        <v>229</v>
      </c>
      <c r="B230" s="85" t="str">
        <f>IFERROR(__xludf.DUMMYFUNCTION("""COMPUTED_VALUE"""),"CAPACETE PARA COMBATE INCENDIO -")</f>
        <v>CAPACETE PARA COMBATE INCENDIO -</v>
      </c>
      <c r="C230" s="86">
        <f>IFERROR(__xludf.DUMMYFUNCTION("""COMPUTED_VALUE"""),1.0)</f>
        <v>1</v>
      </c>
      <c r="D230" s="87"/>
      <c r="E230" s="87" t="str">
        <f>IFERROR(__xludf.DUMMYFUNCTION("""COMPUTED_VALUE"""),"3 - CURVELO")</f>
        <v>3 - CURVELO</v>
      </c>
      <c r="F230" s="88"/>
      <c r="G230" s="89">
        <f>IFERROR(__xludf.DUMMYFUNCTION("""COMPUTED_VALUE"""),4.0187306E7)</f>
        <v>40187306</v>
      </c>
      <c r="H230" s="87"/>
      <c r="I230" s="87" t="str">
        <f>IFERROR(__xludf.DUMMYFUNCTION("""COMPUTED_VALUE"""),"SD BERNARD, TRANFERIDO PARA MONTES CLAROS")</f>
        <v>SD BERNARD, TRANFERIDO PARA MONTES CLAROS</v>
      </c>
    </row>
    <row r="231">
      <c r="A231" s="84">
        <f>IFERROR(__xludf.DUMMYFUNCTION("""COMPUTED_VALUE"""),230.0)</f>
        <v>230</v>
      </c>
      <c r="B231" s="85" t="str">
        <f>IFERROR(__xludf.DUMMYFUNCTION("""COMPUTED_VALUE"""),"CAPACETE PARA COMBATE INCENDIO -")</f>
        <v>CAPACETE PARA COMBATE INCENDIO -</v>
      </c>
      <c r="C231" s="86">
        <f>IFERROR(__xludf.DUMMYFUNCTION("""COMPUTED_VALUE"""),1.0)</f>
        <v>1</v>
      </c>
      <c r="D231" s="87"/>
      <c r="E231" s="87" t="str">
        <f>IFERROR(__xludf.DUMMYFUNCTION("""COMPUTED_VALUE"""),"3 - CURVELO")</f>
        <v>3 - CURVELO</v>
      </c>
      <c r="F231" s="88"/>
      <c r="G231" s="89">
        <f>IFERROR(__xludf.DUMMYFUNCTION("""COMPUTED_VALUE"""),4.0232689E7)</f>
        <v>40232689</v>
      </c>
      <c r="H231" s="87"/>
      <c r="I231" s="87" t="str">
        <f>IFERROR(__xludf.DUMMYFUNCTION("""COMPUTED_VALUE"""),"ARMAZENADO NA B4")</f>
        <v>ARMAZENADO NA B4</v>
      </c>
    </row>
    <row r="232">
      <c r="A232" s="84">
        <f>IFERROR(__xludf.DUMMYFUNCTION("""COMPUTED_VALUE"""),231.0)</f>
        <v>231</v>
      </c>
      <c r="B232" s="85" t="str">
        <f>IFERROR(__xludf.DUMMYFUNCTION("""COMPUTED_VALUE"""),"CAPACETE PARA COMBATE INCENDIO -")</f>
        <v>CAPACETE PARA COMBATE INCENDIO -</v>
      </c>
      <c r="C232" s="86">
        <f>IFERROR(__xludf.DUMMYFUNCTION("""COMPUTED_VALUE"""),1.0)</f>
        <v>1</v>
      </c>
      <c r="D232" s="87" t="str">
        <f>IFERROR(__xludf.DUMMYFUNCTION("""COMPUTED_VALUE"""),"MILITAR")</f>
        <v>MILITAR</v>
      </c>
      <c r="E232" s="87" t="str">
        <f>IFERROR(__xludf.DUMMYFUNCTION("""COMPUTED_VALUE"""),"2 - CB THIAGO HENRIQUE DUARTE")</f>
        <v>2 - CB THIAGO HENRIQUE DUARTE</v>
      </c>
      <c r="F232" s="88"/>
      <c r="G232" s="89">
        <f>IFERROR(__xludf.DUMMYFUNCTION("""COMPUTED_VALUE"""),4.0232808E7)</f>
        <v>40232808</v>
      </c>
      <c r="H232" s="87"/>
      <c r="I232" s="87" t="str">
        <f>IFERROR(__xludf.DUMMYFUNCTION("""COMPUTED_VALUE"""),"capacete SICOR, amarelo, cond. Razoável, Cb Thiago")</f>
        <v>capacete SICOR, amarelo, cond. Razoável, Cb Thiago</v>
      </c>
    </row>
    <row r="233">
      <c r="A233" s="84">
        <f>IFERROR(__xludf.DUMMYFUNCTION("""COMPUTED_VALUE"""),232.0)</f>
        <v>232</v>
      </c>
      <c r="B233" s="85" t="str">
        <f>IFERROR(__xludf.DUMMYFUNCTION("""COMPUTED_VALUE"""),"CAPACETE PARA COMBATE INCENDIO -")</f>
        <v>CAPACETE PARA COMBATE INCENDIO -</v>
      </c>
      <c r="C233" s="86">
        <f>IFERROR(__xludf.DUMMYFUNCTION("""COMPUTED_VALUE"""),1.0)</f>
        <v>1</v>
      </c>
      <c r="D233" s="87" t="str">
        <f>IFERROR(__xludf.DUMMYFUNCTION("""COMPUTED_VALUE"""),"MILITAR")</f>
        <v>MILITAR</v>
      </c>
      <c r="E233" s="87" t="str">
        <f>IFERROR(__xludf.DUMMYFUNCTION("""COMPUTED_VALUE"""),"2 - CB JOSÉ GERALDO SOARES DA SILVA")</f>
        <v>2 - CB JOSÉ GERALDO SOARES DA SILVA</v>
      </c>
      <c r="F233" s="88"/>
      <c r="G233" s="89">
        <f>IFERROR(__xludf.DUMMYFUNCTION("""COMPUTED_VALUE"""),4.0234347E7)</f>
        <v>40234347</v>
      </c>
      <c r="H233" s="87"/>
      <c r="I233" s="87" t="str">
        <f>IFERROR(__xludf.DUMMYFUNCTION("""COMPUTED_VALUE"""),"capacete SICOR, amarelo, cond. Razoável, Cb GERALDO")</f>
        <v>capacete SICOR, amarelo, cond. Razoável, Cb GERALDO</v>
      </c>
    </row>
    <row r="234">
      <c r="A234" s="84">
        <f>IFERROR(__xludf.DUMMYFUNCTION("""COMPUTED_VALUE"""),233.0)</f>
        <v>233</v>
      </c>
      <c r="B234" s="85" t="str">
        <f>IFERROR(__xludf.DUMMYFUNCTION("""COMPUTED_VALUE"""),"CAPACETE PARA COMBATE INCENDIO -")</f>
        <v>CAPACETE PARA COMBATE INCENDIO -</v>
      </c>
      <c r="C234" s="86">
        <f>IFERROR(__xludf.DUMMYFUNCTION("""COMPUTED_VALUE"""),1.0)</f>
        <v>1</v>
      </c>
      <c r="D234" s="87"/>
      <c r="E234" s="87" t="str">
        <f>IFERROR(__xludf.DUMMYFUNCTION("""COMPUTED_VALUE"""),"3 - CURVELO")</f>
        <v>3 - CURVELO</v>
      </c>
      <c r="F234" s="88"/>
      <c r="G234" s="89">
        <f>IFERROR(__xludf.DUMMYFUNCTION("""COMPUTED_VALUE"""),7.6663906E7)</f>
        <v>76663906</v>
      </c>
      <c r="H234" s="87"/>
      <c r="I234" s="87"/>
    </row>
    <row r="235">
      <c r="A235" s="84">
        <f>IFERROR(__xludf.DUMMYFUNCTION("""COMPUTED_VALUE"""),234.0)</f>
        <v>234</v>
      </c>
      <c r="B235" s="85" t="str">
        <f>IFERROR(__xludf.DUMMYFUNCTION("""COMPUTED_VALUE"""),"CAPACETE PARA COMBATE INCENDIO -")</f>
        <v>CAPACETE PARA COMBATE INCENDIO -</v>
      </c>
      <c r="C235" s="86">
        <f>IFERROR(__xludf.DUMMYFUNCTION("""COMPUTED_VALUE"""),1.0)</f>
        <v>1</v>
      </c>
      <c r="D235" s="87"/>
      <c r="E235" s="87" t="str">
        <f>IFERROR(__xludf.DUMMYFUNCTION("""COMPUTED_VALUE"""),"3 - CURVELO")</f>
        <v>3 - CURVELO</v>
      </c>
      <c r="F235" s="88"/>
      <c r="G235" s="89">
        <f>IFERROR(__xludf.DUMMYFUNCTION("""COMPUTED_VALUE"""),7.6686469E7)</f>
        <v>76686469</v>
      </c>
      <c r="H235" s="87"/>
      <c r="I235" s="87"/>
    </row>
    <row r="236">
      <c r="A236" s="84">
        <f>IFERROR(__xludf.DUMMYFUNCTION("""COMPUTED_VALUE"""),235.0)</f>
        <v>235</v>
      </c>
      <c r="B236" s="85" t="str">
        <f>IFERROR(__xludf.DUMMYFUNCTION("""COMPUTED_VALUE"""),"CAPACETE PARA COMBATE INCENDIO -")</f>
        <v>CAPACETE PARA COMBATE INCENDIO -</v>
      </c>
      <c r="C236" s="86">
        <f>IFERROR(__xludf.DUMMYFUNCTION("""COMPUTED_VALUE"""),1.0)</f>
        <v>1</v>
      </c>
      <c r="D236" s="87"/>
      <c r="E236" s="87" t="str">
        <f>IFERROR(__xludf.DUMMYFUNCTION("""COMPUTED_VALUE"""),"3 - CURVELO")</f>
        <v>3 - CURVELO</v>
      </c>
      <c r="F236" s="88"/>
      <c r="G236" s="89">
        <f>IFERROR(__xludf.DUMMYFUNCTION("""COMPUTED_VALUE"""),7.6686493E7)</f>
        <v>76686493</v>
      </c>
      <c r="H236" s="87"/>
      <c r="I236" s="87" t="str">
        <f>IFERROR(__xludf.DUMMYFUNCTION("""COMPUTED_VALUE"""),"ARMAZENADO NA B4")</f>
        <v>ARMAZENADO NA B4</v>
      </c>
    </row>
    <row r="237">
      <c r="A237" s="84">
        <f>IFERROR(__xludf.DUMMYFUNCTION("""COMPUTED_VALUE"""),236.0)</f>
        <v>236</v>
      </c>
      <c r="B237" s="85" t="str">
        <f>IFERROR(__xludf.DUMMYFUNCTION("""COMPUTED_VALUE"""),"CAPACETE PARA COMBATE INCENDIO -")</f>
        <v>CAPACETE PARA COMBATE INCENDIO -</v>
      </c>
      <c r="C237" s="86">
        <f>IFERROR(__xludf.DUMMYFUNCTION("""COMPUTED_VALUE"""),1.0)</f>
        <v>1</v>
      </c>
      <c r="D237" s="87" t="str">
        <f>IFERROR(__xludf.DUMMYFUNCTION("""COMPUTED_VALUE"""),"MILITAR")</f>
        <v>MILITAR</v>
      </c>
      <c r="E237" s="87" t="str">
        <f>IFERROR(__xludf.DUMMYFUNCTION("""COMPUTED_VALUE"""),"2 - 2º SGT ALEX SANDRO MARQUES DE LIMA")</f>
        <v>2 - 2º SGT ALEX SANDRO MARQUES DE LIMA</v>
      </c>
      <c r="F237" s="88"/>
      <c r="G237" s="89">
        <f>IFERROR(__xludf.DUMMYFUNCTION("""COMPUTED_VALUE"""),7.6686523E7)</f>
        <v>76686523</v>
      </c>
      <c r="H237" s="87"/>
      <c r="I237" s="87" t="str">
        <f>IFERROR(__xludf.DUMMYFUNCTION("""COMPUTED_VALUE"""),"capacete SICOR, vermelho, . Sgt ALEX")</f>
        <v>capacete SICOR, vermelho, . Sgt ALEX</v>
      </c>
    </row>
    <row r="238">
      <c r="A238" s="84">
        <f>IFERROR(__xludf.DUMMYFUNCTION("""COMPUTED_VALUE"""),237.0)</f>
        <v>237</v>
      </c>
      <c r="B238" s="85" t="str">
        <f>IFERROR(__xludf.DUMMYFUNCTION("""COMPUTED_VALUE"""),"CAPACETE PARA COMBATE INCENDIO -")</f>
        <v>CAPACETE PARA COMBATE INCENDIO -</v>
      </c>
      <c r="C238" s="86">
        <f>IFERROR(__xludf.DUMMYFUNCTION("""COMPUTED_VALUE"""),1.0)</f>
        <v>1</v>
      </c>
      <c r="D238" s="87" t="str">
        <f>IFERROR(__xludf.DUMMYFUNCTION("""COMPUTED_VALUE"""),"MILITAR")</f>
        <v>MILITAR</v>
      </c>
      <c r="E238" s="87" t="str">
        <f>IFERROR(__xludf.DUMMYFUNCTION("""COMPUTED_VALUE"""),"2 - 2º SGT ELMIRO LAUDELINO PACHECO JÚNIOR")</f>
        <v>2 - 2º SGT ELMIRO LAUDELINO PACHECO JÚNIOR</v>
      </c>
      <c r="F238" s="88"/>
      <c r="G238" s="89">
        <f>IFERROR(__xludf.DUMMYFUNCTION("""COMPUTED_VALUE"""),7.6686558E7)</f>
        <v>76686558</v>
      </c>
      <c r="H238" s="87"/>
      <c r="I238" s="87" t="str">
        <f>IFERROR(__xludf.DUMMYFUNCTION("""COMPUTED_VALUE"""),"capacete SICOR, vermelho, . Sgt PACHECO, transferido para Pirapora")</f>
        <v>capacete SICOR, vermelho, . Sgt PACHECO, transferido para Pirapora</v>
      </c>
    </row>
    <row r="239">
      <c r="A239" s="84">
        <f>IFERROR(__xludf.DUMMYFUNCTION("""COMPUTED_VALUE"""),238.0)</f>
        <v>238</v>
      </c>
      <c r="B239" s="85" t="str">
        <f>IFERROR(__xludf.DUMMYFUNCTION("""COMPUTED_VALUE"""),"CAPACETE PARA COMBATE INCENDIO -")</f>
        <v>CAPACETE PARA COMBATE INCENDIO -</v>
      </c>
      <c r="C239" s="86">
        <f>IFERROR(__xludf.DUMMYFUNCTION("""COMPUTED_VALUE"""),1.0)</f>
        <v>1</v>
      </c>
      <c r="D239" s="87" t="str">
        <f>IFERROR(__xludf.DUMMYFUNCTION("""COMPUTED_VALUE"""),"MILITAR")</f>
        <v>MILITAR</v>
      </c>
      <c r="E239" s="87" t="str">
        <f>IFERROR(__xludf.DUMMYFUNCTION("""COMPUTED_VALUE"""),"2 - 2º SGT DIEGO RAPHAEL DE MOURA")</f>
        <v>2 - 2º SGT DIEGO RAPHAEL DE MOURA</v>
      </c>
      <c r="F239" s="88"/>
      <c r="G239" s="89">
        <f>IFERROR(__xludf.DUMMYFUNCTION("""COMPUTED_VALUE"""),7.6686582E7)</f>
        <v>76686582</v>
      </c>
      <c r="H239" s="87"/>
      <c r="I239" s="87" t="str">
        <f>IFERROR(__xludf.DUMMYFUNCTION("""COMPUTED_VALUE"""),"capacete SICOR, vermelho, . Sgt MOURA")</f>
        <v>capacete SICOR, vermelho, . Sgt MOURA</v>
      </c>
    </row>
    <row r="240">
      <c r="A240" s="84">
        <f>IFERROR(__xludf.DUMMYFUNCTION("""COMPUTED_VALUE"""),239.0)</f>
        <v>239</v>
      </c>
      <c r="B240" s="85" t="str">
        <f>IFERROR(__xludf.DUMMYFUNCTION("""COMPUTED_VALUE"""),"CAPACETE PARA COMBATE INCENDIO -")</f>
        <v>CAPACETE PARA COMBATE INCENDIO -</v>
      </c>
      <c r="C240" s="86">
        <f>IFERROR(__xludf.DUMMYFUNCTION("""COMPUTED_VALUE"""),1.0)</f>
        <v>1</v>
      </c>
      <c r="D240" s="87" t="str">
        <f>IFERROR(__xludf.DUMMYFUNCTION("""COMPUTED_VALUE"""),"MILITAR")</f>
        <v>MILITAR</v>
      </c>
      <c r="E240" s="87" t="str">
        <f>IFERROR(__xludf.DUMMYFUNCTION("""COMPUTED_VALUE"""),"2 - 2º SGT ROMILDO MARTINS DE VASCONCELOS JÚNIOR")</f>
        <v>2 - 2º SGT ROMILDO MARTINS DE VASCONCELOS JÚNIOR</v>
      </c>
      <c r="F240" s="88"/>
      <c r="G240" s="89">
        <f>IFERROR(__xludf.DUMMYFUNCTION("""COMPUTED_VALUE"""),7.6686612E7)</f>
        <v>76686612</v>
      </c>
      <c r="H240" s="87"/>
      <c r="I240" s="87" t="str">
        <f>IFERROR(__xludf.DUMMYFUNCTION("""COMPUTED_VALUE"""),"capacete SICOR, vermelho, . Sgt VASCONCELOS")</f>
        <v>capacete SICOR, vermelho, . Sgt VASCONCELOS</v>
      </c>
    </row>
    <row r="241">
      <c r="A241" s="84">
        <f>IFERROR(__xludf.DUMMYFUNCTION("""COMPUTED_VALUE"""),240.0)</f>
        <v>240</v>
      </c>
      <c r="B241" s="85" t="str">
        <f>IFERROR(__xludf.DUMMYFUNCTION("""COMPUTED_VALUE"""),"CAPACETE PARA COMBATE INCENDIO -")</f>
        <v>CAPACETE PARA COMBATE INCENDIO -</v>
      </c>
      <c r="C241" s="86">
        <f>IFERROR(__xludf.DUMMYFUNCTION("""COMPUTED_VALUE"""),1.0)</f>
        <v>1</v>
      </c>
      <c r="D241" s="87" t="str">
        <f>IFERROR(__xludf.DUMMYFUNCTION("""COMPUTED_VALUE"""),"MILITAR")</f>
        <v>MILITAR</v>
      </c>
      <c r="E241" s="87" t="str">
        <f>IFERROR(__xludf.DUMMYFUNCTION("""COMPUTED_VALUE"""),"2 - 2º SGT CLEITON ANTÔNIO RODRIGUES")</f>
        <v>2 - 2º SGT CLEITON ANTÔNIO RODRIGUES</v>
      </c>
      <c r="F241" s="88"/>
      <c r="G241" s="89">
        <f>IFERROR(__xludf.DUMMYFUNCTION("""COMPUTED_VALUE"""),7.6686647E7)</f>
        <v>76686647</v>
      </c>
      <c r="H241" s="87"/>
      <c r="I241" s="87" t="str">
        <f>IFERROR(__xludf.DUMMYFUNCTION("""COMPUTED_VALUE"""),"capacete SICOR, vermelho, . Sgt RODRIGUES")</f>
        <v>capacete SICOR, vermelho, . Sgt RODRIGUES</v>
      </c>
    </row>
    <row r="242">
      <c r="A242" s="84">
        <f>IFERROR(__xludf.DUMMYFUNCTION("""COMPUTED_VALUE"""),241.0)</f>
        <v>241</v>
      </c>
      <c r="B242" s="85" t="str">
        <f>IFERROR(__xludf.DUMMYFUNCTION("""COMPUTED_VALUE"""),"CAPACETE PARA COMBATE INCENDIO -")</f>
        <v>CAPACETE PARA COMBATE INCENDIO -</v>
      </c>
      <c r="C242" s="86">
        <f>IFERROR(__xludf.DUMMYFUNCTION("""COMPUTED_VALUE"""),1.0)</f>
        <v>1</v>
      </c>
      <c r="D242" s="87" t="str">
        <f>IFERROR(__xludf.DUMMYFUNCTION("""COMPUTED_VALUE"""),"MILITAR")</f>
        <v>MILITAR</v>
      </c>
      <c r="E242" s="87" t="str">
        <f>IFERROR(__xludf.DUMMYFUNCTION("""COMPUTED_VALUE"""),"2 - 3º SGT RONALDO DE MEIRA SANTIAGO")</f>
        <v>2 - 3º SGT RONALDO DE MEIRA SANTIAGO</v>
      </c>
      <c r="F242" s="88"/>
      <c r="G242" s="89">
        <f>IFERROR(__xludf.DUMMYFUNCTION("""COMPUTED_VALUE"""),7.6686671E7)</f>
        <v>76686671</v>
      </c>
      <c r="H242" s="87"/>
      <c r="I242" s="87" t="str">
        <f>IFERROR(__xludf.DUMMYFUNCTION("""COMPUTED_VALUE"""),"capacete SICOR, vermelho, cond. ÒTIMO. Sgt Santiago")</f>
        <v>capacete SICOR, vermelho, cond. ÒTIMO. Sgt Santiago</v>
      </c>
    </row>
    <row r="243">
      <c r="A243" s="84">
        <f>IFERROR(__xludf.DUMMYFUNCTION("""COMPUTED_VALUE"""),242.0)</f>
        <v>242</v>
      </c>
      <c r="B243" s="85" t="str">
        <f>IFERROR(__xludf.DUMMYFUNCTION("""COMPUTED_VALUE"""),"CILINDRO DE OXIGENIO, PARA MERGULHO -")</f>
        <v>CILINDRO DE OXIGENIO, PARA MERGULHO -</v>
      </c>
      <c r="C243" s="86">
        <f>IFERROR(__xludf.DUMMYFUNCTION("""COMPUTED_VALUE"""),1.0)</f>
        <v>1</v>
      </c>
      <c r="D243" s="87"/>
      <c r="E243" s="87" t="str">
        <f>IFERROR(__xludf.DUMMYFUNCTION("""COMPUTED_VALUE"""),"3 - CURVELO")</f>
        <v>3 - CURVELO</v>
      </c>
      <c r="F243" s="88"/>
      <c r="G243" s="89">
        <f>IFERROR(__xludf.DUMMYFUNCTION("""COMPUTED_VALUE"""),7.668242E7)</f>
        <v>76682420</v>
      </c>
      <c r="H243" s="87"/>
      <c r="I243" s="87"/>
    </row>
    <row r="244">
      <c r="A244" s="84">
        <f>IFERROR(__xludf.DUMMYFUNCTION("""COMPUTED_VALUE"""),243.0)</f>
        <v>243</v>
      </c>
      <c r="B244" s="85" t="str">
        <f>IFERROR(__xludf.DUMMYFUNCTION("""COMPUTED_VALUE"""),"CILINDRO DE OXIGENIO, PARA MERGULHO -")</f>
        <v>CILINDRO DE OXIGENIO, PARA MERGULHO -</v>
      </c>
      <c r="C244" s="86">
        <f>IFERROR(__xludf.DUMMYFUNCTION("""COMPUTED_VALUE"""),1.0)</f>
        <v>1</v>
      </c>
      <c r="D244" s="87"/>
      <c r="E244" s="87" t="str">
        <f>IFERROR(__xludf.DUMMYFUNCTION("""COMPUTED_VALUE"""),"3 - CURVELO")</f>
        <v>3 - CURVELO</v>
      </c>
      <c r="F244" s="88"/>
      <c r="G244" s="89">
        <f>IFERROR(__xludf.DUMMYFUNCTION("""COMPUTED_VALUE"""),7.6682439E7)</f>
        <v>76682439</v>
      </c>
      <c r="H244" s="87"/>
      <c r="I244" s="87"/>
    </row>
    <row r="245">
      <c r="A245" s="84">
        <f>IFERROR(__xludf.DUMMYFUNCTION("""COMPUTED_VALUE"""),244.0)</f>
        <v>244</v>
      </c>
      <c r="B245" s="85" t="str">
        <f>IFERROR(__xludf.DUMMYFUNCTION("""COMPUTED_VALUE"""),"CILINDRO DE OXIGENIO, PARA MERGULHO -")</f>
        <v>CILINDRO DE OXIGENIO, PARA MERGULHO -</v>
      </c>
      <c r="C245" s="86">
        <f>IFERROR(__xludf.DUMMYFUNCTION("""COMPUTED_VALUE"""),1.0)</f>
        <v>1</v>
      </c>
      <c r="D245" s="87"/>
      <c r="E245" s="87" t="str">
        <f>IFERROR(__xludf.DUMMYFUNCTION("""COMPUTED_VALUE"""),"3 - CURVELO")</f>
        <v>3 - CURVELO</v>
      </c>
      <c r="F245" s="88"/>
      <c r="G245" s="89">
        <f>IFERROR(__xludf.DUMMYFUNCTION("""COMPUTED_VALUE"""),7.6682447E7)</f>
        <v>76682447</v>
      </c>
      <c r="H245" s="87"/>
      <c r="I245" s="87"/>
    </row>
    <row r="246">
      <c r="A246" s="84">
        <f>IFERROR(__xludf.DUMMYFUNCTION("""COMPUTED_VALUE"""),245.0)</f>
        <v>245</v>
      </c>
      <c r="B246" s="85" t="str">
        <f>IFERROR(__xludf.DUMMYFUNCTION("""COMPUTED_VALUE"""),"CILINDRO DE OXIGENIO, PARA MERGULHO -")</f>
        <v>CILINDRO DE OXIGENIO, PARA MERGULHO -</v>
      </c>
      <c r="C246" s="86">
        <f>IFERROR(__xludf.DUMMYFUNCTION("""COMPUTED_VALUE"""),1.0)</f>
        <v>1</v>
      </c>
      <c r="D246" s="87"/>
      <c r="E246" s="87" t="str">
        <f>IFERROR(__xludf.DUMMYFUNCTION("""COMPUTED_VALUE"""),"3 - CURVELO")</f>
        <v>3 - CURVELO</v>
      </c>
      <c r="F246" s="88"/>
      <c r="G246" s="89">
        <f>IFERROR(__xludf.DUMMYFUNCTION("""COMPUTED_VALUE"""),7.6682455E7)</f>
        <v>76682455</v>
      </c>
      <c r="H246" s="87"/>
      <c r="I246" s="87"/>
    </row>
    <row r="247">
      <c r="A247" s="84">
        <f>IFERROR(__xludf.DUMMYFUNCTION("""COMPUTED_VALUE"""),246.0)</f>
        <v>246</v>
      </c>
      <c r="B247" s="85" t="str">
        <f>IFERROR(__xludf.DUMMYFUNCTION("""COMPUTED_VALUE"""),"COMPRESSOR DE AR -")</f>
        <v>COMPRESSOR DE AR -</v>
      </c>
      <c r="C247" s="86">
        <f>IFERROR(__xludf.DUMMYFUNCTION("""COMPUTED_VALUE"""),1.0)</f>
        <v>1</v>
      </c>
      <c r="D247" s="87"/>
      <c r="E247" s="87" t="str">
        <f>IFERROR(__xludf.DUMMYFUNCTION("""COMPUTED_VALUE"""),"3 - CURVELO")</f>
        <v>3 - CURVELO</v>
      </c>
      <c r="F247" s="88"/>
      <c r="G247" s="89">
        <f>IFERROR(__xludf.DUMMYFUNCTION("""COMPUTED_VALUE"""),1.392003E7)</f>
        <v>13920030</v>
      </c>
      <c r="H247" s="87"/>
      <c r="I247" s="87"/>
    </row>
    <row r="248">
      <c r="A248" s="84">
        <f>IFERROR(__xludf.DUMMYFUNCTION("""COMPUTED_VALUE"""),247.0)</f>
        <v>247</v>
      </c>
      <c r="B248" s="85" t="str">
        <f>IFERROR(__xludf.DUMMYFUNCTION("""COMPUTED_VALUE"""),"COMPUTADOR -")</f>
        <v>COMPUTADOR -</v>
      </c>
      <c r="C248" s="86">
        <f>IFERROR(__xludf.DUMMYFUNCTION("""COMPUTED_VALUE"""),1.0)</f>
        <v>1</v>
      </c>
      <c r="D248" s="87" t="str">
        <f>IFERROR(__xludf.DUMMYFUNCTION("""COMPUTED_VALUE"""),"SEÇÃO")</f>
        <v>SEÇÃO</v>
      </c>
      <c r="E248" s="87" t="str">
        <f>IFERROR(__xludf.DUMMYFUNCTION("""COMPUTED_VALUE"""),"3 - DESCARGA")</f>
        <v>3 - DESCARGA</v>
      </c>
      <c r="F248" s="88"/>
      <c r="G248" s="89">
        <f>IFERROR(__xludf.DUMMYFUNCTION("""COMPUTED_VALUE"""),1.3895966E7)</f>
        <v>13895966</v>
      </c>
      <c r="H248" s="87"/>
      <c r="I248" s="87" t="str">
        <f>IFERROR(__xludf.DUMMYFUNCTION("""COMPUTED_VALUE"""),"MATERIAL DESCARREGADO - PROCESSO Nº 1400.01.0026473/2023-01")</f>
        <v>MATERIAL DESCARREGADO - PROCESSO Nº 1400.01.0026473/2023-01</v>
      </c>
    </row>
    <row r="249">
      <c r="A249" s="84">
        <f>IFERROR(__xludf.DUMMYFUNCTION("""COMPUTED_VALUE"""),248.0)</f>
        <v>248</v>
      </c>
      <c r="B249" s="85" t="str">
        <f>IFERROR(__xludf.DUMMYFUNCTION("""COMPUTED_VALUE"""),"COMPUTADOR -")</f>
        <v>COMPUTADOR -</v>
      </c>
      <c r="C249" s="86">
        <f>IFERROR(__xludf.DUMMYFUNCTION("""COMPUTED_VALUE"""),1.0)</f>
        <v>1</v>
      </c>
      <c r="D249" s="87" t="str">
        <f>IFERROR(__xludf.DUMMYFUNCTION("""COMPUTED_VALUE"""),"SEÇÃO")</f>
        <v>SEÇÃO</v>
      </c>
      <c r="E249" s="87" t="str">
        <f>IFERROR(__xludf.DUMMYFUNCTION("""COMPUTED_VALUE"""),"3 - DESCARGA")</f>
        <v>3 - DESCARGA</v>
      </c>
      <c r="F249" s="88"/>
      <c r="G249" s="89">
        <f>IFERROR(__xludf.DUMMYFUNCTION("""COMPUTED_VALUE"""),1.3897179E7)</f>
        <v>13897179</v>
      </c>
      <c r="H249" s="87"/>
      <c r="I249" s="87" t="str">
        <f>IFERROR(__xludf.DUMMYFUNCTION("""COMPUTED_VALUE"""),"MATERIAL DESCARREGADO - PROCESSO Nº 1400.01.0026473/2023-01")</f>
        <v>MATERIAL DESCARREGADO - PROCESSO Nº 1400.01.0026473/2023-01</v>
      </c>
    </row>
    <row r="250">
      <c r="A250" s="84">
        <f>IFERROR(__xludf.DUMMYFUNCTION("""COMPUTED_VALUE"""),249.0)</f>
        <v>249</v>
      </c>
      <c r="B250" s="85" t="str">
        <f>IFERROR(__xludf.DUMMYFUNCTION("""COMPUTED_VALUE"""),"COMPUTADOR -")</f>
        <v>COMPUTADOR -</v>
      </c>
      <c r="C250" s="86">
        <f>IFERROR(__xludf.DUMMYFUNCTION("""COMPUTED_VALUE"""),1.0)</f>
        <v>1</v>
      </c>
      <c r="D250" s="87" t="str">
        <f>IFERROR(__xludf.DUMMYFUNCTION("""COMPUTED_VALUE"""),"SEÇÃO")</f>
        <v>SEÇÃO</v>
      </c>
      <c r="E250" s="87" t="str">
        <f>IFERROR(__xludf.DUMMYFUNCTION("""COMPUTED_VALUE"""),"3 - DESCARGA")</f>
        <v>3 - DESCARGA</v>
      </c>
      <c r="F250" s="88"/>
      <c r="G250" s="89">
        <f>IFERROR(__xludf.DUMMYFUNCTION("""COMPUTED_VALUE"""),1.3990926E7)</f>
        <v>13990926</v>
      </c>
      <c r="H250" s="87"/>
      <c r="I250" s="87" t="str">
        <f>IFERROR(__xludf.DUMMYFUNCTION("""COMPUTED_VALUE"""),"MATERIAL DESCARREGADO - PROCESSO Nº 1400.01.0026473/2023-01")</f>
        <v>MATERIAL DESCARREGADO - PROCESSO Nº 1400.01.0026473/2023-01</v>
      </c>
    </row>
    <row r="251">
      <c r="A251" s="84">
        <f>IFERROR(__xludf.DUMMYFUNCTION("""COMPUTED_VALUE"""),250.0)</f>
        <v>250</v>
      </c>
      <c r="B251" s="85" t="str">
        <f>IFERROR(__xludf.DUMMYFUNCTION("""COMPUTED_VALUE"""),"COMPUTADOR -")</f>
        <v>COMPUTADOR -</v>
      </c>
      <c r="C251" s="86">
        <f>IFERROR(__xludf.DUMMYFUNCTION("""COMPUTED_VALUE"""),1.0)</f>
        <v>1</v>
      </c>
      <c r="D251" s="87" t="str">
        <f>IFERROR(__xludf.DUMMYFUNCTION("""COMPUTED_VALUE"""),"SEÇÃO")</f>
        <v>SEÇÃO</v>
      </c>
      <c r="E251" s="87" t="str">
        <f>IFERROR(__xludf.DUMMYFUNCTION("""COMPUTED_VALUE"""),"3 - DESCARGA")</f>
        <v>3 - DESCARGA</v>
      </c>
      <c r="F251" s="88"/>
      <c r="G251" s="89">
        <f>IFERROR(__xludf.DUMMYFUNCTION("""COMPUTED_VALUE"""),4.0075443E7)</f>
        <v>40075443</v>
      </c>
      <c r="H251" s="87"/>
      <c r="I251" s="87" t="str">
        <f>IFERROR(__xludf.DUMMYFUNCTION("""COMPUTED_VALUE"""),"MATERIAL DESCARREGADO - PROCESSO Nº 1400.01.0026473/2023-01")</f>
        <v>MATERIAL DESCARREGADO - PROCESSO Nº 1400.01.0026473/2023-01</v>
      </c>
    </row>
    <row r="252">
      <c r="A252" s="84">
        <f>IFERROR(__xludf.DUMMYFUNCTION("""COMPUTED_VALUE"""),251.0)</f>
        <v>251</v>
      </c>
      <c r="B252" s="85" t="str">
        <f>IFERROR(__xludf.DUMMYFUNCTION("""COMPUTED_VALUE"""),"COMPUTADOR -")</f>
        <v>COMPUTADOR -</v>
      </c>
      <c r="C252" s="86">
        <f>IFERROR(__xludf.DUMMYFUNCTION("""COMPUTED_VALUE"""),1.0)</f>
        <v>1</v>
      </c>
      <c r="D252" s="87" t="str">
        <f>IFERROR(__xludf.DUMMYFUNCTION("""COMPUTED_VALUE"""),"SEÇÃO")</f>
        <v>SEÇÃO</v>
      </c>
      <c r="E252" s="87" t="str">
        <f>IFERROR(__xludf.DUMMYFUNCTION("""COMPUTED_VALUE"""),"3 - DESCARGA")</f>
        <v>3 - DESCARGA</v>
      </c>
      <c r="F252" s="88"/>
      <c r="G252" s="89">
        <f>IFERROR(__xludf.DUMMYFUNCTION("""COMPUTED_VALUE"""),4.0259412E7)</f>
        <v>40259412</v>
      </c>
      <c r="H252" s="87"/>
      <c r="I252" s="87" t="str">
        <f>IFERROR(__xludf.DUMMYFUNCTION("""COMPUTED_VALUE"""),"MATERIAL DESCARREGADO - PROCESSO Nº 1400.01.0026473/2023-01")</f>
        <v>MATERIAL DESCARREGADO - PROCESSO Nº 1400.01.0026473/2023-01</v>
      </c>
    </row>
    <row r="253">
      <c r="A253" s="84">
        <f>IFERROR(__xludf.DUMMYFUNCTION("""COMPUTED_VALUE"""),252.0)</f>
        <v>252</v>
      </c>
      <c r="B253" s="85" t="str">
        <f>IFERROR(__xludf.DUMMYFUNCTION("""COMPUTED_VALUE"""),"COMPUTADOR -")</f>
        <v>COMPUTADOR -</v>
      </c>
      <c r="C253" s="86">
        <f>IFERROR(__xludf.DUMMYFUNCTION("""COMPUTED_VALUE"""),1.0)</f>
        <v>1</v>
      </c>
      <c r="D253" s="87" t="str">
        <f>IFERROR(__xludf.DUMMYFUNCTION("""COMPUTED_VALUE"""),"SEÇÃO")</f>
        <v>SEÇÃO</v>
      </c>
      <c r="E253" s="87" t="str">
        <f>IFERROR(__xludf.DUMMYFUNCTION("""COMPUTED_VALUE"""),"3 - DESCARGA")</f>
        <v>3 - DESCARGA</v>
      </c>
      <c r="F253" s="88"/>
      <c r="G253" s="89">
        <f>IFERROR(__xludf.DUMMYFUNCTION("""COMPUTED_VALUE"""),4.025942E7)</f>
        <v>40259420</v>
      </c>
      <c r="H253" s="87"/>
      <c r="I253" s="87" t="str">
        <f>IFERROR(__xludf.DUMMYFUNCTION("""COMPUTED_VALUE"""),"MATERIAL DESCARREGADO - PROCESSO Nº 1400.01.0026473/2023-01")</f>
        <v>MATERIAL DESCARREGADO - PROCESSO Nº 1400.01.0026473/2023-01</v>
      </c>
    </row>
    <row r="254">
      <c r="A254" s="84">
        <f>IFERROR(__xludf.DUMMYFUNCTION("""COMPUTED_VALUE"""),253.0)</f>
        <v>253</v>
      </c>
      <c r="B254" s="85" t="str">
        <f>IFERROR(__xludf.DUMMYFUNCTION("""COMPUTED_VALUE"""),"COMPUTADOR -")</f>
        <v>COMPUTADOR -</v>
      </c>
      <c r="C254" s="86">
        <f>IFERROR(__xludf.DUMMYFUNCTION("""COMPUTED_VALUE"""),1.0)</f>
        <v>1</v>
      </c>
      <c r="D254" s="87" t="str">
        <f>IFERROR(__xludf.DUMMYFUNCTION("""COMPUTED_VALUE"""),"SEÇÃO")</f>
        <v>SEÇÃO</v>
      </c>
      <c r="E254" s="87" t="str">
        <f>IFERROR(__xludf.DUMMYFUNCTION("""COMPUTED_VALUE"""),"3 - DESCARGA")</f>
        <v>3 - DESCARGA</v>
      </c>
      <c r="F254" s="88"/>
      <c r="G254" s="89">
        <f>IFERROR(__xludf.DUMMYFUNCTION("""COMPUTED_VALUE"""),4.0273474E7)</f>
        <v>40273474</v>
      </c>
      <c r="H254" s="87"/>
      <c r="I254" s="87" t="str">
        <f>IFERROR(__xludf.DUMMYFUNCTION("""COMPUTED_VALUE"""),"MATERIAL DESCARREGADO - PROCESSO Nº 1400.01.0026473/2023-01")</f>
        <v>MATERIAL DESCARREGADO - PROCESSO Nº 1400.01.0026473/2023-01</v>
      </c>
    </row>
    <row r="255">
      <c r="A255" s="84">
        <f>IFERROR(__xludf.DUMMYFUNCTION("""COMPUTED_VALUE"""),254.0)</f>
        <v>254</v>
      </c>
      <c r="B255" s="85" t="str">
        <f>IFERROR(__xludf.DUMMYFUNCTION("""COMPUTED_VALUE"""),"COMPUTADOR -")</f>
        <v>COMPUTADOR -</v>
      </c>
      <c r="C255" s="86">
        <f>IFERROR(__xludf.DUMMYFUNCTION("""COMPUTED_VALUE"""),1.0)</f>
        <v>1</v>
      </c>
      <c r="D255" s="87" t="str">
        <f>IFERROR(__xludf.DUMMYFUNCTION("""COMPUTED_VALUE"""),"SEÇÃO")</f>
        <v>SEÇÃO</v>
      </c>
      <c r="E255" s="87" t="str">
        <f>IFERROR(__xludf.DUMMYFUNCTION("""COMPUTED_VALUE"""),"3 - DESCARGA")</f>
        <v>3 - DESCARGA</v>
      </c>
      <c r="F255" s="88"/>
      <c r="G255" s="89">
        <f>IFERROR(__xludf.DUMMYFUNCTION("""COMPUTED_VALUE"""),4.0273482E7)</f>
        <v>40273482</v>
      </c>
      <c r="H255" s="87"/>
      <c r="I255" s="87" t="str">
        <f>IFERROR(__xludf.DUMMYFUNCTION("""COMPUTED_VALUE"""),"MATERIAL DESCARREGADO - PROCESSO Nº 1400.01.0026473/2023-01")</f>
        <v>MATERIAL DESCARREGADO - PROCESSO Nº 1400.01.0026473/2023-01</v>
      </c>
    </row>
    <row r="256">
      <c r="A256" s="84">
        <f>IFERROR(__xludf.DUMMYFUNCTION("""COMPUTED_VALUE"""),255.0)</f>
        <v>255</v>
      </c>
      <c r="B256" s="85" t="str">
        <f>IFERROR(__xludf.DUMMYFUNCTION("""COMPUTED_VALUE"""),"COMPUTADOR -")</f>
        <v>COMPUTADOR -</v>
      </c>
      <c r="C256" s="86">
        <f>IFERROR(__xludf.DUMMYFUNCTION("""COMPUTED_VALUE"""),1.0)</f>
        <v>1</v>
      </c>
      <c r="D256" s="87" t="str">
        <f>IFERROR(__xludf.DUMMYFUNCTION("""COMPUTED_VALUE"""),"SEÇÃO")</f>
        <v>SEÇÃO</v>
      </c>
      <c r="E256" s="87" t="str">
        <f>IFERROR(__xludf.DUMMYFUNCTION("""COMPUTED_VALUE"""),"3 - DESCARGA")</f>
        <v>3 - DESCARGA</v>
      </c>
      <c r="F256" s="88"/>
      <c r="G256" s="89">
        <f>IFERROR(__xludf.DUMMYFUNCTION("""COMPUTED_VALUE"""),4.0325741E7)</f>
        <v>40325741</v>
      </c>
      <c r="H256" s="87"/>
      <c r="I256" s="87" t="str">
        <f>IFERROR(__xludf.DUMMYFUNCTION("""COMPUTED_VALUE"""),"MATERIAL DESCARREGADO - PROCESSO Nº 1400.01.0026473/2023-01")</f>
        <v>MATERIAL DESCARREGADO - PROCESSO Nº 1400.01.0026473/2023-01</v>
      </c>
    </row>
    <row r="257">
      <c r="A257" s="84">
        <f>IFERROR(__xludf.DUMMYFUNCTION("""COMPUTED_VALUE"""),256.0)</f>
        <v>256</v>
      </c>
      <c r="B257" s="85" t="str">
        <f>IFERROR(__xludf.DUMMYFUNCTION("""COMPUTED_VALUE"""),"COMPUTADOR -")</f>
        <v>COMPUTADOR -</v>
      </c>
      <c r="C257" s="86">
        <f>IFERROR(__xludf.DUMMYFUNCTION("""COMPUTED_VALUE"""),1.0)</f>
        <v>1</v>
      </c>
      <c r="D257" s="87" t="str">
        <f>IFERROR(__xludf.DUMMYFUNCTION("""COMPUTED_VALUE"""),"SEÇÃO")</f>
        <v>SEÇÃO</v>
      </c>
      <c r="E257" s="87" t="str">
        <f>IFERROR(__xludf.DUMMYFUNCTION("""COMPUTED_VALUE"""),"3 - DESCARGA")</f>
        <v>3 - DESCARGA</v>
      </c>
      <c r="F257" s="88"/>
      <c r="G257" s="89">
        <f>IFERROR(__xludf.DUMMYFUNCTION("""COMPUTED_VALUE"""),4.0351572E7)</f>
        <v>40351572</v>
      </c>
      <c r="H257" s="87"/>
      <c r="I257" s="87" t="str">
        <f>IFERROR(__xludf.DUMMYFUNCTION("""COMPUTED_VALUE"""),"5ª Cia Ind / 2º Pel Curvelo (Positivo Master 535) - MATERIAL DESCARREGADO - PROCESSO Nº 1400.01.0026473/2023-01")</f>
        <v>5ª Cia Ind / 2º Pel Curvelo (Positivo Master 535) - MATERIAL DESCARREGADO - PROCESSO Nº 1400.01.0026473/2023-01</v>
      </c>
    </row>
    <row r="258">
      <c r="A258" s="84">
        <f>IFERROR(__xludf.DUMMYFUNCTION("""COMPUTED_VALUE"""),257.0)</f>
        <v>257</v>
      </c>
      <c r="B258" s="85" t="str">
        <f>IFERROR(__xludf.DUMMYFUNCTION("""COMPUTED_VALUE"""),"COMPUTADOR -")</f>
        <v>COMPUTADOR -</v>
      </c>
      <c r="C258" s="86">
        <f>IFERROR(__xludf.DUMMYFUNCTION("""COMPUTED_VALUE"""),1.0)</f>
        <v>1</v>
      </c>
      <c r="D258" s="87" t="str">
        <f>IFERROR(__xludf.DUMMYFUNCTION("""COMPUTED_VALUE"""),"SEÇÃO")</f>
        <v>SEÇÃO</v>
      </c>
      <c r="E258" s="87" t="str">
        <f>IFERROR(__xludf.DUMMYFUNCTION("""COMPUTED_VALUE"""),"3 - DESCARGA")</f>
        <v>3 - DESCARGA</v>
      </c>
      <c r="F258" s="88"/>
      <c r="G258" s="89">
        <f>IFERROR(__xludf.DUMMYFUNCTION("""COMPUTED_VALUE"""),4.035158E7)</f>
        <v>40351580</v>
      </c>
      <c r="H258" s="87"/>
      <c r="I258" s="87" t="str">
        <f>IFERROR(__xludf.DUMMYFUNCTION("""COMPUTED_VALUE"""),"5ª Cia Ind / 2º Pel Curvelo  (Positivo Master 535) - MATERIAL DESCARREGADO - PROCESSO Nº 1400.01.0026473/2023-01")</f>
        <v>5ª Cia Ind / 2º Pel Curvelo  (Positivo Master 535) - MATERIAL DESCARREGADO - PROCESSO Nº 1400.01.0026473/2023-01</v>
      </c>
    </row>
    <row r="259">
      <c r="A259" s="84">
        <f>IFERROR(__xludf.DUMMYFUNCTION("""COMPUTED_VALUE"""),258.0)</f>
        <v>258</v>
      </c>
      <c r="B259" s="85" t="str">
        <f>IFERROR(__xludf.DUMMYFUNCTION("""COMPUTED_VALUE"""),"COMPUTADOR -")</f>
        <v>COMPUTADOR -</v>
      </c>
      <c r="C259" s="86">
        <f>IFERROR(__xludf.DUMMYFUNCTION("""COMPUTED_VALUE"""),1.0)</f>
        <v>1</v>
      </c>
      <c r="D259" s="87"/>
      <c r="E259" s="87" t="str">
        <f>IFERROR(__xludf.DUMMYFUNCTION("""COMPUTED_VALUE"""),"3 - CURVELO")</f>
        <v>3 - CURVELO</v>
      </c>
      <c r="F259" s="88"/>
      <c r="G259" s="89">
        <f>IFERROR(__xludf.DUMMYFUNCTION("""COMPUTED_VALUE"""),4.03517E7)</f>
        <v>40351700</v>
      </c>
      <c r="H259" s="87"/>
      <c r="I259" s="87" t="str">
        <f>IFERROR(__xludf.DUMMYFUNCTION("""COMPUTED_VALUE"""),"5ª Cia Ind / 2º Pel Curvelo - Cia PV  (Positivo Master 535) -  PPV")</f>
        <v>5ª Cia Ind / 2º Pel Curvelo - Cia PV  (Positivo Master 535) -  PPV</v>
      </c>
    </row>
    <row r="260">
      <c r="A260" s="84">
        <f>IFERROR(__xludf.DUMMYFUNCTION("""COMPUTED_VALUE"""),259.0)</f>
        <v>259</v>
      </c>
      <c r="B260" s="85" t="str">
        <f>IFERROR(__xludf.DUMMYFUNCTION("""COMPUTED_VALUE"""),"COMPUTADOR -")</f>
        <v>COMPUTADOR -</v>
      </c>
      <c r="C260" s="86">
        <f>IFERROR(__xludf.DUMMYFUNCTION("""COMPUTED_VALUE"""),1.0)</f>
        <v>1</v>
      </c>
      <c r="D260" s="87"/>
      <c r="E260" s="87" t="str">
        <f>IFERROR(__xludf.DUMMYFUNCTION("""COMPUTED_VALUE"""),"3 - CURVELO")</f>
        <v>3 - CURVELO</v>
      </c>
      <c r="F260" s="88"/>
      <c r="G260" s="89">
        <f>IFERROR(__xludf.DUMMYFUNCTION("""COMPUTED_VALUE"""),6.2733664E7)</f>
        <v>62733664</v>
      </c>
      <c r="H260" s="87"/>
      <c r="I260" s="87"/>
    </row>
    <row r="261">
      <c r="A261" s="84">
        <f>IFERROR(__xludf.DUMMYFUNCTION("""COMPUTED_VALUE"""),260.0)</f>
        <v>260</v>
      </c>
      <c r="B261" s="85" t="str">
        <f>IFERROR(__xludf.DUMMYFUNCTION("""COMPUTED_VALUE"""),"COMPUTADOR -")</f>
        <v>COMPUTADOR -</v>
      </c>
      <c r="C261" s="86">
        <f>IFERROR(__xludf.DUMMYFUNCTION("""COMPUTED_VALUE"""),1.0)</f>
        <v>1</v>
      </c>
      <c r="D261" s="87" t="str">
        <f>IFERROR(__xludf.DUMMYFUNCTION("""COMPUTED_VALUE"""),"SEÇÃO")</f>
        <v>SEÇÃO</v>
      </c>
      <c r="E261" s="87" t="str">
        <f>IFERROR(__xludf.DUMMYFUNCTION("""COMPUTED_VALUE"""),"3 - DESCARGA")</f>
        <v>3 - DESCARGA</v>
      </c>
      <c r="F261" s="88"/>
      <c r="G261" s="89">
        <f>IFERROR(__xludf.DUMMYFUNCTION("""COMPUTED_VALUE"""),6.2787454E7)</f>
        <v>62787454</v>
      </c>
      <c r="H261" s="87"/>
      <c r="I261" s="87"/>
    </row>
    <row r="262">
      <c r="A262" s="84">
        <f>IFERROR(__xludf.DUMMYFUNCTION("""COMPUTED_VALUE"""),261.0)</f>
        <v>261</v>
      </c>
      <c r="B262" s="85" t="str">
        <f>IFERROR(__xludf.DUMMYFUNCTION("""COMPUTED_VALUE"""),"COMPUTADOR -")</f>
        <v>COMPUTADOR -</v>
      </c>
      <c r="C262" s="86">
        <f>IFERROR(__xludf.DUMMYFUNCTION("""COMPUTED_VALUE"""),1.0)</f>
        <v>1</v>
      </c>
      <c r="D262" s="87" t="str">
        <f>IFERROR(__xludf.DUMMYFUNCTION("""COMPUTED_VALUE"""),"SEÇÃO")</f>
        <v>SEÇÃO</v>
      </c>
      <c r="E262" s="87" t="str">
        <f>IFERROR(__xludf.DUMMYFUNCTION("""COMPUTED_VALUE"""),"3 - DESCARGA")</f>
        <v>3 - DESCARGA</v>
      </c>
      <c r="F262" s="88"/>
      <c r="G262" s="89">
        <f>IFERROR(__xludf.DUMMYFUNCTION("""COMPUTED_VALUE"""),6.278773E7)</f>
        <v>62787730</v>
      </c>
      <c r="H262" s="87"/>
      <c r="I262" s="87" t="str">
        <f>IFERROR(__xludf.DUMMYFUNCTION("""COMPUTED_VALUE"""),"MATERIAL DESCARREGADO - PROCESSO Nº 1400.01.0026473/2023-01")</f>
        <v>MATERIAL DESCARREGADO - PROCESSO Nº 1400.01.0026473/2023-01</v>
      </c>
    </row>
    <row r="263">
      <c r="A263" s="84">
        <f>IFERROR(__xludf.DUMMYFUNCTION("""COMPUTED_VALUE"""),262.0)</f>
        <v>262</v>
      </c>
      <c r="B263" s="85" t="str">
        <f>IFERROR(__xludf.DUMMYFUNCTION("""COMPUTED_VALUE"""),"COMPUTADOR -")</f>
        <v>COMPUTADOR -</v>
      </c>
      <c r="C263" s="86">
        <f>IFERROR(__xludf.DUMMYFUNCTION("""COMPUTED_VALUE"""),1.0)</f>
        <v>1</v>
      </c>
      <c r="D263" s="87"/>
      <c r="E263" s="87" t="str">
        <f>IFERROR(__xludf.DUMMYFUNCTION("""COMPUTED_VALUE"""),"3 - CURVELO")</f>
        <v>3 - CURVELO</v>
      </c>
      <c r="F263" s="88"/>
      <c r="G263" s="89">
        <f>IFERROR(__xludf.DUMMYFUNCTION("""COMPUTED_VALUE"""),6.2790498E7)</f>
        <v>62790498</v>
      </c>
      <c r="H263" s="87"/>
      <c r="I263" s="87"/>
    </row>
    <row r="264">
      <c r="A264" s="84">
        <f>IFERROR(__xludf.DUMMYFUNCTION("""COMPUTED_VALUE"""),263.0)</f>
        <v>263</v>
      </c>
      <c r="B264" s="85" t="str">
        <f>IFERROR(__xludf.DUMMYFUNCTION("""COMPUTED_VALUE"""),"COMPUTADOR -")</f>
        <v>COMPUTADOR -</v>
      </c>
      <c r="C264" s="86">
        <f>IFERROR(__xludf.DUMMYFUNCTION("""COMPUTED_VALUE"""),1.0)</f>
        <v>1</v>
      </c>
      <c r="D264" s="87"/>
      <c r="E264" s="87" t="str">
        <f>IFERROR(__xludf.DUMMYFUNCTION("""COMPUTED_VALUE"""),"3 - CURVELO")</f>
        <v>3 - CURVELO</v>
      </c>
      <c r="F264" s="88"/>
      <c r="G264" s="89">
        <f>IFERROR(__xludf.DUMMYFUNCTION("""COMPUTED_VALUE"""),7.6702138E7)</f>
        <v>76702138</v>
      </c>
      <c r="H264" s="87"/>
      <c r="I264" s="87" t="str">
        <f>IFERROR(__xludf.DUMMYFUNCTION("""COMPUTED_VALUE"""),"5ª Cia Ind / 2º Pel Curvelo - Cia PV  (Positivo Master 535) - PPV")</f>
        <v>5ª Cia Ind / 2º Pel Curvelo - Cia PV  (Positivo Master 535) - PPV</v>
      </c>
    </row>
    <row r="265">
      <c r="A265" s="84">
        <f>IFERROR(__xludf.DUMMYFUNCTION("""COMPUTED_VALUE"""),264.0)</f>
        <v>264</v>
      </c>
      <c r="B265" s="85" t="str">
        <f>IFERROR(__xludf.DUMMYFUNCTION("""COMPUTED_VALUE"""),"COMPUTADOR -")</f>
        <v>COMPUTADOR -</v>
      </c>
      <c r="C265" s="86">
        <f>IFERROR(__xludf.DUMMYFUNCTION("""COMPUTED_VALUE"""),1.0)</f>
        <v>1</v>
      </c>
      <c r="D265" s="87" t="str">
        <f>IFERROR(__xludf.DUMMYFUNCTION("""COMPUTED_VALUE"""),"SEÇÃO")</f>
        <v>SEÇÃO</v>
      </c>
      <c r="E265" s="87" t="str">
        <f>IFERROR(__xludf.DUMMYFUNCTION("""COMPUTED_VALUE"""),"3 - DESCARGA")</f>
        <v>3 - DESCARGA</v>
      </c>
      <c r="F265" s="88"/>
      <c r="G265" s="89">
        <f>IFERROR(__xludf.DUMMYFUNCTION("""COMPUTED_VALUE"""),7.6702146E7)</f>
        <v>76702146</v>
      </c>
      <c r="H265" s="87"/>
      <c r="I265" s="87" t="str">
        <f>IFERROR(__xludf.DUMMYFUNCTION("""COMPUTED_VALUE"""),"MATERIAL DESCARREGADO - PROCESSO Nº 1400.01.0026473/2023-01")</f>
        <v>MATERIAL DESCARREGADO - PROCESSO Nº 1400.01.0026473/2023-01</v>
      </c>
    </row>
    <row r="266">
      <c r="A266" s="84">
        <f>IFERROR(__xludf.DUMMYFUNCTION("""COMPUTED_VALUE"""),265.0)</f>
        <v>265</v>
      </c>
      <c r="B266" s="85" t="str">
        <f>IFERROR(__xludf.DUMMYFUNCTION("""COMPUTED_VALUE"""),"COMPUTADOR -")</f>
        <v>COMPUTADOR -</v>
      </c>
      <c r="C266" s="86">
        <f>IFERROR(__xludf.DUMMYFUNCTION("""COMPUTED_VALUE"""),1.0)</f>
        <v>1</v>
      </c>
      <c r="D266" s="87" t="str">
        <f>IFERROR(__xludf.DUMMYFUNCTION("""COMPUTED_VALUE"""),"SEÇÃO")</f>
        <v>SEÇÃO</v>
      </c>
      <c r="E266" s="87" t="str">
        <f>IFERROR(__xludf.DUMMYFUNCTION("""COMPUTED_VALUE"""),"3 - CURVELO")</f>
        <v>3 - CURVELO</v>
      </c>
      <c r="F266" s="88" t="str">
        <f>IFERROR(__xludf.DUMMYFUNCTION("""COMPUTED_VALUE"""),"Sala Comandante CVO")</f>
        <v>Sala Comandante CVO</v>
      </c>
      <c r="G266" s="89">
        <f>IFERROR(__xludf.DUMMYFUNCTION("""COMPUTED_VALUE"""),7.6730735E7)</f>
        <v>76730735</v>
      </c>
      <c r="H266" s="87"/>
      <c r="I266" s="87" t="str">
        <f>IFERROR(__xludf.DUMMYFUNCTION("""COMPUTED_VALUE"""),"5ª Cia Ind / 2º Pel Curvelo - Cia PV  (Positivo Master 535)")</f>
        <v>5ª Cia Ind / 2º Pel Curvelo - Cia PV  (Positivo Master 535)</v>
      </c>
    </row>
    <row r="267">
      <c r="A267" s="84">
        <f>IFERROR(__xludf.DUMMYFUNCTION("""COMPUTED_VALUE"""),266.0)</f>
        <v>266</v>
      </c>
      <c r="B267" s="85" t="str">
        <f>IFERROR(__xludf.DUMMYFUNCTION("""COMPUTED_VALUE"""),"COMPUTADOR -")</f>
        <v>COMPUTADOR -</v>
      </c>
      <c r="C267" s="86">
        <f>IFERROR(__xludf.DUMMYFUNCTION("""COMPUTED_VALUE"""),1.0)</f>
        <v>1</v>
      </c>
      <c r="D267" s="87"/>
      <c r="E267" s="87" t="str">
        <f>IFERROR(__xludf.DUMMYFUNCTION("""COMPUTED_VALUE"""),"3 - CURVELO")</f>
        <v>3 - CURVELO</v>
      </c>
      <c r="F267" s="88"/>
      <c r="G267" s="89">
        <f>IFERROR(__xludf.DUMMYFUNCTION("""COMPUTED_VALUE"""),8.4194758E7)</f>
        <v>84194758</v>
      </c>
      <c r="H267" s="87"/>
      <c r="I267" s="87"/>
    </row>
    <row r="268">
      <c r="A268" s="84">
        <f>IFERROR(__xludf.DUMMYFUNCTION("""COMPUTED_VALUE"""),267.0)</f>
        <v>267</v>
      </c>
      <c r="B268" s="85" t="str">
        <f>IFERROR(__xludf.DUMMYFUNCTION("""COMPUTED_VALUE"""),"CONJUNTO COMBINADO DESENCARCERAMENTO DE VITIMAS -")</f>
        <v>CONJUNTO COMBINADO DESENCARCERAMENTO DE VITIMAS -</v>
      </c>
      <c r="C268" s="86">
        <f>IFERROR(__xludf.DUMMYFUNCTION("""COMPUTED_VALUE"""),1.0)</f>
        <v>1</v>
      </c>
      <c r="D268" s="87" t="str">
        <f>IFERROR(__xludf.DUMMYFUNCTION("""COMPUTED_VALUE"""),"SEÇÃO")</f>
        <v>SEÇÃO</v>
      </c>
      <c r="E268" s="87" t="str">
        <f>IFERROR(__xludf.DUMMYFUNCTION("""COMPUTED_VALUE"""),"3 - DESCARGA")</f>
        <v>3 - DESCARGA</v>
      </c>
      <c r="F268" s="88"/>
      <c r="G268" s="89">
        <f>IFERROR(__xludf.DUMMYFUNCTION("""COMPUTED_VALUE"""),1.39172E7)</f>
        <v>13917200</v>
      </c>
      <c r="H268" s="87"/>
      <c r="I268" s="87" t="str">
        <f>IFERROR(__xludf.DUMMYFUNCTION("""COMPUTED_VALUE"""),"MATERIAL DESCARREGADO - PROCESSO Nº 1400.01.0026473/2023-01")</f>
        <v>MATERIAL DESCARREGADO - PROCESSO Nº 1400.01.0026473/2023-01</v>
      </c>
    </row>
    <row r="269">
      <c r="A269" s="84">
        <f>IFERROR(__xludf.DUMMYFUNCTION("""COMPUTED_VALUE"""),268.0)</f>
        <v>268</v>
      </c>
      <c r="B269" s="85" t="str">
        <f>IFERROR(__xludf.DUMMYFUNCTION("""COMPUTED_VALUE"""),"CONJUNTO COMBINADO DESENCARCERAMENTO DE VITIMAS -")</f>
        <v>CONJUNTO COMBINADO DESENCARCERAMENTO DE VITIMAS -</v>
      </c>
      <c r="C269" s="86">
        <f>IFERROR(__xludf.DUMMYFUNCTION("""COMPUTED_VALUE"""),1.0)</f>
        <v>1</v>
      </c>
      <c r="D269" s="87" t="str">
        <f>IFERROR(__xludf.DUMMYFUNCTION("""COMPUTED_VALUE"""),"SEÇÃO")</f>
        <v>SEÇÃO</v>
      </c>
      <c r="E269" s="87" t="str">
        <f>IFERROR(__xludf.DUMMYFUNCTION("""COMPUTED_VALUE"""),"3 - DESCARGA")</f>
        <v>3 - DESCARGA</v>
      </c>
      <c r="F269" s="88"/>
      <c r="G269" s="89">
        <f>IFERROR(__xludf.DUMMYFUNCTION("""COMPUTED_VALUE"""),1.3917269E7)</f>
        <v>13917269</v>
      </c>
      <c r="H269" s="87"/>
      <c r="I269" s="87" t="str">
        <f>IFERROR(__xludf.DUMMYFUNCTION("""COMPUTED_VALUE"""),"MATERIAL DESCARREGADO - PROCESSO Nº 1400.01.0026473/2023-01")</f>
        <v>MATERIAL DESCARREGADO - PROCESSO Nº 1400.01.0026473/2023-01</v>
      </c>
    </row>
    <row r="270">
      <c r="A270" s="84">
        <f>IFERROR(__xludf.DUMMYFUNCTION("""COMPUTED_VALUE"""),269.0)</f>
        <v>269</v>
      </c>
      <c r="B270" s="85" t="str">
        <f>IFERROR(__xludf.DUMMYFUNCTION("""COMPUTED_VALUE"""),"CONJUNTO COMBINADO DESENCARCERAMENTO DE VITIMAS -")</f>
        <v>CONJUNTO COMBINADO DESENCARCERAMENTO DE VITIMAS -</v>
      </c>
      <c r="C270" s="86">
        <f>IFERROR(__xludf.DUMMYFUNCTION("""COMPUTED_VALUE"""),1.0)</f>
        <v>1</v>
      </c>
      <c r="D270" s="87" t="str">
        <f>IFERROR(__xludf.DUMMYFUNCTION("""COMPUTED_VALUE"""),"SEÇÃO")</f>
        <v>SEÇÃO</v>
      </c>
      <c r="E270" s="87" t="str">
        <f>IFERROR(__xludf.DUMMYFUNCTION("""COMPUTED_VALUE"""),"3 - DESCARGA")</f>
        <v>3 - DESCARGA</v>
      </c>
      <c r="F270" s="88"/>
      <c r="G270" s="89">
        <f>IFERROR(__xludf.DUMMYFUNCTION("""COMPUTED_VALUE"""),1.4051656E7)</f>
        <v>14051656</v>
      </c>
      <c r="H270" s="87"/>
      <c r="I270" s="87" t="str">
        <f>IFERROR(__xludf.DUMMYFUNCTION("""COMPUTED_VALUE"""),"MATERIAL DESCARREGADO - PROCESSO Nº 1400.01.0026473/2023-01")</f>
        <v>MATERIAL DESCARREGADO - PROCESSO Nº 1400.01.0026473/2023-01</v>
      </c>
    </row>
    <row r="271">
      <c r="A271" s="84">
        <f>IFERROR(__xludf.DUMMYFUNCTION("""COMPUTED_VALUE"""),270.0)</f>
        <v>270</v>
      </c>
      <c r="B271" s="85" t="str">
        <f>IFERROR(__xludf.DUMMYFUNCTION("""COMPUTED_VALUE"""),"CONJUNTO DE APARELHO DE MERGULHO -")</f>
        <v>CONJUNTO DE APARELHO DE MERGULHO -</v>
      </c>
      <c r="C271" s="86">
        <f>IFERROR(__xludf.DUMMYFUNCTION("""COMPUTED_VALUE"""),1.0)</f>
        <v>1</v>
      </c>
      <c r="D271" s="87" t="str">
        <f>IFERROR(__xludf.DUMMYFUNCTION("""COMPUTED_VALUE"""),"SEÇÃO")</f>
        <v>SEÇÃO</v>
      </c>
      <c r="E271" s="87" t="str">
        <f>IFERROR(__xludf.DUMMYFUNCTION("""COMPUTED_VALUE"""),"3 - DESCARGA")</f>
        <v>3 - DESCARGA</v>
      </c>
      <c r="F271" s="88"/>
      <c r="G271" s="89">
        <f>IFERROR(__xludf.DUMMYFUNCTION("""COMPUTED_VALUE"""),1.3956426E7)</f>
        <v>13956426</v>
      </c>
      <c r="H271" s="87"/>
      <c r="I271" s="87" t="str">
        <f>IFERROR(__xludf.DUMMYFUNCTION("""COMPUTED_VALUE"""),"MATERIAL DESCARREGADO - PROCESSO Nº 1400.01.0026473/2023-01")</f>
        <v>MATERIAL DESCARREGADO - PROCESSO Nº 1400.01.0026473/2023-01</v>
      </c>
    </row>
    <row r="272">
      <c r="A272" s="84">
        <f>IFERROR(__xludf.DUMMYFUNCTION("""COMPUTED_VALUE"""),271.0)</f>
        <v>271</v>
      </c>
      <c r="B272" s="85" t="str">
        <f>IFERROR(__xludf.DUMMYFUNCTION("""COMPUTED_VALUE"""),"CONJUNTO DE APARELHO DE MERGULHO -")</f>
        <v>CONJUNTO DE APARELHO DE MERGULHO -</v>
      </c>
      <c r="C272" s="86">
        <f>IFERROR(__xludf.DUMMYFUNCTION("""COMPUTED_VALUE"""),1.0)</f>
        <v>1</v>
      </c>
      <c r="D272" s="87" t="str">
        <f>IFERROR(__xludf.DUMMYFUNCTION("""COMPUTED_VALUE"""),"SEÇÃO")</f>
        <v>SEÇÃO</v>
      </c>
      <c r="E272" s="87" t="str">
        <f>IFERROR(__xludf.DUMMYFUNCTION("""COMPUTED_VALUE"""),"3 - DESCARGA")</f>
        <v>3 - DESCARGA</v>
      </c>
      <c r="F272" s="88"/>
      <c r="G272" s="89">
        <f>IFERROR(__xludf.DUMMYFUNCTION("""COMPUTED_VALUE"""),1.3956531E7)</f>
        <v>13956531</v>
      </c>
      <c r="H272" s="87"/>
      <c r="I272" s="87" t="str">
        <f>IFERROR(__xludf.DUMMYFUNCTION("""COMPUTED_VALUE"""),"MATERIAL DESCARREGADO - PROCESSO Nº 1400.01.0026473/2023-01")</f>
        <v>MATERIAL DESCARREGADO - PROCESSO Nº 1400.01.0026473/2023-01</v>
      </c>
    </row>
    <row r="273">
      <c r="A273" s="84">
        <f>IFERROR(__xludf.DUMMYFUNCTION("""COMPUTED_VALUE"""),272.0)</f>
        <v>272</v>
      </c>
      <c r="B273" s="85" t="str">
        <f>IFERROR(__xludf.DUMMYFUNCTION("""COMPUTED_VALUE"""),"CONJUNTO DE APARELHO DE MERGULHO -")</f>
        <v>CONJUNTO DE APARELHO DE MERGULHO -</v>
      </c>
      <c r="C273" s="86">
        <f>IFERROR(__xludf.DUMMYFUNCTION("""COMPUTED_VALUE"""),1.0)</f>
        <v>1</v>
      </c>
      <c r="D273" s="87" t="str">
        <f>IFERROR(__xludf.DUMMYFUNCTION("""COMPUTED_VALUE"""),"SEÇÃO")</f>
        <v>SEÇÃO</v>
      </c>
      <c r="E273" s="87" t="str">
        <f>IFERROR(__xludf.DUMMYFUNCTION("""COMPUTED_VALUE"""),"3 - DESCARGA")</f>
        <v>3 - DESCARGA</v>
      </c>
      <c r="F273" s="88"/>
      <c r="G273" s="89">
        <f>IFERROR(__xludf.DUMMYFUNCTION("""COMPUTED_VALUE"""),1.3956582E7)</f>
        <v>13956582</v>
      </c>
      <c r="H273" s="87"/>
      <c r="I273" s="87" t="str">
        <f>IFERROR(__xludf.DUMMYFUNCTION("""COMPUTED_VALUE"""),"MATERIAL DESCARREGADO - PROCESSO Nº 1400.01.0026473/2023-01")</f>
        <v>MATERIAL DESCARREGADO - PROCESSO Nº 1400.01.0026473/2023-01</v>
      </c>
    </row>
    <row r="274">
      <c r="A274" s="84">
        <f>IFERROR(__xludf.DUMMYFUNCTION("""COMPUTED_VALUE"""),273.0)</f>
        <v>273</v>
      </c>
      <c r="B274" s="85" t="str">
        <f>IFERROR(__xludf.DUMMYFUNCTION("""COMPUTED_VALUE"""),"CONJUNTO DE APARELHO DE MERGULHO -")</f>
        <v>CONJUNTO DE APARELHO DE MERGULHO -</v>
      </c>
      <c r="C274" s="86">
        <f>IFERROR(__xludf.DUMMYFUNCTION("""COMPUTED_VALUE"""),1.0)</f>
        <v>1</v>
      </c>
      <c r="D274" s="87" t="str">
        <f>IFERROR(__xludf.DUMMYFUNCTION("""COMPUTED_VALUE"""),"SEÇÃO")</f>
        <v>SEÇÃO</v>
      </c>
      <c r="E274" s="87" t="str">
        <f>IFERROR(__xludf.DUMMYFUNCTION("""COMPUTED_VALUE"""),"3 - DESCARGA")</f>
        <v>3 - DESCARGA</v>
      </c>
      <c r="F274" s="88"/>
      <c r="G274" s="89">
        <f>IFERROR(__xludf.DUMMYFUNCTION("""COMPUTED_VALUE"""),1.3956612E7)</f>
        <v>13956612</v>
      </c>
      <c r="H274" s="87"/>
      <c r="I274" s="87" t="str">
        <f>IFERROR(__xludf.DUMMYFUNCTION("""COMPUTED_VALUE"""),"MATERIAL DESCARREGADO - PROCESSO Nº 1400.01.0026473/2023-01")</f>
        <v>MATERIAL DESCARREGADO - PROCESSO Nº 1400.01.0026473/2023-01</v>
      </c>
    </row>
    <row r="275">
      <c r="A275" s="84">
        <f>IFERROR(__xludf.DUMMYFUNCTION("""COMPUTED_VALUE"""),274.0)</f>
        <v>274</v>
      </c>
      <c r="B275" s="85" t="str">
        <f>IFERROR(__xludf.DUMMYFUNCTION("""COMPUTED_VALUE"""),"CONJUNTO DE APARELHO DE MERGULHO -")</f>
        <v>CONJUNTO DE APARELHO DE MERGULHO -</v>
      </c>
      <c r="C275" s="86">
        <f>IFERROR(__xludf.DUMMYFUNCTION("""COMPUTED_VALUE"""),1.0)</f>
        <v>1</v>
      </c>
      <c r="D275" s="87" t="str">
        <f>IFERROR(__xludf.DUMMYFUNCTION("""COMPUTED_VALUE"""),"SEÇÃO")</f>
        <v>SEÇÃO</v>
      </c>
      <c r="E275" s="87" t="str">
        <f>IFERROR(__xludf.DUMMYFUNCTION("""COMPUTED_VALUE"""),"3 - DESCARGA")</f>
        <v>3 - DESCARGA</v>
      </c>
      <c r="F275" s="88"/>
      <c r="G275" s="89">
        <f>IFERROR(__xludf.DUMMYFUNCTION("""COMPUTED_VALUE"""),1.395662E7)</f>
        <v>13956620</v>
      </c>
      <c r="H275" s="87"/>
      <c r="I275" s="87" t="str">
        <f>IFERROR(__xludf.DUMMYFUNCTION("""COMPUTED_VALUE"""),"MATERIAL DESCARREGADO - PROCESSO Nº 1400.01.0026473/2023-01")</f>
        <v>MATERIAL DESCARREGADO - PROCESSO Nº 1400.01.0026473/2023-01</v>
      </c>
    </row>
    <row r="276">
      <c r="A276" s="84">
        <f>IFERROR(__xludf.DUMMYFUNCTION("""COMPUTED_VALUE"""),275.0)</f>
        <v>275</v>
      </c>
      <c r="B276" s="85" t="str">
        <f>IFERROR(__xludf.DUMMYFUNCTION("""COMPUTED_VALUE"""),"CONJUNTO DE APARELHO DE MERGULHO -")</f>
        <v>CONJUNTO DE APARELHO DE MERGULHO -</v>
      </c>
      <c r="C276" s="86">
        <f>IFERROR(__xludf.DUMMYFUNCTION("""COMPUTED_VALUE"""),1.0)</f>
        <v>1</v>
      </c>
      <c r="D276" s="87" t="str">
        <f>IFERROR(__xludf.DUMMYFUNCTION("""COMPUTED_VALUE"""),"SEÇÃO")</f>
        <v>SEÇÃO</v>
      </c>
      <c r="E276" s="87" t="str">
        <f>IFERROR(__xludf.DUMMYFUNCTION("""COMPUTED_VALUE"""),"3 - DESCARGA")</f>
        <v>3 - DESCARGA</v>
      </c>
      <c r="F276" s="88"/>
      <c r="G276" s="89">
        <f>IFERROR(__xludf.DUMMYFUNCTION("""COMPUTED_VALUE"""),1.3956639E7)</f>
        <v>13956639</v>
      </c>
      <c r="H276" s="87"/>
      <c r="I276" s="87" t="str">
        <f>IFERROR(__xludf.DUMMYFUNCTION("""COMPUTED_VALUE"""),"MATERIAL DESCARREGADO - PROCESSO Nº 1400.01.0026473/2023-01")</f>
        <v>MATERIAL DESCARREGADO - PROCESSO Nº 1400.01.0026473/2023-01</v>
      </c>
    </row>
    <row r="277">
      <c r="A277" s="84">
        <f>IFERROR(__xludf.DUMMYFUNCTION("""COMPUTED_VALUE"""),276.0)</f>
        <v>276</v>
      </c>
      <c r="B277" s="85" t="str">
        <f>IFERROR(__xludf.DUMMYFUNCTION("""COMPUTED_VALUE"""),"CONJUNTO DE APARELHO DE MERGULHO -")</f>
        <v>CONJUNTO DE APARELHO DE MERGULHO -</v>
      </c>
      <c r="C277" s="86">
        <f>IFERROR(__xludf.DUMMYFUNCTION("""COMPUTED_VALUE"""),1.0)</f>
        <v>1</v>
      </c>
      <c r="D277" s="87" t="str">
        <f>IFERROR(__xludf.DUMMYFUNCTION("""COMPUTED_VALUE"""),"SEÇÃO")</f>
        <v>SEÇÃO</v>
      </c>
      <c r="E277" s="87" t="str">
        <f>IFERROR(__xludf.DUMMYFUNCTION("""COMPUTED_VALUE"""),"3 - DESCARGA")</f>
        <v>3 - DESCARGA</v>
      </c>
      <c r="F277" s="88"/>
      <c r="G277" s="89">
        <f>IFERROR(__xludf.DUMMYFUNCTION("""COMPUTED_VALUE"""),1.3956663E7)</f>
        <v>13956663</v>
      </c>
      <c r="H277" s="87"/>
      <c r="I277" s="87" t="str">
        <f>IFERROR(__xludf.DUMMYFUNCTION("""COMPUTED_VALUE"""),"MATERIAL DESCARREGADO - PROCESSO Nº 1400.01.0026473/2023-01")</f>
        <v>MATERIAL DESCARREGADO - PROCESSO Nº 1400.01.0026473/2023-01</v>
      </c>
    </row>
    <row r="278">
      <c r="A278" s="84">
        <f>IFERROR(__xludf.DUMMYFUNCTION("""COMPUTED_VALUE"""),277.0)</f>
        <v>277</v>
      </c>
      <c r="B278" s="85" t="str">
        <f>IFERROR(__xludf.DUMMYFUNCTION("""COMPUTED_VALUE"""),"CONJUNTO DE APARELHO DE MERGULHO -")</f>
        <v>CONJUNTO DE APARELHO DE MERGULHO -</v>
      </c>
      <c r="C278" s="86">
        <f>IFERROR(__xludf.DUMMYFUNCTION("""COMPUTED_VALUE"""),1.0)</f>
        <v>1</v>
      </c>
      <c r="D278" s="87" t="str">
        <f>IFERROR(__xludf.DUMMYFUNCTION("""COMPUTED_VALUE"""),"SEÇÃO")</f>
        <v>SEÇÃO</v>
      </c>
      <c r="E278" s="87" t="str">
        <f>IFERROR(__xludf.DUMMYFUNCTION("""COMPUTED_VALUE"""),"3 - CURVELO")</f>
        <v>3 - CURVELO</v>
      </c>
      <c r="F278" s="88"/>
      <c r="G278" s="89">
        <f>IFERROR(__xludf.DUMMYFUNCTION("""COMPUTED_VALUE"""),4.009658E7)</f>
        <v>40096580</v>
      </c>
      <c r="H278" s="87"/>
      <c r="I278" s="87" t="str">
        <f>IFERROR(__xludf.DUMMYFUNCTION("""COMPUTED_VALUE"""),"B4")</f>
        <v>B4</v>
      </c>
    </row>
    <row r="279">
      <c r="A279" s="84">
        <f>IFERROR(__xludf.DUMMYFUNCTION("""COMPUTED_VALUE"""),278.0)</f>
        <v>278</v>
      </c>
      <c r="B279" s="85" t="str">
        <f>IFERROR(__xludf.DUMMYFUNCTION("""COMPUTED_VALUE"""),"CONJUNTO DE APARELHO DE MERGULHO -")</f>
        <v>CONJUNTO DE APARELHO DE MERGULHO -</v>
      </c>
      <c r="C279" s="86">
        <f>IFERROR(__xludf.DUMMYFUNCTION("""COMPUTED_VALUE"""),1.0)</f>
        <v>1</v>
      </c>
      <c r="D279" s="87" t="str">
        <f>IFERROR(__xludf.DUMMYFUNCTION("""COMPUTED_VALUE"""),"SEÇÃO")</f>
        <v>SEÇÃO</v>
      </c>
      <c r="E279" s="87" t="str">
        <f>IFERROR(__xludf.DUMMYFUNCTION("""COMPUTED_VALUE"""),"3 - CURVELO")</f>
        <v>3 - CURVELO</v>
      </c>
      <c r="F279" s="88"/>
      <c r="G279" s="89">
        <f>IFERROR(__xludf.DUMMYFUNCTION("""COMPUTED_VALUE"""),4.0096599E7)</f>
        <v>40096599</v>
      </c>
      <c r="H279" s="87"/>
      <c r="I279" s="87" t="str">
        <f>IFERROR(__xludf.DUMMYFUNCTION("""COMPUTED_VALUE"""),"B4")</f>
        <v>B4</v>
      </c>
    </row>
    <row r="280">
      <c r="A280" s="84">
        <f>IFERROR(__xludf.DUMMYFUNCTION("""COMPUTED_VALUE"""),279.0)</f>
        <v>279</v>
      </c>
      <c r="B280" s="85" t="str">
        <f>IFERROR(__xludf.DUMMYFUNCTION("""COMPUTED_VALUE"""),"CONJUNTO DE APARELHO DE MERGULHO -")</f>
        <v>CONJUNTO DE APARELHO DE MERGULHO -</v>
      </c>
      <c r="C280" s="86">
        <f>IFERROR(__xludf.DUMMYFUNCTION("""COMPUTED_VALUE"""),1.0)</f>
        <v>1</v>
      </c>
      <c r="D280" s="87" t="str">
        <f>IFERROR(__xludf.DUMMYFUNCTION("""COMPUTED_VALUE"""),"SEÇÃO")</f>
        <v>SEÇÃO</v>
      </c>
      <c r="E280" s="87" t="str">
        <f>IFERROR(__xludf.DUMMYFUNCTION("""COMPUTED_VALUE"""),"3 - CURVELO")</f>
        <v>3 - CURVELO</v>
      </c>
      <c r="F280" s="88"/>
      <c r="G280" s="89">
        <f>IFERROR(__xludf.DUMMYFUNCTION("""COMPUTED_VALUE"""),4.0096602E7)</f>
        <v>40096602</v>
      </c>
      <c r="H280" s="87"/>
      <c r="I280" s="87" t="str">
        <f>IFERROR(__xludf.DUMMYFUNCTION("""COMPUTED_VALUE"""),"B4")</f>
        <v>B4</v>
      </c>
    </row>
    <row r="281">
      <c r="A281" s="84">
        <f>IFERROR(__xludf.DUMMYFUNCTION("""COMPUTED_VALUE"""),280.0)</f>
        <v>280</v>
      </c>
      <c r="B281" s="85" t="str">
        <f>IFERROR(__xludf.DUMMYFUNCTION("""COMPUTED_VALUE"""),"CONJUNTO DE APARELHO DE MERGULHO -")</f>
        <v>CONJUNTO DE APARELHO DE MERGULHO -</v>
      </c>
      <c r="C281" s="86">
        <f>IFERROR(__xludf.DUMMYFUNCTION("""COMPUTED_VALUE"""),1.0)</f>
        <v>1</v>
      </c>
      <c r="D281" s="87" t="str">
        <f>IFERROR(__xludf.DUMMYFUNCTION("""COMPUTED_VALUE"""),"SEÇÃO")</f>
        <v>SEÇÃO</v>
      </c>
      <c r="E281" s="87" t="str">
        <f>IFERROR(__xludf.DUMMYFUNCTION("""COMPUTED_VALUE"""),"3 - DESCARGA")</f>
        <v>3 - DESCARGA</v>
      </c>
      <c r="F281" s="88"/>
      <c r="G281" s="89">
        <f>IFERROR(__xludf.DUMMYFUNCTION("""COMPUTED_VALUE"""),4.009661E7)</f>
        <v>40096610</v>
      </c>
      <c r="H281" s="87"/>
      <c r="I281" s="87" t="str">
        <f>IFERROR(__xludf.DUMMYFUNCTION("""COMPUTED_VALUE"""),"MATERIAL DESCARREGADO - PROCESSO Nº 1400.01.0026473/2023-01")</f>
        <v>MATERIAL DESCARREGADO - PROCESSO Nº 1400.01.0026473/2023-01</v>
      </c>
    </row>
    <row r="282">
      <c r="A282" s="84">
        <f>IFERROR(__xludf.DUMMYFUNCTION("""COMPUTED_VALUE"""),281.0)</f>
        <v>281</v>
      </c>
      <c r="B282" s="85" t="str">
        <f>IFERROR(__xludf.DUMMYFUNCTION("""COMPUTED_VALUE"""),"CONJUNTO DE APARELHO DE MERGULHO -")</f>
        <v>CONJUNTO DE APARELHO DE MERGULHO -</v>
      </c>
      <c r="C282" s="86">
        <f>IFERROR(__xludf.DUMMYFUNCTION("""COMPUTED_VALUE"""),1.0)</f>
        <v>1</v>
      </c>
      <c r="D282" s="87" t="str">
        <f>IFERROR(__xludf.DUMMYFUNCTION("""COMPUTED_VALUE"""),"SEÇÃO")</f>
        <v>SEÇÃO</v>
      </c>
      <c r="E282" s="87" t="str">
        <f>IFERROR(__xludf.DUMMYFUNCTION("""COMPUTED_VALUE"""),"3 - DESCARGA")</f>
        <v>3 - DESCARGA</v>
      </c>
      <c r="F282" s="88"/>
      <c r="G282" s="89">
        <f>IFERROR(__xludf.DUMMYFUNCTION("""COMPUTED_VALUE"""),4.0096629E7)</f>
        <v>40096629</v>
      </c>
      <c r="H282" s="87"/>
      <c r="I282" s="87" t="str">
        <f>IFERROR(__xludf.DUMMYFUNCTION("""COMPUTED_VALUE"""),"MATERIAL DESCARREGADO - PROCESSO Nº 1400.01.0026473/2023-01")</f>
        <v>MATERIAL DESCARREGADO - PROCESSO Nº 1400.01.0026473/2023-01</v>
      </c>
    </row>
    <row r="283">
      <c r="A283" s="84">
        <f>IFERROR(__xludf.DUMMYFUNCTION("""COMPUTED_VALUE"""),282.0)</f>
        <v>282</v>
      </c>
      <c r="B283" s="85" t="str">
        <f>IFERROR(__xludf.DUMMYFUNCTION("""COMPUTED_VALUE"""),"CONJUNTO DE BLOCOS E CALCOS -")</f>
        <v>CONJUNTO DE BLOCOS E CALCOS -</v>
      </c>
      <c r="C283" s="86">
        <f>IFERROR(__xludf.DUMMYFUNCTION("""COMPUTED_VALUE"""),1.0)</f>
        <v>1</v>
      </c>
      <c r="D283" s="87"/>
      <c r="E283" s="87" t="str">
        <f>IFERROR(__xludf.DUMMYFUNCTION("""COMPUTED_VALUE"""),"3 - CURVELO")</f>
        <v>3 - CURVELO</v>
      </c>
      <c r="F283" s="88"/>
      <c r="G283" s="89">
        <f>IFERROR(__xludf.DUMMYFUNCTION("""COMPUTED_VALUE"""),4.026601E7)</f>
        <v>40266010</v>
      </c>
      <c r="H283" s="87"/>
      <c r="I283" s="87"/>
    </row>
    <row r="284">
      <c r="A284" s="84">
        <f>IFERROR(__xludf.DUMMYFUNCTION("""COMPUTED_VALUE"""),283.0)</f>
        <v>283</v>
      </c>
      <c r="B284" s="85" t="str">
        <f>IFERROR(__xludf.DUMMYFUNCTION("""COMPUTED_VALUE"""),"CONJUNTO DE ESCORAS PARA SALVAMENTO -")</f>
        <v>CONJUNTO DE ESCORAS PARA SALVAMENTO -</v>
      </c>
      <c r="C284" s="86">
        <f>IFERROR(__xludf.DUMMYFUNCTION("""COMPUTED_VALUE"""),1.0)</f>
        <v>1</v>
      </c>
      <c r="D284" s="87"/>
      <c r="E284" s="87" t="str">
        <f>IFERROR(__xludf.DUMMYFUNCTION("""COMPUTED_VALUE"""),"3 - CURVELO")</f>
        <v>3 - CURVELO</v>
      </c>
      <c r="F284" s="88"/>
      <c r="G284" s="89">
        <f>IFERROR(__xludf.DUMMYFUNCTION("""COMPUTED_VALUE"""),7.668273E7)</f>
        <v>76682730</v>
      </c>
      <c r="H284" s="87"/>
      <c r="I284" s="87"/>
    </row>
    <row r="285">
      <c r="A285" s="84">
        <f>IFERROR(__xludf.DUMMYFUNCTION("""COMPUTED_VALUE"""),284.0)</f>
        <v>284</v>
      </c>
      <c r="B285" s="85" t="str">
        <f>IFERROR(__xludf.DUMMYFUNCTION("""COMPUTED_VALUE"""),"DESFIBRILADOR CARDIACO -")</f>
        <v>DESFIBRILADOR CARDIACO -</v>
      </c>
      <c r="C285" s="86">
        <f>IFERROR(__xludf.DUMMYFUNCTION("""COMPUTED_VALUE"""),1.0)</f>
        <v>1</v>
      </c>
      <c r="D285" s="87" t="str">
        <f>IFERROR(__xludf.DUMMYFUNCTION("""COMPUTED_VALUE"""),"SEÇÃO")</f>
        <v>SEÇÃO</v>
      </c>
      <c r="E285" s="87" t="str">
        <f>IFERROR(__xludf.DUMMYFUNCTION("""COMPUTED_VALUE"""),"3 - CSM")</f>
        <v>3 - CSM</v>
      </c>
      <c r="F285" s="88"/>
      <c r="G285" s="89">
        <f>IFERROR(__xludf.DUMMYFUNCTION("""COMPUTED_VALUE"""),1.3852353E7)</f>
        <v>13852353</v>
      </c>
      <c r="H285" s="87"/>
      <c r="I285" s="87" t="str">
        <f>IFERROR(__xludf.DUMMYFUNCTION("""COMPUTED_VALUE"""),"transferido para o CSM")</f>
        <v>transferido para o CSM</v>
      </c>
    </row>
    <row r="286">
      <c r="A286" s="84">
        <f>IFERROR(__xludf.DUMMYFUNCTION("""COMPUTED_VALUE"""),285.0)</f>
        <v>285</v>
      </c>
      <c r="B286" s="85" t="str">
        <f>IFERROR(__xludf.DUMMYFUNCTION("""COMPUTED_VALUE"""),"DESFIBRILADOR CARDIACO -")</f>
        <v>DESFIBRILADOR CARDIACO -</v>
      </c>
      <c r="C286" s="86">
        <f>IFERROR(__xludf.DUMMYFUNCTION("""COMPUTED_VALUE"""),1.0)</f>
        <v>1</v>
      </c>
      <c r="D286" s="87" t="str">
        <f>IFERROR(__xludf.DUMMYFUNCTION("""COMPUTED_VALUE"""),"SEÇÃO")</f>
        <v>SEÇÃO</v>
      </c>
      <c r="E286" s="87" t="str">
        <f>IFERROR(__xludf.DUMMYFUNCTION("""COMPUTED_VALUE"""),"3 - CSM")</f>
        <v>3 - CSM</v>
      </c>
      <c r="F286" s="88"/>
      <c r="G286" s="89">
        <f>IFERROR(__xludf.DUMMYFUNCTION("""COMPUTED_VALUE"""),1.3888838E7)</f>
        <v>13888838</v>
      </c>
      <c r="H286" s="87"/>
      <c r="I286" s="87" t="str">
        <f>IFERROR(__xludf.DUMMYFUNCTION("""COMPUTED_VALUE"""),"transferido para o CSM")</f>
        <v>transferido para o CSM</v>
      </c>
    </row>
    <row r="287">
      <c r="A287" s="84">
        <f>IFERROR(__xludf.DUMMYFUNCTION("""COMPUTED_VALUE"""),286.0)</f>
        <v>286</v>
      </c>
      <c r="B287" s="85" t="str">
        <f>IFERROR(__xludf.DUMMYFUNCTION("""COMPUTED_VALUE"""),"DESFIBRILADOR CARDIACO -")</f>
        <v>DESFIBRILADOR CARDIACO -</v>
      </c>
      <c r="C287" s="86">
        <f>IFERROR(__xludf.DUMMYFUNCTION("""COMPUTED_VALUE"""),1.0)</f>
        <v>1</v>
      </c>
      <c r="D287" s="87"/>
      <c r="E287" s="87" t="str">
        <f>IFERROR(__xludf.DUMMYFUNCTION("""COMPUTED_VALUE"""),"3 - CURVELO")</f>
        <v>3 - CURVELO</v>
      </c>
      <c r="F287" s="88"/>
      <c r="G287" s="89">
        <f>IFERROR(__xludf.DUMMYFUNCTION("""COMPUTED_VALUE"""),1.3888846E7)</f>
        <v>13888846</v>
      </c>
      <c r="H287" s="87"/>
      <c r="I287" s="87"/>
    </row>
    <row r="288">
      <c r="A288" s="84">
        <f>IFERROR(__xludf.DUMMYFUNCTION("""COMPUTED_VALUE"""),287.0)</f>
        <v>287</v>
      </c>
      <c r="B288" s="85" t="str">
        <f>IFERROR(__xludf.DUMMYFUNCTION("""COMPUTED_VALUE"""),"DESFIBRILADOR CARDIACO -")</f>
        <v>DESFIBRILADOR CARDIACO -</v>
      </c>
      <c r="C288" s="86">
        <f>IFERROR(__xludf.DUMMYFUNCTION("""COMPUTED_VALUE"""),1.0)</f>
        <v>1</v>
      </c>
      <c r="D288" s="87" t="str">
        <f>IFERROR(__xludf.DUMMYFUNCTION("""COMPUTED_VALUE"""),"SEÇÃO")</f>
        <v>SEÇÃO</v>
      </c>
      <c r="E288" s="87" t="str">
        <f>IFERROR(__xludf.DUMMYFUNCTION("""COMPUTED_VALUE"""),"3 - CSM")</f>
        <v>3 - CSM</v>
      </c>
      <c r="F288" s="88"/>
      <c r="G288" s="89">
        <f>IFERROR(__xludf.DUMMYFUNCTION("""COMPUTED_VALUE"""),1.419927E7)</f>
        <v>14199270</v>
      </c>
      <c r="H288" s="87"/>
      <c r="I288" s="87" t="str">
        <f>IFERROR(__xludf.DUMMYFUNCTION("""COMPUTED_VALUE"""),"transferido para o CSM")</f>
        <v>transferido para o CSM</v>
      </c>
    </row>
    <row r="289">
      <c r="A289" s="84">
        <f>IFERROR(__xludf.DUMMYFUNCTION("""COMPUTED_VALUE"""),288.0)</f>
        <v>288</v>
      </c>
      <c r="B289" s="85" t="str">
        <f>IFERROR(__xludf.DUMMYFUNCTION("""COMPUTED_VALUE"""),"DESFIBRILADOR CARDIACO -")</f>
        <v>DESFIBRILADOR CARDIACO -</v>
      </c>
      <c r="C289" s="86">
        <f>IFERROR(__xludf.DUMMYFUNCTION("""COMPUTED_VALUE"""),1.0)</f>
        <v>1</v>
      </c>
      <c r="D289" s="87" t="str">
        <f>IFERROR(__xludf.DUMMYFUNCTION("""COMPUTED_VALUE"""),"VIATURA")</f>
        <v>VIATURA</v>
      </c>
      <c r="E289" s="87" t="str">
        <f>IFERROR(__xludf.DUMMYFUNCTION("""COMPUTED_VALUE"""),"3 - CURVELO")</f>
        <v>3 - CURVELO</v>
      </c>
      <c r="F289" s="88"/>
      <c r="G289" s="89">
        <f>IFERROR(__xludf.DUMMYFUNCTION("""COMPUTED_VALUE"""),7.6730581E7)</f>
        <v>76730581</v>
      </c>
      <c r="H289" s="87"/>
      <c r="I289" s="87" t="str">
        <f>IFERROR(__xludf.DUMMYFUNCTION("""COMPUTED_VALUE"""),"APV-1347")</f>
        <v>APV-1347</v>
      </c>
    </row>
    <row r="290">
      <c r="A290" s="84">
        <f>IFERROR(__xludf.DUMMYFUNCTION("""COMPUTED_VALUE"""),289.0)</f>
        <v>289</v>
      </c>
      <c r="B290" s="85" t="str">
        <f>IFERROR(__xludf.DUMMYFUNCTION("""COMPUTED_VALUE"""),"DESFIBRILADOR CARDIACO -")</f>
        <v>DESFIBRILADOR CARDIACO -</v>
      </c>
      <c r="C290" s="86">
        <f>IFERROR(__xludf.DUMMYFUNCTION("""COMPUTED_VALUE"""),1.0)</f>
        <v>1</v>
      </c>
      <c r="D290" s="87" t="str">
        <f>IFERROR(__xludf.DUMMYFUNCTION("""COMPUTED_VALUE"""),"SEÇÃO")</f>
        <v>SEÇÃO</v>
      </c>
      <c r="E290" s="87" t="str">
        <f>IFERROR(__xludf.DUMMYFUNCTION("""COMPUTED_VALUE"""),"3 - CURVELO")</f>
        <v>3 - CURVELO</v>
      </c>
      <c r="F290" s="88"/>
      <c r="G290" s="89">
        <f>IFERROR(__xludf.DUMMYFUNCTION("""COMPUTED_VALUE"""),7.673059E7)</f>
        <v>76730590</v>
      </c>
      <c r="H290" s="87"/>
      <c r="I290" s="87" t="str">
        <f>IFERROR(__xludf.DUMMYFUNCTION("""COMPUTED_VALUE"""),"B4")</f>
        <v>B4</v>
      </c>
    </row>
    <row r="291">
      <c r="A291" s="84">
        <f>IFERROR(__xludf.DUMMYFUNCTION("""COMPUTED_VALUE"""),290.0)</f>
        <v>290</v>
      </c>
      <c r="B291" s="85" t="str">
        <f>IFERROR(__xludf.DUMMYFUNCTION("""COMPUTED_VALUE"""),"DESFIBRILADOR CARDIACO -")</f>
        <v>DESFIBRILADOR CARDIACO -</v>
      </c>
      <c r="C291" s="86">
        <f>IFERROR(__xludf.DUMMYFUNCTION("""COMPUTED_VALUE"""),1.0)</f>
        <v>1</v>
      </c>
      <c r="D291" s="87" t="str">
        <f>IFERROR(__xludf.DUMMYFUNCTION("""COMPUTED_VALUE"""),"SEÇÃO")</f>
        <v>SEÇÃO</v>
      </c>
      <c r="E291" s="87" t="str">
        <f>IFERROR(__xludf.DUMMYFUNCTION("""COMPUTED_VALUE"""),"3 - CURVELO")</f>
        <v>3 - CURVELO</v>
      </c>
      <c r="F291" s="88"/>
      <c r="G291" s="89">
        <f>IFERROR(__xludf.DUMMYFUNCTION("""COMPUTED_VALUE"""),7.6730603E7)</f>
        <v>76730603</v>
      </c>
      <c r="H291" s="87"/>
      <c r="I291" s="87" t="str">
        <f>IFERROR(__xludf.DUMMYFUNCTION("""COMPUTED_VALUE"""),"B4")</f>
        <v>B4</v>
      </c>
    </row>
    <row r="292">
      <c r="A292" s="84">
        <f>IFERROR(__xludf.DUMMYFUNCTION("""COMPUTED_VALUE"""),291.0)</f>
        <v>291</v>
      </c>
      <c r="B292" s="85" t="str">
        <f>IFERROR(__xludf.DUMMYFUNCTION("""COMPUTED_VALUE"""),"DESFIBRILADOR CARDIACO -")</f>
        <v>DESFIBRILADOR CARDIACO -</v>
      </c>
      <c r="C292" s="86">
        <f>IFERROR(__xludf.DUMMYFUNCTION("""COMPUTED_VALUE"""),1.0)</f>
        <v>1</v>
      </c>
      <c r="D292" s="87" t="str">
        <f>IFERROR(__xludf.DUMMYFUNCTION("""COMPUTED_VALUE"""),"SEÇÃO")</f>
        <v>SEÇÃO</v>
      </c>
      <c r="E292" s="87" t="str">
        <f>IFERROR(__xludf.DUMMYFUNCTION("""COMPUTED_VALUE"""),"3 - CURVELO")</f>
        <v>3 - CURVELO</v>
      </c>
      <c r="F292" s="88"/>
      <c r="G292" s="89">
        <f>IFERROR(__xludf.DUMMYFUNCTION("""COMPUTED_VALUE"""),7.6730611E7)</f>
        <v>76730611</v>
      </c>
      <c r="H292" s="87"/>
      <c r="I292" s="87" t="str">
        <f>IFERROR(__xludf.DUMMYFUNCTION("""COMPUTED_VALUE"""),"B4")</f>
        <v>B4</v>
      </c>
    </row>
    <row r="293">
      <c r="A293" s="84">
        <f>IFERROR(__xludf.DUMMYFUNCTION("""COMPUTED_VALUE"""),292.0)</f>
        <v>292</v>
      </c>
      <c r="B293" s="85" t="str">
        <f>IFERROR(__xludf.DUMMYFUNCTION("""COMPUTED_VALUE"""),"DESFIBRILADOR CARDIACO -")</f>
        <v>DESFIBRILADOR CARDIACO -</v>
      </c>
      <c r="C293" s="86">
        <f>IFERROR(__xludf.DUMMYFUNCTION("""COMPUTED_VALUE"""),1.0)</f>
        <v>1</v>
      </c>
      <c r="D293" s="87" t="str">
        <f>IFERROR(__xludf.DUMMYFUNCTION("""COMPUTED_VALUE"""),"SEÇÃO")</f>
        <v>SEÇÃO</v>
      </c>
      <c r="E293" s="87" t="str">
        <f>IFERROR(__xludf.DUMMYFUNCTION("""COMPUTED_VALUE"""),"3 - CURVELO")</f>
        <v>3 - CURVELO</v>
      </c>
      <c r="F293" s="88"/>
      <c r="G293" s="89">
        <f>IFERROR(__xludf.DUMMYFUNCTION("""COMPUTED_VALUE"""),7.673062E7)</f>
        <v>76730620</v>
      </c>
      <c r="H293" s="87"/>
      <c r="I293" s="87" t="str">
        <f>IFERROR(__xludf.DUMMYFUNCTION("""COMPUTED_VALUE"""),"B4")</f>
        <v>B4</v>
      </c>
    </row>
    <row r="294">
      <c r="A294" s="84">
        <f>IFERROR(__xludf.DUMMYFUNCTION("""COMPUTED_VALUE"""),293.0)</f>
        <v>293</v>
      </c>
      <c r="B294" s="85" t="str">
        <f>IFERROR(__xludf.DUMMYFUNCTION("""COMPUTED_VALUE"""),"DESFIBRILADOR CARDIACO -")</f>
        <v>DESFIBRILADOR CARDIACO -</v>
      </c>
      <c r="C294" s="86">
        <f>IFERROR(__xludf.DUMMYFUNCTION("""COMPUTED_VALUE"""),1.0)</f>
        <v>1</v>
      </c>
      <c r="D294" s="87" t="str">
        <f>IFERROR(__xludf.DUMMYFUNCTION("""COMPUTED_VALUE"""),"SEÇÃO")</f>
        <v>SEÇÃO</v>
      </c>
      <c r="E294" s="87" t="str">
        <f>IFERROR(__xludf.DUMMYFUNCTION("""COMPUTED_VALUE"""),"3 - CURVELO")</f>
        <v>3 - CURVELO</v>
      </c>
      <c r="F294" s="88"/>
      <c r="G294" s="89">
        <f>IFERROR(__xludf.DUMMYFUNCTION("""COMPUTED_VALUE"""),7.6730638E7)</f>
        <v>76730638</v>
      </c>
      <c r="H294" s="87"/>
      <c r="I294" s="87" t="str">
        <f>IFERROR(__xludf.DUMMYFUNCTION("""COMPUTED_VALUE"""),"B4")</f>
        <v>B4</v>
      </c>
    </row>
    <row r="295">
      <c r="A295" s="84">
        <f>IFERROR(__xludf.DUMMYFUNCTION("""COMPUTED_VALUE"""),294.0)</f>
        <v>294</v>
      </c>
      <c r="B295" s="85" t="str">
        <f>IFERROR(__xludf.DUMMYFUNCTION("""COMPUTED_VALUE"""),"DESFIBRILADOR CARDIACO -")</f>
        <v>DESFIBRILADOR CARDIACO -</v>
      </c>
      <c r="C295" s="86">
        <f>IFERROR(__xludf.DUMMYFUNCTION("""COMPUTED_VALUE"""),1.0)</f>
        <v>1</v>
      </c>
      <c r="D295" s="87"/>
      <c r="E295" s="87" t="str">
        <f>IFERROR(__xludf.DUMMYFUNCTION("""COMPUTED_VALUE"""),"3 - CURVELO")</f>
        <v>3 - CURVELO</v>
      </c>
      <c r="F295" s="88"/>
      <c r="G295" s="89">
        <f>IFERROR(__xludf.DUMMYFUNCTION("""COMPUTED_VALUE"""),7.6750566E7)</f>
        <v>76750566</v>
      </c>
      <c r="H295" s="87"/>
      <c r="I295" s="87"/>
    </row>
    <row r="296">
      <c r="A296" s="84">
        <f>IFERROR(__xludf.DUMMYFUNCTION("""COMPUTED_VALUE"""),295.0)</f>
        <v>295</v>
      </c>
      <c r="B296" s="85" t="str">
        <f>IFERROR(__xludf.DUMMYFUNCTION("""COMPUTED_VALUE"""),"DESFIBRILADOR CARDIACO -")</f>
        <v>DESFIBRILADOR CARDIACO -</v>
      </c>
      <c r="C296" s="86">
        <f>IFERROR(__xludf.DUMMYFUNCTION("""COMPUTED_VALUE"""),1.0)</f>
        <v>1</v>
      </c>
      <c r="D296" s="87"/>
      <c r="E296" s="87" t="str">
        <f>IFERROR(__xludf.DUMMYFUNCTION("""COMPUTED_VALUE"""),"3 - CURVELO")</f>
        <v>3 - CURVELO</v>
      </c>
      <c r="F296" s="88"/>
      <c r="G296" s="89">
        <f>IFERROR(__xludf.DUMMYFUNCTION("""COMPUTED_VALUE"""),7.6750574E7)</f>
        <v>76750574</v>
      </c>
      <c r="H296" s="87"/>
      <c r="I296" s="87"/>
    </row>
    <row r="297">
      <c r="A297" s="84">
        <f>IFERROR(__xludf.DUMMYFUNCTION("""COMPUTED_VALUE"""),296.0)</f>
        <v>296</v>
      </c>
      <c r="B297" s="85" t="str">
        <f>IFERROR(__xludf.DUMMYFUNCTION("""COMPUTED_VALUE"""),"DESFIBRILADOR CARDIACO -")</f>
        <v>DESFIBRILADOR CARDIACO -</v>
      </c>
      <c r="C297" s="86">
        <f>IFERROR(__xludf.DUMMYFUNCTION("""COMPUTED_VALUE"""),1.0)</f>
        <v>1</v>
      </c>
      <c r="D297" s="87"/>
      <c r="E297" s="87" t="str">
        <f>IFERROR(__xludf.DUMMYFUNCTION("""COMPUTED_VALUE"""),"3 - CURVELO")</f>
        <v>3 - CURVELO</v>
      </c>
      <c r="F297" s="88"/>
      <c r="G297" s="89">
        <f>IFERROR(__xludf.DUMMYFUNCTION("""COMPUTED_VALUE"""),7.675126E7)</f>
        <v>76751260</v>
      </c>
      <c r="H297" s="87"/>
      <c r="I297" s="87"/>
    </row>
    <row r="298">
      <c r="A298" s="84">
        <f>IFERROR(__xludf.DUMMYFUNCTION("""COMPUTED_VALUE"""),297.0)</f>
        <v>297</v>
      </c>
      <c r="B298" s="85" t="str">
        <f>IFERROR(__xludf.DUMMYFUNCTION("""COMPUTED_VALUE"""),"DESFIBRILADOR CARDIACO -")</f>
        <v>DESFIBRILADOR CARDIACO -</v>
      </c>
      <c r="C298" s="86">
        <f>IFERROR(__xludf.DUMMYFUNCTION("""COMPUTED_VALUE"""),1.0)</f>
        <v>1</v>
      </c>
      <c r="D298" s="87"/>
      <c r="E298" s="87" t="str">
        <f>IFERROR(__xludf.DUMMYFUNCTION("""COMPUTED_VALUE"""),"3 - CURVELO")</f>
        <v>3 - CURVELO</v>
      </c>
      <c r="F298" s="88"/>
      <c r="G298" s="89">
        <f>IFERROR(__xludf.DUMMYFUNCTION("""COMPUTED_VALUE"""),7.6751287E7)</f>
        <v>76751287</v>
      </c>
      <c r="H298" s="87"/>
      <c r="I298" s="87"/>
    </row>
    <row r="299">
      <c r="A299" s="84">
        <f>IFERROR(__xludf.DUMMYFUNCTION("""COMPUTED_VALUE"""),298.0)</f>
        <v>298</v>
      </c>
      <c r="B299" s="85" t="str">
        <f>IFERROR(__xludf.DUMMYFUNCTION("""COMPUTED_VALUE"""),"EQUIPAMENTO PARA DETECCAO DE GASES -")</f>
        <v>EQUIPAMENTO PARA DETECCAO DE GASES -</v>
      </c>
      <c r="C299" s="86">
        <f>IFERROR(__xludf.DUMMYFUNCTION("""COMPUTED_VALUE"""),1.0)</f>
        <v>1</v>
      </c>
      <c r="D299" s="87"/>
      <c r="E299" s="87" t="str">
        <f>IFERROR(__xludf.DUMMYFUNCTION("""COMPUTED_VALUE"""),"3 - CURVELO")</f>
        <v>3 - CURVELO</v>
      </c>
      <c r="F299" s="88"/>
      <c r="G299" s="89">
        <f>IFERROR(__xludf.DUMMYFUNCTION("""COMPUTED_VALUE"""),4.0091724E7)</f>
        <v>40091724</v>
      </c>
      <c r="H299" s="87"/>
      <c r="I299" s="87" t="str">
        <f>IFERROR(__xludf.DUMMYFUNCTION("""COMPUTED_VALUE"""),"XT-XWHM-Y-BR 4 GASES - transferido para a 6ª Cia Ind BM")</f>
        <v>XT-XWHM-Y-BR 4 GASES - transferido para a 6ª Cia Ind BM</v>
      </c>
    </row>
    <row r="300">
      <c r="A300" s="84">
        <f>IFERROR(__xludf.DUMMYFUNCTION("""COMPUTED_VALUE"""),299.0)</f>
        <v>299</v>
      </c>
      <c r="B300" s="85" t="str">
        <f>IFERROR(__xludf.DUMMYFUNCTION("""COMPUTED_VALUE"""),"ESCADA PROLONGAVEL PARA ATIVIDADES BOMBEIRO -")</f>
        <v>ESCADA PROLONGAVEL PARA ATIVIDADES BOMBEIRO -</v>
      </c>
      <c r="C300" s="86">
        <f>IFERROR(__xludf.DUMMYFUNCTION("""COMPUTED_VALUE"""),1.0)</f>
        <v>1</v>
      </c>
      <c r="D300" s="87" t="str">
        <f>IFERROR(__xludf.DUMMYFUNCTION("""COMPUTED_VALUE"""),"SEÇÃO")</f>
        <v>SEÇÃO</v>
      </c>
      <c r="E300" s="87" t="str">
        <f>IFERROR(__xludf.DUMMYFUNCTION("""COMPUTED_VALUE"""),"3 - CURVELO")</f>
        <v>3 - CURVELO</v>
      </c>
      <c r="F300" s="88"/>
      <c r="G300" s="89">
        <f>IFERROR(__xludf.DUMMYFUNCTION("""COMPUTED_VALUE"""),1.395816E7)</f>
        <v>13958160</v>
      </c>
      <c r="H300" s="87"/>
      <c r="I300" s="87"/>
    </row>
    <row r="301">
      <c r="A301" s="84">
        <f>IFERROR(__xludf.DUMMYFUNCTION("""COMPUTED_VALUE"""),300.0)</f>
        <v>300</v>
      </c>
      <c r="B301" s="85" t="str">
        <f>IFERROR(__xludf.DUMMYFUNCTION("""COMPUTED_VALUE"""),"ESCADA PROLONGAVEL PARA ATIVIDADES BOMBEIRO -")</f>
        <v>ESCADA PROLONGAVEL PARA ATIVIDADES BOMBEIRO -</v>
      </c>
      <c r="C301" s="86">
        <f>IFERROR(__xludf.DUMMYFUNCTION("""COMPUTED_VALUE"""),1.0)</f>
        <v>1</v>
      </c>
      <c r="D301" s="87" t="str">
        <f>IFERROR(__xludf.DUMMYFUNCTION("""COMPUTED_VALUE"""),"SEÇÃO")</f>
        <v>SEÇÃO</v>
      </c>
      <c r="E301" s="87" t="str">
        <f>IFERROR(__xludf.DUMMYFUNCTION("""COMPUTED_VALUE"""),"3 - CURVELO")</f>
        <v>3 - CURVELO</v>
      </c>
      <c r="F301" s="88"/>
      <c r="G301" s="89">
        <f>IFERROR(__xludf.DUMMYFUNCTION("""COMPUTED_VALUE"""),1.3964968E7)</f>
        <v>13964968</v>
      </c>
      <c r="H301" s="87"/>
      <c r="I301" s="87"/>
    </row>
    <row r="302">
      <c r="A302" s="84">
        <f>IFERROR(__xludf.DUMMYFUNCTION("""COMPUTED_VALUE"""),301.0)</f>
        <v>301</v>
      </c>
      <c r="B302" s="85" t="str">
        <f>IFERROR(__xludf.DUMMYFUNCTION("""COMPUTED_VALUE"""),"ESCADA PROLONGAVEL PARA ATIVIDADES BOMBEIRO -")</f>
        <v>ESCADA PROLONGAVEL PARA ATIVIDADES BOMBEIRO -</v>
      </c>
      <c r="C302" s="86">
        <f>IFERROR(__xludf.DUMMYFUNCTION("""COMPUTED_VALUE"""),1.0)</f>
        <v>1</v>
      </c>
      <c r="D302" s="87" t="str">
        <f>IFERROR(__xludf.DUMMYFUNCTION("""COMPUTED_VALUE"""),"SEÇÃO")</f>
        <v>SEÇÃO</v>
      </c>
      <c r="E302" s="87" t="str">
        <f>IFERROR(__xludf.DUMMYFUNCTION("""COMPUTED_VALUE"""),"3 - CURVELO")</f>
        <v>3 - CURVELO</v>
      </c>
      <c r="F302" s="88"/>
      <c r="G302" s="89">
        <f>IFERROR(__xludf.DUMMYFUNCTION("""COMPUTED_VALUE"""),1.3965018E7)</f>
        <v>13965018</v>
      </c>
      <c r="H302" s="87"/>
      <c r="I302" s="87"/>
    </row>
    <row r="303">
      <c r="A303" s="84">
        <f>IFERROR(__xludf.DUMMYFUNCTION("""COMPUTED_VALUE"""),302.0)</f>
        <v>302</v>
      </c>
      <c r="B303" s="85" t="str">
        <f>IFERROR(__xludf.DUMMYFUNCTION("""COMPUTED_VALUE"""),"ESCADA PROLONGAVEL PARA ATIVIDADES BOMBEIRO -")</f>
        <v>ESCADA PROLONGAVEL PARA ATIVIDADES BOMBEIRO -</v>
      </c>
      <c r="C303" s="86">
        <f>IFERROR(__xludf.DUMMYFUNCTION("""COMPUTED_VALUE"""),1.0)</f>
        <v>1</v>
      </c>
      <c r="D303" s="87" t="str">
        <f>IFERROR(__xludf.DUMMYFUNCTION("""COMPUTED_VALUE"""),"SEÇÃO")</f>
        <v>SEÇÃO</v>
      </c>
      <c r="E303" s="87" t="str">
        <f>IFERROR(__xludf.DUMMYFUNCTION("""COMPUTED_VALUE"""),"3 - CURVELO")</f>
        <v>3 - CURVELO</v>
      </c>
      <c r="F303" s="88"/>
      <c r="G303" s="89">
        <f>IFERROR(__xludf.DUMMYFUNCTION("""COMPUTED_VALUE"""),7.6737977E7)</f>
        <v>76737977</v>
      </c>
      <c r="H303" s="87"/>
      <c r="I303" s="87"/>
    </row>
    <row r="304">
      <c r="A304" s="84">
        <f>IFERROR(__xludf.DUMMYFUNCTION("""COMPUTED_VALUE"""),303.0)</f>
        <v>303</v>
      </c>
      <c r="B304" s="85" t="str">
        <f>IFERROR(__xludf.DUMMYFUNCTION("""COMPUTED_VALUE"""),"ESCADAS DE INCENDIO, PORTATEIS -")</f>
        <v>ESCADAS DE INCENDIO, PORTATEIS -</v>
      </c>
      <c r="C304" s="86">
        <f>IFERROR(__xludf.DUMMYFUNCTION("""COMPUTED_VALUE"""),1.0)</f>
        <v>1</v>
      </c>
      <c r="D304" s="87" t="str">
        <f>IFERROR(__xludf.DUMMYFUNCTION("""COMPUTED_VALUE"""),"SEÇÃO")</f>
        <v>SEÇÃO</v>
      </c>
      <c r="E304" s="87" t="str">
        <f>IFERROR(__xludf.DUMMYFUNCTION("""COMPUTED_VALUE"""),"3 - CURVELO")</f>
        <v>3 - CURVELO</v>
      </c>
      <c r="F304" s="88"/>
      <c r="G304" s="89">
        <f>IFERROR(__xludf.DUMMYFUNCTION("""COMPUTED_VALUE"""),1.3970224E7)</f>
        <v>13970224</v>
      </c>
      <c r="H304" s="87"/>
      <c r="I304" s="87"/>
    </row>
    <row r="305">
      <c r="A305" s="84">
        <f>IFERROR(__xludf.DUMMYFUNCTION("""COMPUTED_VALUE"""),304.0)</f>
        <v>304</v>
      </c>
      <c r="B305" s="85" t="str">
        <f>IFERROR(__xludf.DUMMYFUNCTION("""COMPUTED_VALUE"""),"ESFIGMOMANOMETRO -")</f>
        <v>ESFIGMOMANOMETRO -</v>
      </c>
      <c r="C305" s="86">
        <f>IFERROR(__xludf.DUMMYFUNCTION("""COMPUTED_VALUE"""),1.0)</f>
        <v>1</v>
      </c>
      <c r="D305" s="87" t="str">
        <f>IFERROR(__xludf.DUMMYFUNCTION("""COMPUTED_VALUE"""),"SEÇÃO")</f>
        <v>SEÇÃO</v>
      </c>
      <c r="E305" s="87" t="str">
        <f>IFERROR(__xludf.DUMMYFUNCTION("""COMPUTED_VALUE"""),"3 - DESCARGA")</f>
        <v>3 - DESCARGA</v>
      </c>
      <c r="F305" s="88"/>
      <c r="G305" s="89">
        <f>IFERROR(__xludf.DUMMYFUNCTION("""COMPUTED_VALUE"""),4.0370097E7)</f>
        <v>40370097</v>
      </c>
      <c r="H305" s="87" t="str">
        <f>IFERROR(__xludf.DUMMYFUNCTION("""COMPUTED_VALUE"""),"ok")</f>
        <v>ok</v>
      </c>
      <c r="I305" s="87" t="str">
        <f>IFERROR(__xludf.DUMMYFUNCTION("""COMPUTED_VALUE"""),"MATERIAL DESCARREGADO - PROCESSO Nº 1400.01.0026473/2023-01")</f>
        <v>MATERIAL DESCARREGADO - PROCESSO Nº 1400.01.0026473/2023-01</v>
      </c>
    </row>
    <row r="306">
      <c r="A306" s="84">
        <f>IFERROR(__xludf.DUMMYFUNCTION("""COMPUTED_VALUE"""),305.0)</f>
        <v>305</v>
      </c>
      <c r="B306" s="85" t="str">
        <f>IFERROR(__xludf.DUMMYFUNCTION("""COMPUTED_VALUE"""),"ESFIGMOMANOMETRO -")</f>
        <v>ESFIGMOMANOMETRO -</v>
      </c>
      <c r="C306" s="86">
        <f>IFERROR(__xludf.DUMMYFUNCTION("""COMPUTED_VALUE"""),1.0)</f>
        <v>1</v>
      </c>
      <c r="D306" s="87" t="str">
        <f>IFERROR(__xludf.DUMMYFUNCTION("""COMPUTED_VALUE"""),"SEÇÃO")</f>
        <v>SEÇÃO</v>
      </c>
      <c r="E306" s="87" t="str">
        <f>IFERROR(__xludf.DUMMYFUNCTION("""COMPUTED_VALUE"""),"3 - DESCARGA")</f>
        <v>3 - DESCARGA</v>
      </c>
      <c r="F306" s="88"/>
      <c r="G306" s="89">
        <f>IFERROR(__xludf.DUMMYFUNCTION("""COMPUTED_VALUE"""),7.6744183E7)</f>
        <v>76744183</v>
      </c>
      <c r="H306" s="87" t="str">
        <f>IFERROR(__xludf.DUMMYFUNCTION("""COMPUTED_VALUE"""),"ok")</f>
        <v>ok</v>
      </c>
      <c r="I306" s="87" t="str">
        <f>IFERROR(__xludf.DUMMYFUNCTION("""COMPUTED_VALUE"""),"MATERIAL DESCARREGADO - PROCESSO Nº 1400.01.0026473/2023-01")</f>
        <v>MATERIAL DESCARREGADO - PROCESSO Nº 1400.01.0026473/2023-01</v>
      </c>
    </row>
    <row r="307">
      <c r="A307" s="84">
        <f>IFERROR(__xludf.DUMMYFUNCTION("""COMPUTED_VALUE"""),306.0)</f>
        <v>306</v>
      </c>
      <c r="B307" s="85" t="str">
        <f>IFERROR(__xludf.DUMMYFUNCTION("""COMPUTED_VALUE"""),"ESGUICHO PARA MANGUEIRA COMBATE A INCENDIO -")</f>
        <v>ESGUICHO PARA MANGUEIRA COMBATE A INCENDIO -</v>
      </c>
      <c r="C307" s="86">
        <f>IFERROR(__xludf.DUMMYFUNCTION("""COMPUTED_VALUE"""),1.0)</f>
        <v>1</v>
      </c>
      <c r="D307" s="87"/>
      <c r="E307" s="87" t="str">
        <f>IFERROR(__xludf.DUMMYFUNCTION("""COMPUTED_VALUE"""),"3 - DESCARGA")</f>
        <v>3 - DESCARGA</v>
      </c>
      <c r="F307" s="88"/>
      <c r="G307" s="89">
        <f>IFERROR(__xludf.DUMMYFUNCTION("""COMPUTED_VALUE"""),4.0164705E7)</f>
        <v>40164705</v>
      </c>
      <c r="H307" s="87"/>
      <c r="I307" s="87" t="str">
        <f>IFERROR(__xludf.DUMMYFUNCTION("""COMPUTED_VALUE"""),"MATERIAL DESCARREGADO - PROCESSO Nº 1400.01.0026473/2023-01")</f>
        <v>MATERIAL DESCARREGADO - PROCESSO Nº 1400.01.0026473/2023-01</v>
      </c>
    </row>
    <row r="308">
      <c r="A308" s="84">
        <f>IFERROR(__xludf.DUMMYFUNCTION("""COMPUTED_VALUE"""),307.0)</f>
        <v>307</v>
      </c>
      <c r="B308" s="85" t="str">
        <f>IFERROR(__xludf.DUMMYFUNCTION("""COMPUTED_VALUE"""),"ESMERILHADEIRA -")</f>
        <v>ESMERILHADEIRA -</v>
      </c>
      <c r="C308" s="86">
        <f>IFERROR(__xludf.DUMMYFUNCTION("""COMPUTED_VALUE"""),1.0)</f>
        <v>1</v>
      </c>
      <c r="D308" s="87"/>
      <c r="E308" s="87" t="str">
        <f>IFERROR(__xludf.DUMMYFUNCTION("""COMPUTED_VALUE"""),"3 - CURVELO")</f>
        <v>3 - CURVELO</v>
      </c>
      <c r="F308" s="88"/>
      <c r="G308" s="89">
        <f>IFERROR(__xludf.DUMMYFUNCTION("""COMPUTED_VALUE"""),7.6705056E7)</f>
        <v>76705056</v>
      </c>
      <c r="H308" s="87"/>
      <c r="I308" s="87"/>
    </row>
    <row r="309">
      <c r="A309" s="84">
        <f>IFERROR(__xludf.DUMMYFUNCTION("""COMPUTED_VALUE"""),308.0)</f>
        <v>308</v>
      </c>
      <c r="B309" s="85" t="str">
        <f>IFERROR(__xludf.DUMMYFUNCTION("""COMPUTED_VALUE"""),"ESTABILIZADOR ELETRONICO -")</f>
        <v>ESTABILIZADOR ELETRONICO -</v>
      </c>
      <c r="C309" s="86">
        <f>IFERROR(__xludf.DUMMYFUNCTION("""COMPUTED_VALUE"""),1.0)</f>
        <v>1</v>
      </c>
      <c r="D309" s="87" t="str">
        <f>IFERROR(__xludf.DUMMYFUNCTION("""COMPUTED_VALUE"""),"SEÇÃO")</f>
        <v>SEÇÃO</v>
      </c>
      <c r="E309" s="87" t="str">
        <f>IFERROR(__xludf.DUMMYFUNCTION("""COMPUTED_VALUE"""),"3 - DESCARGA")</f>
        <v>3 - DESCARGA</v>
      </c>
      <c r="F309" s="88"/>
      <c r="G309" s="89">
        <f>IFERROR(__xludf.DUMMYFUNCTION("""COMPUTED_VALUE"""),1.5069176E7)</f>
        <v>15069176</v>
      </c>
      <c r="H309" s="87"/>
      <c r="I309" s="87" t="str">
        <f>IFERROR(__xludf.DUMMYFUNCTION("""COMPUTED_VALUE"""),"MATERIAL DESCARREGADO - PROCESSO Nº 1400.01.0026473/2023-01")</f>
        <v>MATERIAL DESCARREGADO - PROCESSO Nº 1400.01.0026473/2023-01</v>
      </c>
    </row>
    <row r="310">
      <c r="A310" s="84">
        <f>IFERROR(__xludf.DUMMYFUNCTION("""COMPUTED_VALUE"""),309.0)</f>
        <v>309</v>
      </c>
      <c r="B310" s="85" t="str">
        <f>IFERROR(__xludf.DUMMYFUNCTION("""COMPUTED_VALUE"""),"ESTABILIZADOR ELETRONICO DE TENSAO -")</f>
        <v>ESTABILIZADOR ELETRONICO DE TENSAO -</v>
      </c>
      <c r="C310" s="86">
        <f>IFERROR(__xludf.DUMMYFUNCTION("""COMPUTED_VALUE"""),1.0)</f>
        <v>1</v>
      </c>
      <c r="D310" s="87"/>
      <c r="E310" s="87" t="str">
        <f>IFERROR(__xludf.DUMMYFUNCTION("""COMPUTED_VALUE"""),"3 - DESCARGA")</f>
        <v>3 - DESCARGA</v>
      </c>
      <c r="F310" s="88"/>
      <c r="G310" s="89">
        <f>IFERROR(__xludf.DUMMYFUNCTION("""COMPUTED_VALUE"""),4.0088219E7)</f>
        <v>40088219</v>
      </c>
      <c r="H310" s="87"/>
      <c r="I310" s="87" t="str">
        <f>IFERROR(__xludf.DUMMYFUNCTION("""COMPUTED_VALUE"""),"MATERIAL DESCARREGADO - PROCESSO Nº 1400.01.0026473/2023-01")</f>
        <v>MATERIAL DESCARREGADO - PROCESSO Nº 1400.01.0026473/2023-01</v>
      </c>
    </row>
    <row r="311">
      <c r="A311" s="84">
        <f>IFERROR(__xludf.DUMMYFUNCTION("""COMPUTED_VALUE"""),310.0)</f>
        <v>310</v>
      </c>
      <c r="B311" s="85" t="str">
        <f>IFERROR(__xludf.DUMMYFUNCTION("""COMPUTED_VALUE"""),"ESTABILIZADOR ELETRONICO DE TENSAO -")</f>
        <v>ESTABILIZADOR ELETRONICO DE TENSAO -</v>
      </c>
      <c r="C311" s="86">
        <f>IFERROR(__xludf.DUMMYFUNCTION("""COMPUTED_VALUE"""),1.0)</f>
        <v>1</v>
      </c>
      <c r="D311" s="87"/>
      <c r="E311" s="87" t="str">
        <f>IFERROR(__xludf.DUMMYFUNCTION("""COMPUTED_VALUE"""),"3 - DESCARGA")</f>
        <v>3 - DESCARGA</v>
      </c>
      <c r="F311" s="88"/>
      <c r="G311" s="89">
        <f>IFERROR(__xludf.DUMMYFUNCTION("""COMPUTED_VALUE"""),4.0088308E7)</f>
        <v>40088308</v>
      </c>
      <c r="H311" s="87"/>
      <c r="I311" s="87" t="str">
        <f>IFERROR(__xludf.DUMMYFUNCTION("""COMPUTED_VALUE"""),"MATERIAL DESCARREGADO - PROCESSO Nº 1400.01.0026473/2023-01")</f>
        <v>MATERIAL DESCARREGADO - PROCESSO Nº 1400.01.0026473/2023-01</v>
      </c>
    </row>
    <row r="312">
      <c r="A312" s="84">
        <f>IFERROR(__xludf.DUMMYFUNCTION("""COMPUTED_VALUE"""),311.0)</f>
        <v>311</v>
      </c>
      <c r="B312" s="85" t="str">
        <f>IFERROR(__xludf.DUMMYFUNCTION("""COMPUTED_VALUE"""),"ESTABILIZADOR ELETRONICO DE TENSAO -")</f>
        <v>ESTABILIZADOR ELETRONICO DE TENSAO -</v>
      </c>
      <c r="C312" s="86">
        <f>IFERROR(__xludf.DUMMYFUNCTION("""COMPUTED_VALUE"""),1.0)</f>
        <v>1</v>
      </c>
      <c r="D312" s="87"/>
      <c r="E312" s="87" t="str">
        <f>IFERROR(__xludf.DUMMYFUNCTION("""COMPUTED_VALUE"""),"3 - DESCARGA")</f>
        <v>3 - DESCARGA</v>
      </c>
      <c r="F312" s="88"/>
      <c r="G312" s="89">
        <f>IFERROR(__xludf.DUMMYFUNCTION("""COMPUTED_VALUE"""),4.0088332E7)</f>
        <v>40088332</v>
      </c>
      <c r="H312" s="87"/>
      <c r="I312" s="87" t="str">
        <f>IFERROR(__xludf.DUMMYFUNCTION("""COMPUTED_VALUE"""),"MATERIAL DESCARREGADO - PROCESSO Nº 1400.01.0026473/2023-01")</f>
        <v>MATERIAL DESCARREGADO - PROCESSO Nº 1400.01.0026473/2023-01</v>
      </c>
    </row>
    <row r="313">
      <c r="A313" s="84">
        <f>IFERROR(__xludf.DUMMYFUNCTION("""COMPUTED_VALUE"""),312.0)</f>
        <v>312</v>
      </c>
      <c r="B313" s="85" t="str">
        <f>IFERROR(__xludf.DUMMYFUNCTION("""COMPUTED_VALUE"""),"ESTABILIZADOR ELETRONICO DE TENSAO -")</f>
        <v>ESTABILIZADOR ELETRONICO DE TENSAO -</v>
      </c>
      <c r="C313" s="86">
        <f>IFERROR(__xludf.DUMMYFUNCTION("""COMPUTED_VALUE"""),1.0)</f>
        <v>1</v>
      </c>
      <c r="D313" s="87"/>
      <c r="E313" s="87" t="str">
        <f>IFERROR(__xludf.DUMMYFUNCTION("""COMPUTED_VALUE"""),"3 - DESCARGA")</f>
        <v>3 - DESCARGA</v>
      </c>
      <c r="F313" s="88"/>
      <c r="G313" s="89">
        <f>IFERROR(__xludf.DUMMYFUNCTION("""COMPUTED_VALUE"""),4.0088456E7)</f>
        <v>40088456</v>
      </c>
      <c r="H313" s="87"/>
      <c r="I313" s="87" t="str">
        <f>IFERROR(__xludf.DUMMYFUNCTION("""COMPUTED_VALUE"""),"MATERIAL DESCARREGADO - PROCESSO Nº 1400.01.0026473/2023-01")</f>
        <v>MATERIAL DESCARREGADO - PROCESSO Nº 1400.01.0026473/2023-01</v>
      </c>
    </row>
    <row r="314">
      <c r="A314" s="84">
        <f>IFERROR(__xludf.DUMMYFUNCTION("""COMPUTED_VALUE"""),313.0)</f>
        <v>313</v>
      </c>
      <c r="B314" s="85" t="str">
        <f>IFERROR(__xludf.DUMMYFUNCTION("""COMPUTED_VALUE"""),"ESTABILIZADOR ELETRONICO DE TENSAO -")</f>
        <v>ESTABILIZADOR ELETRONICO DE TENSAO -</v>
      </c>
      <c r="C314" s="86">
        <f>IFERROR(__xludf.DUMMYFUNCTION("""COMPUTED_VALUE"""),1.0)</f>
        <v>1</v>
      </c>
      <c r="D314" s="87" t="str">
        <f>IFERROR(__xludf.DUMMYFUNCTION("""COMPUTED_VALUE"""),"SEÇÃO")</f>
        <v>SEÇÃO</v>
      </c>
      <c r="E314" s="87" t="str">
        <f>IFERROR(__xludf.DUMMYFUNCTION("""COMPUTED_VALUE"""),"3 - DESCARGA")</f>
        <v>3 - DESCARGA</v>
      </c>
      <c r="F314" s="88"/>
      <c r="G314" s="89">
        <f>IFERROR(__xludf.DUMMYFUNCTION("""COMPUTED_VALUE"""),4.035886E7)</f>
        <v>40358860</v>
      </c>
      <c r="H314" s="87"/>
      <c r="I314" s="87" t="str">
        <f>IFERROR(__xludf.DUMMYFUNCTION("""COMPUTED_VALUE"""),"MATERIAL DESCARREGADO - PROCESSO Nº 1400.01.0026473/2023-01")</f>
        <v>MATERIAL DESCARREGADO - PROCESSO Nº 1400.01.0026473/2023-01</v>
      </c>
    </row>
    <row r="315">
      <c r="A315" s="84">
        <f>IFERROR(__xludf.DUMMYFUNCTION("""COMPUTED_VALUE"""),314.0)</f>
        <v>314</v>
      </c>
      <c r="B315" s="85" t="str">
        <f>IFERROR(__xludf.DUMMYFUNCTION("""COMPUTED_VALUE"""),"ESTABILIZADOR ELETRONICO DE TENSAO -")</f>
        <v>ESTABILIZADOR ELETRONICO DE TENSAO -</v>
      </c>
      <c r="C315" s="86">
        <f>IFERROR(__xludf.DUMMYFUNCTION("""COMPUTED_VALUE"""),1.0)</f>
        <v>1</v>
      </c>
      <c r="D315" s="87" t="str">
        <f>IFERROR(__xludf.DUMMYFUNCTION("""COMPUTED_VALUE"""),"SEÇÃO")</f>
        <v>SEÇÃO</v>
      </c>
      <c r="E315" s="87" t="str">
        <f>IFERROR(__xludf.DUMMYFUNCTION("""COMPUTED_VALUE"""),"3 - DESCARGA")</f>
        <v>3 - DESCARGA</v>
      </c>
      <c r="F315" s="88"/>
      <c r="G315" s="89">
        <f>IFERROR(__xludf.DUMMYFUNCTION("""COMPUTED_VALUE"""),4.0358879E7)</f>
        <v>40358879</v>
      </c>
      <c r="H315" s="87"/>
      <c r="I315" s="87" t="str">
        <f>IFERROR(__xludf.DUMMYFUNCTION("""COMPUTED_VALUE"""),"MATERIAL DESCARREGADO - PROCESSO Nº 1400.01.0026473/2023-01")</f>
        <v>MATERIAL DESCARREGADO - PROCESSO Nº 1400.01.0026473/2023-01</v>
      </c>
    </row>
    <row r="316">
      <c r="A316" s="84">
        <f>IFERROR(__xludf.DUMMYFUNCTION("""COMPUTED_VALUE"""),315.0)</f>
        <v>315</v>
      </c>
      <c r="B316" s="85" t="str">
        <f>IFERROR(__xludf.DUMMYFUNCTION("""COMPUTED_VALUE"""),"ESTABILIZADOR ELETRONICO DE TENSAO -")</f>
        <v>ESTABILIZADOR ELETRONICO DE TENSAO -</v>
      </c>
      <c r="C316" s="86">
        <f>IFERROR(__xludf.DUMMYFUNCTION("""COMPUTED_VALUE"""),1.0)</f>
        <v>1</v>
      </c>
      <c r="D316" s="87" t="str">
        <f>IFERROR(__xludf.DUMMYFUNCTION("""COMPUTED_VALUE"""),"SEÇÃO")</f>
        <v>SEÇÃO</v>
      </c>
      <c r="E316" s="87" t="str">
        <f>IFERROR(__xludf.DUMMYFUNCTION("""COMPUTED_VALUE"""),"3 - DESCARGA")</f>
        <v>3 - DESCARGA</v>
      </c>
      <c r="F316" s="88"/>
      <c r="G316" s="89">
        <f>IFERROR(__xludf.DUMMYFUNCTION("""COMPUTED_VALUE"""),4.0358887E7)</f>
        <v>40358887</v>
      </c>
      <c r="H316" s="87"/>
      <c r="I316" s="87" t="str">
        <f>IFERROR(__xludf.DUMMYFUNCTION("""COMPUTED_VALUE"""),"MATERIAL DESCARREGADO - PROCESSO Nº 1400.01.0026473/2023-01")</f>
        <v>MATERIAL DESCARREGADO - PROCESSO Nº 1400.01.0026473/2023-01</v>
      </c>
    </row>
    <row r="317">
      <c r="A317" s="84">
        <f>IFERROR(__xludf.DUMMYFUNCTION("""COMPUTED_VALUE"""),316.0)</f>
        <v>316</v>
      </c>
      <c r="B317" s="85" t="str">
        <f>IFERROR(__xludf.DUMMYFUNCTION("""COMPUTED_VALUE"""),"ESTABILIZADOR ELETRONICO DE TENSAO -")</f>
        <v>ESTABILIZADOR ELETRONICO DE TENSAO -</v>
      </c>
      <c r="C317" s="86">
        <f>IFERROR(__xludf.DUMMYFUNCTION("""COMPUTED_VALUE"""),1.0)</f>
        <v>1</v>
      </c>
      <c r="D317" s="87"/>
      <c r="E317" s="87" t="str">
        <f>IFERROR(__xludf.DUMMYFUNCTION("""COMPUTED_VALUE"""),"3 - DESCARGA")</f>
        <v>3 - DESCARGA</v>
      </c>
      <c r="F317" s="88"/>
      <c r="G317" s="89">
        <f>IFERROR(__xludf.DUMMYFUNCTION("""COMPUTED_VALUE"""),4.0358895E7)</f>
        <v>40358895</v>
      </c>
      <c r="H317" s="87"/>
      <c r="I317" s="87" t="str">
        <f>IFERROR(__xludf.DUMMYFUNCTION("""COMPUTED_VALUE"""),"MATERIAL DESCARREGADO - PROCESSO Nº 1400.01.0026473/2023-01")</f>
        <v>MATERIAL DESCARREGADO - PROCESSO Nº 1400.01.0026473/2023-01</v>
      </c>
    </row>
    <row r="318">
      <c r="A318" s="84">
        <f>IFERROR(__xludf.DUMMYFUNCTION("""COMPUTED_VALUE"""),317.0)</f>
        <v>317</v>
      </c>
      <c r="B318" s="85" t="str">
        <f>IFERROR(__xludf.DUMMYFUNCTION("""COMPUTED_VALUE"""),"ESTABILIZADOR ELETRONICO DE TENSAO -")</f>
        <v>ESTABILIZADOR ELETRONICO DE TENSAO -</v>
      </c>
      <c r="C318" s="86">
        <f>IFERROR(__xludf.DUMMYFUNCTION("""COMPUTED_VALUE"""),1.0)</f>
        <v>1</v>
      </c>
      <c r="D318" s="87" t="str">
        <f>IFERROR(__xludf.DUMMYFUNCTION("""COMPUTED_VALUE"""),"SEÇÃO")</f>
        <v>SEÇÃO</v>
      </c>
      <c r="E318" s="87" t="str">
        <f>IFERROR(__xludf.DUMMYFUNCTION("""COMPUTED_VALUE"""),"3 - DESCARGA")</f>
        <v>3 - DESCARGA</v>
      </c>
      <c r="F318" s="88"/>
      <c r="G318" s="89">
        <f>IFERROR(__xludf.DUMMYFUNCTION("""COMPUTED_VALUE"""),4.0358909E7)</f>
        <v>40358909</v>
      </c>
      <c r="H318" s="87"/>
      <c r="I318" s="87" t="str">
        <f>IFERROR(__xludf.DUMMYFUNCTION("""COMPUTED_VALUE"""),"MATERIAL DESCARREGADO - PROCESSO Nº 1400.01.0026473/2023-01")</f>
        <v>MATERIAL DESCARREGADO - PROCESSO Nº 1400.01.0026473/2023-01</v>
      </c>
    </row>
    <row r="319">
      <c r="A319" s="84">
        <f>IFERROR(__xludf.DUMMYFUNCTION("""COMPUTED_VALUE"""),318.0)</f>
        <v>318</v>
      </c>
      <c r="B319" s="85" t="str">
        <f>IFERROR(__xludf.DUMMYFUNCTION("""COMPUTED_VALUE"""),"ESTABILIZADOR ELETRONICO DE TENSAO -")</f>
        <v>ESTABILIZADOR ELETRONICO DE TENSAO -</v>
      </c>
      <c r="C319" s="86">
        <f>IFERROR(__xludf.DUMMYFUNCTION("""COMPUTED_VALUE"""),1.0)</f>
        <v>1</v>
      </c>
      <c r="D319" s="87" t="str">
        <f>IFERROR(__xludf.DUMMYFUNCTION("""COMPUTED_VALUE"""),"MILITAR")</f>
        <v>MILITAR</v>
      </c>
      <c r="E319" s="87" t="str">
        <f>IFERROR(__xludf.DUMMYFUNCTION("""COMPUTED_VALUE"""),"3 - DESCARGA")</f>
        <v>3 - DESCARGA</v>
      </c>
      <c r="F319" s="88"/>
      <c r="G319" s="89">
        <f>IFERROR(__xludf.DUMMYFUNCTION("""COMPUTED_VALUE"""),4.0358917E7)</f>
        <v>40358917</v>
      </c>
      <c r="H319" s="87"/>
      <c r="I319" s="87" t="str">
        <f>IFERROR(__xludf.DUMMYFUNCTION("""COMPUTED_VALUE"""),"MATERIAL DESCARREGADO - PROCESSO Nº 1400.01.0026473/2023-01")</f>
        <v>MATERIAL DESCARREGADO - PROCESSO Nº 1400.01.0026473/2023-01</v>
      </c>
    </row>
    <row r="320">
      <c r="A320" s="84">
        <f>IFERROR(__xludf.DUMMYFUNCTION("""COMPUTED_VALUE"""),319.0)</f>
        <v>319</v>
      </c>
      <c r="B320" s="85" t="str">
        <f>IFERROR(__xludf.DUMMYFUNCTION("""COMPUTED_VALUE"""),"ESTABILIZADOR ELETRONICO DE TENSAO -")</f>
        <v>ESTABILIZADOR ELETRONICO DE TENSAO -</v>
      </c>
      <c r="C320" s="86">
        <f>IFERROR(__xludf.DUMMYFUNCTION("""COMPUTED_VALUE"""),1.0)</f>
        <v>1</v>
      </c>
      <c r="D320" s="87"/>
      <c r="E320" s="87" t="str">
        <f>IFERROR(__xludf.DUMMYFUNCTION("""COMPUTED_VALUE"""),"3 - DESCARGA")</f>
        <v>3 - DESCARGA</v>
      </c>
      <c r="F320" s="88"/>
      <c r="G320" s="89">
        <f>IFERROR(__xludf.DUMMYFUNCTION("""COMPUTED_VALUE"""),4.0358925E7)</f>
        <v>40358925</v>
      </c>
      <c r="H320" s="87"/>
      <c r="I320" s="87" t="str">
        <f>IFERROR(__xludf.DUMMYFUNCTION("""COMPUTED_VALUE"""),"MATERIAL DESCARREGADO - PROCESSO Nº 1400.01.0026473/2023-01")</f>
        <v>MATERIAL DESCARREGADO - PROCESSO Nº 1400.01.0026473/2023-01</v>
      </c>
    </row>
    <row r="321">
      <c r="A321" s="84">
        <f>IFERROR(__xludf.DUMMYFUNCTION("""COMPUTED_VALUE"""),320.0)</f>
        <v>320</v>
      </c>
      <c r="B321" s="85" t="str">
        <f>IFERROR(__xludf.DUMMYFUNCTION("""COMPUTED_VALUE"""),"ESTABILIZADOR ELETRONICO DE TENSAO -")</f>
        <v>ESTABILIZADOR ELETRONICO DE TENSAO -</v>
      </c>
      <c r="C321" s="86">
        <f>IFERROR(__xludf.DUMMYFUNCTION("""COMPUTED_VALUE"""),1.0)</f>
        <v>1</v>
      </c>
      <c r="D321" s="87" t="str">
        <f>IFERROR(__xludf.DUMMYFUNCTION("""COMPUTED_VALUE"""),"SEÇÃO")</f>
        <v>SEÇÃO</v>
      </c>
      <c r="E321" s="87" t="str">
        <f>IFERROR(__xludf.DUMMYFUNCTION("""COMPUTED_VALUE"""),"3 - DESCARGA")</f>
        <v>3 - DESCARGA</v>
      </c>
      <c r="F321" s="88"/>
      <c r="G321" s="89">
        <f>IFERROR(__xludf.DUMMYFUNCTION("""COMPUTED_VALUE"""),4.0358933E7)</f>
        <v>40358933</v>
      </c>
      <c r="H321" s="87"/>
      <c r="I321" s="87" t="str">
        <f>IFERROR(__xludf.DUMMYFUNCTION("""COMPUTED_VALUE"""),"MATERIAL DESCARREGADO - PROCESSO Nº 1400.01.0026473/2023-01")</f>
        <v>MATERIAL DESCARREGADO - PROCESSO Nº 1400.01.0026473/2023-01</v>
      </c>
    </row>
    <row r="322">
      <c r="A322" s="84">
        <f>IFERROR(__xludf.DUMMYFUNCTION("""COMPUTED_VALUE"""),321.0)</f>
        <v>321</v>
      </c>
      <c r="B322" s="85" t="str">
        <f>IFERROR(__xludf.DUMMYFUNCTION("""COMPUTED_VALUE"""),"ESTETOSCOPIO -")</f>
        <v>ESTETOSCOPIO -</v>
      </c>
      <c r="C322" s="86">
        <f>IFERROR(__xludf.DUMMYFUNCTION("""COMPUTED_VALUE"""),1.0)</f>
        <v>1</v>
      </c>
      <c r="D322" s="87" t="str">
        <f>IFERROR(__xludf.DUMMYFUNCTION("""COMPUTED_VALUE"""),"SEÇÃO")</f>
        <v>SEÇÃO</v>
      </c>
      <c r="E322" s="87" t="str">
        <f>IFERROR(__xludf.DUMMYFUNCTION("""COMPUTED_VALUE"""),"3 - DESCARGA")</f>
        <v>3 - DESCARGA</v>
      </c>
      <c r="F322" s="88"/>
      <c r="G322" s="89">
        <f>IFERROR(__xludf.DUMMYFUNCTION("""COMPUTED_VALUE"""),1.4098091E7)</f>
        <v>14098091</v>
      </c>
      <c r="H322" s="87"/>
      <c r="I322" s="87" t="str">
        <f>IFERROR(__xludf.DUMMYFUNCTION("""COMPUTED_VALUE"""),"MATERIAL DESCARREGADO - PROCESSO Nº 1400.01.0026473/2023-01")</f>
        <v>MATERIAL DESCARREGADO - PROCESSO Nº 1400.01.0026473/2023-01</v>
      </c>
    </row>
    <row r="323">
      <c r="A323" s="84">
        <f>IFERROR(__xludf.DUMMYFUNCTION("""COMPUTED_VALUE"""),322.0)</f>
        <v>322</v>
      </c>
      <c r="B323" s="85" t="str">
        <f>IFERROR(__xludf.DUMMYFUNCTION("""COMPUTED_VALUE"""),"ESTETOSCOPIO -")</f>
        <v>ESTETOSCOPIO -</v>
      </c>
      <c r="C323" s="86">
        <f>IFERROR(__xludf.DUMMYFUNCTION("""COMPUTED_VALUE"""),1.0)</f>
        <v>1</v>
      </c>
      <c r="D323" s="87" t="str">
        <f>IFERROR(__xludf.DUMMYFUNCTION("""COMPUTED_VALUE"""),"SEÇÃO")</f>
        <v>SEÇÃO</v>
      </c>
      <c r="E323" s="87" t="str">
        <f>IFERROR(__xludf.DUMMYFUNCTION("""COMPUTED_VALUE"""),"3 - DESCARGA")</f>
        <v>3 - DESCARGA</v>
      </c>
      <c r="F323" s="88"/>
      <c r="G323" s="89">
        <f>IFERROR(__xludf.DUMMYFUNCTION("""COMPUTED_VALUE"""),1.4098105E7)</f>
        <v>14098105</v>
      </c>
      <c r="H323" s="87"/>
      <c r="I323" s="87" t="str">
        <f>IFERROR(__xludf.DUMMYFUNCTION("""COMPUTED_VALUE"""),"MATERIAL DESCARREGADO - PROCESSO Nº 1400.01.0026473/2023-01")</f>
        <v>MATERIAL DESCARREGADO - PROCESSO Nº 1400.01.0026473/2023-01</v>
      </c>
    </row>
    <row r="324">
      <c r="A324" s="84">
        <f>IFERROR(__xludf.DUMMYFUNCTION("""COMPUTED_VALUE"""),323.0)</f>
        <v>323</v>
      </c>
      <c r="B324" s="85" t="str">
        <f>IFERROR(__xludf.DUMMYFUNCTION("""COMPUTED_VALUE"""),"ESTETOSCOPIO -")</f>
        <v>ESTETOSCOPIO -</v>
      </c>
      <c r="C324" s="86">
        <f>IFERROR(__xludf.DUMMYFUNCTION("""COMPUTED_VALUE"""),1.0)</f>
        <v>1</v>
      </c>
      <c r="D324" s="87" t="str">
        <f>IFERROR(__xludf.DUMMYFUNCTION("""COMPUTED_VALUE"""),"SEÇÃO")</f>
        <v>SEÇÃO</v>
      </c>
      <c r="E324" s="87" t="str">
        <f>IFERROR(__xludf.DUMMYFUNCTION("""COMPUTED_VALUE"""),"3 - DESCARGA")</f>
        <v>3 - DESCARGA</v>
      </c>
      <c r="F324" s="88"/>
      <c r="G324" s="89">
        <f>IFERROR(__xludf.DUMMYFUNCTION("""COMPUTED_VALUE"""),4.0101916E7)</f>
        <v>40101916</v>
      </c>
      <c r="H324" s="87"/>
      <c r="I324" s="87" t="str">
        <f>IFERROR(__xludf.DUMMYFUNCTION("""COMPUTED_VALUE"""),"EM PROCESSO DE DESCARGA  1400.01.0026473/2023-03")</f>
        <v>EM PROCESSO DE DESCARGA  1400.01.0026473/2023-03</v>
      </c>
    </row>
    <row r="325">
      <c r="A325" s="84">
        <f>IFERROR(__xludf.DUMMYFUNCTION("""COMPUTED_VALUE"""),324.0)</f>
        <v>324</v>
      </c>
      <c r="B325" s="85" t="str">
        <f>IFERROR(__xludf.DUMMYFUNCTION("""COMPUTED_VALUE"""),"ESTETOSCOPIO -")</f>
        <v>ESTETOSCOPIO -</v>
      </c>
      <c r="C325" s="86">
        <f>IFERROR(__xludf.DUMMYFUNCTION("""COMPUTED_VALUE"""),1.0)</f>
        <v>1</v>
      </c>
      <c r="D325" s="87"/>
      <c r="E325" s="87" t="str">
        <f>IFERROR(__xludf.DUMMYFUNCTION("""COMPUTED_VALUE"""),"3 - CURVELO")</f>
        <v>3 - CURVELO</v>
      </c>
      <c r="F325" s="88"/>
      <c r="G325" s="89">
        <f>IFERROR(__xludf.DUMMYFUNCTION("""COMPUTED_VALUE"""),4.0167704E7)</f>
        <v>40167704</v>
      </c>
      <c r="H325" s="87"/>
      <c r="I325" s="87"/>
    </row>
    <row r="326">
      <c r="A326" s="84">
        <f>IFERROR(__xludf.DUMMYFUNCTION("""COMPUTED_VALUE"""),325.0)</f>
        <v>325</v>
      </c>
      <c r="B326" s="85" t="str">
        <f>IFERROR(__xludf.DUMMYFUNCTION("""COMPUTED_VALUE"""),"ESTETOSCOPIO -")</f>
        <v>ESTETOSCOPIO -</v>
      </c>
      <c r="C326" s="86">
        <f>IFERROR(__xludf.DUMMYFUNCTION("""COMPUTED_VALUE"""),1.0)</f>
        <v>1</v>
      </c>
      <c r="D326" s="87"/>
      <c r="E326" s="87" t="str">
        <f>IFERROR(__xludf.DUMMYFUNCTION("""COMPUTED_VALUE"""),"3 - CURVELO")</f>
        <v>3 - CURVELO</v>
      </c>
      <c r="F326" s="88"/>
      <c r="G326" s="89">
        <f>IFERROR(__xludf.DUMMYFUNCTION("""COMPUTED_VALUE"""),4.0323137E7)</f>
        <v>40323137</v>
      </c>
      <c r="H326" s="87"/>
      <c r="I326" s="87"/>
    </row>
    <row r="327">
      <c r="A327" s="84">
        <f>IFERROR(__xludf.DUMMYFUNCTION("""COMPUTED_VALUE"""),326.0)</f>
        <v>326</v>
      </c>
      <c r="B327" s="85" t="str">
        <f>IFERROR(__xludf.DUMMYFUNCTION("""COMPUTED_VALUE"""),"ESTETOSCOPIO -")</f>
        <v>ESTETOSCOPIO -</v>
      </c>
      <c r="C327" s="86">
        <f>IFERROR(__xludf.DUMMYFUNCTION("""COMPUTED_VALUE"""),1.0)</f>
        <v>1</v>
      </c>
      <c r="D327" s="87"/>
      <c r="E327" s="87" t="str">
        <f>IFERROR(__xludf.DUMMYFUNCTION("""COMPUTED_VALUE"""),"3 - CURVELO")</f>
        <v>3 - CURVELO</v>
      </c>
      <c r="F327" s="88"/>
      <c r="G327" s="89">
        <f>IFERROR(__xludf.DUMMYFUNCTION("""COMPUTED_VALUE"""),7.6757447E7)</f>
        <v>76757447</v>
      </c>
      <c r="H327" s="87"/>
      <c r="I327" s="87"/>
    </row>
    <row r="328">
      <c r="A328" s="84">
        <f>IFERROR(__xludf.DUMMYFUNCTION("""COMPUTED_VALUE"""),327.0)</f>
        <v>327</v>
      </c>
      <c r="B328" s="85" t="str">
        <f>IFERROR(__xludf.DUMMYFUNCTION("""COMPUTED_VALUE"""),"EXAUSTOR CENTRIFUGO -")</f>
        <v>EXAUSTOR CENTRIFUGO -</v>
      </c>
      <c r="C328" s="86">
        <f>IFERROR(__xludf.DUMMYFUNCTION("""COMPUTED_VALUE"""),1.0)</f>
        <v>1</v>
      </c>
      <c r="D328" s="87"/>
      <c r="E328" s="87" t="str">
        <f>IFERROR(__xludf.DUMMYFUNCTION("""COMPUTED_VALUE"""),"3 - CURVELO")</f>
        <v>3 - CURVELO</v>
      </c>
      <c r="F328" s="88"/>
      <c r="G328" s="89">
        <f>IFERROR(__xludf.DUMMYFUNCTION("""COMPUTED_VALUE"""),1.3859803E7)</f>
        <v>13859803</v>
      </c>
      <c r="H328" s="87"/>
      <c r="I328" s="87"/>
    </row>
    <row r="329">
      <c r="A329" s="84">
        <f>IFERROR(__xludf.DUMMYFUNCTION("""COMPUTED_VALUE"""),328.0)</f>
        <v>328</v>
      </c>
      <c r="B329" s="85" t="str">
        <f>IFERROR(__xludf.DUMMYFUNCTION("""COMPUTED_VALUE"""),"EXTINTOR DE INCENDIO -")</f>
        <v>EXTINTOR DE INCENDIO -</v>
      </c>
      <c r="C329" s="86">
        <f>IFERROR(__xludf.DUMMYFUNCTION("""COMPUTED_VALUE"""),1.0)</f>
        <v>1</v>
      </c>
      <c r="D329" s="87" t="str">
        <f>IFERROR(__xludf.DUMMYFUNCTION("""COMPUTED_VALUE"""),"SEÇÃO")</f>
        <v>SEÇÃO</v>
      </c>
      <c r="E329" s="87" t="str">
        <f>IFERROR(__xludf.DUMMYFUNCTION("""COMPUTED_VALUE"""),"3 - CURVELO")</f>
        <v>3 - CURVELO</v>
      </c>
      <c r="F329" s="88"/>
      <c r="G329" s="89">
        <f>IFERROR(__xludf.DUMMYFUNCTION("""COMPUTED_VALUE"""),1.376845E7)</f>
        <v>13768450</v>
      </c>
      <c r="H329" s="87"/>
      <c r="I329" s="87" t="str">
        <f>IFERROR(__xludf.DUMMYFUNCTION("""COMPUTED_VALUE"""),"RUIM")</f>
        <v>RUIM</v>
      </c>
    </row>
    <row r="330">
      <c r="A330" s="84">
        <f>IFERROR(__xludf.DUMMYFUNCTION("""COMPUTED_VALUE"""),329.0)</f>
        <v>329</v>
      </c>
      <c r="B330" s="85" t="str">
        <f>IFERROR(__xludf.DUMMYFUNCTION("""COMPUTED_VALUE"""),"EXTINTOR DE INCENDIO -")</f>
        <v>EXTINTOR DE INCENDIO -</v>
      </c>
      <c r="C330" s="86">
        <f>IFERROR(__xludf.DUMMYFUNCTION("""COMPUTED_VALUE"""),1.0)</f>
        <v>1</v>
      </c>
      <c r="D330" s="87" t="str">
        <f>IFERROR(__xludf.DUMMYFUNCTION("""COMPUTED_VALUE"""),"SEÇÃO")</f>
        <v>SEÇÃO</v>
      </c>
      <c r="E330" s="87" t="str">
        <f>IFERROR(__xludf.DUMMYFUNCTION("""COMPUTED_VALUE"""),"3 - CURVELO")</f>
        <v>3 - CURVELO</v>
      </c>
      <c r="F330" s="88"/>
      <c r="G330" s="89">
        <f>IFERROR(__xludf.DUMMYFUNCTION("""COMPUTED_VALUE"""),1.3768573E7)</f>
        <v>13768573</v>
      </c>
      <c r="H330" s="87"/>
      <c r="I330" s="87" t="str">
        <f>IFERROR(__xludf.DUMMYFUNCTION("""COMPUTED_VALUE"""),"RUIM")</f>
        <v>RUIM</v>
      </c>
    </row>
    <row r="331">
      <c r="A331" s="84">
        <f>IFERROR(__xludf.DUMMYFUNCTION("""COMPUTED_VALUE"""),330.0)</f>
        <v>330</v>
      </c>
      <c r="B331" s="85" t="str">
        <f>IFERROR(__xludf.DUMMYFUNCTION("""COMPUTED_VALUE"""),"EXTINTOR DE INCENDIO -")</f>
        <v>EXTINTOR DE INCENDIO -</v>
      </c>
      <c r="C331" s="86">
        <f>IFERROR(__xludf.DUMMYFUNCTION("""COMPUTED_VALUE"""),1.0)</f>
        <v>1</v>
      </c>
      <c r="D331" s="87" t="str">
        <f>IFERROR(__xludf.DUMMYFUNCTION("""COMPUTED_VALUE"""),"SEÇÃO")</f>
        <v>SEÇÃO</v>
      </c>
      <c r="E331" s="87" t="str">
        <f>IFERROR(__xludf.DUMMYFUNCTION("""COMPUTED_VALUE"""),"3 - CURVELO")</f>
        <v>3 - CURVELO</v>
      </c>
      <c r="F331" s="88"/>
      <c r="G331" s="89">
        <f>IFERROR(__xludf.DUMMYFUNCTION("""COMPUTED_VALUE"""),1.376859E7)</f>
        <v>13768590</v>
      </c>
      <c r="H331" s="87"/>
      <c r="I331" s="87" t="str">
        <f>IFERROR(__xludf.DUMMYFUNCTION("""COMPUTED_VALUE"""),"RUIM")</f>
        <v>RUIM</v>
      </c>
    </row>
    <row r="332">
      <c r="A332" s="84">
        <f>IFERROR(__xludf.DUMMYFUNCTION("""COMPUTED_VALUE"""),331.0)</f>
        <v>331</v>
      </c>
      <c r="B332" s="85" t="str">
        <f>IFERROR(__xludf.DUMMYFUNCTION("""COMPUTED_VALUE"""),"EXTINTOR DE INCENDIO -")</f>
        <v>EXTINTOR DE INCENDIO -</v>
      </c>
      <c r="C332" s="86">
        <f>IFERROR(__xludf.DUMMYFUNCTION("""COMPUTED_VALUE"""),1.0)</f>
        <v>1</v>
      </c>
      <c r="D332" s="87" t="str">
        <f>IFERROR(__xludf.DUMMYFUNCTION("""COMPUTED_VALUE"""),"SEÇÃO")</f>
        <v>SEÇÃO</v>
      </c>
      <c r="E332" s="87" t="str">
        <f>IFERROR(__xludf.DUMMYFUNCTION("""COMPUTED_VALUE"""),"3 - DESCARGA")</f>
        <v>3 - DESCARGA</v>
      </c>
      <c r="F332" s="88"/>
      <c r="G332" s="89">
        <f>IFERROR(__xludf.DUMMYFUNCTION("""COMPUTED_VALUE"""),4.0105261E7)</f>
        <v>40105261</v>
      </c>
      <c r="H332" s="87"/>
      <c r="I332" s="87" t="str">
        <f>IFERROR(__xludf.DUMMYFUNCTION("""COMPUTED_VALUE"""),"MATERIAL DESCARREGADO - PROCESSO Nº 1400.01.0026473/2023-01")</f>
        <v>MATERIAL DESCARREGADO - PROCESSO Nº 1400.01.0026473/2023-01</v>
      </c>
    </row>
    <row r="333">
      <c r="A333" s="84">
        <f>IFERROR(__xludf.DUMMYFUNCTION("""COMPUTED_VALUE"""),332.0)</f>
        <v>332</v>
      </c>
      <c r="B333" s="85" t="str">
        <f>IFERROR(__xludf.DUMMYFUNCTION("""COMPUTED_VALUE"""),"EXTINTOR DE INCENDIO -")</f>
        <v>EXTINTOR DE INCENDIO -</v>
      </c>
      <c r="C333" s="86">
        <f>IFERROR(__xludf.DUMMYFUNCTION("""COMPUTED_VALUE"""),1.0)</f>
        <v>1</v>
      </c>
      <c r="D333" s="87" t="str">
        <f>IFERROR(__xludf.DUMMYFUNCTION("""COMPUTED_VALUE"""),"SEÇÃO")</f>
        <v>SEÇÃO</v>
      </c>
      <c r="E333" s="87" t="str">
        <f>IFERROR(__xludf.DUMMYFUNCTION("""COMPUTED_VALUE"""),"3 - DESCARGA")</f>
        <v>3 - DESCARGA</v>
      </c>
      <c r="F333" s="88"/>
      <c r="G333" s="89">
        <f>IFERROR(__xludf.DUMMYFUNCTION("""COMPUTED_VALUE"""),4.010527E7)</f>
        <v>40105270</v>
      </c>
      <c r="H333" s="87"/>
      <c r="I333" s="87" t="str">
        <f>IFERROR(__xludf.DUMMYFUNCTION("""COMPUTED_VALUE"""),"MATERIAL DESCARREGADO - PROCESSO Nº 1400.01.0026473/2023-01")</f>
        <v>MATERIAL DESCARREGADO - PROCESSO Nº 1400.01.0026473/2023-01</v>
      </c>
    </row>
    <row r="334">
      <c r="A334" s="84">
        <f>IFERROR(__xludf.DUMMYFUNCTION("""COMPUTED_VALUE"""),333.0)</f>
        <v>333</v>
      </c>
      <c r="B334" s="85" t="str">
        <f>IFERROR(__xludf.DUMMYFUNCTION("""COMPUTED_VALUE"""),"EXTINTOR DE INCENDIO -")</f>
        <v>EXTINTOR DE INCENDIO -</v>
      </c>
      <c r="C334" s="86">
        <f>IFERROR(__xludf.DUMMYFUNCTION("""COMPUTED_VALUE"""),1.0)</f>
        <v>1</v>
      </c>
      <c r="D334" s="87" t="str">
        <f>IFERROR(__xludf.DUMMYFUNCTION("""COMPUTED_VALUE"""),"SEÇÃO")</f>
        <v>SEÇÃO</v>
      </c>
      <c r="E334" s="87" t="str">
        <f>IFERROR(__xludf.DUMMYFUNCTION("""COMPUTED_VALUE"""),"3 - DESCARGA")</f>
        <v>3 - DESCARGA</v>
      </c>
      <c r="F334" s="88"/>
      <c r="G334" s="89">
        <f>IFERROR(__xludf.DUMMYFUNCTION("""COMPUTED_VALUE"""),4.0105288E7)</f>
        <v>40105288</v>
      </c>
      <c r="H334" s="87"/>
      <c r="I334" s="87" t="str">
        <f>IFERROR(__xludf.DUMMYFUNCTION("""COMPUTED_VALUE"""),"MATERIAL DESCARREGADO - PROCESSO Nº 1400.01.0026473/2023-01")</f>
        <v>MATERIAL DESCARREGADO - PROCESSO Nº 1400.01.0026473/2023-01</v>
      </c>
    </row>
    <row r="335">
      <c r="A335" s="84">
        <f>IFERROR(__xludf.DUMMYFUNCTION("""COMPUTED_VALUE"""),334.0)</f>
        <v>334</v>
      </c>
      <c r="B335" s="85" t="str">
        <f>IFERROR(__xludf.DUMMYFUNCTION("""COMPUTED_VALUE"""),"EXTINTOR DE INCENDIO -")</f>
        <v>EXTINTOR DE INCENDIO -</v>
      </c>
      <c r="C335" s="86">
        <f>IFERROR(__xludf.DUMMYFUNCTION("""COMPUTED_VALUE"""),1.0)</f>
        <v>1</v>
      </c>
      <c r="D335" s="87" t="str">
        <f>IFERROR(__xludf.DUMMYFUNCTION("""COMPUTED_VALUE"""),"SEÇÃO")</f>
        <v>SEÇÃO</v>
      </c>
      <c r="E335" s="87" t="str">
        <f>IFERROR(__xludf.DUMMYFUNCTION("""COMPUTED_VALUE"""),"3 - DESCARGA")</f>
        <v>3 - DESCARGA</v>
      </c>
      <c r="F335" s="88"/>
      <c r="G335" s="89">
        <f>IFERROR(__xludf.DUMMYFUNCTION("""COMPUTED_VALUE"""),4.0105296E7)</f>
        <v>40105296</v>
      </c>
      <c r="H335" s="87"/>
      <c r="I335" s="87" t="str">
        <f>IFERROR(__xludf.DUMMYFUNCTION("""COMPUTED_VALUE"""),"MATERIAL DESCARREGADO - PROCESSO Nº 1400.01.0026473/2023-01")</f>
        <v>MATERIAL DESCARREGADO - PROCESSO Nº 1400.01.0026473/2023-01</v>
      </c>
    </row>
    <row r="336">
      <c r="A336" s="84">
        <f>IFERROR(__xludf.DUMMYFUNCTION("""COMPUTED_VALUE"""),335.0)</f>
        <v>335</v>
      </c>
      <c r="B336" s="85" t="str">
        <f>IFERROR(__xludf.DUMMYFUNCTION("""COMPUTED_VALUE"""),"EXTINTOR DE INCENDIO -")</f>
        <v>EXTINTOR DE INCENDIO -</v>
      </c>
      <c r="C336" s="86">
        <f>IFERROR(__xludf.DUMMYFUNCTION("""COMPUTED_VALUE"""),1.0)</f>
        <v>1</v>
      </c>
      <c r="D336" s="87" t="str">
        <f>IFERROR(__xludf.DUMMYFUNCTION("""COMPUTED_VALUE"""),"SEÇÃO")</f>
        <v>SEÇÃO</v>
      </c>
      <c r="E336" s="87" t="str">
        <f>IFERROR(__xludf.DUMMYFUNCTION("""COMPUTED_VALUE"""),"3 - DESCARGA")</f>
        <v>3 - DESCARGA</v>
      </c>
      <c r="F336" s="88"/>
      <c r="G336" s="89">
        <f>IFERROR(__xludf.DUMMYFUNCTION("""COMPUTED_VALUE"""),4.01053E7)</f>
        <v>40105300</v>
      </c>
      <c r="H336" s="87"/>
      <c r="I336" s="87" t="str">
        <f>IFERROR(__xludf.DUMMYFUNCTION("""COMPUTED_VALUE"""),"MATERIAL DESCARREGADO - PROCESSO Nº 1400.01.0026473/2023-01")</f>
        <v>MATERIAL DESCARREGADO - PROCESSO Nº 1400.01.0026473/2023-01</v>
      </c>
    </row>
    <row r="337">
      <c r="A337" s="84">
        <f>IFERROR(__xludf.DUMMYFUNCTION("""COMPUTED_VALUE"""),336.0)</f>
        <v>336</v>
      </c>
      <c r="B337" s="85" t="str">
        <f>IFERROR(__xludf.DUMMYFUNCTION("""COMPUTED_VALUE"""),"EXTINTOR DE INCENDIO -")</f>
        <v>EXTINTOR DE INCENDIO -</v>
      </c>
      <c r="C337" s="86">
        <f>IFERROR(__xludf.DUMMYFUNCTION("""COMPUTED_VALUE"""),1.0)</f>
        <v>1</v>
      </c>
      <c r="D337" s="87" t="str">
        <f>IFERROR(__xludf.DUMMYFUNCTION("""COMPUTED_VALUE"""),"SEÇÃO")</f>
        <v>SEÇÃO</v>
      </c>
      <c r="E337" s="87" t="str">
        <f>IFERROR(__xludf.DUMMYFUNCTION("""COMPUTED_VALUE"""),"3 - DESCARGA")</f>
        <v>3 - DESCARGA</v>
      </c>
      <c r="F337" s="88"/>
      <c r="G337" s="89">
        <f>IFERROR(__xludf.DUMMYFUNCTION("""COMPUTED_VALUE"""),4.0105318E7)</f>
        <v>40105318</v>
      </c>
      <c r="H337" s="87"/>
      <c r="I337" s="87" t="str">
        <f>IFERROR(__xludf.DUMMYFUNCTION("""COMPUTED_VALUE"""),"MATERIAL DESCARREGADO - PROCESSO Nº 1400.01.0026473/2023-01")</f>
        <v>MATERIAL DESCARREGADO - PROCESSO Nº 1400.01.0026473/2023-01</v>
      </c>
    </row>
    <row r="338">
      <c r="A338" s="84">
        <f>IFERROR(__xludf.DUMMYFUNCTION("""COMPUTED_VALUE"""),337.0)</f>
        <v>337</v>
      </c>
      <c r="B338" s="85" t="str">
        <f>IFERROR(__xludf.DUMMYFUNCTION("""COMPUTED_VALUE"""),"EXTINTOR DE INCENDIO -")</f>
        <v>EXTINTOR DE INCENDIO -</v>
      </c>
      <c r="C338" s="86">
        <f>IFERROR(__xludf.DUMMYFUNCTION("""COMPUTED_VALUE"""),1.0)</f>
        <v>1</v>
      </c>
      <c r="D338" s="87" t="str">
        <f>IFERROR(__xludf.DUMMYFUNCTION("""COMPUTED_VALUE"""),"SEÇÃO")</f>
        <v>SEÇÃO</v>
      </c>
      <c r="E338" s="87" t="str">
        <f>IFERROR(__xludf.DUMMYFUNCTION("""COMPUTED_VALUE"""),"3 - DESCARGA")</f>
        <v>3 - DESCARGA</v>
      </c>
      <c r="F338" s="88"/>
      <c r="G338" s="89">
        <f>IFERROR(__xludf.DUMMYFUNCTION("""COMPUTED_VALUE"""),4.0105326E7)</f>
        <v>40105326</v>
      </c>
      <c r="H338" s="87"/>
      <c r="I338" s="87" t="str">
        <f>IFERROR(__xludf.DUMMYFUNCTION("""COMPUTED_VALUE"""),"MATERIAL DESCARREGADO - PROCESSO Nº 1400.01.0026473/2023-01")</f>
        <v>MATERIAL DESCARREGADO - PROCESSO Nº 1400.01.0026473/2023-01</v>
      </c>
    </row>
    <row r="339">
      <c r="A339" s="84">
        <f>IFERROR(__xludf.DUMMYFUNCTION("""COMPUTED_VALUE"""),338.0)</f>
        <v>338</v>
      </c>
      <c r="B339" s="85" t="str">
        <f>IFERROR(__xludf.DUMMYFUNCTION("""COMPUTED_VALUE"""),"EXTINTOR DE INCENDIO -")</f>
        <v>EXTINTOR DE INCENDIO -</v>
      </c>
      <c r="C339" s="86">
        <f>IFERROR(__xludf.DUMMYFUNCTION("""COMPUTED_VALUE"""),1.0)</f>
        <v>1</v>
      </c>
      <c r="D339" s="87" t="str">
        <f>IFERROR(__xludf.DUMMYFUNCTION("""COMPUTED_VALUE"""),"SEÇÃO")</f>
        <v>SEÇÃO</v>
      </c>
      <c r="E339" s="87" t="str">
        <f>IFERROR(__xludf.DUMMYFUNCTION("""COMPUTED_VALUE"""),"3 - DESCARGA")</f>
        <v>3 - DESCARGA</v>
      </c>
      <c r="F339" s="88"/>
      <c r="G339" s="89">
        <f>IFERROR(__xludf.DUMMYFUNCTION("""COMPUTED_VALUE"""),4.0105334E7)</f>
        <v>40105334</v>
      </c>
      <c r="H339" s="87"/>
      <c r="I339" s="87" t="str">
        <f>IFERROR(__xludf.DUMMYFUNCTION("""COMPUTED_VALUE"""),"MATERIAL DESCARREGADO - PROCESSO Nº 1400.01.0026473/2023-01")</f>
        <v>MATERIAL DESCARREGADO - PROCESSO Nº 1400.01.0026473/2023-01</v>
      </c>
    </row>
    <row r="340">
      <c r="A340" s="84">
        <f>IFERROR(__xludf.DUMMYFUNCTION("""COMPUTED_VALUE"""),339.0)</f>
        <v>339</v>
      </c>
      <c r="B340" s="85" t="str">
        <f>IFERROR(__xludf.DUMMYFUNCTION("""COMPUTED_VALUE"""),"EXTINTOR DE INCENDIO -")</f>
        <v>EXTINTOR DE INCENDIO -</v>
      </c>
      <c r="C340" s="86">
        <f>IFERROR(__xludf.DUMMYFUNCTION("""COMPUTED_VALUE"""),1.0)</f>
        <v>1</v>
      </c>
      <c r="D340" s="87" t="str">
        <f>IFERROR(__xludf.DUMMYFUNCTION("""COMPUTED_VALUE"""),"SEÇÃO")</f>
        <v>SEÇÃO</v>
      </c>
      <c r="E340" s="87" t="str">
        <f>IFERROR(__xludf.DUMMYFUNCTION("""COMPUTED_VALUE"""),"3 - DESCARGA")</f>
        <v>3 - DESCARGA</v>
      </c>
      <c r="F340" s="88"/>
      <c r="G340" s="89">
        <f>IFERROR(__xludf.DUMMYFUNCTION("""COMPUTED_VALUE"""),4.0105342E7)</f>
        <v>40105342</v>
      </c>
      <c r="H340" s="87"/>
      <c r="I340" s="87" t="str">
        <f>IFERROR(__xludf.DUMMYFUNCTION("""COMPUTED_VALUE"""),"MATERIAL DESCARREGADO - PROCESSO Nº 1400.01.0026473/2023-01")</f>
        <v>MATERIAL DESCARREGADO - PROCESSO Nº 1400.01.0026473/2023-01</v>
      </c>
    </row>
    <row r="341">
      <c r="A341" s="84">
        <f>IFERROR(__xludf.DUMMYFUNCTION("""COMPUTED_VALUE"""),340.0)</f>
        <v>340</v>
      </c>
      <c r="B341" s="85" t="str">
        <f>IFERROR(__xludf.DUMMYFUNCTION("""COMPUTED_VALUE"""),"EXTINTOR DE INCENDIO -")</f>
        <v>EXTINTOR DE INCENDIO -</v>
      </c>
      <c r="C341" s="86">
        <f>IFERROR(__xludf.DUMMYFUNCTION("""COMPUTED_VALUE"""),1.0)</f>
        <v>1</v>
      </c>
      <c r="D341" s="87" t="str">
        <f>IFERROR(__xludf.DUMMYFUNCTION("""COMPUTED_VALUE"""),"SEÇÃO")</f>
        <v>SEÇÃO</v>
      </c>
      <c r="E341" s="87" t="str">
        <f>IFERROR(__xludf.DUMMYFUNCTION("""COMPUTED_VALUE"""),"3 - DESCARGA")</f>
        <v>3 - DESCARGA</v>
      </c>
      <c r="F341" s="88"/>
      <c r="G341" s="89">
        <f>IFERROR(__xludf.DUMMYFUNCTION("""COMPUTED_VALUE"""),4.010535E7)</f>
        <v>40105350</v>
      </c>
      <c r="H341" s="87"/>
      <c r="I341" s="87" t="str">
        <f>IFERROR(__xludf.DUMMYFUNCTION("""COMPUTED_VALUE"""),"MATERIAL DESCARREGADO - PROCESSO Nº 1400.01.0026473/2023-01")</f>
        <v>MATERIAL DESCARREGADO - PROCESSO Nº 1400.01.0026473/2023-01</v>
      </c>
    </row>
    <row r="342">
      <c r="A342" s="84">
        <f>IFERROR(__xludf.DUMMYFUNCTION("""COMPUTED_VALUE"""),341.0)</f>
        <v>341</v>
      </c>
      <c r="B342" s="85" t="str">
        <f>IFERROR(__xludf.DUMMYFUNCTION("""COMPUTED_VALUE"""),"FAX -")</f>
        <v>FAX -</v>
      </c>
      <c r="C342" s="86">
        <f>IFERROR(__xludf.DUMMYFUNCTION("""COMPUTED_VALUE"""),1.0)</f>
        <v>1</v>
      </c>
      <c r="D342" s="87" t="str">
        <f>IFERROR(__xludf.DUMMYFUNCTION("""COMPUTED_VALUE"""),"SEÇÃO")</f>
        <v>SEÇÃO</v>
      </c>
      <c r="E342" s="87" t="str">
        <f>IFERROR(__xludf.DUMMYFUNCTION("""COMPUTED_VALUE"""),"3 - DESCARGA")</f>
        <v>3 - DESCARGA</v>
      </c>
      <c r="F342" s="88"/>
      <c r="G342" s="89">
        <f>IFERROR(__xludf.DUMMYFUNCTION("""COMPUTED_VALUE"""),1.3848429E7)</f>
        <v>13848429</v>
      </c>
      <c r="H342" s="87"/>
      <c r="I342" s="87" t="str">
        <f>IFERROR(__xludf.DUMMYFUNCTION("""COMPUTED_VALUE"""),"MATERIAL DESCARREGADO - PROCESSO Nº 1400.01.0026473/2023-01")</f>
        <v>MATERIAL DESCARREGADO - PROCESSO Nº 1400.01.0026473/2023-01</v>
      </c>
    </row>
    <row r="343">
      <c r="A343" s="84">
        <f>IFERROR(__xludf.DUMMYFUNCTION("""COMPUTED_VALUE"""),342.0)</f>
        <v>342</v>
      </c>
      <c r="B343" s="85" t="str">
        <f>IFERROR(__xludf.DUMMYFUNCTION("""COMPUTED_VALUE"""),"FERRO PARA PASSAR ROUPA, DOMESTICO -")</f>
        <v>FERRO PARA PASSAR ROUPA, DOMESTICO -</v>
      </c>
      <c r="C343" s="86">
        <f>IFERROR(__xludf.DUMMYFUNCTION("""COMPUTED_VALUE"""),1.0)</f>
        <v>1</v>
      </c>
      <c r="D343" s="87"/>
      <c r="E343" s="87" t="str">
        <f>IFERROR(__xludf.DUMMYFUNCTION("""COMPUTED_VALUE"""),"3 - CURVELO")</f>
        <v>3 - CURVELO</v>
      </c>
      <c r="F343" s="88"/>
      <c r="G343" s="89">
        <f>IFERROR(__xludf.DUMMYFUNCTION("""COMPUTED_VALUE"""),4.0356698E7)</f>
        <v>40356698</v>
      </c>
      <c r="H343" s="87"/>
      <c r="I343" s="87"/>
    </row>
    <row r="344">
      <c r="A344" s="84">
        <f>IFERROR(__xludf.DUMMYFUNCTION("""COMPUTED_VALUE"""),343.0)</f>
        <v>343</v>
      </c>
      <c r="B344" s="85" t="str">
        <f>IFERROR(__xludf.DUMMYFUNCTION("""COMPUTED_VALUE"""),"FOGAO -")</f>
        <v>FOGAO -</v>
      </c>
      <c r="C344" s="86">
        <f>IFERROR(__xludf.DUMMYFUNCTION("""COMPUTED_VALUE"""),1.0)</f>
        <v>1</v>
      </c>
      <c r="D344" s="87"/>
      <c r="E344" s="87" t="str">
        <f>IFERROR(__xludf.DUMMYFUNCTION("""COMPUTED_VALUE"""),"3 - CURVELO")</f>
        <v>3 - CURVELO</v>
      </c>
      <c r="F344" s="88"/>
      <c r="G344" s="89">
        <f>IFERROR(__xludf.DUMMYFUNCTION("""COMPUTED_VALUE"""),4.0310523E7)</f>
        <v>40310523</v>
      </c>
      <c r="H344" s="87"/>
      <c r="I344" s="87"/>
    </row>
    <row r="345">
      <c r="A345" s="84">
        <f>IFERROR(__xludf.DUMMYFUNCTION("""COMPUTED_VALUE"""),344.0)</f>
        <v>344</v>
      </c>
      <c r="B345" s="85" t="str">
        <f>IFERROR(__xludf.DUMMYFUNCTION("""COMPUTED_VALUE"""),"FOGAO -")</f>
        <v>FOGAO -</v>
      </c>
      <c r="C345" s="86">
        <f>IFERROR(__xludf.DUMMYFUNCTION("""COMPUTED_VALUE"""),1.0)</f>
        <v>1</v>
      </c>
      <c r="D345" s="87"/>
      <c r="E345" s="87" t="str">
        <f>IFERROR(__xludf.DUMMYFUNCTION("""COMPUTED_VALUE"""),"3 - CURVELO")</f>
        <v>3 - CURVELO</v>
      </c>
      <c r="F345" s="88"/>
      <c r="G345" s="89">
        <f>IFERROR(__xludf.DUMMYFUNCTION("""COMPUTED_VALUE"""),7.670217E7)</f>
        <v>76702170</v>
      </c>
      <c r="H345" s="87"/>
      <c r="I345" s="87"/>
    </row>
    <row r="346">
      <c r="A346" s="84">
        <f>IFERROR(__xludf.DUMMYFUNCTION("""COMPUTED_VALUE"""),345.0)</f>
        <v>345</v>
      </c>
      <c r="B346" s="85" t="str">
        <f>IFERROR(__xludf.DUMMYFUNCTION("""COMPUTED_VALUE"""),"FONE PARA EQUIPAMENTO TELEFONICO -")</f>
        <v>FONE PARA EQUIPAMENTO TELEFONICO -</v>
      </c>
      <c r="C346" s="86">
        <f>IFERROR(__xludf.DUMMYFUNCTION("""COMPUTED_VALUE"""),1.0)</f>
        <v>1</v>
      </c>
      <c r="D346" s="87"/>
      <c r="E346" s="87" t="str">
        <f>IFERROR(__xludf.DUMMYFUNCTION("""COMPUTED_VALUE"""),"3 - CURVELO")</f>
        <v>3 - CURVELO</v>
      </c>
      <c r="F346" s="88"/>
      <c r="G346" s="89">
        <f>IFERROR(__xludf.DUMMYFUNCTION("""COMPUTED_VALUE"""),7.6701794E7)</f>
        <v>76701794</v>
      </c>
      <c r="H346" s="87"/>
      <c r="I346" s="87"/>
    </row>
    <row r="347">
      <c r="A347" s="84">
        <f>IFERROR(__xludf.DUMMYFUNCTION("""COMPUTED_VALUE"""),346.0)</f>
        <v>346</v>
      </c>
      <c r="B347" s="85" t="str">
        <f>IFERROR(__xludf.DUMMYFUNCTION("""COMPUTED_VALUE"""),"FONE PARA EQUIPAMENTO TELEFONICO -")</f>
        <v>FONE PARA EQUIPAMENTO TELEFONICO -</v>
      </c>
      <c r="C347" s="86">
        <f>IFERROR(__xludf.DUMMYFUNCTION("""COMPUTED_VALUE"""),1.0)</f>
        <v>1</v>
      </c>
      <c r="D347" s="87"/>
      <c r="E347" s="87" t="str">
        <f>IFERROR(__xludf.DUMMYFUNCTION("""COMPUTED_VALUE"""),"3 - CURVELO")</f>
        <v>3 - CURVELO</v>
      </c>
      <c r="F347" s="88"/>
      <c r="G347" s="89">
        <f>IFERROR(__xludf.DUMMYFUNCTION("""COMPUTED_VALUE"""),7.6701808E7)</f>
        <v>76701808</v>
      </c>
      <c r="H347" s="87"/>
      <c r="I347" s="87"/>
    </row>
    <row r="348">
      <c r="A348" s="84">
        <f>IFERROR(__xludf.DUMMYFUNCTION("""COMPUTED_VALUE"""),347.0)</f>
        <v>347</v>
      </c>
      <c r="B348" s="85" t="str">
        <f>IFERROR(__xludf.DUMMYFUNCTION("""COMPUTED_VALUE"""),"FONE PARA EQUIPAMENTO TELEFONICO -")</f>
        <v>FONE PARA EQUIPAMENTO TELEFONICO -</v>
      </c>
      <c r="C348" s="86">
        <f>IFERROR(__xludf.DUMMYFUNCTION("""COMPUTED_VALUE"""),1.0)</f>
        <v>1</v>
      </c>
      <c r="D348" s="87"/>
      <c r="E348" s="87" t="str">
        <f>IFERROR(__xludf.DUMMYFUNCTION("""COMPUTED_VALUE"""),"3 - CURVELO")</f>
        <v>3 - CURVELO</v>
      </c>
      <c r="F348" s="88"/>
      <c r="G348" s="89">
        <f>IFERROR(__xludf.DUMMYFUNCTION("""COMPUTED_VALUE"""),7.6701816E7)</f>
        <v>76701816</v>
      </c>
      <c r="H348" s="87"/>
      <c r="I348" s="87"/>
    </row>
    <row r="349">
      <c r="A349" s="84">
        <f>IFERROR(__xludf.DUMMYFUNCTION("""COMPUTED_VALUE"""),348.0)</f>
        <v>348</v>
      </c>
      <c r="B349" s="85" t="str">
        <f>IFERROR(__xludf.DUMMYFUNCTION("""COMPUTED_VALUE"""),"FONE PARA EQUIPAMENTO TELEFONICO -")</f>
        <v>FONE PARA EQUIPAMENTO TELEFONICO -</v>
      </c>
      <c r="C349" s="86">
        <f>IFERROR(__xludf.DUMMYFUNCTION("""COMPUTED_VALUE"""),1.0)</f>
        <v>1</v>
      </c>
      <c r="D349" s="87"/>
      <c r="E349" s="87" t="str">
        <f>IFERROR(__xludf.DUMMYFUNCTION("""COMPUTED_VALUE"""),"3 - CURVELO")</f>
        <v>3 - CURVELO</v>
      </c>
      <c r="F349" s="88"/>
      <c r="G349" s="89">
        <f>IFERROR(__xludf.DUMMYFUNCTION("""COMPUTED_VALUE"""),7.6701824E7)</f>
        <v>76701824</v>
      </c>
      <c r="H349" s="87"/>
      <c r="I349" s="87"/>
    </row>
    <row r="350">
      <c r="A350" s="84">
        <f>IFERROR(__xludf.DUMMYFUNCTION("""COMPUTED_VALUE"""),349.0)</f>
        <v>349</v>
      </c>
      <c r="B350" s="85" t="str">
        <f>IFERROR(__xludf.DUMMYFUNCTION("""COMPUTED_VALUE"""),"FONE PARA EQUIPAMENTO TELEFONICO -")</f>
        <v>FONE PARA EQUIPAMENTO TELEFONICO -</v>
      </c>
      <c r="C350" s="86">
        <f>IFERROR(__xludf.DUMMYFUNCTION("""COMPUTED_VALUE"""),1.0)</f>
        <v>1</v>
      </c>
      <c r="D350" s="87"/>
      <c r="E350" s="87" t="str">
        <f>IFERROR(__xludf.DUMMYFUNCTION("""COMPUTED_VALUE"""),"3 - CURVELO")</f>
        <v>3 - CURVELO</v>
      </c>
      <c r="F350" s="88"/>
      <c r="G350" s="89">
        <f>IFERROR(__xludf.DUMMYFUNCTION("""COMPUTED_VALUE"""),7.6701832E7)</f>
        <v>76701832</v>
      </c>
      <c r="H350" s="87"/>
      <c r="I350" s="87"/>
    </row>
    <row r="351">
      <c r="A351" s="84">
        <f>IFERROR(__xludf.DUMMYFUNCTION("""COMPUTED_VALUE"""),350.0)</f>
        <v>350</v>
      </c>
      <c r="B351" s="85" t="str">
        <f>IFERROR(__xludf.DUMMYFUNCTION("""COMPUTED_VALUE"""),"FONE PARA EQUIPAMENTO TELEFONICO -")</f>
        <v>FONE PARA EQUIPAMENTO TELEFONICO -</v>
      </c>
      <c r="C351" s="86">
        <f>IFERROR(__xludf.DUMMYFUNCTION("""COMPUTED_VALUE"""),1.0)</f>
        <v>1</v>
      </c>
      <c r="D351" s="87"/>
      <c r="E351" s="87" t="str">
        <f>IFERROR(__xludf.DUMMYFUNCTION("""COMPUTED_VALUE"""),"3 - CURVELO")</f>
        <v>3 - CURVELO</v>
      </c>
      <c r="F351" s="88"/>
      <c r="G351" s="89">
        <f>IFERROR(__xludf.DUMMYFUNCTION("""COMPUTED_VALUE"""),7.670184E7)</f>
        <v>76701840</v>
      </c>
      <c r="H351" s="87"/>
      <c r="I351" s="87"/>
    </row>
    <row r="352">
      <c r="A352" s="84">
        <f>IFERROR(__xludf.DUMMYFUNCTION("""COMPUTED_VALUE"""),351.0)</f>
        <v>351</v>
      </c>
      <c r="B352" s="85" t="str">
        <f>IFERROR(__xludf.DUMMYFUNCTION("""COMPUTED_VALUE"""),"FORNO -")</f>
        <v>FORNO -</v>
      </c>
      <c r="C352" s="86">
        <f>IFERROR(__xludf.DUMMYFUNCTION("""COMPUTED_VALUE"""),1.0)</f>
        <v>1</v>
      </c>
      <c r="D352" s="87"/>
      <c r="E352" s="87" t="str">
        <f>IFERROR(__xludf.DUMMYFUNCTION("""COMPUTED_VALUE"""),"3 - CURVELO")</f>
        <v>3 - CURVELO</v>
      </c>
      <c r="F352" s="88"/>
      <c r="G352" s="89">
        <f>IFERROR(__xludf.DUMMYFUNCTION("""COMPUTED_VALUE"""),4.0263169E7)</f>
        <v>40263169</v>
      </c>
      <c r="H352" s="87"/>
      <c r="I352" s="87"/>
    </row>
    <row r="353">
      <c r="A353" s="84">
        <f>IFERROR(__xludf.DUMMYFUNCTION("""COMPUTED_VALUE"""),352.0)</f>
        <v>352</v>
      </c>
      <c r="B353" s="85" t="str">
        <f>IFERROR(__xludf.DUMMYFUNCTION("""COMPUTED_VALUE"""),"FORNO -")</f>
        <v>FORNO -</v>
      </c>
      <c r="C353" s="86">
        <f>IFERROR(__xludf.DUMMYFUNCTION("""COMPUTED_VALUE"""),1.0)</f>
        <v>1</v>
      </c>
      <c r="D353" s="87"/>
      <c r="E353" s="87" t="str">
        <f>IFERROR(__xludf.DUMMYFUNCTION("""COMPUTED_VALUE"""),"3 - DESCARGA")</f>
        <v>3 - DESCARGA</v>
      </c>
      <c r="F353" s="88"/>
      <c r="G353" s="89">
        <f>IFERROR(__xludf.DUMMYFUNCTION("""COMPUTED_VALUE"""),4.0346056E7)</f>
        <v>40346056</v>
      </c>
      <c r="H353" s="87"/>
      <c r="I353" s="87" t="str">
        <f>IFERROR(__xludf.DUMMYFUNCTION("""COMPUTED_VALUE"""),"MATERIAL DESCARREGADO - PROCESSO Nº 1400.01.0026473/2023-01                                                ")</f>
        <v>MATERIAL DESCARREGADO - PROCESSO Nº 1400.01.0026473/2023-01                                                </v>
      </c>
    </row>
    <row r="354">
      <c r="A354" s="84">
        <f>IFERROR(__xludf.DUMMYFUNCTION("""COMPUTED_VALUE"""),353.0)</f>
        <v>353</v>
      </c>
      <c r="B354" s="85" t="str">
        <f>IFERROR(__xludf.DUMMYFUNCTION("""COMPUTED_VALUE"""),"FORNO -")</f>
        <v>FORNO -</v>
      </c>
      <c r="C354" s="86">
        <f>IFERROR(__xludf.DUMMYFUNCTION("""COMPUTED_VALUE"""),1.0)</f>
        <v>1</v>
      </c>
      <c r="D354" s="87"/>
      <c r="E354" s="87" t="str">
        <f>IFERROR(__xludf.DUMMYFUNCTION("""COMPUTED_VALUE"""),"3 - CURVELO")</f>
        <v>3 - CURVELO</v>
      </c>
      <c r="F354" s="88"/>
      <c r="G354" s="89">
        <f>IFERROR(__xludf.DUMMYFUNCTION("""COMPUTED_VALUE"""),7.6665186E7)</f>
        <v>76665186</v>
      </c>
      <c r="H354" s="87"/>
      <c r="I354" s="87"/>
    </row>
    <row r="355">
      <c r="A355" s="84">
        <f>IFERROR(__xludf.DUMMYFUNCTION("""COMPUTED_VALUE"""),354.0)</f>
        <v>354</v>
      </c>
      <c r="B355" s="85" t="str">
        <f>IFERROR(__xludf.DUMMYFUNCTION("""COMPUTED_VALUE"""),"FORNO -")</f>
        <v>FORNO -</v>
      </c>
      <c r="C355" s="86">
        <f>IFERROR(__xludf.DUMMYFUNCTION("""COMPUTED_VALUE"""),1.0)</f>
        <v>1</v>
      </c>
      <c r="D355" s="87"/>
      <c r="E355" s="87" t="str">
        <f>IFERROR(__xludf.DUMMYFUNCTION("""COMPUTED_VALUE"""),"3 - CURVELO")</f>
        <v>3 - CURVELO</v>
      </c>
      <c r="F355" s="88"/>
      <c r="G355" s="89">
        <f>IFERROR(__xludf.DUMMYFUNCTION("""COMPUTED_VALUE"""),7.6705048E7)</f>
        <v>76705048</v>
      </c>
      <c r="H355" s="87"/>
      <c r="I355" s="87"/>
    </row>
    <row r="356">
      <c r="A356" s="84">
        <f>IFERROR(__xludf.DUMMYFUNCTION("""COMPUTED_VALUE"""),355.0)</f>
        <v>355</v>
      </c>
      <c r="B356" s="85" t="str">
        <f>IFERROR(__xludf.DUMMYFUNCTION("""COMPUTED_VALUE"""),"GERADOR PORTATIL -")</f>
        <v>GERADOR PORTATIL -</v>
      </c>
      <c r="C356" s="86">
        <f>IFERROR(__xludf.DUMMYFUNCTION("""COMPUTED_VALUE"""),1.0)</f>
        <v>1</v>
      </c>
      <c r="D356" s="87" t="str">
        <f>IFERROR(__xludf.DUMMYFUNCTION("""COMPUTED_VALUE"""),"SEÇÃO")</f>
        <v>SEÇÃO</v>
      </c>
      <c r="E356" s="87" t="str">
        <f>IFERROR(__xludf.DUMMYFUNCTION("""COMPUTED_VALUE"""),"3 - SETOR DE MEIOS")</f>
        <v>3 - SETOR DE MEIOS</v>
      </c>
      <c r="F356" s="88" t="str">
        <f>IFERROR(__xludf.DUMMYFUNCTION("""COMPUTED_VALUE"""),"SETOR DE MEIOS")</f>
        <v>SETOR DE MEIOS</v>
      </c>
      <c r="G356" s="89">
        <f>IFERROR(__xludf.DUMMYFUNCTION("""COMPUTED_VALUE"""),1.3968815E7)</f>
        <v>13968815</v>
      </c>
      <c r="H356" s="87"/>
      <c r="I356" s="87"/>
    </row>
    <row r="357">
      <c r="A357" s="84">
        <f>IFERROR(__xludf.DUMMYFUNCTION("""COMPUTED_VALUE"""),356.0)</f>
        <v>356</v>
      </c>
      <c r="B357" s="85" t="str">
        <f>IFERROR(__xludf.DUMMYFUNCTION("""COMPUTED_VALUE"""),"GERADOR PORTATIL -")</f>
        <v>GERADOR PORTATIL -</v>
      </c>
      <c r="C357" s="86">
        <f>IFERROR(__xludf.DUMMYFUNCTION("""COMPUTED_VALUE"""),1.0)</f>
        <v>1</v>
      </c>
      <c r="D357" s="87" t="str">
        <f>IFERROR(__xludf.DUMMYFUNCTION("""COMPUTED_VALUE"""),"SEÇÃO")</f>
        <v>SEÇÃO</v>
      </c>
      <c r="E357" s="87" t="str">
        <f>IFERROR(__xludf.DUMMYFUNCTION("""COMPUTED_VALUE"""),"3 - ALMOX. ESTOQUE")</f>
        <v>3 - ALMOX. ESTOQUE</v>
      </c>
      <c r="F357" s="88"/>
      <c r="G357" s="89">
        <f>IFERROR(__xludf.DUMMYFUNCTION("""COMPUTED_VALUE"""),1.3968823E7)</f>
        <v>13968823</v>
      </c>
      <c r="H357" s="87"/>
      <c r="I357" s="87"/>
    </row>
    <row r="358">
      <c r="A358" s="84">
        <f>IFERROR(__xludf.DUMMYFUNCTION("""COMPUTED_VALUE"""),357.0)</f>
        <v>357</v>
      </c>
      <c r="B358" s="85" t="str">
        <f>IFERROR(__xludf.DUMMYFUNCTION("""COMPUTED_VALUE"""),"GPS NAO AUTOMOTIVO -")</f>
        <v>GPS NAO AUTOMOTIVO -</v>
      </c>
      <c r="C358" s="86">
        <f>IFERROR(__xludf.DUMMYFUNCTION("""COMPUTED_VALUE"""),1.0)</f>
        <v>1</v>
      </c>
      <c r="D358" s="87" t="str">
        <f>IFERROR(__xludf.DUMMYFUNCTION("""COMPUTED_VALUE"""),"SEÇÃO")</f>
        <v>SEÇÃO</v>
      </c>
      <c r="E358" s="87" t="str">
        <f>IFERROR(__xludf.DUMMYFUNCTION("""COMPUTED_VALUE"""),"3 - DESCARGA")</f>
        <v>3 - DESCARGA</v>
      </c>
      <c r="F358" s="88"/>
      <c r="G358" s="89">
        <f>IFERROR(__xludf.DUMMYFUNCTION("""COMPUTED_VALUE"""),1.3958917E7)</f>
        <v>13958917</v>
      </c>
      <c r="H358" s="87"/>
      <c r="I358" s="87" t="str">
        <f>IFERROR(__xludf.DUMMYFUNCTION("""COMPUTED_VALUE"""),"MATERIAL DESCARREGADO - PROCESSO Nº 1400.01.0026473/2023-01                                                ")</f>
        <v>MATERIAL DESCARREGADO - PROCESSO Nº 1400.01.0026473/2023-01                                                </v>
      </c>
    </row>
    <row r="359">
      <c r="A359" s="84">
        <f>IFERROR(__xludf.DUMMYFUNCTION("""COMPUTED_VALUE"""),358.0)</f>
        <v>358</v>
      </c>
      <c r="B359" s="85" t="str">
        <f>IFERROR(__xludf.DUMMYFUNCTION("""COMPUTED_VALUE"""),"GRAVADOR PARA EQUIPAMENTO DE COMUNICACAO -")</f>
        <v>GRAVADOR PARA EQUIPAMENTO DE COMUNICACAO -</v>
      </c>
      <c r="C359" s="86">
        <f>IFERROR(__xludf.DUMMYFUNCTION("""COMPUTED_VALUE"""),1.0)</f>
        <v>1</v>
      </c>
      <c r="D359" s="87"/>
      <c r="E359" s="87" t="str">
        <f>IFERROR(__xludf.DUMMYFUNCTION("""COMPUTED_VALUE"""),"3 - CURVELO")</f>
        <v>3 - CURVELO</v>
      </c>
      <c r="F359" s="88"/>
      <c r="G359" s="89">
        <f>IFERROR(__xludf.DUMMYFUNCTION("""COMPUTED_VALUE"""),4.0304566E7)</f>
        <v>40304566</v>
      </c>
      <c r="H359" s="87"/>
      <c r="I359" s="87"/>
    </row>
    <row r="360">
      <c r="A360" s="84">
        <f>IFERROR(__xludf.DUMMYFUNCTION("""COMPUTED_VALUE"""),359.0)</f>
        <v>359</v>
      </c>
      <c r="B360" s="85" t="str">
        <f>IFERROR(__xludf.DUMMYFUNCTION("""COMPUTED_VALUE"""),"IMPRESSORA -")</f>
        <v>IMPRESSORA -</v>
      </c>
      <c r="C360" s="86">
        <f>IFERROR(__xludf.DUMMYFUNCTION("""COMPUTED_VALUE"""),1.0)</f>
        <v>1</v>
      </c>
      <c r="D360" s="87" t="str">
        <f>IFERROR(__xludf.DUMMYFUNCTION("""COMPUTED_VALUE"""),"SEÇÃO")</f>
        <v>SEÇÃO</v>
      </c>
      <c r="E360" s="87" t="str">
        <f>IFERROR(__xludf.DUMMYFUNCTION("""COMPUTED_VALUE"""),"3 - DESCARGA")</f>
        <v>3 - DESCARGA</v>
      </c>
      <c r="F360" s="88"/>
      <c r="G360" s="89">
        <f>IFERROR(__xludf.DUMMYFUNCTION("""COMPUTED_VALUE"""),1.387313E7)</f>
        <v>13873130</v>
      </c>
      <c r="H360" s="87"/>
      <c r="I360" s="87" t="str">
        <f>IFERROR(__xludf.DUMMYFUNCTION("""COMPUTED_VALUE"""),"MATERIAL DESCARREGADO - PROCESSO Nº 1400.01.0026473/2023-01                                                ")</f>
        <v>MATERIAL DESCARREGADO - PROCESSO Nº 1400.01.0026473/2023-01                                                </v>
      </c>
    </row>
    <row r="361">
      <c r="A361" s="84">
        <f>IFERROR(__xludf.DUMMYFUNCTION("""COMPUTED_VALUE"""),360.0)</f>
        <v>360</v>
      </c>
      <c r="B361" s="85" t="str">
        <f>IFERROR(__xludf.DUMMYFUNCTION("""COMPUTED_VALUE"""),"IMPRESSORA -")</f>
        <v>IMPRESSORA -</v>
      </c>
      <c r="C361" s="86">
        <f>IFERROR(__xludf.DUMMYFUNCTION("""COMPUTED_VALUE"""),1.0)</f>
        <v>1</v>
      </c>
      <c r="D361" s="87" t="str">
        <f>IFERROR(__xludf.DUMMYFUNCTION("""COMPUTED_VALUE"""),"SEÇÃO")</f>
        <v>SEÇÃO</v>
      </c>
      <c r="E361" s="87" t="str">
        <f>IFERROR(__xludf.DUMMYFUNCTION("""COMPUTED_VALUE"""),"3 - DESCARGA")</f>
        <v>3 - DESCARGA</v>
      </c>
      <c r="F361" s="88"/>
      <c r="G361" s="89">
        <f>IFERROR(__xludf.DUMMYFUNCTION("""COMPUTED_VALUE"""),1.3993046E7)</f>
        <v>13993046</v>
      </c>
      <c r="H361" s="87"/>
      <c r="I361" s="87" t="str">
        <f>IFERROR(__xludf.DUMMYFUNCTION("""COMPUTED_VALUE"""),"MATERIAL DESCARREGADO - PROCESSO Nº 1400.01.0026473/2023-01                                             ")</f>
        <v>MATERIAL DESCARREGADO - PROCESSO Nº 1400.01.0026473/2023-01                                             </v>
      </c>
    </row>
    <row r="362">
      <c r="A362" s="84">
        <f>IFERROR(__xludf.DUMMYFUNCTION("""COMPUTED_VALUE"""),361.0)</f>
        <v>361</v>
      </c>
      <c r="B362" s="85" t="str">
        <f>IFERROR(__xludf.DUMMYFUNCTION("""COMPUTED_VALUE"""),"IMPRESSORA -")</f>
        <v>IMPRESSORA -</v>
      </c>
      <c r="C362" s="86">
        <f>IFERROR(__xludf.DUMMYFUNCTION("""COMPUTED_VALUE"""),1.0)</f>
        <v>1</v>
      </c>
      <c r="D362" s="87" t="str">
        <f>IFERROR(__xludf.DUMMYFUNCTION("""COMPUTED_VALUE"""),"SEÇÃO")</f>
        <v>SEÇÃO</v>
      </c>
      <c r="E362" s="87" t="str">
        <f>IFERROR(__xludf.DUMMYFUNCTION("""COMPUTED_VALUE"""),"3 - DESCARGA")</f>
        <v>3 - DESCARGA</v>
      </c>
      <c r="F362" s="88"/>
      <c r="G362" s="89">
        <f>IFERROR(__xludf.DUMMYFUNCTION("""COMPUTED_VALUE"""),1.4115069E7)</f>
        <v>14115069</v>
      </c>
      <c r="H362" s="87"/>
      <c r="I362" s="87" t="str">
        <f>IFERROR(__xludf.DUMMYFUNCTION("""COMPUTED_VALUE"""),"MATERIAL DESCARREGADO - PROCESSO Nº 1400.01.0026473/2023-01                                             ")</f>
        <v>MATERIAL DESCARREGADO - PROCESSO Nº 1400.01.0026473/2023-01                                             </v>
      </c>
    </row>
    <row r="363">
      <c r="A363" s="84">
        <f>IFERROR(__xludf.DUMMYFUNCTION("""COMPUTED_VALUE"""),362.0)</f>
        <v>362</v>
      </c>
      <c r="B363" s="85" t="str">
        <f>IFERROR(__xludf.DUMMYFUNCTION("""COMPUTED_VALUE"""),"IMPRESSORA MULTIFUNCIONAL -")</f>
        <v>IMPRESSORA MULTIFUNCIONAL -</v>
      </c>
      <c r="C363" s="86">
        <f>IFERROR(__xludf.DUMMYFUNCTION("""COMPUTED_VALUE"""),1.0)</f>
        <v>1</v>
      </c>
      <c r="D363" s="87"/>
      <c r="E363" s="87" t="str">
        <f>IFERROR(__xludf.DUMMYFUNCTION("""COMPUTED_VALUE"""),"3 - CURVELO")</f>
        <v>3 - CURVELO</v>
      </c>
      <c r="F363" s="88"/>
      <c r="G363" s="89">
        <f>IFERROR(__xludf.DUMMYFUNCTION("""COMPUTED_VALUE"""),4.007871E7)</f>
        <v>40078710</v>
      </c>
      <c r="H363" s="87"/>
      <c r="I363" s="87" t="str">
        <f>IFERROR(__xludf.DUMMYFUNCTION("""COMPUTED_VALUE"""),"PPV")</f>
        <v>PPV</v>
      </c>
    </row>
    <row r="364">
      <c r="A364" s="84">
        <f>IFERROR(__xludf.DUMMYFUNCTION("""COMPUTED_VALUE"""),363.0)</f>
        <v>363</v>
      </c>
      <c r="B364" s="85" t="str">
        <f>IFERROR(__xludf.DUMMYFUNCTION("""COMPUTED_VALUE"""),"IMPRESSORA MULTIFUNCIONAL -")</f>
        <v>IMPRESSORA MULTIFUNCIONAL -</v>
      </c>
      <c r="C364" s="86">
        <f>IFERROR(__xludf.DUMMYFUNCTION("""COMPUTED_VALUE"""),1.0)</f>
        <v>1</v>
      </c>
      <c r="D364" s="87" t="str">
        <f>IFERROR(__xludf.DUMMYFUNCTION("""COMPUTED_VALUE"""),"SEÇÃO")</f>
        <v>SEÇÃO</v>
      </c>
      <c r="E364" s="87" t="str">
        <f>IFERROR(__xludf.DUMMYFUNCTION("""COMPUTED_VALUE"""),"3 - DESCARGA")</f>
        <v>3 - DESCARGA</v>
      </c>
      <c r="F364" s="88"/>
      <c r="G364" s="89">
        <f>IFERROR(__xludf.DUMMYFUNCTION("""COMPUTED_VALUE"""),4.02668E7)</f>
        <v>40266800</v>
      </c>
      <c r="H364" s="87"/>
      <c r="I364" s="87" t="str">
        <f>IFERROR(__xludf.DUMMYFUNCTION("""COMPUTED_VALUE"""),"estocado no CPD")</f>
        <v>estocado no CPD</v>
      </c>
    </row>
    <row r="365">
      <c r="A365" s="84">
        <f>IFERROR(__xludf.DUMMYFUNCTION("""COMPUTED_VALUE"""),364.0)</f>
        <v>364</v>
      </c>
      <c r="B365" s="85" t="str">
        <f>IFERROR(__xludf.DUMMYFUNCTION("""COMPUTED_VALUE"""),"IMPRESSORA MULTIFUNCIONAL -")</f>
        <v>IMPRESSORA MULTIFUNCIONAL -</v>
      </c>
      <c r="C365" s="86">
        <f>IFERROR(__xludf.DUMMYFUNCTION("""COMPUTED_VALUE"""),1.0)</f>
        <v>1</v>
      </c>
      <c r="D365" s="87" t="str">
        <f>IFERROR(__xludf.DUMMYFUNCTION("""COMPUTED_VALUE"""),"SEÇÃO")</f>
        <v>SEÇÃO</v>
      </c>
      <c r="E365" s="87" t="str">
        <f>IFERROR(__xludf.DUMMYFUNCTION("""COMPUTED_VALUE"""),"3 - DESCARGA")</f>
        <v>3 - DESCARGA</v>
      </c>
      <c r="F365" s="88"/>
      <c r="G365" s="89">
        <f>IFERROR(__xludf.DUMMYFUNCTION("""COMPUTED_VALUE"""),4.0266818E7)</f>
        <v>40266818</v>
      </c>
      <c r="H365" s="87"/>
      <c r="I365" s="87" t="str">
        <f>IFERROR(__xludf.DUMMYFUNCTION("""COMPUTED_VALUE"""),"MATERIAL DESCARREGADO - PROCESSO Nº 1400.01.0026473/2023-01                                                ")</f>
        <v>MATERIAL DESCARREGADO - PROCESSO Nº 1400.01.0026473/2023-01                                                </v>
      </c>
    </row>
    <row r="366">
      <c r="A366" s="84">
        <f>IFERROR(__xludf.DUMMYFUNCTION("""COMPUTED_VALUE"""),365.0)</f>
        <v>365</v>
      </c>
      <c r="B366" s="85" t="str">
        <f>IFERROR(__xludf.DUMMYFUNCTION("""COMPUTED_VALUE"""),"INTERFACE CELULAR -")</f>
        <v>INTERFACE CELULAR -</v>
      </c>
      <c r="C366" s="86">
        <f>IFERROR(__xludf.DUMMYFUNCTION("""COMPUTED_VALUE"""),1.0)</f>
        <v>1</v>
      </c>
      <c r="D366" s="87"/>
      <c r="E366" s="87" t="str">
        <f>IFERROR(__xludf.DUMMYFUNCTION("""COMPUTED_VALUE"""),"3 - CURVELO")</f>
        <v>3 - CURVELO</v>
      </c>
      <c r="F366" s="88"/>
      <c r="G366" s="89">
        <f>IFERROR(__xludf.DUMMYFUNCTION("""COMPUTED_VALUE"""),1.4002434E7)</f>
        <v>14002434</v>
      </c>
      <c r="H366" s="87"/>
      <c r="I366" s="87"/>
    </row>
    <row r="367">
      <c r="A367" s="84">
        <f>IFERROR(__xludf.DUMMYFUNCTION("""COMPUTED_VALUE"""),366.0)</f>
        <v>366</v>
      </c>
      <c r="B367" s="85" t="str">
        <f>IFERROR(__xludf.DUMMYFUNCTION("""COMPUTED_VALUE"""),"LANTERNA LUZ DE CENA -")</f>
        <v>LANTERNA LUZ DE CENA -</v>
      </c>
      <c r="C367" s="86">
        <f>IFERROR(__xludf.DUMMYFUNCTION("""COMPUTED_VALUE"""),1.0)</f>
        <v>1</v>
      </c>
      <c r="D367" s="87"/>
      <c r="E367" s="87" t="str">
        <f>IFERROR(__xludf.DUMMYFUNCTION("""COMPUTED_VALUE"""),"3 - CURVELO")</f>
        <v>3 - CURVELO</v>
      </c>
      <c r="F367" s="88"/>
      <c r="G367" s="89">
        <f>IFERROR(__xludf.DUMMYFUNCTION("""COMPUTED_VALUE"""),7.6828417E7)</f>
        <v>76828417</v>
      </c>
      <c r="H367" s="87"/>
      <c r="I367" s="87"/>
    </row>
    <row r="368">
      <c r="A368" s="84">
        <f>IFERROR(__xludf.DUMMYFUNCTION("""COMPUTED_VALUE"""),367.0)</f>
        <v>367</v>
      </c>
      <c r="B368" s="85" t="str">
        <f>IFERROR(__xludf.DUMMYFUNCTION("""COMPUTED_VALUE"""),"LAVADORA DE PRESSAO -")</f>
        <v>LAVADORA DE PRESSAO -</v>
      </c>
      <c r="C368" s="86">
        <f>IFERROR(__xludf.DUMMYFUNCTION("""COMPUTED_VALUE"""),1.0)</f>
        <v>1</v>
      </c>
      <c r="D368" s="87"/>
      <c r="E368" s="87" t="str">
        <f>IFERROR(__xludf.DUMMYFUNCTION("""COMPUTED_VALUE"""),"3 - CURVELO")</f>
        <v>3 - CURVELO</v>
      </c>
      <c r="F368" s="88"/>
      <c r="G368" s="89">
        <f>IFERROR(__xludf.DUMMYFUNCTION("""COMPUTED_VALUE"""),1.3967282E7)</f>
        <v>13967282</v>
      </c>
      <c r="H368" s="87"/>
      <c r="I368" s="87"/>
    </row>
    <row r="369">
      <c r="A369" s="84">
        <f>IFERROR(__xludf.DUMMYFUNCTION("""COMPUTED_VALUE"""),368.0)</f>
        <v>368</v>
      </c>
      <c r="B369" s="85" t="str">
        <f>IFERROR(__xludf.DUMMYFUNCTION("""COMPUTED_VALUE"""),"LIQUIDIFICADOR -")</f>
        <v>LIQUIDIFICADOR -</v>
      </c>
      <c r="C369" s="86">
        <f>IFERROR(__xludf.DUMMYFUNCTION("""COMPUTED_VALUE"""),1.0)</f>
        <v>1</v>
      </c>
      <c r="D369" s="87"/>
      <c r="E369" s="87" t="str">
        <f>IFERROR(__xludf.DUMMYFUNCTION("""COMPUTED_VALUE"""),"3 - CURVELO")</f>
        <v>3 - CURVELO</v>
      </c>
      <c r="F369" s="88"/>
      <c r="G369" s="89">
        <f>IFERROR(__xludf.DUMMYFUNCTION("""COMPUTED_VALUE"""),4.0356701E7)</f>
        <v>40356701</v>
      </c>
      <c r="H369" s="87"/>
      <c r="I369" s="87"/>
    </row>
    <row r="370">
      <c r="A370" s="84">
        <f>IFERROR(__xludf.DUMMYFUNCTION("""COMPUTED_VALUE"""),369.0)</f>
        <v>369</v>
      </c>
      <c r="B370" s="85" t="str">
        <f>IFERROR(__xludf.DUMMYFUNCTION("""COMPUTED_VALUE"""),"LONGARINA -")</f>
        <v>LONGARINA -</v>
      </c>
      <c r="C370" s="86">
        <f>IFERROR(__xludf.DUMMYFUNCTION("""COMPUTED_VALUE"""),1.0)</f>
        <v>1</v>
      </c>
      <c r="D370" s="87"/>
      <c r="E370" s="87" t="str">
        <f>IFERROR(__xludf.DUMMYFUNCTION("""COMPUTED_VALUE"""),"3 - CURVELO")</f>
        <v>3 - CURVELO</v>
      </c>
      <c r="F370" s="88"/>
      <c r="G370" s="89">
        <f>IFERROR(__xludf.DUMMYFUNCTION("""COMPUTED_VALUE"""),4.02873E7)</f>
        <v>40287300</v>
      </c>
      <c r="H370" s="87"/>
      <c r="I370" s="87"/>
    </row>
    <row r="371">
      <c r="A371" s="84">
        <f>IFERROR(__xludf.DUMMYFUNCTION("""COMPUTED_VALUE"""),370.0)</f>
        <v>370</v>
      </c>
      <c r="B371" s="85" t="str">
        <f>IFERROR(__xludf.DUMMYFUNCTION("""COMPUTED_VALUE"""),"LUXIMETRO -")</f>
        <v>LUXIMETRO -</v>
      </c>
      <c r="C371" s="86">
        <f>IFERROR(__xludf.DUMMYFUNCTION("""COMPUTED_VALUE"""),1.0)</f>
        <v>1</v>
      </c>
      <c r="D371" s="87"/>
      <c r="E371" s="87" t="str">
        <f>IFERROR(__xludf.DUMMYFUNCTION("""COMPUTED_VALUE"""),"3 - CURVELO")</f>
        <v>3 - CURVELO</v>
      </c>
      <c r="F371" s="88"/>
      <c r="G371" s="89">
        <f>IFERROR(__xludf.DUMMYFUNCTION("""COMPUTED_VALUE"""),4.0344371E7)</f>
        <v>40344371</v>
      </c>
      <c r="H371" s="87"/>
      <c r="I371" s="87"/>
    </row>
    <row r="372">
      <c r="A372" s="84">
        <f>IFERROR(__xludf.DUMMYFUNCTION("""COMPUTED_VALUE"""),371.0)</f>
        <v>371</v>
      </c>
      <c r="B372" s="85" t="str">
        <f>IFERROR(__xludf.DUMMYFUNCTION("""COMPUTED_VALUE"""),"MACA -")</f>
        <v>MACA -</v>
      </c>
      <c r="C372" s="86">
        <f>IFERROR(__xludf.DUMMYFUNCTION("""COMPUTED_VALUE"""),1.0)</f>
        <v>1</v>
      </c>
      <c r="D372" s="87"/>
      <c r="E372" s="87" t="str">
        <f>IFERROR(__xludf.DUMMYFUNCTION("""COMPUTED_VALUE"""),"3 - CURVELO")</f>
        <v>3 - CURVELO</v>
      </c>
      <c r="F372" s="88"/>
      <c r="G372" s="89">
        <f>IFERROR(__xludf.DUMMYFUNCTION("""COMPUTED_VALUE"""),1.3858912E7)</f>
        <v>13858912</v>
      </c>
      <c r="H372" s="87"/>
      <c r="I372" s="87"/>
    </row>
    <row r="373">
      <c r="A373" s="84">
        <f>IFERROR(__xludf.DUMMYFUNCTION("""COMPUTED_VALUE"""),372.0)</f>
        <v>372</v>
      </c>
      <c r="B373" s="85" t="str">
        <f>IFERROR(__xludf.DUMMYFUNCTION("""COMPUTED_VALUE"""),"EQUIPAMENTO DE PROTEÇÃO RESPIRATÓRIO, COMPLETO -")</f>
        <v>EQUIPAMENTO DE PROTEÇÃO RESPIRATÓRIO, COMPLETO -</v>
      </c>
      <c r="C373" s="86">
        <f>IFERROR(__xludf.DUMMYFUNCTION("""COMPUTED_VALUE"""),1.0)</f>
        <v>1</v>
      </c>
      <c r="D373" s="87" t="str">
        <f>IFERROR(__xludf.DUMMYFUNCTION("""COMPUTED_VALUE"""),"SEÇÃO")</f>
        <v>SEÇÃO</v>
      </c>
      <c r="E373" s="87" t="str">
        <f>IFERROR(__xludf.DUMMYFUNCTION("""COMPUTED_VALUE"""),"1 - ABTS3026")</f>
        <v>1 - ABTS3026</v>
      </c>
      <c r="F373" s="88" t="str">
        <f>IFERROR(__xludf.DUMMYFUNCTION("""COMPUTED_VALUE"""),"BOX 01")</f>
        <v>BOX 01</v>
      </c>
      <c r="G373" s="89">
        <f>IFERROR(__xludf.DUMMYFUNCTION("""COMPUTED_VALUE"""),1.3985914E7)</f>
        <v>13985914</v>
      </c>
      <c r="H373" s="87"/>
      <c r="I373" s="87"/>
    </row>
    <row r="374">
      <c r="A374" s="84">
        <f>IFERROR(__xludf.DUMMYFUNCTION("""COMPUTED_VALUE"""),373.0)</f>
        <v>373</v>
      </c>
      <c r="B374" s="85" t="str">
        <f>IFERROR(__xludf.DUMMYFUNCTION("""COMPUTED_VALUE"""),"EQUIPAMENTO DE PROTEÇÃO RESPIRATÓRIO, COMPLETO -")</f>
        <v>EQUIPAMENTO DE PROTEÇÃO RESPIRATÓRIO, COMPLETO -</v>
      </c>
      <c r="C374" s="86">
        <f>IFERROR(__xludf.DUMMYFUNCTION("""COMPUTED_VALUE"""),1.0)</f>
        <v>1</v>
      </c>
      <c r="D374" s="87"/>
      <c r="E374" s="87" t="str">
        <f>IFERROR(__xludf.DUMMYFUNCTION("""COMPUTED_VALUE"""),"3 - CURVELO")</f>
        <v>3 - CURVELO</v>
      </c>
      <c r="F374" s="88"/>
      <c r="G374" s="89">
        <f>IFERROR(__xludf.DUMMYFUNCTION("""COMPUTED_VALUE"""),1.4043971E7)</f>
        <v>14043971</v>
      </c>
      <c r="H374" s="87"/>
      <c r="I374" s="87"/>
    </row>
    <row r="375">
      <c r="A375" s="84">
        <f>IFERROR(__xludf.DUMMYFUNCTION("""COMPUTED_VALUE"""),374.0)</f>
        <v>374</v>
      </c>
      <c r="B375" s="85" t="str">
        <f>IFERROR(__xludf.DUMMYFUNCTION("""COMPUTED_VALUE"""),"EQUIPAMENTO DE PROTEÇÃO RESPIRATÓRIO, COMPLETO -")</f>
        <v>EQUIPAMENTO DE PROTEÇÃO RESPIRATÓRIO, COMPLETO -</v>
      </c>
      <c r="C375" s="86">
        <f>IFERROR(__xludf.DUMMYFUNCTION("""COMPUTED_VALUE"""),1.0)</f>
        <v>1</v>
      </c>
      <c r="D375" s="87" t="str">
        <f>IFERROR(__xludf.DUMMYFUNCTION("""COMPUTED_VALUE"""),"SEÇÃO")</f>
        <v>SEÇÃO</v>
      </c>
      <c r="E375" s="87" t="str">
        <f>IFERROR(__xludf.DUMMYFUNCTION("""COMPUTED_VALUE"""),"3 - DESCARGA")</f>
        <v>3 - DESCARGA</v>
      </c>
      <c r="F375" s="88"/>
      <c r="G375" s="89">
        <f>IFERROR(__xludf.DUMMYFUNCTION("""COMPUTED_VALUE"""),1.4044005E7)</f>
        <v>14044005</v>
      </c>
      <c r="H375" s="87"/>
      <c r="I375" s="87" t="str">
        <f>IFERROR(__xludf.DUMMYFUNCTION("""COMPUTED_VALUE"""),"MATERIAL DESCARREGADO - PROCESSO Nº 1400.01.0026473/2023-01                                                ")</f>
        <v>MATERIAL DESCARREGADO - PROCESSO Nº 1400.01.0026473/2023-01                                                </v>
      </c>
    </row>
    <row r="376">
      <c r="A376" s="84">
        <f>IFERROR(__xludf.DUMMYFUNCTION("""COMPUTED_VALUE"""),375.0)</f>
        <v>375</v>
      </c>
      <c r="B376" s="85" t="str">
        <f>IFERROR(__xludf.DUMMYFUNCTION("""COMPUTED_VALUE"""),"EQUIPAMENTO DE PROTEÇÃO RESPIRATÓRIO, COMPLETO -")</f>
        <v>EQUIPAMENTO DE PROTEÇÃO RESPIRATÓRIO, COMPLETO -</v>
      </c>
      <c r="C376" s="86">
        <f>IFERROR(__xludf.DUMMYFUNCTION("""COMPUTED_VALUE"""),1.0)</f>
        <v>1</v>
      </c>
      <c r="D376" s="87"/>
      <c r="E376" s="87" t="str">
        <f>IFERROR(__xludf.DUMMYFUNCTION("""COMPUTED_VALUE"""),"3 - CURVELO")</f>
        <v>3 - CURVELO</v>
      </c>
      <c r="F376" s="88"/>
      <c r="G376" s="89">
        <f>IFERROR(__xludf.DUMMYFUNCTION("""COMPUTED_VALUE"""),7.6830683E7)</f>
        <v>76830683</v>
      </c>
      <c r="H376" s="87" t="str">
        <f>IFERROR(__xludf.DUMMYFUNCTION("""COMPUTED_VALUE"""),"X3PSC?4.5.QD18UEBSEM")</f>
        <v>X3PSC?4.5.QD18UEBSEM</v>
      </c>
      <c r="I376" s="87"/>
    </row>
    <row r="377">
      <c r="A377" s="84">
        <f>IFERROR(__xludf.DUMMYFUNCTION("""COMPUTED_VALUE"""),376.0)</f>
        <v>376</v>
      </c>
      <c r="B377" s="85" t="str">
        <f>IFERROR(__xludf.DUMMYFUNCTION("""COMPUTED_VALUE"""),"EQUIPAMENTO DE PROTEÇÃO RESPIRATÓRIO, COMPLETO -")</f>
        <v>EQUIPAMENTO DE PROTEÇÃO RESPIRATÓRIO, COMPLETO -</v>
      </c>
      <c r="C377" s="86">
        <f>IFERROR(__xludf.DUMMYFUNCTION("""COMPUTED_VALUE"""),1.0)</f>
        <v>1</v>
      </c>
      <c r="D377" s="87"/>
      <c r="E377" s="87" t="str">
        <f>IFERROR(__xludf.DUMMYFUNCTION("""COMPUTED_VALUE"""),"3 - CURVELO")</f>
        <v>3 - CURVELO</v>
      </c>
      <c r="F377" s="88"/>
      <c r="G377" s="89">
        <f>IFERROR(__xludf.DUMMYFUNCTION("""COMPUTED_VALUE"""),7.6830691E7)</f>
        <v>76830691</v>
      </c>
      <c r="H377" s="87"/>
      <c r="I377" s="87"/>
    </row>
    <row r="378">
      <c r="A378" s="84">
        <f>IFERROR(__xludf.DUMMYFUNCTION("""COMPUTED_VALUE"""),377.0)</f>
        <v>377</v>
      </c>
      <c r="B378" s="85" t="str">
        <f>IFERROR(__xludf.DUMMYFUNCTION("""COMPUTED_VALUE"""),"MESA PARA COMPUTADOR -")</f>
        <v>MESA PARA COMPUTADOR -</v>
      </c>
      <c r="C378" s="86">
        <f>IFERROR(__xludf.DUMMYFUNCTION("""COMPUTED_VALUE"""),1.0)</f>
        <v>1</v>
      </c>
      <c r="D378" s="87"/>
      <c r="E378" s="87" t="str">
        <f>IFERROR(__xludf.DUMMYFUNCTION("""COMPUTED_VALUE"""),"3 - CURVELO")</f>
        <v>3 - CURVELO</v>
      </c>
      <c r="F378" s="88"/>
      <c r="G378" s="89">
        <f>IFERROR(__xludf.DUMMYFUNCTION("""COMPUTED_VALUE"""),2111942.0)</f>
        <v>2111942</v>
      </c>
      <c r="H378" s="87"/>
      <c r="I378" s="87"/>
    </row>
    <row r="379">
      <c r="A379" s="84">
        <f>IFERROR(__xludf.DUMMYFUNCTION("""COMPUTED_VALUE"""),378.0)</f>
        <v>378</v>
      </c>
      <c r="B379" s="85" t="str">
        <f>IFERROR(__xludf.DUMMYFUNCTION("""COMPUTED_VALUE"""),"MESA PARA ESCRITORIO -")</f>
        <v>MESA PARA ESCRITORIO -</v>
      </c>
      <c r="C379" s="86">
        <f>IFERROR(__xludf.DUMMYFUNCTION("""COMPUTED_VALUE"""),1.0)</f>
        <v>1</v>
      </c>
      <c r="D379" s="87"/>
      <c r="E379" s="87" t="str">
        <f>IFERROR(__xludf.DUMMYFUNCTION("""COMPUTED_VALUE"""),"3 - CURVELO")</f>
        <v>3 - CURVELO</v>
      </c>
      <c r="F379" s="88"/>
      <c r="G379" s="89">
        <f>IFERROR(__xludf.DUMMYFUNCTION("""COMPUTED_VALUE"""),4.0287424E7)</f>
        <v>40287424</v>
      </c>
      <c r="H379" s="87"/>
      <c r="I379" s="87"/>
    </row>
    <row r="380">
      <c r="A380" s="84">
        <f>IFERROR(__xludf.DUMMYFUNCTION("""COMPUTED_VALUE"""),379.0)</f>
        <v>379</v>
      </c>
      <c r="B380" s="85" t="str">
        <f>IFERROR(__xludf.DUMMYFUNCTION("""COMPUTED_VALUE"""),"MESA PARA ESCRITORIO -")</f>
        <v>MESA PARA ESCRITORIO -</v>
      </c>
      <c r="C380" s="86">
        <f>IFERROR(__xludf.DUMMYFUNCTION("""COMPUTED_VALUE"""),1.0)</f>
        <v>1</v>
      </c>
      <c r="D380" s="87"/>
      <c r="E380" s="87" t="str">
        <f>IFERROR(__xludf.DUMMYFUNCTION("""COMPUTED_VALUE"""),"3 - CURVELO")</f>
        <v>3 - CURVELO</v>
      </c>
      <c r="F380" s="88"/>
      <c r="G380" s="89">
        <f>IFERROR(__xludf.DUMMYFUNCTION("""COMPUTED_VALUE"""),4.0287432E7)</f>
        <v>40287432</v>
      </c>
      <c r="H380" s="87"/>
      <c r="I380" s="87"/>
    </row>
    <row r="381">
      <c r="A381" s="84">
        <f>IFERROR(__xludf.DUMMYFUNCTION("""COMPUTED_VALUE"""),380.0)</f>
        <v>380</v>
      </c>
      <c r="B381" s="85" t="str">
        <f>IFERROR(__xludf.DUMMYFUNCTION("""COMPUTED_VALUE"""),"MESA PARA ESCRITORIO -")</f>
        <v>MESA PARA ESCRITORIO -</v>
      </c>
      <c r="C381" s="86">
        <f>IFERROR(__xludf.DUMMYFUNCTION("""COMPUTED_VALUE"""),1.0)</f>
        <v>1</v>
      </c>
      <c r="D381" s="87"/>
      <c r="E381" s="87" t="str">
        <f>IFERROR(__xludf.DUMMYFUNCTION("""COMPUTED_VALUE"""),"3 - CURVELO")</f>
        <v>3 - CURVELO</v>
      </c>
      <c r="F381" s="88"/>
      <c r="G381" s="89">
        <f>IFERROR(__xludf.DUMMYFUNCTION("""COMPUTED_VALUE"""),4.028744E7)</f>
        <v>40287440</v>
      </c>
      <c r="H381" s="87"/>
      <c r="I381" s="87"/>
    </row>
    <row r="382">
      <c r="A382" s="84">
        <f>IFERROR(__xludf.DUMMYFUNCTION("""COMPUTED_VALUE"""),381.0)</f>
        <v>381</v>
      </c>
      <c r="B382" s="85" t="str">
        <f>IFERROR(__xludf.DUMMYFUNCTION("""COMPUTED_VALUE"""),"MESA PARA ESCRITORIO -")</f>
        <v>MESA PARA ESCRITORIO -</v>
      </c>
      <c r="C382" s="86">
        <f>IFERROR(__xludf.DUMMYFUNCTION("""COMPUTED_VALUE"""),1.0)</f>
        <v>1</v>
      </c>
      <c r="D382" s="87"/>
      <c r="E382" s="87" t="str">
        <f>IFERROR(__xludf.DUMMYFUNCTION("""COMPUTED_VALUE"""),"3 - CURVELO")</f>
        <v>3 - CURVELO</v>
      </c>
      <c r="F382" s="88"/>
      <c r="G382" s="89">
        <f>IFERROR(__xludf.DUMMYFUNCTION("""COMPUTED_VALUE"""),4.0287459E7)</f>
        <v>40287459</v>
      </c>
      <c r="H382" s="87"/>
      <c r="I382" s="87"/>
    </row>
    <row r="383">
      <c r="A383" s="84">
        <f>IFERROR(__xludf.DUMMYFUNCTION("""COMPUTED_VALUE"""),382.0)</f>
        <v>382</v>
      </c>
      <c r="B383" s="85" t="str">
        <f>IFERROR(__xludf.DUMMYFUNCTION("""COMPUTED_VALUE"""),"MESA PARA MICROCOMPUTADOR - (II)")</f>
        <v>MESA PARA MICROCOMPUTADOR - (II)</v>
      </c>
      <c r="C383" s="86">
        <f>IFERROR(__xludf.DUMMYFUNCTION("""COMPUTED_VALUE"""),1.0)</f>
        <v>1</v>
      </c>
      <c r="D383" s="87"/>
      <c r="E383" s="87" t="str">
        <f>IFERROR(__xludf.DUMMYFUNCTION("""COMPUTED_VALUE"""),"3 - CURVELO")</f>
        <v>3 - CURVELO</v>
      </c>
      <c r="F383" s="88"/>
      <c r="G383" s="89">
        <f>IFERROR(__xludf.DUMMYFUNCTION("""COMPUTED_VALUE"""),1.2700576E7)</f>
        <v>12700576</v>
      </c>
      <c r="H383" s="87"/>
      <c r="I383" s="87"/>
    </row>
    <row r="384">
      <c r="A384" s="84">
        <f>IFERROR(__xludf.DUMMYFUNCTION("""COMPUTED_VALUE"""),383.0)</f>
        <v>383</v>
      </c>
      <c r="B384" s="85" t="str">
        <f>IFERROR(__xludf.DUMMYFUNCTION("""COMPUTED_VALUE"""),"MESA PARA MICROCOMPUTADOR - (II)")</f>
        <v>MESA PARA MICROCOMPUTADOR - (II)</v>
      </c>
      <c r="C384" s="86">
        <f>IFERROR(__xludf.DUMMYFUNCTION("""COMPUTED_VALUE"""),1.0)</f>
        <v>1</v>
      </c>
      <c r="D384" s="87"/>
      <c r="E384" s="87" t="str">
        <f>IFERROR(__xludf.DUMMYFUNCTION("""COMPUTED_VALUE"""),"3 - CURVELO")</f>
        <v>3 - CURVELO</v>
      </c>
      <c r="F384" s="88"/>
      <c r="G384" s="89">
        <f>IFERROR(__xludf.DUMMYFUNCTION("""COMPUTED_VALUE"""),1.2706132E7)</f>
        <v>12706132</v>
      </c>
      <c r="H384" s="87"/>
      <c r="I384" s="87"/>
    </row>
    <row r="385">
      <c r="A385" s="84">
        <f>IFERROR(__xludf.DUMMYFUNCTION("""COMPUTED_VALUE"""),384.0)</f>
        <v>384</v>
      </c>
      <c r="B385" s="85" t="str">
        <f>IFERROR(__xludf.DUMMYFUNCTION("""COMPUTED_VALUE"""),"MESA PARA MICROCOMPUTADOR -(III)")</f>
        <v>MESA PARA MICROCOMPUTADOR -(III)</v>
      </c>
      <c r="C385" s="86">
        <f>IFERROR(__xludf.DUMMYFUNCTION("""COMPUTED_VALUE"""),1.0)</f>
        <v>1</v>
      </c>
      <c r="D385" s="87"/>
      <c r="E385" s="87" t="str">
        <f>IFERROR(__xludf.DUMMYFUNCTION("""COMPUTED_VALUE"""),"3 - CURVELO")</f>
        <v>3 - CURVELO</v>
      </c>
      <c r="F385" s="88"/>
      <c r="G385" s="89">
        <f>IFERROR(__xludf.DUMMYFUNCTION("""COMPUTED_VALUE"""),1.4119579E7)</f>
        <v>14119579</v>
      </c>
      <c r="H385" s="87"/>
      <c r="I385" s="87"/>
    </row>
    <row r="386">
      <c r="A386" s="84">
        <f>IFERROR(__xludf.DUMMYFUNCTION("""COMPUTED_VALUE"""),385.0)</f>
        <v>385</v>
      </c>
      <c r="B386" s="85" t="str">
        <f>IFERROR(__xludf.DUMMYFUNCTION("""COMPUTED_VALUE"""),"MICRO RETIFICA -")</f>
        <v>MICRO RETIFICA -</v>
      </c>
      <c r="C386" s="86">
        <f>IFERROR(__xludf.DUMMYFUNCTION("""COMPUTED_VALUE"""),1.0)</f>
        <v>1</v>
      </c>
      <c r="D386" s="87"/>
      <c r="E386" s="87" t="str">
        <f>IFERROR(__xludf.DUMMYFUNCTION("""COMPUTED_VALUE"""),"3 - CURVELO")</f>
        <v>3 - CURVELO</v>
      </c>
      <c r="F386" s="88"/>
      <c r="G386" s="89">
        <f>IFERROR(__xludf.DUMMYFUNCTION("""COMPUTED_VALUE"""),4.0359441E7)</f>
        <v>40359441</v>
      </c>
      <c r="H386" s="87"/>
      <c r="I386" s="87"/>
    </row>
    <row r="387">
      <c r="A387" s="84">
        <f>IFERROR(__xludf.DUMMYFUNCTION("""COMPUTED_VALUE"""),386.0)</f>
        <v>386</v>
      </c>
      <c r="B387" s="85" t="str">
        <f>IFERROR(__xludf.DUMMYFUNCTION("""COMPUTED_VALUE"""),"MICRO RETIFICA -")</f>
        <v>MICRO RETIFICA -</v>
      </c>
      <c r="C387" s="86">
        <f>IFERROR(__xludf.DUMMYFUNCTION("""COMPUTED_VALUE"""),1.0)</f>
        <v>1</v>
      </c>
      <c r="D387" s="87"/>
      <c r="E387" s="87" t="str">
        <f>IFERROR(__xludf.DUMMYFUNCTION("""COMPUTED_VALUE"""),"3 - CURVELO")</f>
        <v>3 - CURVELO</v>
      </c>
      <c r="F387" s="88"/>
      <c r="G387" s="89">
        <f>IFERROR(__xludf.DUMMYFUNCTION("""COMPUTED_VALUE"""),7.6705064E7)</f>
        <v>76705064</v>
      </c>
      <c r="H387" s="87"/>
      <c r="I387" s="87"/>
    </row>
    <row r="388">
      <c r="A388" s="84">
        <f>IFERROR(__xludf.DUMMYFUNCTION("""COMPUTED_VALUE"""),387.0)</f>
        <v>387</v>
      </c>
      <c r="B388" s="85" t="str">
        <f>IFERROR(__xludf.DUMMYFUNCTION("""COMPUTED_VALUE"""),"MOTOBOMBA -")</f>
        <v>MOTOBOMBA -</v>
      </c>
      <c r="C388" s="86">
        <f>IFERROR(__xludf.DUMMYFUNCTION("""COMPUTED_VALUE"""),1.0)</f>
        <v>1</v>
      </c>
      <c r="D388" s="87"/>
      <c r="E388" s="87" t="str">
        <f>IFERROR(__xludf.DUMMYFUNCTION("""COMPUTED_VALUE"""),"3 - CURVELO")</f>
        <v>3 - CURVELO</v>
      </c>
      <c r="F388" s="88"/>
      <c r="G388" s="89">
        <f>IFERROR(__xludf.DUMMYFUNCTION("""COMPUTED_VALUE"""),1.3891073E7)</f>
        <v>13891073</v>
      </c>
      <c r="H388" s="87"/>
      <c r="I388" s="87"/>
    </row>
    <row r="389">
      <c r="A389" s="84">
        <f>IFERROR(__xludf.DUMMYFUNCTION("""COMPUTED_VALUE"""),388.0)</f>
        <v>388</v>
      </c>
      <c r="B389" s="85" t="str">
        <f>IFERROR(__xludf.DUMMYFUNCTION("""COMPUTED_VALUE"""),"MOTOR DE POPA -")</f>
        <v>MOTOR DE POPA -</v>
      </c>
      <c r="C389" s="86">
        <f>IFERROR(__xludf.DUMMYFUNCTION("""COMPUTED_VALUE"""),1.0)</f>
        <v>1</v>
      </c>
      <c r="D389" s="87" t="str">
        <f>IFERROR(__xludf.DUMMYFUNCTION("""COMPUTED_VALUE"""),"SEÇÃO")</f>
        <v>SEÇÃO</v>
      </c>
      <c r="E389" s="87" t="str">
        <f>IFERROR(__xludf.DUMMYFUNCTION("""COMPUTED_VALUE"""),"3 - DESCARGA")</f>
        <v>3 - DESCARGA</v>
      </c>
      <c r="F389" s="88"/>
      <c r="G389" s="89">
        <f>IFERROR(__xludf.DUMMYFUNCTION("""COMPUTED_VALUE"""),1.389005E7)</f>
        <v>13890050</v>
      </c>
      <c r="H389" s="87"/>
      <c r="I389" s="87" t="str">
        <f>IFERROR(__xludf.DUMMYFUNCTION("""COMPUTED_VALUE"""),"MATERIAL DESCARREGADO - PROCESSO Nº 1400.01.0026473/2023-01")</f>
        <v>MATERIAL DESCARREGADO - PROCESSO Nº 1400.01.0026473/2023-01</v>
      </c>
    </row>
    <row r="390">
      <c r="A390" s="84">
        <f>IFERROR(__xludf.DUMMYFUNCTION("""COMPUTED_VALUE"""),389.0)</f>
        <v>389</v>
      </c>
      <c r="B390" s="85" t="str">
        <f>IFERROR(__xludf.DUMMYFUNCTION("""COMPUTED_VALUE"""),"MOTOR DE POPA -")</f>
        <v>MOTOR DE POPA -</v>
      </c>
      <c r="C390" s="86">
        <f>IFERROR(__xludf.DUMMYFUNCTION("""COMPUTED_VALUE"""),1.0)</f>
        <v>1</v>
      </c>
      <c r="D390" s="87"/>
      <c r="E390" s="87" t="str">
        <f>IFERROR(__xludf.DUMMYFUNCTION("""COMPUTED_VALUE"""),"3 - DESCARGA")</f>
        <v>3 - DESCARGA</v>
      </c>
      <c r="F390" s="88"/>
      <c r="G390" s="89">
        <f>IFERROR(__xludf.DUMMYFUNCTION("""COMPUTED_VALUE"""),1.3890069E7)</f>
        <v>13890069</v>
      </c>
      <c r="H390" s="87"/>
      <c r="I390" s="87" t="str">
        <f>IFERROR(__xludf.DUMMYFUNCTION("""COMPUTED_VALUE"""),"MATERIAL DESCARREGADO - PROCESSO Nº 1400.01.0026473/2023-01")</f>
        <v>MATERIAL DESCARREGADO - PROCESSO Nº 1400.01.0026473/2023-01</v>
      </c>
    </row>
    <row r="391">
      <c r="A391" s="84">
        <f>IFERROR(__xludf.DUMMYFUNCTION("""COMPUTED_VALUE"""),390.0)</f>
        <v>390</v>
      </c>
      <c r="B391" s="85" t="str">
        <f>IFERROR(__xludf.DUMMYFUNCTION("""COMPUTED_VALUE"""),"MOTOR DE POPA -")</f>
        <v>MOTOR DE POPA -</v>
      </c>
      <c r="C391" s="86">
        <f>IFERROR(__xludf.DUMMYFUNCTION("""COMPUTED_VALUE"""),1.0)</f>
        <v>1</v>
      </c>
      <c r="D391" s="87"/>
      <c r="E391" s="87" t="str">
        <f>IFERROR(__xludf.DUMMYFUNCTION("""COMPUTED_VALUE"""),"3 - CURVELO")</f>
        <v>3 - CURVELO</v>
      </c>
      <c r="F391" s="88"/>
      <c r="G391" s="89">
        <f>IFERROR(__xludf.DUMMYFUNCTION("""COMPUTED_VALUE"""),1.41059E7)</f>
        <v>14105900</v>
      </c>
      <c r="H391" s="87"/>
      <c r="I391" s="87"/>
    </row>
    <row r="392">
      <c r="A392" s="84">
        <f>IFERROR(__xludf.DUMMYFUNCTION("""COMPUTED_VALUE"""),391.0)</f>
        <v>391</v>
      </c>
      <c r="B392" s="85" t="str">
        <f>IFERROR(__xludf.DUMMYFUNCTION("""COMPUTED_VALUE"""),"MOTOSSERRA -")</f>
        <v>MOTOSSERRA -</v>
      </c>
      <c r="C392" s="86">
        <f>IFERROR(__xludf.DUMMYFUNCTION("""COMPUTED_VALUE"""),1.0)</f>
        <v>1</v>
      </c>
      <c r="D392" s="87" t="str">
        <f>IFERROR(__xludf.DUMMYFUNCTION("""COMPUTED_VALUE"""),"SEÇÃO")</f>
        <v>SEÇÃO</v>
      </c>
      <c r="E392" s="87" t="str">
        <f>IFERROR(__xludf.DUMMYFUNCTION("""COMPUTED_VALUE"""),"3 - CURVELO")</f>
        <v>3 - CURVELO</v>
      </c>
      <c r="F392" s="88"/>
      <c r="G392" s="89">
        <f>IFERROR(__xludf.DUMMYFUNCTION("""COMPUTED_VALUE"""),1.391829E7)</f>
        <v>13918290</v>
      </c>
      <c r="H392" s="87" t="str">
        <f>IFERROR(__xludf.DUMMYFUNCTION("""COMPUTED_VALUE"""),"SAO")</f>
        <v>SAO</v>
      </c>
      <c r="I392" s="87"/>
    </row>
    <row r="393">
      <c r="A393" s="84">
        <f>IFERROR(__xludf.DUMMYFUNCTION("""COMPUTED_VALUE"""),392.0)</f>
        <v>392</v>
      </c>
      <c r="B393" s="85" t="str">
        <f>IFERROR(__xludf.DUMMYFUNCTION("""COMPUTED_VALUE"""),"MOTOSSERRA -")</f>
        <v>MOTOSSERRA -</v>
      </c>
      <c r="C393" s="86">
        <f>IFERROR(__xludf.DUMMYFUNCTION("""COMPUTED_VALUE"""),1.0)</f>
        <v>1</v>
      </c>
      <c r="D393" s="87" t="str">
        <f>IFERROR(__xludf.DUMMYFUNCTION("""COMPUTED_VALUE"""),"SEÇÃO")</f>
        <v>SEÇÃO</v>
      </c>
      <c r="E393" s="87" t="str">
        <f>IFERROR(__xludf.DUMMYFUNCTION("""COMPUTED_VALUE"""),"3 - CURVELO")</f>
        <v>3 - CURVELO</v>
      </c>
      <c r="F393" s="88"/>
      <c r="G393" s="89">
        <f>IFERROR(__xludf.DUMMYFUNCTION("""COMPUTED_VALUE"""),1.3998951E7)</f>
        <v>13998951</v>
      </c>
      <c r="H393" s="87"/>
      <c r="I393" s="87"/>
    </row>
    <row r="394">
      <c r="A394" s="84">
        <f>IFERROR(__xludf.DUMMYFUNCTION("""COMPUTED_VALUE"""),393.0)</f>
        <v>393</v>
      </c>
      <c r="B394" s="85" t="str">
        <f>IFERROR(__xludf.DUMMYFUNCTION("""COMPUTED_VALUE"""),"MOTOSSERRA -")</f>
        <v>MOTOSSERRA -</v>
      </c>
      <c r="C394" s="86">
        <f>IFERROR(__xludf.DUMMYFUNCTION("""COMPUTED_VALUE"""),1.0)</f>
        <v>1</v>
      </c>
      <c r="D394" s="87" t="str">
        <f>IFERROR(__xludf.DUMMYFUNCTION("""COMPUTED_VALUE"""),"SEÇÃO")</f>
        <v>SEÇÃO</v>
      </c>
      <c r="E394" s="87" t="str">
        <f>IFERROR(__xludf.DUMMYFUNCTION("""COMPUTED_VALUE"""),"3 - CURVELO")</f>
        <v>3 - CURVELO</v>
      </c>
      <c r="F394" s="88"/>
      <c r="G394" s="89">
        <f>IFERROR(__xludf.DUMMYFUNCTION("""COMPUTED_VALUE"""),1.405283E7)</f>
        <v>14052830</v>
      </c>
      <c r="H394" s="87" t="str">
        <f>IFERROR(__xludf.DUMMYFUNCTION("""COMPUTED_VALUE"""),"SAO")</f>
        <v>SAO</v>
      </c>
      <c r="I394" s="87"/>
    </row>
    <row r="395">
      <c r="A395" s="84">
        <f>IFERROR(__xludf.DUMMYFUNCTION("""COMPUTED_VALUE"""),394.0)</f>
        <v>394</v>
      </c>
      <c r="B395" s="85" t="str">
        <f>IFERROR(__xludf.DUMMYFUNCTION("""COMPUTED_VALUE"""),"MOTOSSERRA -")</f>
        <v>MOTOSSERRA -</v>
      </c>
      <c r="C395" s="86">
        <f>IFERROR(__xludf.DUMMYFUNCTION("""COMPUTED_VALUE"""),1.0)</f>
        <v>1</v>
      </c>
      <c r="D395" s="87" t="str">
        <f>IFERROR(__xludf.DUMMYFUNCTION("""COMPUTED_VALUE"""),"SEÇÃO")</f>
        <v>SEÇÃO</v>
      </c>
      <c r="E395" s="87" t="str">
        <f>IFERROR(__xludf.DUMMYFUNCTION("""COMPUTED_VALUE"""),"3 - ALMOX. ESTOQUE")</f>
        <v>3 - ALMOX. ESTOQUE</v>
      </c>
      <c r="F395" s="88" t="str">
        <f>IFERROR(__xludf.DUMMYFUNCTION("""COMPUTED_VALUE"""),"ALMOX. SAO (SEDE)")</f>
        <v>ALMOX. SAO (SEDE)</v>
      </c>
      <c r="G395" s="89">
        <f>IFERROR(__xludf.DUMMYFUNCTION("""COMPUTED_VALUE"""),1.405638E7)</f>
        <v>14056380</v>
      </c>
      <c r="H395" s="87" t="str">
        <f>IFERROR(__xludf.DUMMYFUNCTION("""COMPUTED_VALUE"""),"SAO")</f>
        <v>SAO</v>
      </c>
      <c r="I395" s="87"/>
    </row>
    <row r="396">
      <c r="A396" s="84">
        <f>IFERROR(__xludf.DUMMYFUNCTION("""COMPUTED_VALUE"""),395.0)</f>
        <v>395</v>
      </c>
      <c r="B396" s="85" t="str">
        <f>IFERROR(__xludf.DUMMYFUNCTION("""COMPUTED_VALUE"""),"MOTOSSERRA -")</f>
        <v>MOTOSSERRA -</v>
      </c>
      <c r="C396" s="86">
        <f>IFERROR(__xludf.DUMMYFUNCTION("""COMPUTED_VALUE"""),1.0)</f>
        <v>1</v>
      </c>
      <c r="D396" s="87" t="str">
        <f>IFERROR(__xludf.DUMMYFUNCTION("""COMPUTED_VALUE"""),"SEÇÃO")</f>
        <v>SEÇÃO</v>
      </c>
      <c r="E396" s="87" t="str">
        <f>IFERROR(__xludf.DUMMYFUNCTION("""COMPUTED_VALUE"""),"3 - DESCARGA")</f>
        <v>3 - DESCARGA</v>
      </c>
      <c r="F396" s="88"/>
      <c r="G396" s="89">
        <f>IFERROR(__xludf.DUMMYFUNCTION("""COMPUTED_VALUE"""),1.4056399E7)</f>
        <v>14056399</v>
      </c>
      <c r="H396" s="87" t="str">
        <f>IFERROR(__xludf.DUMMYFUNCTION("""COMPUTED_VALUE"""),"SAO")</f>
        <v>SAO</v>
      </c>
      <c r="I396" s="87" t="str">
        <f>IFERROR(__xludf.DUMMYFUNCTION("""COMPUTED_VALUE"""),"MATERIAL DESCARREGADO - PROCESSO Nº 1400.01.0026473/2023-01")</f>
        <v>MATERIAL DESCARREGADO - PROCESSO Nº 1400.01.0026473/2023-01</v>
      </c>
    </row>
    <row r="397">
      <c r="A397" s="84">
        <f>IFERROR(__xludf.DUMMYFUNCTION("""COMPUTED_VALUE"""),396.0)</f>
        <v>396</v>
      </c>
      <c r="B397" s="85" t="str">
        <f>IFERROR(__xludf.DUMMYFUNCTION("""COMPUTED_VALUE"""),"MOTOSSERRA -")</f>
        <v>MOTOSSERRA -</v>
      </c>
      <c r="C397" s="86">
        <f>IFERROR(__xludf.DUMMYFUNCTION("""COMPUTED_VALUE"""),1.0)</f>
        <v>1</v>
      </c>
      <c r="D397" s="87" t="str">
        <f>IFERROR(__xludf.DUMMYFUNCTION("""COMPUTED_VALUE"""),"SEÇÃO")</f>
        <v>SEÇÃO</v>
      </c>
      <c r="E397" s="87" t="str">
        <f>IFERROR(__xludf.DUMMYFUNCTION("""COMPUTED_VALUE"""),"3 - CURVELO")</f>
        <v>3 - CURVELO</v>
      </c>
      <c r="F397" s="88"/>
      <c r="G397" s="89">
        <f>IFERROR(__xludf.DUMMYFUNCTION("""COMPUTED_VALUE"""),1.4056402E7)</f>
        <v>14056402</v>
      </c>
      <c r="H397" s="87" t="str">
        <f>IFERROR(__xludf.DUMMYFUNCTION("""COMPUTED_VALUE"""),"SAO")</f>
        <v>SAO</v>
      </c>
      <c r="I397" s="87"/>
    </row>
    <row r="398">
      <c r="A398" s="84">
        <f>IFERROR(__xludf.DUMMYFUNCTION("""COMPUTED_VALUE"""),397.0)</f>
        <v>397</v>
      </c>
      <c r="B398" s="85" t="str">
        <f>IFERROR(__xludf.DUMMYFUNCTION("""COMPUTED_VALUE"""),"MOTOSSERRA -")</f>
        <v>MOTOSSERRA -</v>
      </c>
      <c r="C398" s="86">
        <f>IFERROR(__xludf.DUMMYFUNCTION("""COMPUTED_VALUE"""),1.0)</f>
        <v>1</v>
      </c>
      <c r="D398" s="87"/>
      <c r="E398" s="87" t="str">
        <f>IFERROR(__xludf.DUMMYFUNCTION("""COMPUTED_VALUE"""),"3 - CURVELO")</f>
        <v>3 - CURVELO</v>
      </c>
      <c r="F398" s="88"/>
      <c r="G398" s="89">
        <f>IFERROR(__xludf.DUMMYFUNCTION("""COMPUTED_VALUE"""),7.6684202E7)</f>
        <v>76684202</v>
      </c>
      <c r="H398" s="87"/>
      <c r="I398" s="87"/>
    </row>
    <row r="399">
      <c r="A399" s="84">
        <f>IFERROR(__xludf.DUMMYFUNCTION("""COMPUTED_VALUE"""),398.0)</f>
        <v>398</v>
      </c>
      <c r="B399" s="85" t="str">
        <f>IFERROR(__xludf.DUMMYFUNCTION("""COMPUTED_VALUE"""),"MOTOSSERRA -")</f>
        <v>MOTOSSERRA -</v>
      </c>
      <c r="C399" s="86">
        <f>IFERROR(__xludf.DUMMYFUNCTION("""COMPUTED_VALUE"""),1.0)</f>
        <v>1</v>
      </c>
      <c r="D399" s="87"/>
      <c r="E399" s="87" t="str">
        <f>IFERROR(__xludf.DUMMYFUNCTION("""COMPUTED_VALUE"""),"3 - CURVELO")</f>
        <v>3 - CURVELO</v>
      </c>
      <c r="F399" s="88"/>
      <c r="G399" s="89">
        <f>IFERROR(__xludf.DUMMYFUNCTION("""COMPUTED_VALUE"""),7.668421E7)</f>
        <v>76684210</v>
      </c>
      <c r="H399" s="87"/>
      <c r="I399" s="87"/>
    </row>
    <row r="400">
      <c r="A400" s="84">
        <f>IFERROR(__xludf.DUMMYFUNCTION("""COMPUTED_VALUE"""),399.0)</f>
        <v>399</v>
      </c>
      <c r="B400" s="85" t="str">
        <f>IFERROR(__xludf.DUMMYFUNCTION("""COMPUTED_VALUE"""),"NOBREAK -")</f>
        <v>NOBREAK -</v>
      </c>
      <c r="C400" s="86">
        <f>IFERROR(__xludf.DUMMYFUNCTION("""COMPUTED_VALUE"""),1.0)</f>
        <v>1</v>
      </c>
      <c r="D400" s="87" t="str">
        <f>IFERROR(__xludf.DUMMYFUNCTION("""COMPUTED_VALUE"""),"SEÇÃO")</f>
        <v>SEÇÃO</v>
      </c>
      <c r="E400" s="87" t="str">
        <f>IFERROR(__xludf.DUMMYFUNCTION("""COMPUTED_VALUE"""),"3 - DESCARGA")</f>
        <v>3 - DESCARGA</v>
      </c>
      <c r="F400" s="88"/>
      <c r="G400" s="89">
        <f>IFERROR(__xludf.DUMMYFUNCTION("""COMPUTED_VALUE"""),1.3849247E7)</f>
        <v>13849247</v>
      </c>
      <c r="H400" s="87"/>
      <c r="I400" s="87" t="str">
        <f>IFERROR(__xludf.DUMMYFUNCTION("""COMPUTED_VALUE"""),"MATERIAL DESCARREGADO - PROCESSO Nº 1400.01.0026473/2023-01")</f>
        <v>MATERIAL DESCARREGADO - PROCESSO Nº 1400.01.0026473/2023-01</v>
      </c>
    </row>
    <row r="401">
      <c r="A401" s="84">
        <f>IFERROR(__xludf.DUMMYFUNCTION("""COMPUTED_VALUE"""),400.0)</f>
        <v>400</v>
      </c>
      <c r="B401" s="85" t="str">
        <f>IFERROR(__xludf.DUMMYFUNCTION("""COMPUTED_VALUE"""),"NOBREAK -")</f>
        <v>NOBREAK -</v>
      </c>
      <c r="C401" s="86">
        <f>IFERROR(__xludf.DUMMYFUNCTION("""COMPUTED_VALUE"""),1.0)</f>
        <v>1</v>
      </c>
      <c r="D401" s="87"/>
      <c r="E401" s="87" t="str">
        <f>IFERROR(__xludf.DUMMYFUNCTION("""COMPUTED_VALUE"""),"3 - CURVELO")</f>
        <v>3 - CURVELO</v>
      </c>
      <c r="F401" s="88"/>
      <c r="G401" s="89">
        <f>IFERROR(__xludf.DUMMYFUNCTION("""COMPUTED_VALUE"""),7.6702154E7)</f>
        <v>76702154</v>
      </c>
      <c r="H401" s="87"/>
      <c r="I401" s="87"/>
    </row>
    <row r="402">
      <c r="A402" s="84">
        <f>IFERROR(__xludf.DUMMYFUNCTION("""COMPUTED_VALUE"""),401.0)</f>
        <v>401</v>
      </c>
      <c r="B402" s="85" t="str">
        <f>IFERROR(__xludf.DUMMYFUNCTION("""COMPUTED_VALUE"""),"NOTEBOOK,NETBOOK E/OU ULTRAFINO -")</f>
        <v>NOTEBOOK,NETBOOK E/OU ULTRAFINO -</v>
      </c>
      <c r="C402" s="86">
        <f>IFERROR(__xludf.DUMMYFUNCTION("""COMPUTED_VALUE"""),1.0)</f>
        <v>1</v>
      </c>
      <c r="D402" s="87" t="str">
        <f>IFERROR(__xludf.DUMMYFUNCTION("""COMPUTED_VALUE"""),"SEÇÃO")</f>
        <v>SEÇÃO</v>
      </c>
      <c r="E402" s="87" t="str">
        <f>IFERROR(__xludf.DUMMYFUNCTION("""COMPUTED_VALUE"""),"3 - CURVELO")</f>
        <v>3 - CURVELO</v>
      </c>
      <c r="F402" s="88"/>
      <c r="G402" s="89">
        <f>IFERROR(__xludf.DUMMYFUNCTION("""COMPUTED_VALUE"""),4.027344E7)</f>
        <v>40273440</v>
      </c>
      <c r="H402" s="87"/>
      <c r="I402" s="87" t="str">
        <f>IFERROR(__xludf.DUMMYFUNCTION("""COMPUTED_VALUE"""),"SALA DO COMANDANTE")</f>
        <v>SALA DO COMANDANTE</v>
      </c>
    </row>
    <row r="403">
      <c r="A403" s="84">
        <f>IFERROR(__xludf.DUMMYFUNCTION("""COMPUTED_VALUE"""),402.0)</f>
        <v>402</v>
      </c>
      <c r="B403" s="85" t="str">
        <f>IFERROR(__xludf.DUMMYFUNCTION("""COMPUTED_VALUE"""),"NOTEBOOK,NETBOOK E/OU ULTRAFINO -")</f>
        <v>NOTEBOOK,NETBOOK E/OU ULTRAFINO -</v>
      </c>
      <c r="C403" s="86">
        <f>IFERROR(__xludf.DUMMYFUNCTION("""COMPUTED_VALUE"""),1.0)</f>
        <v>1</v>
      </c>
      <c r="D403" s="87" t="str">
        <f>IFERROR(__xludf.DUMMYFUNCTION("""COMPUTED_VALUE"""),"SEÇÃO")</f>
        <v>SEÇÃO</v>
      </c>
      <c r="E403" s="87" t="str">
        <f>IFERROR(__xludf.DUMMYFUNCTION("""COMPUTED_VALUE"""),"3 - CURVELO")</f>
        <v>3 - CURVELO</v>
      </c>
      <c r="F403" s="88"/>
      <c r="G403" s="89">
        <f>IFERROR(__xludf.DUMMYFUNCTION("""COMPUTED_VALUE"""),4.0273458E7)</f>
        <v>40273458</v>
      </c>
      <c r="H403" s="87"/>
      <c r="I403" s="87" t="str">
        <f>IFERROR(__xludf.DUMMYFUNCTION("""COMPUTED_VALUE"""),"SALA DO COMANDANTE")</f>
        <v>SALA DO COMANDANTE</v>
      </c>
    </row>
    <row r="404">
      <c r="A404" s="84">
        <f>IFERROR(__xludf.DUMMYFUNCTION("""COMPUTED_VALUE"""),403.0)</f>
        <v>403</v>
      </c>
      <c r="B404" s="85" t="str">
        <f>IFERROR(__xludf.DUMMYFUNCTION("""COMPUTED_VALUE"""),"OXIMETRO -")</f>
        <v>OXIMETRO -</v>
      </c>
      <c r="C404" s="86">
        <f>IFERROR(__xludf.DUMMYFUNCTION("""COMPUTED_VALUE"""),1.0)</f>
        <v>1</v>
      </c>
      <c r="D404" s="87" t="str">
        <f>IFERROR(__xludf.DUMMYFUNCTION("""COMPUTED_VALUE"""),"SEÇÃO")</f>
        <v>SEÇÃO</v>
      </c>
      <c r="E404" s="87" t="str">
        <f>IFERROR(__xludf.DUMMYFUNCTION("""COMPUTED_VALUE"""),"3 - DESCARGA")</f>
        <v>3 - DESCARGA</v>
      </c>
      <c r="F404" s="88" t="str">
        <f>IFERROR(__xludf.DUMMYFUNCTION("""COMPUTED_VALUE"""),"ÁREA DE DESCARGA")</f>
        <v>ÁREA DE DESCARGA</v>
      </c>
      <c r="G404" s="89">
        <f>IFERROR(__xludf.DUMMYFUNCTION("""COMPUTED_VALUE"""),4.0270327E7)</f>
        <v>40270327</v>
      </c>
      <c r="H404" s="87" t="str">
        <f>IFERROR(__xludf.DUMMYFUNCTION("""COMPUTED_VALUE"""),"N.S. 1505070000211")</f>
        <v>N.S. 1505070000211</v>
      </c>
      <c r="I404" s="87"/>
    </row>
    <row r="405">
      <c r="A405" s="84">
        <f>IFERROR(__xludf.DUMMYFUNCTION("""COMPUTED_VALUE"""),404.0)</f>
        <v>404</v>
      </c>
      <c r="B405" s="85" t="str">
        <f>IFERROR(__xludf.DUMMYFUNCTION("""COMPUTED_VALUE"""),"OXIMETRO -")</f>
        <v>OXIMETRO -</v>
      </c>
      <c r="C405" s="86">
        <f>IFERROR(__xludf.DUMMYFUNCTION("""COMPUTED_VALUE"""),1.0)</f>
        <v>1</v>
      </c>
      <c r="D405" s="87"/>
      <c r="E405" s="87" t="str">
        <f>IFERROR(__xludf.DUMMYFUNCTION("""COMPUTED_VALUE"""),"3 - CURVELO")</f>
        <v>3 - CURVELO</v>
      </c>
      <c r="F405" s="88"/>
      <c r="G405" s="89">
        <f>IFERROR(__xludf.DUMMYFUNCTION("""COMPUTED_VALUE"""),4.0270343E7)</f>
        <v>40270343</v>
      </c>
      <c r="H405" s="87"/>
      <c r="I405" s="87"/>
    </row>
    <row r="406">
      <c r="A406" s="84">
        <f>IFERROR(__xludf.DUMMYFUNCTION("""COMPUTED_VALUE"""),405.0)</f>
        <v>405</v>
      </c>
      <c r="B406" s="85" t="str">
        <f>IFERROR(__xludf.DUMMYFUNCTION("""COMPUTED_VALUE"""),"OXIMETRO -")</f>
        <v>OXIMETRO -</v>
      </c>
      <c r="C406" s="86">
        <f>IFERROR(__xludf.DUMMYFUNCTION("""COMPUTED_VALUE"""),1.0)</f>
        <v>1</v>
      </c>
      <c r="D406" s="87"/>
      <c r="E406" s="87" t="str">
        <f>IFERROR(__xludf.DUMMYFUNCTION("""COMPUTED_VALUE"""),"3 - CURVELO")</f>
        <v>3 - CURVELO</v>
      </c>
      <c r="F406" s="88"/>
      <c r="G406" s="89">
        <f>IFERROR(__xludf.DUMMYFUNCTION("""COMPUTED_VALUE"""),4.0270351E7)</f>
        <v>40270351</v>
      </c>
      <c r="H406" s="87"/>
      <c r="I406" s="87"/>
    </row>
    <row r="407">
      <c r="A407" s="84">
        <f>IFERROR(__xludf.DUMMYFUNCTION("""COMPUTED_VALUE"""),406.0)</f>
        <v>406</v>
      </c>
      <c r="B407" s="85" t="str">
        <f>IFERROR(__xludf.DUMMYFUNCTION("""COMPUTED_VALUE"""),"OXIMETRO -")</f>
        <v>OXIMETRO -</v>
      </c>
      <c r="C407" s="86">
        <f>IFERROR(__xludf.DUMMYFUNCTION("""COMPUTED_VALUE"""),1.0)</f>
        <v>1</v>
      </c>
      <c r="D407" s="87"/>
      <c r="E407" s="87" t="str">
        <f>IFERROR(__xludf.DUMMYFUNCTION("""COMPUTED_VALUE"""),"3 - CURVELO")</f>
        <v>3 - CURVELO</v>
      </c>
      <c r="F407" s="88"/>
      <c r="G407" s="89">
        <f>IFERROR(__xludf.DUMMYFUNCTION("""COMPUTED_VALUE"""),4.0273938E7)</f>
        <v>40273938</v>
      </c>
      <c r="H407" s="87"/>
      <c r="I407" s="87"/>
    </row>
    <row r="408">
      <c r="A408" s="84">
        <f>IFERROR(__xludf.DUMMYFUNCTION("""COMPUTED_VALUE"""),407.0)</f>
        <v>407</v>
      </c>
      <c r="B408" s="85" t="str">
        <f>IFERROR(__xludf.DUMMYFUNCTION("""COMPUTED_VALUE"""),"OXIMETRO -")</f>
        <v>OXIMETRO -</v>
      </c>
      <c r="C408" s="86">
        <f>IFERROR(__xludf.DUMMYFUNCTION("""COMPUTED_VALUE"""),1.0)</f>
        <v>1</v>
      </c>
      <c r="D408" s="87"/>
      <c r="E408" s="87" t="str">
        <f>IFERROR(__xludf.DUMMYFUNCTION("""COMPUTED_VALUE"""),"3 - CURVELO")</f>
        <v>3 - CURVELO</v>
      </c>
      <c r="F408" s="88"/>
      <c r="G408" s="89">
        <f>IFERROR(__xludf.DUMMYFUNCTION("""COMPUTED_VALUE"""),7.6744353E7)</f>
        <v>76744353</v>
      </c>
      <c r="H408" s="87"/>
      <c r="I408" s="87"/>
    </row>
    <row r="409">
      <c r="A409" s="84">
        <f>IFERROR(__xludf.DUMMYFUNCTION("""COMPUTED_VALUE"""),408.0)</f>
        <v>408</v>
      </c>
      <c r="B409" s="85" t="str">
        <f>IFERROR(__xludf.DUMMYFUNCTION("""COMPUTED_VALUE"""),"POLTRONA PARA ESCRITORIO -")</f>
        <v>POLTRONA PARA ESCRITORIO -</v>
      </c>
      <c r="C409" s="86">
        <f>IFERROR(__xludf.DUMMYFUNCTION("""COMPUTED_VALUE"""),1.0)</f>
        <v>1</v>
      </c>
      <c r="D409" s="87" t="str">
        <f>IFERROR(__xludf.DUMMYFUNCTION("""COMPUTED_VALUE"""),"SEÇÃO")</f>
        <v>SEÇÃO</v>
      </c>
      <c r="E409" s="87" t="str">
        <f>IFERROR(__xludf.DUMMYFUNCTION("""COMPUTED_VALUE"""),"3 - DESCARGA")</f>
        <v>3 - DESCARGA</v>
      </c>
      <c r="F409" s="88"/>
      <c r="G409" s="89">
        <f>IFERROR(__xludf.DUMMYFUNCTION("""COMPUTED_VALUE"""),3.2982488E7)</f>
        <v>32982488</v>
      </c>
      <c r="H409" s="87"/>
      <c r="I409" s="87" t="str">
        <f>IFERROR(__xludf.DUMMYFUNCTION("""COMPUTED_VALUE"""),"MATERIAL DESCARREGADO - PROCESSO Nº 1400.01.0026473/2023-01")</f>
        <v>MATERIAL DESCARREGADO - PROCESSO Nº 1400.01.0026473/2023-01</v>
      </c>
    </row>
    <row r="410">
      <c r="A410" s="84">
        <f>IFERROR(__xludf.DUMMYFUNCTION("""COMPUTED_VALUE"""),409.0)</f>
        <v>409</v>
      </c>
      <c r="B410" s="85" t="str">
        <f>IFERROR(__xludf.DUMMYFUNCTION("""COMPUTED_VALUE"""),"POLTRONA PARA ESCRITORIO -")</f>
        <v>POLTRONA PARA ESCRITORIO -</v>
      </c>
      <c r="C410" s="86">
        <f>IFERROR(__xludf.DUMMYFUNCTION("""COMPUTED_VALUE"""),1.0)</f>
        <v>1</v>
      </c>
      <c r="D410" s="87"/>
      <c r="E410" s="87" t="str">
        <f>IFERROR(__xludf.DUMMYFUNCTION("""COMPUTED_VALUE"""),"3 - DESCARGA")</f>
        <v>3 - DESCARGA</v>
      </c>
      <c r="F410" s="88"/>
      <c r="G410" s="89">
        <f>IFERROR(__xludf.DUMMYFUNCTION("""COMPUTED_VALUE"""),3.2982542E7)</f>
        <v>32982542</v>
      </c>
      <c r="H410" s="87"/>
      <c r="I410" s="87" t="str">
        <f>IFERROR(__xludf.DUMMYFUNCTION("""COMPUTED_VALUE"""),"MATERIAL DESCARREGADO - PROCESSO Nº 1400.01.0026473/2023-01")</f>
        <v>MATERIAL DESCARREGADO - PROCESSO Nº 1400.01.0026473/2023-01</v>
      </c>
    </row>
    <row r="411">
      <c r="A411" s="84">
        <f>IFERROR(__xludf.DUMMYFUNCTION("""COMPUTED_VALUE"""),410.0)</f>
        <v>410</v>
      </c>
      <c r="B411" s="85" t="str">
        <f>IFERROR(__xludf.DUMMYFUNCTION("""COMPUTED_VALUE"""),"POLTRONA PARA ESCRITORIO -")</f>
        <v>POLTRONA PARA ESCRITORIO -</v>
      </c>
      <c r="C411" s="86">
        <f>IFERROR(__xludf.DUMMYFUNCTION("""COMPUTED_VALUE"""),1.0)</f>
        <v>1</v>
      </c>
      <c r="D411" s="87" t="str">
        <f>IFERROR(__xludf.DUMMYFUNCTION("""COMPUTED_VALUE"""),"SEÇÃO")</f>
        <v>SEÇÃO</v>
      </c>
      <c r="E411" s="87" t="str">
        <f>IFERROR(__xludf.DUMMYFUNCTION("""COMPUTED_VALUE"""),"3 - DESCARGA")</f>
        <v>3 - DESCARGA</v>
      </c>
      <c r="F411" s="88"/>
      <c r="G411" s="89">
        <f>IFERROR(__xludf.DUMMYFUNCTION("""COMPUTED_VALUE"""),3.2982577E7)</f>
        <v>32982577</v>
      </c>
      <c r="H411" s="87"/>
      <c r="I411" s="87" t="str">
        <f>IFERROR(__xludf.DUMMYFUNCTION("""COMPUTED_VALUE"""),"MATERIAL DESCARREGADO - PROCESSO Nº 1400.01.0026473/2023-01")</f>
        <v>MATERIAL DESCARREGADO - PROCESSO Nº 1400.01.0026473/2023-01</v>
      </c>
    </row>
    <row r="412">
      <c r="A412" s="84">
        <f>IFERROR(__xludf.DUMMYFUNCTION("""COMPUTED_VALUE"""),411.0)</f>
        <v>411</v>
      </c>
      <c r="B412" s="85" t="str">
        <f>IFERROR(__xludf.DUMMYFUNCTION("""COMPUTED_VALUE"""),"POLTRONA PARA ESCRITORIO -")</f>
        <v>POLTRONA PARA ESCRITORIO -</v>
      </c>
      <c r="C412" s="86">
        <f>IFERROR(__xludf.DUMMYFUNCTION("""COMPUTED_VALUE"""),1.0)</f>
        <v>1</v>
      </c>
      <c r="D412" s="87" t="str">
        <f>IFERROR(__xludf.DUMMYFUNCTION("""COMPUTED_VALUE"""),"SEÇÃO")</f>
        <v>SEÇÃO</v>
      </c>
      <c r="E412" s="87" t="str">
        <f>IFERROR(__xludf.DUMMYFUNCTION("""COMPUTED_VALUE"""),"3 - DESCARGA")</f>
        <v>3 - DESCARGA</v>
      </c>
      <c r="F412" s="88"/>
      <c r="G412" s="89">
        <f>IFERROR(__xludf.DUMMYFUNCTION("""COMPUTED_VALUE"""),3.2982895E7)</f>
        <v>32982895</v>
      </c>
      <c r="H412" s="87"/>
      <c r="I412" s="87" t="str">
        <f>IFERROR(__xludf.DUMMYFUNCTION("""COMPUTED_VALUE"""),"MATERIAL DESCARREGADO - PROCESSO Nº 1400.01.0026473/2023-01")</f>
        <v>MATERIAL DESCARREGADO - PROCESSO Nº 1400.01.0026473/2023-01</v>
      </c>
    </row>
    <row r="413">
      <c r="A413" s="84">
        <f>IFERROR(__xludf.DUMMYFUNCTION("""COMPUTED_VALUE"""),412.0)</f>
        <v>412</v>
      </c>
      <c r="B413" s="85" t="str">
        <f>IFERROR(__xludf.DUMMYFUNCTION("""COMPUTED_VALUE"""),"POLTRONA PARA ESCRITORIO -(II)")</f>
        <v>POLTRONA PARA ESCRITORIO -(II)</v>
      </c>
      <c r="C413" s="86">
        <f>IFERROR(__xludf.DUMMYFUNCTION("""COMPUTED_VALUE"""),1.0)</f>
        <v>1</v>
      </c>
      <c r="D413" s="87"/>
      <c r="E413" s="87" t="str">
        <f>IFERROR(__xludf.DUMMYFUNCTION("""COMPUTED_VALUE"""),"3 - CURVELO")</f>
        <v>3 - CURVELO</v>
      </c>
      <c r="F413" s="88"/>
      <c r="G413" s="89">
        <f>IFERROR(__xludf.DUMMYFUNCTION("""COMPUTED_VALUE"""),2697475.0)</f>
        <v>2697475</v>
      </c>
      <c r="H413" s="87"/>
      <c r="I413" s="87"/>
    </row>
    <row r="414">
      <c r="A414" s="84">
        <f>IFERROR(__xludf.DUMMYFUNCTION("""COMPUTED_VALUE"""),413.0)</f>
        <v>413</v>
      </c>
      <c r="B414" s="85" t="str">
        <f>IFERROR(__xludf.DUMMYFUNCTION("""COMPUTED_VALUE"""),"PROCESSADOR DE ALIMENTOS -")</f>
        <v>PROCESSADOR DE ALIMENTOS -</v>
      </c>
      <c r="C414" s="86">
        <f>IFERROR(__xludf.DUMMYFUNCTION("""COMPUTED_VALUE"""),1.0)</f>
        <v>1</v>
      </c>
      <c r="D414" s="87"/>
      <c r="E414" s="87" t="str">
        <f>IFERROR(__xludf.DUMMYFUNCTION("""COMPUTED_VALUE"""),"3 - DESCARGA")</f>
        <v>3 - DESCARGA</v>
      </c>
      <c r="F414" s="88"/>
      <c r="G414" s="89">
        <f>IFERROR(__xludf.DUMMYFUNCTION("""COMPUTED_VALUE"""),4.0360792E7)</f>
        <v>40360792</v>
      </c>
      <c r="H414" s="87"/>
      <c r="I414" s="87" t="str">
        <f>IFERROR(__xludf.DUMMYFUNCTION("""COMPUTED_VALUE"""),"MATERIAL DESCARREGADO - PROCESSO Nº 1400.01.0026473/2023-01")</f>
        <v>MATERIAL DESCARREGADO - PROCESSO Nº 1400.01.0026473/2023-01</v>
      </c>
    </row>
    <row r="415">
      <c r="A415" s="84">
        <f>IFERROR(__xludf.DUMMYFUNCTION("""COMPUTED_VALUE"""),414.0)</f>
        <v>414</v>
      </c>
      <c r="B415" s="85" t="str">
        <f>IFERROR(__xludf.DUMMYFUNCTION("""COMPUTED_VALUE"""),"PROJETOR MULTIMIDIA -")</f>
        <v>PROJETOR MULTIMIDIA -</v>
      </c>
      <c r="C415" s="86">
        <f>IFERROR(__xludf.DUMMYFUNCTION("""COMPUTED_VALUE"""),1.0)</f>
        <v>1</v>
      </c>
      <c r="D415" s="87"/>
      <c r="E415" s="87" t="str">
        <f>IFERROR(__xludf.DUMMYFUNCTION("""COMPUTED_VALUE"""),"3 - CURVELO")</f>
        <v>3 - CURVELO</v>
      </c>
      <c r="F415" s="88"/>
      <c r="G415" s="89">
        <f>IFERROR(__xludf.DUMMYFUNCTION("""COMPUTED_VALUE"""),1.3847805E7)</f>
        <v>13847805</v>
      </c>
      <c r="H415" s="87"/>
      <c r="I415" s="87"/>
    </row>
    <row r="416">
      <c r="A416" s="84">
        <f>IFERROR(__xludf.DUMMYFUNCTION("""COMPUTED_VALUE"""),415.0)</f>
        <v>415</v>
      </c>
      <c r="B416" s="85" t="str">
        <f>IFERROR(__xludf.DUMMYFUNCTION("""COMPUTED_VALUE"""),"PROJETOR MULTIMIDIA -")</f>
        <v>PROJETOR MULTIMIDIA -</v>
      </c>
      <c r="C416" s="86">
        <f>IFERROR(__xludf.DUMMYFUNCTION("""COMPUTED_VALUE"""),1.0)</f>
        <v>1</v>
      </c>
      <c r="D416" s="87"/>
      <c r="E416" s="87" t="str">
        <f>IFERROR(__xludf.DUMMYFUNCTION("""COMPUTED_VALUE"""),"3 - CURVELO")</f>
        <v>3 - CURVELO</v>
      </c>
      <c r="F416" s="88"/>
      <c r="G416" s="89">
        <f>IFERROR(__xludf.DUMMYFUNCTION("""COMPUTED_VALUE"""),4.0273466E7)</f>
        <v>40273466</v>
      </c>
      <c r="H416" s="87"/>
      <c r="I416" s="87"/>
    </row>
    <row r="417">
      <c r="A417" s="84">
        <f>IFERROR(__xludf.DUMMYFUNCTION("""COMPUTED_VALUE"""),416.0)</f>
        <v>416</v>
      </c>
      <c r="B417" s="85" t="str">
        <f>IFERROR(__xludf.DUMMYFUNCTION("""COMPUTED_VALUE"""),"PROPORCIONADORES/REDUTORES DE ESPUMA -")</f>
        <v>PROPORCIONADORES/REDUTORES DE ESPUMA -</v>
      </c>
      <c r="C417" s="86">
        <f>IFERROR(__xludf.DUMMYFUNCTION("""COMPUTED_VALUE"""),1.0)</f>
        <v>1</v>
      </c>
      <c r="D417" s="87"/>
      <c r="E417" s="87" t="str">
        <f>IFERROR(__xludf.DUMMYFUNCTION("""COMPUTED_VALUE"""),"3 - CURVELO")</f>
        <v>3 - CURVELO</v>
      </c>
      <c r="F417" s="88"/>
      <c r="G417" s="89">
        <f>IFERROR(__xludf.DUMMYFUNCTION("""COMPUTED_VALUE"""),1.37424E7)</f>
        <v>13742400</v>
      </c>
      <c r="H417" s="87"/>
      <c r="I417" s="87"/>
    </row>
    <row r="418">
      <c r="A418" s="84">
        <f>IFERROR(__xludf.DUMMYFUNCTION("""COMPUTED_VALUE"""),417.0)</f>
        <v>417</v>
      </c>
      <c r="B418" s="85" t="str">
        <f>IFERROR(__xludf.DUMMYFUNCTION("""COMPUTED_VALUE"""),"PROPORCIONADORES/REDUTORES DE ESPUMA -")</f>
        <v>PROPORCIONADORES/REDUTORES DE ESPUMA -</v>
      </c>
      <c r="C418" s="86">
        <f>IFERROR(__xludf.DUMMYFUNCTION("""COMPUTED_VALUE"""),1.0)</f>
        <v>1</v>
      </c>
      <c r="D418" s="87"/>
      <c r="E418" s="87" t="str">
        <f>IFERROR(__xludf.DUMMYFUNCTION("""COMPUTED_VALUE"""),"3 - CURVELO")</f>
        <v>3 - CURVELO</v>
      </c>
      <c r="F418" s="88"/>
      <c r="G418" s="89">
        <f>IFERROR(__xludf.DUMMYFUNCTION("""COMPUTED_VALUE"""),1.376702E7)</f>
        <v>13767020</v>
      </c>
      <c r="H418" s="87"/>
      <c r="I418" s="87"/>
    </row>
    <row r="419">
      <c r="A419" s="84">
        <f>IFERROR(__xludf.DUMMYFUNCTION("""COMPUTED_VALUE"""),418.0)</f>
        <v>418</v>
      </c>
      <c r="B419" s="85" t="str">
        <f>IFERROR(__xludf.DUMMYFUNCTION("""COMPUTED_VALUE"""),"PROPORCIONADORES/REDUTORES DE ESPUMA -")</f>
        <v>PROPORCIONADORES/REDUTORES DE ESPUMA -</v>
      </c>
      <c r="C419" s="86">
        <f>IFERROR(__xludf.DUMMYFUNCTION("""COMPUTED_VALUE"""),1.0)</f>
        <v>1</v>
      </c>
      <c r="D419" s="87"/>
      <c r="E419" s="87" t="str">
        <f>IFERROR(__xludf.DUMMYFUNCTION("""COMPUTED_VALUE"""),"3 - CURVELO")</f>
        <v>3 - CURVELO</v>
      </c>
      <c r="F419" s="88"/>
      <c r="G419" s="89">
        <f>IFERROR(__xludf.DUMMYFUNCTION("""COMPUTED_VALUE"""),4.0071464E7)</f>
        <v>40071464</v>
      </c>
      <c r="H419" s="87"/>
      <c r="I419" s="87"/>
    </row>
    <row r="420">
      <c r="A420" s="84">
        <f>IFERROR(__xludf.DUMMYFUNCTION("""COMPUTED_VALUE"""),419.0)</f>
        <v>419</v>
      </c>
      <c r="B420" s="85" t="str">
        <f>IFERROR(__xludf.DUMMYFUNCTION("""COMPUTED_VALUE"""),"QUADRO PARA USO DIDATICO -")</f>
        <v>QUADRO PARA USO DIDATICO -</v>
      </c>
      <c r="C420" s="86">
        <f>IFERROR(__xludf.DUMMYFUNCTION("""COMPUTED_VALUE"""),1.0)</f>
        <v>1</v>
      </c>
      <c r="D420" s="87"/>
      <c r="E420" s="87" t="str">
        <f>IFERROR(__xludf.DUMMYFUNCTION("""COMPUTED_VALUE"""),"3 - CURVELO")</f>
        <v>3 - CURVELO</v>
      </c>
      <c r="F420" s="88"/>
      <c r="G420" s="89">
        <f>IFERROR(__xludf.DUMMYFUNCTION("""COMPUTED_VALUE"""),4.0122E7)</f>
        <v>40122000</v>
      </c>
      <c r="H420" s="87"/>
      <c r="I420" s="87"/>
    </row>
    <row r="421">
      <c r="A421" s="84">
        <f>IFERROR(__xludf.DUMMYFUNCTION("""COMPUTED_VALUE"""),420.0)</f>
        <v>420</v>
      </c>
      <c r="B421" s="85" t="str">
        <f>IFERROR(__xludf.DUMMYFUNCTION("""COMPUTED_VALUE"""),"RACK PARA MICROCOMPUTADOR -")</f>
        <v>RACK PARA MICROCOMPUTADOR -</v>
      </c>
      <c r="C421" s="86">
        <f>IFERROR(__xludf.DUMMYFUNCTION("""COMPUTED_VALUE"""),1.0)</f>
        <v>1</v>
      </c>
      <c r="D421" s="87"/>
      <c r="E421" s="87" t="str">
        <f>IFERROR(__xludf.DUMMYFUNCTION("""COMPUTED_VALUE"""),"3 - CURVELO")</f>
        <v>3 - CURVELO</v>
      </c>
      <c r="F421" s="88"/>
      <c r="G421" s="89">
        <f>IFERROR(__xludf.DUMMYFUNCTION("""COMPUTED_VALUE"""),1.3918923E7)</f>
        <v>13918923</v>
      </c>
      <c r="H421" s="87"/>
      <c r="I421" s="87"/>
    </row>
    <row r="422">
      <c r="A422" s="84">
        <f>IFERROR(__xludf.DUMMYFUNCTION("""COMPUTED_VALUE"""),421.0)</f>
        <v>421</v>
      </c>
      <c r="B422" s="85" t="str">
        <f>IFERROR(__xludf.DUMMYFUNCTION("""COMPUTED_VALUE"""),"RADIO COMUNICADOR -")</f>
        <v>RADIO COMUNICADOR -</v>
      </c>
      <c r="C422" s="86">
        <f>IFERROR(__xludf.DUMMYFUNCTION("""COMPUTED_VALUE"""),1.0)</f>
        <v>1</v>
      </c>
      <c r="D422" s="87"/>
      <c r="E422" s="87" t="str">
        <f>IFERROR(__xludf.DUMMYFUNCTION("""COMPUTED_VALUE"""),"3 - CURVELO")</f>
        <v>3 - CURVELO</v>
      </c>
      <c r="F422" s="88"/>
      <c r="G422" s="89">
        <f>IFERROR(__xludf.DUMMYFUNCTION("""COMPUTED_VALUE"""),7.6730646E7)</f>
        <v>76730646</v>
      </c>
      <c r="H422" s="87"/>
      <c r="I422" s="87"/>
    </row>
    <row r="423">
      <c r="A423" s="84">
        <f>IFERROR(__xludf.DUMMYFUNCTION("""COMPUTED_VALUE"""),422.0)</f>
        <v>422</v>
      </c>
      <c r="B423" s="85" t="str">
        <f>IFERROR(__xludf.DUMMYFUNCTION("""COMPUTED_VALUE"""),"RADIO COMUNICADOR -")</f>
        <v>RADIO COMUNICADOR -</v>
      </c>
      <c r="C423" s="86">
        <f>IFERROR(__xludf.DUMMYFUNCTION("""COMPUTED_VALUE"""),1.0)</f>
        <v>1</v>
      </c>
      <c r="D423" s="87"/>
      <c r="E423" s="87" t="str">
        <f>IFERROR(__xludf.DUMMYFUNCTION("""COMPUTED_VALUE"""),"3 - CURVELO")</f>
        <v>3 - CURVELO</v>
      </c>
      <c r="F423" s="88"/>
      <c r="G423" s="89">
        <f>IFERROR(__xludf.DUMMYFUNCTION("""COMPUTED_VALUE"""),7.6730654E7)</f>
        <v>76730654</v>
      </c>
      <c r="H423" s="87"/>
      <c r="I423" s="87"/>
    </row>
    <row r="424">
      <c r="A424" s="84">
        <f>IFERROR(__xludf.DUMMYFUNCTION("""COMPUTED_VALUE"""),423.0)</f>
        <v>423</v>
      </c>
      <c r="B424" s="85" t="str">
        <f>IFERROR(__xludf.DUMMYFUNCTION("""COMPUTED_VALUE"""),"RADIO COMUNICADOR -")</f>
        <v>RADIO COMUNICADOR -</v>
      </c>
      <c r="C424" s="86">
        <f>IFERROR(__xludf.DUMMYFUNCTION("""COMPUTED_VALUE"""),1.0)</f>
        <v>1</v>
      </c>
      <c r="D424" s="87"/>
      <c r="E424" s="87" t="str">
        <f>IFERROR(__xludf.DUMMYFUNCTION("""COMPUTED_VALUE"""),"3 - CURVELO")</f>
        <v>3 - CURVELO</v>
      </c>
      <c r="F424" s="88"/>
      <c r="G424" s="89">
        <f>IFERROR(__xludf.DUMMYFUNCTION("""COMPUTED_VALUE"""),7.6730662E7)</f>
        <v>76730662</v>
      </c>
      <c r="H424" s="87"/>
      <c r="I424" s="87"/>
    </row>
    <row r="425">
      <c r="A425" s="84">
        <f>IFERROR(__xludf.DUMMYFUNCTION("""COMPUTED_VALUE"""),424.0)</f>
        <v>424</v>
      </c>
      <c r="B425" s="85" t="str">
        <f>IFERROR(__xludf.DUMMYFUNCTION("""COMPUTED_VALUE"""),"RADIO COMUNICADOR -")</f>
        <v>RADIO COMUNICADOR -</v>
      </c>
      <c r="C425" s="86">
        <f>IFERROR(__xludf.DUMMYFUNCTION("""COMPUTED_VALUE"""),1.0)</f>
        <v>1</v>
      </c>
      <c r="D425" s="87"/>
      <c r="E425" s="87" t="str">
        <f>IFERROR(__xludf.DUMMYFUNCTION("""COMPUTED_VALUE"""),"3 - CURVELO")</f>
        <v>3 - CURVELO</v>
      </c>
      <c r="F425" s="88"/>
      <c r="G425" s="89">
        <f>IFERROR(__xludf.DUMMYFUNCTION("""COMPUTED_VALUE"""),7.673067E7)</f>
        <v>76730670</v>
      </c>
      <c r="H425" s="87"/>
      <c r="I425" s="87"/>
    </row>
    <row r="426">
      <c r="A426" s="84">
        <f>IFERROR(__xludf.DUMMYFUNCTION("""COMPUTED_VALUE"""),425.0)</f>
        <v>425</v>
      </c>
      <c r="B426" s="85" t="str">
        <f>IFERROR(__xludf.DUMMYFUNCTION("""COMPUTED_VALUE"""),"RADIO COMUNICADOR -")</f>
        <v>RADIO COMUNICADOR -</v>
      </c>
      <c r="C426" s="86">
        <f>IFERROR(__xludf.DUMMYFUNCTION("""COMPUTED_VALUE"""),1.0)</f>
        <v>1</v>
      </c>
      <c r="D426" s="87"/>
      <c r="E426" s="87" t="str">
        <f>IFERROR(__xludf.DUMMYFUNCTION("""COMPUTED_VALUE"""),"3 - CURVELO")</f>
        <v>3 - CURVELO</v>
      </c>
      <c r="F426" s="88"/>
      <c r="G426" s="89">
        <f>IFERROR(__xludf.DUMMYFUNCTION("""COMPUTED_VALUE"""),7.6730689E7)</f>
        <v>76730689</v>
      </c>
      <c r="H426" s="87"/>
      <c r="I426" s="87"/>
    </row>
    <row r="427">
      <c r="A427" s="84">
        <f>IFERROR(__xludf.DUMMYFUNCTION("""COMPUTED_VALUE"""),426.0)</f>
        <v>426</v>
      </c>
      <c r="B427" s="85" t="str">
        <f>IFERROR(__xludf.DUMMYFUNCTION("""COMPUTED_VALUE"""),"RADIO COMUNICADOR -")</f>
        <v>RADIO COMUNICADOR -</v>
      </c>
      <c r="C427" s="86">
        <f>IFERROR(__xludf.DUMMYFUNCTION("""COMPUTED_VALUE"""),1.0)</f>
        <v>1</v>
      </c>
      <c r="D427" s="87"/>
      <c r="E427" s="87" t="str">
        <f>IFERROR(__xludf.DUMMYFUNCTION("""COMPUTED_VALUE"""),"3 - CURVELO")</f>
        <v>3 - CURVELO</v>
      </c>
      <c r="F427" s="88"/>
      <c r="G427" s="89">
        <f>IFERROR(__xludf.DUMMYFUNCTION("""COMPUTED_VALUE"""),7.6730697E7)</f>
        <v>76730697</v>
      </c>
      <c r="H427" s="87"/>
      <c r="I427" s="87"/>
    </row>
    <row r="428">
      <c r="A428" s="84">
        <f>IFERROR(__xludf.DUMMYFUNCTION("""COMPUTED_VALUE"""),427.0)</f>
        <v>427</v>
      </c>
      <c r="B428" s="85" t="str">
        <f>IFERROR(__xludf.DUMMYFUNCTION("""COMPUTED_VALUE"""),"RADIO COMUNICADOR -")</f>
        <v>RADIO COMUNICADOR -</v>
      </c>
      <c r="C428" s="86">
        <f>IFERROR(__xludf.DUMMYFUNCTION("""COMPUTED_VALUE"""),1.0)</f>
        <v>1</v>
      </c>
      <c r="D428" s="87"/>
      <c r="E428" s="87" t="str">
        <f>IFERROR(__xludf.DUMMYFUNCTION("""COMPUTED_VALUE"""),"3 - CURVELO")</f>
        <v>3 - CURVELO</v>
      </c>
      <c r="F428" s="88"/>
      <c r="G428" s="89">
        <f>IFERROR(__xludf.DUMMYFUNCTION("""COMPUTED_VALUE"""),7.67307E7)</f>
        <v>76730700</v>
      </c>
      <c r="H428" s="87"/>
      <c r="I428" s="87"/>
    </row>
    <row r="429">
      <c r="A429" s="84">
        <f>IFERROR(__xludf.DUMMYFUNCTION("""COMPUTED_VALUE"""),428.0)</f>
        <v>428</v>
      </c>
      <c r="B429" s="85" t="str">
        <f>IFERROR(__xludf.DUMMYFUNCTION("""COMPUTED_VALUE"""),"RADIO COMUNICADOR -")</f>
        <v>RADIO COMUNICADOR -</v>
      </c>
      <c r="C429" s="86">
        <f>IFERROR(__xludf.DUMMYFUNCTION("""COMPUTED_VALUE"""),1.0)</f>
        <v>1</v>
      </c>
      <c r="D429" s="87"/>
      <c r="E429" s="87" t="str">
        <f>IFERROR(__xludf.DUMMYFUNCTION("""COMPUTED_VALUE"""),"3 - CURVELO")</f>
        <v>3 - CURVELO</v>
      </c>
      <c r="F429" s="88"/>
      <c r="G429" s="89">
        <f>IFERROR(__xludf.DUMMYFUNCTION("""COMPUTED_VALUE"""),7.6730719E7)</f>
        <v>76730719</v>
      </c>
      <c r="H429" s="87"/>
      <c r="I429" s="87"/>
    </row>
    <row r="430">
      <c r="A430" s="84">
        <f>IFERROR(__xludf.DUMMYFUNCTION("""COMPUTED_VALUE"""),429.0)</f>
        <v>429</v>
      </c>
      <c r="B430" s="85" t="str">
        <f>IFERROR(__xludf.DUMMYFUNCTION("""COMPUTED_VALUE"""),"RADIO COMUNICADOR -")</f>
        <v>RADIO COMUNICADOR -</v>
      </c>
      <c r="C430" s="86">
        <f>IFERROR(__xludf.DUMMYFUNCTION("""COMPUTED_VALUE"""),1.0)</f>
        <v>1</v>
      </c>
      <c r="D430" s="87"/>
      <c r="E430" s="87" t="str">
        <f>IFERROR(__xludf.DUMMYFUNCTION("""COMPUTED_VALUE"""),"3 - CURVELO")</f>
        <v>3 - CURVELO</v>
      </c>
      <c r="F430" s="88"/>
      <c r="G430" s="89">
        <f>IFERROR(__xludf.DUMMYFUNCTION("""COMPUTED_VALUE"""),7.6730727E7)</f>
        <v>76730727</v>
      </c>
      <c r="H430" s="87"/>
      <c r="I430" s="87"/>
    </row>
    <row r="431">
      <c r="A431" s="84">
        <f>IFERROR(__xludf.DUMMYFUNCTION("""COMPUTED_VALUE"""),430.0)</f>
        <v>430</v>
      </c>
      <c r="B431" s="85" t="str">
        <f>IFERROR(__xludf.DUMMYFUNCTION("""COMPUTED_VALUE"""),"RADIO TRANSCEPTOR -")</f>
        <v>RADIO TRANSCEPTOR -</v>
      </c>
      <c r="C431" s="86">
        <f>IFERROR(__xludf.DUMMYFUNCTION("""COMPUTED_VALUE"""),1.0)</f>
        <v>1</v>
      </c>
      <c r="D431" s="87" t="str">
        <f>IFERROR(__xludf.DUMMYFUNCTION("""COMPUTED_VALUE"""),"SEÇÃO")</f>
        <v>SEÇÃO</v>
      </c>
      <c r="E431" s="87" t="str">
        <f>IFERROR(__xludf.DUMMYFUNCTION("""COMPUTED_VALUE"""),"3 - DESCARGA")</f>
        <v>3 - DESCARGA</v>
      </c>
      <c r="F431" s="88"/>
      <c r="G431" s="89">
        <f>IFERROR(__xludf.DUMMYFUNCTION("""COMPUTED_VALUE"""),1.3960385E7)</f>
        <v>13960385</v>
      </c>
      <c r="H431" s="87"/>
      <c r="I431" s="87" t="str">
        <f>IFERROR(__xludf.DUMMYFUNCTION("""COMPUTED_VALUE"""),"MATERIAL DESCARREGADO - PROCESSO Nº 1400.01.0026473/2023-03	DESCARREGADO, retirado da UR8834 ")</f>
        <v>MATERIAL DESCARREGADO - PROCESSO Nº 1400.01.0026473/2023-03	DESCARREGADO, retirado da UR8834 </v>
      </c>
    </row>
    <row r="432">
      <c r="A432" s="84">
        <f>IFERROR(__xludf.DUMMYFUNCTION("""COMPUTED_VALUE"""),431.0)</f>
        <v>431</v>
      </c>
      <c r="B432" s="85" t="str">
        <f>IFERROR(__xludf.DUMMYFUNCTION("""COMPUTED_VALUE"""),"RADIO TRANSCEPTOR -")</f>
        <v>RADIO TRANSCEPTOR -</v>
      </c>
      <c r="C432" s="86">
        <f>IFERROR(__xludf.DUMMYFUNCTION("""COMPUTED_VALUE"""),1.0)</f>
        <v>1</v>
      </c>
      <c r="D432" s="87" t="str">
        <f>IFERROR(__xludf.DUMMYFUNCTION("""COMPUTED_VALUE"""),"SEÇÃO")</f>
        <v>SEÇÃO</v>
      </c>
      <c r="E432" s="87" t="str">
        <f>IFERROR(__xludf.DUMMYFUNCTION("""COMPUTED_VALUE"""),"3 - DESCARGA")</f>
        <v>3 - DESCARGA</v>
      </c>
      <c r="F432" s="88"/>
      <c r="G432" s="89">
        <f>IFERROR(__xludf.DUMMYFUNCTION("""COMPUTED_VALUE"""),1.3996924E7)</f>
        <v>13996924</v>
      </c>
      <c r="H432" s="87"/>
      <c r="I432" s="87" t="str">
        <f>IFERROR(__xludf.DUMMYFUNCTION("""COMPUTED_VALUE"""),"MATERIAL DESCARREGADO - PROCESSO Nº 1400.01.0026473/2023-03")</f>
        <v>MATERIAL DESCARREGADO - PROCESSO Nº 1400.01.0026473/2023-03</v>
      </c>
    </row>
    <row r="433">
      <c r="A433" s="84">
        <f>IFERROR(__xludf.DUMMYFUNCTION("""COMPUTED_VALUE"""),432.0)</f>
        <v>432</v>
      </c>
      <c r="B433" s="85" t="str">
        <f>IFERROR(__xludf.DUMMYFUNCTION("""COMPUTED_VALUE"""),"RADIO TRANSCEPTOR -")</f>
        <v>RADIO TRANSCEPTOR -</v>
      </c>
      <c r="C433" s="86">
        <f>IFERROR(__xludf.DUMMYFUNCTION("""COMPUTED_VALUE"""),1.0)</f>
        <v>1</v>
      </c>
      <c r="D433" s="87" t="str">
        <f>IFERROR(__xludf.DUMMYFUNCTION("""COMPUTED_VALUE"""),"SEÇÃO")</f>
        <v>SEÇÃO</v>
      </c>
      <c r="E433" s="87" t="str">
        <f>IFERROR(__xludf.DUMMYFUNCTION("""COMPUTED_VALUE"""),"3 - DESCARGA")</f>
        <v>3 - DESCARGA</v>
      </c>
      <c r="F433" s="88"/>
      <c r="G433" s="89">
        <f>IFERROR(__xludf.DUMMYFUNCTION("""COMPUTED_VALUE"""),1.3997459E7)</f>
        <v>13997459</v>
      </c>
      <c r="H433" s="87"/>
      <c r="I433" s="87" t="str">
        <f>IFERROR(__xludf.DUMMYFUNCTION("""COMPUTED_VALUE"""),"MATERIAL DESCARREGADO - PROCESSO Nº 1400.01.0026473/2023-01, retirado da ASL1382 em 15/12/20")</f>
        <v>MATERIAL DESCARREGADO - PROCESSO Nº 1400.01.0026473/2023-01, retirado da ASL1382 em 15/12/20</v>
      </c>
    </row>
    <row r="434">
      <c r="A434" s="84">
        <f>IFERROR(__xludf.DUMMYFUNCTION("""COMPUTED_VALUE"""),433.0)</f>
        <v>433</v>
      </c>
      <c r="B434" s="85" t="str">
        <f>IFERROR(__xludf.DUMMYFUNCTION("""COMPUTED_VALUE"""),"RADIO TRANSCEPTOR -")</f>
        <v>RADIO TRANSCEPTOR -</v>
      </c>
      <c r="C434" s="86">
        <f>IFERROR(__xludf.DUMMYFUNCTION("""COMPUTED_VALUE"""),1.0)</f>
        <v>1</v>
      </c>
      <c r="D434" s="87"/>
      <c r="E434" s="87" t="str">
        <f>IFERROR(__xludf.DUMMYFUNCTION("""COMPUTED_VALUE"""),"3 - CURVELO")</f>
        <v>3 - CURVELO</v>
      </c>
      <c r="F434" s="88"/>
      <c r="G434" s="89">
        <f>IFERROR(__xludf.DUMMYFUNCTION("""COMPUTED_VALUE"""),4.0280624E7)</f>
        <v>40280624</v>
      </c>
      <c r="H434" s="87"/>
      <c r="I434" s="87"/>
    </row>
    <row r="435">
      <c r="A435" s="84">
        <f>IFERROR(__xludf.DUMMYFUNCTION("""COMPUTED_VALUE"""),434.0)</f>
        <v>434</v>
      </c>
      <c r="B435" s="85" t="str">
        <f>IFERROR(__xludf.DUMMYFUNCTION("""COMPUTED_VALUE"""),"RADIO TRANSCEPTOR -")</f>
        <v>RADIO TRANSCEPTOR -</v>
      </c>
      <c r="C435" s="86">
        <f>IFERROR(__xludf.DUMMYFUNCTION("""COMPUTED_VALUE"""),1.0)</f>
        <v>1</v>
      </c>
      <c r="D435" s="87" t="str">
        <f>IFERROR(__xludf.DUMMYFUNCTION("""COMPUTED_VALUE"""),"SEÇÃO")</f>
        <v>SEÇÃO</v>
      </c>
      <c r="E435" s="87" t="str">
        <f>IFERROR(__xludf.DUMMYFUNCTION("""COMPUTED_VALUE"""),"3 - CURVELO")</f>
        <v>3 - CURVELO</v>
      </c>
      <c r="F435" s="88"/>
      <c r="G435" s="89">
        <f>IFERROR(__xludf.DUMMYFUNCTION("""COMPUTED_VALUE"""),7.6700763E7)</f>
        <v>76700763</v>
      </c>
      <c r="H435" s="87"/>
      <c r="I435" s="87" t="str">
        <f>IFERROR(__xludf.DUMMYFUNCTION("""COMPUTED_VALUE"""),"transferido para o 10ºBBM - motorola SLR5100 Serie:478IVG3110")</f>
        <v>transferido para o 10ºBBM - motorola SLR5100 Serie:478IVG3110</v>
      </c>
    </row>
    <row r="436">
      <c r="A436" s="84">
        <f>IFERROR(__xludf.DUMMYFUNCTION("""COMPUTED_VALUE"""),435.0)</f>
        <v>435</v>
      </c>
      <c r="B436" s="85" t="str">
        <f>IFERROR(__xludf.DUMMYFUNCTION("""COMPUTED_VALUE"""),"RADIO TRANSCEPTOR -")</f>
        <v>RADIO TRANSCEPTOR -</v>
      </c>
      <c r="C436" s="86">
        <f>IFERROR(__xludf.DUMMYFUNCTION("""COMPUTED_VALUE"""),1.0)</f>
        <v>1</v>
      </c>
      <c r="D436" s="87" t="str">
        <f>IFERROR(__xludf.DUMMYFUNCTION("""COMPUTED_VALUE"""),"SEÇÃO")</f>
        <v>SEÇÃO</v>
      </c>
      <c r="E436" s="87" t="str">
        <f>IFERROR(__xludf.DUMMYFUNCTION("""COMPUTED_VALUE"""),"3 - CURVELO")</f>
        <v>3 - CURVELO</v>
      </c>
      <c r="F436" s="88"/>
      <c r="G436" s="89">
        <f>IFERROR(__xludf.DUMMYFUNCTION("""COMPUTED_VALUE"""),7.6717968E7)</f>
        <v>76717968</v>
      </c>
      <c r="H436" s="87"/>
      <c r="I436" s="87" t="str">
        <f>IFERROR(__xludf.DUMMYFUNCTION("""COMPUTED_VALUE"""),"SOF")</f>
        <v>SOF</v>
      </c>
    </row>
    <row r="437">
      <c r="A437" s="84">
        <f>IFERROR(__xludf.DUMMYFUNCTION("""COMPUTED_VALUE"""),436.0)</f>
        <v>436</v>
      </c>
      <c r="B437" s="85" t="str">
        <f>IFERROR(__xludf.DUMMYFUNCTION("""COMPUTED_VALUE"""),"RADIO TRANSCEPTOR -")</f>
        <v>RADIO TRANSCEPTOR -</v>
      </c>
      <c r="C437" s="86">
        <f>IFERROR(__xludf.DUMMYFUNCTION("""COMPUTED_VALUE"""),1.0)</f>
        <v>1</v>
      </c>
      <c r="D437" s="87" t="str">
        <f>IFERROR(__xludf.DUMMYFUNCTION("""COMPUTED_VALUE"""),"SEÇÃO")</f>
        <v>SEÇÃO</v>
      </c>
      <c r="E437" s="87" t="str">
        <f>IFERROR(__xludf.DUMMYFUNCTION("""COMPUTED_VALUE"""),"3 - CURVELO")</f>
        <v>3 - CURVELO</v>
      </c>
      <c r="F437" s="88"/>
      <c r="G437" s="89">
        <f>IFERROR(__xludf.DUMMYFUNCTION("""COMPUTED_VALUE"""),7.671822E7)</f>
        <v>76718220</v>
      </c>
      <c r="H437" s="87"/>
      <c r="I437" s="87" t="str">
        <f>IFERROR(__xludf.DUMMYFUNCTION("""COMPUTED_VALUE"""),"SOF")</f>
        <v>SOF</v>
      </c>
    </row>
    <row r="438">
      <c r="A438" s="84">
        <f>IFERROR(__xludf.DUMMYFUNCTION("""COMPUTED_VALUE"""),437.0)</f>
        <v>437</v>
      </c>
      <c r="B438" s="85" t="str">
        <f>IFERROR(__xludf.DUMMYFUNCTION("""COMPUTED_VALUE"""),"RADIO TRANSCEPTOR -")</f>
        <v>RADIO TRANSCEPTOR -</v>
      </c>
      <c r="C438" s="86">
        <f>IFERROR(__xludf.DUMMYFUNCTION("""COMPUTED_VALUE"""),1.0)</f>
        <v>1</v>
      </c>
      <c r="D438" s="87" t="str">
        <f>IFERROR(__xludf.DUMMYFUNCTION("""COMPUTED_VALUE"""),"SEÇÃO")</f>
        <v>SEÇÃO</v>
      </c>
      <c r="E438" s="87" t="str">
        <f>IFERROR(__xludf.DUMMYFUNCTION("""COMPUTED_VALUE"""),"3 - CURVELO")</f>
        <v>3 - CURVELO</v>
      </c>
      <c r="F438" s="88"/>
      <c r="G438" s="89">
        <f>IFERROR(__xludf.DUMMYFUNCTION("""COMPUTED_VALUE"""),7.6718417E7)</f>
        <v>76718417</v>
      </c>
      <c r="H438" s="87"/>
      <c r="I438" s="87" t="str">
        <f>IFERROR(__xludf.DUMMYFUNCTION("""COMPUTED_VALUE"""),"SOF")</f>
        <v>SOF</v>
      </c>
    </row>
    <row r="439">
      <c r="A439" s="84">
        <f>IFERROR(__xludf.DUMMYFUNCTION("""COMPUTED_VALUE"""),438.0)</f>
        <v>438</v>
      </c>
      <c r="B439" s="85" t="str">
        <f>IFERROR(__xludf.DUMMYFUNCTION("""COMPUTED_VALUE"""),"RADIO TRANSCEPTOR -")</f>
        <v>RADIO TRANSCEPTOR -</v>
      </c>
      <c r="C439" s="86">
        <f>IFERROR(__xludf.DUMMYFUNCTION("""COMPUTED_VALUE"""),1.0)</f>
        <v>1</v>
      </c>
      <c r="D439" s="87" t="str">
        <f>IFERROR(__xludf.DUMMYFUNCTION("""COMPUTED_VALUE"""),"SEÇÃO")</f>
        <v>SEÇÃO</v>
      </c>
      <c r="E439" s="87" t="str">
        <f>IFERROR(__xludf.DUMMYFUNCTION("""COMPUTED_VALUE"""),"3 - CURVELO")</f>
        <v>3 - CURVELO</v>
      </c>
      <c r="F439" s="88"/>
      <c r="G439" s="89">
        <f>IFERROR(__xludf.DUMMYFUNCTION("""COMPUTED_VALUE"""),7.6718581E7)</f>
        <v>76718581</v>
      </c>
      <c r="H439" s="87"/>
      <c r="I439" s="87" t="str">
        <f>IFERROR(__xludf.DUMMYFUNCTION("""COMPUTED_VALUE"""),"SOF")</f>
        <v>SOF</v>
      </c>
    </row>
    <row r="440">
      <c r="A440" s="84">
        <f>IFERROR(__xludf.DUMMYFUNCTION("""COMPUTED_VALUE"""),439.0)</f>
        <v>439</v>
      </c>
      <c r="B440" s="85" t="str">
        <f>IFERROR(__xludf.DUMMYFUNCTION("""COMPUTED_VALUE"""),"RADIO TRANSCEPTOR -")</f>
        <v>RADIO TRANSCEPTOR -</v>
      </c>
      <c r="C440" s="86">
        <f>IFERROR(__xludf.DUMMYFUNCTION("""COMPUTED_VALUE"""),1.0)</f>
        <v>1</v>
      </c>
      <c r="D440" s="87" t="str">
        <f>IFERROR(__xludf.DUMMYFUNCTION("""COMPUTED_VALUE"""),"SEÇÃO")</f>
        <v>SEÇÃO</v>
      </c>
      <c r="E440" s="87" t="str">
        <f>IFERROR(__xludf.DUMMYFUNCTION("""COMPUTED_VALUE"""),"3 - CURVELO")</f>
        <v>3 - CURVELO</v>
      </c>
      <c r="F440" s="88"/>
      <c r="G440" s="89">
        <f>IFERROR(__xludf.DUMMYFUNCTION("""COMPUTED_VALUE"""),7.6718689E7)</f>
        <v>76718689</v>
      </c>
      <c r="H440" s="87"/>
      <c r="I440" s="87" t="str">
        <f>IFERROR(__xludf.DUMMYFUNCTION("""COMPUTED_VALUE"""),"SOF")</f>
        <v>SOF</v>
      </c>
    </row>
    <row r="441">
      <c r="A441" s="84">
        <f>IFERROR(__xludf.DUMMYFUNCTION("""COMPUTED_VALUE"""),440.0)</f>
        <v>440</v>
      </c>
      <c r="B441" s="85" t="str">
        <f>IFERROR(__xludf.DUMMYFUNCTION("""COMPUTED_VALUE"""),"RADIO TRANSCEPTOR -")</f>
        <v>RADIO TRANSCEPTOR -</v>
      </c>
      <c r="C441" s="86">
        <f>IFERROR(__xludf.DUMMYFUNCTION("""COMPUTED_VALUE"""),1.0)</f>
        <v>1</v>
      </c>
      <c r="D441" s="87" t="str">
        <f>IFERROR(__xludf.DUMMYFUNCTION("""COMPUTED_VALUE"""),"SEÇÃO")</f>
        <v>SEÇÃO</v>
      </c>
      <c r="E441" s="87" t="str">
        <f>IFERROR(__xludf.DUMMYFUNCTION("""COMPUTED_VALUE"""),"3 - CURVELO")</f>
        <v>3 - CURVELO</v>
      </c>
      <c r="F441" s="88"/>
      <c r="G441" s="89">
        <f>IFERROR(__xludf.DUMMYFUNCTION("""COMPUTED_VALUE"""),7.6718697E7)</f>
        <v>76718697</v>
      </c>
      <c r="H441" s="87"/>
      <c r="I441" s="87" t="str">
        <f>IFERROR(__xludf.DUMMYFUNCTION("""COMPUTED_VALUE"""),"SOF")</f>
        <v>SOF</v>
      </c>
    </row>
    <row r="442">
      <c r="A442" s="84">
        <f>IFERROR(__xludf.DUMMYFUNCTION("""COMPUTED_VALUE"""),441.0)</f>
        <v>441</v>
      </c>
      <c r="B442" s="85" t="str">
        <f>IFERROR(__xludf.DUMMYFUNCTION("""COMPUTED_VALUE"""),"RADIO TRANSCEPTOR -")</f>
        <v>RADIO TRANSCEPTOR -</v>
      </c>
      <c r="C442" s="86">
        <f>IFERROR(__xludf.DUMMYFUNCTION("""COMPUTED_VALUE"""),1.0)</f>
        <v>1</v>
      </c>
      <c r="D442" s="87"/>
      <c r="E442" s="87" t="str">
        <f>IFERROR(__xludf.DUMMYFUNCTION("""COMPUTED_VALUE"""),"3 - CURVELO")</f>
        <v>3 - CURVELO</v>
      </c>
      <c r="F442" s="88"/>
      <c r="G442" s="89">
        <f>IFERROR(__xludf.DUMMYFUNCTION("""COMPUTED_VALUE"""),7.6738167E7)</f>
        <v>76738167</v>
      </c>
      <c r="H442" s="87"/>
      <c r="I442" s="87"/>
    </row>
    <row r="443">
      <c r="A443" s="84">
        <f>IFERROR(__xludf.DUMMYFUNCTION("""COMPUTED_VALUE"""),442.0)</f>
        <v>442</v>
      </c>
      <c r="B443" s="85" t="str">
        <f>IFERROR(__xludf.DUMMYFUNCTION("""COMPUTED_VALUE"""),"RADIO TRANSCEPTOR -")</f>
        <v>RADIO TRANSCEPTOR -</v>
      </c>
      <c r="C443" s="86">
        <f>IFERROR(__xludf.DUMMYFUNCTION("""COMPUTED_VALUE"""),1.0)</f>
        <v>1</v>
      </c>
      <c r="D443" s="87"/>
      <c r="E443" s="87" t="str">
        <f>IFERROR(__xludf.DUMMYFUNCTION("""COMPUTED_VALUE"""),"3 - CURVELO")</f>
        <v>3 - CURVELO</v>
      </c>
      <c r="F443" s="88"/>
      <c r="G443" s="89">
        <f>IFERROR(__xludf.DUMMYFUNCTION("""COMPUTED_VALUE"""),7.6738175E7)</f>
        <v>76738175</v>
      </c>
      <c r="H443" s="87"/>
      <c r="I443" s="87"/>
    </row>
    <row r="444">
      <c r="A444" s="84">
        <f>IFERROR(__xludf.DUMMYFUNCTION("""COMPUTED_VALUE"""),443.0)</f>
        <v>443</v>
      </c>
      <c r="B444" s="85" t="str">
        <f>IFERROR(__xludf.DUMMYFUNCTION("""COMPUTED_VALUE"""),"RADIO TRANSCEPTOR -")</f>
        <v>RADIO TRANSCEPTOR -</v>
      </c>
      <c r="C444" s="86">
        <f>IFERROR(__xludf.DUMMYFUNCTION("""COMPUTED_VALUE"""),1.0)</f>
        <v>1</v>
      </c>
      <c r="D444" s="87"/>
      <c r="E444" s="87" t="str">
        <f>IFERROR(__xludf.DUMMYFUNCTION("""COMPUTED_VALUE"""),"3 - CURVELO")</f>
        <v>3 - CURVELO</v>
      </c>
      <c r="F444" s="88"/>
      <c r="G444" s="89">
        <f>IFERROR(__xludf.DUMMYFUNCTION("""COMPUTED_VALUE"""),7.6738272E7)</f>
        <v>76738272</v>
      </c>
      <c r="H444" s="87"/>
      <c r="I444" s="87"/>
    </row>
    <row r="445">
      <c r="A445" s="84">
        <f>IFERROR(__xludf.DUMMYFUNCTION("""COMPUTED_VALUE"""),444.0)</f>
        <v>444</v>
      </c>
      <c r="B445" s="85" t="str">
        <f>IFERROR(__xludf.DUMMYFUNCTION("""COMPUTED_VALUE"""),"RADIO TRANSCEPTOR -")</f>
        <v>RADIO TRANSCEPTOR -</v>
      </c>
      <c r="C445" s="86">
        <f>IFERROR(__xludf.DUMMYFUNCTION("""COMPUTED_VALUE"""),1.0)</f>
        <v>1</v>
      </c>
      <c r="D445" s="87" t="str">
        <f>IFERROR(__xludf.DUMMYFUNCTION("""COMPUTED_VALUE"""),"SEÇÃO")</f>
        <v>SEÇÃO</v>
      </c>
      <c r="E445" s="87" t="str">
        <f>IFERROR(__xludf.DUMMYFUNCTION("""COMPUTED_VALUE"""),"3 - DESCARGA")</f>
        <v>3 - DESCARGA</v>
      </c>
      <c r="F445" s="88"/>
      <c r="G445" s="89">
        <f>IFERROR(__xludf.DUMMYFUNCTION("""COMPUTED_VALUE"""),7.6738353E7)</f>
        <v>76738353</v>
      </c>
      <c r="H445" s="87"/>
      <c r="I445" s="87" t="str">
        <f>IFERROR(__xludf.DUMMYFUNCTION("""COMPUTED_VALUE"""),"MATERIAL DESCARREGADO - PROCESSO Nº 1400.01.0026473/2023-01")</f>
        <v>MATERIAL DESCARREGADO - PROCESSO Nº 1400.01.0026473/2023-01</v>
      </c>
    </row>
    <row r="446">
      <c r="A446" s="84">
        <f>IFERROR(__xludf.DUMMYFUNCTION("""COMPUTED_VALUE"""),445.0)</f>
        <v>445</v>
      </c>
      <c r="B446" s="85" t="str">
        <f>IFERROR(__xludf.DUMMYFUNCTION("""COMPUTED_VALUE"""),"RADIO TRANSCEPTOR -")</f>
        <v>RADIO TRANSCEPTOR -</v>
      </c>
      <c r="C446" s="86">
        <f>IFERROR(__xludf.DUMMYFUNCTION("""COMPUTED_VALUE"""),1.0)</f>
        <v>1</v>
      </c>
      <c r="D446" s="87" t="str">
        <f>IFERROR(__xludf.DUMMYFUNCTION("""COMPUTED_VALUE"""),"SEÇÃO")</f>
        <v>SEÇÃO</v>
      </c>
      <c r="E446" s="87" t="str">
        <f>IFERROR(__xludf.DUMMYFUNCTION("""COMPUTED_VALUE"""),"3 - DESCARGA")</f>
        <v>3 - DESCARGA</v>
      </c>
      <c r="F446" s="88"/>
      <c r="G446" s="89">
        <f>IFERROR(__xludf.DUMMYFUNCTION("""COMPUTED_VALUE"""),7.6738361E7)</f>
        <v>76738361</v>
      </c>
      <c r="H446" s="87"/>
      <c r="I446" s="87" t="str">
        <f>IFERROR(__xludf.DUMMYFUNCTION("""COMPUTED_VALUE"""),"MATERIAL DESCARREGADO - PROCESSO Nº 1400.01.0026473/2023-01")</f>
        <v>MATERIAL DESCARREGADO - PROCESSO Nº 1400.01.0026473/2023-01</v>
      </c>
    </row>
    <row r="447">
      <c r="A447" s="84">
        <f>IFERROR(__xludf.DUMMYFUNCTION("""COMPUTED_VALUE"""),446.0)</f>
        <v>446</v>
      </c>
      <c r="B447" s="85" t="str">
        <f>IFERROR(__xludf.DUMMYFUNCTION("""COMPUTED_VALUE"""),"RADIO TRANSCEPTOR -")</f>
        <v>RADIO TRANSCEPTOR -</v>
      </c>
      <c r="C447" s="86">
        <f>IFERROR(__xludf.DUMMYFUNCTION("""COMPUTED_VALUE"""),1.0)</f>
        <v>1</v>
      </c>
      <c r="D447" s="87" t="str">
        <f>IFERROR(__xludf.DUMMYFUNCTION("""COMPUTED_VALUE"""),"VIATURA")</f>
        <v>VIATURA</v>
      </c>
      <c r="E447" s="87" t="str">
        <f>IFERROR(__xludf.DUMMYFUNCTION("""COMPUTED_VALUE"""),"3 - CURVELO")</f>
        <v>3 - CURVELO</v>
      </c>
      <c r="F447" s="88"/>
      <c r="G447" s="89">
        <f>IFERROR(__xludf.DUMMYFUNCTION("""COMPUTED_VALUE"""),7.681606E7)</f>
        <v>76816060</v>
      </c>
      <c r="H447" s="87"/>
      <c r="I447" s="87" t="str">
        <f>IFERROR(__xludf.DUMMYFUNCTION("""COMPUTED_VALUE"""),"RÁDIO TRANSFERIDO PARA DIVINÓPOLIS")</f>
        <v>RÁDIO TRANSFERIDO PARA DIVINÓPOLIS</v>
      </c>
    </row>
    <row r="448">
      <c r="A448" s="84">
        <f>IFERROR(__xludf.DUMMYFUNCTION("""COMPUTED_VALUE"""),447.0)</f>
        <v>447</v>
      </c>
      <c r="B448" s="85" t="str">
        <f>IFERROR(__xludf.DUMMYFUNCTION("""COMPUTED_VALUE"""),"REBOQUE -")</f>
        <v>REBOQUE -</v>
      </c>
      <c r="C448" s="86">
        <f>IFERROR(__xludf.DUMMYFUNCTION("""COMPUTED_VALUE"""),1.0)</f>
        <v>1</v>
      </c>
      <c r="D448" s="87" t="str">
        <f>IFERROR(__xludf.DUMMYFUNCTION("""COMPUTED_VALUE"""),"VIATURA")</f>
        <v>VIATURA</v>
      </c>
      <c r="E448" s="87" t="str">
        <f>IFERROR(__xludf.DUMMYFUNCTION("""COMPUTED_VALUE"""),"3 - FROTA 5ª CIA IND")</f>
        <v>3 - FROTA 5ª CIA IND</v>
      </c>
      <c r="F448" s="88"/>
      <c r="G448" s="89">
        <f>IFERROR(__xludf.DUMMYFUNCTION("""COMPUTED_VALUE"""),1.3863525E7)</f>
        <v>13863525</v>
      </c>
      <c r="H448" s="87" t="str">
        <f>IFERROR(__xludf.DUMMYFUNCTION("""COMPUTED_VALUE"""),"9A9DF01CP8BDT6897")</f>
        <v>9A9DF01CP8BDT6897</v>
      </c>
      <c r="I448" s="87" t="str">
        <f>IFERROR(__xludf.DUMMYFUNCTION("""COMPUTED_VALUE"""),"carretinha - Animais, placa HMH5585")</f>
        <v>carretinha - Animais, placa HMH5585</v>
      </c>
    </row>
    <row r="449">
      <c r="A449" s="84">
        <f>IFERROR(__xludf.DUMMYFUNCTION("""COMPUTED_VALUE"""),448.0)</f>
        <v>448</v>
      </c>
      <c r="B449" s="85" t="str">
        <f>IFERROR(__xludf.DUMMYFUNCTION("""COMPUTED_VALUE"""),"REBOQUE PARA EMBARCACOES -")</f>
        <v>REBOQUE PARA EMBARCACOES -</v>
      </c>
      <c r="C449" s="86">
        <f>IFERROR(__xludf.DUMMYFUNCTION("""COMPUTED_VALUE"""),1.0)</f>
        <v>1</v>
      </c>
      <c r="D449" s="87" t="str">
        <f>IFERROR(__xludf.DUMMYFUNCTION("""COMPUTED_VALUE"""),"VIATURA")</f>
        <v>VIATURA</v>
      </c>
      <c r="E449" s="87" t="str">
        <f>IFERROR(__xludf.DUMMYFUNCTION("""COMPUTED_VALUE"""),"3 - FROTA 5ª CIA IND")</f>
        <v>3 - FROTA 5ª CIA IND</v>
      </c>
      <c r="F449" s="88"/>
      <c r="G449" s="89">
        <f>IFERROR(__xludf.DUMMYFUNCTION("""COMPUTED_VALUE"""),1.3919644E7)</f>
        <v>13919644</v>
      </c>
      <c r="H449" s="87" t="str">
        <f>IFERROR(__xludf.DUMMYFUNCTION("""COMPUTED_VALUE"""),"9A9TJET0181BZ7185")</f>
        <v>9A9TJET0181BZ7185</v>
      </c>
      <c r="I449" s="87" t="str">
        <f>IFERROR(__xludf.DUMMYFUNCTION("""COMPUTED_VALUE"""),"Carretinha - Barco, placa HMH2286")</f>
        <v>Carretinha - Barco, placa HMH2286</v>
      </c>
    </row>
    <row r="450">
      <c r="A450" s="84">
        <f>IFERROR(__xludf.DUMMYFUNCTION("""COMPUTED_VALUE"""),449.0)</f>
        <v>449</v>
      </c>
      <c r="B450" s="85" t="str">
        <f>IFERROR(__xludf.DUMMYFUNCTION("""COMPUTED_VALUE"""),"REBOQUE PARA EMBARCACOES -")</f>
        <v>REBOQUE PARA EMBARCACOES -</v>
      </c>
      <c r="C450" s="86">
        <f>IFERROR(__xludf.DUMMYFUNCTION("""COMPUTED_VALUE"""),1.0)</f>
        <v>1</v>
      </c>
      <c r="D450" s="87" t="str">
        <f>IFERROR(__xludf.DUMMYFUNCTION("""COMPUTED_VALUE"""),"VIATURA")</f>
        <v>VIATURA</v>
      </c>
      <c r="E450" s="87" t="str">
        <f>IFERROR(__xludf.DUMMYFUNCTION("""COMPUTED_VALUE"""),"3 - FROTA 5ª CIA IND")</f>
        <v>3 - FROTA 5ª CIA IND</v>
      </c>
      <c r="F450" s="88"/>
      <c r="G450" s="89">
        <f>IFERROR(__xludf.DUMMYFUNCTION("""COMPUTED_VALUE"""),1.4057808E7)</f>
        <v>14057808</v>
      </c>
      <c r="H450" s="87" t="str">
        <f>IFERROR(__xludf.DUMMYFUNCTION("""COMPUTED_VALUE"""),"9A9CG053151BX8204")</f>
        <v>9A9CG053151BX8204</v>
      </c>
      <c r="I450" s="87" t="str">
        <f>IFERROR(__xludf.DUMMYFUNCTION("""COMPUTED_VALUE"""),"Carretinha - Barco, placa HMG5251")</f>
        <v>Carretinha - Barco, placa HMG5251</v>
      </c>
    </row>
    <row r="451">
      <c r="A451" s="84">
        <f>IFERROR(__xludf.DUMMYFUNCTION("""COMPUTED_VALUE"""),450.0)</f>
        <v>450</v>
      </c>
      <c r="B451" s="85" t="str">
        <f>IFERROR(__xludf.DUMMYFUNCTION("""COMPUTED_VALUE"""),"REFRIGERADOR DOMESTICO -")</f>
        <v>REFRIGERADOR DOMESTICO -</v>
      </c>
      <c r="C451" s="86">
        <f>IFERROR(__xludf.DUMMYFUNCTION("""COMPUTED_VALUE"""),1.0)</f>
        <v>1</v>
      </c>
      <c r="D451" s="87"/>
      <c r="E451" s="87" t="str">
        <f>IFERROR(__xludf.DUMMYFUNCTION("""COMPUTED_VALUE"""),"3 - CURVELO")</f>
        <v>3 - CURVELO</v>
      </c>
      <c r="F451" s="88"/>
      <c r="G451" s="89">
        <f>IFERROR(__xludf.DUMMYFUNCTION("""COMPUTED_VALUE"""),4.031093E7)</f>
        <v>40310930</v>
      </c>
      <c r="H451" s="87"/>
      <c r="I451" s="87"/>
    </row>
    <row r="452">
      <c r="A452" s="84">
        <f>IFERROR(__xludf.DUMMYFUNCTION("""COMPUTED_VALUE"""),451.0)</f>
        <v>451</v>
      </c>
      <c r="B452" s="85" t="str">
        <f>IFERROR(__xludf.DUMMYFUNCTION("""COMPUTED_VALUE"""),"REVOLVER -")</f>
        <v>REVOLVER -</v>
      </c>
      <c r="C452" s="86">
        <f>IFERROR(__xludf.DUMMYFUNCTION("""COMPUTED_VALUE"""),1.0)</f>
        <v>1</v>
      </c>
      <c r="D452" s="87"/>
      <c r="E452" s="87" t="str">
        <f>IFERROR(__xludf.DUMMYFUNCTION("""COMPUTED_VALUE"""),"3 - CURVELO")</f>
        <v>3 - CURVELO</v>
      </c>
      <c r="F452" s="88"/>
      <c r="G452" s="89">
        <f>IFERROR(__xludf.DUMMYFUNCTION("""COMPUTED_VALUE"""),1.3766953E7)</f>
        <v>13766953</v>
      </c>
      <c r="H452" s="87" t="str">
        <f>IFERROR(__xludf.DUMMYFUNCTION("""COMPUTED_VALUE"""),"1111690*")</f>
        <v>1111690*</v>
      </c>
      <c r="I452" s="87" t="str">
        <f>IFERROR(__xludf.DUMMYFUNCTION("""COMPUTED_VALUE"""),"38 TAURUS, 06 TIROS CANO 4'")</f>
        <v>38 TAURUS, 06 TIROS CANO 4'</v>
      </c>
    </row>
    <row r="453">
      <c r="A453" s="84">
        <f>IFERROR(__xludf.DUMMYFUNCTION("""COMPUTED_VALUE"""),452.0)</f>
        <v>452</v>
      </c>
      <c r="B453" s="85" t="str">
        <f>IFERROR(__xludf.DUMMYFUNCTION("""COMPUTED_VALUE"""),"REVOLVER -")</f>
        <v>REVOLVER -</v>
      </c>
      <c r="C453" s="86">
        <f>IFERROR(__xludf.DUMMYFUNCTION("""COMPUTED_VALUE"""),1.0)</f>
        <v>1</v>
      </c>
      <c r="D453" s="87"/>
      <c r="E453" s="87" t="str">
        <f>IFERROR(__xludf.DUMMYFUNCTION("""COMPUTED_VALUE"""),"3 - CURVELO")</f>
        <v>3 - CURVELO</v>
      </c>
      <c r="F453" s="88"/>
      <c r="G453" s="89">
        <f>IFERROR(__xludf.DUMMYFUNCTION("""COMPUTED_VALUE"""),1.4007681E7)</f>
        <v>14007681</v>
      </c>
      <c r="H453" s="87" t="str">
        <f>IFERROR(__xludf.DUMMYFUNCTION("""COMPUTED_VALUE"""),"ZK433308")</f>
        <v>ZK433308</v>
      </c>
      <c r="I453" s="87" t="str">
        <f>IFERROR(__xludf.DUMMYFUNCTION("""COMPUTED_VALUE"""),"38 SPECIAL TAURUS")</f>
        <v>38 SPECIAL TAURUS</v>
      </c>
    </row>
    <row r="454">
      <c r="A454" s="84">
        <f>IFERROR(__xludf.DUMMYFUNCTION("""COMPUTED_VALUE"""),453.0)</f>
        <v>453</v>
      </c>
      <c r="B454" s="85" t="str">
        <f>IFERROR(__xludf.DUMMYFUNCTION("""COMPUTED_VALUE"""),"REVOLVER -")</f>
        <v>REVOLVER -</v>
      </c>
      <c r="C454" s="86">
        <f>IFERROR(__xludf.DUMMYFUNCTION("""COMPUTED_VALUE"""),1.0)</f>
        <v>1</v>
      </c>
      <c r="D454" s="87"/>
      <c r="E454" s="87" t="str">
        <f>IFERROR(__xludf.DUMMYFUNCTION("""COMPUTED_VALUE"""),"3 - CURVELO")</f>
        <v>3 - CURVELO</v>
      </c>
      <c r="F454" s="88"/>
      <c r="G454" s="89">
        <f>IFERROR(__xludf.DUMMYFUNCTION("""COMPUTED_VALUE"""),1.400769E7)</f>
        <v>14007690</v>
      </c>
      <c r="H454" s="87" t="str">
        <f>IFERROR(__xludf.DUMMYFUNCTION("""COMPUTED_VALUE"""),"ZK433309*")</f>
        <v>ZK433309*</v>
      </c>
      <c r="I454" s="87" t="str">
        <f>IFERROR(__xludf.DUMMYFUNCTION("""COMPUTED_VALUE"""),"38 SPECIAL TAURUS")</f>
        <v>38 SPECIAL TAURUS</v>
      </c>
    </row>
    <row r="455">
      <c r="A455" s="84">
        <f>IFERROR(__xludf.DUMMYFUNCTION("""COMPUTED_VALUE"""),454.0)</f>
        <v>454</v>
      </c>
      <c r="B455" s="85" t="str">
        <f>IFERROR(__xludf.DUMMYFUNCTION("""COMPUTED_VALUE"""),"ROUPEIRO PARA VESTIARIO -")</f>
        <v>ROUPEIRO PARA VESTIARIO -</v>
      </c>
      <c r="C455" s="86">
        <f>IFERROR(__xludf.DUMMYFUNCTION("""COMPUTED_VALUE"""),1.0)</f>
        <v>1</v>
      </c>
      <c r="D455" s="87" t="str">
        <f>IFERROR(__xludf.DUMMYFUNCTION("""COMPUTED_VALUE"""),"SEÇÃO")</f>
        <v>SEÇÃO</v>
      </c>
      <c r="E455" s="87" t="str">
        <f>IFERROR(__xludf.DUMMYFUNCTION("""COMPUTED_VALUE"""),"3 - DESCARGA")</f>
        <v>3 - DESCARGA</v>
      </c>
      <c r="F455" s="88"/>
      <c r="G455" s="89">
        <f>IFERROR(__xludf.DUMMYFUNCTION("""COMPUTED_VALUE"""),1.4100541E7)</f>
        <v>14100541</v>
      </c>
      <c r="H455" s="87"/>
      <c r="I455" s="87" t="str">
        <f>IFERROR(__xludf.DUMMYFUNCTION("""COMPUTED_VALUE"""),"MATERIAL DESCARREGADO - PROCESSO Nº 1400.01.0026473/2023-01")</f>
        <v>MATERIAL DESCARREGADO - PROCESSO Nº 1400.01.0026473/2023-01</v>
      </c>
    </row>
    <row r="456">
      <c r="A456" s="84">
        <f>IFERROR(__xludf.DUMMYFUNCTION("""COMPUTED_VALUE"""),455.0)</f>
        <v>455</v>
      </c>
      <c r="B456" s="85" t="str">
        <f>IFERROR(__xludf.DUMMYFUNCTION("""COMPUTED_VALUE"""),"ROUPEIRO PARA VESTIARIO -")</f>
        <v>ROUPEIRO PARA VESTIARIO -</v>
      </c>
      <c r="C456" s="86">
        <f>IFERROR(__xludf.DUMMYFUNCTION("""COMPUTED_VALUE"""),1.0)</f>
        <v>1</v>
      </c>
      <c r="D456" s="87"/>
      <c r="E456" s="87" t="str">
        <f>IFERROR(__xludf.DUMMYFUNCTION("""COMPUTED_VALUE"""),"3 - CURVELO")</f>
        <v>3 - CURVELO</v>
      </c>
      <c r="F456" s="88"/>
      <c r="G456" s="89">
        <f>IFERROR(__xludf.DUMMYFUNCTION("""COMPUTED_VALUE"""),1.410055E7)</f>
        <v>14100550</v>
      </c>
      <c r="H456" s="87"/>
      <c r="I456" s="87"/>
    </row>
    <row r="457">
      <c r="A457" s="84">
        <f>IFERROR(__xludf.DUMMYFUNCTION("""COMPUTED_VALUE"""),456.0)</f>
        <v>456</v>
      </c>
      <c r="B457" s="85" t="str">
        <f>IFERROR(__xludf.DUMMYFUNCTION("""COMPUTED_VALUE"""),"ROUPEIRO PARA VESTIARIO -")</f>
        <v>ROUPEIRO PARA VESTIARIO -</v>
      </c>
      <c r="C457" s="86">
        <f>IFERROR(__xludf.DUMMYFUNCTION("""COMPUTED_VALUE"""),1.0)</f>
        <v>1</v>
      </c>
      <c r="D457" s="87"/>
      <c r="E457" s="87" t="str">
        <f>IFERROR(__xludf.DUMMYFUNCTION("""COMPUTED_VALUE"""),"3 - CURVELO")</f>
        <v>3 - CURVELO</v>
      </c>
      <c r="F457" s="88"/>
      <c r="G457" s="89">
        <f>IFERROR(__xludf.DUMMYFUNCTION("""COMPUTED_VALUE"""),1.4100568E7)</f>
        <v>14100568</v>
      </c>
      <c r="H457" s="87"/>
      <c r="I457" s="87"/>
    </row>
    <row r="458">
      <c r="A458" s="84">
        <f>IFERROR(__xludf.DUMMYFUNCTION("""COMPUTED_VALUE"""),457.0)</f>
        <v>457</v>
      </c>
      <c r="B458" s="85" t="str">
        <f>IFERROR(__xludf.DUMMYFUNCTION("""COMPUTED_VALUE"""),"ROUPEIRO PARA VESTIARIO -")</f>
        <v>ROUPEIRO PARA VESTIARIO -</v>
      </c>
      <c r="C458" s="86">
        <f>IFERROR(__xludf.DUMMYFUNCTION("""COMPUTED_VALUE"""),1.0)</f>
        <v>1</v>
      </c>
      <c r="D458" s="87"/>
      <c r="E458" s="87" t="str">
        <f>IFERROR(__xludf.DUMMYFUNCTION("""COMPUTED_VALUE"""),"3 - CURVELO")</f>
        <v>3 - CURVELO</v>
      </c>
      <c r="F458" s="88"/>
      <c r="G458" s="89">
        <f>IFERROR(__xludf.DUMMYFUNCTION("""COMPUTED_VALUE"""),1.4100576E7)</f>
        <v>14100576</v>
      </c>
      <c r="H458" s="87"/>
      <c r="I458" s="87"/>
    </row>
    <row r="459">
      <c r="A459" s="84">
        <f>IFERROR(__xludf.DUMMYFUNCTION("""COMPUTED_VALUE"""),458.0)</f>
        <v>458</v>
      </c>
      <c r="B459" s="85" t="str">
        <f>IFERROR(__xludf.DUMMYFUNCTION("""COMPUTED_VALUE"""),"ROUPEIRO PARA VESTIARIO -")</f>
        <v>ROUPEIRO PARA VESTIARIO -</v>
      </c>
      <c r="C459" s="86">
        <f>IFERROR(__xludf.DUMMYFUNCTION("""COMPUTED_VALUE"""),1.0)</f>
        <v>1</v>
      </c>
      <c r="D459" s="87" t="str">
        <f>IFERROR(__xludf.DUMMYFUNCTION("""COMPUTED_VALUE"""),"SEÇÃO")</f>
        <v>SEÇÃO</v>
      </c>
      <c r="E459" s="87" t="str">
        <f>IFERROR(__xludf.DUMMYFUNCTION("""COMPUTED_VALUE"""),"3 - DESCARGA")</f>
        <v>3 - DESCARGA</v>
      </c>
      <c r="F459" s="88"/>
      <c r="G459" s="89">
        <f>IFERROR(__xludf.DUMMYFUNCTION("""COMPUTED_VALUE"""),1.4100584E7)</f>
        <v>14100584</v>
      </c>
      <c r="H459" s="87"/>
      <c r="I459" s="87" t="str">
        <f>IFERROR(__xludf.DUMMYFUNCTION("""COMPUTED_VALUE"""),"MATERIAL DESCARREGADO - PROCESSO Nº 1400.01.0026473/2023-01")</f>
        <v>MATERIAL DESCARREGADO - PROCESSO Nº 1400.01.0026473/2023-01</v>
      </c>
    </row>
    <row r="460">
      <c r="A460" s="84">
        <f>IFERROR(__xludf.DUMMYFUNCTION("""COMPUTED_VALUE"""),459.0)</f>
        <v>459</v>
      </c>
      <c r="B460" s="85" t="str">
        <f>IFERROR(__xludf.DUMMYFUNCTION("""COMPUTED_VALUE"""),"ROUPEIRO PARA VESTIARIO -")</f>
        <v>ROUPEIRO PARA VESTIARIO -</v>
      </c>
      <c r="C460" s="86">
        <f>IFERROR(__xludf.DUMMYFUNCTION("""COMPUTED_VALUE"""),1.0)</f>
        <v>1</v>
      </c>
      <c r="D460" s="87"/>
      <c r="E460" s="87" t="str">
        <f>IFERROR(__xludf.DUMMYFUNCTION("""COMPUTED_VALUE"""),"3 - CURVELO")</f>
        <v>3 - CURVELO</v>
      </c>
      <c r="F460" s="88"/>
      <c r="G460" s="89">
        <f>IFERROR(__xludf.DUMMYFUNCTION("""COMPUTED_VALUE"""),1.4100592E7)</f>
        <v>14100592</v>
      </c>
      <c r="H460" s="87"/>
      <c r="I460" s="87"/>
    </row>
    <row r="461">
      <c r="A461" s="84">
        <f>IFERROR(__xludf.DUMMYFUNCTION("""COMPUTED_VALUE"""),460.0)</f>
        <v>460</v>
      </c>
      <c r="B461" s="85" t="str">
        <f>IFERROR(__xludf.DUMMYFUNCTION("""COMPUTED_VALUE"""),"ROUPEIRO PARA VESTIARIO -")</f>
        <v>ROUPEIRO PARA VESTIARIO -</v>
      </c>
      <c r="C461" s="86">
        <f>IFERROR(__xludf.DUMMYFUNCTION("""COMPUTED_VALUE"""),1.0)</f>
        <v>1</v>
      </c>
      <c r="D461" s="87"/>
      <c r="E461" s="87" t="str">
        <f>IFERROR(__xludf.DUMMYFUNCTION("""COMPUTED_VALUE"""),"3 - CURVELO")</f>
        <v>3 - CURVELO</v>
      </c>
      <c r="F461" s="88"/>
      <c r="G461" s="89">
        <f>IFERROR(__xludf.DUMMYFUNCTION("""COMPUTED_VALUE"""),4.0096831E7)</f>
        <v>40096831</v>
      </c>
      <c r="H461" s="87"/>
      <c r="I461" s="87"/>
    </row>
    <row r="462">
      <c r="A462" s="84">
        <f>IFERROR(__xludf.DUMMYFUNCTION("""COMPUTED_VALUE"""),461.0)</f>
        <v>461</v>
      </c>
      <c r="B462" s="85" t="str">
        <f>IFERROR(__xludf.DUMMYFUNCTION("""COMPUTED_VALUE"""),"ROUPEIRO PARA VESTIARIO -")</f>
        <v>ROUPEIRO PARA VESTIARIO -</v>
      </c>
      <c r="C462" s="86">
        <f>IFERROR(__xludf.DUMMYFUNCTION("""COMPUTED_VALUE"""),1.0)</f>
        <v>1</v>
      </c>
      <c r="D462" s="87"/>
      <c r="E462" s="87" t="str">
        <f>IFERROR(__xludf.DUMMYFUNCTION("""COMPUTED_VALUE"""),"3 - CURVELO")</f>
        <v>3 - CURVELO</v>
      </c>
      <c r="F462" s="88"/>
      <c r="G462" s="89">
        <f>IFERROR(__xludf.DUMMYFUNCTION("""COMPUTED_VALUE"""),4.0354288E7)</f>
        <v>40354288</v>
      </c>
      <c r="H462" s="87"/>
      <c r="I462" s="87"/>
    </row>
    <row r="463">
      <c r="A463" s="84">
        <f>IFERROR(__xludf.DUMMYFUNCTION("""COMPUTED_VALUE"""),462.0)</f>
        <v>462</v>
      </c>
      <c r="B463" s="85" t="str">
        <f>IFERROR(__xludf.DUMMYFUNCTION("""COMPUTED_VALUE"""),"ROUPEIRO PARA VESTIARIO -")</f>
        <v>ROUPEIRO PARA VESTIARIO -</v>
      </c>
      <c r="C463" s="86">
        <f>IFERROR(__xludf.DUMMYFUNCTION("""COMPUTED_VALUE"""),1.0)</f>
        <v>1</v>
      </c>
      <c r="D463" s="87"/>
      <c r="E463" s="87" t="str">
        <f>IFERROR(__xludf.DUMMYFUNCTION("""COMPUTED_VALUE"""),"3 - CURVELO")</f>
        <v>3 - CURVELO</v>
      </c>
      <c r="F463" s="88"/>
      <c r="G463" s="89">
        <f>IFERROR(__xludf.DUMMYFUNCTION("""COMPUTED_VALUE"""),4.0354296E7)</f>
        <v>40354296</v>
      </c>
      <c r="H463" s="87"/>
      <c r="I463" s="87"/>
    </row>
    <row r="464">
      <c r="A464" s="84">
        <f>IFERROR(__xludf.DUMMYFUNCTION("""COMPUTED_VALUE"""),463.0)</f>
        <v>463</v>
      </c>
      <c r="B464" s="85" t="str">
        <f>IFERROR(__xludf.DUMMYFUNCTION("""COMPUTED_VALUE"""),"ROUPEIRO PARA VESTIARIO -")</f>
        <v>ROUPEIRO PARA VESTIARIO -</v>
      </c>
      <c r="C464" s="86">
        <f>IFERROR(__xludf.DUMMYFUNCTION("""COMPUTED_VALUE"""),1.0)</f>
        <v>1</v>
      </c>
      <c r="D464" s="87"/>
      <c r="E464" s="87" t="str">
        <f>IFERROR(__xludf.DUMMYFUNCTION("""COMPUTED_VALUE"""),"3 - CURVELO")</f>
        <v>3 - CURVELO</v>
      </c>
      <c r="F464" s="88"/>
      <c r="G464" s="89">
        <f>IFERROR(__xludf.DUMMYFUNCTION("""COMPUTED_VALUE"""),4.03543E7)</f>
        <v>40354300</v>
      </c>
      <c r="H464" s="87"/>
      <c r="I464" s="87"/>
    </row>
    <row r="465">
      <c r="A465" s="84">
        <f>IFERROR(__xludf.DUMMYFUNCTION("""COMPUTED_VALUE"""),464.0)</f>
        <v>464</v>
      </c>
      <c r="B465" s="85" t="str">
        <f>IFERROR(__xludf.DUMMYFUNCTION("""COMPUTED_VALUE"""),"SPLIT -")</f>
        <v>SPLIT -</v>
      </c>
      <c r="C465" s="86">
        <f>IFERROR(__xludf.DUMMYFUNCTION("""COMPUTED_VALUE"""),1.0)</f>
        <v>1</v>
      </c>
      <c r="D465" s="87"/>
      <c r="E465" s="87" t="str">
        <f>IFERROR(__xludf.DUMMYFUNCTION("""COMPUTED_VALUE"""),"3 - CURVELO")</f>
        <v>3 - CURVELO</v>
      </c>
      <c r="F465" s="88"/>
      <c r="G465" s="89">
        <f>IFERROR(__xludf.DUMMYFUNCTION("""COMPUTED_VALUE"""),4.0259366E7)</f>
        <v>40259366</v>
      </c>
      <c r="H465" s="87"/>
      <c r="I465" s="87"/>
    </row>
    <row r="466">
      <c r="A466" s="84">
        <f>IFERROR(__xludf.DUMMYFUNCTION("""COMPUTED_VALUE"""),465.0)</f>
        <v>465</v>
      </c>
      <c r="B466" s="85" t="str">
        <f>IFERROR(__xludf.DUMMYFUNCTION("""COMPUTED_VALUE"""),"SPLIT -")</f>
        <v>SPLIT -</v>
      </c>
      <c r="C466" s="86">
        <f>IFERROR(__xludf.DUMMYFUNCTION("""COMPUTED_VALUE"""),1.0)</f>
        <v>1</v>
      </c>
      <c r="D466" s="87"/>
      <c r="E466" s="87" t="str">
        <f>IFERROR(__xludf.DUMMYFUNCTION("""COMPUTED_VALUE"""),"3 - CURVELO")</f>
        <v>3 - CURVELO</v>
      </c>
      <c r="F466" s="88"/>
      <c r="G466" s="89">
        <f>IFERROR(__xludf.DUMMYFUNCTION("""COMPUTED_VALUE"""),4.0259374E7)</f>
        <v>40259374</v>
      </c>
      <c r="H466" s="87"/>
      <c r="I466" s="87"/>
    </row>
    <row r="467">
      <c r="A467" s="84">
        <f>IFERROR(__xludf.DUMMYFUNCTION("""COMPUTED_VALUE"""),466.0)</f>
        <v>466</v>
      </c>
      <c r="B467" s="85" t="str">
        <f>IFERROR(__xludf.DUMMYFUNCTION("""COMPUTED_VALUE"""),"SPLIT -")</f>
        <v>SPLIT -</v>
      </c>
      <c r="C467" s="86">
        <f>IFERROR(__xludf.DUMMYFUNCTION("""COMPUTED_VALUE"""),1.0)</f>
        <v>1</v>
      </c>
      <c r="D467" s="87"/>
      <c r="E467" s="87" t="str">
        <f>IFERROR(__xludf.DUMMYFUNCTION("""COMPUTED_VALUE"""),"3 - CURVELO")</f>
        <v>3 - CURVELO</v>
      </c>
      <c r="F467" s="88"/>
      <c r="G467" s="89">
        <f>IFERROR(__xludf.DUMMYFUNCTION("""COMPUTED_VALUE"""),4.0259382E7)</f>
        <v>40259382</v>
      </c>
      <c r="H467" s="87"/>
      <c r="I467" s="87"/>
    </row>
    <row r="468">
      <c r="A468" s="84">
        <f>IFERROR(__xludf.DUMMYFUNCTION("""COMPUTED_VALUE"""),467.0)</f>
        <v>467</v>
      </c>
      <c r="B468" s="85" t="str">
        <f>IFERROR(__xludf.DUMMYFUNCTION("""COMPUTED_VALUE"""),"SWITCH -")</f>
        <v>SWITCH -</v>
      </c>
      <c r="C468" s="86">
        <f>IFERROR(__xludf.DUMMYFUNCTION("""COMPUTED_VALUE"""),1.0)</f>
        <v>1</v>
      </c>
      <c r="D468" s="87"/>
      <c r="E468" s="87" t="str">
        <f>IFERROR(__xludf.DUMMYFUNCTION("""COMPUTED_VALUE"""),"3 - CURVELO")</f>
        <v>3 - CURVELO</v>
      </c>
      <c r="F468" s="88"/>
      <c r="G468" s="89">
        <f>IFERROR(__xludf.DUMMYFUNCTION("""COMPUTED_VALUE"""),1.4147602E7)</f>
        <v>14147602</v>
      </c>
      <c r="H468" s="87"/>
      <c r="I468" s="87" t="str">
        <f>IFERROR(__xludf.DUMMYFUNCTION("""COMPUTED_VALUE"""),"PPV")</f>
        <v>PPV</v>
      </c>
    </row>
    <row r="469">
      <c r="A469" s="84">
        <f>IFERROR(__xludf.DUMMYFUNCTION("""COMPUTED_VALUE"""),468.0)</f>
        <v>468</v>
      </c>
      <c r="B469" s="85" t="str">
        <f>IFERROR(__xludf.DUMMYFUNCTION("""COMPUTED_VALUE"""),"SWITCH -")</f>
        <v>SWITCH -</v>
      </c>
      <c r="C469" s="86">
        <f>IFERROR(__xludf.DUMMYFUNCTION("""COMPUTED_VALUE"""),1.0)</f>
        <v>1</v>
      </c>
      <c r="D469" s="87"/>
      <c r="E469" s="87" t="str">
        <f>IFERROR(__xludf.DUMMYFUNCTION("""COMPUTED_VALUE"""),"3 - CURVELO")</f>
        <v>3 - CURVELO</v>
      </c>
      <c r="F469" s="88"/>
      <c r="G469" s="89">
        <f>IFERROR(__xludf.DUMMYFUNCTION("""COMPUTED_VALUE"""),4.0077063E7)</f>
        <v>40077063</v>
      </c>
      <c r="H469" s="87"/>
      <c r="I469" s="87" t="str">
        <f>IFERROR(__xludf.DUMMYFUNCTION("""COMPUTED_VALUE"""),"SALA DO COMANDANTE")</f>
        <v>SALA DO COMANDANTE</v>
      </c>
    </row>
    <row r="470">
      <c r="A470" s="84">
        <f>IFERROR(__xludf.DUMMYFUNCTION("""COMPUTED_VALUE"""),469.0)</f>
        <v>469</v>
      </c>
      <c r="B470" s="85" t="str">
        <f>IFERROR(__xludf.DUMMYFUNCTION("""COMPUTED_VALUE"""),"TABLET PC -")</f>
        <v>TABLET PC -</v>
      </c>
      <c r="C470" s="86">
        <f>IFERROR(__xludf.DUMMYFUNCTION("""COMPUTED_VALUE"""),1.0)</f>
        <v>1</v>
      </c>
      <c r="D470" s="87"/>
      <c r="E470" s="87" t="str">
        <f>IFERROR(__xludf.DUMMYFUNCTION("""COMPUTED_VALUE"""),"3 - CURVELO")</f>
        <v>3 - CURVELO</v>
      </c>
      <c r="F470" s="88"/>
      <c r="G470" s="89">
        <f>IFERROR(__xludf.DUMMYFUNCTION("""COMPUTED_VALUE"""),7.6705072E7)</f>
        <v>76705072</v>
      </c>
      <c r="H470" s="87"/>
      <c r="I470" s="87"/>
    </row>
    <row r="471">
      <c r="A471" s="84">
        <f>IFERROR(__xludf.DUMMYFUNCTION("""COMPUTED_VALUE"""),470.0)</f>
        <v>470</v>
      </c>
      <c r="B471" s="85" t="str">
        <f>IFERROR(__xludf.DUMMYFUNCTION("""COMPUTED_VALUE"""),"TABLET PC -")</f>
        <v>TABLET PC -</v>
      </c>
      <c r="C471" s="86">
        <f>IFERROR(__xludf.DUMMYFUNCTION("""COMPUTED_VALUE"""),1.0)</f>
        <v>1</v>
      </c>
      <c r="D471" s="87"/>
      <c r="E471" s="87" t="str">
        <f>IFERROR(__xludf.DUMMYFUNCTION("""COMPUTED_VALUE"""),"3 - CURVELO")</f>
        <v>3 - CURVELO</v>
      </c>
      <c r="F471" s="88"/>
      <c r="G471" s="89">
        <f>IFERROR(__xludf.DUMMYFUNCTION("""COMPUTED_VALUE"""),7.670508E7)</f>
        <v>76705080</v>
      </c>
      <c r="H471" s="87"/>
      <c r="I471" s="87" t="str">
        <f>IFERROR(__xludf.DUMMYFUNCTION("""COMPUTED_VALUE"""),"PPV")</f>
        <v>PPV</v>
      </c>
    </row>
    <row r="472">
      <c r="A472" s="84">
        <f>IFERROR(__xludf.DUMMYFUNCTION("""COMPUTED_VALUE"""),471.0)</f>
        <v>471</v>
      </c>
      <c r="B472" s="85" t="str">
        <f>IFERROR(__xludf.DUMMYFUNCTION("""COMPUTED_VALUE"""),"TABLET PC -")</f>
        <v>TABLET PC -</v>
      </c>
      <c r="C472" s="86">
        <f>IFERROR(__xludf.DUMMYFUNCTION("""COMPUTED_VALUE"""),1.0)</f>
        <v>1</v>
      </c>
      <c r="D472" s="87"/>
      <c r="E472" s="87" t="str">
        <f>IFERROR(__xludf.DUMMYFUNCTION("""COMPUTED_VALUE"""),"3 - CURVELO")</f>
        <v>3 - CURVELO</v>
      </c>
      <c r="F472" s="88"/>
      <c r="G472" s="89">
        <f>IFERROR(__xludf.DUMMYFUNCTION("""COMPUTED_VALUE"""),7.6730573E7)</f>
        <v>76730573</v>
      </c>
      <c r="H472" s="87"/>
      <c r="I472" s="87" t="str">
        <f>IFERROR(__xludf.DUMMYFUNCTION("""COMPUTED_VALUE"""),"PPV")</f>
        <v>PPV</v>
      </c>
    </row>
    <row r="473">
      <c r="A473" s="84">
        <f>IFERROR(__xludf.DUMMYFUNCTION("""COMPUTED_VALUE"""),472.0)</f>
        <v>472</v>
      </c>
      <c r="B473" s="85" t="str">
        <f>IFERROR(__xludf.DUMMYFUNCTION("""COMPUTED_VALUE"""),"TALHA -")</f>
        <v>TALHA -</v>
      </c>
      <c r="C473" s="86">
        <f>IFERROR(__xludf.DUMMYFUNCTION("""COMPUTED_VALUE"""),1.0)</f>
        <v>1</v>
      </c>
      <c r="D473" s="87"/>
      <c r="E473" s="87" t="str">
        <f>IFERROR(__xludf.DUMMYFUNCTION("""COMPUTED_VALUE"""),"3 - CURVELO")</f>
        <v>3 - CURVELO</v>
      </c>
      <c r="F473" s="88"/>
      <c r="G473" s="89">
        <f>IFERROR(__xludf.DUMMYFUNCTION("""COMPUTED_VALUE"""),1.388954E7)</f>
        <v>13889540</v>
      </c>
      <c r="H473" s="87"/>
      <c r="I473" s="87"/>
    </row>
    <row r="474">
      <c r="A474" s="84">
        <f>IFERROR(__xludf.DUMMYFUNCTION("""COMPUTED_VALUE"""),473.0)</f>
        <v>473</v>
      </c>
      <c r="B474" s="85" t="str">
        <f>IFERROR(__xludf.DUMMYFUNCTION("""COMPUTED_VALUE"""),"TALHA -")</f>
        <v>TALHA -</v>
      </c>
      <c r="C474" s="86">
        <f>IFERROR(__xludf.DUMMYFUNCTION("""COMPUTED_VALUE"""),1.0)</f>
        <v>1</v>
      </c>
      <c r="D474" s="87"/>
      <c r="E474" s="87" t="str">
        <f>IFERROR(__xludf.DUMMYFUNCTION("""COMPUTED_VALUE"""),"3 - CURVELO")</f>
        <v>3 - CURVELO</v>
      </c>
      <c r="F474" s="88"/>
      <c r="G474" s="89">
        <f>IFERROR(__xludf.DUMMYFUNCTION("""COMPUTED_VALUE"""),4.008414E7)</f>
        <v>40084140</v>
      </c>
      <c r="H474" s="87"/>
      <c r="I474" s="87"/>
    </row>
    <row r="475">
      <c r="A475" s="84">
        <f>IFERROR(__xludf.DUMMYFUNCTION("""COMPUTED_VALUE"""),474.0)</f>
        <v>474</v>
      </c>
      <c r="B475" s="85" t="str">
        <f>IFERROR(__xludf.DUMMYFUNCTION("""COMPUTED_VALUE"""),"TELEVISAO -")</f>
        <v>TELEVISAO -</v>
      </c>
      <c r="C475" s="86">
        <f>IFERROR(__xludf.DUMMYFUNCTION("""COMPUTED_VALUE"""),1.0)</f>
        <v>1</v>
      </c>
      <c r="D475" s="87" t="str">
        <f>IFERROR(__xludf.DUMMYFUNCTION("""COMPUTED_VALUE"""),"SEÇÃO")</f>
        <v>SEÇÃO</v>
      </c>
      <c r="E475" s="87" t="str">
        <f>IFERROR(__xludf.DUMMYFUNCTION("""COMPUTED_VALUE"""),"3 - DESCARGA")</f>
        <v>3 - DESCARGA</v>
      </c>
      <c r="F475" s="88"/>
      <c r="G475" s="89">
        <f>IFERROR(__xludf.DUMMYFUNCTION("""COMPUTED_VALUE"""),4.0317544E7)</f>
        <v>40317544</v>
      </c>
      <c r="H475" s="87"/>
      <c r="I475" s="87" t="str">
        <f>IFERROR(__xludf.DUMMYFUNCTION("""COMPUTED_VALUE"""),"MATERIAL DESCARREGADO - PROCESSO Nº 1400.01.0026473/2023-01")</f>
        <v>MATERIAL DESCARREGADO - PROCESSO Nº 1400.01.0026473/2023-01</v>
      </c>
    </row>
    <row r="476">
      <c r="A476" s="84">
        <f>IFERROR(__xludf.DUMMYFUNCTION("""COMPUTED_VALUE"""),475.0)</f>
        <v>475</v>
      </c>
      <c r="B476" s="85" t="str">
        <f>IFERROR(__xludf.DUMMYFUNCTION("""COMPUTED_VALUE"""),"TELEVISAO -")</f>
        <v>TELEVISAO -</v>
      </c>
      <c r="C476" s="86">
        <f>IFERROR(__xludf.DUMMYFUNCTION("""COMPUTED_VALUE"""),1.0)</f>
        <v>1</v>
      </c>
      <c r="D476" s="87"/>
      <c r="E476" s="87" t="str">
        <f>IFERROR(__xludf.DUMMYFUNCTION("""COMPUTED_VALUE"""),"3 - CURVELO")</f>
        <v>3 - CURVELO</v>
      </c>
      <c r="F476" s="88"/>
      <c r="G476" s="89">
        <f>IFERROR(__xludf.DUMMYFUNCTION("""COMPUTED_VALUE"""),7.666614E7)</f>
        <v>76666140</v>
      </c>
      <c r="H476" s="87"/>
      <c r="I476" s="87"/>
    </row>
    <row r="477">
      <c r="A477" s="84">
        <f>IFERROR(__xludf.DUMMYFUNCTION("""COMPUTED_VALUE"""),476.0)</f>
        <v>476</v>
      </c>
      <c r="B477" s="85" t="str">
        <f>IFERROR(__xludf.DUMMYFUNCTION("""COMPUTED_VALUE"""),"TRENA ELETRONICA -")</f>
        <v>TRENA ELETRONICA -</v>
      </c>
      <c r="C477" s="86">
        <f>IFERROR(__xludf.DUMMYFUNCTION("""COMPUTED_VALUE"""),1.0)</f>
        <v>1</v>
      </c>
      <c r="D477" s="87"/>
      <c r="E477" s="87" t="str">
        <f>IFERROR(__xludf.DUMMYFUNCTION("""COMPUTED_VALUE"""),"3 - CURVELO")</f>
        <v>3 - CURVELO</v>
      </c>
      <c r="F477" s="88"/>
      <c r="G477" s="89">
        <f>IFERROR(__xludf.DUMMYFUNCTION("""COMPUTED_VALUE"""),4.0345157E7)</f>
        <v>40345157</v>
      </c>
      <c r="H477" s="87"/>
      <c r="I477" s="87"/>
    </row>
    <row r="478">
      <c r="A478" s="84">
        <f>IFERROR(__xludf.DUMMYFUNCTION("""COMPUTED_VALUE"""),477.0)</f>
        <v>477</v>
      </c>
      <c r="B478" s="85" t="str">
        <f>IFERROR(__xludf.DUMMYFUNCTION("""COMPUTED_VALUE"""),"VEICULO AUTO BOMBA/TANQUE -")</f>
        <v>VEICULO AUTO BOMBA/TANQUE -</v>
      </c>
      <c r="C478" s="86">
        <f>IFERROR(__xludf.DUMMYFUNCTION("""COMPUTED_VALUE"""),1.0)</f>
        <v>1</v>
      </c>
      <c r="D478" s="87" t="str">
        <f>IFERROR(__xludf.DUMMYFUNCTION("""COMPUTED_VALUE"""),"VIATURA")</f>
        <v>VIATURA</v>
      </c>
      <c r="E478" s="87" t="str">
        <f>IFERROR(__xludf.DUMMYFUNCTION("""COMPUTED_VALUE"""),"3 - CURVELO")</f>
        <v>3 - CURVELO</v>
      </c>
      <c r="F478" s="88"/>
      <c r="G478" s="89">
        <f>IFERROR(__xludf.DUMMYFUNCTION("""COMPUTED_VALUE"""),7.683123E7)</f>
        <v>76831230</v>
      </c>
      <c r="H478" s="87" t="str">
        <f>IFERROR(__xludf.DUMMYFUNCTION("""COMPUTED_VALUE"""),"953658244PR014947")</f>
        <v>953658244PR014947</v>
      </c>
      <c r="I478" s="87" t="str">
        <f>IFERROR(__xludf.DUMMYFUNCTION("""COMPUTED_VALUE"""),"ABTS-3026 placa QXW3A26")</f>
        <v>ABTS-3026 placa QXW3A26</v>
      </c>
    </row>
    <row r="479">
      <c r="A479" s="84">
        <f>IFERROR(__xludf.DUMMYFUNCTION("""COMPUTED_VALUE"""),478.0)</f>
        <v>478</v>
      </c>
      <c r="B479" s="85" t="str">
        <f>IFERROR(__xludf.DUMMYFUNCTION("""COMPUTED_VALUE"""),"VIATURA BASICA -")</f>
        <v>VIATURA BASICA -</v>
      </c>
      <c r="C479" s="86">
        <f>IFERROR(__xludf.DUMMYFUNCTION("""COMPUTED_VALUE"""),1.0)</f>
        <v>1</v>
      </c>
      <c r="D479" s="87"/>
      <c r="E479" s="87" t="str">
        <f>IFERROR(__xludf.DUMMYFUNCTION("""COMPUTED_VALUE"""),"3 - CURVELO")</f>
        <v>3 - CURVELO</v>
      </c>
      <c r="F479" s="88"/>
      <c r="G479" s="89">
        <f>IFERROR(__xludf.DUMMYFUNCTION("""COMPUTED_VALUE"""),4.0280616E7)</f>
        <v>40280616</v>
      </c>
      <c r="H479" s="87" t="str">
        <f>IFERROR(__xludf.DUMMYFUNCTION("""COMPUTED_VALUE"""),"9BD195A6MG0726041")</f>
        <v>9BD195A6MG0726041</v>
      </c>
      <c r="I479" s="87" t="str">
        <f>IFERROR(__xludf.DUMMYFUNCTION("""COMPUTED_VALUE"""),"APF -1347 placa PUE8060")</f>
        <v>APF -1347 placa PUE8060</v>
      </c>
    </row>
    <row r="480">
      <c r="A480" s="84">
        <f>IFERROR(__xludf.DUMMYFUNCTION("""COMPUTED_VALUE"""),479.0)</f>
        <v>479</v>
      </c>
      <c r="B480" s="85" t="str">
        <f>IFERROR(__xludf.DUMMYFUNCTION("""COMPUTED_VALUE"""),"VIATURA CAMINHONETE -")</f>
        <v>VIATURA CAMINHONETE -</v>
      </c>
      <c r="C480" s="86">
        <f>IFERROR(__xludf.DUMMYFUNCTION("""COMPUTED_VALUE"""),1.0)</f>
        <v>1</v>
      </c>
      <c r="D480" s="87" t="str">
        <f>IFERROR(__xludf.DUMMYFUNCTION("""COMPUTED_VALUE"""),"VIATURA")</f>
        <v>VIATURA</v>
      </c>
      <c r="E480" s="87" t="str">
        <f>IFERROR(__xludf.DUMMYFUNCTION("""COMPUTED_VALUE"""),"3 - CURVELO")</f>
        <v>3 - CURVELO</v>
      </c>
      <c r="F480" s="88"/>
      <c r="G480" s="89">
        <f>IFERROR(__xludf.DUMMYFUNCTION("""COMPUTED_VALUE"""),4.0283488E7)</f>
        <v>40283488</v>
      </c>
      <c r="H480" s="87" t="str">
        <f>IFERROR(__xludf.DUMMYFUNCTION("""COMPUTED_VALUE"""),"93XLNKB8TGCF19643")</f>
        <v>93XLNKB8TGCF19643</v>
      </c>
      <c r="I480" s="87" t="str">
        <f>IFERROR(__xludf.DUMMYFUNCTION("""COMPUTED_VALUE"""),"ASL-1382 placa PUE8D64")</f>
        <v>ASL-1382 placa PUE8D64</v>
      </c>
    </row>
    <row r="481">
      <c r="A481" s="84">
        <f>IFERROR(__xludf.DUMMYFUNCTION("""COMPUTED_VALUE"""),480.0)</f>
        <v>480</v>
      </c>
      <c r="B481" s="85" t="str">
        <f>IFERROR(__xludf.DUMMYFUNCTION("""COMPUTED_VALUE"""),"WEBCAM -")</f>
        <v>WEBCAM -</v>
      </c>
      <c r="C481" s="86">
        <f>IFERROR(__xludf.DUMMYFUNCTION("""COMPUTED_VALUE"""),1.0)</f>
        <v>1</v>
      </c>
      <c r="D481" s="87"/>
      <c r="E481" s="87" t="str">
        <f>IFERROR(__xludf.DUMMYFUNCTION("""COMPUTED_VALUE"""),"3 - CURVELO")</f>
        <v>3 - CURVELO</v>
      </c>
      <c r="F481" s="88"/>
      <c r="G481" s="89">
        <f>IFERROR(__xludf.DUMMYFUNCTION("""COMPUTED_VALUE"""),7.686703E7)</f>
        <v>76867030</v>
      </c>
      <c r="H481" s="87"/>
      <c r="I481" s="87" t="str">
        <f>IFERROR(__xludf.DUMMYFUNCTION("""COMPUTED_VALUE"""),"NÃO CONSTA NA CARGA ATUAL")</f>
        <v>NÃO CONSTA NA CARGA ATUAL</v>
      </c>
    </row>
    <row r="482">
      <c r="A482" s="84">
        <f>IFERROR(__xludf.DUMMYFUNCTION("""COMPUTED_VALUE"""),481.0)</f>
        <v>481</v>
      </c>
      <c r="B482" s="85" t="str">
        <f>IFERROR(__xludf.DUMMYFUNCTION("""COMPUTED_VALUE"""),"MESA PARA IMPRESSORA - (II)")</f>
        <v>MESA PARA IMPRESSORA - (II)</v>
      </c>
      <c r="C482" s="86">
        <f>IFERROR(__xludf.DUMMYFUNCTION("""COMPUTED_VALUE"""),1.0)</f>
        <v>1</v>
      </c>
      <c r="D482" s="87" t="str">
        <f>IFERROR(__xludf.DUMMYFUNCTION("""COMPUTED_VALUE"""),"SEÇÃO")</f>
        <v>SEÇÃO</v>
      </c>
      <c r="E482" s="87" t="str">
        <f>IFERROR(__xludf.DUMMYFUNCTION("""COMPUTED_VALUE"""),"3 - COMANDANTE")</f>
        <v>3 - COMANDANTE</v>
      </c>
      <c r="F482" s="88"/>
      <c r="G482" s="89">
        <f>IFERROR(__xludf.DUMMYFUNCTION("""COMPUTED_VALUE"""),1.0304126E7)</f>
        <v>10304126</v>
      </c>
      <c r="H482" s="87"/>
      <c r="I482" s="87"/>
    </row>
    <row r="483">
      <c r="A483" s="84">
        <f>IFERROR(__xludf.DUMMYFUNCTION("""COMPUTED_VALUE"""),482.0)</f>
        <v>482</v>
      </c>
      <c r="B483" s="85" t="str">
        <f>IFERROR(__xludf.DUMMYFUNCTION("""COMPUTED_VALUE"""),"CAMA -(II)")</f>
        <v>CAMA -(II)</v>
      </c>
      <c r="C483" s="86">
        <f>IFERROR(__xludf.DUMMYFUNCTION("""COMPUTED_VALUE"""),1.0)</f>
        <v>1</v>
      </c>
      <c r="D483" s="87" t="str">
        <f>IFERROR(__xludf.DUMMYFUNCTION("""COMPUTED_VALUE"""),"SEÇÃO")</f>
        <v>SEÇÃO</v>
      </c>
      <c r="E483" s="87" t="str">
        <f>IFERROR(__xludf.DUMMYFUNCTION("""COMPUTED_VALUE"""),"3 - 1ª CIA OP")</f>
        <v>3 - 1ª CIA OP</v>
      </c>
      <c r="F483" s="88" t="str">
        <f>IFERROR(__xludf.DUMMYFUNCTION("""COMPUTED_VALUE"""),"ALOJAMENTO CB/SD")</f>
        <v>ALOJAMENTO CB/SD</v>
      </c>
      <c r="G483" s="89">
        <f>IFERROR(__xludf.DUMMYFUNCTION("""COMPUTED_VALUE"""),1.0489967E7)</f>
        <v>10489967</v>
      </c>
      <c r="H483" s="87"/>
      <c r="I483" s="87" t="str">
        <f>IFERROR(__xludf.DUMMYFUNCTION("""COMPUTED_VALUE"""),"cama alojamento Cb/Sd")</f>
        <v>cama alojamento Cb/Sd</v>
      </c>
    </row>
    <row r="484">
      <c r="A484" s="84">
        <f>IFERROR(__xludf.DUMMYFUNCTION("""COMPUTED_VALUE"""),483.0)</f>
        <v>483</v>
      </c>
      <c r="B484" s="85" t="str">
        <f>IFERROR(__xludf.DUMMYFUNCTION("""COMPUTED_VALUE"""),"BOTE SALVA-VIDAS, PNEUMATICO -")</f>
        <v>BOTE SALVA-VIDAS, PNEUMATICO -</v>
      </c>
      <c r="C484" s="86">
        <f>IFERROR(__xludf.DUMMYFUNCTION("""COMPUTED_VALUE"""),1.0)</f>
        <v>1</v>
      </c>
      <c r="D484" s="87" t="str">
        <f>IFERROR(__xludf.DUMMYFUNCTION("""COMPUTED_VALUE"""),"SEÇÃO")</f>
        <v>SEÇÃO</v>
      </c>
      <c r="E484" s="87" t="str">
        <f>IFERROR(__xludf.DUMMYFUNCTION("""COMPUTED_VALUE"""),"3 - SETOR DE MEIOS")</f>
        <v>3 - SETOR DE MEIOS</v>
      </c>
      <c r="F484" s="88" t="str">
        <f>IFERROR(__xludf.DUMMYFUNCTION("""COMPUTED_VALUE"""),"MATERIAL DE MERGULHO")</f>
        <v>MATERIAL DE MERGULHO</v>
      </c>
      <c r="G484" s="89">
        <f>IFERROR(__xludf.DUMMYFUNCTION("""COMPUTED_VALUE"""),7.6837548E7)</f>
        <v>76837548</v>
      </c>
      <c r="H484" s="87"/>
      <c r="I484" s="87" t="str">
        <f>IFERROR(__xludf.DUMMYFUNCTION("""COMPUTED_VALUE"""),"Bote REMAR ")</f>
        <v>Bote REMAR </v>
      </c>
    </row>
    <row r="485">
      <c r="A485" s="84">
        <f>IFERROR(__xludf.DUMMYFUNCTION("""COMPUTED_VALUE"""),484.0)</f>
        <v>484</v>
      </c>
      <c r="B485" s="85" t="str">
        <f>IFERROR(__xludf.DUMMYFUNCTION("""COMPUTED_VALUE"""),"CARRETA AGRICOLA -")</f>
        <v>CARRETA AGRICOLA -</v>
      </c>
      <c r="C485" s="86">
        <f>IFERROR(__xludf.DUMMYFUNCTION("""COMPUTED_VALUE"""),1.0)</f>
        <v>1</v>
      </c>
      <c r="D485" s="87" t="str">
        <f>IFERROR(__xludf.DUMMYFUNCTION("""COMPUTED_VALUE"""),"SEÇÃO")</f>
        <v>SEÇÃO</v>
      </c>
      <c r="E485" s="87" t="str">
        <f>IFERROR(__xludf.DUMMYFUNCTION("""COMPUTED_VALUE"""),"3 - 1ª CIA OP")</f>
        <v>3 - 1ª CIA OP</v>
      </c>
      <c r="F485" s="88" t="str">
        <f>IFERROR(__xludf.DUMMYFUNCTION("""COMPUTED_VALUE"""),"OFICINA")</f>
        <v>OFICINA</v>
      </c>
      <c r="G485" s="89">
        <f>IFERROR(__xludf.DUMMYFUNCTION("""COMPUTED_VALUE"""),1.2220396E7)</f>
        <v>12220396</v>
      </c>
      <c r="H485" s="87" t="str">
        <f>IFERROR(__xludf.DUMMYFUNCTION("""COMPUTED_VALUE"""),"9A9BC05111TDH8043")</f>
        <v>9A9BC05111TDH8043</v>
      </c>
      <c r="I485" s="87" t="str">
        <f>IFERROR(__xludf.DUMMYFUNCTION("""COMPUTED_VALUE"""),"Carretinha de Barco - PLACA HMH0805")</f>
        <v>Carretinha de Barco - PLACA HMH0805</v>
      </c>
    </row>
    <row r="486">
      <c r="A486" s="84">
        <f>IFERROR(__xludf.DUMMYFUNCTION("""COMPUTED_VALUE"""),485.0)</f>
        <v>485</v>
      </c>
      <c r="B486" s="85" t="str">
        <f>IFERROR(__xludf.DUMMYFUNCTION("""COMPUTED_VALUE"""),"MESA PARA MICROCOMPUTADOR - (II)")</f>
        <v>MESA PARA MICROCOMPUTADOR - (II)</v>
      </c>
      <c r="C486" s="86">
        <f>IFERROR(__xludf.DUMMYFUNCTION("""COMPUTED_VALUE"""),1.0)</f>
        <v>1</v>
      </c>
      <c r="D486" s="87" t="str">
        <f>IFERROR(__xludf.DUMMYFUNCTION("""COMPUTED_VALUE"""),"SEÇÃO")</f>
        <v>SEÇÃO</v>
      </c>
      <c r="E486" s="87" t="str">
        <f>IFERROR(__xludf.DUMMYFUNCTION("""COMPUTED_VALUE"""),"3 - 1ª CIA OP")</f>
        <v>3 - 1ª CIA OP</v>
      </c>
      <c r="F486" s="88"/>
      <c r="G486" s="89">
        <f>IFERROR(__xludf.DUMMYFUNCTION("""COMPUTED_VALUE"""),1.2711209E7)</f>
        <v>12711209</v>
      </c>
      <c r="H486" s="87"/>
      <c r="I486" s="87" t="str">
        <f>IFERROR(__xludf.DUMMYFUNCTION("""COMPUTED_VALUE"""),"EM PROCESSO DE DESCARGA SEI- 1400.01.0026473/2023-03, encontra-se no alojamento. Cb/Sd")</f>
        <v>EM PROCESSO DE DESCARGA SEI- 1400.01.0026473/2023-03, encontra-se no alojamento. Cb/Sd</v>
      </c>
    </row>
    <row r="487">
      <c r="A487" s="84">
        <f>IFERROR(__xludf.DUMMYFUNCTION("""COMPUTED_VALUE"""),486.0)</f>
        <v>486</v>
      </c>
      <c r="B487" s="85" t="str">
        <f>IFERROR(__xludf.DUMMYFUNCTION("""COMPUTED_VALUE"""),"ARMARIO PARA ESCRITORIO -(II)")</f>
        <v>ARMARIO PARA ESCRITORIO -(II)</v>
      </c>
      <c r="C487" s="86">
        <f>IFERROR(__xludf.DUMMYFUNCTION("""COMPUTED_VALUE"""),1.0)</f>
        <v>1</v>
      </c>
      <c r="D487" s="87" t="str">
        <f>IFERROR(__xludf.DUMMYFUNCTION("""COMPUTED_VALUE"""),"SEÇÃO")</f>
        <v>SEÇÃO</v>
      </c>
      <c r="E487" s="87" t="str">
        <f>IFERROR(__xludf.DUMMYFUNCTION("""COMPUTED_VALUE"""),"3 - PPV")</f>
        <v>3 - PPV</v>
      </c>
      <c r="F487" s="88" t="str">
        <f>IFERROR(__xludf.DUMMYFUNCTION("""COMPUTED_VALUE"""),"ARQUIVO")</f>
        <v>ARQUIVO</v>
      </c>
      <c r="G487" s="89">
        <f>IFERROR(__xludf.DUMMYFUNCTION("""COMPUTED_VALUE"""),1.279829E7)</f>
        <v>12798290</v>
      </c>
      <c r="H487" s="87"/>
      <c r="I487" s="87"/>
    </row>
    <row r="488">
      <c r="A488" s="84">
        <f>IFERROR(__xludf.DUMMYFUNCTION("""COMPUTED_VALUE"""),487.0)</f>
        <v>487</v>
      </c>
      <c r="B488" s="85" t="str">
        <f>IFERROR(__xludf.DUMMYFUNCTION("""COMPUTED_VALUE"""),"CONJUNTO COMBINADO DESENCARCERAMENTO DE VITIMAS -")</f>
        <v>CONJUNTO COMBINADO DESENCARCERAMENTO DE VITIMAS -</v>
      </c>
      <c r="C488" s="86">
        <f>IFERROR(__xludf.DUMMYFUNCTION("""COMPUTED_VALUE"""),1.0)</f>
        <v>1</v>
      </c>
      <c r="D488" s="87" t="str">
        <f>IFERROR(__xludf.DUMMYFUNCTION("""COMPUTED_VALUE"""),"SEÇÃO")</f>
        <v>SEÇÃO</v>
      </c>
      <c r="E488" s="87" t="str">
        <f>IFERROR(__xludf.DUMMYFUNCTION("""COMPUTED_VALUE"""),"3 - DESCARGA")</f>
        <v>3 - DESCARGA</v>
      </c>
      <c r="F488" s="88"/>
      <c r="G488" s="89">
        <f>IFERROR(__xludf.DUMMYFUNCTION("""COMPUTED_VALUE"""),1.3717367E7)</f>
        <v>13717367</v>
      </c>
      <c r="H488" s="87"/>
      <c r="I488" s="87" t="str">
        <f>IFERROR(__xludf.DUMMYFUNCTION("""COMPUTED_VALUE"""),"MATERIAL DESCARREGADO - PROCESSO Nº 1400.01.0026473/2023-01")</f>
        <v>MATERIAL DESCARREGADO - PROCESSO Nº 1400.01.0026473/2023-01</v>
      </c>
    </row>
    <row r="489">
      <c r="A489" s="84">
        <f>IFERROR(__xludf.DUMMYFUNCTION("""COMPUTED_VALUE"""),488.0)</f>
        <v>488</v>
      </c>
      <c r="B489" s="85" t="str">
        <f>IFERROR(__xludf.DUMMYFUNCTION("""COMPUTED_VALUE"""),"ESCADA PROLONGAVEL PARA ATIVIDADES BOMBEIRO -")</f>
        <v>ESCADA PROLONGAVEL PARA ATIVIDADES BOMBEIRO -</v>
      </c>
      <c r="C489" s="86">
        <f>IFERROR(__xludf.DUMMYFUNCTION("""COMPUTED_VALUE"""),1.0)</f>
        <v>1</v>
      </c>
      <c r="D489" s="87" t="str">
        <f>IFERROR(__xludf.DUMMYFUNCTION("""COMPUTED_VALUE"""),"SEÇÃO")</f>
        <v>SEÇÃO</v>
      </c>
      <c r="E489" s="87" t="str">
        <f>IFERROR(__xludf.DUMMYFUNCTION("""COMPUTED_VALUE"""),"3 - CURVELO")</f>
        <v>3 - CURVELO</v>
      </c>
      <c r="F489" s="88"/>
      <c r="G489" s="89">
        <f>IFERROR(__xludf.DUMMYFUNCTION("""COMPUTED_VALUE"""),1.3719831E7)</f>
        <v>13719831</v>
      </c>
      <c r="H489" s="87"/>
      <c r="I489" s="87"/>
    </row>
    <row r="490">
      <c r="A490" s="84">
        <f>IFERROR(__xludf.DUMMYFUNCTION("""COMPUTED_VALUE"""),489.0)</f>
        <v>489</v>
      </c>
      <c r="B490" s="85" t="str">
        <f>IFERROR(__xludf.DUMMYFUNCTION("""COMPUTED_VALUE"""),"SOFA PARA ESCRITORIO -(II)")</f>
        <v>SOFA PARA ESCRITORIO -(II)</v>
      </c>
      <c r="C490" s="86">
        <f>IFERROR(__xludf.DUMMYFUNCTION("""COMPUTED_VALUE"""),1.0)</f>
        <v>1</v>
      </c>
      <c r="D490" s="87" t="str">
        <f>IFERROR(__xludf.DUMMYFUNCTION("""COMPUTED_VALUE"""),"SEÇÃO")</f>
        <v>SEÇÃO</v>
      </c>
      <c r="E490" s="87" t="str">
        <f>IFERROR(__xludf.DUMMYFUNCTION("""COMPUTED_VALUE"""),"3 - DESCARGA")</f>
        <v>3 - DESCARGA</v>
      </c>
      <c r="F490" s="88"/>
      <c r="G490" s="89">
        <f>IFERROR(__xludf.DUMMYFUNCTION("""COMPUTED_VALUE"""),1.3727907E7)</f>
        <v>13727907</v>
      </c>
      <c r="H490" s="87"/>
      <c r="I490" s="87" t="str">
        <f>IFERROR(__xludf.DUMMYFUNCTION("""COMPUTED_VALUE"""),"MATERIAL DESCARREGADO - PROCESSO Nº 1400.01.0026473/2023-01")</f>
        <v>MATERIAL DESCARREGADO - PROCESSO Nº 1400.01.0026473/2023-01</v>
      </c>
    </row>
    <row r="491">
      <c r="A491" s="84">
        <f>IFERROR(__xludf.DUMMYFUNCTION("""COMPUTED_VALUE"""),490.0)</f>
        <v>490</v>
      </c>
      <c r="B491" s="85" t="str">
        <f>IFERROR(__xludf.DUMMYFUNCTION("""COMPUTED_VALUE"""),"BOMBA COSTAL PARA COMBATE A INCENDIO -")</f>
        <v>BOMBA COSTAL PARA COMBATE A INCENDIO -</v>
      </c>
      <c r="C491" s="86">
        <f>IFERROR(__xludf.DUMMYFUNCTION("""COMPUTED_VALUE"""),1.0)</f>
        <v>1</v>
      </c>
      <c r="D491" s="87" t="str">
        <f>IFERROR(__xludf.DUMMYFUNCTION("""COMPUTED_VALUE"""),"SEÇÃO")</f>
        <v>SEÇÃO</v>
      </c>
      <c r="E491" s="87" t="str">
        <f>IFERROR(__xludf.DUMMYFUNCTION("""COMPUTED_VALUE"""),"3 - DESCARGA")</f>
        <v>3 - DESCARGA</v>
      </c>
      <c r="F491" s="88"/>
      <c r="G491" s="89">
        <f>IFERROR(__xludf.DUMMYFUNCTION("""COMPUTED_VALUE"""),1.3736795E7)</f>
        <v>13736795</v>
      </c>
      <c r="H491" s="87"/>
      <c r="I491" s="87" t="str">
        <f>IFERROR(__xludf.DUMMYFUNCTION("""COMPUTED_VALUE"""),"MATERIAL DESCARREGADO - PROCESSO Nº 1400.01.0026473/2023-01")</f>
        <v>MATERIAL DESCARREGADO - PROCESSO Nº 1400.01.0026473/2023-01</v>
      </c>
    </row>
    <row r="492">
      <c r="A492" s="84">
        <f>IFERROR(__xludf.DUMMYFUNCTION("""COMPUTED_VALUE"""),491.0)</f>
        <v>491</v>
      </c>
      <c r="B492" s="85" t="str">
        <f>IFERROR(__xludf.DUMMYFUNCTION("""COMPUTED_VALUE"""),"EQUIPAMENTO DE PROTEÇÃO RESPIRATÓRIO, COMPLETO -")</f>
        <v>EQUIPAMENTO DE PROTEÇÃO RESPIRATÓRIO, COMPLETO -</v>
      </c>
      <c r="C492" s="86">
        <f>IFERROR(__xludf.DUMMYFUNCTION("""COMPUTED_VALUE"""),1.0)</f>
        <v>1</v>
      </c>
      <c r="D492" s="87" t="str">
        <f>IFERROR(__xludf.DUMMYFUNCTION("""COMPUTED_VALUE"""),"VIATURA")</f>
        <v>VIATURA</v>
      </c>
      <c r="E492" s="87" t="str">
        <f>IFERROR(__xludf.DUMMYFUNCTION("""COMPUTED_VALUE"""),"1 - ABTS5911")</f>
        <v>1 - ABTS5911</v>
      </c>
      <c r="F492" s="88" t="str">
        <f>IFERROR(__xludf.DUMMYFUNCTION("""COMPUTED_VALUE"""),"CABINE")</f>
        <v>CABINE</v>
      </c>
      <c r="G492" s="89">
        <f>IFERROR(__xludf.DUMMYFUNCTION("""COMPUTED_VALUE"""),7.6808068E7)</f>
        <v>76808068</v>
      </c>
      <c r="H492" s="87" t="str">
        <f>IFERROR(__xludf.DUMMYFUNCTION("""COMPUTED_VALUE"""),"N.S.115S2201004795")</f>
        <v>N.S.115S2201004795</v>
      </c>
      <c r="I492" s="87" t="str">
        <f>IFERROR(__xludf.DUMMYFUNCTION("""COMPUTED_VALUE"""),"EPR SCOTT COMPLETO, VALVULA DE DEMANDA, ARRIATA, CILINDRO E MÁSCARA")</f>
        <v>EPR SCOTT COMPLETO, VALVULA DE DEMANDA, ARRIATA, CILINDRO E MÁSCARA</v>
      </c>
    </row>
    <row r="493">
      <c r="A493" s="84">
        <f>IFERROR(__xludf.DUMMYFUNCTION("""COMPUTED_VALUE"""),492.0)</f>
        <v>492</v>
      </c>
      <c r="B493" s="85" t="str">
        <f>IFERROR(__xludf.DUMMYFUNCTION("""COMPUTED_VALUE"""),"EQUIPAMENTO DE PROTEÇÃO RESPIRATÓRIO, COMPLETO -")</f>
        <v>EQUIPAMENTO DE PROTEÇÃO RESPIRATÓRIO, COMPLETO -</v>
      </c>
      <c r="C493" s="86">
        <f>IFERROR(__xludf.DUMMYFUNCTION("""COMPUTED_VALUE"""),1.0)</f>
        <v>1</v>
      </c>
      <c r="D493" s="87" t="str">
        <f>IFERROR(__xludf.DUMMYFUNCTION("""COMPUTED_VALUE"""),"VIATURA")</f>
        <v>VIATURA</v>
      </c>
      <c r="E493" s="87" t="str">
        <f>IFERROR(__xludf.DUMMYFUNCTION("""COMPUTED_VALUE"""),"1 - ABTS5911")</f>
        <v>1 - ABTS5911</v>
      </c>
      <c r="F493" s="88" t="str">
        <f>IFERROR(__xludf.DUMMYFUNCTION("""COMPUTED_VALUE"""),"CABINE")</f>
        <v>CABINE</v>
      </c>
      <c r="G493" s="89">
        <f>IFERROR(__xludf.DUMMYFUNCTION("""COMPUTED_VALUE"""),7.6704904E7)</f>
        <v>76704904</v>
      </c>
      <c r="H493" s="87"/>
      <c r="I493" s="87" t="str">
        <f>IFERROR(__xludf.DUMMYFUNCTION("""COMPUTED_VALUE"""),"EPR SCOTT COMPLETO, VALVULA DE DEMANDA, ARRIATA, CILINDRO E MÁSCARA")</f>
        <v>EPR SCOTT COMPLETO, VALVULA DE DEMANDA, ARRIATA, CILINDRO E MÁSCARA</v>
      </c>
    </row>
    <row r="494">
      <c r="A494" s="84">
        <f>IFERROR(__xludf.DUMMYFUNCTION("""COMPUTED_VALUE"""),493.0)</f>
        <v>493</v>
      </c>
      <c r="B494" s="85" t="str">
        <f>IFERROR(__xludf.DUMMYFUNCTION("""COMPUTED_VALUE"""),"EQUIPAMENTO DE PROTEÇÃO RESPIRATÓRIO, COMPLETO -")</f>
        <v>EQUIPAMENTO DE PROTEÇÃO RESPIRATÓRIO, COMPLETO -</v>
      </c>
      <c r="C494" s="86">
        <f>IFERROR(__xludf.DUMMYFUNCTION("""COMPUTED_VALUE"""),1.0)</f>
        <v>1</v>
      </c>
      <c r="D494" s="87" t="str">
        <f>IFERROR(__xludf.DUMMYFUNCTION("""COMPUTED_VALUE"""),"VIATURA")</f>
        <v>VIATURA</v>
      </c>
      <c r="E494" s="87" t="str">
        <f>IFERROR(__xludf.DUMMYFUNCTION("""COMPUTED_VALUE"""),"1 - ABTS5911")</f>
        <v>1 - ABTS5911</v>
      </c>
      <c r="F494" s="88" t="str">
        <f>IFERROR(__xludf.DUMMYFUNCTION("""COMPUTED_VALUE"""),"CABINE")</f>
        <v>CABINE</v>
      </c>
      <c r="G494" s="89">
        <f>IFERROR(__xludf.DUMMYFUNCTION("""COMPUTED_VALUE"""),7.685512E7)</f>
        <v>76855120</v>
      </c>
      <c r="H494" s="87"/>
      <c r="I494" s="87" t="str">
        <f>IFERROR(__xludf.DUMMYFUNCTION("""COMPUTED_VALUE"""),"EPR SCOTT COMPLETO, VALVULA DE DEMANDA, ARRIATA, CILINDRO E MÁSCARA")</f>
        <v>EPR SCOTT COMPLETO, VALVULA DE DEMANDA, ARRIATA, CILINDRO E MÁSCARA</v>
      </c>
    </row>
    <row r="495">
      <c r="A495" s="84">
        <f>IFERROR(__xludf.DUMMYFUNCTION("""COMPUTED_VALUE"""),494.0)</f>
        <v>494</v>
      </c>
      <c r="B495" s="85" t="str">
        <f>IFERROR(__xludf.DUMMYFUNCTION("""COMPUTED_VALUE"""),"EQUIPAMENTO DE PROTEÇÃO RESPIRATÓRIO, COMPLETO -")</f>
        <v>EQUIPAMENTO DE PROTEÇÃO RESPIRATÓRIO, COMPLETO -</v>
      </c>
      <c r="C495" s="86">
        <f>IFERROR(__xludf.DUMMYFUNCTION("""COMPUTED_VALUE"""),1.0)</f>
        <v>1</v>
      </c>
      <c r="D495" s="87" t="str">
        <f>IFERROR(__xludf.DUMMYFUNCTION("""COMPUTED_VALUE"""),"VIATURA")</f>
        <v>VIATURA</v>
      </c>
      <c r="E495" s="87" t="str">
        <f>IFERROR(__xludf.DUMMYFUNCTION("""COMPUTED_VALUE"""),"1 - ABTS5911")</f>
        <v>1 - ABTS5911</v>
      </c>
      <c r="F495" s="88" t="str">
        <f>IFERROR(__xludf.DUMMYFUNCTION("""COMPUTED_VALUE"""),"CABINE")</f>
        <v>CABINE</v>
      </c>
      <c r="G495" s="89">
        <f>IFERROR(__xludf.DUMMYFUNCTION("""COMPUTED_VALUE"""),7.6855201E7)</f>
        <v>76855201</v>
      </c>
      <c r="H495" s="87"/>
      <c r="I495" s="87" t="str">
        <f>IFERROR(__xludf.DUMMYFUNCTION("""COMPUTED_VALUE"""),"EPR SCOTT COMPLETO, VALVULA DE DEMANDA, ARRIATA, CILINDRO E MÁSCARA")</f>
        <v>EPR SCOTT COMPLETO, VALVULA DE DEMANDA, ARRIATA, CILINDRO E MÁSCARA</v>
      </c>
    </row>
    <row r="496">
      <c r="A496" s="84">
        <f>IFERROR(__xludf.DUMMYFUNCTION("""COMPUTED_VALUE"""),495.0)</f>
        <v>495</v>
      </c>
      <c r="B496" s="85" t="str">
        <f>IFERROR(__xludf.DUMMYFUNCTION("""COMPUTED_VALUE"""),"ARMARIO PARA ESCRITORIO -(II)")</f>
        <v>ARMARIO PARA ESCRITORIO -(II)</v>
      </c>
      <c r="C496" s="86">
        <f>IFERROR(__xludf.DUMMYFUNCTION("""COMPUTED_VALUE"""),1.0)</f>
        <v>1</v>
      </c>
      <c r="D496" s="87" t="str">
        <f>IFERROR(__xludf.DUMMYFUNCTION("""COMPUTED_VALUE"""),"SEÇÃO")</f>
        <v>SEÇÃO</v>
      </c>
      <c r="E496" s="87" t="str">
        <f>IFERROR(__xludf.DUMMYFUNCTION("""COMPUTED_VALUE"""),"3 - 1ª CIA OP")</f>
        <v>3 - 1ª CIA OP</v>
      </c>
      <c r="F496" s="88" t="str">
        <f>IFERROR(__xludf.DUMMYFUNCTION("""COMPUTED_VALUE"""),"DEPÓSITO")</f>
        <v>DEPÓSITO</v>
      </c>
      <c r="G496" s="89">
        <f>IFERROR(__xludf.DUMMYFUNCTION("""COMPUTED_VALUE"""),1.3763903E7)</f>
        <v>13763903</v>
      </c>
      <c r="H496" s="87"/>
      <c r="I496" s="87" t="str">
        <f>IFERROR(__xludf.DUMMYFUNCTION("""COMPUTED_VALUE"""),"DEPPOSITO PRÓXIMO À SALA DE ASSEPSIA")</f>
        <v>DEPPOSITO PRÓXIMO À SALA DE ASSEPSIA</v>
      </c>
    </row>
    <row r="497">
      <c r="A497" s="84">
        <f>IFERROR(__xludf.DUMMYFUNCTION("""COMPUTED_VALUE"""),496.0)</f>
        <v>496</v>
      </c>
      <c r="B497" s="85" t="str">
        <f>IFERROR(__xludf.DUMMYFUNCTION("""COMPUTED_VALUE"""),"COMPRESSOR DE AR -")</f>
        <v>COMPRESSOR DE AR -</v>
      </c>
      <c r="C497" s="86">
        <f>IFERROR(__xludf.DUMMYFUNCTION("""COMPUTED_VALUE"""),1.0)</f>
        <v>1</v>
      </c>
      <c r="D497" s="87" t="str">
        <f>IFERROR(__xludf.DUMMYFUNCTION("""COMPUTED_VALUE"""),"SEÇÃO")</f>
        <v>SEÇÃO</v>
      </c>
      <c r="E497" s="87" t="str">
        <f>IFERROR(__xludf.DUMMYFUNCTION("""COMPUTED_VALUE"""),"3 - CURVELO")</f>
        <v>3 - CURVELO</v>
      </c>
      <c r="F497" s="88"/>
      <c r="G497" s="89">
        <f>IFERROR(__xludf.DUMMYFUNCTION("""COMPUTED_VALUE"""),1.3765779E7)</f>
        <v>13765779</v>
      </c>
      <c r="H497" s="87"/>
      <c r="I497" s="87" t="str">
        <f>IFERROR(__xludf.DUMMYFUNCTION("""COMPUTED_VALUE"""),"compressor NH16, TRANSFERIDO PARA O CSM")</f>
        <v>compressor NH16, TRANSFERIDO PARA O CSM</v>
      </c>
    </row>
    <row r="498">
      <c r="A498" s="84">
        <f>IFERROR(__xludf.DUMMYFUNCTION("""COMPUTED_VALUE"""),497.0)</f>
        <v>497</v>
      </c>
      <c r="B498" s="85" t="str">
        <f>IFERROR(__xludf.DUMMYFUNCTION("""COMPUTED_VALUE"""),"ESCADA PROLONGAVEL PARA ATIVIDADES BOMBEIRO -")</f>
        <v>ESCADA PROLONGAVEL PARA ATIVIDADES BOMBEIRO -</v>
      </c>
      <c r="C498" s="86">
        <f>IFERROR(__xludf.DUMMYFUNCTION("""COMPUTED_VALUE"""),1.0)</f>
        <v>1</v>
      </c>
      <c r="D498" s="87" t="str">
        <f>IFERROR(__xludf.DUMMYFUNCTION("""COMPUTED_VALUE"""),"SEÇÃO")</f>
        <v>SEÇÃO</v>
      </c>
      <c r="E498" s="87" t="str">
        <f>IFERROR(__xludf.DUMMYFUNCTION("""COMPUTED_VALUE"""),"3 - ALMOX. ESTOQUE")</f>
        <v>3 - ALMOX. ESTOQUE</v>
      </c>
      <c r="F498" s="88" t="str">
        <f>IFERROR(__xludf.DUMMYFUNCTION("""COMPUTED_VALUE"""),"ALMOX. SAO (SEDE)")</f>
        <v>ALMOX. SAO (SEDE)</v>
      </c>
      <c r="G498" s="89">
        <f>IFERROR(__xludf.DUMMYFUNCTION("""COMPUTED_VALUE"""),1.3765809E7)</f>
        <v>13765809</v>
      </c>
      <c r="H498" s="87"/>
      <c r="I498" s="87"/>
    </row>
    <row r="499">
      <c r="A499" s="84">
        <f>IFERROR(__xludf.DUMMYFUNCTION("""COMPUTED_VALUE"""),498.0)</f>
        <v>498</v>
      </c>
      <c r="B499" s="85" t="str">
        <f>IFERROR(__xludf.DUMMYFUNCTION("""COMPUTED_VALUE"""),"SISTEMA PORTATIL OXIGENIO -")</f>
        <v>SISTEMA PORTATIL OXIGENIO -</v>
      </c>
      <c r="C499" s="86">
        <f>IFERROR(__xludf.DUMMYFUNCTION("""COMPUTED_VALUE"""),1.0)</f>
        <v>1</v>
      </c>
      <c r="D499" s="87" t="str">
        <f>IFERROR(__xludf.DUMMYFUNCTION("""COMPUTED_VALUE"""),"SEÇÃO")</f>
        <v>SEÇÃO</v>
      </c>
      <c r="E499" s="87" t="str">
        <f>IFERROR(__xludf.DUMMYFUNCTION("""COMPUTED_VALUE"""),"3 - ALMOX. ESTOQUE")</f>
        <v>3 - ALMOX. ESTOQUE</v>
      </c>
      <c r="F499" s="88" t="str">
        <f>IFERROR(__xludf.DUMMYFUNCTION("""COMPUTED_VALUE"""),"ALMOX. APH")</f>
        <v>ALMOX. APH</v>
      </c>
      <c r="G499" s="89">
        <f>IFERROR(__xludf.DUMMYFUNCTION("""COMPUTED_VALUE"""),1.3765914E7)</f>
        <v>13765914</v>
      </c>
      <c r="H499" s="87"/>
      <c r="I499" s="87"/>
    </row>
    <row r="500">
      <c r="A500" s="84">
        <f>IFERROR(__xludf.DUMMYFUNCTION("""COMPUTED_VALUE"""),499.0)</f>
        <v>499</v>
      </c>
      <c r="B500" s="85" t="str">
        <f>IFERROR(__xludf.DUMMYFUNCTION("""COMPUTED_VALUE"""),"EQUIPAMENTO DE SOLDA E CORTE OXI-ACETILENO -")</f>
        <v>EQUIPAMENTO DE SOLDA E CORTE OXI-ACETILENO -</v>
      </c>
      <c r="C500" s="86">
        <f>IFERROR(__xludf.DUMMYFUNCTION("""COMPUTED_VALUE"""),1.0)</f>
        <v>1</v>
      </c>
      <c r="D500" s="87" t="str">
        <f>IFERROR(__xludf.DUMMYFUNCTION("""COMPUTED_VALUE"""),"SEÇÃO")</f>
        <v>SEÇÃO</v>
      </c>
      <c r="E500" s="87" t="str">
        <f>IFERROR(__xludf.DUMMYFUNCTION("""COMPUTED_VALUE"""),"3 - DESCARGA")</f>
        <v>3 - DESCARGA</v>
      </c>
      <c r="F500" s="88"/>
      <c r="G500" s="89">
        <f>IFERROR(__xludf.DUMMYFUNCTION("""COMPUTED_VALUE"""),1.3765973E7)</f>
        <v>13765973</v>
      </c>
      <c r="H500" s="87"/>
      <c r="I500" s="87" t="str">
        <f>IFERROR(__xludf.DUMMYFUNCTION("""COMPUTED_VALUE"""),"MATERIAL DESCARREGADO - PROCESSO Nº 1400.01.0026473/2023-03")</f>
        <v>MATERIAL DESCARREGADO - PROCESSO Nº 1400.01.0026473/2023-03</v>
      </c>
    </row>
    <row r="501">
      <c r="A501" s="84">
        <f>IFERROR(__xludf.DUMMYFUNCTION("""COMPUTED_VALUE"""),500.0)</f>
        <v>500</v>
      </c>
      <c r="B501" s="85" t="str">
        <f>IFERROR(__xludf.DUMMYFUNCTION("""COMPUTED_VALUE"""),"TALHA -")</f>
        <v>TALHA -</v>
      </c>
      <c r="C501" s="86">
        <f>IFERROR(__xludf.DUMMYFUNCTION("""COMPUTED_VALUE"""),1.0)</f>
        <v>1</v>
      </c>
      <c r="D501" s="87" t="str">
        <f>IFERROR(__xludf.DUMMYFUNCTION("""COMPUTED_VALUE"""),"SEÇÃO")</f>
        <v>SEÇÃO</v>
      </c>
      <c r="E501" s="87" t="str">
        <f>IFERROR(__xludf.DUMMYFUNCTION("""COMPUTED_VALUE"""),"3 - 1ª CIA OP")</f>
        <v>3 - 1ª CIA OP</v>
      </c>
      <c r="F501" s="88" t="str">
        <f>IFERROR(__xludf.DUMMYFUNCTION("""COMPUTED_VALUE"""),"SETOR DE MEIOS")</f>
        <v>SETOR DE MEIOS</v>
      </c>
      <c r="G501" s="89">
        <f>IFERROR(__xludf.DUMMYFUNCTION("""COMPUTED_VALUE"""),1.3766031E7)</f>
        <v>13766031</v>
      </c>
      <c r="H501" s="87" t="str">
        <f>IFERROR(__xludf.DUMMYFUNCTION("""COMPUTED_VALUE"""),"N.S. 15618")</f>
        <v>N.S. 15618</v>
      </c>
      <c r="I501" s="87" t="str">
        <f>IFERROR(__xludf.DUMMYFUNCTION("""COMPUTED_VALUE"""),"MODELO GA3200 (3.200KG)")</f>
        <v>MODELO GA3200 (3.200KG)</v>
      </c>
    </row>
    <row r="502">
      <c r="A502" s="84">
        <f>IFERROR(__xludf.DUMMYFUNCTION("""COMPUTED_VALUE"""),501.0)</f>
        <v>501</v>
      </c>
      <c r="B502" s="85" t="str">
        <f>IFERROR(__xludf.DUMMYFUNCTION("""COMPUTED_VALUE"""),"PROPORCIONADORES/REDUTORES DE ESPUMA -")</f>
        <v>PROPORCIONADORES/REDUTORES DE ESPUMA -</v>
      </c>
      <c r="C502" s="86">
        <f>IFERROR(__xludf.DUMMYFUNCTION("""COMPUTED_VALUE"""),1.0)</f>
        <v>1</v>
      </c>
      <c r="D502" s="87" t="str">
        <f>IFERROR(__xludf.DUMMYFUNCTION("""COMPUTED_VALUE"""),"SEÇÃO")</f>
        <v>SEÇÃO</v>
      </c>
      <c r="E502" s="87" t="str">
        <f>IFERROR(__xludf.DUMMYFUNCTION("""COMPUTED_VALUE"""),"3 - ALMOX. ESTOQUE")</f>
        <v>3 - ALMOX. ESTOQUE</v>
      </c>
      <c r="F502" s="88" t="str">
        <f>IFERROR(__xludf.DUMMYFUNCTION("""COMPUTED_VALUE"""),"ALMOX. SAO (SEDE)")</f>
        <v>ALMOX. SAO (SEDE)</v>
      </c>
      <c r="G502" s="89">
        <f>IFERROR(__xludf.DUMMYFUNCTION("""COMPUTED_VALUE"""),1.376612E7)</f>
        <v>13766120</v>
      </c>
      <c r="H502" s="87"/>
      <c r="I502" s="87"/>
    </row>
    <row r="503">
      <c r="A503" s="84">
        <f>IFERROR(__xludf.DUMMYFUNCTION("""COMPUTED_VALUE"""),502.0)</f>
        <v>502</v>
      </c>
      <c r="B503" s="85" t="str">
        <f>IFERROR(__xludf.DUMMYFUNCTION("""COMPUTED_VALUE"""),"MOTOSSERRA -")</f>
        <v>MOTOSSERRA -</v>
      </c>
      <c r="C503" s="86">
        <f>IFERROR(__xludf.DUMMYFUNCTION("""COMPUTED_VALUE"""),1.0)</f>
        <v>1</v>
      </c>
      <c r="D503" s="87" t="str">
        <f>IFERROR(__xludf.DUMMYFUNCTION("""COMPUTED_VALUE"""),"SEÇÃO")</f>
        <v>SEÇÃO</v>
      </c>
      <c r="E503" s="87" t="str">
        <f>IFERROR(__xludf.DUMMYFUNCTION("""COMPUTED_VALUE"""),"3 - 1ª ALA OP.")</f>
        <v>3 - 1ª ALA OP.</v>
      </c>
      <c r="F503" s="88"/>
      <c r="G503" s="89">
        <f>IFERROR(__xludf.DUMMYFUNCTION("""COMPUTED_VALUE"""),1.3766198E7)</f>
        <v>13766198</v>
      </c>
      <c r="H503" s="87"/>
      <c r="I503" s="87" t="str">
        <f>IFERROR(__xludf.DUMMYFUNCTION("""COMPUTED_VALUE"""),"STIHL, MS630 POTENCIA MOTOR A EXPLOSAO, DE 3,6 HP, COM 1500 RPM; ROTACAO ACIONAMENTO POR CORRENTE DENTADA E CORTE DE 85CC; TANQUE DE COMBUSTIVEL DE COMBUSTIVEL E DE LUBRIFICACAO; TANQUE DE OLEO IGNICAO ELETRONICA")</f>
        <v>STIHL, MS630 POTENCIA MOTOR A EXPLOSAO, DE 3,6 HP, COM 1500 RPM; ROTACAO ACIONAMENTO POR CORRENTE DENTADA E CORTE DE 85CC; TANQUE DE COMBUSTIVEL DE COMBUSTIVEL E DE LUBRIFICACAO; TANQUE DE OLEO IGNICAO ELETRONICA</v>
      </c>
    </row>
    <row r="504">
      <c r="A504" s="84">
        <f>IFERROR(__xludf.DUMMYFUNCTION("""COMPUTED_VALUE"""),503.0)</f>
        <v>503</v>
      </c>
      <c r="B504" s="85" t="str">
        <f>IFERROR(__xludf.DUMMYFUNCTION("""COMPUTED_VALUE"""),"CONJUNTO DE APARELHO DE MERGULHO -")</f>
        <v>CONJUNTO DE APARELHO DE MERGULHO -</v>
      </c>
      <c r="C504" s="86">
        <f>IFERROR(__xludf.DUMMYFUNCTION("""COMPUTED_VALUE"""),1.0)</f>
        <v>1</v>
      </c>
      <c r="D504" s="87" t="str">
        <f>IFERROR(__xludf.DUMMYFUNCTION("""COMPUTED_VALUE"""),"SEÇÃO")</f>
        <v>SEÇÃO</v>
      </c>
      <c r="E504" s="87" t="str">
        <f>IFERROR(__xludf.DUMMYFUNCTION("""COMPUTED_VALUE"""),"3 - SETOR DE MEIOS")</f>
        <v>3 - SETOR DE MEIOS</v>
      </c>
      <c r="F504" s="88" t="str">
        <f>IFERROR(__xludf.DUMMYFUNCTION("""COMPUTED_VALUE"""),"MATERIAL DE MERGULHO")</f>
        <v>MATERIAL DE MERGULHO</v>
      </c>
      <c r="G504" s="89">
        <f>IFERROR(__xludf.DUMMYFUNCTION("""COMPUTED_VALUE"""),1.3766473E7)</f>
        <v>13766473</v>
      </c>
      <c r="H504" s="87"/>
      <c r="I504" s="87"/>
    </row>
    <row r="505">
      <c r="A505" s="84">
        <f>IFERROR(__xludf.DUMMYFUNCTION("""COMPUTED_VALUE"""),504.0)</f>
        <v>504</v>
      </c>
      <c r="B505" s="85" t="str">
        <f>IFERROR(__xludf.DUMMYFUNCTION("""COMPUTED_VALUE"""),"EXTINTOR DE INCENDIO -")</f>
        <v>EXTINTOR DE INCENDIO -</v>
      </c>
      <c r="C505" s="86">
        <f>IFERROR(__xludf.DUMMYFUNCTION("""COMPUTED_VALUE"""),1.0)</f>
        <v>1</v>
      </c>
      <c r="D505" s="87" t="str">
        <f>IFERROR(__xludf.DUMMYFUNCTION("""COMPUTED_VALUE"""),"SEÇÃO")</f>
        <v>SEÇÃO</v>
      </c>
      <c r="E505" s="87" t="str">
        <f>IFERROR(__xludf.DUMMYFUNCTION("""COMPUTED_VALUE"""),"3 - DESCARGA")</f>
        <v>3 - DESCARGA</v>
      </c>
      <c r="F505" s="88"/>
      <c r="G505" s="89">
        <f>IFERROR(__xludf.DUMMYFUNCTION("""COMPUTED_VALUE"""),1.3766503E7)</f>
        <v>13766503</v>
      </c>
      <c r="H505" s="87" t="str">
        <f>IFERROR(__xludf.DUMMYFUNCTION("""COMPUTED_VALUE"""),"TIPO: CO2; CAPACIDADE CARGA: 8 KG")</f>
        <v>TIPO: CO2; CAPACIDADE CARGA: 8 KG</v>
      </c>
      <c r="I505" s="87" t="str">
        <f>IFERROR(__xludf.DUMMYFUNCTION("""COMPUTED_VALUE"""),"MATERIAL DESCARREGADO - PROCESSO Nº 1400.01.0026473/2023-03")</f>
        <v>MATERIAL DESCARREGADO - PROCESSO Nº 1400.01.0026473/2023-03</v>
      </c>
    </row>
    <row r="506">
      <c r="A506" s="84">
        <f>IFERROR(__xludf.DUMMYFUNCTION("""COMPUTED_VALUE"""),505.0)</f>
        <v>505</v>
      </c>
      <c r="B506" s="85" t="str">
        <f>IFERROR(__xludf.DUMMYFUNCTION("""COMPUTED_VALUE"""),"EXTINTOR DE INCENDIO -")</f>
        <v>EXTINTOR DE INCENDIO -</v>
      </c>
      <c r="C506" s="86">
        <f>IFERROR(__xludf.DUMMYFUNCTION("""COMPUTED_VALUE"""),1.0)</f>
        <v>1</v>
      </c>
      <c r="D506" s="87" t="str">
        <f>IFERROR(__xludf.DUMMYFUNCTION("""COMPUTED_VALUE"""),"SEÇÃO")</f>
        <v>SEÇÃO</v>
      </c>
      <c r="E506" s="87" t="str">
        <f>IFERROR(__xludf.DUMMYFUNCTION("""COMPUTED_VALUE"""),"3 - DESCARGA")</f>
        <v>3 - DESCARGA</v>
      </c>
      <c r="F506" s="88"/>
      <c r="G506" s="89">
        <f>IFERROR(__xludf.DUMMYFUNCTION("""COMPUTED_VALUE"""),1.376652E7)</f>
        <v>13766520</v>
      </c>
      <c r="H506" s="87" t="str">
        <f>IFERROR(__xludf.DUMMYFUNCTION("""COMPUTED_VALUE"""),"PO QUIMICO; CAPACIDADE CARGA: 12 KG")</f>
        <v>PO QUIMICO; CAPACIDADE CARGA: 12 KG</v>
      </c>
      <c r="I506" s="87" t="str">
        <f>IFERROR(__xludf.DUMMYFUNCTION("""COMPUTED_VALUE"""),"MATERIAL DESCARREGADO - PROCESSO Nº 1400.01.0026473/2023-03")</f>
        <v>MATERIAL DESCARREGADO - PROCESSO Nº 1400.01.0026473/2023-03</v>
      </c>
    </row>
    <row r="507">
      <c r="A507" s="84">
        <f>IFERROR(__xludf.DUMMYFUNCTION("""COMPUTED_VALUE"""),506.0)</f>
        <v>506</v>
      </c>
      <c r="B507" s="85" t="str">
        <f>IFERROR(__xludf.DUMMYFUNCTION("""COMPUTED_VALUE"""),"JOGO DE CHAVES FIXAS -")</f>
        <v>JOGO DE CHAVES FIXAS -</v>
      </c>
      <c r="C507" s="86">
        <f>IFERROR(__xludf.DUMMYFUNCTION("""COMPUTED_VALUE"""),1.0)</f>
        <v>1</v>
      </c>
      <c r="D507" s="87" t="str">
        <f>IFERROR(__xludf.DUMMYFUNCTION("""COMPUTED_VALUE"""),"SEÇÃO")</f>
        <v>SEÇÃO</v>
      </c>
      <c r="E507" s="87" t="str">
        <f>IFERROR(__xludf.DUMMYFUNCTION("""COMPUTED_VALUE"""),"3 - ALMOX. ESTOQUE")</f>
        <v>3 - ALMOX. ESTOQUE</v>
      </c>
      <c r="F507" s="88" t="str">
        <f>IFERROR(__xludf.DUMMYFUNCTION("""COMPUTED_VALUE"""),"ALMOX. SAO (SEDE)")</f>
        <v>ALMOX. SAO (SEDE)</v>
      </c>
      <c r="G507" s="89">
        <f>IFERROR(__xludf.DUMMYFUNCTION("""COMPUTED_VALUE"""),1.3780697E7)</f>
        <v>13780697</v>
      </c>
      <c r="H507" s="87"/>
      <c r="I507" s="87" t="str">
        <f>IFERROR(__xludf.DUMMYFUNCTION("""COMPUTED_VALUE"""),"jogo de chave boca/estria")</f>
        <v>jogo de chave boca/estria</v>
      </c>
    </row>
    <row r="508">
      <c r="A508" s="84">
        <f>IFERROR(__xludf.DUMMYFUNCTION("""COMPUTED_VALUE"""),507.0)</f>
        <v>507</v>
      </c>
      <c r="B508" s="85" t="str">
        <f>IFERROR(__xludf.DUMMYFUNCTION("""COMPUTED_VALUE"""),"JOGO CHAVES DE ESTRIA -")</f>
        <v>JOGO CHAVES DE ESTRIA -</v>
      </c>
      <c r="C508" s="86">
        <f>IFERROR(__xludf.DUMMYFUNCTION("""COMPUTED_VALUE"""),1.0)</f>
        <v>1</v>
      </c>
      <c r="D508" s="87" t="str">
        <f>IFERROR(__xludf.DUMMYFUNCTION("""COMPUTED_VALUE"""),"SEÇÃO")</f>
        <v>SEÇÃO</v>
      </c>
      <c r="E508" s="87" t="str">
        <f>IFERROR(__xludf.DUMMYFUNCTION("""COMPUTED_VALUE"""),"3 - ALMOX. ESTOQUE")</f>
        <v>3 - ALMOX. ESTOQUE</v>
      </c>
      <c r="F508" s="88" t="str">
        <f>IFERROR(__xludf.DUMMYFUNCTION("""COMPUTED_VALUE"""),"ALMOX. SAO (SEDE)")</f>
        <v>ALMOX. SAO (SEDE)</v>
      </c>
      <c r="G508" s="89">
        <f>IFERROR(__xludf.DUMMYFUNCTION("""COMPUTED_VALUE"""),1.37807E7)</f>
        <v>13780700</v>
      </c>
      <c r="H508" s="87"/>
      <c r="I508" s="87" t="str">
        <f>IFERROR(__xludf.DUMMYFUNCTION("""COMPUTED_VALUE"""),"no almox. Térreo. caixa Belzer, estria n.10 ao n.32")</f>
        <v>no almox. Térreo. caixa Belzer, estria n.10 ao n.32</v>
      </c>
    </row>
    <row r="509">
      <c r="A509" s="84">
        <f>IFERROR(__xludf.DUMMYFUNCTION("""COMPUTED_VALUE"""),508.0)</f>
        <v>508</v>
      </c>
      <c r="B509" s="85" t="str">
        <f>IFERROR(__xludf.DUMMYFUNCTION("""COMPUTED_VALUE"""),"ESTANTE PARA ALMOXARIFADO -(II)")</f>
        <v>ESTANTE PARA ALMOXARIFADO -(II)</v>
      </c>
      <c r="C509" s="86">
        <f>IFERROR(__xludf.DUMMYFUNCTION("""COMPUTED_VALUE"""),1.0)</f>
        <v>1</v>
      </c>
      <c r="D509" s="87" t="str">
        <f>IFERROR(__xludf.DUMMYFUNCTION("""COMPUTED_VALUE"""),"SEÇÃO")</f>
        <v>SEÇÃO</v>
      </c>
      <c r="E509" s="87" t="str">
        <f>IFERROR(__xludf.DUMMYFUNCTION("""COMPUTED_VALUE"""),"3 - 1ª CIA OP")</f>
        <v>3 - 1ª CIA OP</v>
      </c>
      <c r="F509" s="88" t="str">
        <f>IFERROR(__xludf.DUMMYFUNCTION("""COMPUTED_VALUE"""),"DEPÓSITO")</f>
        <v>DEPÓSITO</v>
      </c>
      <c r="G509" s="89">
        <f>IFERROR(__xludf.DUMMYFUNCTION("""COMPUTED_VALUE"""),1.3796917E7)</f>
        <v>13796917</v>
      </c>
      <c r="H509" s="87"/>
      <c r="I509" s="87"/>
    </row>
    <row r="510">
      <c r="A510" s="84">
        <f>IFERROR(__xludf.DUMMYFUNCTION("""COMPUTED_VALUE"""),509.0)</f>
        <v>509</v>
      </c>
      <c r="B510" s="85" t="str">
        <f>IFERROR(__xludf.DUMMYFUNCTION("""COMPUTED_VALUE"""),"690417")</f>
        <v>690417</v>
      </c>
      <c r="C510" s="86">
        <f>IFERROR(__xludf.DUMMYFUNCTION("""COMPUTED_VALUE"""),1.0)</f>
        <v>1</v>
      </c>
      <c r="D510" s="87" t="str">
        <f>IFERROR(__xludf.DUMMYFUNCTION("""COMPUTED_VALUE"""),"SEÇÃO")</f>
        <v>SEÇÃO</v>
      </c>
      <c r="E510" s="87" t="str">
        <f>IFERROR(__xludf.DUMMYFUNCTION("""COMPUTED_VALUE"""),"3 - 1ª CIA OP")</f>
        <v>3 - 1ª CIA OP</v>
      </c>
      <c r="F510" s="88"/>
      <c r="G510" s="89">
        <f>IFERROR(__xludf.DUMMYFUNCTION("""COMPUTED_VALUE"""),1.384905E7)</f>
        <v>13849050</v>
      </c>
      <c r="H510" s="87"/>
      <c r="I510" s="87" t="str">
        <f>IFERROR(__xludf.DUMMYFUNCTION("""COMPUTED_VALUE"""),"ALOJAMENTO FEM.")</f>
        <v>ALOJAMENTO FEM.</v>
      </c>
    </row>
    <row r="511">
      <c r="A511" s="84">
        <f>IFERROR(__xludf.DUMMYFUNCTION("""COMPUTED_VALUE"""),510.0)</f>
        <v>510</v>
      </c>
      <c r="B511" s="85" t="str">
        <f>IFERROR(__xludf.DUMMYFUNCTION("""COMPUTED_VALUE"""),"BINOCULO USO POLICIAL -")</f>
        <v>BINOCULO USO POLICIAL -</v>
      </c>
      <c r="C511" s="86">
        <f>IFERROR(__xludf.DUMMYFUNCTION("""COMPUTED_VALUE"""),1.0)</f>
        <v>1</v>
      </c>
      <c r="D511" s="87" t="str">
        <f>IFERROR(__xludf.DUMMYFUNCTION("""COMPUTED_VALUE"""),"SEÇÃO")</f>
        <v>SEÇÃO</v>
      </c>
      <c r="E511" s="87" t="str">
        <f>IFERROR(__xludf.DUMMYFUNCTION("""COMPUTED_VALUE"""),"3 - SOU")</f>
        <v>3 - SOU</v>
      </c>
      <c r="F511" s="88" t="str">
        <f>IFERROR(__xludf.DUMMYFUNCTION("""COMPUTED_VALUE"""),"SALA DE REDS")</f>
        <v>SALA DE REDS</v>
      </c>
      <c r="G511" s="89">
        <f>IFERROR(__xludf.DUMMYFUNCTION("""COMPUTED_VALUE"""),1.3857142E7)</f>
        <v>13857142</v>
      </c>
      <c r="H511" s="87"/>
      <c r="I511" s="87" t="str">
        <f>IFERROR(__xludf.DUMMYFUNCTION("""COMPUTED_VALUE"""),"Binóculo ATN Night Scout")</f>
        <v>Binóculo ATN Night Scout</v>
      </c>
    </row>
    <row r="512">
      <c r="A512" s="84">
        <f>IFERROR(__xludf.DUMMYFUNCTION("""COMPUTED_VALUE"""),511.0)</f>
        <v>511</v>
      </c>
      <c r="B512" s="85" t="str">
        <f>IFERROR(__xludf.DUMMYFUNCTION("""COMPUTED_VALUE"""),"BINOCULO -")</f>
        <v>BINOCULO -</v>
      </c>
      <c r="C512" s="86">
        <f>IFERROR(__xludf.DUMMYFUNCTION("""COMPUTED_VALUE"""),1.0)</f>
        <v>1</v>
      </c>
      <c r="D512" s="87" t="str">
        <f>IFERROR(__xludf.DUMMYFUNCTION("""COMPUTED_VALUE"""),"SEÇÃO")</f>
        <v>SEÇÃO</v>
      </c>
      <c r="E512" s="87" t="str">
        <f>IFERROR(__xludf.DUMMYFUNCTION("""COMPUTED_VALUE"""),"3 - ALMOX. ESTOQUE")</f>
        <v>3 - ALMOX. ESTOQUE</v>
      </c>
      <c r="F512" s="88" t="str">
        <f>IFERROR(__xludf.DUMMYFUNCTION("""COMPUTED_VALUE"""),"SAO")</f>
        <v>SAO</v>
      </c>
      <c r="G512" s="89">
        <f>IFERROR(__xludf.DUMMYFUNCTION("""COMPUTED_VALUE"""),1.3857827E7)</f>
        <v>13857827</v>
      </c>
      <c r="H512" s="87"/>
      <c r="I512" s="87" t="str">
        <f>IFERROR(__xludf.DUMMYFUNCTION("""COMPUTED_VALUE"""),"almox. Principal")</f>
        <v>almox. Principal</v>
      </c>
    </row>
    <row r="513">
      <c r="A513" s="84">
        <f>IFERROR(__xludf.DUMMYFUNCTION("""COMPUTED_VALUE"""),512.0)</f>
        <v>512</v>
      </c>
      <c r="B513" s="85" t="str">
        <f>IFERROR(__xludf.DUMMYFUNCTION("""COMPUTED_VALUE"""),"EXAUSTOR CENTRIFUGO -")</f>
        <v>EXAUSTOR CENTRIFUGO -</v>
      </c>
      <c r="C513" s="86">
        <f>IFERROR(__xludf.DUMMYFUNCTION("""COMPUTED_VALUE"""),1.0)</f>
        <v>1</v>
      </c>
      <c r="D513" s="87" t="str">
        <f>IFERROR(__xludf.DUMMYFUNCTION("""COMPUTED_VALUE"""),"SEÇÃO")</f>
        <v>SEÇÃO</v>
      </c>
      <c r="E513" s="87" t="str">
        <f>IFERROR(__xludf.DUMMYFUNCTION("""COMPUTED_VALUE"""),"3 - ALMOX. ESTOQUE")</f>
        <v>3 - ALMOX. ESTOQUE</v>
      </c>
      <c r="F513" s="88" t="str">
        <f>IFERROR(__xludf.DUMMYFUNCTION("""COMPUTED_VALUE"""),"ALMOX. SAO (SEDE)")</f>
        <v>ALMOX. SAO (SEDE)</v>
      </c>
      <c r="G513" s="89">
        <f>IFERROR(__xludf.DUMMYFUNCTION("""COMPUTED_VALUE"""),1.3859943E7)</f>
        <v>13859943</v>
      </c>
      <c r="H513" s="87"/>
      <c r="I513" s="87"/>
    </row>
    <row r="514">
      <c r="A514" s="84">
        <f>IFERROR(__xludf.DUMMYFUNCTION("""COMPUTED_VALUE"""),513.0)</f>
        <v>513</v>
      </c>
      <c r="B514" s="85" t="str">
        <f>IFERROR(__xludf.DUMMYFUNCTION("""COMPUTED_VALUE"""),"REBOQUE -")</f>
        <v>REBOQUE -</v>
      </c>
      <c r="C514" s="86">
        <f>IFERROR(__xludf.DUMMYFUNCTION("""COMPUTED_VALUE"""),1.0)</f>
        <v>1</v>
      </c>
      <c r="D514" s="87" t="str">
        <f>IFERROR(__xludf.DUMMYFUNCTION("""COMPUTED_VALUE"""),"VIATURA")</f>
        <v>VIATURA</v>
      </c>
      <c r="E514" s="87" t="str">
        <f>IFERROR(__xludf.DUMMYFUNCTION("""COMPUTED_VALUE"""),"3 - 1ª CIA OP")</f>
        <v>3 - 1ª CIA OP</v>
      </c>
      <c r="F514" s="88" t="str">
        <f>IFERROR(__xludf.DUMMYFUNCTION("""COMPUTED_VALUE"""),"OFICINA")</f>
        <v>OFICINA</v>
      </c>
      <c r="G514" s="89">
        <f>IFERROR(__xludf.DUMMYFUNCTION("""COMPUTED_VALUE"""),1.3863533E7)</f>
        <v>13863533</v>
      </c>
      <c r="H514" s="87" t="str">
        <f>IFERROR(__xludf.DUMMYFUNCTION("""COMPUTED_VALUE"""),"9A9DF01CP8BDT6896")</f>
        <v>9A9DF01CP8BDT6896</v>
      </c>
      <c r="I514" s="87" t="str">
        <f>IFERROR(__xludf.DUMMYFUNCTION("""COMPUTED_VALUE"""),"Animais (carretinha) - HMH5584
")</f>
        <v>Animais (carretinha) - HMH5584
</v>
      </c>
    </row>
    <row r="515">
      <c r="A515" s="84">
        <f>IFERROR(__xludf.DUMMYFUNCTION("""COMPUTED_VALUE"""),514.0)</f>
        <v>514</v>
      </c>
      <c r="B515" s="85" t="str">
        <f>IFERROR(__xludf.DUMMYFUNCTION("""COMPUTED_VALUE"""),"ALMOFADA PNEUMATICA -")</f>
        <v>ALMOFADA PNEUMATICA -</v>
      </c>
      <c r="C515" s="86">
        <f>IFERROR(__xludf.DUMMYFUNCTION("""COMPUTED_VALUE"""),1.0)</f>
        <v>1</v>
      </c>
      <c r="D515" s="87" t="str">
        <f>IFERROR(__xludf.DUMMYFUNCTION("""COMPUTED_VALUE"""),"SEÇÃO")</f>
        <v>SEÇÃO</v>
      </c>
      <c r="E515" s="87" t="str">
        <f>IFERROR(__xludf.DUMMYFUNCTION("""COMPUTED_VALUE"""),"3 - 1ª CIA OP")</f>
        <v>3 - 1ª CIA OP</v>
      </c>
      <c r="F515" s="88" t="str">
        <f>IFERROR(__xludf.DUMMYFUNCTION("""COMPUTED_VALUE"""),"SETOR DE MEIOS")</f>
        <v>SETOR DE MEIOS</v>
      </c>
      <c r="G515" s="89">
        <f>IFERROR(__xludf.DUMMYFUNCTION("""COMPUTED_VALUE"""),1.3874268E7)</f>
        <v>13874268</v>
      </c>
      <c r="H515" s="87"/>
      <c r="I515" s="87" t="str">
        <f>IFERROR(__xludf.DUMMYFUNCTION("""COMPUTED_VALUE""")," 03 ALMOFADAS, 01 VÁLVULA REDUTORA DE PRESSÃO, 01 VÁLVULA CONTROLE DE FLUXO, 01 CILINDRO, 03 MANGUEIRAS AMARELAS E 01 VERMELHA ")</f>
        <v> 03 ALMOFADAS, 01 VÁLVULA REDUTORA DE PRESSÃO, 01 VÁLVULA CONTROLE DE FLUXO, 01 CILINDRO, 03 MANGUEIRAS AMARELAS E 01 VERMELHA </v>
      </c>
    </row>
    <row r="516">
      <c r="A516" s="84">
        <f>IFERROR(__xludf.DUMMYFUNCTION("""COMPUTED_VALUE"""),515.0)</f>
        <v>515</v>
      </c>
      <c r="B516" s="85" t="str">
        <f>IFERROR(__xludf.DUMMYFUNCTION("""COMPUTED_VALUE"""),"EXTINTOR DE INCENDIO -")</f>
        <v>EXTINTOR DE INCENDIO -</v>
      </c>
      <c r="C516" s="86">
        <f>IFERROR(__xludf.DUMMYFUNCTION("""COMPUTED_VALUE"""),1.0)</f>
        <v>1</v>
      </c>
      <c r="D516" s="87" t="str">
        <f>IFERROR(__xludf.DUMMYFUNCTION("""COMPUTED_VALUE"""),"SEÇÃO")</f>
        <v>SEÇÃO</v>
      </c>
      <c r="E516" s="87" t="str">
        <f>IFERROR(__xludf.DUMMYFUNCTION("""COMPUTED_VALUE"""),"3 - ALMOX. ESTOQUE")</f>
        <v>3 - ALMOX. ESTOQUE</v>
      </c>
      <c r="F516" s="88"/>
      <c r="G516" s="89">
        <f>IFERROR(__xludf.DUMMYFUNCTION("""COMPUTED_VALUE"""),1.387948E7)</f>
        <v>13879480</v>
      </c>
      <c r="H516" s="87" t="str">
        <f>IFERROR(__xludf.DUMMYFUNCTION("""COMPUTED_VALUE"""),"Extintor A,B,C 6kg ")</f>
        <v>Extintor A,B,C 6kg </v>
      </c>
      <c r="I516" s="87" t="str">
        <f>IFERROR(__xludf.DUMMYFUNCTION("""COMPUTED_VALUE"""),"PRÓXIMO AO REFEITÓRIO 5ª CIA IND (SEDE)")</f>
        <v>PRÓXIMO AO REFEITÓRIO 5ª CIA IND (SEDE)</v>
      </c>
    </row>
    <row r="517">
      <c r="A517" s="84">
        <f>IFERROR(__xludf.DUMMYFUNCTION("""COMPUTED_VALUE"""),516.0)</f>
        <v>516</v>
      </c>
      <c r="B517" s="85" t="str">
        <f>IFERROR(__xludf.DUMMYFUNCTION("""COMPUTED_VALUE"""),"EXTINTOR DE INCENDIO -")</f>
        <v>EXTINTOR DE INCENDIO -</v>
      </c>
      <c r="C517" s="86">
        <f>IFERROR(__xludf.DUMMYFUNCTION("""COMPUTED_VALUE"""),1.0)</f>
        <v>1</v>
      </c>
      <c r="D517" s="87" t="str">
        <f>IFERROR(__xludf.DUMMYFUNCTION("""COMPUTED_VALUE"""),"SEÇÃO")</f>
        <v>SEÇÃO</v>
      </c>
      <c r="E517" s="87" t="str">
        <f>IFERROR(__xludf.DUMMYFUNCTION("""COMPUTED_VALUE"""),"3 - ALMOX. ESTOQUE")</f>
        <v>3 - ALMOX. ESTOQUE</v>
      </c>
      <c r="F517" s="88"/>
      <c r="G517" s="89">
        <f>IFERROR(__xludf.DUMMYFUNCTION("""COMPUTED_VALUE"""),1.3879502E7)</f>
        <v>13879502</v>
      </c>
      <c r="H517" s="87" t="str">
        <f>IFERROR(__xludf.DUMMYFUNCTION("""COMPUTED_VALUE"""),"Extintor A,B,C 6kg ")</f>
        <v>Extintor A,B,C 6kg </v>
      </c>
      <c r="I517" s="87" t="str">
        <f>IFERROR(__xludf.DUMMYFUNCTION("""COMPUTED_VALUE"""),"PRÓXIMO AO ALMOX. APH")</f>
        <v>PRÓXIMO AO ALMOX. APH</v>
      </c>
    </row>
    <row r="518">
      <c r="A518" s="84">
        <f>IFERROR(__xludf.DUMMYFUNCTION("""COMPUTED_VALUE"""),517.0)</f>
        <v>517</v>
      </c>
      <c r="B518" s="85" t="str">
        <f>IFERROR(__xludf.DUMMYFUNCTION("""COMPUTED_VALUE"""),"EXTINTOR DE INCENDIO -")</f>
        <v>EXTINTOR DE INCENDIO -</v>
      </c>
      <c r="C518" s="86">
        <f>IFERROR(__xludf.DUMMYFUNCTION("""COMPUTED_VALUE"""),1.0)</f>
        <v>1</v>
      </c>
      <c r="D518" s="87" t="str">
        <f>IFERROR(__xludf.DUMMYFUNCTION("""COMPUTED_VALUE"""),"SEÇÃO")</f>
        <v>SEÇÃO</v>
      </c>
      <c r="E518" s="87" t="str">
        <f>IFERROR(__xludf.DUMMYFUNCTION("""COMPUTED_VALUE"""),"3 - ALMOX. ESTOQUE")</f>
        <v>3 - ALMOX. ESTOQUE</v>
      </c>
      <c r="F518" s="88"/>
      <c r="G518" s="89">
        <f>IFERROR(__xludf.DUMMYFUNCTION("""COMPUTED_VALUE"""),1.387951E7)</f>
        <v>13879510</v>
      </c>
      <c r="H518" s="87" t="str">
        <f>IFERROR(__xludf.DUMMYFUNCTION("""COMPUTED_VALUE"""),"Extintor A,B,C 6kg ")</f>
        <v>Extintor A,B,C 6kg </v>
      </c>
      <c r="I518" s="87" t="str">
        <f>IFERROR(__xludf.DUMMYFUNCTION("""COMPUTED_VALUE"""),"GARAGEM 5ª CIA IND (SEDE)")</f>
        <v>GARAGEM 5ª CIA IND (SEDE)</v>
      </c>
    </row>
    <row r="519">
      <c r="A519" s="84">
        <f>IFERROR(__xludf.DUMMYFUNCTION("""COMPUTED_VALUE"""),518.0)</f>
        <v>518</v>
      </c>
      <c r="B519" s="85" t="str">
        <f>IFERROR(__xludf.DUMMYFUNCTION("""COMPUTED_VALUE"""),"EXTINTOR DE INCENDIO -")</f>
        <v>EXTINTOR DE INCENDIO -</v>
      </c>
      <c r="C519" s="86">
        <f>IFERROR(__xludf.DUMMYFUNCTION("""COMPUTED_VALUE"""),1.0)</f>
        <v>1</v>
      </c>
      <c r="D519" s="87" t="str">
        <f>IFERROR(__xludf.DUMMYFUNCTION("""COMPUTED_VALUE"""),"SEÇÃO")</f>
        <v>SEÇÃO</v>
      </c>
      <c r="E519" s="87" t="str">
        <f>IFERROR(__xludf.DUMMYFUNCTION("""COMPUTED_VALUE"""),"3 - DESCARGA")</f>
        <v>3 - DESCARGA</v>
      </c>
      <c r="F519" s="88"/>
      <c r="G519" s="89">
        <f>IFERROR(__xludf.DUMMYFUNCTION("""COMPUTED_VALUE"""),1.3879529E7)</f>
        <v>13879529</v>
      </c>
      <c r="H519" s="87"/>
      <c r="I519" s="87" t="str">
        <f>IFERROR(__xludf.DUMMYFUNCTION("""COMPUTED_VALUE"""),"MATERIAL DESCARREGADO - PROCESSO Nº 1400.01.0026473/2023-03")</f>
        <v>MATERIAL DESCARREGADO - PROCESSO Nº 1400.01.0026473/2023-03</v>
      </c>
    </row>
    <row r="520">
      <c r="A520" s="84">
        <f>IFERROR(__xludf.DUMMYFUNCTION("""COMPUTED_VALUE"""),519.0)</f>
        <v>519</v>
      </c>
      <c r="B520" s="85" t="str">
        <f>IFERROR(__xludf.DUMMYFUNCTION("""COMPUTED_VALUE"""),"EXTINTOR DE INCENDIO -")</f>
        <v>EXTINTOR DE INCENDIO -</v>
      </c>
      <c r="C520" s="86">
        <f>IFERROR(__xludf.DUMMYFUNCTION("""COMPUTED_VALUE"""),1.0)</f>
        <v>1</v>
      </c>
      <c r="D520" s="87" t="str">
        <f>IFERROR(__xludf.DUMMYFUNCTION("""COMPUTED_VALUE"""),"SEÇÃO")</f>
        <v>SEÇÃO</v>
      </c>
      <c r="E520" s="87" t="str">
        <f>IFERROR(__xludf.DUMMYFUNCTION("""COMPUTED_VALUE"""),"3 - DESCARGA")</f>
        <v>3 - DESCARGA</v>
      </c>
      <c r="F520" s="88"/>
      <c r="G520" s="89">
        <f>IFERROR(__xludf.DUMMYFUNCTION("""COMPUTED_VALUE"""),1.3879537E7)</f>
        <v>13879537</v>
      </c>
      <c r="H520" s="87" t="str">
        <f>IFERROR(__xludf.DUMMYFUNCTION("""COMPUTED_VALUE"""),"Extintor A,B,C 6kg ")</f>
        <v>Extintor A,B,C 6kg </v>
      </c>
      <c r="I520" s="87" t="str">
        <f>IFERROR(__xludf.DUMMYFUNCTION("""COMPUTED_VALUE"""),"MATERIAL DESCARREGADO - PROCESSO Nº 1400.01.0026473/2023-03")</f>
        <v>MATERIAL DESCARREGADO - PROCESSO Nº 1400.01.0026473/2023-03</v>
      </c>
    </row>
    <row r="521">
      <c r="A521" s="84">
        <f>IFERROR(__xludf.DUMMYFUNCTION("""COMPUTED_VALUE"""),520.0)</f>
        <v>520</v>
      </c>
      <c r="B521" s="85" t="str">
        <f>IFERROR(__xludf.DUMMYFUNCTION("""COMPUTED_VALUE"""),"EXTINTOR DE INCENDIO -")</f>
        <v>EXTINTOR DE INCENDIO -</v>
      </c>
      <c r="C521" s="86">
        <f>IFERROR(__xludf.DUMMYFUNCTION("""COMPUTED_VALUE"""),1.0)</f>
        <v>1</v>
      </c>
      <c r="D521" s="87" t="str">
        <f>IFERROR(__xludf.DUMMYFUNCTION("""COMPUTED_VALUE"""),"SEÇÃO")</f>
        <v>SEÇÃO</v>
      </c>
      <c r="E521" s="87" t="str">
        <f>IFERROR(__xludf.DUMMYFUNCTION("""COMPUTED_VALUE"""),"3 - DESCARGA")</f>
        <v>3 - DESCARGA</v>
      </c>
      <c r="F521" s="88"/>
      <c r="G521" s="89">
        <f>IFERROR(__xludf.DUMMYFUNCTION("""COMPUTED_VALUE"""),1.3879553E7)</f>
        <v>13879553</v>
      </c>
      <c r="H521" s="87"/>
      <c r="I521" s="87" t="str">
        <f>IFERROR(__xludf.DUMMYFUNCTION("""COMPUTED_VALUE"""),"MATERIAL DESCARREGADO - PROCESSO Nº 1400.01.0026473/2023-03")</f>
        <v>MATERIAL DESCARREGADO - PROCESSO Nº 1400.01.0026473/2023-03</v>
      </c>
    </row>
    <row r="522">
      <c r="A522" s="84">
        <f>IFERROR(__xludf.DUMMYFUNCTION("""COMPUTED_VALUE"""),521.0)</f>
        <v>521</v>
      </c>
      <c r="B522" s="85" t="str">
        <f>IFERROR(__xludf.DUMMYFUNCTION("""COMPUTED_VALUE"""),"EXTINTOR DE INCENDIO -")</f>
        <v>EXTINTOR DE INCENDIO -</v>
      </c>
      <c r="C522" s="86">
        <f>IFERROR(__xludf.DUMMYFUNCTION("""COMPUTED_VALUE"""),1.0)</f>
        <v>1</v>
      </c>
      <c r="D522" s="87" t="str">
        <f>IFERROR(__xludf.DUMMYFUNCTION("""COMPUTED_VALUE"""),"SEÇÃO")</f>
        <v>SEÇÃO</v>
      </c>
      <c r="E522" s="87" t="str">
        <f>IFERROR(__xludf.DUMMYFUNCTION("""COMPUTED_VALUE"""),"3 - 1ª CIA OP")</f>
        <v>3 - 1ª CIA OP</v>
      </c>
      <c r="F522" s="88"/>
      <c r="G522" s="89">
        <f>IFERROR(__xludf.DUMMYFUNCTION("""COMPUTED_VALUE"""),1.3879561E7)</f>
        <v>13879561</v>
      </c>
      <c r="H522" s="87" t="str">
        <f>IFERROR(__xludf.DUMMYFUNCTION("""COMPUTED_VALUE"""),"Extintor A,B,C 6kg ")</f>
        <v>Extintor A,B,C 6kg </v>
      </c>
      <c r="I522" s="87" t="str">
        <f>IFERROR(__xludf.DUMMYFUNCTION("""COMPUTED_VALUE"""),"Próx. à SOU")</f>
        <v>Próx. à SOU</v>
      </c>
    </row>
    <row r="523">
      <c r="A523" s="84">
        <f>IFERROR(__xludf.DUMMYFUNCTION("""COMPUTED_VALUE"""),522.0)</f>
        <v>522</v>
      </c>
      <c r="B523" s="85" t="str">
        <f>IFERROR(__xludf.DUMMYFUNCTION("""COMPUTED_VALUE"""),"DESFIBRILADOR CARDIACO -")</f>
        <v>DESFIBRILADOR CARDIACO -</v>
      </c>
      <c r="C523" s="86">
        <f>IFERROR(__xludf.DUMMYFUNCTION("""COMPUTED_VALUE"""),1.0)</f>
        <v>1</v>
      </c>
      <c r="D523" s="87" t="str">
        <f>IFERROR(__xludf.DUMMYFUNCTION("""COMPUTED_VALUE"""),"SEÇÃO")</f>
        <v>SEÇÃO</v>
      </c>
      <c r="E523" s="87" t="str">
        <f>IFERROR(__xludf.DUMMYFUNCTION("""COMPUTED_VALUE"""),"3 - ALMOX. ESTOQUE")</f>
        <v>3 - ALMOX. ESTOQUE</v>
      </c>
      <c r="F523" s="88" t="str">
        <f>IFERROR(__xludf.DUMMYFUNCTION("""COMPUTED_VALUE"""),"ALMOX. APH")</f>
        <v>ALMOX. APH</v>
      </c>
      <c r="G523" s="89">
        <f>IFERROR(__xludf.DUMMYFUNCTION("""COMPUTED_VALUE"""),1.3888889E7)</f>
        <v>13888889</v>
      </c>
      <c r="H523" s="87" t="str">
        <f>IFERROR(__xludf.DUMMYFUNCTION("""COMPUTED_VALUE"""),"X08K179096 ")</f>
        <v>X08K179096 </v>
      </c>
      <c r="I523" s="87" t="str">
        <f>IFERROR(__xludf.DUMMYFUNCTION("""COMPUTED_VALUE"""),"ZOLL AEDPLUS - NÃO POSSUI PÁS. BAT. SUBSTITUÍDA EM 28/01/2021 BAT. FRACA")</f>
        <v>ZOLL AEDPLUS - NÃO POSSUI PÁS. BAT. SUBSTITUÍDA EM 28/01/2021 BAT. FRACA</v>
      </c>
    </row>
    <row r="524">
      <c r="A524" s="84">
        <f>IFERROR(__xludf.DUMMYFUNCTION("""COMPUTED_VALUE"""),523.0)</f>
        <v>523</v>
      </c>
      <c r="B524" s="85" t="str">
        <f>IFERROR(__xludf.DUMMYFUNCTION("""COMPUTED_VALUE"""),"DESFIBRILADOR CARDIACO -")</f>
        <v>DESFIBRILADOR CARDIACO -</v>
      </c>
      <c r="C524" s="86">
        <f>IFERROR(__xludf.DUMMYFUNCTION("""COMPUTED_VALUE"""),1.0)</f>
        <v>1</v>
      </c>
      <c r="D524" s="87" t="str">
        <f>IFERROR(__xludf.DUMMYFUNCTION("""COMPUTED_VALUE"""),"SEÇÃO")</f>
        <v>SEÇÃO</v>
      </c>
      <c r="E524" s="87" t="str">
        <f>IFERROR(__xludf.DUMMYFUNCTION("""COMPUTED_VALUE"""),"3 - CSM")</f>
        <v>3 - CSM</v>
      </c>
      <c r="F524" s="88" t="str">
        <f>IFERROR(__xludf.DUMMYFUNCTION("""COMPUTED_VALUE"""),"ALMOX. APH")</f>
        <v>ALMOX. APH</v>
      </c>
      <c r="G524" s="89">
        <f>IFERROR(__xludf.DUMMYFUNCTION("""COMPUTED_VALUE"""),1.3888854E7)</f>
        <v>13888854</v>
      </c>
      <c r="H524" s="87" t="str">
        <f>IFERROR(__xludf.DUMMYFUNCTION("""COMPUTED_VALUE"""),"X08K179074")</f>
        <v>X08K179074</v>
      </c>
      <c r="I524" s="87" t="str">
        <f>IFERROR(__xludf.DUMMYFUNCTION("""COMPUTED_VALUE"""),"ZOLL AEDPLUS - NÃO POSSUI PÁS. COM DEFEITO")</f>
        <v>ZOLL AEDPLUS - NÃO POSSUI PÁS. COM DEFEITO</v>
      </c>
    </row>
    <row r="525">
      <c r="A525" s="84">
        <f>IFERROR(__xludf.DUMMYFUNCTION("""COMPUTED_VALUE"""),524.0)</f>
        <v>524</v>
      </c>
      <c r="B525" s="85" t="str">
        <f>IFERROR(__xludf.DUMMYFUNCTION("""COMPUTED_VALUE"""),"MOTOR DE POPA -")</f>
        <v>MOTOR DE POPA -</v>
      </c>
      <c r="C525" s="86">
        <f>IFERROR(__xludf.DUMMYFUNCTION("""COMPUTED_VALUE"""),1.0)</f>
        <v>1</v>
      </c>
      <c r="D525" s="87" t="str">
        <f>IFERROR(__xludf.DUMMYFUNCTION("""COMPUTED_VALUE"""),"SEÇÃO")</f>
        <v>SEÇÃO</v>
      </c>
      <c r="E525" s="87" t="str">
        <f>IFERROR(__xludf.DUMMYFUNCTION("""COMPUTED_VALUE"""),"3 - DESCARGA")</f>
        <v>3 - DESCARGA</v>
      </c>
      <c r="F525" s="88"/>
      <c r="G525" s="89">
        <f>IFERROR(__xludf.DUMMYFUNCTION("""COMPUTED_VALUE"""),1.3890034E7)</f>
        <v>13890034</v>
      </c>
      <c r="H525" s="87"/>
      <c r="I525" s="87" t="str">
        <f>IFERROR(__xludf.DUMMYFUNCTION("""COMPUTED_VALUE"""),"MATERIAL DESCARREGADO - PROCESSO Nº 1400.01.0026473/2023-03")</f>
        <v>MATERIAL DESCARREGADO - PROCESSO Nº 1400.01.0026473/2023-03</v>
      </c>
    </row>
    <row r="526">
      <c r="A526" s="84">
        <f>IFERROR(__xludf.DUMMYFUNCTION("""COMPUTED_VALUE"""),525.0)</f>
        <v>525</v>
      </c>
      <c r="B526" s="85" t="str">
        <f>IFERROR(__xludf.DUMMYFUNCTION("""COMPUTED_VALUE"""),"MOTOBOMBA DE SUCÇÃO - TOYAMA")</f>
        <v>MOTOBOMBA DE SUCÇÃO - TOYAMA</v>
      </c>
      <c r="C526" s="86">
        <f>IFERROR(__xludf.DUMMYFUNCTION("""COMPUTED_VALUE"""),1.0)</f>
        <v>1</v>
      </c>
      <c r="D526" s="87" t="str">
        <f>IFERROR(__xludf.DUMMYFUNCTION("""COMPUTED_VALUE"""),"SEÇÃO")</f>
        <v>SEÇÃO</v>
      </c>
      <c r="E526" s="87" t="str">
        <f>IFERROR(__xludf.DUMMYFUNCTION("""COMPUTED_VALUE"""),"3 - SETOR DE MEIOS")</f>
        <v>3 - SETOR DE MEIOS</v>
      </c>
      <c r="F526" s="88" t="str">
        <f>IFERROR(__xludf.DUMMYFUNCTION("""COMPUTED_VALUE"""),"SETOR DE MEIOS")</f>
        <v>SETOR DE MEIOS</v>
      </c>
      <c r="G526" s="89">
        <f>IFERROR(__xludf.DUMMYFUNCTION("""COMPUTED_VALUE"""),1.3891103E7)</f>
        <v>13891103</v>
      </c>
      <c r="H526" s="87"/>
      <c r="I526" s="87" t="str">
        <f>IFERROR(__xludf.DUMMYFUNCTION("""COMPUTED_VALUE"""),"SEM MANGOTE")</f>
        <v>SEM MANGOTE</v>
      </c>
    </row>
    <row r="527">
      <c r="A527" s="84">
        <f>IFERROR(__xludf.DUMMYFUNCTION("""COMPUTED_VALUE"""),526.0)</f>
        <v>526</v>
      </c>
      <c r="B527" s="85" t="str">
        <f>IFERROR(__xludf.DUMMYFUNCTION("""COMPUTED_VALUE"""),"DESFIBRILADOR CARDIACO -")</f>
        <v>DESFIBRILADOR CARDIACO -</v>
      </c>
      <c r="C527" s="86">
        <f>IFERROR(__xludf.DUMMYFUNCTION("""COMPUTED_VALUE"""),1.0)</f>
        <v>1</v>
      </c>
      <c r="D527" s="87" t="str">
        <f>IFERROR(__xludf.DUMMYFUNCTION("""COMPUTED_VALUE"""),"SEÇÃO")</f>
        <v>SEÇÃO</v>
      </c>
      <c r="E527" s="87" t="str">
        <f>IFERROR(__xludf.DUMMYFUNCTION("""COMPUTED_VALUE"""),"3 - CSM")</f>
        <v>3 - CSM</v>
      </c>
      <c r="F527" s="88" t="str">
        <f>IFERROR(__xludf.DUMMYFUNCTION("""COMPUTED_VALUE"""),"ALMOX. APH")</f>
        <v>ALMOX. APH</v>
      </c>
      <c r="G527" s="89">
        <f>IFERROR(__xludf.DUMMYFUNCTION("""COMPUTED_VALUE"""),1.3891804E7)</f>
        <v>13891804</v>
      </c>
      <c r="H527" s="87" t="str">
        <f>IFERROR(__xludf.DUMMYFUNCTION("""COMPUTED_VALUE"""),"X08K179086")</f>
        <v>X08K179086</v>
      </c>
      <c r="I527" s="87" t="str">
        <f>IFERROR(__xludf.DUMMYFUNCTION("""COMPUTED_VALUE"""),"ZOLL AEDPLUS - NÃO POSSUI PÁS. BAT. BAT FRACA")</f>
        <v>ZOLL AEDPLUS - NÃO POSSUI PÁS. BAT. BAT FRACA</v>
      </c>
    </row>
    <row r="528">
      <c r="A528" s="84">
        <f>IFERROR(__xludf.DUMMYFUNCTION("""COMPUTED_VALUE"""),527.0)</f>
        <v>527</v>
      </c>
      <c r="B528" s="85" t="str">
        <f>IFERROR(__xludf.DUMMYFUNCTION("""COMPUTED_VALUE"""),"ARMARIO PARA ESCRITORIO -")</f>
        <v>ARMARIO PARA ESCRITORIO -</v>
      </c>
      <c r="C528" s="86">
        <f>IFERROR(__xludf.DUMMYFUNCTION("""COMPUTED_VALUE"""),1.0)</f>
        <v>1</v>
      </c>
      <c r="D528" s="87" t="str">
        <f>IFERROR(__xludf.DUMMYFUNCTION("""COMPUTED_VALUE"""),"SEÇÃO")</f>
        <v>SEÇÃO</v>
      </c>
      <c r="E528" s="87" t="str">
        <f>IFERROR(__xludf.DUMMYFUNCTION("""COMPUTED_VALUE"""),"3 - ARMARIA")</f>
        <v>3 - ARMARIA</v>
      </c>
      <c r="F528" s="88"/>
      <c r="G528" s="89">
        <f>IFERROR(__xludf.DUMMYFUNCTION("""COMPUTED_VALUE"""),1.3894986E7)</f>
        <v>13894986</v>
      </c>
      <c r="H528" s="87"/>
      <c r="I528" s="87"/>
    </row>
    <row r="529">
      <c r="A529" s="84">
        <f>IFERROR(__xludf.DUMMYFUNCTION("""COMPUTED_VALUE"""),528.0)</f>
        <v>528</v>
      </c>
      <c r="B529" s="85" t="str">
        <f>IFERROR(__xludf.DUMMYFUNCTION("""COMPUTED_VALUE"""),"TELEVISAO -")</f>
        <v>TELEVISAO -</v>
      </c>
      <c r="C529" s="86">
        <f>IFERROR(__xludf.DUMMYFUNCTION("""COMPUTED_VALUE"""),1.0)</f>
        <v>1</v>
      </c>
      <c r="D529" s="87" t="str">
        <f>IFERROR(__xludf.DUMMYFUNCTION("""COMPUTED_VALUE"""),"SEÇÃO")</f>
        <v>SEÇÃO</v>
      </c>
      <c r="E529" s="87" t="str">
        <f>IFERROR(__xludf.DUMMYFUNCTION("""COMPUTED_VALUE"""),"3 - DESCARGA")</f>
        <v>3 - DESCARGA</v>
      </c>
      <c r="F529" s="88"/>
      <c r="G529" s="89">
        <f>IFERROR(__xludf.DUMMYFUNCTION("""COMPUTED_VALUE"""),1.3909398E7)</f>
        <v>13909398</v>
      </c>
      <c r="H529" s="87"/>
      <c r="I529" s="87" t="str">
        <f>IFERROR(__xludf.DUMMYFUNCTION("""COMPUTED_VALUE"""),"MATERIAL DESCARREGADO - PROCESSO Nº 1400.01.0026473/2023-03")</f>
        <v>MATERIAL DESCARREGADO - PROCESSO Nº 1400.01.0026473/2023-03</v>
      </c>
    </row>
    <row r="530">
      <c r="A530" s="84">
        <f>IFERROR(__xludf.DUMMYFUNCTION("""COMPUTED_VALUE"""),529.0)</f>
        <v>529</v>
      </c>
      <c r="B530" s="85" t="str">
        <f>IFERROR(__xludf.DUMMYFUNCTION("""COMPUTED_VALUE"""),"CONJUNTO DE APARELHO DE MERGULHO -")</f>
        <v>CONJUNTO DE APARELHO DE MERGULHO -</v>
      </c>
      <c r="C530" s="86">
        <f>IFERROR(__xludf.DUMMYFUNCTION("""COMPUTED_VALUE"""),1.0)</f>
        <v>1</v>
      </c>
      <c r="D530" s="87" t="str">
        <f>IFERROR(__xludf.DUMMYFUNCTION("""COMPUTED_VALUE"""),"SEÇÃO")</f>
        <v>SEÇÃO</v>
      </c>
      <c r="E530" s="87" t="str">
        <f>IFERROR(__xludf.DUMMYFUNCTION("""COMPUTED_VALUE"""),"3 - SETOR DE MEIOS")</f>
        <v>3 - SETOR DE MEIOS</v>
      </c>
      <c r="F530" s="88" t="str">
        <f>IFERROR(__xludf.DUMMYFUNCTION("""COMPUTED_VALUE"""),"MATERIAL DE MERGULHO")</f>
        <v>MATERIAL DE MERGULHO</v>
      </c>
      <c r="G530" s="89">
        <f>IFERROR(__xludf.DUMMYFUNCTION("""COMPUTED_VALUE"""),1.3917021E7)</f>
        <v>13917021</v>
      </c>
      <c r="H530" s="87"/>
      <c r="I530" s="87"/>
    </row>
    <row r="531">
      <c r="A531" s="84">
        <f>IFERROR(__xludf.DUMMYFUNCTION("""COMPUTED_VALUE"""),530.0)</f>
        <v>530</v>
      </c>
      <c r="B531" s="85" t="str">
        <f>IFERROR(__xludf.DUMMYFUNCTION("""COMPUTED_VALUE"""),"CONJUNTO DE APARELHO DE MERGULHO -")</f>
        <v>CONJUNTO DE APARELHO DE MERGULHO -</v>
      </c>
      <c r="C531" s="86">
        <f>IFERROR(__xludf.DUMMYFUNCTION("""COMPUTED_VALUE"""),1.0)</f>
        <v>1</v>
      </c>
      <c r="D531" s="87" t="str">
        <f>IFERROR(__xludf.DUMMYFUNCTION("""COMPUTED_VALUE"""),"SEÇÃO")</f>
        <v>SEÇÃO</v>
      </c>
      <c r="E531" s="87" t="str">
        <f>IFERROR(__xludf.DUMMYFUNCTION("""COMPUTED_VALUE"""),"3 - SETOR DE MEIOS")</f>
        <v>3 - SETOR DE MEIOS</v>
      </c>
      <c r="F531" s="88" t="str">
        <f>IFERROR(__xludf.DUMMYFUNCTION("""COMPUTED_VALUE"""),"MATERIAL DE MERGULHO")</f>
        <v>MATERIAL DE MERGULHO</v>
      </c>
      <c r="G531" s="89">
        <f>IFERROR(__xludf.DUMMYFUNCTION("""COMPUTED_VALUE"""),1.391703E7)</f>
        <v>13917030</v>
      </c>
      <c r="H531" s="87"/>
      <c r="I531" s="87"/>
    </row>
    <row r="532">
      <c r="A532" s="84">
        <f>IFERROR(__xludf.DUMMYFUNCTION("""COMPUTED_VALUE"""),531.0)</f>
        <v>531</v>
      </c>
      <c r="B532" s="85" t="str">
        <f>IFERROR(__xludf.DUMMYFUNCTION("""COMPUTED_VALUE"""),"ARMARIO DE USO GERAL -")</f>
        <v>ARMARIO DE USO GERAL -</v>
      </c>
      <c r="C532" s="86">
        <f>IFERROR(__xludf.DUMMYFUNCTION("""COMPUTED_VALUE"""),1.0)</f>
        <v>1</v>
      </c>
      <c r="D532" s="87" t="str">
        <f>IFERROR(__xludf.DUMMYFUNCTION("""COMPUTED_VALUE"""),"SEÇÃO")</f>
        <v>SEÇÃO</v>
      </c>
      <c r="E532" s="87" t="str">
        <f>IFERROR(__xludf.DUMMYFUNCTION("""COMPUTED_VALUE"""),"3 - PPV")</f>
        <v>3 - PPV</v>
      </c>
      <c r="F532" s="88" t="str">
        <f>IFERROR(__xludf.DUMMYFUNCTION("""COMPUTED_VALUE"""),"ARQUIVO")</f>
        <v>ARQUIVO</v>
      </c>
      <c r="G532" s="89">
        <f>IFERROR(__xludf.DUMMYFUNCTION("""COMPUTED_VALUE"""),1.3930109E7)</f>
        <v>13930109</v>
      </c>
      <c r="H532" s="87"/>
      <c r="I532" s="87"/>
    </row>
    <row r="533">
      <c r="A533" s="84">
        <f>IFERROR(__xludf.DUMMYFUNCTION("""COMPUTED_VALUE"""),532.0)</f>
        <v>532</v>
      </c>
      <c r="B533" s="85" t="str">
        <f>IFERROR(__xludf.DUMMYFUNCTION("""COMPUTED_VALUE"""),"CENTRAL TELEFONICA (PABX) -")</f>
        <v>CENTRAL TELEFONICA (PABX) -</v>
      </c>
      <c r="C533" s="86">
        <f>IFERROR(__xludf.DUMMYFUNCTION("""COMPUTED_VALUE"""),1.0)</f>
        <v>1</v>
      </c>
      <c r="D533" s="87" t="str">
        <f>IFERROR(__xludf.DUMMYFUNCTION("""COMPUTED_VALUE"""),"SEÇÃO")</f>
        <v>SEÇÃO</v>
      </c>
      <c r="E533" s="87" t="str">
        <f>IFERROR(__xludf.DUMMYFUNCTION("""COMPUTED_VALUE"""),"3 - 1ª CIA OP")</f>
        <v>3 - 1ª CIA OP</v>
      </c>
      <c r="F533" s="88" t="str">
        <f>IFERROR(__xludf.DUMMYFUNCTION("""COMPUTED_VALUE"""),"CPD")</f>
        <v>CPD</v>
      </c>
      <c r="G533" s="89">
        <f>IFERROR(__xludf.DUMMYFUNCTION("""COMPUTED_VALUE"""),1.3947338E7)</f>
        <v>13947338</v>
      </c>
      <c r="H533" s="87"/>
      <c r="I533" s="87"/>
    </row>
    <row r="534">
      <c r="A534" s="84">
        <f>IFERROR(__xludf.DUMMYFUNCTION("""COMPUTED_VALUE"""),533.0)</f>
        <v>533</v>
      </c>
      <c r="B534" s="85" t="str">
        <f>IFERROR(__xludf.DUMMYFUNCTION("""COMPUTED_VALUE"""),"TRIÉ (ALUMÍNIO)")</f>
        <v>TRIÉ (ALUMÍNIO)</v>
      </c>
      <c r="C534" s="86">
        <f>IFERROR(__xludf.DUMMYFUNCTION("""COMPUTED_VALUE"""),1.0)</f>
        <v>1</v>
      </c>
      <c r="D534" s="87" t="str">
        <f>IFERROR(__xludf.DUMMYFUNCTION("""COMPUTED_VALUE"""),"SEÇÃO")</f>
        <v>SEÇÃO</v>
      </c>
      <c r="E534" s="87" t="str">
        <f>IFERROR(__xludf.DUMMYFUNCTION("""COMPUTED_VALUE"""),"3 - SETOR DE MEIOS")</f>
        <v>3 - SETOR DE MEIOS</v>
      </c>
      <c r="F534" s="88" t="str">
        <f>IFERROR(__xludf.DUMMYFUNCTION("""COMPUTED_VALUE"""),"SETOR DE MEIOS")</f>
        <v>SETOR DE MEIOS</v>
      </c>
      <c r="G534" s="89">
        <f>IFERROR(__xludf.DUMMYFUNCTION("""COMPUTED_VALUE"""),1.394771E7)</f>
        <v>13947710</v>
      </c>
      <c r="H534" s="87"/>
      <c r="I534" s="87" t="str">
        <f>IFERROR(__xludf.DUMMYFUNCTION("""COMPUTED_VALUE"""),"FALTA UM PINO PARA TRAVAMENTO DO TRIPÉ")</f>
        <v>FALTA UM PINO PARA TRAVAMENTO DO TRIPÉ</v>
      </c>
    </row>
    <row r="535">
      <c r="A535" s="84">
        <f>IFERROR(__xludf.DUMMYFUNCTION("""COMPUTED_VALUE"""),534.0)</f>
        <v>534</v>
      </c>
      <c r="B535" s="85" t="str">
        <f>IFERROR(__xludf.DUMMYFUNCTION("""COMPUTED_VALUE"""),"BINOCULO -")</f>
        <v>BINOCULO -</v>
      </c>
      <c r="C535" s="86">
        <f>IFERROR(__xludf.DUMMYFUNCTION("""COMPUTED_VALUE"""),1.0)</f>
        <v>1</v>
      </c>
      <c r="D535" s="87" t="str">
        <f>IFERROR(__xludf.DUMMYFUNCTION("""COMPUTED_VALUE"""),"SEÇÃO")</f>
        <v>SEÇÃO</v>
      </c>
      <c r="E535" s="87" t="str">
        <f>IFERROR(__xludf.DUMMYFUNCTION("""COMPUTED_VALUE"""),"3 - ALMOX. ESTOQUE")</f>
        <v>3 - ALMOX. ESTOQUE</v>
      </c>
      <c r="F535" s="88" t="str">
        <f>IFERROR(__xludf.DUMMYFUNCTION("""COMPUTED_VALUE"""),"SAO")</f>
        <v>SAO</v>
      </c>
      <c r="G535" s="89">
        <f>IFERROR(__xludf.DUMMYFUNCTION("""COMPUTED_VALUE"""),1.3954229E7)</f>
        <v>13954229</v>
      </c>
      <c r="H535" s="87"/>
      <c r="I535" s="87" t="str">
        <f>IFERROR(__xludf.DUMMYFUNCTION("""COMPUTED_VALUE"""),"almox. Principal")</f>
        <v>almox. Principal</v>
      </c>
    </row>
    <row r="536">
      <c r="A536" s="84">
        <f>IFERROR(__xludf.DUMMYFUNCTION("""COMPUTED_VALUE"""),535.0)</f>
        <v>535</v>
      </c>
      <c r="B536" s="85" t="str">
        <f>IFERROR(__xludf.DUMMYFUNCTION("""COMPUTED_VALUE"""),"BINOCULO -")</f>
        <v>BINOCULO -</v>
      </c>
      <c r="C536" s="86">
        <f>IFERROR(__xludf.DUMMYFUNCTION("""COMPUTED_VALUE"""),1.0)</f>
        <v>1</v>
      </c>
      <c r="D536" s="87" t="str">
        <f>IFERROR(__xludf.DUMMYFUNCTION("""COMPUTED_VALUE"""),"SEÇÃO")</f>
        <v>SEÇÃO</v>
      </c>
      <c r="E536" s="87" t="str">
        <f>IFERROR(__xludf.DUMMYFUNCTION("""COMPUTED_VALUE"""),"3 - SOU")</f>
        <v>3 - SOU</v>
      </c>
      <c r="F536" s="88" t="str">
        <f>IFERROR(__xludf.DUMMYFUNCTION("""COMPUTED_VALUE"""),"SALA DE REDS")</f>
        <v>SALA DE REDS</v>
      </c>
      <c r="G536" s="89">
        <f>IFERROR(__xludf.DUMMYFUNCTION("""COMPUTED_VALUE"""),1.3954539E7)</f>
        <v>13954539</v>
      </c>
      <c r="H536" s="87"/>
      <c r="I536" s="87" t="str">
        <f>IFERROR(__xludf.DUMMYFUNCTION("""COMPUTED_VALUE"""),"Binóculo TASCO")</f>
        <v>Binóculo TASCO</v>
      </c>
    </row>
    <row r="537">
      <c r="A537" s="84">
        <f>IFERROR(__xludf.DUMMYFUNCTION("""COMPUTED_VALUE"""),536.0)</f>
        <v>536</v>
      </c>
      <c r="B537" s="85" t="str">
        <f>IFERROR(__xludf.DUMMYFUNCTION("""COMPUTED_VALUE"""),"CONJUNTO DE APARELHO DE MERGULHO -")</f>
        <v>CONJUNTO DE APARELHO DE MERGULHO -</v>
      </c>
      <c r="C537" s="86">
        <f>IFERROR(__xludf.DUMMYFUNCTION("""COMPUTED_VALUE"""),1.0)</f>
        <v>1</v>
      </c>
      <c r="D537" s="87" t="str">
        <f>IFERROR(__xludf.DUMMYFUNCTION("""COMPUTED_VALUE"""),"SEÇÃO")</f>
        <v>SEÇÃO</v>
      </c>
      <c r="E537" s="87" t="str">
        <f>IFERROR(__xludf.DUMMYFUNCTION("""COMPUTED_VALUE"""),"3 - DESCARGA")</f>
        <v>3 - DESCARGA</v>
      </c>
      <c r="F537" s="88"/>
      <c r="G537" s="89">
        <f>IFERROR(__xludf.DUMMYFUNCTION("""COMPUTED_VALUE"""),1.3956493E7)</f>
        <v>13956493</v>
      </c>
      <c r="H537" s="87" t="str">
        <f>IFERROR(__xludf.DUMMYFUNCTION("""COMPUTED_VALUE"""),"MATERIAL VINDO 2ºBBM")</f>
        <v>MATERIAL VINDO 2ºBBM</v>
      </c>
      <c r="I537" s="87" t="str">
        <f>IFERROR(__xludf.DUMMYFUNCTION("""COMPUTED_VALUE"""),"MATERIAL DESCARREGADO - PROCESSO Nº 1400.01.0026473/2023-03")</f>
        <v>MATERIAL DESCARREGADO - PROCESSO Nº 1400.01.0026473/2023-03</v>
      </c>
    </row>
    <row r="538">
      <c r="A538" s="84">
        <f>IFERROR(__xludf.DUMMYFUNCTION("""COMPUTED_VALUE"""),537.0)</f>
        <v>537</v>
      </c>
      <c r="B538" s="85" t="str">
        <f>IFERROR(__xludf.DUMMYFUNCTION("""COMPUTED_VALUE"""),"CONJUNTO DE APARELHO DE MERGULHO -")</f>
        <v>CONJUNTO DE APARELHO DE MERGULHO -</v>
      </c>
      <c r="C538" s="86">
        <f>IFERROR(__xludf.DUMMYFUNCTION("""COMPUTED_VALUE"""),1.0)</f>
        <v>1</v>
      </c>
      <c r="D538" s="87" t="str">
        <f>IFERROR(__xludf.DUMMYFUNCTION("""COMPUTED_VALUE"""),"SEÇÃO")</f>
        <v>SEÇÃO</v>
      </c>
      <c r="E538" s="87" t="str">
        <f>IFERROR(__xludf.DUMMYFUNCTION("""COMPUTED_VALUE"""),"3 - DESCARGA")</f>
        <v>3 - DESCARGA</v>
      </c>
      <c r="F538" s="88"/>
      <c r="G538" s="89">
        <f>IFERROR(__xludf.DUMMYFUNCTION("""COMPUTED_VALUE"""),1.3956507E7)</f>
        <v>13956507</v>
      </c>
      <c r="H538" s="87" t="str">
        <f>IFERROR(__xludf.DUMMYFUNCTION("""COMPUTED_VALUE"""),"MATERIAL VINDO 2ºBBM")</f>
        <v>MATERIAL VINDO 2ºBBM</v>
      </c>
      <c r="I538" s="87" t="str">
        <f>IFERROR(__xludf.DUMMYFUNCTION("""COMPUTED_VALUE"""),"MATERIAL DESCARREGADO - PROCESSO Nº 1400.01.0026473/2023-03")</f>
        <v>MATERIAL DESCARREGADO - PROCESSO Nº 1400.01.0026473/2023-03</v>
      </c>
    </row>
    <row r="539">
      <c r="A539" s="84">
        <f>IFERROR(__xludf.DUMMYFUNCTION("""COMPUTED_VALUE"""),538.0)</f>
        <v>538</v>
      </c>
      <c r="B539" s="85" t="str">
        <f>IFERROR(__xludf.DUMMYFUNCTION("""COMPUTED_VALUE"""),"CONJUNTO DE APARELHO DE MERGULHO -")</f>
        <v>CONJUNTO DE APARELHO DE MERGULHO -</v>
      </c>
      <c r="C539" s="86">
        <f>IFERROR(__xludf.DUMMYFUNCTION("""COMPUTED_VALUE"""),1.0)</f>
        <v>1</v>
      </c>
      <c r="D539" s="87" t="str">
        <f>IFERROR(__xludf.DUMMYFUNCTION("""COMPUTED_VALUE"""),"SEÇÃO")</f>
        <v>SEÇÃO</v>
      </c>
      <c r="E539" s="87" t="str">
        <f>IFERROR(__xludf.DUMMYFUNCTION("""COMPUTED_VALUE"""),"3 - DESCARGA")</f>
        <v>3 - DESCARGA</v>
      </c>
      <c r="F539" s="88"/>
      <c r="G539" s="89">
        <f>IFERROR(__xludf.DUMMYFUNCTION("""COMPUTED_VALUE"""),1.3956515E7)</f>
        <v>13956515</v>
      </c>
      <c r="H539" s="87" t="str">
        <f>IFERROR(__xludf.DUMMYFUNCTION("""COMPUTED_VALUE"""),"MATERIAL VINDO 2ºBBM")</f>
        <v>MATERIAL VINDO 2ºBBM</v>
      </c>
      <c r="I539" s="87" t="str">
        <f>IFERROR(__xludf.DUMMYFUNCTION("""COMPUTED_VALUE"""),"MATERIAL DESCARREGADO - PROCESSO Nº 1400.01.0026473/2023-03")</f>
        <v>MATERIAL DESCARREGADO - PROCESSO Nº 1400.01.0026473/2023-03</v>
      </c>
    </row>
    <row r="540">
      <c r="A540" s="84">
        <f>IFERROR(__xludf.DUMMYFUNCTION("""COMPUTED_VALUE"""),539.0)</f>
        <v>539</v>
      </c>
      <c r="B540" s="85" t="str">
        <f>IFERROR(__xludf.DUMMYFUNCTION("""COMPUTED_VALUE"""),"CONJUNTO DE APARELHO DE MERGULHO -")</f>
        <v>CONJUNTO DE APARELHO DE MERGULHO -</v>
      </c>
      <c r="C540" s="86">
        <f>IFERROR(__xludf.DUMMYFUNCTION("""COMPUTED_VALUE"""),1.0)</f>
        <v>1</v>
      </c>
      <c r="D540" s="87" t="str">
        <f>IFERROR(__xludf.DUMMYFUNCTION("""COMPUTED_VALUE"""),"SEÇÃO")</f>
        <v>SEÇÃO</v>
      </c>
      <c r="E540" s="87" t="str">
        <f>IFERROR(__xludf.DUMMYFUNCTION("""COMPUTED_VALUE"""),"3 - DESCARGA")</f>
        <v>3 - DESCARGA</v>
      </c>
      <c r="F540" s="88"/>
      <c r="G540" s="89">
        <f>IFERROR(__xludf.DUMMYFUNCTION("""COMPUTED_VALUE"""),1.3956523E7)</f>
        <v>13956523</v>
      </c>
      <c r="H540" s="87" t="str">
        <f>IFERROR(__xludf.DUMMYFUNCTION("""COMPUTED_VALUE"""),"MATERIAL VINDO 2ºBBM")</f>
        <v>MATERIAL VINDO 2ºBBM</v>
      </c>
      <c r="I540" s="87" t="str">
        <f>IFERROR(__xludf.DUMMYFUNCTION("""COMPUTED_VALUE"""),"MATERIAL DESCARREGADO - PROCESSO Nº 1400.01.0026473/2023-04")</f>
        <v>MATERIAL DESCARREGADO - PROCESSO Nº 1400.01.0026473/2023-04</v>
      </c>
    </row>
    <row r="541">
      <c r="A541" s="84">
        <f>IFERROR(__xludf.DUMMYFUNCTION("""COMPUTED_VALUE"""),540.0)</f>
        <v>540</v>
      </c>
      <c r="B541" s="85" t="str">
        <f>IFERROR(__xludf.DUMMYFUNCTION("""COMPUTED_VALUE"""),"CONJUNTO DE APARELHO DE MERGULHO -")</f>
        <v>CONJUNTO DE APARELHO DE MERGULHO -</v>
      </c>
      <c r="C541" s="86">
        <f>IFERROR(__xludf.DUMMYFUNCTION("""COMPUTED_VALUE"""),1.0)</f>
        <v>1</v>
      </c>
      <c r="D541" s="87" t="str">
        <f>IFERROR(__xludf.DUMMYFUNCTION("""COMPUTED_VALUE"""),"SEÇÃO")</f>
        <v>SEÇÃO</v>
      </c>
      <c r="E541" s="87" t="str">
        <f>IFERROR(__xludf.DUMMYFUNCTION("""COMPUTED_VALUE"""),"3 - DESCARGA")</f>
        <v>3 - DESCARGA</v>
      </c>
      <c r="F541" s="88"/>
      <c r="G541" s="89">
        <f>IFERROR(__xludf.DUMMYFUNCTION("""COMPUTED_VALUE"""),1.395654E7)</f>
        <v>13956540</v>
      </c>
      <c r="H541" s="87" t="str">
        <f>IFERROR(__xludf.DUMMYFUNCTION("""COMPUTED_VALUE"""),"MATERIAL VINDO 2ºBBM")</f>
        <v>MATERIAL VINDO 2ºBBM</v>
      </c>
      <c r="I541" s="87" t="str">
        <f>IFERROR(__xludf.DUMMYFUNCTION("""COMPUTED_VALUE"""),"MATERIAL DESCARREGADO - PROCESSO Nº 1400.01.0026473/2023-05")</f>
        <v>MATERIAL DESCARREGADO - PROCESSO Nº 1400.01.0026473/2023-05</v>
      </c>
    </row>
    <row r="542">
      <c r="A542" s="84">
        <f>IFERROR(__xludf.DUMMYFUNCTION("""COMPUTED_VALUE"""),541.0)</f>
        <v>541</v>
      </c>
      <c r="B542" s="85" t="str">
        <f>IFERROR(__xludf.DUMMYFUNCTION("""COMPUTED_VALUE"""),"CONJUNTO DE APARELHO DE MERGULHO -")</f>
        <v>CONJUNTO DE APARELHO DE MERGULHO -</v>
      </c>
      <c r="C542" s="86">
        <f>IFERROR(__xludf.DUMMYFUNCTION("""COMPUTED_VALUE"""),1.0)</f>
        <v>1</v>
      </c>
      <c r="D542" s="87" t="str">
        <f>IFERROR(__xludf.DUMMYFUNCTION("""COMPUTED_VALUE"""),"SEÇÃO")</f>
        <v>SEÇÃO</v>
      </c>
      <c r="E542" s="87" t="str">
        <f>IFERROR(__xludf.DUMMYFUNCTION("""COMPUTED_VALUE"""),"3 - DESCARGA")</f>
        <v>3 - DESCARGA</v>
      </c>
      <c r="F542" s="88"/>
      <c r="G542" s="89">
        <f>IFERROR(__xludf.DUMMYFUNCTION("""COMPUTED_VALUE"""),1.3956558E7)</f>
        <v>13956558</v>
      </c>
      <c r="H542" s="87"/>
      <c r="I542" s="87" t="str">
        <f>IFERROR(__xludf.DUMMYFUNCTION("""COMPUTED_VALUE"""),"MATERIAL DESCARREGADO - PROCESSO Nº 1400.01.0026473/2023-05")</f>
        <v>MATERIAL DESCARREGADO - PROCESSO Nº 1400.01.0026473/2023-05</v>
      </c>
    </row>
    <row r="543">
      <c r="A543" s="84">
        <f>IFERROR(__xludf.DUMMYFUNCTION("""COMPUTED_VALUE"""),542.0)</f>
        <v>542</v>
      </c>
      <c r="B543" s="85" t="str">
        <f>IFERROR(__xludf.DUMMYFUNCTION("""COMPUTED_VALUE"""),"CONJUNTO DE APARELHO DE MERGULHO -")</f>
        <v>CONJUNTO DE APARELHO DE MERGULHO -</v>
      </c>
      <c r="C543" s="86">
        <f>IFERROR(__xludf.DUMMYFUNCTION("""COMPUTED_VALUE"""),1.0)</f>
        <v>1</v>
      </c>
      <c r="D543" s="87" t="str">
        <f>IFERROR(__xludf.DUMMYFUNCTION("""COMPUTED_VALUE"""),"SEÇÃO")</f>
        <v>SEÇÃO</v>
      </c>
      <c r="E543" s="87" t="str">
        <f>IFERROR(__xludf.DUMMYFUNCTION("""COMPUTED_VALUE"""),"3 - DESCARGA")</f>
        <v>3 - DESCARGA</v>
      </c>
      <c r="F543" s="88"/>
      <c r="G543" s="89">
        <f>IFERROR(__xludf.DUMMYFUNCTION("""COMPUTED_VALUE"""),1.3956566E7)</f>
        <v>13956566</v>
      </c>
      <c r="H543" s="87"/>
      <c r="I543" s="87" t="str">
        <f>IFERROR(__xludf.DUMMYFUNCTION("""COMPUTED_VALUE"""),"MATERIAL DESCARREGADO - PROCESSO Nº 1400.01.0026473/2023-06")</f>
        <v>MATERIAL DESCARREGADO - PROCESSO Nº 1400.01.0026473/2023-06</v>
      </c>
    </row>
    <row r="544">
      <c r="A544" s="84">
        <f>IFERROR(__xludf.DUMMYFUNCTION("""COMPUTED_VALUE"""),543.0)</f>
        <v>543</v>
      </c>
      <c r="B544" s="85" t="str">
        <f>IFERROR(__xludf.DUMMYFUNCTION("""COMPUTED_VALUE"""),"ESCADA PROLONGAVEL PARA ATIVIDADES BOMBEIRO -")</f>
        <v>ESCADA PROLONGAVEL PARA ATIVIDADES BOMBEIRO -</v>
      </c>
      <c r="C544" s="86">
        <f>IFERROR(__xludf.DUMMYFUNCTION("""COMPUTED_VALUE"""),1.0)</f>
        <v>1</v>
      </c>
      <c r="D544" s="87" t="str">
        <f>IFERROR(__xludf.DUMMYFUNCTION("""COMPUTED_VALUE"""),"SEÇÃO")</f>
        <v>SEÇÃO</v>
      </c>
      <c r="E544" s="87" t="str">
        <f>IFERROR(__xludf.DUMMYFUNCTION("""COMPUTED_VALUE"""),"3 - CURVELO")</f>
        <v>3 - CURVELO</v>
      </c>
      <c r="F544" s="88"/>
      <c r="G544" s="89">
        <f>IFERROR(__xludf.DUMMYFUNCTION("""COMPUTED_VALUE"""),1.3958186E7)</f>
        <v>13958186</v>
      </c>
      <c r="H544" s="87"/>
      <c r="I544" s="87"/>
    </row>
    <row r="545">
      <c r="A545" s="84">
        <f>IFERROR(__xludf.DUMMYFUNCTION("""COMPUTED_VALUE"""),544.0)</f>
        <v>544</v>
      </c>
      <c r="B545" s="85" t="str">
        <f>IFERROR(__xludf.DUMMYFUNCTION("""COMPUTED_VALUE"""),"TALHA -")</f>
        <v>TALHA -</v>
      </c>
      <c r="C545" s="86">
        <f>IFERROR(__xludf.DUMMYFUNCTION("""COMPUTED_VALUE"""),1.0)</f>
        <v>1</v>
      </c>
      <c r="D545" s="87" t="str">
        <f>IFERROR(__xludf.DUMMYFUNCTION("""COMPUTED_VALUE"""),"VIATURA")</f>
        <v>VIATURA</v>
      </c>
      <c r="E545" s="87" t="str">
        <f>IFERROR(__xludf.DUMMYFUNCTION("""COMPUTED_VALUE"""),"1 - ABTS5911")</f>
        <v>1 - ABTS5911</v>
      </c>
      <c r="F545" s="88" t="str">
        <f>IFERROR(__xludf.DUMMYFUNCTION("""COMPUTED_VALUE"""),"BOX 02")</f>
        <v>BOX 02</v>
      </c>
      <c r="G545" s="89">
        <f>IFERROR(__xludf.DUMMYFUNCTION("""COMPUTED_VALUE"""),1.396438E7)</f>
        <v>13964380</v>
      </c>
      <c r="H545" s="87"/>
      <c r="I545" s="87"/>
    </row>
    <row r="546">
      <c r="A546" s="84">
        <f>IFERROR(__xludf.DUMMYFUNCTION("""COMPUTED_VALUE"""),545.0)</f>
        <v>545</v>
      </c>
      <c r="B546" s="85" t="str">
        <f>IFERROR(__xludf.DUMMYFUNCTION("""COMPUTED_VALUE"""),"LAVADORA DE PRESSAO -")</f>
        <v>LAVADORA DE PRESSAO -</v>
      </c>
      <c r="C546" s="86">
        <f>IFERROR(__xludf.DUMMYFUNCTION("""COMPUTED_VALUE"""),1.0)</f>
        <v>1</v>
      </c>
      <c r="D546" s="87" t="str">
        <f>IFERROR(__xludf.DUMMYFUNCTION("""COMPUTED_VALUE"""),"SEÇÃO")</f>
        <v>SEÇÃO</v>
      </c>
      <c r="E546" s="87" t="str">
        <f>IFERROR(__xludf.DUMMYFUNCTION("""COMPUTED_VALUE"""),"3 - DESCARGA")</f>
        <v>3 - DESCARGA</v>
      </c>
      <c r="F546" s="88"/>
      <c r="G546" s="89">
        <f>IFERROR(__xludf.DUMMYFUNCTION("""COMPUTED_VALUE"""),1.3967266E7)</f>
        <v>13967266</v>
      </c>
      <c r="H546" s="87"/>
      <c r="I546" s="87" t="str">
        <f>IFERROR(__xludf.DUMMYFUNCTION("""COMPUTED_VALUE"""),"MATERIAL DESCARREGADO - PROCESSO Nº 1400.01.0026473/2023-05")</f>
        <v>MATERIAL DESCARREGADO - PROCESSO Nº 1400.01.0026473/2023-05</v>
      </c>
    </row>
    <row r="547">
      <c r="A547" s="84">
        <f>IFERROR(__xludf.DUMMYFUNCTION("""COMPUTED_VALUE"""),546.0)</f>
        <v>546</v>
      </c>
      <c r="B547" s="85" t="str">
        <f>IFERROR(__xludf.DUMMYFUNCTION("""COMPUTED_VALUE"""),"SERRA ELETRICA -")</f>
        <v>SERRA ELETRICA -</v>
      </c>
      <c r="C547" s="86">
        <f>IFERROR(__xludf.DUMMYFUNCTION("""COMPUTED_VALUE"""),1.0)</f>
        <v>1</v>
      </c>
      <c r="D547" s="87" t="str">
        <f>IFERROR(__xludf.DUMMYFUNCTION("""COMPUTED_VALUE"""),"SEÇÃO")</f>
        <v>SEÇÃO</v>
      </c>
      <c r="E547" s="87" t="str">
        <f>IFERROR(__xludf.DUMMYFUNCTION("""COMPUTED_VALUE"""),"3 - DESCARGA")</f>
        <v>3 - DESCARGA</v>
      </c>
      <c r="F547" s="88"/>
      <c r="G547" s="89">
        <f>IFERROR(__xludf.DUMMYFUNCTION("""COMPUTED_VALUE"""),1.3972677E7)</f>
        <v>13972677</v>
      </c>
      <c r="H547" s="87"/>
      <c r="I547" s="87" t="str">
        <f>IFERROR(__xludf.DUMMYFUNCTION("""COMPUTED_VALUE"""),"MATERIAL DESCARREGADO - PROCESSO Nº 1400.01.0026473/2023-03")</f>
        <v>MATERIAL DESCARREGADO - PROCESSO Nº 1400.01.0026473/2023-03</v>
      </c>
    </row>
    <row r="548">
      <c r="A548" s="84">
        <f>IFERROR(__xludf.DUMMYFUNCTION("""COMPUTED_VALUE"""),547.0)</f>
        <v>547</v>
      </c>
      <c r="B548" s="85" t="str">
        <f>IFERROR(__xludf.DUMMYFUNCTION("""COMPUTED_VALUE"""),"BARCO -")</f>
        <v>BARCO -</v>
      </c>
      <c r="C548" s="86">
        <f>IFERROR(__xludf.DUMMYFUNCTION("""COMPUTED_VALUE"""),1.0)</f>
        <v>1</v>
      </c>
      <c r="D548" s="87" t="str">
        <f>IFERROR(__xludf.DUMMYFUNCTION("""COMPUTED_VALUE"""),"SEÇÃO")</f>
        <v>SEÇÃO</v>
      </c>
      <c r="E548" s="87" t="str">
        <f>IFERROR(__xludf.DUMMYFUNCTION("""COMPUTED_VALUE"""),"3 - DESCARGA")</f>
        <v>3 - DESCARGA</v>
      </c>
      <c r="F548" s="88"/>
      <c r="G548" s="89">
        <f>IFERROR(__xludf.DUMMYFUNCTION("""COMPUTED_VALUE"""),1.3995987E7)</f>
        <v>13995987</v>
      </c>
      <c r="H548" s="87"/>
      <c r="I548" s="87" t="str">
        <f>IFERROR(__xludf.DUMMYFUNCTION("""COMPUTED_VALUE"""),"MATERIAL DESCARREGADO - PROCESSO Nº 1400.01.0026473/2023-03")</f>
        <v>MATERIAL DESCARREGADO - PROCESSO Nº 1400.01.0026473/2023-03</v>
      </c>
    </row>
    <row r="549">
      <c r="A549" s="84">
        <f>IFERROR(__xludf.DUMMYFUNCTION("""COMPUTED_VALUE"""),548.0)</f>
        <v>548</v>
      </c>
      <c r="B549" s="85" t="str">
        <f>IFERROR(__xludf.DUMMYFUNCTION("""COMPUTED_VALUE"""),"MOTO-ABRASIVO -")</f>
        <v>MOTO-ABRASIVO -</v>
      </c>
      <c r="C549" s="86">
        <f>IFERROR(__xludf.DUMMYFUNCTION("""COMPUTED_VALUE"""),1.0)</f>
        <v>1</v>
      </c>
      <c r="D549" s="87" t="str">
        <f>IFERROR(__xludf.DUMMYFUNCTION("""COMPUTED_VALUE"""),"SEÇÃO")</f>
        <v>SEÇÃO</v>
      </c>
      <c r="E549" s="87" t="str">
        <f>IFERROR(__xludf.DUMMYFUNCTION("""COMPUTED_VALUE"""),"3 - ALMOX. ESTOQUE")</f>
        <v>3 - ALMOX. ESTOQUE</v>
      </c>
      <c r="F549" s="88" t="str">
        <f>IFERROR(__xludf.DUMMYFUNCTION("""COMPUTED_VALUE"""),"ALMOX. SAO (SEDE)")</f>
        <v>ALMOX. SAO (SEDE)</v>
      </c>
      <c r="G549" s="89">
        <f>IFERROR(__xludf.DUMMYFUNCTION("""COMPUTED_VALUE"""),1.3998765E7)</f>
        <v>13998765</v>
      </c>
      <c r="H549" s="87"/>
      <c r="I549" s="87" t="str">
        <f>IFERROR(__xludf.DUMMYFUNCTION("""COMPUTED_VALUE"""),"RECOLHIDO PARA A SAO DO SUPRIMETOS. SEM O DISCO DE CORTE")</f>
        <v>RECOLHIDO PARA A SAO DO SUPRIMETOS. SEM O DISCO DE CORTE</v>
      </c>
    </row>
    <row r="550">
      <c r="A550" s="84">
        <f>IFERROR(__xludf.DUMMYFUNCTION("""COMPUTED_VALUE"""),549.0)</f>
        <v>549</v>
      </c>
      <c r="B550" s="85" t="str">
        <f>IFERROR(__xludf.DUMMYFUNCTION("""COMPUTED_VALUE"""),"MOTOSSERRA -")</f>
        <v>MOTOSSERRA -</v>
      </c>
      <c r="C550" s="86">
        <f>IFERROR(__xludf.DUMMYFUNCTION("""COMPUTED_VALUE"""),1.0)</f>
        <v>1</v>
      </c>
      <c r="D550" s="87" t="str">
        <f>IFERROR(__xludf.DUMMYFUNCTION("""COMPUTED_VALUE"""),"SEÇÃO")</f>
        <v>SEÇÃO</v>
      </c>
      <c r="E550" s="87" t="str">
        <f>IFERROR(__xludf.DUMMYFUNCTION("""COMPUTED_VALUE"""),"3 - ALMOX. ESTOQUE")</f>
        <v>3 - ALMOX. ESTOQUE</v>
      </c>
      <c r="F550" s="88" t="str">
        <f>IFERROR(__xludf.DUMMYFUNCTION("""COMPUTED_VALUE"""),"ALMOX. SAO (SEDE)")</f>
        <v>ALMOX. SAO (SEDE)</v>
      </c>
      <c r="G550" s="89">
        <f>IFERROR(__xludf.DUMMYFUNCTION("""COMPUTED_VALUE"""),1.3998811E7)</f>
        <v>13998811</v>
      </c>
      <c r="H550" s="87" t="str">
        <f>IFERROR(__xludf.DUMMYFUNCTION("""COMPUTED_VALUE"""),"N.S. 361161231")</f>
        <v>N.S. 361161231</v>
      </c>
      <c r="I550" s="87" t="str">
        <f>IFERROR(__xludf.DUMMYFUNCTION("""COMPUTED_VALUE"""),"STIHL, MS650-POTENCIA MOTOR 2,3 KW; ROTACAO MAXIMA DE 1400 RPM; TANQUE DE COMBUSTIVEL 0,47 LITROS; TANQUE DE OLEO 0,20 LITROS; SABRE 30CM, 35CM E 40CM")</f>
        <v>STIHL, MS650-POTENCIA MOTOR 2,3 KW; ROTACAO MAXIMA DE 1400 RPM; TANQUE DE COMBUSTIVEL 0,47 LITROS; TANQUE DE OLEO 0,20 LITROS; SABRE 30CM, 35CM E 40CM</v>
      </c>
    </row>
    <row r="551">
      <c r="A551" s="84">
        <f>IFERROR(__xludf.DUMMYFUNCTION("""COMPUTED_VALUE"""),550.0)</f>
        <v>550</v>
      </c>
      <c r="B551" s="85" t="str">
        <f>IFERROR(__xludf.DUMMYFUNCTION("""COMPUTED_VALUE"""),"MOTOSSERRA -")</f>
        <v>MOTOSSERRA -</v>
      </c>
      <c r="C551" s="86">
        <f>IFERROR(__xludf.DUMMYFUNCTION("""COMPUTED_VALUE"""),1.0)</f>
        <v>1</v>
      </c>
      <c r="D551" s="87" t="str">
        <f>IFERROR(__xludf.DUMMYFUNCTION("""COMPUTED_VALUE"""),"SEÇÃO")</f>
        <v>SEÇÃO</v>
      </c>
      <c r="E551" s="87" t="str">
        <f>IFERROR(__xludf.DUMMYFUNCTION("""COMPUTED_VALUE"""),"3 - ALMOX. ESTOQUE")</f>
        <v>3 - ALMOX. ESTOQUE</v>
      </c>
      <c r="F551" s="88" t="str">
        <f>IFERROR(__xludf.DUMMYFUNCTION("""COMPUTED_VALUE"""),"ALMOX. SAO (SEDE)")</f>
        <v>ALMOX. SAO (SEDE)</v>
      </c>
      <c r="G551" s="89">
        <f>IFERROR(__xludf.DUMMYFUNCTION("""COMPUTED_VALUE"""),1.399896E7)</f>
        <v>13998960</v>
      </c>
      <c r="H551" s="87" t="str">
        <f>IFERROR(__xludf.DUMMYFUNCTION("""COMPUTED_VALUE"""),"N.S. 361204667")</f>
        <v>N.S. 361204667</v>
      </c>
      <c r="I551" s="87" t="str">
        <f>IFERROR(__xludf.DUMMYFUNCTION("""COMPUTED_VALUE"""),"STIHL, MS660 POTENCIA MOTOR 3,9 KW; ROTACAO MAXIMA DE 12   00 RPM E MINIMA DE 2500; TANQUE DE COMBUSTIVEL 0,68 LITROS; TANQUE DE OLEO 0,3  6 LITROS; SABRE 50CM")</f>
        <v>STIHL, MS660 POTENCIA MOTOR 3,9 KW; ROTACAO MAXIMA DE 12   00 RPM E MINIMA DE 2500; TANQUE DE COMBUSTIVEL 0,68 LITROS; TANQUE DE OLEO 0,3  6 LITROS; SABRE 50CM</v>
      </c>
    </row>
    <row r="552">
      <c r="A552" s="84">
        <f>IFERROR(__xludf.DUMMYFUNCTION("""COMPUTED_VALUE"""),551.0)</f>
        <v>551</v>
      </c>
      <c r="B552" s="85" t="str">
        <f>IFERROR(__xludf.DUMMYFUNCTION("""COMPUTED_VALUE"""),"CAIXA PARA GUARDA DE FERRAMENTAS -")</f>
        <v>CAIXA PARA GUARDA DE FERRAMENTAS -</v>
      </c>
      <c r="C552" s="86">
        <f>IFERROR(__xludf.DUMMYFUNCTION("""COMPUTED_VALUE"""),1.0)</f>
        <v>1</v>
      </c>
      <c r="D552" s="87" t="str">
        <f>IFERROR(__xludf.DUMMYFUNCTION("""COMPUTED_VALUE"""),"VIATURA")</f>
        <v>VIATURA</v>
      </c>
      <c r="E552" s="87" t="str">
        <f>IFERROR(__xludf.DUMMYFUNCTION("""COMPUTED_VALUE"""),"1 - ASL1080")</f>
        <v>1 - ASL1080</v>
      </c>
      <c r="F552" s="88" t="str">
        <f>IFERROR(__xludf.DUMMYFUNCTION("""COMPUTED_VALUE"""),"CARROCERIA")</f>
        <v>CARROCERIA</v>
      </c>
      <c r="G552" s="89">
        <f>IFERROR(__xludf.DUMMYFUNCTION("""COMPUTED_VALUE"""),1.3999001E7)</f>
        <v>13999001</v>
      </c>
      <c r="H552" s="87"/>
      <c r="I552" s="87" t="str">
        <f>IFERROR(__xludf.DUMMYFUNCTION("""COMPUTED_VALUE"""),"almox. Terreo, caixa de ferreo FERCAR")</f>
        <v>almox. Terreo, caixa de ferreo FERCAR</v>
      </c>
    </row>
    <row r="553">
      <c r="A553" s="84">
        <f>IFERROR(__xludf.DUMMYFUNCTION("""COMPUTED_VALUE"""),552.0)</f>
        <v>552</v>
      </c>
      <c r="B553" s="85" t="str">
        <f>IFERROR(__xludf.DUMMYFUNCTION("""COMPUTED_VALUE"""),"CAIXA PARA GUARDA DE FERRAMENTAS -")</f>
        <v>CAIXA PARA GUARDA DE FERRAMENTAS -</v>
      </c>
      <c r="C553" s="86">
        <f>IFERROR(__xludf.DUMMYFUNCTION("""COMPUTED_VALUE"""),1.0)</f>
        <v>1</v>
      </c>
      <c r="D553" s="87" t="str">
        <f>IFERROR(__xludf.DUMMYFUNCTION("""COMPUTED_VALUE"""),"VIATURA")</f>
        <v>VIATURA</v>
      </c>
      <c r="E553" s="87" t="str">
        <f>IFERROR(__xludf.DUMMYFUNCTION("""COMPUTED_VALUE"""),"1 - ABTS5911")</f>
        <v>1 - ABTS5911</v>
      </c>
      <c r="F553" s="88" t="str">
        <f>IFERROR(__xludf.DUMMYFUNCTION("""COMPUTED_VALUE"""),"BOX 05")</f>
        <v>BOX 05</v>
      </c>
      <c r="G553" s="89">
        <f>IFERROR(__xludf.DUMMYFUNCTION("""COMPUTED_VALUE"""),1.399901E7)</f>
        <v>13999010</v>
      </c>
      <c r="H553" s="87"/>
      <c r="I553" s="87"/>
    </row>
    <row r="554">
      <c r="A554" s="84">
        <f>IFERROR(__xludf.DUMMYFUNCTION("""COMPUTED_VALUE"""),553.0)</f>
        <v>553</v>
      </c>
      <c r="B554" s="85" t="str">
        <f>IFERROR(__xludf.DUMMYFUNCTION("""COMPUTED_VALUE"""),"RADIO TRANSCEPTOR -")</f>
        <v>RADIO TRANSCEPTOR -</v>
      </c>
      <c r="C554" s="86">
        <f>IFERROR(__xludf.DUMMYFUNCTION("""COMPUTED_VALUE"""),1.0)</f>
        <v>1</v>
      </c>
      <c r="D554" s="87" t="str">
        <f>IFERROR(__xludf.DUMMYFUNCTION("""COMPUTED_VALUE"""),"SEÇÃO")</f>
        <v>SEÇÃO</v>
      </c>
      <c r="E554" s="87" t="str">
        <f>IFERROR(__xludf.DUMMYFUNCTION("""COMPUTED_VALUE"""),"3 - DESCARGA")</f>
        <v>3 - DESCARGA</v>
      </c>
      <c r="F554" s="88"/>
      <c r="G554" s="89">
        <f>IFERROR(__xludf.DUMMYFUNCTION("""COMPUTED_VALUE"""),1.400195E7)</f>
        <v>14001950</v>
      </c>
      <c r="H554" s="87"/>
      <c r="I554" s="87" t="str">
        <f>IFERROR(__xludf.DUMMYFUNCTION("""COMPUTED_VALUE"""),"MATERIAL DESCARREGADO - PROCESSO Nº 1400.01.0026473/2023-03")</f>
        <v>MATERIAL DESCARREGADO - PROCESSO Nº 1400.01.0026473/2023-03</v>
      </c>
    </row>
    <row r="555">
      <c r="A555" s="84">
        <f>IFERROR(__xludf.DUMMYFUNCTION("""COMPUTED_VALUE"""),554.0)</f>
        <v>554</v>
      </c>
      <c r="B555" s="85" t="str">
        <f>IFERROR(__xludf.DUMMYFUNCTION("""COMPUTED_VALUE"""),"RADIO TRANSCEPTOR -")</f>
        <v>RADIO TRANSCEPTOR -</v>
      </c>
      <c r="C555" s="86">
        <f>IFERROR(__xludf.DUMMYFUNCTION("""COMPUTED_VALUE"""),1.0)</f>
        <v>1</v>
      </c>
      <c r="D555" s="87" t="str">
        <f>IFERROR(__xludf.DUMMYFUNCTION("""COMPUTED_VALUE"""),"SEÇÃO")</f>
        <v>SEÇÃO</v>
      </c>
      <c r="E555" s="87" t="str">
        <f>IFERROR(__xludf.DUMMYFUNCTION("""COMPUTED_VALUE"""),"3 - DESCARGA")</f>
        <v>3 - DESCARGA</v>
      </c>
      <c r="F555" s="88"/>
      <c r="G555" s="89">
        <f>IFERROR(__xludf.DUMMYFUNCTION("""COMPUTED_VALUE"""),1.4001969E7)</f>
        <v>14001969</v>
      </c>
      <c r="H555" s="87"/>
      <c r="I555" s="87" t="str">
        <f>IFERROR(__xludf.DUMMYFUNCTION("""COMPUTED_VALUE"""),"MATERIAL DESCARREGADO - PROCESSO Nº 1400.01.0026473/2023-03")</f>
        <v>MATERIAL DESCARREGADO - PROCESSO Nº 1400.01.0026473/2023-03</v>
      </c>
    </row>
    <row r="556">
      <c r="A556" s="84">
        <f>IFERROR(__xludf.DUMMYFUNCTION("""COMPUTED_VALUE"""),555.0)</f>
        <v>555</v>
      </c>
      <c r="B556" s="85" t="str">
        <f>IFERROR(__xludf.DUMMYFUNCTION("""COMPUTED_VALUE"""),"RADIO TRANSCEPTOR -")</f>
        <v>RADIO TRANSCEPTOR -</v>
      </c>
      <c r="C556" s="86">
        <f>IFERROR(__xludf.DUMMYFUNCTION("""COMPUTED_VALUE"""),1.0)</f>
        <v>1</v>
      </c>
      <c r="D556" s="87" t="str">
        <f>IFERROR(__xludf.DUMMYFUNCTION("""COMPUTED_VALUE"""),"SEÇÃO")</f>
        <v>SEÇÃO</v>
      </c>
      <c r="E556" s="87" t="str">
        <f>IFERROR(__xludf.DUMMYFUNCTION("""COMPUTED_VALUE"""),"3 - DESCARGA")</f>
        <v>3 - DESCARGA</v>
      </c>
      <c r="F556" s="88"/>
      <c r="G556" s="89">
        <f>IFERROR(__xludf.DUMMYFUNCTION("""COMPUTED_VALUE"""),1.4002973E7)</f>
        <v>14002973</v>
      </c>
      <c r="H556" s="87" t="str">
        <f>IFERROR(__xludf.DUMMYFUNCTION("""COMPUTED_VALUE"""),"1400.01.0071486/2024-59")</f>
        <v>1400.01.0071486/2024-59</v>
      </c>
      <c r="I556" s="87" t="str">
        <f>IFERROR(__xludf.DUMMYFUNCTION("""COMPUTED_VALUE"""),"MATERIAL DESCARREGADO - PROCESSO Nº 1400.01.0026473/2023-03")</f>
        <v>MATERIAL DESCARREGADO - PROCESSO Nº 1400.01.0026473/2023-03</v>
      </c>
    </row>
    <row r="557">
      <c r="A557" s="84">
        <f>IFERROR(__xludf.DUMMYFUNCTION("""COMPUTED_VALUE"""),556.0)</f>
        <v>556</v>
      </c>
      <c r="B557" s="85" t="str">
        <f>IFERROR(__xludf.DUMMYFUNCTION("""COMPUTED_VALUE"""),"EQUIPAMENTO DE PROTEÇÃO RESPIRATÓRIO, COMPLETO -")</f>
        <v>EQUIPAMENTO DE PROTEÇÃO RESPIRATÓRIO, COMPLETO -</v>
      </c>
      <c r="C557" s="86">
        <f>IFERROR(__xludf.DUMMYFUNCTION("""COMPUTED_VALUE"""),1.0)</f>
        <v>1</v>
      </c>
      <c r="D557" s="87" t="str">
        <f>IFERROR(__xludf.DUMMYFUNCTION("""COMPUTED_VALUE"""),"VIATURA")</f>
        <v>VIATURA</v>
      </c>
      <c r="E557" s="87" t="str">
        <f>IFERROR(__xludf.DUMMYFUNCTION("""COMPUTED_VALUE"""),"1 - ABTS5911")</f>
        <v>1 - ABTS5911</v>
      </c>
      <c r="F557" s="88" t="str">
        <f>IFERROR(__xludf.DUMMYFUNCTION("""COMPUTED_VALUE"""),"CABINE")</f>
        <v>CABINE</v>
      </c>
      <c r="G557" s="89">
        <f>IFERROR(__xludf.DUMMYFUNCTION("""COMPUTED_VALUE"""),7.693755E7)</f>
        <v>76937550</v>
      </c>
      <c r="H557" s="87"/>
      <c r="I557" s="87" t="str">
        <f>IFERROR(__xludf.DUMMYFUNCTION("""COMPUTED_VALUE"""),"EPR MSA COMPLETO, VALVULA DE DEMANDA, ARRIATA, CILINDRO E MÁSCARA")</f>
        <v>EPR MSA COMPLETO, VALVULA DE DEMANDA, ARRIATA, CILINDRO E MÁSCARA</v>
      </c>
    </row>
    <row r="558">
      <c r="A558" s="84">
        <f>IFERROR(__xludf.DUMMYFUNCTION("""COMPUTED_VALUE"""),557.0)</f>
        <v>557</v>
      </c>
      <c r="B558" s="85" t="str">
        <f>IFERROR(__xludf.DUMMYFUNCTION("""COMPUTED_VALUE"""),"EQUIPAMENTO DE PROTEÇÃO RESPIRATÓRIO, COMPLETO -")</f>
        <v>EQUIPAMENTO DE PROTEÇÃO RESPIRATÓRIO, COMPLETO -</v>
      </c>
      <c r="C558" s="86">
        <f>IFERROR(__xludf.DUMMYFUNCTION("""COMPUTED_VALUE"""),1.0)</f>
        <v>1</v>
      </c>
      <c r="D558" s="87" t="str">
        <f>IFERROR(__xludf.DUMMYFUNCTION("""COMPUTED_VALUE"""),"VIATURA")</f>
        <v>VIATURA</v>
      </c>
      <c r="E558" s="87" t="str">
        <f>IFERROR(__xludf.DUMMYFUNCTION("""COMPUTED_VALUE"""),"1 - ABTS5911")</f>
        <v>1 - ABTS5911</v>
      </c>
      <c r="F558" s="88" t="str">
        <f>IFERROR(__xludf.DUMMYFUNCTION("""COMPUTED_VALUE"""),"CABINE")</f>
        <v>CABINE</v>
      </c>
      <c r="G558" s="89">
        <f>IFERROR(__xludf.DUMMYFUNCTION("""COMPUTED_VALUE"""),7.6937569E7)</f>
        <v>76937569</v>
      </c>
      <c r="H558" s="87"/>
      <c r="I558" s="87" t="str">
        <f>IFERROR(__xludf.DUMMYFUNCTION("""COMPUTED_VALUE"""),"EPR MSA COMPLETO, VALVULA DE DEMANDA, ARRIATA, CILINDRO E MÁSCARA")</f>
        <v>EPR MSA COMPLETO, VALVULA DE DEMANDA, ARRIATA, CILINDRO E MÁSCARA</v>
      </c>
    </row>
    <row r="559">
      <c r="A559" s="84">
        <f>IFERROR(__xludf.DUMMYFUNCTION("""COMPUTED_VALUE"""),558.0)</f>
        <v>558</v>
      </c>
      <c r="B559" s="85" t="str">
        <f>IFERROR(__xludf.DUMMYFUNCTION("""COMPUTED_VALUE"""),"CAMA -(I)")</f>
        <v>CAMA -(I)</v>
      </c>
      <c r="C559" s="86">
        <f>IFERROR(__xludf.DUMMYFUNCTION("""COMPUTED_VALUE"""),1.0)</f>
        <v>1</v>
      </c>
      <c r="D559" s="87" t="str">
        <f>IFERROR(__xludf.DUMMYFUNCTION("""COMPUTED_VALUE"""),"SEÇÃO")</f>
        <v>SEÇÃO</v>
      </c>
      <c r="E559" s="87" t="str">
        <f>IFERROR(__xludf.DUMMYFUNCTION("""COMPUTED_VALUE"""),"3 - 1ª CIA OP")</f>
        <v>3 - 1ª CIA OP</v>
      </c>
      <c r="F559" s="88" t="str">
        <f>IFERROR(__xludf.DUMMYFUNCTION("""COMPUTED_VALUE"""),"ALOJAMENTO CB/SD")</f>
        <v>ALOJAMENTO CB/SD</v>
      </c>
      <c r="G559" s="89">
        <f>IFERROR(__xludf.DUMMYFUNCTION("""COMPUTED_VALUE"""),1.4087944E7)</f>
        <v>14087944</v>
      </c>
      <c r="H559" s="87"/>
      <c r="I559" s="87" t="str">
        <f>IFERROR(__xludf.DUMMYFUNCTION("""COMPUTED_VALUE""")," EM PROCESSO DE DESCARGA SEI-1400.01.0026473/2023-03")</f>
        <v> EM PROCESSO DE DESCARGA SEI-1400.01.0026473/2023-03</v>
      </c>
    </row>
    <row r="560">
      <c r="A560" s="84">
        <f>IFERROR(__xludf.DUMMYFUNCTION("""COMPUTED_VALUE"""),559.0)</f>
        <v>559</v>
      </c>
      <c r="B560" s="85" t="str">
        <f>IFERROR(__xludf.DUMMYFUNCTION("""COMPUTED_VALUE"""),"ESTETOSCOPIO -")</f>
        <v>ESTETOSCOPIO -</v>
      </c>
      <c r="C560" s="86">
        <f>IFERROR(__xludf.DUMMYFUNCTION("""COMPUTED_VALUE"""),1.0)</f>
        <v>1</v>
      </c>
      <c r="D560" s="87" t="str">
        <f>IFERROR(__xludf.DUMMYFUNCTION("""COMPUTED_VALUE"""),"SEÇÃO")</f>
        <v>SEÇÃO</v>
      </c>
      <c r="E560" s="87" t="str">
        <f>IFERROR(__xludf.DUMMYFUNCTION("""COMPUTED_VALUE"""),"3 - DESCARGA")</f>
        <v>3 - DESCARGA</v>
      </c>
      <c r="F560" s="88"/>
      <c r="G560" s="89">
        <f>IFERROR(__xludf.DUMMYFUNCTION("""COMPUTED_VALUE"""),1.4098121E7)</f>
        <v>14098121</v>
      </c>
      <c r="H560" s="87"/>
      <c r="I560" s="87" t="str">
        <f>IFERROR(__xludf.DUMMYFUNCTION("""COMPUTED_VALUE"""),"MATERIAL DESCARREGADO - PROCESSO Nº 1400.01.0026473/2023-03")</f>
        <v>MATERIAL DESCARREGADO - PROCESSO Nº 1400.01.0026473/2023-03</v>
      </c>
    </row>
    <row r="561">
      <c r="A561" s="84">
        <f>IFERROR(__xludf.DUMMYFUNCTION("""COMPUTED_VALUE"""),560.0)</f>
        <v>560</v>
      </c>
      <c r="B561" s="85" t="str">
        <f>IFERROR(__xludf.DUMMYFUNCTION("""COMPUTED_VALUE"""),"ROUPEIRO PARA VESTIARIO -")</f>
        <v>ROUPEIRO PARA VESTIARIO -</v>
      </c>
      <c r="C561" s="86">
        <f>IFERROR(__xludf.DUMMYFUNCTION("""COMPUTED_VALUE"""),1.0)</f>
        <v>1</v>
      </c>
      <c r="D561" s="87" t="str">
        <f>IFERROR(__xludf.DUMMYFUNCTION("""COMPUTED_VALUE"""),"SEÇÃO")</f>
        <v>SEÇÃO</v>
      </c>
      <c r="E561" s="87" t="str">
        <f>IFERROR(__xludf.DUMMYFUNCTION("""COMPUTED_VALUE"""),"3 - DESCARGA")</f>
        <v>3 - DESCARGA</v>
      </c>
      <c r="F561" s="88"/>
      <c r="G561" s="89">
        <f>IFERROR(__xludf.DUMMYFUNCTION("""COMPUTED_VALUE"""),1.4100606E7)</f>
        <v>14100606</v>
      </c>
      <c r="H561" s="87"/>
      <c r="I561" s="87" t="str">
        <f>IFERROR(__xludf.DUMMYFUNCTION("""COMPUTED_VALUE"""),"MATERIAL DESCARREGADO - PROCESSO Nº 1400.01.0026473/2023-03")</f>
        <v>MATERIAL DESCARREGADO - PROCESSO Nº 1400.01.0026473/2023-03</v>
      </c>
    </row>
    <row r="562">
      <c r="A562" s="84">
        <f>IFERROR(__xludf.DUMMYFUNCTION("""COMPUTED_VALUE"""),561.0)</f>
        <v>561</v>
      </c>
      <c r="B562" s="85" t="str">
        <f>IFERROR(__xludf.DUMMYFUNCTION("""COMPUTED_VALUE"""),"ROUPEIRO PARA VESTIARIO -")</f>
        <v>ROUPEIRO PARA VESTIARIO -</v>
      </c>
      <c r="C562" s="86">
        <f>IFERROR(__xludf.DUMMYFUNCTION("""COMPUTED_VALUE"""),1.0)</f>
        <v>1</v>
      </c>
      <c r="D562" s="87" t="str">
        <f>IFERROR(__xludf.DUMMYFUNCTION("""COMPUTED_VALUE"""),"SEÇÃO")</f>
        <v>SEÇÃO</v>
      </c>
      <c r="E562" s="87" t="str">
        <f>IFERROR(__xludf.DUMMYFUNCTION("""COMPUTED_VALUE"""),"3 - DESCARGA")</f>
        <v>3 - DESCARGA</v>
      </c>
      <c r="F562" s="88"/>
      <c r="G562" s="89">
        <f>IFERROR(__xludf.DUMMYFUNCTION("""COMPUTED_VALUE"""),1.4100614E7)</f>
        <v>14100614</v>
      </c>
      <c r="H562" s="87"/>
      <c r="I562" s="87" t="str">
        <f>IFERROR(__xludf.DUMMYFUNCTION("""COMPUTED_VALUE"""),"MATERIAL DESCARREGADO - PROCESSO Nº 1400.01.0026473/2023-03")</f>
        <v>MATERIAL DESCARREGADO - PROCESSO Nº 1400.01.0026473/2023-03</v>
      </c>
    </row>
    <row r="563">
      <c r="A563" s="84">
        <f>IFERROR(__xludf.DUMMYFUNCTION("""COMPUTED_VALUE"""),562.0)</f>
        <v>562</v>
      </c>
      <c r="B563" s="85" t="str">
        <f>IFERROR(__xludf.DUMMYFUNCTION("""COMPUTED_VALUE"""),"CAMA -(I)")</f>
        <v>CAMA -(I)</v>
      </c>
      <c r="C563" s="86">
        <f>IFERROR(__xludf.DUMMYFUNCTION("""COMPUTED_VALUE"""),1.0)</f>
        <v>1</v>
      </c>
      <c r="D563" s="87" t="str">
        <f>IFERROR(__xludf.DUMMYFUNCTION("""COMPUTED_VALUE"""),"SEÇÃO")</f>
        <v>SEÇÃO</v>
      </c>
      <c r="E563" s="87" t="str">
        <f>IFERROR(__xludf.DUMMYFUNCTION("""COMPUTED_VALUE"""),"3 - 1ª CIA OP")</f>
        <v>3 - 1ª CIA OP</v>
      </c>
      <c r="F563" s="88" t="str">
        <f>IFERROR(__xludf.DUMMYFUNCTION("""COMPUTED_VALUE"""),"ALOJAMENTO CB/SD")</f>
        <v>ALOJAMENTO CB/SD</v>
      </c>
      <c r="G563" s="89">
        <f>IFERROR(__xludf.DUMMYFUNCTION("""COMPUTED_VALUE"""),1.4137658E7)</f>
        <v>14137658</v>
      </c>
      <c r="H563" s="87"/>
      <c r="I563" s="87"/>
    </row>
    <row r="564">
      <c r="A564" s="84">
        <f>IFERROR(__xludf.DUMMYFUNCTION("""COMPUTED_VALUE"""),563.0)</f>
        <v>563</v>
      </c>
      <c r="B564" s="85" t="str">
        <f>IFERROR(__xludf.DUMMYFUNCTION("""COMPUTED_VALUE"""),"CAMA -(I)")</f>
        <v>CAMA -(I)</v>
      </c>
      <c r="C564" s="86">
        <f>IFERROR(__xludf.DUMMYFUNCTION("""COMPUTED_VALUE"""),1.0)</f>
        <v>1</v>
      </c>
      <c r="D564" s="87" t="str">
        <f>IFERROR(__xludf.DUMMYFUNCTION("""COMPUTED_VALUE"""),"SEÇÃO")</f>
        <v>SEÇÃO</v>
      </c>
      <c r="E564" s="87" t="str">
        <f>IFERROR(__xludf.DUMMYFUNCTION("""COMPUTED_VALUE"""),"3 - 1ª CIA OP")</f>
        <v>3 - 1ª CIA OP</v>
      </c>
      <c r="F564" s="88" t="str">
        <f>IFERROR(__xludf.DUMMYFUNCTION("""COMPUTED_VALUE"""),"ALOJAMENTO SUB TEN/CAB SD")</f>
        <v>ALOJAMENTO SUB TEN/CAB SD</v>
      </c>
      <c r="G564" s="89">
        <f>IFERROR(__xludf.DUMMYFUNCTION("""COMPUTED_VALUE"""),1.4137674E7)</f>
        <v>14137674</v>
      </c>
      <c r="H564" s="87"/>
      <c r="I564" s="87"/>
    </row>
    <row r="565">
      <c r="A565" s="84">
        <f>IFERROR(__xludf.DUMMYFUNCTION("""COMPUTED_VALUE"""),564.0)</f>
        <v>564</v>
      </c>
      <c r="B565" s="85" t="str">
        <f>IFERROR(__xludf.DUMMYFUNCTION("""COMPUTED_VALUE"""),"CAMA -(I)")</f>
        <v>CAMA -(I)</v>
      </c>
      <c r="C565" s="86">
        <f>IFERROR(__xludf.DUMMYFUNCTION("""COMPUTED_VALUE"""),1.0)</f>
        <v>1</v>
      </c>
      <c r="D565" s="87" t="str">
        <f>IFERROR(__xludf.DUMMYFUNCTION("""COMPUTED_VALUE"""),"SEÇÃO")</f>
        <v>SEÇÃO</v>
      </c>
      <c r="E565" s="87" t="str">
        <f>IFERROR(__xludf.DUMMYFUNCTION("""COMPUTED_VALUE"""),"3 - 1ª CIA OP")</f>
        <v>3 - 1ª CIA OP</v>
      </c>
      <c r="F565" s="88" t="str">
        <f>IFERROR(__xludf.DUMMYFUNCTION("""COMPUTED_VALUE"""),"ALOJAMENTO CB/SD")</f>
        <v>ALOJAMENTO CB/SD</v>
      </c>
      <c r="G565" s="89">
        <f>IFERROR(__xludf.DUMMYFUNCTION("""COMPUTED_VALUE"""),1.4137682E7)</f>
        <v>14137682</v>
      </c>
      <c r="H565" s="87"/>
      <c r="I565" s="87" t="str">
        <f>IFERROR(__xludf.DUMMYFUNCTION("""COMPUTED_VALUE""")," EM PROCESSO DE DESCARGA SEI-1400.01.0026473/2023-03")</f>
        <v> EM PROCESSO DE DESCARGA SEI-1400.01.0026473/2023-03</v>
      </c>
    </row>
    <row r="566">
      <c r="A566" s="84">
        <f>IFERROR(__xludf.DUMMYFUNCTION("""COMPUTED_VALUE"""),565.0)</f>
        <v>565</v>
      </c>
      <c r="B566" s="85" t="str">
        <f>IFERROR(__xludf.DUMMYFUNCTION("""COMPUTED_VALUE"""),"CAMA -(I)")</f>
        <v>CAMA -(I)</v>
      </c>
      <c r="C566" s="86">
        <f>IFERROR(__xludf.DUMMYFUNCTION("""COMPUTED_VALUE"""),1.0)</f>
        <v>1</v>
      </c>
      <c r="D566" s="87" t="str">
        <f>IFERROR(__xludf.DUMMYFUNCTION("""COMPUTED_VALUE"""),"SEÇÃO")</f>
        <v>SEÇÃO</v>
      </c>
      <c r="E566" s="87" t="str">
        <f>IFERROR(__xludf.DUMMYFUNCTION("""COMPUTED_VALUE"""),"3 - 1ª CIA OP")</f>
        <v>3 - 1ª CIA OP</v>
      </c>
      <c r="F566" s="88" t="str">
        <f>IFERROR(__xludf.DUMMYFUNCTION("""COMPUTED_VALUE"""),"ALOJAMENTO SUB TEN/CAB SD")</f>
        <v>ALOJAMENTO SUB TEN/CAB SD</v>
      </c>
      <c r="G566" s="89">
        <f>IFERROR(__xludf.DUMMYFUNCTION("""COMPUTED_VALUE"""),1.413769E7)</f>
        <v>14137690</v>
      </c>
      <c r="H566" s="87"/>
      <c r="I566" s="87"/>
    </row>
    <row r="567">
      <c r="A567" s="84">
        <f>IFERROR(__xludf.DUMMYFUNCTION("""COMPUTED_VALUE"""),566.0)</f>
        <v>566</v>
      </c>
      <c r="B567" s="85" t="str">
        <f>IFERROR(__xludf.DUMMYFUNCTION("""COMPUTED_VALUE"""),"CAMA -(I)")</f>
        <v>CAMA -(I)</v>
      </c>
      <c r="C567" s="86">
        <f>IFERROR(__xludf.DUMMYFUNCTION("""COMPUTED_VALUE"""),1.0)</f>
        <v>1</v>
      </c>
      <c r="D567" s="87" t="str">
        <f>IFERROR(__xludf.DUMMYFUNCTION("""COMPUTED_VALUE"""),"SEÇÃO")</f>
        <v>SEÇÃO</v>
      </c>
      <c r="E567" s="87" t="str">
        <f>IFERROR(__xludf.DUMMYFUNCTION("""COMPUTED_VALUE"""),"3 - 1ª CIA OP")</f>
        <v>3 - 1ª CIA OP</v>
      </c>
      <c r="F567" s="88" t="str">
        <f>IFERROR(__xludf.DUMMYFUNCTION("""COMPUTED_VALUE"""),"ALOJAMENTO SUB TEN/CAB SD")</f>
        <v>ALOJAMENTO SUB TEN/CAB SD</v>
      </c>
      <c r="G567" s="89">
        <f>IFERROR(__xludf.DUMMYFUNCTION("""COMPUTED_VALUE"""),1.4137739E7)</f>
        <v>14137739</v>
      </c>
      <c r="H567" s="87"/>
      <c r="I567" s="87"/>
    </row>
    <row r="568">
      <c r="A568" s="84">
        <f>IFERROR(__xludf.DUMMYFUNCTION("""COMPUTED_VALUE"""),567.0)</f>
        <v>567</v>
      </c>
      <c r="B568" s="85" t="str">
        <f>IFERROR(__xludf.DUMMYFUNCTION("""COMPUTED_VALUE"""),"CAMA -(I)")</f>
        <v>CAMA -(I)</v>
      </c>
      <c r="C568" s="86">
        <f>IFERROR(__xludf.DUMMYFUNCTION("""COMPUTED_VALUE"""),1.0)</f>
        <v>1</v>
      </c>
      <c r="D568" s="87" t="str">
        <f>IFERROR(__xludf.DUMMYFUNCTION("""COMPUTED_VALUE"""),"SEÇÃO")</f>
        <v>SEÇÃO</v>
      </c>
      <c r="E568" s="87" t="str">
        <f>IFERROR(__xludf.DUMMYFUNCTION("""COMPUTED_VALUE"""),"3 - 1ª CIA OP")</f>
        <v>3 - 1ª CIA OP</v>
      </c>
      <c r="F568" s="88" t="str">
        <f>IFERROR(__xludf.DUMMYFUNCTION("""COMPUTED_VALUE"""),"ALOJAMENTO FEM")</f>
        <v>ALOJAMENTO FEM</v>
      </c>
      <c r="G568" s="89">
        <f>IFERROR(__xludf.DUMMYFUNCTION("""COMPUTED_VALUE"""),1.4137852E7)</f>
        <v>14137852</v>
      </c>
      <c r="H568" s="87"/>
      <c r="I568" s="87"/>
    </row>
    <row r="569">
      <c r="A569" s="84">
        <f>IFERROR(__xludf.DUMMYFUNCTION("""COMPUTED_VALUE"""),568.0)</f>
        <v>568</v>
      </c>
      <c r="B569" s="85" t="str">
        <f>IFERROR(__xludf.DUMMYFUNCTION("""COMPUTED_VALUE"""),"CAMA -(I)")</f>
        <v>CAMA -(I)</v>
      </c>
      <c r="C569" s="86">
        <f>IFERROR(__xludf.DUMMYFUNCTION("""COMPUTED_VALUE"""),1.0)</f>
        <v>1</v>
      </c>
      <c r="D569" s="87" t="str">
        <f>IFERROR(__xludf.DUMMYFUNCTION("""COMPUTED_VALUE"""),"SEÇÃO")</f>
        <v>SEÇÃO</v>
      </c>
      <c r="E569" s="87" t="str">
        <f>IFERROR(__xludf.DUMMYFUNCTION("""COMPUTED_VALUE"""),"3 - 1ª CIA OP")</f>
        <v>3 - 1ª CIA OP</v>
      </c>
      <c r="F569" s="88" t="str">
        <f>IFERROR(__xludf.DUMMYFUNCTION("""COMPUTED_VALUE"""),"ALOJAMENTO CB/SD")</f>
        <v>ALOJAMENTO CB/SD</v>
      </c>
      <c r="G569" s="89">
        <f>IFERROR(__xludf.DUMMYFUNCTION("""COMPUTED_VALUE"""),1.413786E7)</f>
        <v>14137860</v>
      </c>
      <c r="H569" s="87"/>
      <c r="I569" s="87" t="str">
        <f>IFERROR(__xludf.DUMMYFUNCTION("""COMPUTED_VALUE"""),"alojamento Cb/Sd")</f>
        <v>alojamento Cb/Sd</v>
      </c>
    </row>
    <row r="570">
      <c r="A570" s="84">
        <f>IFERROR(__xludf.DUMMYFUNCTION("""COMPUTED_VALUE"""),569.0)</f>
        <v>569</v>
      </c>
      <c r="B570" s="85" t="str">
        <f>IFERROR(__xludf.DUMMYFUNCTION("""COMPUTED_VALUE"""),"TELA DE PROJECAO -")</f>
        <v>TELA DE PROJECAO -</v>
      </c>
      <c r="C570" s="86">
        <f>IFERROR(__xludf.DUMMYFUNCTION("""COMPUTED_VALUE"""),1.0)</f>
        <v>1</v>
      </c>
      <c r="D570" s="87" t="str">
        <f>IFERROR(__xludf.DUMMYFUNCTION("""COMPUTED_VALUE"""),"SEÇÃO")</f>
        <v>SEÇÃO</v>
      </c>
      <c r="E570" s="87" t="str">
        <f>IFERROR(__xludf.DUMMYFUNCTION("""COMPUTED_VALUE"""),"3 - ALMOX. ESTOQUE")</f>
        <v>3 - ALMOX. ESTOQUE</v>
      </c>
      <c r="F570" s="88" t="str">
        <f>IFERROR(__xludf.DUMMYFUNCTION("""COMPUTED_VALUE"""),"SAO")</f>
        <v>SAO</v>
      </c>
      <c r="G570" s="89">
        <f>IFERROR(__xludf.DUMMYFUNCTION("""COMPUTED_VALUE"""),1.4139189E7)</f>
        <v>14139189</v>
      </c>
      <c r="H570" s="87"/>
      <c r="I570" s="87"/>
    </row>
    <row r="571">
      <c r="A571" s="84">
        <f>IFERROR(__xludf.DUMMYFUNCTION("""COMPUTED_VALUE"""),570.0)</f>
        <v>570</v>
      </c>
      <c r="B571" s="85" t="str">
        <f>IFERROR(__xludf.DUMMYFUNCTION("""COMPUTED_VALUE"""),"EXTINTOR DE INCENDIO -")</f>
        <v>EXTINTOR DE INCENDIO -</v>
      </c>
      <c r="C571" s="86">
        <f>IFERROR(__xludf.DUMMYFUNCTION("""COMPUTED_VALUE"""),1.0)</f>
        <v>1</v>
      </c>
      <c r="D571" s="87" t="str">
        <f>IFERROR(__xludf.DUMMYFUNCTION("""COMPUTED_VALUE"""),"SEÇÃO")</f>
        <v>SEÇÃO</v>
      </c>
      <c r="E571" s="87" t="str">
        <f>IFERROR(__xludf.DUMMYFUNCTION("""COMPUTED_VALUE"""),"3 - DESCARGA")</f>
        <v>3 - DESCARGA</v>
      </c>
      <c r="F571" s="88"/>
      <c r="G571" s="89">
        <f>IFERROR(__xludf.DUMMYFUNCTION("""COMPUTED_VALUE"""),1.41392E7)</f>
        <v>14139200</v>
      </c>
      <c r="H571" s="87" t="str">
        <f>IFERROR(__xludf.DUMMYFUNCTION("""COMPUTED_VALUE"""),"Atrás do palco")</f>
        <v>Atrás do palco</v>
      </c>
      <c r="I571" s="87" t="str">
        <f>IFERROR(__xludf.DUMMYFUNCTION("""COMPUTED_VALUE"""),"MATERIAL DESCARREGADO - PROCESSO Nº 1400.01.0026473/2023-03")</f>
        <v>MATERIAL DESCARREGADO - PROCESSO Nº 1400.01.0026473/2023-03</v>
      </c>
    </row>
    <row r="572">
      <c r="A572" s="84">
        <f>IFERROR(__xludf.DUMMYFUNCTION("""COMPUTED_VALUE"""),571.0)</f>
        <v>571</v>
      </c>
      <c r="B572" s="85" t="str">
        <f>IFERROR(__xludf.DUMMYFUNCTION("""COMPUTED_VALUE"""),"EXTINTOR DE INCENDIO -")</f>
        <v>EXTINTOR DE INCENDIO -</v>
      </c>
      <c r="C572" s="86">
        <f>IFERROR(__xludf.DUMMYFUNCTION("""COMPUTED_VALUE"""),1.0)</f>
        <v>1</v>
      </c>
      <c r="D572" s="87" t="str">
        <f>IFERROR(__xludf.DUMMYFUNCTION("""COMPUTED_VALUE"""),"SEÇÃO")</f>
        <v>SEÇÃO</v>
      </c>
      <c r="E572" s="87" t="str">
        <f>IFERROR(__xludf.DUMMYFUNCTION("""COMPUTED_VALUE"""),"3 - DESCARGA")</f>
        <v>3 - DESCARGA</v>
      </c>
      <c r="F572" s="88"/>
      <c r="G572" s="89">
        <f>IFERROR(__xludf.DUMMYFUNCTION("""COMPUTED_VALUE"""),1.4139219E7)</f>
        <v>14139219</v>
      </c>
      <c r="H572" s="87" t="str">
        <f>IFERROR(__xludf.DUMMYFUNCTION("""COMPUTED_VALUE"""),"Atrás do palco")</f>
        <v>Atrás do palco</v>
      </c>
      <c r="I572" s="87" t="str">
        <f>IFERROR(__xludf.DUMMYFUNCTION("""COMPUTED_VALUE"""),"MATERIAL DESCARREGADO - PROCESSO Nº 1400.01.0026473/2023-03")</f>
        <v>MATERIAL DESCARREGADO - PROCESSO Nº 1400.01.0026473/2023-03</v>
      </c>
    </row>
    <row r="573">
      <c r="A573" s="84">
        <f>IFERROR(__xludf.DUMMYFUNCTION("""COMPUTED_VALUE"""),572.0)</f>
        <v>572</v>
      </c>
      <c r="B573" s="85" t="str">
        <f>IFERROR(__xludf.DUMMYFUNCTION("""COMPUTED_VALUE"""),"EXTINTOR DE INCENDIO -")</f>
        <v>EXTINTOR DE INCENDIO -</v>
      </c>
      <c r="C573" s="86">
        <f>IFERROR(__xludf.DUMMYFUNCTION("""COMPUTED_VALUE"""),1.0)</f>
        <v>1</v>
      </c>
      <c r="D573" s="87" t="str">
        <f>IFERROR(__xludf.DUMMYFUNCTION("""COMPUTED_VALUE"""),"SEÇÃO")</f>
        <v>SEÇÃO</v>
      </c>
      <c r="E573" s="87" t="str">
        <f>IFERROR(__xludf.DUMMYFUNCTION("""COMPUTED_VALUE"""),"3 - DESCARGA")</f>
        <v>3 - DESCARGA</v>
      </c>
      <c r="F573" s="88"/>
      <c r="G573" s="89">
        <f>IFERROR(__xludf.DUMMYFUNCTION("""COMPUTED_VALUE"""),1.4139227E7)</f>
        <v>14139227</v>
      </c>
      <c r="H573" s="87" t="str">
        <f>IFERROR(__xludf.DUMMYFUNCTION("""COMPUTED_VALUE"""),"Atrás do palco")</f>
        <v>Atrás do palco</v>
      </c>
      <c r="I573" s="87" t="str">
        <f>IFERROR(__xludf.DUMMYFUNCTION("""COMPUTED_VALUE"""),"MATERIAL DESCARREGADO - PROCESSO Nº 1400.01.0026473/2023-04")</f>
        <v>MATERIAL DESCARREGADO - PROCESSO Nº 1400.01.0026473/2023-04</v>
      </c>
    </row>
    <row r="574">
      <c r="A574" s="84">
        <f>IFERROR(__xludf.DUMMYFUNCTION("""COMPUTED_VALUE"""),573.0)</f>
        <v>573</v>
      </c>
      <c r="B574" s="85" t="str">
        <f>IFERROR(__xludf.DUMMYFUNCTION("""COMPUTED_VALUE"""),"EXTINTOR DE INCENDIO -")</f>
        <v>EXTINTOR DE INCENDIO -</v>
      </c>
      <c r="C574" s="86">
        <f>IFERROR(__xludf.DUMMYFUNCTION("""COMPUTED_VALUE"""),1.0)</f>
        <v>1</v>
      </c>
      <c r="D574" s="87" t="str">
        <f>IFERROR(__xludf.DUMMYFUNCTION("""COMPUTED_VALUE"""),"SEÇÃO")</f>
        <v>SEÇÃO</v>
      </c>
      <c r="E574" s="87" t="str">
        <f>IFERROR(__xludf.DUMMYFUNCTION("""COMPUTED_VALUE"""),"3 - ALMOX. ESTOQUE")</f>
        <v>3 - ALMOX. ESTOQUE</v>
      </c>
      <c r="F574" s="88"/>
      <c r="G574" s="89">
        <f>IFERROR(__xludf.DUMMYFUNCTION("""COMPUTED_VALUE"""),1.4139235E7)</f>
        <v>14139235</v>
      </c>
      <c r="H574" s="87" t="str">
        <f>IFERROR(__xludf.DUMMYFUNCTION("""COMPUTED_VALUE"""),"pó químico")</f>
        <v>pó químico</v>
      </c>
      <c r="I574" s="87" t="str">
        <f>IFERROR(__xludf.DUMMYFUNCTION("""COMPUTED_VALUE"""),"PRÓXIMO à PPV")</f>
        <v>PRÓXIMO à PPV</v>
      </c>
    </row>
    <row r="575">
      <c r="A575" s="84">
        <f>IFERROR(__xludf.DUMMYFUNCTION("""COMPUTED_VALUE"""),574.0)</f>
        <v>574</v>
      </c>
      <c r="B575" s="85" t="str">
        <f>IFERROR(__xludf.DUMMYFUNCTION("""COMPUTED_VALUE"""),"EXTINTOR DE INCENDIO -")</f>
        <v>EXTINTOR DE INCENDIO -</v>
      </c>
      <c r="C575" s="86">
        <f>IFERROR(__xludf.DUMMYFUNCTION("""COMPUTED_VALUE"""),1.0)</f>
        <v>1</v>
      </c>
      <c r="D575" s="87" t="str">
        <f>IFERROR(__xludf.DUMMYFUNCTION("""COMPUTED_VALUE"""),"SEÇÃO")</f>
        <v>SEÇÃO</v>
      </c>
      <c r="E575" s="87" t="str">
        <f>IFERROR(__xludf.DUMMYFUNCTION("""COMPUTED_VALUE"""),"3 - ALMOX. ESTOQUE")</f>
        <v>3 - ALMOX. ESTOQUE</v>
      </c>
      <c r="F575" s="88"/>
      <c r="G575" s="89">
        <f>IFERROR(__xludf.DUMMYFUNCTION("""COMPUTED_VALUE"""),1.4139243E7)</f>
        <v>14139243</v>
      </c>
      <c r="H575" s="87"/>
      <c r="I575" s="87" t="str">
        <f>IFERROR(__xludf.DUMMYFUNCTION("""COMPUTED_VALUE"""),"PRÓXIMO AO BANHEIRO MASCULINO (SEDE)")</f>
        <v>PRÓXIMO AO BANHEIRO MASCULINO (SEDE)</v>
      </c>
    </row>
    <row r="576">
      <c r="A576" s="84">
        <f>IFERROR(__xludf.DUMMYFUNCTION("""COMPUTED_VALUE"""),575.0)</f>
        <v>575</v>
      </c>
      <c r="B576" s="85" t="str">
        <f>IFERROR(__xludf.DUMMYFUNCTION("""COMPUTED_VALUE"""),"EXTINTOR DE INCENDIO -")</f>
        <v>EXTINTOR DE INCENDIO -</v>
      </c>
      <c r="C576" s="86">
        <f>IFERROR(__xludf.DUMMYFUNCTION("""COMPUTED_VALUE"""),1.0)</f>
        <v>1</v>
      </c>
      <c r="D576" s="87" t="str">
        <f>IFERROR(__xludf.DUMMYFUNCTION("""COMPUTED_VALUE"""),"SEÇÃO")</f>
        <v>SEÇÃO</v>
      </c>
      <c r="E576" s="87" t="str">
        <f>IFERROR(__xludf.DUMMYFUNCTION("""COMPUTED_VALUE"""),"3 - DESCARGA")</f>
        <v>3 - DESCARGA</v>
      </c>
      <c r="F576" s="88"/>
      <c r="G576" s="89">
        <f>IFERROR(__xludf.DUMMYFUNCTION("""COMPUTED_VALUE"""),1.4139251E7)</f>
        <v>14139251</v>
      </c>
      <c r="H576" s="87"/>
      <c r="I576" s="87" t="str">
        <f>IFERROR(__xludf.DUMMYFUNCTION("""COMPUTED_VALUE"""),"MATERIAL DESCARREGADO - PROCESSO Nº 1400.01.0026473/2023-04")</f>
        <v>MATERIAL DESCARREGADO - PROCESSO Nº 1400.01.0026473/2023-04</v>
      </c>
    </row>
    <row r="577">
      <c r="A577" s="84">
        <f>IFERROR(__xludf.DUMMYFUNCTION("""COMPUTED_VALUE"""),576.0)</f>
        <v>576</v>
      </c>
      <c r="B577" s="85" t="str">
        <f>IFERROR(__xludf.DUMMYFUNCTION("""COMPUTED_VALUE"""),"GPS AUTONOMO -")</f>
        <v>GPS AUTONOMO -</v>
      </c>
      <c r="C577" s="86">
        <f>IFERROR(__xludf.DUMMYFUNCTION("""COMPUTED_VALUE"""),1.0)</f>
        <v>1</v>
      </c>
      <c r="D577" s="87" t="str">
        <f>IFERROR(__xludf.DUMMYFUNCTION("""COMPUTED_VALUE"""),"SEÇÃO")</f>
        <v>SEÇÃO</v>
      </c>
      <c r="E577" s="87" t="str">
        <f>IFERROR(__xludf.DUMMYFUNCTION("""COMPUTED_VALUE"""),"3 - ALMOX. ESTOQUE")</f>
        <v>3 - ALMOX. ESTOQUE</v>
      </c>
      <c r="F577" s="88" t="str">
        <f>IFERROR(__xludf.DUMMYFUNCTION("""COMPUTED_VALUE"""),"SAO")</f>
        <v>SAO</v>
      </c>
      <c r="G577" s="89">
        <f>IFERROR(__xludf.DUMMYFUNCTION("""COMPUTED_VALUE"""),1.4142309E7)</f>
        <v>14142309</v>
      </c>
      <c r="H577" s="87"/>
      <c r="I577" s="87"/>
    </row>
    <row r="578">
      <c r="A578" s="84">
        <f>IFERROR(__xludf.DUMMYFUNCTION("""COMPUTED_VALUE"""),577.0)</f>
        <v>577</v>
      </c>
      <c r="B578" s="85" t="str">
        <f>IFERROR(__xludf.DUMMYFUNCTION("""COMPUTED_VALUE"""),"CILINDRO PARA OXIGENIO USO MEDICO CIRURGICO -")</f>
        <v>CILINDRO PARA OXIGENIO USO MEDICO CIRURGICO -</v>
      </c>
      <c r="C578" s="86">
        <f>IFERROR(__xludf.DUMMYFUNCTION("""COMPUTED_VALUE"""),1.0)</f>
        <v>1</v>
      </c>
      <c r="D578" s="87" t="str">
        <f>IFERROR(__xludf.DUMMYFUNCTION("""COMPUTED_VALUE"""),"SEÇÃO")</f>
        <v>SEÇÃO</v>
      </c>
      <c r="E578" s="87" t="str">
        <f>IFERROR(__xludf.DUMMYFUNCTION("""COMPUTED_VALUE"""),"3 - ALMOX. ESTOQUE")</f>
        <v>3 - ALMOX. ESTOQUE</v>
      </c>
      <c r="F578" s="88"/>
      <c r="G578" s="89">
        <f>IFERROR(__xludf.DUMMYFUNCTION("""COMPUTED_VALUE"""),1.4162237E7)</f>
        <v>14162237</v>
      </c>
      <c r="H578" s="87"/>
      <c r="I578" s="87"/>
    </row>
    <row r="579">
      <c r="A579" s="84">
        <f>IFERROR(__xludf.DUMMYFUNCTION("""COMPUTED_VALUE"""),578.0)</f>
        <v>578</v>
      </c>
      <c r="B579" s="85" t="str">
        <f>IFERROR(__xludf.DUMMYFUNCTION("""COMPUTED_VALUE"""),"GUARDA-ROUPAS -")</f>
        <v>GUARDA-ROUPAS -</v>
      </c>
      <c r="C579" s="86">
        <f>IFERROR(__xludf.DUMMYFUNCTION("""COMPUTED_VALUE"""),1.0)</f>
        <v>1</v>
      </c>
      <c r="D579" s="87" t="str">
        <f>IFERROR(__xludf.DUMMYFUNCTION("""COMPUTED_VALUE"""),"SEÇÃO")</f>
        <v>SEÇÃO</v>
      </c>
      <c r="E579" s="87" t="str">
        <f>IFERROR(__xludf.DUMMYFUNCTION("""COMPUTED_VALUE"""),"3 - ALMOX. ESTOQUE")</f>
        <v>3 - ALMOX. ESTOQUE</v>
      </c>
      <c r="F579" s="88" t="str">
        <f>IFERROR(__xludf.DUMMYFUNCTION("""COMPUTED_VALUE"""),"PPV (ANTIGA)")</f>
        <v>PPV (ANTIGA)</v>
      </c>
      <c r="G579" s="89">
        <f>IFERROR(__xludf.DUMMYFUNCTION("""COMPUTED_VALUE"""),2110199.0)</f>
        <v>2110199</v>
      </c>
      <c r="H579" s="87"/>
      <c r="I579" s="87"/>
    </row>
    <row r="580">
      <c r="A580" s="84">
        <f>IFERROR(__xludf.DUMMYFUNCTION("""COMPUTED_VALUE"""),579.0)</f>
        <v>579</v>
      </c>
      <c r="B580" s="85" t="str">
        <f>IFERROR(__xludf.DUMMYFUNCTION("""COMPUTED_VALUE"""),"GUARDA-ROUPAS -")</f>
        <v>GUARDA-ROUPAS -</v>
      </c>
      <c r="C580" s="86">
        <f>IFERROR(__xludf.DUMMYFUNCTION("""COMPUTED_VALUE"""),1.0)</f>
        <v>1</v>
      </c>
      <c r="D580" s="87" t="str">
        <f>IFERROR(__xludf.DUMMYFUNCTION("""COMPUTED_VALUE"""),"SEÇÃO")</f>
        <v>SEÇÃO</v>
      </c>
      <c r="E580" s="87" t="str">
        <f>IFERROR(__xludf.DUMMYFUNCTION("""COMPUTED_VALUE"""),"3 - ALMOX. ESTOQUE")</f>
        <v>3 - ALMOX. ESTOQUE</v>
      </c>
      <c r="F580" s="88" t="str">
        <f>IFERROR(__xludf.DUMMYFUNCTION("""COMPUTED_VALUE"""),"SALA DO FUTEBOL (SEDE)")</f>
        <v>SALA DO FUTEBOL (SEDE)</v>
      </c>
      <c r="G580" s="89">
        <f>IFERROR(__xludf.DUMMYFUNCTION("""COMPUTED_VALUE"""),2110296.0)</f>
        <v>2110296</v>
      </c>
      <c r="H580" s="87"/>
      <c r="I580" s="87"/>
    </row>
    <row r="581">
      <c r="A581" s="84">
        <f>IFERROR(__xludf.DUMMYFUNCTION("""COMPUTED_VALUE"""),580.0)</f>
        <v>580</v>
      </c>
      <c r="B581" s="85" t="str">
        <f>IFERROR(__xludf.DUMMYFUNCTION("""COMPUTED_VALUE"""),"ARMARIO PARA ESCRITORIO -(III)")</f>
        <v>ARMARIO PARA ESCRITORIO -(III)</v>
      </c>
      <c r="C581" s="86">
        <f>IFERROR(__xludf.DUMMYFUNCTION("""COMPUTED_VALUE"""),1.0)</f>
        <v>1</v>
      </c>
      <c r="D581" s="87" t="str">
        <f>IFERROR(__xludf.DUMMYFUNCTION("""COMPUTED_VALUE"""),"SEÇÃO")</f>
        <v>SEÇÃO</v>
      </c>
      <c r="E581" s="87" t="str">
        <f>IFERROR(__xludf.DUMMYFUNCTION("""COMPUTED_VALUE"""),"3 - 1ª CIA OP")</f>
        <v>3 - 1ª CIA OP</v>
      </c>
      <c r="F581" s="88" t="str">
        <f>IFERROR(__xludf.DUMMYFUNCTION("""COMPUTED_VALUE"""),"PPV (ANTIGA)")</f>
        <v>PPV (ANTIGA)</v>
      </c>
      <c r="G581" s="89">
        <f>IFERROR(__xludf.DUMMYFUNCTION("""COMPUTED_VALUE"""),2.2962948E7)</f>
        <v>22962948</v>
      </c>
      <c r="H581" s="87"/>
      <c r="I581" s="87"/>
    </row>
    <row r="582">
      <c r="A582" s="84">
        <f>IFERROR(__xludf.DUMMYFUNCTION("""COMPUTED_VALUE"""),581.0)</f>
        <v>581</v>
      </c>
      <c r="B582" s="85" t="str">
        <f>IFERROR(__xludf.DUMMYFUNCTION("""COMPUTED_VALUE"""),"ESTANTE PARA ALMOXARIFADO -(III)")</f>
        <v>ESTANTE PARA ALMOXARIFADO -(III)</v>
      </c>
      <c r="C582" s="86">
        <f>IFERROR(__xludf.DUMMYFUNCTION("""COMPUTED_VALUE"""),1.0)</f>
        <v>1</v>
      </c>
      <c r="D582" s="87" t="str">
        <f>IFERROR(__xludf.DUMMYFUNCTION("""COMPUTED_VALUE"""),"SEÇÃO")</f>
        <v>SEÇÃO</v>
      </c>
      <c r="E582" s="87" t="str">
        <f>IFERROR(__xludf.DUMMYFUNCTION("""COMPUTED_VALUE"""),"3 - ALMOX. ESTOQUE")</f>
        <v>3 - ALMOX. ESTOQUE</v>
      </c>
      <c r="F582" s="88" t="str">
        <f>IFERROR(__xludf.DUMMYFUNCTION("""COMPUTED_VALUE"""),"SAO")</f>
        <v>SAO</v>
      </c>
      <c r="G582" s="89">
        <f>IFERROR(__xludf.DUMMYFUNCTION("""COMPUTED_VALUE"""),3.5451386E7)</f>
        <v>35451386</v>
      </c>
      <c r="H582" s="87"/>
      <c r="I582" s="87"/>
    </row>
    <row r="583">
      <c r="A583" s="84">
        <f>IFERROR(__xludf.DUMMYFUNCTION("""COMPUTED_VALUE"""),582.0)</f>
        <v>582</v>
      </c>
      <c r="B583" s="85" t="str">
        <f>IFERROR(__xludf.DUMMYFUNCTION("""COMPUTED_VALUE"""),"ESTANTE PARA ALMOXARIFADO -(III)")</f>
        <v>ESTANTE PARA ALMOXARIFADO -(III)</v>
      </c>
      <c r="C583" s="86">
        <f>IFERROR(__xludf.DUMMYFUNCTION("""COMPUTED_VALUE"""),1.0)</f>
        <v>1</v>
      </c>
      <c r="D583" s="87" t="str">
        <f>IFERROR(__xludf.DUMMYFUNCTION("""COMPUTED_VALUE"""),"SEÇÃO")</f>
        <v>SEÇÃO</v>
      </c>
      <c r="E583" s="87" t="str">
        <f>IFERROR(__xludf.DUMMYFUNCTION("""COMPUTED_VALUE"""),"3 - 1ª CIA OP")</f>
        <v>3 - 1ª CIA OP</v>
      </c>
      <c r="F583" s="88" t="str">
        <f>IFERROR(__xludf.DUMMYFUNCTION("""COMPUTED_VALUE"""),"DEPÓSITO")</f>
        <v>DEPÓSITO</v>
      </c>
      <c r="G583" s="89">
        <f>IFERROR(__xludf.DUMMYFUNCTION("""COMPUTED_VALUE"""),3.5451432E7)</f>
        <v>35451432</v>
      </c>
      <c r="H583" s="87"/>
      <c r="I583" s="87"/>
    </row>
    <row r="584">
      <c r="A584" s="84">
        <f>IFERROR(__xludf.DUMMYFUNCTION("""COMPUTED_VALUE"""),583.0)</f>
        <v>583</v>
      </c>
      <c r="B584" s="85" t="str">
        <f>IFERROR(__xludf.DUMMYFUNCTION("""COMPUTED_VALUE"""),"ESTANTE PARA ALMOXARIFADO -(III)")</f>
        <v>ESTANTE PARA ALMOXARIFADO -(III)</v>
      </c>
      <c r="C584" s="86">
        <f>IFERROR(__xludf.DUMMYFUNCTION("""COMPUTED_VALUE"""),1.0)</f>
        <v>1</v>
      </c>
      <c r="D584" s="87" t="str">
        <f>IFERROR(__xludf.DUMMYFUNCTION("""COMPUTED_VALUE"""),"SEÇÃO")</f>
        <v>SEÇÃO</v>
      </c>
      <c r="E584" s="87" t="str">
        <f>IFERROR(__xludf.DUMMYFUNCTION("""COMPUTED_VALUE"""),"3 - ALMOX. ESTOQUE")</f>
        <v>3 - ALMOX. ESTOQUE</v>
      </c>
      <c r="F584" s="88" t="str">
        <f>IFERROR(__xludf.DUMMYFUNCTION("""COMPUTED_VALUE"""),"SALA DO FUTEBOL (SEDE)")</f>
        <v>SALA DO FUTEBOL (SEDE)</v>
      </c>
      <c r="G584" s="89">
        <f>IFERROR(__xludf.DUMMYFUNCTION("""COMPUTED_VALUE"""),3.5451548E7)</f>
        <v>35451548</v>
      </c>
      <c r="H584" s="87"/>
      <c r="I584" s="87" t="str">
        <f>IFERROR(__xludf.DUMMYFUNCTION("""COMPUTED_VALUE"""),"estocado no CPD")</f>
        <v>estocado no CPD</v>
      </c>
    </row>
    <row r="585">
      <c r="A585" s="84">
        <f>IFERROR(__xludf.DUMMYFUNCTION("""COMPUTED_VALUE"""),584.0)</f>
        <v>584</v>
      </c>
      <c r="B585" s="85" t="str">
        <f>IFERROR(__xludf.DUMMYFUNCTION("""COMPUTED_VALUE"""),"ESTANTE PARA ALMOXARIFADO -(III)")</f>
        <v>ESTANTE PARA ALMOXARIFADO -(III)</v>
      </c>
      <c r="C585" s="86">
        <f>IFERROR(__xludf.DUMMYFUNCTION("""COMPUTED_VALUE"""),1.0)</f>
        <v>1</v>
      </c>
      <c r="D585" s="87" t="str">
        <f>IFERROR(__xludf.DUMMYFUNCTION("""COMPUTED_VALUE"""),"SEÇÃO")</f>
        <v>SEÇÃO</v>
      </c>
      <c r="E585" s="87" t="str">
        <f>IFERROR(__xludf.DUMMYFUNCTION("""COMPUTED_VALUE"""),"3 - 1ª CIA OP")</f>
        <v>3 - 1ª CIA OP</v>
      </c>
      <c r="F585" s="88" t="str">
        <f>IFERROR(__xludf.DUMMYFUNCTION("""COMPUTED_VALUE"""),"PPV (ANTIGA)")</f>
        <v>PPV (ANTIGA)</v>
      </c>
      <c r="G585" s="89">
        <f>IFERROR(__xludf.DUMMYFUNCTION("""COMPUTED_VALUE"""),3.5451637E7)</f>
        <v>35451637</v>
      </c>
      <c r="H585" s="87"/>
      <c r="I585" s="87"/>
    </row>
    <row r="586">
      <c r="A586" s="84">
        <f>IFERROR(__xludf.DUMMYFUNCTION("""COMPUTED_VALUE"""),585.0)</f>
        <v>585</v>
      </c>
      <c r="B586" s="85" t="str">
        <f>IFERROR(__xludf.DUMMYFUNCTION("""COMPUTED_VALUE"""),"CAPACETE PARA COMBATE INCENDIO -")</f>
        <v>CAPACETE PARA COMBATE INCENDIO -</v>
      </c>
      <c r="C586" s="86">
        <f>IFERROR(__xludf.DUMMYFUNCTION("""COMPUTED_VALUE"""),1.0)</f>
        <v>1</v>
      </c>
      <c r="D586" s="87" t="str">
        <f>IFERROR(__xludf.DUMMYFUNCTION("""COMPUTED_VALUE"""),"MILITAR")</f>
        <v>MILITAR</v>
      </c>
      <c r="E586" s="87" t="str">
        <f>IFERROR(__xludf.DUMMYFUNCTION("""COMPUTED_VALUE"""),"2 - 1º TEN DOUGLAS WILLIAM ARAÚJO DA SILVA")</f>
        <v>2 - 1º TEN DOUGLAS WILLIAM ARAÚJO DA SILVA</v>
      </c>
      <c r="F586" s="88"/>
      <c r="G586" s="89">
        <f>IFERROR(__xludf.DUMMYFUNCTION("""COMPUTED_VALUE"""),3.995126E7)</f>
        <v>39951260</v>
      </c>
      <c r="H586" s="87"/>
      <c r="I586" s="87" t="str">
        <f>IFERROR(__xludf.DUMMYFUNCTION("""COMPUTED_VALUE""")," EM PROCESSO DE DESCARGA SEI-1400.01.0026473/2023-03")</f>
        <v> EM PROCESSO DE DESCARGA SEI-1400.01.0026473/2023-03</v>
      </c>
    </row>
    <row r="587">
      <c r="A587" s="84">
        <f>IFERROR(__xludf.DUMMYFUNCTION("""COMPUTED_VALUE"""),586.0)</f>
        <v>586</v>
      </c>
      <c r="B587" s="85" t="str">
        <f>IFERROR(__xludf.DUMMYFUNCTION("""COMPUTED_VALUE"""),"ESCADAS DE INCENDIO, PORTATEIS -")</f>
        <v>ESCADAS DE INCENDIO, PORTATEIS -</v>
      </c>
      <c r="C587" s="86">
        <f>IFERROR(__xludf.DUMMYFUNCTION("""COMPUTED_VALUE"""),1.0)</f>
        <v>1</v>
      </c>
      <c r="D587" s="87" t="str">
        <f>IFERROR(__xludf.DUMMYFUNCTION("""COMPUTED_VALUE"""),"SEÇÃO")</f>
        <v>SEÇÃO</v>
      </c>
      <c r="E587" s="87" t="str">
        <f>IFERROR(__xludf.DUMMYFUNCTION("""COMPUTED_VALUE"""),"3 - 1ª CIA OP")</f>
        <v>3 - 1ª CIA OP</v>
      </c>
      <c r="F587" s="88"/>
      <c r="G587" s="89">
        <f>IFERROR(__xludf.DUMMYFUNCTION("""COMPUTED_VALUE"""),4.0068684E7)</f>
        <v>40068684</v>
      </c>
      <c r="H587" s="87"/>
      <c r="I587" s="87" t="str">
        <f>IFERROR(__xludf.DUMMYFUNCTION("""COMPUTED_VALUE"""),"EM CIMA DO TELHADO DA CIA")</f>
        <v>EM CIMA DO TELHADO DA CIA</v>
      </c>
    </row>
    <row r="588">
      <c r="A588" s="84">
        <f>IFERROR(__xludf.DUMMYFUNCTION("""COMPUTED_VALUE"""),587.0)</f>
        <v>587</v>
      </c>
      <c r="B588" s="85" t="str">
        <f>IFERROR(__xludf.DUMMYFUNCTION("""COMPUTED_VALUE"""),"MOTOSSERRA -")</f>
        <v>MOTOSSERRA -</v>
      </c>
      <c r="C588" s="86">
        <f>IFERROR(__xludf.DUMMYFUNCTION("""COMPUTED_VALUE"""),1.0)</f>
        <v>1</v>
      </c>
      <c r="D588" s="87" t="str">
        <f>IFERROR(__xludf.DUMMYFUNCTION("""COMPUTED_VALUE"""),"SEÇÃO")</f>
        <v>SEÇÃO</v>
      </c>
      <c r="E588" s="87" t="str">
        <f>IFERROR(__xludf.DUMMYFUNCTION("""COMPUTED_VALUE"""),"3 - DESCARGA")</f>
        <v>3 - DESCARGA</v>
      </c>
      <c r="F588" s="88"/>
      <c r="G588" s="89">
        <f>IFERROR(__xludf.DUMMYFUNCTION("""COMPUTED_VALUE"""),4.006901E7)</f>
        <v>40069010</v>
      </c>
      <c r="H588" s="87"/>
      <c r="I588" s="87" t="str">
        <f>IFERROR(__xludf.DUMMYFUNCTION("""COMPUTED_VALUE"""),"MATERIAL DESCARREGADO - PROCESSO Nº 1400.01.0026473/2023-01")</f>
        <v>MATERIAL DESCARREGADO - PROCESSO Nº 1400.01.0026473/2023-01</v>
      </c>
    </row>
    <row r="589">
      <c r="A589" s="84">
        <f>IFERROR(__xludf.DUMMYFUNCTION("""COMPUTED_VALUE"""),588.0)</f>
        <v>588</v>
      </c>
      <c r="B589" s="85" t="str">
        <f>IFERROR(__xludf.DUMMYFUNCTION("""COMPUTED_VALUE"""),"MOTOSSERRA -")</f>
        <v>MOTOSSERRA -</v>
      </c>
      <c r="C589" s="86">
        <f>IFERROR(__xludf.DUMMYFUNCTION("""COMPUTED_VALUE"""),1.0)</f>
        <v>1</v>
      </c>
      <c r="D589" s="87" t="str">
        <f>IFERROR(__xludf.DUMMYFUNCTION("""COMPUTED_VALUE"""),"SEÇÃO")</f>
        <v>SEÇÃO</v>
      </c>
      <c r="E589" s="87" t="str">
        <f>IFERROR(__xludf.DUMMYFUNCTION("""COMPUTED_VALUE"""),"3 - DESCARGA")</f>
        <v>3 - DESCARGA</v>
      </c>
      <c r="F589" s="88"/>
      <c r="G589" s="89">
        <f>IFERROR(__xludf.DUMMYFUNCTION("""COMPUTED_VALUE"""),4.0069036E7)</f>
        <v>40069036</v>
      </c>
      <c r="H589" s="87"/>
      <c r="I589" s="87" t="str">
        <f>IFERROR(__xludf.DUMMYFUNCTION("""COMPUTED_VALUE"""),"MATERIAL DESCARREGADO - PROCESSO Nº 1400.01.0026473/2023-01")</f>
        <v>MATERIAL DESCARREGADO - PROCESSO Nº 1400.01.0026473/2023-01</v>
      </c>
    </row>
    <row r="590">
      <c r="A590" s="84">
        <f>IFERROR(__xludf.DUMMYFUNCTION("""COMPUTED_VALUE"""),589.0)</f>
        <v>589</v>
      </c>
      <c r="B590" s="85" t="str">
        <f>IFERROR(__xludf.DUMMYFUNCTION("""COMPUTED_VALUE"""),"PROPORCIONADORES/REDUTORES DE ESPUMA -")</f>
        <v>PROPORCIONADORES/REDUTORES DE ESPUMA -</v>
      </c>
      <c r="C590" s="86">
        <f>IFERROR(__xludf.DUMMYFUNCTION("""COMPUTED_VALUE"""),1.0)</f>
        <v>1</v>
      </c>
      <c r="D590" s="87" t="str">
        <f>IFERROR(__xludf.DUMMYFUNCTION("""COMPUTED_VALUE"""),"SEÇÃO")</f>
        <v>SEÇÃO</v>
      </c>
      <c r="E590" s="87" t="str">
        <f>IFERROR(__xludf.DUMMYFUNCTION("""COMPUTED_VALUE"""),"3 - ALMOX. ESTOQUE")</f>
        <v>3 - ALMOX. ESTOQUE</v>
      </c>
      <c r="F590" s="88"/>
      <c r="G590" s="89">
        <f>IFERROR(__xludf.DUMMYFUNCTION("""COMPUTED_VALUE"""),4.0070611E7)</f>
        <v>40070611</v>
      </c>
      <c r="H590" s="87"/>
      <c r="I590" s="87" t="str">
        <f>IFERROR(__xludf.DUMMYFUNCTION("""COMPUTED_VALUE"""),"RECOLHIDO PARA O SUPRIMENTOS")</f>
        <v>RECOLHIDO PARA O SUPRIMENTOS</v>
      </c>
    </row>
    <row r="591">
      <c r="A591" s="84">
        <f>IFERROR(__xludf.DUMMYFUNCTION("""COMPUTED_VALUE"""),590.0)</f>
        <v>590</v>
      </c>
      <c r="B591" s="85" t="str">
        <f>IFERROR(__xludf.DUMMYFUNCTION("""COMPUTED_VALUE"""),"BARCO -")</f>
        <v>BARCO -</v>
      </c>
      <c r="C591" s="86">
        <f>IFERROR(__xludf.DUMMYFUNCTION("""COMPUTED_VALUE"""),1.0)</f>
        <v>1</v>
      </c>
      <c r="D591" s="87" t="str">
        <f>IFERROR(__xludf.DUMMYFUNCTION("""COMPUTED_VALUE"""),"SEÇÃO")</f>
        <v>SEÇÃO</v>
      </c>
      <c r="E591" s="87" t="str">
        <f>IFERROR(__xludf.DUMMYFUNCTION("""COMPUTED_VALUE"""),"3 - ALMOX. ESTOQUE")</f>
        <v>3 - ALMOX. ESTOQUE</v>
      </c>
      <c r="F591" s="88" t="str">
        <f>IFERROR(__xludf.DUMMYFUNCTION("""COMPUTED_VALUE"""),"ALMOX. SAO (SEDE)")</f>
        <v>ALMOX. SAO (SEDE)</v>
      </c>
      <c r="G591" s="89">
        <f>IFERROR(__xludf.DUMMYFUNCTION("""COMPUTED_VALUE"""),4.0071316E7)</f>
        <v>40071316</v>
      </c>
      <c r="H591" s="87"/>
      <c r="I591" s="87"/>
    </row>
    <row r="592">
      <c r="A592" s="84">
        <f>IFERROR(__xludf.DUMMYFUNCTION("""COMPUTED_VALUE"""),591.0)</f>
        <v>591</v>
      </c>
      <c r="B592" s="85" t="str">
        <f>IFERROR(__xludf.DUMMYFUNCTION("""COMPUTED_VALUE"""),"SWITCH -")</f>
        <v>SWITCH -</v>
      </c>
      <c r="C592" s="86">
        <f>IFERROR(__xludf.DUMMYFUNCTION("""COMPUTED_VALUE"""),1.0)</f>
        <v>1</v>
      </c>
      <c r="D592" s="87" t="str">
        <f>IFERROR(__xludf.DUMMYFUNCTION("""COMPUTED_VALUE"""),"SEÇÃO")</f>
        <v>SEÇÃO</v>
      </c>
      <c r="E592" s="87" t="str">
        <f>IFERROR(__xludf.DUMMYFUNCTION("""COMPUTED_VALUE"""),"3 - DESCARGA")</f>
        <v>3 - DESCARGA</v>
      </c>
      <c r="F592" s="88"/>
      <c r="G592" s="89">
        <f>IFERROR(__xludf.DUMMYFUNCTION("""COMPUTED_VALUE"""),4.007725E7)</f>
        <v>40077250</v>
      </c>
      <c r="H592" s="87"/>
      <c r="I592" s="87" t="str">
        <f>IFERROR(__xludf.DUMMYFUNCTION("""COMPUTED_VALUE"""),"estocado no CPD")</f>
        <v>estocado no CPD</v>
      </c>
    </row>
    <row r="593">
      <c r="A593" s="84">
        <f>IFERROR(__xludf.DUMMYFUNCTION("""COMPUTED_VALUE"""),592.0)</f>
        <v>592</v>
      </c>
      <c r="B593" s="85" t="str">
        <f>IFERROR(__xludf.DUMMYFUNCTION("""COMPUTED_VALUE"""),"ROTEADOR PARA REDE WIRELLES -")</f>
        <v>ROTEADOR PARA REDE WIRELLES -</v>
      </c>
      <c r="C593" s="86">
        <f>IFERROR(__xludf.DUMMYFUNCTION("""COMPUTED_VALUE"""),1.0)</f>
        <v>1</v>
      </c>
      <c r="D593" s="87" t="str">
        <f>IFERROR(__xludf.DUMMYFUNCTION("""COMPUTED_VALUE"""),"SEÇÃO")</f>
        <v>SEÇÃO</v>
      </c>
      <c r="E593" s="87" t="str">
        <f>IFERROR(__xludf.DUMMYFUNCTION("""COMPUTED_VALUE"""),"3 - DESCARGA")</f>
        <v>3 - DESCARGA</v>
      </c>
      <c r="F593" s="88"/>
      <c r="G593" s="89">
        <f>IFERROR(__xludf.DUMMYFUNCTION("""COMPUTED_VALUE"""),4.0078027E7)</f>
        <v>40078027</v>
      </c>
      <c r="H593" s="87"/>
      <c r="I593" s="87" t="str">
        <f>IFERROR(__xludf.DUMMYFUNCTION("""COMPUTED_VALUE"""),"MATERIAL DESCARREGADO - PROCESSO Nº 1400.01.0026473/2023-01")</f>
        <v>MATERIAL DESCARREGADO - PROCESSO Nº 1400.01.0026473/2023-01</v>
      </c>
    </row>
    <row r="594">
      <c r="A594" s="84">
        <f>IFERROR(__xludf.DUMMYFUNCTION("""COMPUTED_VALUE"""),593.0)</f>
        <v>593</v>
      </c>
      <c r="B594" s="85" t="str">
        <f>IFERROR(__xludf.DUMMYFUNCTION("""COMPUTED_VALUE"""),"ROTEADOR PARA REDE WIRELLES -")</f>
        <v>ROTEADOR PARA REDE WIRELLES -</v>
      </c>
      <c r="C594" s="86">
        <f>IFERROR(__xludf.DUMMYFUNCTION("""COMPUTED_VALUE"""),1.0)</f>
        <v>1</v>
      </c>
      <c r="D594" s="87" t="str">
        <f>IFERROR(__xludf.DUMMYFUNCTION("""COMPUTED_VALUE"""),"SEÇÃO")</f>
        <v>SEÇÃO</v>
      </c>
      <c r="E594" s="87" t="str">
        <f>IFERROR(__xludf.DUMMYFUNCTION("""COMPUTED_VALUE"""),"3 - DESCARGA")</f>
        <v>3 - DESCARGA</v>
      </c>
      <c r="F594" s="88"/>
      <c r="G594" s="89">
        <f>IFERROR(__xludf.DUMMYFUNCTION("""COMPUTED_VALUE"""),4.0078256E7)</f>
        <v>40078256</v>
      </c>
      <c r="H594" s="87"/>
      <c r="I594" s="87" t="str">
        <f>IFERROR(__xludf.DUMMYFUNCTION("""COMPUTED_VALUE"""),"MATERIAL DESCARREGADO - PROCESSO Nº 1400.01.0026473/2023-01")</f>
        <v>MATERIAL DESCARREGADO - PROCESSO Nº 1400.01.0026473/2023-01</v>
      </c>
    </row>
    <row r="595">
      <c r="A595" s="84">
        <f>IFERROR(__xludf.DUMMYFUNCTION("""COMPUTED_VALUE"""),594.0)</f>
        <v>594</v>
      </c>
      <c r="B595" s="85" t="str">
        <f>IFERROR(__xludf.DUMMYFUNCTION("""COMPUTED_VALUE"""),"ESFIGMOMANOMETRO -")</f>
        <v>ESFIGMOMANOMETRO -</v>
      </c>
      <c r="C595" s="86">
        <f>IFERROR(__xludf.DUMMYFUNCTION("""COMPUTED_VALUE"""),1.0)</f>
        <v>1</v>
      </c>
      <c r="D595" s="87" t="str">
        <f>IFERROR(__xludf.DUMMYFUNCTION("""COMPUTED_VALUE"""),"SEÇÃO")</f>
        <v>SEÇÃO</v>
      </c>
      <c r="E595" s="87" t="str">
        <f>IFERROR(__xludf.DUMMYFUNCTION("""COMPUTED_VALUE"""),"3 - DESCARGA")</f>
        <v>3 - DESCARGA</v>
      </c>
      <c r="F595" s="88"/>
      <c r="G595" s="89">
        <f>IFERROR(__xludf.DUMMYFUNCTION("""COMPUTED_VALUE"""),7.6736016E7)</f>
        <v>76736016</v>
      </c>
      <c r="H595" s="87"/>
      <c r="I595" s="87" t="str">
        <f>IFERROR(__xludf.DUMMYFUNCTION("""COMPUTED_VALUE"""),"MATERIAL DESCARREGADO - PROCESSO Nº 1400.01.0026473/2023-01")</f>
        <v>MATERIAL DESCARREGADO - PROCESSO Nº 1400.01.0026473/2023-01</v>
      </c>
    </row>
    <row r="596">
      <c r="A596" s="84">
        <f>IFERROR(__xludf.DUMMYFUNCTION("""COMPUTED_VALUE"""),595.0)</f>
        <v>595</v>
      </c>
      <c r="B596" s="85" t="str">
        <f>IFERROR(__xludf.DUMMYFUNCTION("""COMPUTED_VALUE"""),"SISTEMA PORTATIL OXIGENIO -")</f>
        <v>SISTEMA PORTATIL OXIGENIO -</v>
      </c>
      <c r="C596" s="86">
        <f>IFERROR(__xludf.DUMMYFUNCTION("""COMPUTED_VALUE"""),1.0)</f>
        <v>1</v>
      </c>
      <c r="D596" s="87" t="str">
        <f>IFERROR(__xludf.DUMMYFUNCTION("""COMPUTED_VALUE"""),"SEÇÃO")</f>
        <v>SEÇÃO</v>
      </c>
      <c r="E596" s="87" t="str">
        <f>IFERROR(__xludf.DUMMYFUNCTION("""COMPUTED_VALUE"""),"3 - ALMOX. ESTOQUE")</f>
        <v>3 - ALMOX. ESTOQUE</v>
      </c>
      <c r="F596" s="88" t="str">
        <f>IFERROR(__xludf.DUMMYFUNCTION("""COMPUTED_VALUE"""),"ALMOX. APH")</f>
        <v>ALMOX. APH</v>
      </c>
      <c r="G596" s="89">
        <f>IFERROR(__xludf.DUMMYFUNCTION("""COMPUTED_VALUE"""),4.0081656E7)</f>
        <v>40081656</v>
      </c>
      <c r="H596" s="87"/>
      <c r="I596" s="87"/>
    </row>
    <row r="597">
      <c r="A597" s="84">
        <f>IFERROR(__xludf.DUMMYFUNCTION("""COMPUTED_VALUE"""),596.0)</f>
        <v>596</v>
      </c>
      <c r="B597" s="85" t="str">
        <f>IFERROR(__xludf.DUMMYFUNCTION("""COMPUTED_VALUE"""),"REFRIGERADOR DOMESTICO -")</f>
        <v>REFRIGERADOR DOMESTICO -</v>
      </c>
      <c r="C597" s="86">
        <f>IFERROR(__xludf.DUMMYFUNCTION("""COMPUTED_VALUE"""),1.0)</f>
        <v>1</v>
      </c>
      <c r="D597" s="87" t="str">
        <f>IFERROR(__xludf.DUMMYFUNCTION("""COMPUTED_VALUE"""),"SEÇÃO")</f>
        <v>SEÇÃO</v>
      </c>
      <c r="E597" s="87" t="str">
        <f>IFERROR(__xludf.DUMMYFUNCTION("""COMPUTED_VALUE"""),"3 - ALMOX. ESTOQUE")</f>
        <v>3 - ALMOX. ESTOQUE</v>
      </c>
      <c r="F597" s="88" t="str">
        <f>IFERROR(__xludf.DUMMYFUNCTION("""COMPUTED_VALUE"""),"SALA DO FUTEBOL (SEDE)")</f>
        <v>SALA DO FUTEBOL (SEDE)</v>
      </c>
      <c r="G597" s="89">
        <f>IFERROR(__xludf.DUMMYFUNCTION("""COMPUTED_VALUE"""),4.0081982E7)</f>
        <v>40081982</v>
      </c>
      <c r="H597" s="87"/>
      <c r="I597" s="87"/>
    </row>
    <row r="598">
      <c r="A598" s="84">
        <f>IFERROR(__xludf.DUMMYFUNCTION("""COMPUTED_VALUE"""),597.0)</f>
        <v>597</v>
      </c>
      <c r="B598" s="85" t="str">
        <f>IFERROR(__xludf.DUMMYFUNCTION("""COMPUTED_VALUE"""),"TALHA -")</f>
        <v>TALHA -</v>
      </c>
      <c r="C598" s="86">
        <f>IFERROR(__xludf.DUMMYFUNCTION("""COMPUTED_VALUE"""),1.0)</f>
        <v>1</v>
      </c>
      <c r="D598" s="87" t="str">
        <f>IFERROR(__xludf.DUMMYFUNCTION("""COMPUTED_VALUE"""),"SEÇÃO")</f>
        <v>SEÇÃO</v>
      </c>
      <c r="E598" s="87" t="str">
        <f>IFERROR(__xludf.DUMMYFUNCTION("""COMPUTED_VALUE"""),"3 - 1ª CIA OP")</f>
        <v>3 - 1ª CIA OP</v>
      </c>
      <c r="F598" s="88" t="str">
        <f>IFERROR(__xludf.DUMMYFUNCTION("""COMPUTED_VALUE"""),"SETOR DE MEIOS")</f>
        <v>SETOR DE MEIOS</v>
      </c>
      <c r="G598" s="89">
        <f>IFERROR(__xludf.DUMMYFUNCTION("""COMPUTED_VALUE"""),4.0083829E7)</f>
        <v>40083829</v>
      </c>
      <c r="H598" s="87"/>
      <c r="I598" s="87" t="str">
        <f>IFERROR(__xludf.DUMMYFUNCTION("""COMPUTED_VALUE"""),"1.600 KG")</f>
        <v>1.600 KG</v>
      </c>
    </row>
    <row r="599">
      <c r="A599" s="84">
        <f>IFERROR(__xludf.DUMMYFUNCTION("""COMPUTED_VALUE"""),598.0)</f>
        <v>598</v>
      </c>
      <c r="B599" s="85" t="str">
        <f>IFERROR(__xludf.DUMMYFUNCTION("""COMPUTED_VALUE"""),"REBOQUE PARA EMBARCACOES -")</f>
        <v>REBOQUE PARA EMBARCACOES -</v>
      </c>
      <c r="C599" s="86">
        <f>IFERROR(__xludf.DUMMYFUNCTION("""COMPUTED_VALUE"""),1.0)</f>
        <v>1</v>
      </c>
      <c r="D599" s="87" t="str">
        <f>IFERROR(__xludf.DUMMYFUNCTION("""COMPUTED_VALUE"""),"SEÇÃO")</f>
        <v>SEÇÃO</v>
      </c>
      <c r="E599" s="87" t="str">
        <f>IFERROR(__xludf.DUMMYFUNCTION("""COMPUTED_VALUE"""),"3 - ALMOX. ESTOQUE")</f>
        <v>3 - ALMOX. ESTOQUE</v>
      </c>
      <c r="F599" s="88" t="str">
        <f>IFERROR(__xludf.DUMMYFUNCTION("""COMPUTED_VALUE"""),"ALMOX. SAO (SEDE)")</f>
        <v>ALMOX. SAO (SEDE)</v>
      </c>
      <c r="G599" s="89">
        <f>IFERROR(__xludf.DUMMYFUNCTION("""COMPUTED_VALUE"""),4.0084604E7)</f>
        <v>40084604</v>
      </c>
      <c r="H599" s="87" t="str">
        <f>IFERROR(__xludf.DUMMYFUNCTION("""COMPUTED_VALUE"""),"9A9RA1SMC9DEN1141")</f>
        <v>9A9RA1SMC9DEN1141</v>
      </c>
      <c r="I599" s="87" t="str">
        <f>IFERROR(__xludf.DUMMYFUNCTION("""COMPUTED_VALUE"""),"Barco (carretinha) - HMH8989")</f>
        <v>Barco (carretinha) - HMH8989</v>
      </c>
    </row>
    <row r="600">
      <c r="A600" s="84">
        <f>IFERROR(__xludf.DUMMYFUNCTION("""COMPUTED_VALUE"""),599.0)</f>
        <v>599</v>
      </c>
      <c r="B600" s="85" t="str">
        <f>IFERROR(__xludf.DUMMYFUNCTION("""COMPUTED_VALUE"""),"ROUPEIRO PARA VESTIARIO -")</f>
        <v>ROUPEIRO PARA VESTIARIO -</v>
      </c>
      <c r="C600" s="86">
        <f>IFERROR(__xludf.DUMMYFUNCTION("""COMPUTED_VALUE"""),1.0)</f>
        <v>1</v>
      </c>
      <c r="D600" s="87" t="str">
        <f>IFERROR(__xludf.DUMMYFUNCTION("""COMPUTED_VALUE"""),"SEÇÃO")</f>
        <v>SEÇÃO</v>
      </c>
      <c r="E600" s="87" t="str">
        <f>IFERROR(__xludf.DUMMYFUNCTION("""COMPUTED_VALUE"""),"3 - 1ª CIA OP")</f>
        <v>3 - 1ª CIA OP</v>
      </c>
      <c r="F600" s="88" t="str">
        <f>IFERROR(__xludf.DUMMYFUNCTION("""COMPUTED_VALUE"""),"PPV (ANTIGA)")</f>
        <v>PPV (ANTIGA)</v>
      </c>
      <c r="G600" s="89">
        <f>IFERROR(__xludf.DUMMYFUNCTION("""COMPUTED_VALUE"""),4.0086097E7)</f>
        <v>40086097</v>
      </c>
      <c r="H600" s="87"/>
      <c r="I600" s="87"/>
    </row>
    <row r="601">
      <c r="A601" s="84">
        <f>IFERROR(__xludf.DUMMYFUNCTION("""COMPUTED_VALUE"""),600.0)</f>
        <v>600</v>
      </c>
      <c r="B601" s="85" t="str">
        <f>IFERROR(__xludf.DUMMYFUNCTION("""COMPUTED_VALUE"""),"BEBEDOURO PARA GARRAFAO AGUA MINERAL -")</f>
        <v>BEBEDOURO PARA GARRAFAO AGUA MINERAL -</v>
      </c>
      <c r="C601" s="86">
        <f>IFERROR(__xludf.DUMMYFUNCTION("""COMPUTED_VALUE"""),1.0)</f>
        <v>1</v>
      </c>
      <c r="D601" s="87" t="str">
        <f>IFERROR(__xludf.DUMMYFUNCTION("""COMPUTED_VALUE"""),"SEÇÃO")</f>
        <v>SEÇÃO</v>
      </c>
      <c r="E601" s="87" t="str">
        <f>IFERROR(__xludf.DUMMYFUNCTION("""COMPUTED_VALUE"""),"3 - ALMOX. ESTOQUE")</f>
        <v>3 - ALMOX. ESTOQUE</v>
      </c>
      <c r="F601" s="88" t="str">
        <f>IFERROR(__xludf.DUMMYFUNCTION("""COMPUTED_VALUE"""),"SALA DO FUTEBOL (SEDE)")</f>
        <v>SALA DO FUTEBOL (SEDE)</v>
      </c>
      <c r="G601" s="89">
        <f>IFERROR(__xludf.DUMMYFUNCTION("""COMPUTED_VALUE"""),4.0090752E7)</f>
        <v>40090752</v>
      </c>
      <c r="H601" s="87"/>
      <c r="I601" s="87"/>
    </row>
    <row r="602">
      <c r="A602" s="84">
        <f>IFERROR(__xludf.DUMMYFUNCTION("""COMPUTED_VALUE"""),601.0)</f>
        <v>601</v>
      </c>
      <c r="B602" s="85" t="str">
        <f>IFERROR(__xludf.DUMMYFUNCTION("""COMPUTED_VALUE"""),"CONJUNTO DE APARELHO DE MERGULHO -")</f>
        <v>CONJUNTO DE APARELHO DE MERGULHO -</v>
      </c>
      <c r="C602" s="86">
        <f>IFERROR(__xludf.DUMMYFUNCTION("""COMPUTED_VALUE"""),1.0)</f>
        <v>1</v>
      </c>
      <c r="D602" s="87" t="str">
        <f>IFERROR(__xludf.DUMMYFUNCTION("""COMPUTED_VALUE"""),"SEÇÃO")</f>
        <v>SEÇÃO</v>
      </c>
      <c r="E602" s="87" t="str">
        <f>IFERROR(__xludf.DUMMYFUNCTION("""COMPUTED_VALUE"""),"3 - DESCARGA")</f>
        <v>3 - DESCARGA</v>
      </c>
      <c r="F602" s="88"/>
      <c r="G602" s="89">
        <f>IFERROR(__xludf.DUMMYFUNCTION("""COMPUTED_VALUE"""),4.0096378E7)</f>
        <v>40096378</v>
      </c>
      <c r="H602" s="87"/>
      <c r="I602" s="87" t="str">
        <f>IFERROR(__xludf.DUMMYFUNCTION("""COMPUTED_VALUE"""),"MATERIAL DESCARREGADO - PROCESSO Nº 1400.01.0026473/2023-01")</f>
        <v>MATERIAL DESCARREGADO - PROCESSO Nº 1400.01.0026473/2023-01</v>
      </c>
    </row>
    <row r="603">
      <c r="A603" s="84">
        <f>IFERROR(__xludf.DUMMYFUNCTION("""COMPUTED_VALUE"""),602.0)</f>
        <v>602</v>
      </c>
      <c r="B603" s="85" t="str">
        <f>IFERROR(__xludf.DUMMYFUNCTION("""COMPUTED_VALUE"""),"CONJUNTO DE APARELHO DE MERGULHO -")</f>
        <v>CONJUNTO DE APARELHO DE MERGULHO -</v>
      </c>
      <c r="C603" s="86">
        <f>IFERROR(__xludf.DUMMYFUNCTION("""COMPUTED_VALUE"""),1.0)</f>
        <v>1</v>
      </c>
      <c r="D603" s="87" t="str">
        <f>IFERROR(__xludf.DUMMYFUNCTION("""COMPUTED_VALUE"""),"SEÇÃO")</f>
        <v>SEÇÃO</v>
      </c>
      <c r="E603" s="87" t="str">
        <f>IFERROR(__xludf.DUMMYFUNCTION("""COMPUTED_VALUE"""),"3 - DESCARGA")</f>
        <v>3 - DESCARGA</v>
      </c>
      <c r="F603" s="88"/>
      <c r="G603" s="89">
        <f>IFERROR(__xludf.DUMMYFUNCTION("""COMPUTED_VALUE"""),4.0096386E7)</f>
        <v>40096386</v>
      </c>
      <c r="H603" s="87"/>
      <c r="I603" s="87" t="str">
        <f>IFERROR(__xludf.DUMMYFUNCTION("""COMPUTED_VALUE"""),"MATERIAL DESCARREGADO - PROCESSO Nº 1400.01.0026473/2023-01")</f>
        <v>MATERIAL DESCARREGADO - PROCESSO Nº 1400.01.0026473/2023-01</v>
      </c>
    </row>
    <row r="604">
      <c r="A604" s="84">
        <f>IFERROR(__xludf.DUMMYFUNCTION("""COMPUTED_VALUE"""),603.0)</f>
        <v>603</v>
      </c>
      <c r="B604" s="85" t="str">
        <f>IFERROR(__xludf.DUMMYFUNCTION("""COMPUTED_VALUE"""),"CONJUNTO DE APARELHO DE MERGULHO -")</f>
        <v>CONJUNTO DE APARELHO DE MERGULHO -</v>
      </c>
      <c r="C604" s="86">
        <f>IFERROR(__xludf.DUMMYFUNCTION("""COMPUTED_VALUE"""),1.0)</f>
        <v>1</v>
      </c>
      <c r="D604" s="87" t="str">
        <f>IFERROR(__xludf.DUMMYFUNCTION("""COMPUTED_VALUE"""),"SEÇÃO")</f>
        <v>SEÇÃO</v>
      </c>
      <c r="E604" s="87" t="str">
        <f>IFERROR(__xludf.DUMMYFUNCTION("""COMPUTED_VALUE"""),"3 - ALMOX. ESTOQUE")</f>
        <v>3 - ALMOX. ESTOQUE</v>
      </c>
      <c r="F604" s="88" t="str">
        <f>IFERROR(__xludf.DUMMYFUNCTION("""COMPUTED_VALUE"""),"ALMOX. SAO (SEDE)")</f>
        <v>ALMOX. SAO (SEDE)</v>
      </c>
      <c r="G604" s="89">
        <f>IFERROR(__xludf.DUMMYFUNCTION("""COMPUTED_VALUE"""),4.0096394E7)</f>
        <v>40096394</v>
      </c>
      <c r="H604" s="87"/>
      <c r="I604" s="87" t="str">
        <f>IFERROR(__xludf.DUMMYFUNCTION("""COMPUTED_VALUE"""),"Atrás do palco")</f>
        <v>Atrás do palco</v>
      </c>
    </row>
    <row r="605">
      <c r="A605" s="84">
        <f>IFERROR(__xludf.DUMMYFUNCTION("""COMPUTED_VALUE"""),604.0)</f>
        <v>604</v>
      </c>
      <c r="B605" s="85" t="str">
        <f>IFERROR(__xludf.DUMMYFUNCTION("""COMPUTED_VALUE"""),"CONJUNTO DE APARELHO DE MERGULHO -")</f>
        <v>CONJUNTO DE APARELHO DE MERGULHO -</v>
      </c>
      <c r="C605" s="86">
        <f>IFERROR(__xludf.DUMMYFUNCTION("""COMPUTED_VALUE"""),1.0)</f>
        <v>1</v>
      </c>
      <c r="D605" s="87" t="str">
        <f>IFERROR(__xludf.DUMMYFUNCTION("""COMPUTED_VALUE"""),"SEÇÃO")</f>
        <v>SEÇÃO</v>
      </c>
      <c r="E605" s="87" t="str">
        <f>IFERROR(__xludf.DUMMYFUNCTION("""COMPUTED_VALUE"""),"3 - ALMOX. ESTOQUE")</f>
        <v>3 - ALMOX. ESTOQUE</v>
      </c>
      <c r="F605" s="88" t="str">
        <f>IFERROR(__xludf.DUMMYFUNCTION("""COMPUTED_VALUE"""),"ALMOX. SAO (SEDE)")</f>
        <v>ALMOX. SAO (SEDE)</v>
      </c>
      <c r="G605" s="89">
        <f>IFERROR(__xludf.DUMMYFUNCTION("""COMPUTED_VALUE"""),4.0096408E7)</f>
        <v>40096408</v>
      </c>
      <c r="H605" s="87"/>
      <c r="I605" s="87" t="str">
        <f>IFERROR(__xludf.DUMMYFUNCTION("""COMPUTED_VALUE"""),"Atrás do palco")</f>
        <v>Atrás do palco</v>
      </c>
    </row>
    <row r="606">
      <c r="A606" s="84">
        <f>IFERROR(__xludf.DUMMYFUNCTION("""COMPUTED_VALUE"""),605.0)</f>
        <v>605</v>
      </c>
      <c r="B606" s="85" t="str">
        <f>IFERROR(__xludf.DUMMYFUNCTION("""COMPUTED_VALUE"""),"CONJUNTO DE APARELHO DE MERGULHO -")</f>
        <v>CONJUNTO DE APARELHO DE MERGULHO -</v>
      </c>
      <c r="C606" s="86">
        <f>IFERROR(__xludf.DUMMYFUNCTION("""COMPUTED_VALUE"""),1.0)</f>
        <v>1</v>
      </c>
      <c r="D606" s="87" t="str">
        <f>IFERROR(__xludf.DUMMYFUNCTION("""COMPUTED_VALUE"""),"SEÇÃO")</f>
        <v>SEÇÃO</v>
      </c>
      <c r="E606" s="87" t="str">
        <f>IFERROR(__xludf.DUMMYFUNCTION("""COMPUTED_VALUE"""),"3 - ALMOX. ESTOQUE")</f>
        <v>3 - ALMOX. ESTOQUE</v>
      </c>
      <c r="F606" s="88" t="str">
        <f>IFERROR(__xludf.DUMMYFUNCTION("""COMPUTED_VALUE"""),"ALMOX. SAO (SEDE)")</f>
        <v>ALMOX. SAO (SEDE)</v>
      </c>
      <c r="G606" s="89">
        <f>IFERROR(__xludf.DUMMYFUNCTION("""COMPUTED_VALUE"""),4.0096416E7)</f>
        <v>40096416</v>
      </c>
      <c r="H606" s="87"/>
      <c r="I606" s="87" t="str">
        <f>IFERROR(__xludf.DUMMYFUNCTION("""COMPUTED_VALUE"""),"Atrás do palco")</f>
        <v>Atrás do palco</v>
      </c>
    </row>
    <row r="607">
      <c r="A607" s="84">
        <f>IFERROR(__xludf.DUMMYFUNCTION("""COMPUTED_VALUE"""),606.0)</f>
        <v>606</v>
      </c>
      <c r="B607" s="85" t="str">
        <f>IFERROR(__xludf.DUMMYFUNCTION("""COMPUTED_VALUE"""),"EXTINTOR DE INCENDIO -")</f>
        <v>EXTINTOR DE INCENDIO -</v>
      </c>
      <c r="C607" s="86">
        <f>IFERROR(__xludf.DUMMYFUNCTION("""COMPUTED_VALUE"""),1.0)</f>
        <v>1</v>
      </c>
      <c r="D607" s="87" t="str">
        <f>IFERROR(__xludf.DUMMYFUNCTION("""COMPUTED_VALUE"""),"SEÇÃO")</f>
        <v>SEÇÃO</v>
      </c>
      <c r="E607" s="87" t="str">
        <f>IFERROR(__xludf.DUMMYFUNCTION("""COMPUTED_VALUE"""),"3 - DESCARGA")</f>
        <v>3 - DESCARGA</v>
      </c>
      <c r="F607" s="88"/>
      <c r="G607" s="89">
        <f>IFERROR(__xludf.DUMMYFUNCTION("""COMPUTED_VALUE"""),4.0105164E7)</f>
        <v>40105164</v>
      </c>
      <c r="H607" s="87" t="str">
        <f>IFERROR(__xludf.DUMMYFUNCTION("""COMPUTED_VALUE"""),"Extintor de Pó BC 06 kg")</f>
        <v>Extintor de Pó BC 06 kg</v>
      </c>
      <c r="I607" s="87" t="str">
        <f>IFERROR(__xludf.DUMMYFUNCTION("""COMPUTED_VALUE"""),"MATERIAL DESCARREGADO - PROCESSO Nº 1400.01.0026473/2023-04")</f>
        <v>MATERIAL DESCARREGADO - PROCESSO Nº 1400.01.0026473/2023-04</v>
      </c>
    </row>
    <row r="608">
      <c r="A608" s="84">
        <f>IFERROR(__xludf.DUMMYFUNCTION("""COMPUTED_VALUE"""),607.0)</f>
        <v>607</v>
      </c>
      <c r="B608" s="85" t="str">
        <f>IFERROR(__xludf.DUMMYFUNCTION("""COMPUTED_VALUE"""),"EXTINTOR DE INCENDIO -")</f>
        <v>EXTINTOR DE INCENDIO -</v>
      </c>
      <c r="C608" s="86">
        <f>IFERROR(__xludf.DUMMYFUNCTION("""COMPUTED_VALUE"""),1.0)</f>
        <v>1</v>
      </c>
      <c r="D608" s="87" t="str">
        <f>IFERROR(__xludf.DUMMYFUNCTION("""COMPUTED_VALUE"""),"SEÇÃO")</f>
        <v>SEÇÃO</v>
      </c>
      <c r="E608" s="87" t="str">
        <f>IFERROR(__xludf.DUMMYFUNCTION("""COMPUTED_VALUE"""),"3 - 1ª CIA OP")</f>
        <v>3 - 1ª CIA OP</v>
      </c>
      <c r="F608" s="88"/>
      <c r="G608" s="89">
        <f>IFERROR(__xludf.DUMMYFUNCTION("""COMPUTED_VALUE"""),4.0105172E7)</f>
        <v>40105172</v>
      </c>
      <c r="H608" s="87" t="str">
        <f>IFERROR(__xludf.DUMMYFUNCTION("""COMPUTED_VALUE"""),"Extintor de Pó BC 06 kg")</f>
        <v>Extintor de Pó BC 06 kg</v>
      </c>
      <c r="I608" s="87" t="str">
        <f>IFERROR(__xludf.DUMMYFUNCTION("""COMPUTED_VALUE"""),"Garagem da PI - transferido para o 1º COB")</f>
        <v>Garagem da PI - transferido para o 1º COB</v>
      </c>
    </row>
    <row r="609">
      <c r="A609" s="84">
        <f>IFERROR(__xludf.DUMMYFUNCTION("""COMPUTED_VALUE"""),608.0)</f>
        <v>608</v>
      </c>
      <c r="B609" s="85" t="str">
        <f>IFERROR(__xludf.DUMMYFUNCTION("""COMPUTED_VALUE"""),"EXTINTOR DE INCENDIO -")</f>
        <v>EXTINTOR DE INCENDIO -</v>
      </c>
      <c r="C609" s="86">
        <f>IFERROR(__xludf.DUMMYFUNCTION("""COMPUTED_VALUE"""),1.0)</f>
        <v>1</v>
      </c>
      <c r="D609" s="87" t="str">
        <f>IFERROR(__xludf.DUMMYFUNCTION("""COMPUTED_VALUE"""),"SEÇÃO")</f>
        <v>SEÇÃO</v>
      </c>
      <c r="E609" s="87" t="str">
        <f>IFERROR(__xludf.DUMMYFUNCTION("""COMPUTED_VALUE"""),"3 - 1ª CIA OP")</f>
        <v>3 - 1ª CIA OP</v>
      </c>
      <c r="F609" s="88"/>
      <c r="G609" s="89">
        <f>IFERROR(__xludf.DUMMYFUNCTION("""COMPUTED_VALUE"""),4.010518E7)</f>
        <v>40105180</v>
      </c>
      <c r="H609" s="87" t="str">
        <f>IFERROR(__xludf.DUMMYFUNCTION("""COMPUTED_VALUE"""),"Extintor de Pó BC 06 kg")</f>
        <v>Extintor de Pó BC 06 kg</v>
      </c>
      <c r="I609" s="87" t="str">
        <f>IFERROR(__xludf.DUMMYFUNCTION("""COMPUTED_VALUE"""),"Pront. Incêndio próx. à sala de materiais provisórios -Transferido p/ 1º COB")</f>
        <v>Pront. Incêndio próx. à sala de materiais provisórios -Transferido p/ 1º COB</v>
      </c>
    </row>
    <row r="610">
      <c r="A610" s="84">
        <f>IFERROR(__xludf.DUMMYFUNCTION("""COMPUTED_VALUE"""),609.0)</f>
        <v>609</v>
      </c>
      <c r="B610" s="85" t="str">
        <f>IFERROR(__xludf.DUMMYFUNCTION("""COMPUTED_VALUE"""),"EXTINTOR DE INCENDIO -")</f>
        <v>EXTINTOR DE INCENDIO -</v>
      </c>
      <c r="C610" s="86">
        <f>IFERROR(__xludf.DUMMYFUNCTION("""COMPUTED_VALUE"""),1.0)</f>
        <v>1</v>
      </c>
      <c r="D610" s="87" t="str">
        <f>IFERROR(__xludf.DUMMYFUNCTION("""COMPUTED_VALUE"""),"SEÇÃO")</f>
        <v>SEÇÃO</v>
      </c>
      <c r="E610" s="87" t="str">
        <f>IFERROR(__xludf.DUMMYFUNCTION("""COMPUTED_VALUE"""),"3 - 1ª CIA OP")</f>
        <v>3 - 1ª CIA OP</v>
      </c>
      <c r="F610" s="88"/>
      <c r="G610" s="89">
        <f>IFERROR(__xludf.DUMMYFUNCTION("""COMPUTED_VALUE"""),4.0105199E7)</f>
        <v>40105199</v>
      </c>
      <c r="H610" s="87" t="str">
        <f>IFERROR(__xludf.DUMMYFUNCTION("""COMPUTED_VALUE"""),"Extintor de Pó BC 06 kg")</f>
        <v>Extintor de Pó BC 06 kg</v>
      </c>
      <c r="I610" s="87" t="str">
        <f>IFERROR(__xludf.DUMMYFUNCTION("""COMPUTED_VALUE"""),"Sala de mergulho")</f>
        <v>Sala de mergulho</v>
      </c>
    </row>
    <row r="611">
      <c r="A611" s="84">
        <f>IFERROR(__xludf.DUMMYFUNCTION("""COMPUTED_VALUE"""),610.0)</f>
        <v>610</v>
      </c>
      <c r="B611" s="85" t="str">
        <f>IFERROR(__xludf.DUMMYFUNCTION("""COMPUTED_VALUE"""),"EXTINTOR DE INCENDIO -")</f>
        <v>EXTINTOR DE INCENDIO -</v>
      </c>
      <c r="C611" s="86">
        <f>IFERROR(__xludf.DUMMYFUNCTION("""COMPUTED_VALUE"""),1.0)</f>
        <v>1</v>
      </c>
      <c r="D611" s="87" t="str">
        <f>IFERROR(__xludf.DUMMYFUNCTION("""COMPUTED_VALUE"""),"SEÇÃO")</f>
        <v>SEÇÃO</v>
      </c>
      <c r="E611" s="87" t="str">
        <f>IFERROR(__xludf.DUMMYFUNCTION("""COMPUTED_VALUE"""),"3 - ALMOX. ESTOQUE")</f>
        <v>3 - ALMOX. ESTOQUE</v>
      </c>
      <c r="F611" s="88"/>
      <c r="G611" s="89">
        <f>IFERROR(__xludf.DUMMYFUNCTION("""COMPUTED_VALUE"""),4.0105202E7)</f>
        <v>40105202</v>
      </c>
      <c r="H611" s="87" t="str">
        <f>IFERROR(__xludf.DUMMYFUNCTION("""COMPUTED_VALUE"""),"Tipo B:C 6 Kg")</f>
        <v>Tipo B:C 6 Kg</v>
      </c>
      <c r="I611" s="87" t="str">
        <f>IFERROR(__xludf.DUMMYFUNCTION("""COMPUTED_VALUE"""),"prox. a sala do comandante")</f>
        <v>prox. a sala do comandante</v>
      </c>
    </row>
    <row r="612">
      <c r="A612" s="84">
        <f>IFERROR(__xludf.DUMMYFUNCTION("""COMPUTED_VALUE"""),611.0)</f>
        <v>611</v>
      </c>
      <c r="B612" s="85" t="str">
        <f>IFERROR(__xludf.DUMMYFUNCTION("""COMPUTED_VALUE"""),"EXTINTOR DE INCENDIO -")</f>
        <v>EXTINTOR DE INCENDIO -</v>
      </c>
      <c r="C612" s="86">
        <f>IFERROR(__xludf.DUMMYFUNCTION("""COMPUTED_VALUE"""),1.0)</f>
        <v>1</v>
      </c>
      <c r="D612" s="87" t="str">
        <f>IFERROR(__xludf.DUMMYFUNCTION("""COMPUTED_VALUE"""),"SEÇÃO")</f>
        <v>SEÇÃO</v>
      </c>
      <c r="E612" s="87" t="str">
        <f>IFERROR(__xludf.DUMMYFUNCTION("""COMPUTED_VALUE"""),"3 - ALMOX. ESTOQUE")</f>
        <v>3 - ALMOX. ESTOQUE</v>
      </c>
      <c r="F612" s="88"/>
      <c r="G612" s="89">
        <f>IFERROR(__xludf.DUMMYFUNCTION("""COMPUTED_VALUE"""),4.010521E7)</f>
        <v>40105210</v>
      </c>
      <c r="H612" s="87" t="str">
        <f>IFERROR(__xludf.DUMMYFUNCTION("""COMPUTED_VALUE"""),"Tipo B:C 6 Kg")</f>
        <v>Tipo B:C 6 Kg</v>
      </c>
      <c r="I612" s="87" t="str">
        <f>IFERROR(__xludf.DUMMYFUNCTION("""COMPUTED_VALUE"""),"prox. a armaria")</f>
        <v>prox. a armaria</v>
      </c>
    </row>
    <row r="613">
      <c r="A613" s="84">
        <f>IFERROR(__xludf.DUMMYFUNCTION("""COMPUTED_VALUE"""),612.0)</f>
        <v>612</v>
      </c>
      <c r="B613" s="85" t="str">
        <f>IFERROR(__xludf.DUMMYFUNCTION("""COMPUTED_VALUE"""),"EXTINTOR DE INCENDIO -")</f>
        <v>EXTINTOR DE INCENDIO -</v>
      </c>
      <c r="C613" s="86">
        <f>IFERROR(__xludf.DUMMYFUNCTION("""COMPUTED_VALUE"""),1.0)</f>
        <v>1</v>
      </c>
      <c r="D613" s="87" t="str">
        <f>IFERROR(__xludf.DUMMYFUNCTION("""COMPUTED_VALUE"""),"SEÇÃO")</f>
        <v>SEÇÃO</v>
      </c>
      <c r="E613" s="87" t="str">
        <f>IFERROR(__xludf.DUMMYFUNCTION("""COMPUTED_VALUE"""),"3 - ALMOX. ESTOQUE")</f>
        <v>3 - ALMOX. ESTOQUE</v>
      </c>
      <c r="F613" s="88"/>
      <c r="G613" s="89">
        <f>IFERROR(__xludf.DUMMYFUNCTION("""COMPUTED_VALUE"""),4.0105229E7)</f>
        <v>40105229</v>
      </c>
      <c r="H613" s="87" t="str">
        <f>IFERROR(__xludf.DUMMYFUNCTION("""COMPUTED_VALUE"""),"Extintor A,B,C 6kg ")</f>
        <v>Extintor A,B,C 6kg </v>
      </c>
      <c r="I613" s="87" t="str">
        <f>IFERROR(__xludf.DUMMYFUNCTION("""COMPUTED_VALUE"""),"Guarda (sede)")</f>
        <v>Guarda (sede)</v>
      </c>
    </row>
    <row r="614">
      <c r="A614" s="84">
        <f>IFERROR(__xludf.DUMMYFUNCTION("""COMPUTED_VALUE"""),613.0)</f>
        <v>613</v>
      </c>
      <c r="B614" s="85" t="str">
        <f>IFERROR(__xludf.DUMMYFUNCTION("""COMPUTED_VALUE"""),"EXTINTOR DE INCENDIO -")</f>
        <v>EXTINTOR DE INCENDIO -</v>
      </c>
      <c r="C614" s="86">
        <f>IFERROR(__xludf.DUMMYFUNCTION("""COMPUTED_VALUE"""),1.0)</f>
        <v>1</v>
      </c>
      <c r="D614" s="87" t="str">
        <f>IFERROR(__xludf.DUMMYFUNCTION("""COMPUTED_VALUE"""),"SEÇÃO")</f>
        <v>SEÇÃO</v>
      </c>
      <c r="E614" s="87" t="str">
        <f>IFERROR(__xludf.DUMMYFUNCTION("""COMPUTED_VALUE"""),"3 - DESCARGA")</f>
        <v>3 - DESCARGA</v>
      </c>
      <c r="F614" s="88"/>
      <c r="G614" s="89">
        <f>IFERROR(__xludf.DUMMYFUNCTION("""COMPUTED_VALUE"""),4.0105237E7)</f>
        <v>40105237</v>
      </c>
      <c r="H614" s="87" t="str">
        <f>IFERROR(__xludf.DUMMYFUNCTION("""COMPUTED_VALUE"""),"Tipo B:C 6 Kg")</f>
        <v>Tipo B:C 6 Kg</v>
      </c>
      <c r="I614" s="87" t="str">
        <f>IFERROR(__xludf.DUMMYFUNCTION("""COMPUTED_VALUE"""),"MATERIAL DESCARREGADO - PROCESSO Nº 1400.01.0026473/2023-04")</f>
        <v>MATERIAL DESCARREGADO - PROCESSO Nº 1400.01.0026473/2023-04</v>
      </c>
    </row>
    <row r="615">
      <c r="A615" s="84">
        <f>IFERROR(__xludf.DUMMYFUNCTION("""COMPUTED_VALUE"""),614.0)</f>
        <v>614</v>
      </c>
      <c r="B615" s="85" t="str">
        <f>IFERROR(__xludf.DUMMYFUNCTION("""COMPUTED_VALUE"""),"EXTINTOR DE INCENDIO -")</f>
        <v>EXTINTOR DE INCENDIO -</v>
      </c>
      <c r="C615" s="86">
        <f>IFERROR(__xludf.DUMMYFUNCTION("""COMPUTED_VALUE"""),1.0)</f>
        <v>1</v>
      </c>
      <c r="D615" s="87" t="str">
        <f>IFERROR(__xludf.DUMMYFUNCTION("""COMPUTED_VALUE"""),"SEÇÃO")</f>
        <v>SEÇÃO</v>
      </c>
      <c r="E615" s="87" t="str">
        <f>IFERROR(__xludf.DUMMYFUNCTION("""COMPUTED_VALUE"""),"3 - ALMOX. ESTOQUE")</f>
        <v>3 - ALMOX. ESTOQUE</v>
      </c>
      <c r="F615" s="88"/>
      <c r="G615" s="89">
        <f>IFERROR(__xludf.DUMMYFUNCTION("""COMPUTED_VALUE"""),4.0105245E7)</f>
        <v>40105245</v>
      </c>
      <c r="H615" s="87" t="str">
        <f>IFERROR(__xludf.DUMMYFUNCTION("""COMPUTED_VALUE"""),"Tipo B:C 6 Kg")</f>
        <v>Tipo B:C 6 Kg</v>
      </c>
      <c r="I615" s="87" t="str">
        <f>IFERROR(__xludf.DUMMYFUNCTION("""COMPUTED_VALUE"""),"Banheiro Masculino, próx. ao compo de futebol")</f>
        <v>Banheiro Masculino, próx. ao compo de futebol</v>
      </c>
    </row>
    <row r="616">
      <c r="A616" s="84">
        <f>IFERROR(__xludf.DUMMYFUNCTION("""COMPUTED_VALUE"""),615.0)</f>
        <v>615</v>
      </c>
      <c r="B616" s="85" t="str">
        <f>IFERROR(__xludf.DUMMYFUNCTION("""COMPUTED_VALUE"""),"EXTINTOR DE INCENDIO -")</f>
        <v>EXTINTOR DE INCENDIO -</v>
      </c>
      <c r="C616" s="86">
        <f>IFERROR(__xludf.DUMMYFUNCTION("""COMPUTED_VALUE"""),1.0)</f>
        <v>1</v>
      </c>
      <c r="D616" s="87" t="str">
        <f>IFERROR(__xludf.DUMMYFUNCTION("""COMPUTED_VALUE"""),"SEÇÃO")</f>
        <v>SEÇÃO</v>
      </c>
      <c r="E616" s="87" t="str">
        <f>IFERROR(__xludf.DUMMYFUNCTION("""COMPUTED_VALUE"""),"3 - DESCARGA")</f>
        <v>3 - DESCARGA</v>
      </c>
      <c r="F616" s="88"/>
      <c r="G616" s="89">
        <f>IFERROR(__xludf.DUMMYFUNCTION("""COMPUTED_VALUE"""),4.0105253E7)</f>
        <v>40105253</v>
      </c>
      <c r="H616" s="87" t="str">
        <f>IFERROR(__xludf.DUMMYFUNCTION("""COMPUTED_VALUE"""),"Tipo B:C 12 Kg")</f>
        <v>Tipo B:C 12 Kg</v>
      </c>
      <c r="I616" s="87" t="str">
        <f>IFERROR(__xludf.DUMMYFUNCTION("""COMPUTED_VALUE"""),"MATERIAL DESCARREGADO - PROCESSO Nº 1400.01.0026473/2023-04")</f>
        <v>MATERIAL DESCARREGADO - PROCESSO Nº 1400.01.0026473/2023-04</v>
      </c>
    </row>
    <row r="617">
      <c r="A617" s="84">
        <f>IFERROR(__xludf.DUMMYFUNCTION("""COMPUTED_VALUE"""),616.0)</f>
        <v>616</v>
      </c>
      <c r="B617" s="85" t="str">
        <f>IFERROR(__xludf.DUMMYFUNCTION("""COMPUTED_VALUE"""),"AR CONDICIONADO -")</f>
        <v>AR CONDICIONADO -</v>
      </c>
      <c r="C617" s="86">
        <f>IFERROR(__xludf.DUMMYFUNCTION("""COMPUTED_VALUE"""),1.0)</f>
        <v>1</v>
      </c>
      <c r="D617" s="87" t="str">
        <f>IFERROR(__xludf.DUMMYFUNCTION("""COMPUTED_VALUE"""),"SEÇÃO")</f>
        <v>SEÇÃO</v>
      </c>
      <c r="E617" s="87" t="str">
        <f>IFERROR(__xludf.DUMMYFUNCTION("""COMPUTED_VALUE"""),"3 - GUARDA")</f>
        <v>3 - GUARDA</v>
      </c>
      <c r="F617" s="88"/>
      <c r="G617" s="89">
        <f>IFERROR(__xludf.DUMMYFUNCTION("""COMPUTED_VALUE"""),4.0109909E7)</f>
        <v>40109909</v>
      </c>
      <c r="H617" s="87"/>
      <c r="I617" s="87" t="str">
        <f>IFERROR(__xludf.DUMMYFUNCTION("""COMPUTED_VALUE"""),"Guarda 5ª Cia - Sede")</f>
        <v>Guarda 5ª Cia - Sede</v>
      </c>
    </row>
    <row r="618">
      <c r="A618" s="84">
        <f>IFERROR(__xludf.DUMMYFUNCTION("""COMPUTED_VALUE"""),617.0)</f>
        <v>617</v>
      </c>
      <c r="B618" s="85" t="str">
        <f>IFERROR(__xludf.DUMMYFUNCTION("""COMPUTED_VALUE"""),"SOFA PARA ESCRITORIO -")</f>
        <v>SOFA PARA ESCRITORIO -</v>
      </c>
      <c r="C618" s="86">
        <f>IFERROR(__xludf.DUMMYFUNCTION("""COMPUTED_VALUE"""),1.0)</f>
        <v>1</v>
      </c>
      <c r="D618" s="87" t="str">
        <f>IFERROR(__xludf.DUMMYFUNCTION("""COMPUTED_VALUE"""),"SEÇÃO")</f>
        <v>SEÇÃO</v>
      </c>
      <c r="E618" s="87" t="str">
        <f>IFERROR(__xludf.DUMMYFUNCTION("""COMPUTED_VALUE"""),"3 - SUB COMANDANTE")</f>
        <v>3 - SUB COMANDANTE</v>
      </c>
      <c r="F618" s="88"/>
      <c r="G618" s="89">
        <f>IFERROR(__xludf.DUMMYFUNCTION("""COMPUTED_VALUE"""),4.0141926E7)</f>
        <v>40141926</v>
      </c>
      <c r="H618" s="87"/>
      <c r="I618" s="87"/>
    </row>
    <row r="619">
      <c r="A619" s="84">
        <f>IFERROR(__xludf.DUMMYFUNCTION("""COMPUTED_VALUE"""),618.0)</f>
        <v>618</v>
      </c>
      <c r="B619" s="85" t="str">
        <f>IFERROR(__xludf.DUMMYFUNCTION("""COMPUTED_VALUE"""),"MESA PARA ESCRITORIO -")</f>
        <v>MESA PARA ESCRITORIO -</v>
      </c>
      <c r="C619" s="86">
        <f>IFERROR(__xludf.DUMMYFUNCTION("""COMPUTED_VALUE"""),1.0)</f>
        <v>1</v>
      </c>
      <c r="D619" s="87" t="str">
        <f>IFERROR(__xludf.DUMMYFUNCTION("""COMPUTED_VALUE"""),"SEÇÃO")</f>
        <v>SEÇÃO</v>
      </c>
      <c r="E619" s="87" t="str">
        <f>IFERROR(__xludf.DUMMYFUNCTION("""COMPUTED_VALUE"""),"3 - DESCARGA")</f>
        <v>3 - DESCARGA</v>
      </c>
      <c r="F619" s="88"/>
      <c r="G619" s="89">
        <f>IFERROR(__xludf.DUMMYFUNCTION("""COMPUTED_VALUE"""),4.015744E7)</f>
        <v>40157440</v>
      </c>
      <c r="H619" s="87"/>
      <c r="I619" s="87" t="str">
        <f>IFERROR(__xludf.DUMMYFUNCTION("""COMPUTED_VALUE"""),"MATERIAL DESCARREGADO - PROCESSO Nº 1400.01.0026473/2023-04")</f>
        <v>MATERIAL DESCARREGADO - PROCESSO Nº 1400.01.0026473/2023-04</v>
      </c>
    </row>
    <row r="620">
      <c r="A620" s="84">
        <f>IFERROR(__xludf.DUMMYFUNCTION("""COMPUTED_VALUE"""),619.0)</f>
        <v>619</v>
      </c>
      <c r="B620" s="85" t="str">
        <f>IFERROR(__xludf.DUMMYFUNCTION("""COMPUTED_VALUE"""),"MESA PARA ESCRITORIO -")</f>
        <v>MESA PARA ESCRITORIO -</v>
      </c>
      <c r="C620" s="86">
        <f>IFERROR(__xludf.DUMMYFUNCTION("""COMPUTED_VALUE"""),1.0)</f>
        <v>1</v>
      </c>
      <c r="D620" s="87" t="str">
        <f>IFERROR(__xludf.DUMMYFUNCTION("""COMPUTED_VALUE"""),"SEÇÃO")</f>
        <v>SEÇÃO</v>
      </c>
      <c r="E620" s="87" t="str">
        <f>IFERROR(__xludf.DUMMYFUNCTION("""COMPUTED_VALUE"""),"3 - ALOJAMENTO FEM (SEDE)")</f>
        <v>3 - ALOJAMENTO FEM (SEDE)</v>
      </c>
      <c r="F620" s="88"/>
      <c r="G620" s="89">
        <f>IFERROR(__xludf.DUMMYFUNCTION("""COMPUTED_VALUE"""),4.0157458E7)</f>
        <v>40157458</v>
      </c>
      <c r="H620" s="87"/>
      <c r="I620" s="87"/>
    </row>
    <row r="621">
      <c r="A621" s="84">
        <f>IFERROR(__xludf.DUMMYFUNCTION("""COMPUTED_VALUE"""),620.0)</f>
        <v>620</v>
      </c>
      <c r="B621" s="85" t="str">
        <f>IFERROR(__xludf.DUMMYFUNCTION("""COMPUTED_VALUE"""),"MESA PARA ESCRITORIO -")</f>
        <v>MESA PARA ESCRITORIO -</v>
      </c>
      <c r="C621" s="86">
        <f>IFERROR(__xludf.DUMMYFUNCTION("""COMPUTED_VALUE"""),1.0)</f>
        <v>1</v>
      </c>
      <c r="D621" s="87" t="str">
        <f>IFERROR(__xludf.DUMMYFUNCTION("""COMPUTED_VALUE"""),"SEÇÃO")</f>
        <v>SEÇÃO</v>
      </c>
      <c r="E621" s="87" t="str">
        <f>IFERROR(__xludf.DUMMYFUNCTION("""COMPUTED_VALUE"""),"3 - 1ª CIA OP")</f>
        <v>3 - 1ª CIA OP</v>
      </c>
      <c r="F621" s="88" t="str">
        <f>IFERROR(__xludf.DUMMYFUNCTION("""COMPUTED_VALUE"""),"SECRETARIA")</f>
        <v>SECRETARIA</v>
      </c>
      <c r="G621" s="89">
        <f>IFERROR(__xludf.DUMMYFUNCTION("""COMPUTED_VALUE"""),4.0157466E7)</f>
        <v>40157466</v>
      </c>
      <c r="H621" s="87"/>
      <c r="I621" s="87"/>
    </row>
    <row r="622">
      <c r="A622" s="84">
        <f>IFERROR(__xludf.DUMMYFUNCTION("""COMPUTED_VALUE"""),621.0)</f>
        <v>621</v>
      </c>
      <c r="B622" s="85" t="str">
        <f>IFERROR(__xludf.DUMMYFUNCTION("""COMPUTED_VALUE"""),"ESGUICHO PARA MANGUEIRA COMBATE A INCENDIO -")</f>
        <v>ESGUICHO PARA MANGUEIRA COMBATE A INCENDIO -</v>
      </c>
      <c r="C622" s="86">
        <f>IFERROR(__xludf.DUMMYFUNCTION("""COMPUTED_VALUE"""),1.0)</f>
        <v>1</v>
      </c>
      <c r="D622" s="87" t="str">
        <f>IFERROR(__xludf.DUMMYFUNCTION("""COMPUTED_VALUE"""),"SEÇÃO")</f>
        <v>SEÇÃO</v>
      </c>
      <c r="E622" s="87" t="str">
        <f>IFERROR(__xludf.DUMMYFUNCTION("""COMPUTED_VALUE"""),"3 - ALMOX. ESTOQUE")</f>
        <v>3 - ALMOX. ESTOQUE</v>
      </c>
      <c r="F622" s="88" t="str">
        <f>IFERROR(__xludf.DUMMYFUNCTION("""COMPUTED_VALUE"""),"ALMOX. SAO (SEDE)")</f>
        <v>ALMOX. SAO (SEDE)</v>
      </c>
      <c r="G622" s="89">
        <f>IFERROR(__xludf.DUMMYFUNCTION("""COMPUTED_VALUE"""),4.0161927E7)</f>
        <v>40161927</v>
      </c>
      <c r="H622" s="87"/>
      <c r="I622" s="87" t="str">
        <f>IFERROR(__xludf.DUMMYFUNCTION("""COMPUTED_VALUE"""),"esguicho com defeito na SAO Térreo 1 e 1/2""")</f>
        <v>esguicho com defeito na SAO Térreo 1 e 1/2"</v>
      </c>
    </row>
    <row r="623">
      <c r="A623" s="84">
        <f>IFERROR(__xludf.DUMMYFUNCTION("""COMPUTED_VALUE"""),622.0)</f>
        <v>622</v>
      </c>
      <c r="B623" s="85" t="str">
        <f>IFERROR(__xludf.DUMMYFUNCTION("""COMPUTED_VALUE"""),"ESGUICHO PARA MANGUEIRA COMBATE A INCENDIO -")</f>
        <v>ESGUICHO PARA MANGUEIRA COMBATE A INCENDIO -</v>
      </c>
      <c r="C623" s="86">
        <f>IFERROR(__xludf.DUMMYFUNCTION("""COMPUTED_VALUE"""),1.0)</f>
        <v>1</v>
      </c>
      <c r="D623" s="87" t="str">
        <f>IFERROR(__xludf.DUMMYFUNCTION("""COMPUTED_VALUE"""),"SEÇÃO")</f>
        <v>SEÇÃO</v>
      </c>
      <c r="E623" s="87" t="str">
        <f>IFERROR(__xludf.DUMMYFUNCTION("""COMPUTED_VALUE"""),"3 - ALMOX. ESTOQUE")</f>
        <v>3 - ALMOX. ESTOQUE</v>
      </c>
      <c r="F623" s="88" t="str">
        <f>IFERROR(__xludf.DUMMYFUNCTION("""COMPUTED_VALUE"""),"ALMOX. SAO (SEDE)")</f>
        <v>ALMOX. SAO (SEDE)</v>
      </c>
      <c r="G623" s="89">
        <f>IFERROR(__xludf.DUMMYFUNCTION("""COMPUTED_VALUE"""),4.0164055E7)</f>
        <v>40164055</v>
      </c>
      <c r="H623" s="87"/>
      <c r="I623" s="87" t="str">
        <f>IFERROR(__xludf.DUMMYFUNCTION("""COMPUTED_VALUE"""),"Esguicho de 1¹/²")</f>
        <v>Esguicho de 1¹/²</v>
      </c>
    </row>
    <row r="624">
      <c r="A624" s="84">
        <f>IFERROR(__xludf.DUMMYFUNCTION("""COMPUTED_VALUE"""),623.0)</f>
        <v>623</v>
      </c>
      <c r="B624" s="85" t="str">
        <f>IFERROR(__xludf.DUMMYFUNCTION("""COMPUTED_VALUE"""),"ESGUICHO PARA MANGUEIRA COMBATE A INCENDIO -")</f>
        <v>ESGUICHO PARA MANGUEIRA COMBATE A INCENDIO -</v>
      </c>
      <c r="C624" s="86">
        <f>IFERROR(__xludf.DUMMYFUNCTION("""COMPUTED_VALUE"""),1.0)</f>
        <v>1</v>
      </c>
      <c r="D624" s="87" t="str">
        <f>IFERROR(__xludf.DUMMYFUNCTION("""COMPUTED_VALUE"""),"SEÇÃO")</f>
        <v>SEÇÃO</v>
      </c>
      <c r="E624" s="87" t="str">
        <f>IFERROR(__xludf.DUMMYFUNCTION("""COMPUTED_VALUE"""),"3 - ALMOX. ESTOQUE")</f>
        <v>3 - ALMOX. ESTOQUE</v>
      </c>
      <c r="F624" s="88" t="str">
        <f>IFERROR(__xludf.DUMMYFUNCTION("""COMPUTED_VALUE"""),"ALMOX. SAO (SEDE)")</f>
        <v>ALMOX. SAO (SEDE)</v>
      </c>
      <c r="G624" s="89">
        <f>IFERROR(__xludf.DUMMYFUNCTION("""COMPUTED_VALUE"""),4.0164357E7)</f>
        <v>40164357</v>
      </c>
      <c r="H624" s="87"/>
      <c r="I624" s="87" t="str">
        <f>IFERROR(__xludf.DUMMYFUNCTION("""COMPUTED_VALUE"""),"Esguicho de 1¹/²")</f>
        <v>Esguicho de 1¹/²</v>
      </c>
    </row>
    <row r="625">
      <c r="A625" s="84">
        <f>IFERROR(__xludf.DUMMYFUNCTION("""COMPUTED_VALUE"""),624.0)</f>
        <v>624</v>
      </c>
      <c r="B625" s="85" t="str">
        <f>IFERROR(__xludf.DUMMYFUNCTION("""COMPUTED_VALUE"""),"ESGUICHO PARA MANGUEIRA COMBATE A INCENDIO -")</f>
        <v>ESGUICHO PARA MANGUEIRA COMBATE A INCENDIO -</v>
      </c>
      <c r="C625" s="86">
        <f>IFERROR(__xludf.DUMMYFUNCTION("""COMPUTED_VALUE"""),1.0)</f>
        <v>1</v>
      </c>
      <c r="D625" s="87" t="str">
        <f>IFERROR(__xludf.DUMMYFUNCTION("""COMPUTED_VALUE"""),"SEÇÃO")</f>
        <v>SEÇÃO</v>
      </c>
      <c r="E625" s="87" t="str">
        <f>IFERROR(__xludf.DUMMYFUNCTION("""COMPUTED_VALUE"""),"3 - ALMOX. ESTOQUE")</f>
        <v>3 - ALMOX. ESTOQUE</v>
      </c>
      <c r="F625" s="88" t="str">
        <f>IFERROR(__xludf.DUMMYFUNCTION("""COMPUTED_VALUE"""),"ALMOX. SAO (SEDE)")</f>
        <v>ALMOX. SAO (SEDE)</v>
      </c>
      <c r="G625" s="89">
        <f>IFERROR(__xludf.DUMMYFUNCTION("""COMPUTED_VALUE"""),4.0165477E7)</f>
        <v>40165477</v>
      </c>
      <c r="H625" s="87"/>
      <c r="I625" s="87" t="str">
        <f>IFERROR(__xludf.DUMMYFUNCTION("""COMPUTED_VALUE"""),"Esguicho de 2¹/²")</f>
        <v>Esguicho de 2¹/²</v>
      </c>
    </row>
    <row r="626">
      <c r="A626" s="84">
        <f>IFERROR(__xludf.DUMMYFUNCTION("""COMPUTED_VALUE"""),625.0)</f>
        <v>625</v>
      </c>
      <c r="B626" s="85" t="str">
        <f>IFERROR(__xludf.DUMMYFUNCTION("""COMPUTED_VALUE"""),"ESGUICHO PARA MANGUEIRA COMBATE A INCENDIO -")</f>
        <v>ESGUICHO PARA MANGUEIRA COMBATE A INCENDIO -</v>
      </c>
      <c r="C626" s="86">
        <f>IFERROR(__xludf.DUMMYFUNCTION("""COMPUTED_VALUE"""),1.0)</f>
        <v>1</v>
      </c>
      <c r="D626" s="87" t="str">
        <f>IFERROR(__xludf.DUMMYFUNCTION("""COMPUTED_VALUE"""),"VIATURA")</f>
        <v>VIATURA</v>
      </c>
      <c r="E626" s="87" t="str">
        <f>IFERROR(__xludf.DUMMYFUNCTION("""COMPUTED_VALUE"""),"1 - ABTS5911")</f>
        <v>1 - ABTS5911</v>
      </c>
      <c r="F626" s="88"/>
      <c r="G626" s="89">
        <f>IFERROR(__xludf.DUMMYFUNCTION("""COMPUTED_VALUE"""),4.0165582E7)</f>
        <v>40165582</v>
      </c>
      <c r="H626" s="87"/>
      <c r="I626" s="87" t="str">
        <f>IFERROR(__xludf.DUMMYFUNCTION("""COMPUTED_VALUE"""),"Esguicho de 2¹/²")</f>
        <v>Esguicho de 2¹/²</v>
      </c>
    </row>
    <row r="627">
      <c r="A627" s="84">
        <f>IFERROR(__xludf.DUMMYFUNCTION("""COMPUTED_VALUE"""),626.0)</f>
        <v>626</v>
      </c>
      <c r="B627" s="85" t="str">
        <f>IFERROR(__xludf.DUMMYFUNCTION("""COMPUTED_VALUE"""),"ESGUICHO PARA MANGUEIRA COMBATE A INCENDIO -")</f>
        <v>ESGUICHO PARA MANGUEIRA COMBATE A INCENDIO -</v>
      </c>
      <c r="C627" s="86">
        <f>IFERROR(__xludf.DUMMYFUNCTION("""COMPUTED_VALUE"""),1.0)</f>
        <v>1</v>
      </c>
      <c r="D627" s="87" t="str">
        <f>IFERROR(__xludf.DUMMYFUNCTION("""COMPUTED_VALUE"""),"SEÇÃO")</f>
        <v>SEÇÃO</v>
      </c>
      <c r="E627" s="87" t="str">
        <f>IFERROR(__xludf.DUMMYFUNCTION("""COMPUTED_VALUE"""),"3 - ALMOX. ESTOQUE")</f>
        <v>3 - ALMOX. ESTOQUE</v>
      </c>
      <c r="F627" s="88" t="str">
        <f>IFERROR(__xludf.DUMMYFUNCTION("""COMPUTED_VALUE"""),"ALMOX. SAO (SEDE)")</f>
        <v>ALMOX. SAO (SEDE)</v>
      </c>
      <c r="G627" s="89">
        <f>IFERROR(__xludf.DUMMYFUNCTION("""COMPUTED_VALUE"""),4.0165744E7)</f>
        <v>40165744</v>
      </c>
      <c r="H627" s="87"/>
      <c r="I627" s="87" t="str">
        <f>IFERROR(__xludf.DUMMYFUNCTION("""COMPUTED_VALUE"""),"Esguicho de 2¹/²")</f>
        <v>Esguicho de 2¹/²</v>
      </c>
    </row>
    <row r="628">
      <c r="A628" s="84">
        <f>IFERROR(__xludf.DUMMYFUNCTION("""COMPUTED_VALUE"""),627.0)</f>
        <v>627</v>
      </c>
      <c r="B628" s="85" t="str">
        <f>IFERROR(__xludf.DUMMYFUNCTION("""COMPUTED_VALUE"""),"ESFIGMOMANOMETRO -")</f>
        <v>ESFIGMOMANOMETRO -</v>
      </c>
      <c r="C628" s="86">
        <f>IFERROR(__xludf.DUMMYFUNCTION("""COMPUTED_VALUE"""),1.0)</f>
        <v>1</v>
      </c>
      <c r="D628" s="87" t="str">
        <f>IFERROR(__xludf.DUMMYFUNCTION("""COMPUTED_VALUE"""),"SEÇÃO")</f>
        <v>SEÇÃO</v>
      </c>
      <c r="E628" s="87" t="str">
        <f>IFERROR(__xludf.DUMMYFUNCTION("""COMPUTED_VALUE"""),"3 - DESCARGA")</f>
        <v>3 - DESCARGA</v>
      </c>
      <c r="F628" s="88"/>
      <c r="G628" s="89">
        <f>IFERROR(__xludf.DUMMYFUNCTION("""COMPUTED_VALUE"""),4.0166619E7)</f>
        <v>40166619</v>
      </c>
      <c r="H628" s="87"/>
      <c r="I628" s="87" t="str">
        <f>IFERROR(__xludf.DUMMYFUNCTION("""COMPUTED_VALUE"""),"MATERIAL DESCARREGADO - PROCESSO Nº 1400.01.0026473/2023-04")</f>
        <v>MATERIAL DESCARREGADO - PROCESSO Nº 1400.01.0026473/2023-04</v>
      </c>
    </row>
    <row r="629">
      <c r="A629" s="84">
        <f>IFERROR(__xludf.DUMMYFUNCTION("""COMPUTED_VALUE"""),628.0)</f>
        <v>628</v>
      </c>
      <c r="B629" s="85" t="str">
        <f>IFERROR(__xludf.DUMMYFUNCTION("""COMPUTED_VALUE"""),"CAPACETE DE SALVAMENTO E PROTECAO -")</f>
        <v>CAPACETE DE SALVAMENTO E PROTECAO -</v>
      </c>
      <c r="C629" s="86">
        <f>IFERROR(__xludf.DUMMYFUNCTION("""COMPUTED_VALUE"""),1.0)</f>
        <v>1</v>
      </c>
      <c r="D629" s="87" t="str">
        <f>IFERROR(__xludf.DUMMYFUNCTION("""COMPUTED_VALUE"""),"MILITAR")</f>
        <v>MILITAR</v>
      </c>
      <c r="E629" s="87" t="str">
        <f>IFERROR(__xludf.DUMMYFUNCTION("""COMPUTED_VALUE"""),"2 - 1º SGT LUCIANO CARLOS BATISTA")</f>
        <v>2 - 1º SGT LUCIANO CARLOS BATISTA</v>
      </c>
      <c r="F629" s="88"/>
      <c r="G629" s="89">
        <f>IFERROR(__xludf.DUMMYFUNCTION("""COMPUTED_VALUE"""),4.0208222E7)</f>
        <v>40208222</v>
      </c>
      <c r="H629" s="87"/>
      <c r="I629" s="87" t="str">
        <f>IFERROR(__xludf.DUMMYFUNCTION("""COMPUTED_VALUE"""),"RESERVA AMARELO")</f>
        <v>RESERVA AMARELO</v>
      </c>
    </row>
    <row r="630">
      <c r="A630" s="84">
        <f>IFERROR(__xludf.DUMMYFUNCTION("""COMPUTED_VALUE"""),629.0)</f>
        <v>629</v>
      </c>
      <c r="B630" s="85" t="str">
        <f>IFERROR(__xludf.DUMMYFUNCTION("""COMPUTED_VALUE"""),"CAPACETE DE SALVAMENTO E PROTECAO -")</f>
        <v>CAPACETE DE SALVAMENTO E PROTECAO -</v>
      </c>
      <c r="C630" s="86">
        <f>IFERROR(__xludf.DUMMYFUNCTION("""COMPUTED_VALUE"""),1.0)</f>
        <v>1</v>
      </c>
      <c r="D630" s="87" t="str">
        <f>IFERROR(__xludf.DUMMYFUNCTION("""COMPUTED_VALUE"""),"MILITAR")</f>
        <v>MILITAR</v>
      </c>
      <c r="E630" s="87" t="str">
        <f>IFERROR(__xludf.DUMMYFUNCTION("""COMPUTED_VALUE"""),"2 - 2º SGT ALESSANDRA DUARTE FONSECA KLEIN")</f>
        <v>2 - 2º SGT ALESSANDRA DUARTE FONSECA KLEIN</v>
      </c>
      <c r="F630" s="88"/>
      <c r="G630" s="89">
        <f>IFERROR(__xludf.DUMMYFUNCTION("""COMPUTED_VALUE"""),4.0208265E7)</f>
        <v>40208265</v>
      </c>
      <c r="H630" s="87"/>
      <c r="I630" s="87" t="str">
        <f>IFERROR(__xludf.DUMMYFUNCTION("""COMPUTED_VALUE"""),"RESERVA VERMELHO")</f>
        <v>RESERVA VERMELHO</v>
      </c>
    </row>
    <row r="631">
      <c r="A631" s="84">
        <f>IFERROR(__xludf.DUMMYFUNCTION("""COMPUTED_VALUE"""),630.0)</f>
        <v>630</v>
      </c>
      <c r="B631" s="85" t="str">
        <f>IFERROR(__xludf.DUMMYFUNCTION("""COMPUTED_VALUE"""),"CAPACETE DE SALVAMENTO E PROTECAO -")</f>
        <v>CAPACETE DE SALVAMENTO E PROTECAO -</v>
      </c>
      <c r="C631" s="86">
        <f>IFERROR(__xludf.DUMMYFUNCTION("""COMPUTED_VALUE"""),1.0)</f>
        <v>1</v>
      </c>
      <c r="D631" s="87" t="str">
        <f>IFERROR(__xludf.DUMMYFUNCTION("""COMPUTED_VALUE"""),"MILITAR")</f>
        <v>MILITAR</v>
      </c>
      <c r="E631" s="87" t="str">
        <f>IFERROR(__xludf.DUMMYFUNCTION("""COMPUTED_VALUE"""),"2 - 2º SGT DOUGLAS DOS ANJOS CHAGAS")</f>
        <v>2 - 2º SGT DOUGLAS DOS ANJOS CHAGAS</v>
      </c>
      <c r="F631" s="88"/>
      <c r="G631" s="89">
        <f>IFERROR(__xludf.DUMMYFUNCTION("""COMPUTED_VALUE"""),4.0208273E7)</f>
        <v>40208273</v>
      </c>
      <c r="H631" s="87"/>
      <c r="I631" s="87" t="str">
        <f>IFERROR(__xludf.DUMMYFUNCTION("""COMPUTED_VALUE"""),"RESERVA VERMELHO")</f>
        <v>RESERVA VERMELHO</v>
      </c>
    </row>
    <row r="632">
      <c r="A632" s="84">
        <f>IFERROR(__xludf.DUMMYFUNCTION("""COMPUTED_VALUE"""),631.0)</f>
        <v>631</v>
      </c>
      <c r="B632" s="85" t="str">
        <f>IFERROR(__xludf.DUMMYFUNCTION("""COMPUTED_VALUE"""),"CAPACETE DE SALVAMENTO E PROTECAO -")</f>
        <v>CAPACETE DE SALVAMENTO E PROTECAO -</v>
      </c>
      <c r="C632" s="86">
        <f>IFERROR(__xludf.DUMMYFUNCTION("""COMPUTED_VALUE"""),1.0)</f>
        <v>1</v>
      </c>
      <c r="D632" s="87" t="str">
        <f>IFERROR(__xludf.DUMMYFUNCTION("""COMPUTED_VALUE"""),"MILITAR")</f>
        <v>MILITAR</v>
      </c>
      <c r="E632" s="87" t="str">
        <f>IFERROR(__xludf.DUMMYFUNCTION("""COMPUTED_VALUE"""),"2 - 2º SGT ADENILSON LUIZ MENDES")</f>
        <v>2 - 2º SGT ADENILSON LUIZ MENDES</v>
      </c>
      <c r="F632" s="88"/>
      <c r="G632" s="89">
        <f>IFERROR(__xludf.DUMMYFUNCTION("""COMPUTED_VALUE"""),4.020829E7)</f>
        <v>40208290</v>
      </c>
      <c r="H632" s="87"/>
      <c r="I632" s="87" t="str">
        <f>IFERROR(__xludf.DUMMYFUNCTION("""COMPUTED_VALUE"""),"RESERVA VERMELHO")</f>
        <v>RESERVA VERMELHO</v>
      </c>
    </row>
    <row r="633">
      <c r="A633" s="84">
        <f>IFERROR(__xludf.DUMMYFUNCTION("""COMPUTED_VALUE"""),632.0)</f>
        <v>632</v>
      </c>
      <c r="B633" s="85" t="str">
        <f>IFERROR(__xludf.DUMMYFUNCTION("""COMPUTED_VALUE"""),"CADEIRA PARA ESCRITORIO -")</f>
        <v>CADEIRA PARA ESCRITORIO -</v>
      </c>
      <c r="C633" s="86">
        <f>IFERROR(__xludf.DUMMYFUNCTION("""COMPUTED_VALUE"""),1.0)</f>
        <v>1</v>
      </c>
      <c r="D633" s="87" t="str">
        <f>IFERROR(__xludf.DUMMYFUNCTION("""COMPUTED_VALUE"""),"SEÇÃO")</f>
        <v>SEÇÃO</v>
      </c>
      <c r="E633" s="87" t="str">
        <f>IFERROR(__xludf.DUMMYFUNCTION("""COMPUTED_VALUE"""),"3 - SUB COMANDANTE")</f>
        <v>3 - SUB COMANDANTE</v>
      </c>
      <c r="F633" s="88"/>
      <c r="G633" s="89">
        <f>IFERROR(__xludf.DUMMYFUNCTION("""COMPUTED_VALUE"""),4.0216403E7)</f>
        <v>40216403</v>
      </c>
      <c r="H633" s="87"/>
      <c r="I633" s="87" t="str">
        <f>IFERROR(__xludf.DUMMYFUNCTION("""COMPUTED_VALUE""")," EM PROCESSO DE DESCARGA SEI-1400.01.0026473/2023-03. NA ÁREA DE DESCARTES ")</f>
        <v> EM PROCESSO DE DESCARGA SEI-1400.01.0026473/2023-03. NA ÁREA DE DESCARTES </v>
      </c>
    </row>
    <row r="634">
      <c r="A634" s="84">
        <f>IFERROR(__xludf.DUMMYFUNCTION("""COMPUTED_VALUE"""),633.0)</f>
        <v>633</v>
      </c>
      <c r="B634" s="85" t="str">
        <f>IFERROR(__xludf.DUMMYFUNCTION("""COMPUTED_VALUE"""),"MESA PARA ESCRITORIO -")</f>
        <v>MESA PARA ESCRITORIO -</v>
      </c>
      <c r="C634" s="86">
        <f>IFERROR(__xludf.DUMMYFUNCTION("""COMPUTED_VALUE"""),1.0)</f>
        <v>1</v>
      </c>
      <c r="D634" s="87" t="str">
        <f>IFERROR(__xludf.DUMMYFUNCTION("""COMPUTED_VALUE"""),"SEÇÃO")</f>
        <v>SEÇÃO</v>
      </c>
      <c r="E634" s="87" t="str">
        <f>IFERROR(__xludf.DUMMYFUNCTION("""COMPUTED_VALUE"""),"3 - DESCARGA")</f>
        <v>3 - DESCARGA</v>
      </c>
      <c r="F634" s="88"/>
      <c r="G634" s="89">
        <f>IFERROR(__xludf.DUMMYFUNCTION("""COMPUTED_VALUE"""),4.0216578E7)</f>
        <v>40216578</v>
      </c>
      <c r="H634" s="87"/>
      <c r="I634" s="87" t="str">
        <f>IFERROR(__xludf.DUMMYFUNCTION("""COMPUTED_VALUE"""),"MATERIAL DESCARREGADO - PROCESSO Nº 1400.01.0026473/2023-04")</f>
        <v>MATERIAL DESCARREGADO - PROCESSO Nº 1400.01.0026473/2023-04</v>
      </c>
    </row>
    <row r="635">
      <c r="A635" s="84">
        <f>IFERROR(__xludf.DUMMYFUNCTION("""COMPUTED_VALUE"""),634.0)</f>
        <v>634</v>
      </c>
      <c r="B635" s="85" t="str">
        <f>IFERROR(__xludf.DUMMYFUNCTION("""COMPUTED_VALUE"""),"CADEIRA PARA ESCRITORIO -")</f>
        <v>CADEIRA PARA ESCRITORIO -</v>
      </c>
      <c r="C635" s="86">
        <f>IFERROR(__xludf.DUMMYFUNCTION("""COMPUTED_VALUE"""),1.0)</f>
        <v>1</v>
      </c>
      <c r="D635" s="87" t="str">
        <f>IFERROR(__xludf.DUMMYFUNCTION("""COMPUTED_VALUE"""),"SEÇÃO")</f>
        <v>SEÇÃO</v>
      </c>
      <c r="E635" s="87" t="str">
        <f>IFERROR(__xludf.DUMMYFUNCTION("""COMPUTED_VALUE"""),"3 - SEPLAN")</f>
        <v>3 - SEPLAN</v>
      </c>
      <c r="F635" s="88"/>
      <c r="G635" s="89">
        <f>IFERROR(__xludf.DUMMYFUNCTION("""COMPUTED_VALUE"""),4.0216667E7)</f>
        <v>40216667</v>
      </c>
      <c r="H635" s="87"/>
      <c r="I635" s="87" t="str">
        <f>IFERROR(__xludf.DUMMYFUNCTION("""COMPUTED_VALUE""")," EM PROCESSO DE DESCARGA SEI-1400.01.0026473/2023-03")</f>
        <v> EM PROCESSO DE DESCARGA SEI-1400.01.0026473/2023-03</v>
      </c>
    </row>
    <row r="636">
      <c r="A636" s="84">
        <f>IFERROR(__xludf.DUMMYFUNCTION("""COMPUTED_VALUE"""),635.0)</f>
        <v>635</v>
      </c>
      <c r="B636" s="85" t="str">
        <f>IFERROR(__xludf.DUMMYFUNCTION("""COMPUTED_VALUE"""),"CAPACETE DE SALVAMENTO E PROTECAO -")</f>
        <v>CAPACETE DE SALVAMENTO E PROTECAO -</v>
      </c>
      <c r="C636" s="86">
        <f>IFERROR(__xludf.DUMMYFUNCTION("""COMPUTED_VALUE"""),1.0)</f>
        <v>1</v>
      </c>
      <c r="D636" s="87" t="str">
        <f>IFERROR(__xludf.DUMMYFUNCTION("""COMPUTED_VALUE"""),"MILITAR")</f>
        <v>MILITAR</v>
      </c>
      <c r="E636" s="87" t="str">
        <f>IFERROR(__xludf.DUMMYFUNCTION("""COMPUTED_VALUE"""),"2 - SD JEYZER FELIPE JOSE ALMEIDA FERREIRA")</f>
        <v>2 - SD JEYZER FELIPE JOSE ALMEIDA FERREIRA</v>
      </c>
      <c r="F636" s="88"/>
      <c r="G636" s="89">
        <f>IFERROR(__xludf.DUMMYFUNCTION("""COMPUTED_VALUE"""),4.021737E7)</f>
        <v>40217370</v>
      </c>
      <c r="H636" s="87"/>
      <c r="I636" s="87"/>
    </row>
    <row r="637">
      <c r="A637" s="84">
        <f>IFERROR(__xludf.DUMMYFUNCTION("""COMPUTED_VALUE"""),636.0)</f>
        <v>636</v>
      </c>
      <c r="B637" s="85" t="str">
        <f>IFERROR(__xludf.DUMMYFUNCTION("""COMPUTED_VALUE"""),"CAPACETE DE SALVAMENTO E PROTECAO -")</f>
        <v>CAPACETE DE SALVAMENTO E PROTECAO -</v>
      </c>
      <c r="C637" s="86">
        <f>IFERROR(__xludf.DUMMYFUNCTION("""COMPUTED_VALUE"""),1.0)</f>
        <v>1</v>
      </c>
      <c r="D637" s="87" t="str">
        <f>IFERROR(__xludf.DUMMYFUNCTION("""COMPUTED_VALUE"""),"MILITAR")</f>
        <v>MILITAR</v>
      </c>
      <c r="E637" s="87" t="str">
        <f>IFERROR(__xludf.DUMMYFUNCTION("""COMPUTED_VALUE"""),"2 - SD ARTHUR HENRIQUE ALVARENGA LAGE")</f>
        <v>2 - SD ARTHUR HENRIQUE ALVARENGA LAGE</v>
      </c>
      <c r="F637" s="88"/>
      <c r="G637" s="89">
        <f>IFERROR(__xludf.DUMMYFUNCTION("""COMPUTED_VALUE"""),4.0217426E7)</f>
        <v>40217426</v>
      </c>
      <c r="H637" s="87"/>
      <c r="I637" s="87"/>
    </row>
    <row r="638">
      <c r="A638" s="84">
        <f>IFERROR(__xludf.DUMMYFUNCTION("""COMPUTED_VALUE"""),637.0)</f>
        <v>637</v>
      </c>
      <c r="B638" s="85" t="str">
        <f>IFERROR(__xludf.DUMMYFUNCTION("""COMPUTED_VALUE"""),"CAPACETE DE SALVAMENTO E PROTECAO -")</f>
        <v>CAPACETE DE SALVAMENTO E PROTECAO -</v>
      </c>
      <c r="C638" s="86">
        <f>IFERROR(__xludf.DUMMYFUNCTION("""COMPUTED_VALUE"""),1.0)</f>
        <v>1</v>
      </c>
      <c r="D638" s="87" t="str">
        <f>IFERROR(__xludf.DUMMYFUNCTION("""COMPUTED_VALUE"""),"MILITAR")</f>
        <v>MILITAR</v>
      </c>
      <c r="E638" s="87" t="str">
        <f>IFERROR(__xludf.DUMMYFUNCTION("""COMPUTED_VALUE"""),"2 - SD ALISSON MATEUS DIONISIO MOURA")</f>
        <v>2 - SD ALISSON MATEUS DIONISIO MOURA</v>
      </c>
      <c r="F638" s="88"/>
      <c r="G638" s="89">
        <f>IFERROR(__xludf.DUMMYFUNCTION("""COMPUTED_VALUE"""),4.021768E7)</f>
        <v>40217680</v>
      </c>
      <c r="H638" s="87"/>
      <c r="I638" s="87"/>
    </row>
    <row r="639">
      <c r="A639" s="84">
        <f>IFERROR(__xludf.DUMMYFUNCTION("""COMPUTED_VALUE"""),638.0)</f>
        <v>638</v>
      </c>
      <c r="B639" s="85" t="str">
        <f>IFERROR(__xludf.DUMMYFUNCTION("""COMPUTED_VALUE"""),"CAPACETE DE SALVAMENTO E PROTECAO -")</f>
        <v>CAPACETE DE SALVAMENTO E PROTECAO -</v>
      </c>
      <c r="C639" s="86">
        <f>IFERROR(__xludf.DUMMYFUNCTION("""COMPUTED_VALUE"""),1.0)</f>
        <v>1</v>
      </c>
      <c r="D639" s="87" t="str">
        <f>IFERROR(__xludf.DUMMYFUNCTION("""COMPUTED_VALUE"""),"MILITAR")</f>
        <v>MILITAR</v>
      </c>
      <c r="E639" s="87" t="str">
        <f>IFERROR(__xludf.DUMMYFUNCTION("""COMPUTED_VALUE"""),"2 - SD OLIVIER MATHEUS MENDES ALVES")</f>
        <v>2 - SD OLIVIER MATHEUS MENDES ALVES</v>
      </c>
      <c r="F639" s="88"/>
      <c r="G639" s="89">
        <f>IFERROR(__xludf.DUMMYFUNCTION("""COMPUTED_VALUE"""),4.0217752E7)</f>
        <v>40217752</v>
      </c>
      <c r="H639" s="87"/>
      <c r="I639" s="87"/>
    </row>
    <row r="640">
      <c r="A640" s="84">
        <f>IFERROR(__xludf.DUMMYFUNCTION("""COMPUTED_VALUE"""),639.0)</f>
        <v>639</v>
      </c>
      <c r="B640" s="85" t="str">
        <f>IFERROR(__xludf.DUMMYFUNCTION("""COMPUTED_VALUE"""),"CAPACETE DE SALVAMENTO E PROTECAO -")</f>
        <v>CAPACETE DE SALVAMENTO E PROTECAO -</v>
      </c>
      <c r="C640" s="86">
        <f>IFERROR(__xludf.DUMMYFUNCTION("""COMPUTED_VALUE"""),1.0)</f>
        <v>1</v>
      </c>
      <c r="D640" s="87" t="str">
        <f>IFERROR(__xludf.DUMMYFUNCTION("""COMPUTED_VALUE"""),"MILITAR")</f>
        <v>MILITAR</v>
      </c>
      <c r="E640" s="87" t="str">
        <f>IFERROR(__xludf.DUMMYFUNCTION("""COMPUTED_VALUE"""),"2 - SD LETÍCIA FERREIRA SILVEIRA")</f>
        <v>2 - SD LETÍCIA FERREIRA SILVEIRA</v>
      </c>
      <c r="F640" s="88"/>
      <c r="G640" s="89">
        <f>IFERROR(__xludf.DUMMYFUNCTION("""COMPUTED_VALUE"""),4.0217884E7)</f>
        <v>40217884</v>
      </c>
      <c r="H640" s="87"/>
      <c r="I640" s="87"/>
    </row>
    <row r="641">
      <c r="A641" s="84">
        <f>IFERROR(__xludf.DUMMYFUNCTION("""COMPUTED_VALUE"""),640.0)</f>
        <v>640</v>
      </c>
      <c r="B641" s="85" t="str">
        <f>IFERROR(__xludf.DUMMYFUNCTION("""COMPUTED_VALUE"""),"CAPACETE DE SALVAMENTO E PROTECAO -")</f>
        <v>CAPACETE DE SALVAMENTO E PROTECAO -</v>
      </c>
      <c r="C641" s="86">
        <f>IFERROR(__xludf.DUMMYFUNCTION("""COMPUTED_VALUE"""),1.0)</f>
        <v>1</v>
      </c>
      <c r="D641" s="87" t="str">
        <f>IFERROR(__xludf.DUMMYFUNCTION("""COMPUTED_VALUE"""),"MILITAR")</f>
        <v>MILITAR</v>
      </c>
      <c r="E641" s="87" t="str">
        <f>IFERROR(__xludf.DUMMYFUNCTION("""COMPUTED_VALUE"""),"2 - SD WESLEY DE SOUZA SOARES")</f>
        <v>2 - SD WESLEY DE SOUZA SOARES</v>
      </c>
      <c r="F641" s="88"/>
      <c r="G641" s="89">
        <f>IFERROR(__xludf.DUMMYFUNCTION("""COMPUTED_VALUE"""),4.0217892E7)</f>
        <v>40217892</v>
      </c>
      <c r="H641" s="87"/>
      <c r="I641" s="87"/>
    </row>
    <row r="642">
      <c r="A642" s="84">
        <f>IFERROR(__xludf.DUMMYFUNCTION("""COMPUTED_VALUE"""),641.0)</f>
        <v>641</v>
      </c>
      <c r="B642" s="85" t="str">
        <f>IFERROR(__xludf.DUMMYFUNCTION("""COMPUTED_VALUE"""),"CAPACETE DE SALVAMENTO E PROTECAO -")</f>
        <v>CAPACETE DE SALVAMENTO E PROTECAO -</v>
      </c>
      <c r="C642" s="86">
        <f>IFERROR(__xludf.DUMMYFUNCTION("""COMPUTED_VALUE"""),1.0)</f>
        <v>1</v>
      </c>
      <c r="D642" s="87" t="str">
        <f>IFERROR(__xludf.DUMMYFUNCTION("""COMPUTED_VALUE"""),"SEÇÃO")</f>
        <v>SEÇÃO</v>
      </c>
      <c r="E642" s="87" t="str">
        <f>IFERROR(__xludf.DUMMYFUNCTION("""COMPUTED_VALUE"""),"3 - ALMOX. ESTOQUE")</f>
        <v>3 - ALMOX. ESTOQUE</v>
      </c>
      <c r="F642" s="88" t="str">
        <f>IFERROR(__xludf.DUMMYFUNCTION("""COMPUTED_VALUE"""),"SAO")</f>
        <v>SAO</v>
      </c>
      <c r="G642" s="89">
        <f>IFERROR(__xludf.DUMMYFUNCTION("""COMPUTED_VALUE"""),4.0219119E7)</f>
        <v>40219119</v>
      </c>
      <c r="H642" s="87"/>
      <c r="I642" s="87"/>
    </row>
    <row r="643">
      <c r="A643" s="84">
        <f>IFERROR(__xludf.DUMMYFUNCTION("""COMPUTED_VALUE"""),642.0)</f>
        <v>642</v>
      </c>
      <c r="B643" s="85" t="str">
        <f>IFERROR(__xludf.DUMMYFUNCTION("""COMPUTED_VALUE"""),"CAPACETE DE SALVAMENTO E PROTECAO -")</f>
        <v>CAPACETE DE SALVAMENTO E PROTECAO -</v>
      </c>
      <c r="C643" s="86">
        <f>IFERROR(__xludf.DUMMYFUNCTION("""COMPUTED_VALUE"""),1.0)</f>
        <v>1</v>
      </c>
      <c r="D643" s="87" t="str">
        <f>IFERROR(__xludf.DUMMYFUNCTION("""COMPUTED_VALUE"""),"MILITAR")</f>
        <v>MILITAR</v>
      </c>
      <c r="E643" s="87" t="str">
        <f>IFERROR(__xludf.DUMMYFUNCTION("""COMPUTED_VALUE"""),"2 - CAP EVANDRO SAMUEL DA VEIGA PIMENTEL")</f>
        <v>2 - CAP EVANDRO SAMUEL DA VEIGA PIMENTEL</v>
      </c>
      <c r="F643" s="88"/>
      <c r="G643" s="89">
        <f>IFERROR(__xludf.DUMMYFUNCTION("""COMPUTED_VALUE"""),4.0219216E7)</f>
        <v>40219216</v>
      </c>
      <c r="H643" s="87"/>
      <c r="I643" s="87"/>
    </row>
    <row r="644">
      <c r="A644" s="84">
        <f>IFERROR(__xludf.DUMMYFUNCTION("""COMPUTED_VALUE"""),643.0)</f>
        <v>643</v>
      </c>
      <c r="B644" s="85" t="str">
        <f>IFERROR(__xludf.DUMMYFUNCTION("""COMPUTED_VALUE"""),"CAPACETE DE SALVAMENTO E PROTECAO -")</f>
        <v>CAPACETE DE SALVAMENTO E PROTECAO -</v>
      </c>
      <c r="C644" s="86">
        <f>IFERROR(__xludf.DUMMYFUNCTION("""COMPUTED_VALUE"""),1.0)</f>
        <v>1</v>
      </c>
      <c r="D644" s="87" t="str">
        <f>IFERROR(__xludf.DUMMYFUNCTION("""COMPUTED_VALUE"""),"MILITAR")</f>
        <v>MILITAR</v>
      </c>
      <c r="E644" s="87" t="str">
        <f>IFERROR(__xludf.DUMMYFUNCTION("""COMPUTED_VALUE"""),"2 - SD RODRIGO BARBOSA VIÇOSO")</f>
        <v>2 - SD RODRIGO BARBOSA VIÇOSO</v>
      </c>
      <c r="F644" s="88"/>
      <c r="G644" s="89">
        <f>IFERROR(__xludf.DUMMYFUNCTION("""COMPUTED_VALUE"""),4.021941E7)</f>
        <v>40219410</v>
      </c>
      <c r="H644" s="87"/>
      <c r="I644" s="87"/>
    </row>
    <row r="645">
      <c r="A645" s="84">
        <f>IFERROR(__xludf.DUMMYFUNCTION("""COMPUTED_VALUE"""),644.0)</f>
        <v>644</v>
      </c>
      <c r="B645" s="85" t="str">
        <f>IFERROR(__xludf.DUMMYFUNCTION("""COMPUTED_VALUE"""),"CAPACETE DE SALVAMENTO E PROTECAO -")</f>
        <v>CAPACETE DE SALVAMENTO E PROTECAO -</v>
      </c>
      <c r="C645" s="86">
        <f>IFERROR(__xludf.DUMMYFUNCTION("""COMPUTED_VALUE"""),1.0)</f>
        <v>1</v>
      </c>
      <c r="D645" s="87" t="str">
        <f>IFERROR(__xludf.DUMMYFUNCTION("""COMPUTED_VALUE"""),"MILITAR")</f>
        <v>MILITAR</v>
      </c>
      <c r="E645" s="87" t="str">
        <f>IFERROR(__xludf.DUMMYFUNCTION("""COMPUTED_VALUE"""),"2 - SD BRUNO HENRIQUES DE CAMARGOS")</f>
        <v>2 - SD BRUNO HENRIQUES DE CAMARGOS</v>
      </c>
      <c r="F645" s="88"/>
      <c r="G645" s="89">
        <f>IFERROR(__xludf.DUMMYFUNCTION("""COMPUTED_VALUE"""),4.0219534E7)</f>
        <v>40219534</v>
      </c>
      <c r="H645" s="87"/>
      <c r="I645" s="87"/>
    </row>
    <row r="646">
      <c r="A646" s="84">
        <f>IFERROR(__xludf.DUMMYFUNCTION("""COMPUTED_VALUE"""),645.0)</f>
        <v>645</v>
      </c>
      <c r="B646" s="85" t="str">
        <f>IFERROR(__xludf.DUMMYFUNCTION("""COMPUTED_VALUE"""),"CAPACETE DE SALVAMENTO E PROTECAO -")</f>
        <v>CAPACETE DE SALVAMENTO E PROTECAO -</v>
      </c>
      <c r="C646" s="86">
        <f>IFERROR(__xludf.DUMMYFUNCTION("""COMPUTED_VALUE"""),1.0)</f>
        <v>1</v>
      </c>
      <c r="D646" s="87" t="str">
        <f>IFERROR(__xludf.DUMMYFUNCTION("""COMPUTED_VALUE"""),"MILITAR")</f>
        <v>MILITAR</v>
      </c>
      <c r="E646" s="87" t="str">
        <f>IFERROR(__xludf.DUMMYFUNCTION("""COMPUTED_VALUE"""),"2 - 2º SGT DEMÉTRIO DE CARVALHO SILVA")</f>
        <v>2 - 2º SGT DEMÉTRIO DE CARVALHO SILVA</v>
      </c>
      <c r="F646" s="88"/>
      <c r="G646" s="89">
        <f>IFERROR(__xludf.DUMMYFUNCTION("""COMPUTED_VALUE"""),4.0219623E7)</f>
        <v>40219623</v>
      </c>
      <c r="H646" s="87"/>
      <c r="I646" s="87"/>
    </row>
    <row r="647">
      <c r="A647" s="84">
        <f>IFERROR(__xludf.DUMMYFUNCTION("""COMPUTED_VALUE"""),646.0)</f>
        <v>646</v>
      </c>
      <c r="B647" s="85" t="str">
        <f>IFERROR(__xludf.DUMMYFUNCTION("""COMPUTED_VALUE"""),"CAPACETE DE SALVAMENTO E PROTECAO -")</f>
        <v>CAPACETE DE SALVAMENTO E PROTECAO -</v>
      </c>
      <c r="C647" s="86">
        <f>IFERROR(__xludf.DUMMYFUNCTION("""COMPUTED_VALUE"""),1.0)</f>
        <v>1</v>
      </c>
      <c r="D647" s="87" t="str">
        <f>IFERROR(__xludf.DUMMYFUNCTION("""COMPUTED_VALUE"""),"MILITAR")</f>
        <v>MILITAR</v>
      </c>
      <c r="E647" s="87" t="str">
        <f>IFERROR(__xludf.DUMMYFUNCTION("""COMPUTED_VALUE"""),"2 - CB TIAGO DE OLIVEIRA ALMEIDA")</f>
        <v>2 - CB TIAGO DE OLIVEIRA ALMEIDA</v>
      </c>
      <c r="F647" s="88"/>
      <c r="G647" s="89">
        <f>IFERROR(__xludf.DUMMYFUNCTION("""COMPUTED_VALUE"""),4.0219631E7)</f>
        <v>40219631</v>
      </c>
      <c r="H647" s="87"/>
      <c r="I647" s="87"/>
    </row>
    <row r="648">
      <c r="A648" s="84">
        <f>IFERROR(__xludf.DUMMYFUNCTION("""COMPUTED_VALUE"""),647.0)</f>
        <v>647</v>
      </c>
      <c r="B648" s="85" t="str">
        <f>IFERROR(__xludf.DUMMYFUNCTION("""COMPUTED_VALUE"""),"BOMBA COSTAL PARA COMBATE A INCENDIO -")</f>
        <v>BOMBA COSTAL PARA COMBATE A INCENDIO -</v>
      </c>
      <c r="C648" s="86">
        <f>IFERROR(__xludf.DUMMYFUNCTION("""COMPUTED_VALUE"""),1.0)</f>
        <v>1</v>
      </c>
      <c r="D648" s="87" t="str">
        <f>IFERROR(__xludf.DUMMYFUNCTION("""COMPUTED_VALUE"""),"SEÇÃO")</f>
        <v>SEÇÃO</v>
      </c>
      <c r="E648" s="87" t="str">
        <f>IFERROR(__xludf.DUMMYFUNCTION("""COMPUTED_VALUE"""),"3 - DESCARGA")</f>
        <v>3 - DESCARGA</v>
      </c>
      <c r="F648" s="88"/>
      <c r="G648" s="89">
        <f>IFERROR(__xludf.DUMMYFUNCTION("""COMPUTED_VALUE"""),4.0221261E7)</f>
        <v>40221261</v>
      </c>
      <c r="H648" s="87"/>
      <c r="I648" s="87" t="str">
        <f>IFERROR(__xludf.DUMMYFUNCTION("""COMPUTED_VALUE"""),"MATERIAL DESCARREGADO - PROCESSO Nº 1400.01.0026473/2023-04")</f>
        <v>MATERIAL DESCARREGADO - PROCESSO Nº 1400.01.0026473/2023-04</v>
      </c>
    </row>
    <row r="649">
      <c r="A649" s="84">
        <f>IFERROR(__xludf.DUMMYFUNCTION("""COMPUTED_VALUE"""),648.0)</f>
        <v>648</v>
      </c>
      <c r="B649" s="85" t="str">
        <f>IFERROR(__xludf.DUMMYFUNCTION("""COMPUTED_VALUE"""),"BOMBA COSTAL PARA COMBATE A INCENDIO -")</f>
        <v>BOMBA COSTAL PARA COMBATE A INCENDIO -</v>
      </c>
      <c r="C649" s="86">
        <f>IFERROR(__xludf.DUMMYFUNCTION("""COMPUTED_VALUE"""),1.0)</f>
        <v>1</v>
      </c>
      <c r="D649" s="87" t="str">
        <f>IFERROR(__xludf.DUMMYFUNCTION("""COMPUTED_VALUE"""),"SEÇÃO")</f>
        <v>SEÇÃO</v>
      </c>
      <c r="E649" s="87" t="str">
        <f>IFERROR(__xludf.DUMMYFUNCTION("""COMPUTED_VALUE"""),"3 - DESCARGA")</f>
        <v>3 - DESCARGA</v>
      </c>
      <c r="F649" s="88"/>
      <c r="G649" s="89">
        <f>IFERROR(__xludf.DUMMYFUNCTION("""COMPUTED_VALUE"""),4.022127E7)</f>
        <v>40221270</v>
      </c>
      <c r="H649" s="87"/>
      <c r="I649" s="87" t="str">
        <f>IFERROR(__xludf.DUMMYFUNCTION("""COMPUTED_VALUE"""),"MATERIAL DESCARREGADO - PROCESSO Nº 1400.01.0026473/2023-05")</f>
        <v>MATERIAL DESCARREGADO - PROCESSO Nº 1400.01.0026473/2023-05</v>
      </c>
    </row>
    <row r="650">
      <c r="A650" s="84">
        <f>IFERROR(__xludf.DUMMYFUNCTION("""COMPUTED_VALUE"""),649.0)</f>
        <v>649</v>
      </c>
      <c r="B650" s="85" t="str">
        <f>IFERROR(__xludf.DUMMYFUNCTION("""COMPUTED_VALUE"""),"BOMBA COSTAL PARA COMBATE A INCENDIO -")</f>
        <v>BOMBA COSTAL PARA COMBATE A INCENDIO -</v>
      </c>
      <c r="C650" s="86">
        <f>IFERROR(__xludf.DUMMYFUNCTION("""COMPUTED_VALUE"""),1.0)</f>
        <v>1</v>
      </c>
      <c r="D650" s="87" t="str">
        <f>IFERROR(__xludf.DUMMYFUNCTION("""COMPUTED_VALUE"""),"SEÇÃO")</f>
        <v>SEÇÃO</v>
      </c>
      <c r="E650" s="87" t="str">
        <f>IFERROR(__xludf.DUMMYFUNCTION("""COMPUTED_VALUE"""),"3 - DESCARGA")</f>
        <v>3 - DESCARGA</v>
      </c>
      <c r="F650" s="88"/>
      <c r="G650" s="89">
        <f>IFERROR(__xludf.DUMMYFUNCTION("""COMPUTED_VALUE"""),4.0221288E7)</f>
        <v>40221288</v>
      </c>
      <c r="H650" s="87"/>
      <c r="I650" s="87" t="str">
        <f>IFERROR(__xludf.DUMMYFUNCTION("""COMPUTED_VALUE"""),"MATERIAL DESCARREGADO - PROCESSO Nº 1400.01.0026473/2023-06")</f>
        <v>MATERIAL DESCARREGADO - PROCESSO Nº 1400.01.0026473/2023-06</v>
      </c>
    </row>
    <row r="651">
      <c r="A651" s="84">
        <f>IFERROR(__xludf.DUMMYFUNCTION("""COMPUTED_VALUE"""),650.0)</f>
        <v>650</v>
      </c>
      <c r="B651" s="85" t="str">
        <f>IFERROR(__xludf.DUMMYFUNCTION("""COMPUTED_VALUE"""),"BOMBA COSTAL PARA COMBATE A INCENDIO -")</f>
        <v>BOMBA COSTAL PARA COMBATE A INCENDIO -</v>
      </c>
      <c r="C651" s="86">
        <f>IFERROR(__xludf.DUMMYFUNCTION("""COMPUTED_VALUE"""),1.0)</f>
        <v>1</v>
      </c>
      <c r="D651" s="87" t="str">
        <f>IFERROR(__xludf.DUMMYFUNCTION("""COMPUTED_VALUE"""),"SEÇÃO")</f>
        <v>SEÇÃO</v>
      </c>
      <c r="E651" s="87" t="str">
        <f>IFERROR(__xludf.DUMMYFUNCTION("""COMPUTED_VALUE"""),"3 - DESCARGA")</f>
        <v>3 - DESCARGA</v>
      </c>
      <c r="F651" s="88"/>
      <c r="G651" s="89">
        <f>IFERROR(__xludf.DUMMYFUNCTION("""COMPUTED_VALUE"""),4.0221296E7)</f>
        <v>40221296</v>
      </c>
      <c r="H651" s="87"/>
      <c r="I651" s="87" t="str">
        <f>IFERROR(__xludf.DUMMYFUNCTION("""COMPUTED_VALUE"""),"MATERIAL DESCARREGADO - PROCESSO Nº 1400.01.0026473/2023-07")</f>
        <v>MATERIAL DESCARREGADO - PROCESSO Nº 1400.01.0026473/2023-07</v>
      </c>
    </row>
    <row r="652">
      <c r="A652" s="84">
        <f>IFERROR(__xludf.DUMMYFUNCTION("""COMPUTED_VALUE"""),651.0)</f>
        <v>651</v>
      </c>
      <c r="B652" s="85" t="str">
        <f>IFERROR(__xludf.DUMMYFUNCTION("""COMPUTED_VALUE"""),"BOMBA COSTAL PARA COMBATE A INCENDIO -")</f>
        <v>BOMBA COSTAL PARA COMBATE A INCENDIO -</v>
      </c>
      <c r="C652" s="86">
        <f>IFERROR(__xludf.DUMMYFUNCTION("""COMPUTED_VALUE"""),1.0)</f>
        <v>1</v>
      </c>
      <c r="D652" s="87" t="str">
        <f>IFERROR(__xludf.DUMMYFUNCTION("""COMPUTED_VALUE"""),"SEÇÃO")</f>
        <v>SEÇÃO</v>
      </c>
      <c r="E652" s="87" t="str">
        <f>IFERROR(__xludf.DUMMYFUNCTION("""COMPUTED_VALUE"""),"3 - DESCARGA")</f>
        <v>3 - DESCARGA</v>
      </c>
      <c r="F652" s="88"/>
      <c r="G652" s="89">
        <f>IFERROR(__xludf.DUMMYFUNCTION("""COMPUTED_VALUE"""),4.02213E7)</f>
        <v>40221300</v>
      </c>
      <c r="H652" s="87"/>
      <c r="I652" s="87" t="str">
        <f>IFERROR(__xludf.DUMMYFUNCTION("""COMPUTED_VALUE"""),"MATERIAL DESCARREGADO - PROCESSO Nº 1400.01.0026473/2023-08")</f>
        <v>MATERIAL DESCARREGADO - PROCESSO Nº 1400.01.0026473/2023-08</v>
      </c>
    </row>
    <row r="653">
      <c r="A653" s="84">
        <f>IFERROR(__xludf.DUMMYFUNCTION("""COMPUTED_VALUE"""),652.0)</f>
        <v>652</v>
      </c>
      <c r="B653" s="85" t="str">
        <f>IFERROR(__xludf.DUMMYFUNCTION("""COMPUTED_VALUE"""),"BOMBA COSTAL PARA COMBATE A INCENDIO -")</f>
        <v>BOMBA COSTAL PARA COMBATE A INCENDIO -</v>
      </c>
      <c r="C653" s="86">
        <f>IFERROR(__xludf.DUMMYFUNCTION("""COMPUTED_VALUE"""),1.0)</f>
        <v>1</v>
      </c>
      <c r="D653" s="87" t="str">
        <f>IFERROR(__xludf.DUMMYFUNCTION("""COMPUTED_VALUE"""),"SEÇÃO")</f>
        <v>SEÇÃO</v>
      </c>
      <c r="E653" s="87" t="str">
        <f>IFERROR(__xludf.DUMMYFUNCTION("""COMPUTED_VALUE"""),"3 - DESCARGA")</f>
        <v>3 - DESCARGA</v>
      </c>
      <c r="F653" s="88"/>
      <c r="G653" s="89">
        <f>IFERROR(__xludf.DUMMYFUNCTION("""COMPUTED_VALUE"""),4.0221318E7)</f>
        <v>40221318</v>
      </c>
      <c r="H653" s="87"/>
      <c r="I653" s="87" t="str">
        <f>IFERROR(__xludf.DUMMYFUNCTION("""COMPUTED_VALUE"""),"MATERIAL DESCARREGADO - PROCESSO Nº 1400.01.0026473/2023-09")</f>
        <v>MATERIAL DESCARREGADO - PROCESSO Nº 1400.01.0026473/2023-09</v>
      </c>
    </row>
    <row r="654">
      <c r="A654" s="84">
        <f>IFERROR(__xludf.DUMMYFUNCTION("""COMPUTED_VALUE"""),653.0)</f>
        <v>653</v>
      </c>
      <c r="B654" s="85" t="str">
        <f>IFERROR(__xludf.DUMMYFUNCTION("""COMPUTED_VALUE"""),"BOMBA COSTAL PARA COMBATE A INCENDIO -")</f>
        <v>BOMBA COSTAL PARA COMBATE A INCENDIO -</v>
      </c>
      <c r="C654" s="86">
        <f>IFERROR(__xludf.DUMMYFUNCTION("""COMPUTED_VALUE"""),1.0)</f>
        <v>1</v>
      </c>
      <c r="D654" s="87" t="str">
        <f>IFERROR(__xludf.DUMMYFUNCTION("""COMPUTED_VALUE"""),"SEÇÃO")</f>
        <v>SEÇÃO</v>
      </c>
      <c r="E654" s="87" t="str">
        <f>IFERROR(__xludf.DUMMYFUNCTION("""COMPUTED_VALUE"""),"3 - DESCARGA")</f>
        <v>3 - DESCARGA</v>
      </c>
      <c r="F654" s="88"/>
      <c r="G654" s="89">
        <f>IFERROR(__xludf.DUMMYFUNCTION("""COMPUTED_VALUE"""),4.0224414E7)</f>
        <v>40224414</v>
      </c>
      <c r="H654" s="87"/>
      <c r="I654" s="87" t="str">
        <f>IFERROR(__xludf.DUMMYFUNCTION("""COMPUTED_VALUE"""),"MATERIAL DESCARREGADO - PROCESSO Nº 1400.01.0026473/2023-10")</f>
        <v>MATERIAL DESCARREGADO - PROCESSO Nº 1400.01.0026473/2023-10</v>
      </c>
    </row>
    <row r="655">
      <c r="A655" s="84">
        <f>IFERROR(__xludf.DUMMYFUNCTION("""COMPUTED_VALUE"""),654.0)</f>
        <v>654</v>
      </c>
      <c r="B655" s="85" t="str">
        <f>IFERROR(__xludf.DUMMYFUNCTION("""COMPUTED_VALUE"""),"BOMBA COSTAL PARA COMBATE A INCENDIO -")</f>
        <v>BOMBA COSTAL PARA COMBATE A INCENDIO -</v>
      </c>
      <c r="C655" s="86">
        <f>IFERROR(__xludf.DUMMYFUNCTION("""COMPUTED_VALUE"""),1.0)</f>
        <v>1</v>
      </c>
      <c r="D655" s="87" t="str">
        <f>IFERROR(__xludf.DUMMYFUNCTION("""COMPUTED_VALUE"""),"SEÇÃO")</f>
        <v>SEÇÃO</v>
      </c>
      <c r="E655" s="87" t="str">
        <f>IFERROR(__xludf.DUMMYFUNCTION("""COMPUTED_VALUE"""),"3 - DESCARGA")</f>
        <v>3 - DESCARGA</v>
      </c>
      <c r="F655" s="88"/>
      <c r="G655" s="89">
        <f>IFERROR(__xludf.DUMMYFUNCTION("""COMPUTED_VALUE"""),4.022502E7)</f>
        <v>40225020</v>
      </c>
      <c r="H655" s="87"/>
      <c r="I655" s="87" t="str">
        <f>IFERROR(__xludf.DUMMYFUNCTION("""COMPUTED_VALUE"""),"MATERIAL DESCARREGADO - PROCESSO Nº 1400.01.0026473/2023-11")</f>
        <v>MATERIAL DESCARREGADO - PROCESSO Nº 1400.01.0026473/2023-11</v>
      </c>
    </row>
    <row r="656">
      <c r="A656" s="84">
        <f>IFERROR(__xludf.DUMMYFUNCTION("""COMPUTED_VALUE"""),655.0)</f>
        <v>655</v>
      </c>
      <c r="B656" s="85" t="str">
        <f>IFERROR(__xludf.DUMMYFUNCTION("""COMPUTED_VALUE"""),"BOMBA COSTAL PARA COMBATE A INCENDIO -")</f>
        <v>BOMBA COSTAL PARA COMBATE A INCENDIO -</v>
      </c>
      <c r="C656" s="86">
        <f>IFERROR(__xludf.DUMMYFUNCTION("""COMPUTED_VALUE"""),1.0)</f>
        <v>1</v>
      </c>
      <c r="D656" s="87" t="str">
        <f>IFERROR(__xludf.DUMMYFUNCTION("""COMPUTED_VALUE"""),"SEÇÃO")</f>
        <v>SEÇÃO</v>
      </c>
      <c r="E656" s="87" t="str">
        <f>IFERROR(__xludf.DUMMYFUNCTION("""COMPUTED_VALUE"""),"3 - DESCARGA")</f>
        <v>3 - DESCARGA</v>
      </c>
      <c r="F656" s="88"/>
      <c r="G656" s="89">
        <f>IFERROR(__xludf.DUMMYFUNCTION("""COMPUTED_VALUE"""),4.02251E7)</f>
        <v>40225100</v>
      </c>
      <c r="H656" s="87"/>
      <c r="I656" s="87" t="str">
        <f>IFERROR(__xludf.DUMMYFUNCTION("""COMPUTED_VALUE"""),"MATERIAL DESCARREGADO - PROCESSO Nº 1400.01.0026473/2023-12")</f>
        <v>MATERIAL DESCARREGADO - PROCESSO Nº 1400.01.0026473/2023-12</v>
      </c>
    </row>
    <row r="657">
      <c r="A657" s="84">
        <f>IFERROR(__xludf.DUMMYFUNCTION("""COMPUTED_VALUE"""),656.0)</f>
        <v>656</v>
      </c>
      <c r="B657" s="85" t="str">
        <f>IFERROR(__xludf.DUMMYFUNCTION("""COMPUTED_VALUE"""),"BOMBA COSTAL PARA COMBATE A INCENDIO -")</f>
        <v>BOMBA COSTAL PARA COMBATE A INCENDIO -</v>
      </c>
      <c r="C657" s="86">
        <f>IFERROR(__xludf.DUMMYFUNCTION("""COMPUTED_VALUE"""),1.0)</f>
        <v>1</v>
      </c>
      <c r="D657" s="87" t="str">
        <f>IFERROR(__xludf.DUMMYFUNCTION("""COMPUTED_VALUE"""),"SEÇÃO")</f>
        <v>SEÇÃO</v>
      </c>
      <c r="E657" s="87" t="str">
        <f>IFERROR(__xludf.DUMMYFUNCTION("""COMPUTED_VALUE"""),"3 - DESCARGA")</f>
        <v>3 - DESCARGA</v>
      </c>
      <c r="F657" s="88"/>
      <c r="G657" s="89">
        <f>IFERROR(__xludf.DUMMYFUNCTION("""COMPUTED_VALUE"""),4.0225194E7)</f>
        <v>40225194</v>
      </c>
      <c r="H657" s="87"/>
      <c r="I657" s="87" t="str">
        <f>IFERROR(__xludf.DUMMYFUNCTION("""COMPUTED_VALUE"""),"MATERIAL DESCARREGADO - PROCESSO Nº 1400.01.0026473/2023-13")</f>
        <v>MATERIAL DESCARREGADO - PROCESSO Nº 1400.01.0026473/2023-13</v>
      </c>
    </row>
    <row r="658">
      <c r="A658" s="84">
        <f>IFERROR(__xludf.DUMMYFUNCTION("""COMPUTED_VALUE"""),657.0)</f>
        <v>657</v>
      </c>
      <c r="B658" s="85" t="str">
        <f>IFERROR(__xludf.DUMMYFUNCTION("""COMPUTED_VALUE"""),"BOMBA COSTAL PARA COMBATE A INCENDIO -")</f>
        <v>BOMBA COSTAL PARA COMBATE A INCENDIO -</v>
      </c>
      <c r="C658" s="86">
        <f>IFERROR(__xludf.DUMMYFUNCTION("""COMPUTED_VALUE"""),1.0)</f>
        <v>1</v>
      </c>
      <c r="D658" s="87" t="str">
        <f>IFERROR(__xludf.DUMMYFUNCTION("""COMPUTED_VALUE"""),"SEÇÃO")</f>
        <v>SEÇÃO</v>
      </c>
      <c r="E658" s="87" t="str">
        <f>IFERROR(__xludf.DUMMYFUNCTION("""COMPUTED_VALUE"""),"3 - ALMOX. ESTOQUE")</f>
        <v>3 - ALMOX. ESTOQUE</v>
      </c>
      <c r="F658" s="88" t="str">
        <f>IFERROR(__xludf.DUMMYFUNCTION("""COMPUTED_VALUE"""),"SAO")</f>
        <v>SAO</v>
      </c>
      <c r="G658" s="89">
        <f>IFERROR(__xludf.DUMMYFUNCTION("""COMPUTED_VALUE"""),4.0225682E7)</f>
        <v>40225682</v>
      </c>
      <c r="H658" s="87"/>
      <c r="I658" s="87"/>
    </row>
    <row r="659">
      <c r="A659" s="84">
        <f>IFERROR(__xludf.DUMMYFUNCTION("""COMPUTED_VALUE"""),658.0)</f>
        <v>658</v>
      </c>
      <c r="B659" s="85" t="str">
        <f>IFERROR(__xludf.DUMMYFUNCTION("""COMPUTED_VALUE"""),"CONJUNTO DE BLOCOS E CALCOS (13)")</f>
        <v>CONJUNTO DE BLOCOS E CALCOS (13)</v>
      </c>
      <c r="C659" s="86">
        <f>IFERROR(__xludf.DUMMYFUNCTION("""COMPUTED_VALUE"""),1.0)</f>
        <v>1</v>
      </c>
      <c r="D659" s="87" t="str">
        <f>IFERROR(__xludf.DUMMYFUNCTION("""COMPUTED_VALUE"""),"VIATURA")</f>
        <v>VIATURA</v>
      </c>
      <c r="E659" s="87" t="str">
        <f>IFERROR(__xludf.DUMMYFUNCTION("""COMPUTED_VALUE"""),"1 - ASM3617")</f>
        <v>1 - ASM3617</v>
      </c>
      <c r="F659" s="88" t="str">
        <f>IFERROR(__xludf.DUMMYFUNCTION("""COMPUTED_VALUE"""),"BOX 05")</f>
        <v>BOX 05</v>
      </c>
      <c r="G659" s="89">
        <f>IFERROR(__xludf.DUMMYFUNCTION("""COMPUTED_VALUE"""),4.026615E7)</f>
        <v>40266150</v>
      </c>
      <c r="H659" s="87"/>
      <c r="I659" s="87" t="str">
        <f>IFERROR(__xludf.DUMMYFUNCTION("""COMPUTED_VALUE"""),"CONJUNTO DE CALÇOS DE POLIETILENO PARA SALVAMENTO VEÍCULAR. (02 CALÇO ESCADA, 02 CUNHA PEQUENA, 04 CUNHA GRANDE, 05 QUADRADOS) ")</f>
        <v>CONJUNTO DE CALÇOS DE POLIETILENO PARA SALVAMENTO VEÍCULAR. (02 CALÇO ESCADA, 02 CUNHA PEQUENA, 04 CUNHA GRANDE, 05 QUADRADOS) </v>
      </c>
    </row>
    <row r="660">
      <c r="A660" s="84">
        <f>IFERROR(__xludf.DUMMYFUNCTION("""COMPUTED_VALUE"""),659.0)</f>
        <v>659</v>
      </c>
      <c r="B660" s="85" t="str">
        <f>IFERROR(__xludf.DUMMYFUNCTION("""COMPUTED_VALUE"""),"ESGUICHO PARA MANGUEIRA COMBATE A INCENDIO - (KR4)")</f>
        <v>ESGUICHO PARA MANGUEIRA COMBATE A INCENDIO - (KR4)</v>
      </c>
      <c r="C660" s="86">
        <f>IFERROR(__xludf.DUMMYFUNCTION("""COMPUTED_VALUE"""),1.0)</f>
        <v>1</v>
      </c>
      <c r="D660" s="87" t="str">
        <f>IFERROR(__xludf.DUMMYFUNCTION("""COMPUTED_VALUE"""),"SEÇÃO")</f>
        <v>SEÇÃO</v>
      </c>
      <c r="E660" s="87" t="str">
        <f>IFERROR(__xludf.DUMMYFUNCTION("""COMPUTED_VALUE"""),"3 - ALMOX. ESTOQUE")</f>
        <v>3 - ALMOX. ESTOQUE</v>
      </c>
      <c r="F660" s="88" t="str">
        <f>IFERROR(__xludf.DUMMYFUNCTION("""COMPUTED_VALUE"""),"ALMOX. SAO (SEDE)")</f>
        <v>ALMOX. SAO (SEDE)</v>
      </c>
      <c r="G660" s="89">
        <f>IFERROR(__xludf.DUMMYFUNCTION("""COMPUTED_VALUE"""),4.0281876E7)</f>
        <v>40281876</v>
      </c>
      <c r="H660" s="87"/>
      <c r="I660" s="87" t="str">
        <f>IFERROR(__xludf.DUMMYFUNCTION("""COMPUTED_VALUE"""),"MATERIAL EM SUBSTITUIÇÃO AOS DO BOX EMPERRADO.")</f>
        <v>MATERIAL EM SUBSTITUIÇÃO AOS DO BOX EMPERRADO.</v>
      </c>
    </row>
    <row r="661">
      <c r="A661" s="84">
        <f>IFERROR(__xludf.DUMMYFUNCTION("""COMPUTED_VALUE"""),660.0)</f>
        <v>660</v>
      </c>
      <c r="B661" s="85" t="str">
        <f>IFERROR(__xludf.DUMMYFUNCTION("""COMPUTED_VALUE"""),"CAPACETE DE SALVAMENTO E PROTECAO -")</f>
        <v>CAPACETE DE SALVAMENTO E PROTECAO -</v>
      </c>
      <c r="C661" s="86">
        <f>IFERROR(__xludf.DUMMYFUNCTION("""COMPUTED_VALUE"""),1.0)</f>
        <v>1</v>
      </c>
      <c r="D661" s="87" t="str">
        <f>IFERROR(__xludf.DUMMYFUNCTION("""COMPUTED_VALUE"""),"SEÇÃO")</f>
        <v>SEÇÃO</v>
      </c>
      <c r="E661" s="87" t="str">
        <f>IFERROR(__xludf.DUMMYFUNCTION("""COMPUTED_VALUE"""),"3 - ALMOX. ESTOQUE")</f>
        <v>3 - ALMOX. ESTOQUE</v>
      </c>
      <c r="F661" s="88" t="str">
        <f>IFERROR(__xludf.DUMMYFUNCTION("""COMPUTED_VALUE"""),"SAO")</f>
        <v>SAO</v>
      </c>
      <c r="G661" s="89">
        <f>IFERROR(__xludf.DUMMYFUNCTION("""COMPUTED_VALUE"""),4.0285995E7)</f>
        <v>40285995</v>
      </c>
      <c r="H661" s="87"/>
      <c r="I661" s="87"/>
    </row>
    <row r="662">
      <c r="A662" s="84">
        <f>IFERROR(__xludf.DUMMYFUNCTION("""COMPUTED_VALUE"""),661.0)</f>
        <v>661</v>
      </c>
      <c r="B662" s="85" t="str">
        <f>IFERROR(__xludf.DUMMYFUNCTION("""COMPUTED_VALUE"""),"BEBEDOURO PARA GARRAFAO AGUA MINERAL -")</f>
        <v>BEBEDOURO PARA GARRAFAO AGUA MINERAL -</v>
      </c>
      <c r="C662" s="86">
        <f>IFERROR(__xludf.DUMMYFUNCTION("""COMPUTED_VALUE"""),1.0)</f>
        <v>1</v>
      </c>
      <c r="D662" s="87" t="str">
        <f>IFERROR(__xludf.DUMMYFUNCTION("""COMPUTED_VALUE"""),"SEÇÃO")</f>
        <v>SEÇÃO</v>
      </c>
      <c r="E662" s="87" t="str">
        <f>IFERROR(__xludf.DUMMYFUNCTION("""COMPUTED_VALUE"""),"3 - CARTÓRIO")</f>
        <v>3 - CARTÓRIO</v>
      </c>
      <c r="F662" s="88"/>
      <c r="G662" s="89">
        <f>IFERROR(__xludf.DUMMYFUNCTION("""COMPUTED_VALUE"""),4.0309258E7)</f>
        <v>40309258</v>
      </c>
      <c r="H662" s="87" t="str">
        <f>IFERROR(__xludf.DUMMYFUNCTION("""COMPUTED_VALUE"""),"n. série 050723")</f>
        <v>n. série 050723</v>
      </c>
      <c r="I662" s="87" t="str">
        <f>IFERROR(__xludf.DUMMYFUNCTION("""COMPUTED_VALUE"""),"bebedouro marca: AGRATTO ")</f>
        <v>bebedouro marca: AGRATTO </v>
      </c>
    </row>
    <row r="663">
      <c r="A663" s="84">
        <f>IFERROR(__xludf.DUMMYFUNCTION("""COMPUTED_VALUE"""),662.0)</f>
        <v>662</v>
      </c>
      <c r="B663" s="85" t="str">
        <f>IFERROR(__xludf.DUMMYFUNCTION("""COMPUTED_VALUE"""),"FOGAO -")</f>
        <v>FOGAO -</v>
      </c>
      <c r="C663" s="86">
        <f>IFERROR(__xludf.DUMMYFUNCTION("""COMPUTED_VALUE"""),1.0)</f>
        <v>1</v>
      </c>
      <c r="D663" s="87" t="str">
        <f>IFERROR(__xludf.DUMMYFUNCTION("""COMPUTED_VALUE"""),"SEÇÃO")</f>
        <v>SEÇÃO</v>
      </c>
      <c r="E663" s="87" t="str">
        <f>IFERROR(__xludf.DUMMYFUNCTION("""COMPUTED_VALUE"""),"3 - REFEITÓRIO (SEDE)")</f>
        <v>3 - REFEITÓRIO (SEDE)</v>
      </c>
      <c r="F663" s="88"/>
      <c r="G663" s="89">
        <f>IFERROR(__xludf.DUMMYFUNCTION("""COMPUTED_VALUE"""),4.0310175E7)</f>
        <v>40310175</v>
      </c>
      <c r="H663" s="87"/>
      <c r="I663" s="87"/>
    </row>
    <row r="664">
      <c r="A664" s="84">
        <f>IFERROR(__xludf.DUMMYFUNCTION("""COMPUTED_VALUE"""),663.0)</f>
        <v>663</v>
      </c>
      <c r="B664" s="85" t="str">
        <f>IFERROR(__xludf.DUMMYFUNCTION("""COMPUTED_VALUE"""),"REFRIGERADOR DOMESTICO -")</f>
        <v>REFRIGERADOR DOMESTICO -</v>
      </c>
      <c r="C664" s="86">
        <f>IFERROR(__xludf.DUMMYFUNCTION("""COMPUTED_VALUE"""),1.0)</f>
        <v>1</v>
      </c>
      <c r="D664" s="87" t="str">
        <f>IFERROR(__xludf.DUMMYFUNCTION("""COMPUTED_VALUE"""),"SEÇÃO")</f>
        <v>SEÇÃO</v>
      </c>
      <c r="E664" s="87" t="str">
        <f>IFERROR(__xludf.DUMMYFUNCTION("""COMPUTED_VALUE"""),"3 - REFEITÓRIO (SEDE)")</f>
        <v>3 - REFEITÓRIO (SEDE)</v>
      </c>
      <c r="F664" s="88"/>
      <c r="G664" s="89">
        <f>IFERROR(__xludf.DUMMYFUNCTION("""COMPUTED_VALUE"""),4.031112E7)</f>
        <v>40311120</v>
      </c>
      <c r="H664" s="87"/>
      <c r="I664" s="87"/>
    </row>
    <row r="665">
      <c r="A665" s="84">
        <f>IFERROR(__xludf.DUMMYFUNCTION("""COMPUTED_VALUE"""),664.0)</f>
        <v>664</v>
      </c>
      <c r="B665" s="85" t="str">
        <f>IFERROR(__xludf.DUMMYFUNCTION("""COMPUTED_VALUE"""),"MOTOSSERRA -")</f>
        <v>MOTOSSERRA -</v>
      </c>
      <c r="C665" s="86">
        <f>IFERROR(__xludf.DUMMYFUNCTION("""COMPUTED_VALUE"""),1.0)</f>
        <v>1</v>
      </c>
      <c r="D665" s="87" t="str">
        <f>IFERROR(__xludf.DUMMYFUNCTION("""COMPUTED_VALUE"""),"SEÇÃO")</f>
        <v>SEÇÃO</v>
      </c>
      <c r="E665" s="87" t="str">
        <f>IFERROR(__xludf.DUMMYFUNCTION("""COMPUTED_VALUE"""),"3 - ALMOX. ESTOQUE")</f>
        <v>3 - ALMOX. ESTOQUE</v>
      </c>
      <c r="F665" s="88" t="str">
        <f>IFERROR(__xludf.DUMMYFUNCTION("""COMPUTED_VALUE"""),"ALMOX. SAO (SEDE)")</f>
        <v>ALMOX. SAO (SEDE)</v>
      </c>
      <c r="G665" s="89">
        <f>IFERROR(__xludf.DUMMYFUNCTION("""COMPUTED_VALUE"""),4.032552E7)</f>
        <v>40325520</v>
      </c>
      <c r="H665" s="87" t="str">
        <f>IFERROR(__xludf.DUMMYFUNCTION("""COMPUTED_VALUE"""),"N.S. 20172857601")</f>
        <v>N.S. 20172857601</v>
      </c>
      <c r="I665" s="87" t="str">
        <f>IFERROR(__xludf.DUMMYFUNCTION("""COMPUTED_VALUE"""),"HUSQVARNA, 288-POTENCIA MOTOR MINIMA DE 4,2KW; ROTACAO MINMA DE 12000; TANQUE DE COMBUSTIVEL MINIMA DE 800ML; TANQUE DE OLEO MINIMA DE 360ML; SABRE DE 16"" A 28"" ")</f>
        <v>HUSQVARNA, 288-POTENCIA MOTOR MINIMA DE 4,2KW; ROTACAO MINMA DE 12000; TANQUE DE COMBUSTIVEL MINIMA DE 800ML; TANQUE DE OLEO MINIMA DE 360ML; SABRE DE 16" A 28" </v>
      </c>
    </row>
    <row r="666">
      <c r="A666" s="84">
        <f>IFERROR(__xludf.DUMMYFUNCTION("""COMPUTED_VALUE"""),665.0)</f>
        <v>665</v>
      </c>
      <c r="B666" s="85" t="str">
        <f>IFERROR(__xludf.DUMMYFUNCTION("""COMPUTED_VALUE"""),"ESTETOSCOPIO -")</f>
        <v>ESTETOSCOPIO -</v>
      </c>
      <c r="C666" s="86">
        <f>IFERROR(__xludf.DUMMYFUNCTION("""COMPUTED_VALUE"""),1.0)</f>
        <v>1</v>
      </c>
      <c r="D666" s="87" t="str">
        <f>IFERROR(__xludf.DUMMYFUNCTION("""COMPUTED_VALUE"""),"SEÇÃO")</f>
        <v>SEÇÃO</v>
      </c>
      <c r="E666" s="87" t="str">
        <f>IFERROR(__xludf.DUMMYFUNCTION("""COMPUTED_VALUE"""),"3 - DESCARGA")</f>
        <v>3 - DESCARGA</v>
      </c>
      <c r="F666" s="88"/>
      <c r="G666" s="89">
        <f>IFERROR(__xludf.DUMMYFUNCTION("""COMPUTED_VALUE"""),4.0353605E7)</f>
        <v>40353605</v>
      </c>
      <c r="H666" s="87"/>
      <c r="I666" s="87" t="str">
        <f>IFERROR(__xludf.DUMMYFUNCTION("""COMPUTED_VALUE"""),"MATERIAL DESCARREGADO - PROCESSO Nº 1400.01.0026473/2023-13")</f>
        <v>MATERIAL DESCARREGADO - PROCESSO Nº 1400.01.0026473/2023-13</v>
      </c>
    </row>
    <row r="667">
      <c r="A667" s="84">
        <f>IFERROR(__xludf.DUMMYFUNCTION("""COMPUTED_VALUE"""),666.0)</f>
        <v>666</v>
      </c>
      <c r="B667" s="85" t="str">
        <f>IFERROR(__xludf.DUMMYFUNCTION("""COMPUTED_VALUE"""),"ESFIGMOMANOMETRO -")</f>
        <v>ESFIGMOMANOMETRO -</v>
      </c>
      <c r="C667" s="86">
        <f>IFERROR(__xludf.DUMMYFUNCTION("""COMPUTED_VALUE"""),1.0)</f>
        <v>1</v>
      </c>
      <c r="D667" s="87" t="str">
        <f>IFERROR(__xludf.DUMMYFUNCTION("""COMPUTED_VALUE"""),"SEÇÃO")</f>
        <v>SEÇÃO</v>
      </c>
      <c r="E667" s="87" t="str">
        <f>IFERROR(__xludf.DUMMYFUNCTION("""COMPUTED_VALUE"""),"3 - DESCARGA")</f>
        <v>3 - DESCARGA</v>
      </c>
      <c r="F667" s="88"/>
      <c r="G667" s="89">
        <f>IFERROR(__xludf.DUMMYFUNCTION("""COMPUTED_VALUE"""),4.035766E7)</f>
        <v>40357660</v>
      </c>
      <c r="H667" s="87"/>
      <c r="I667" s="87" t="str">
        <f>IFERROR(__xludf.DUMMYFUNCTION("""COMPUTED_VALUE"""),"MATERIAL DESCARREGADO - PROCESSO Nº 1400.01.0026473/2023-13")</f>
        <v>MATERIAL DESCARREGADO - PROCESSO Nº 1400.01.0026473/2023-13</v>
      </c>
    </row>
    <row r="668">
      <c r="A668" s="84">
        <f>IFERROR(__xludf.DUMMYFUNCTION("""COMPUTED_VALUE"""),667.0)</f>
        <v>667</v>
      </c>
      <c r="B668" s="85" t="str">
        <f>IFERROR(__xludf.DUMMYFUNCTION("""COMPUTED_VALUE"""),"ESTETOSCOPIO -")</f>
        <v>ESTETOSCOPIO -</v>
      </c>
      <c r="C668" s="86">
        <f>IFERROR(__xludf.DUMMYFUNCTION("""COMPUTED_VALUE"""),1.0)</f>
        <v>1</v>
      </c>
      <c r="D668" s="87" t="str">
        <f>IFERROR(__xludf.DUMMYFUNCTION("""COMPUTED_VALUE"""),"SEÇÃO")</f>
        <v>SEÇÃO</v>
      </c>
      <c r="E668" s="87" t="str">
        <f>IFERROR(__xludf.DUMMYFUNCTION("""COMPUTED_VALUE"""),"3 - DESCARGA")</f>
        <v>3 - DESCARGA</v>
      </c>
      <c r="F668" s="88"/>
      <c r="G668" s="89">
        <f>IFERROR(__xludf.DUMMYFUNCTION("""COMPUTED_VALUE"""),4.0358712E7)</f>
        <v>40358712</v>
      </c>
      <c r="H668" s="87"/>
      <c r="I668" s="87" t="str">
        <f>IFERROR(__xludf.DUMMYFUNCTION("""COMPUTED_VALUE"""),"MATERIAL DESCARREGADO - PROCESSO Nº 1400.01.0026473/2023-13")</f>
        <v>MATERIAL DESCARREGADO - PROCESSO Nº 1400.01.0026473/2023-13</v>
      </c>
    </row>
    <row r="669">
      <c r="A669" s="84">
        <f>IFERROR(__xludf.DUMMYFUNCTION("""COMPUTED_VALUE"""),668.0)</f>
        <v>668</v>
      </c>
      <c r="B669" s="85" t="str">
        <f>IFERROR(__xludf.DUMMYFUNCTION("""COMPUTED_VALUE"""),"RADIO TRANSCEPTOR -")</f>
        <v>RADIO TRANSCEPTOR -</v>
      </c>
      <c r="C669" s="86">
        <f>IFERROR(__xludf.DUMMYFUNCTION("""COMPUTED_VALUE"""),1.0)</f>
        <v>1</v>
      </c>
      <c r="D669" s="87" t="str">
        <f>IFERROR(__xludf.DUMMYFUNCTION("""COMPUTED_VALUE"""),"VIATURA")</f>
        <v>VIATURA</v>
      </c>
      <c r="E669" s="87" t="str">
        <f>IFERROR(__xludf.DUMMYFUNCTION("""COMPUTED_VALUE"""),"1 - UR3486")</f>
        <v>1 - UR3486</v>
      </c>
      <c r="F669" s="88" t="str">
        <f>IFERROR(__xludf.DUMMYFUNCTION("""COMPUTED_VALUE"""),"VIATURA")</f>
        <v>VIATURA</v>
      </c>
      <c r="G669" s="89">
        <f>IFERROR(__xludf.DUMMYFUNCTION("""COMPUTED_VALUE"""),4.0363899E7)</f>
        <v>40363899</v>
      </c>
      <c r="H669" s="87" t="str">
        <f>IFERROR(__xludf.DUMMYFUNCTION("""COMPUTED_VALUE"""),"N.S.511NRF00B0")</f>
        <v>N.S.511NRF00B0</v>
      </c>
      <c r="I669" s="87" t="str">
        <f>IFERROR(__xludf.DUMMYFUNCTION("""COMPUTED_VALUE"""),"NÚMERO DE SÉRIO NÃO CORRESPONDE. ")</f>
        <v>NÚMERO DE SÉRIO NÃO CORRESPONDE. </v>
      </c>
    </row>
    <row r="670">
      <c r="A670" s="84">
        <f>IFERROR(__xludf.DUMMYFUNCTION("""COMPUTED_VALUE"""),669.0)</f>
        <v>669</v>
      </c>
      <c r="B670" s="85" t="str">
        <f>IFERROR(__xludf.DUMMYFUNCTION("""COMPUTED_VALUE"""),"COMPUTADOR -")</f>
        <v>COMPUTADOR -</v>
      </c>
      <c r="C670" s="86">
        <f>IFERROR(__xludf.DUMMYFUNCTION("""COMPUTED_VALUE"""),1.0)</f>
        <v>1</v>
      </c>
      <c r="D670" s="87" t="str">
        <f>IFERROR(__xludf.DUMMYFUNCTION("""COMPUTED_VALUE"""),"SEÇÃO")</f>
        <v>SEÇÃO</v>
      </c>
      <c r="E670" s="87" t="str">
        <f>IFERROR(__xludf.DUMMYFUNCTION("""COMPUTED_VALUE"""),"3 - NTS")</f>
        <v>3 - NTS</v>
      </c>
      <c r="F670" s="88"/>
      <c r="G670" s="89">
        <f>IFERROR(__xludf.DUMMYFUNCTION("""COMPUTED_VALUE"""),5.5910513E7)</f>
        <v>55910513</v>
      </c>
      <c r="H670" s="87"/>
      <c r="I670" s="87" t="str">
        <f>IFERROR(__xludf.DUMMYFUNCTION("""COMPUTED_VALUE"""),"NÃO CONSTA NA CARGA ATUAL 25/09/24")</f>
        <v>NÃO CONSTA NA CARGA ATUAL 25/09/24</v>
      </c>
    </row>
    <row r="671">
      <c r="A671" s="84">
        <f>IFERROR(__xludf.DUMMYFUNCTION("""COMPUTED_VALUE"""),670.0)</f>
        <v>670</v>
      </c>
      <c r="B671" s="85" t="str">
        <f>IFERROR(__xludf.DUMMYFUNCTION("""COMPUTED_VALUE"""),"CAMA -(II)")</f>
        <v>CAMA -(II)</v>
      </c>
      <c r="C671" s="86">
        <f>IFERROR(__xludf.DUMMYFUNCTION("""COMPUTED_VALUE"""),1.0)</f>
        <v>1</v>
      </c>
      <c r="D671" s="87" t="str">
        <f>IFERROR(__xludf.DUMMYFUNCTION("""COMPUTED_VALUE"""),"SEÇÃO")</f>
        <v>SEÇÃO</v>
      </c>
      <c r="E671" s="87" t="str">
        <f>IFERROR(__xludf.DUMMYFUNCTION("""COMPUTED_VALUE"""),"3 - GUARDA")</f>
        <v>3 - GUARDA</v>
      </c>
      <c r="F671" s="88"/>
      <c r="G671" s="89">
        <f>IFERROR(__xludf.DUMMYFUNCTION("""COMPUTED_VALUE"""),7637373.0)</f>
        <v>7637373</v>
      </c>
      <c r="H671" s="87"/>
      <c r="I671" s="87"/>
    </row>
    <row r="672">
      <c r="A672" s="84">
        <f>IFERROR(__xludf.DUMMYFUNCTION("""COMPUTED_VALUE"""),671.0)</f>
        <v>671</v>
      </c>
      <c r="B672" s="85" t="str">
        <f>IFERROR(__xludf.DUMMYFUNCTION("""COMPUTED_VALUE"""),"CAPACETE PARA COMBATE INCENDIO -")</f>
        <v>CAPACETE PARA COMBATE INCENDIO -</v>
      </c>
      <c r="C672" s="86">
        <f>IFERROR(__xludf.DUMMYFUNCTION("""COMPUTED_VALUE"""),1.0)</f>
        <v>1</v>
      </c>
      <c r="D672" s="87" t="str">
        <f>IFERROR(__xludf.DUMMYFUNCTION("""COMPUTED_VALUE"""),"SEÇÃO")</f>
        <v>SEÇÃO</v>
      </c>
      <c r="E672" s="87" t="str">
        <f>IFERROR(__xludf.DUMMYFUNCTION("""COMPUTED_VALUE"""),"3 - ALMOX. ESTOQUE")</f>
        <v>3 - ALMOX. ESTOQUE</v>
      </c>
      <c r="F672" s="88" t="str">
        <f>IFERROR(__xludf.DUMMYFUNCTION("""COMPUTED_VALUE"""),"SAO")</f>
        <v>SAO</v>
      </c>
      <c r="G672" s="89">
        <f>IFERROR(__xludf.DUMMYFUNCTION("""COMPUTED_VALUE"""),7.6664678E7)</f>
        <v>76664678</v>
      </c>
      <c r="H672" s="87"/>
      <c r="I672" s="87" t="str">
        <f>IFERROR(__xludf.DUMMYFUNCTION("""COMPUTED_VALUE"""),"CAPACETE RECOLHIDO POR MOTIVO DE BAIXA DO MILITAR. 2 - SD ARTHUR DE BARROS VIEIRA ROCHA")</f>
        <v>CAPACETE RECOLHIDO POR MOTIVO DE BAIXA DO MILITAR. 2 - SD ARTHUR DE BARROS VIEIRA ROCHA</v>
      </c>
    </row>
    <row r="673">
      <c r="A673" s="84">
        <f>IFERROR(__xludf.DUMMYFUNCTION("""COMPUTED_VALUE"""),672.0)</f>
        <v>672</v>
      </c>
      <c r="B673" s="85" t="str">
        <f>IFERROR(__xludf.DUMMYFUNCTION("""COMPUTED_VALUE"""),"APARELHO TELEFONICO -")</f>
        <v>APARELHO TELEFONICO -</v>
      </c>
      <c r="C673" s="86">
        <f>IFERROR(__xludf.DUMMYFUNCTION("""COMPUTED_VALUE"""),1.0)</f>
        <v>1</v>
      </c>
      <c r="D673" s="87" t="str">
        <f>IFERROR(__xludf.DUMMYFUNCTION("""COMPUTED_VALUE"""),"SEÇÃO")</f>
        <v>SEÇÃO</v>
      </c>
      <c r="E673" s="87" t="str">
        <f>IFERROR(__xludf.DUMMYFUNCTION("""COMPUTED_VALUE"""),"3 - DESCARGA")</f>
        <v>3 - DESCARGA</v>
      </c>
      <c r="F673" s="88"/>
      <c r="G673" s="89">
        <f>IFERROR(__xludf.DUMMYFUNCTION("""COMPUTED_VALUE"""),7.6715221E7)</f>
        <v>76715221</v>
      </c>
      <c r="H673" s="87"/>
      <c r="I673" s="87" t="str">
        <f>IFERROR(__xludf.DUMMYFUNCTION("""COMPUTED_VALUE"""),"MATERIAL DESCARREGADO - PROCESSO Nº 1400.01.0026473/2023-03")</f>
        <v>MATERIAL DESCARREGADO - PROCESSO Nº 1400.01.0026473/2023-03</v>
      </c>
    </row>
    <row r="674">
      <c r="A674" s="84">
        <f>IFERROR(__xludf.DUMMYFUNCTION("""COMPUTED_VALUE"""),673.0)</f>
        <v>673</v>
      </c>
      <c r="B674" s="85" t="str">
        <f>IFERROR(__xludf.DUMMYFUNCTION("""COMPUTED_VALUE"""),"ARQUIVO PARA ESCRITORIO -(II)")</f>
        <v>ARQUIVO PARA ESCRITORIO -(II)</v>
      </c>
      <c r="C674" s="86">
        <f>IFERROR(__xludf.DUMMYFUNCTION("""COMPUTED_VALUE"""),1.0)</f>
        <v>1</v>
      </c>
      <c r="D674" s="87" t="str">
        <f>IFERROR(__xludf.DUMMYFUNCTION("""COMPUTED_VALUE"""),"SEÇÃO")</f>
        <v>SEÇÃO</v>
      </c>
      <c r="E674" s="87" t="str">
        <f>IFERROR(__xludf.DUMMYFUNCTION("""COMPUTED_VALUE"""),"3 - SEPLAN")</f>
        <v>3 - SEPLAN</v>
      </c>
      <c r="F674" s="88"/>
      <c r="G674" s="89">
        <f>IFERROR(__xludf.DUMMYFUNCTION("""COMPUTED_VALUE"""),1.2190268E7)</f>
        <v>12190268</v>
      </c>
      <c r="H674" s="87"/>
      <c r="I674" s="87"/>
    </row>
    <row r="675">
      <c r="A675" s="84">
        <f>IFERROR(__xludf.DUMMYFUNCTION("""COMPUTED_VALUE"""),674.0)</f>
        <v>674</v>
      </c>
      <c r="B675" s="85" t="str">
        <f>IFERROR(__xludf.DUMMYFUNCTION("""COMPUTED_VALUE"""),"MESA DE CENTRO -(I)")</f>
        <v>MESA DE CENTRO -(I)</v>
      </c>
      <c r="C675" s="86">
        <f>IFERROR(__xludf.DUMMYFUNCTION("""COMPUTED_VALUE"""),1.0)</f>
        <v>1</v>
      </c>
      <c r="D675" s="87" t="str">
        <f>IFERROR(__xludf.DUMMYFUNCTION("""COMPUTED_VALUE"""),"SEÇÃO")</f>
        <v>SEÇÃO</v>
      </c>
      <c r="E675" s="87" t="str">
        <f>IFERROR(__xludf.DUMMYFUNCTION("""COMPUTED_VALUE"""),"3 - SUB COMANDANTE")</f>
        <v>3 - SUB COMANDANTE</v>
      </c>
      <c r="F675" s="88"/>
      <c r="G675" s="89">
        <f>IFERROR(__xludf.DUMMYFUNCTION("""COMPUTED_VALUE"""),1.3773216E7)</f>
        <v>13773216</v>
      </c>
      <c r="H675" s="87"/>
      <c r="I675" s="87" t="str">
        <f>IFERROR(__xludf.DUMMYFUNCTION("""COMPUTED_VALUE"""),"MESA DE REUNIÃO")</f>
        <v>MESA DE REUNIÃO</v>
      </c>
    </row>
    <row r="676">
      <c r="A676" s="84">
        <f>IFERROR(__xludf.DUMMYFUNCTION("""COMPUTED_VALUE"""),675.0)</f>
        <v>675</v>
      </c>
      <c r="B676" s="85" t="str">
        <f>IFERROR(__xludf.DUMMYFUNCTION("""COMPUTED_VALUE"""),"AR CONDICIONADO -")</f>
        <v>AR CONDICIONADO -</v>
      </c>
      <c r="C676" s="86">
        <f>IFERROR(__xludf.DUMMYFUNCTION("""COMPUTED_VALUE"""),1.0)</f>
        <v>1</v>
      </c>
      <c r="D676" s="87" t="str">
        <f>IFERROR(__xludf.DUMMYFUNCTION("""COMPUTED_VALUE"""),"SEÇÃO")</f>
        <v>SEÇÃO</v>
      </c>
      <c r="E676" s="87" t="str">
        <f>IFERROR(__xludf.DUMMYFUNCTION("""COMPUTED_VALUE"""),"3 - DESCARGA")</f>
        <v>3 - DESCARGA</v>
      </c>
      <c r="F676" s="88"/>
      <c r="G676" s="89">
        <f>IFERROR(__xludf.DUMMYFUNCTION("""COMPUTED_VALUE"""),1.3848992E7)</f>
        <v>13848992</v>
      </c>
      <c r="H676" s="87"/>
      <c r="I676" s="87" t="str">
        <f>IFERROR(__xludf.DUMMYFUNCTION("""COMPUTED_VALUE"""),"MATERIAL DESCARREGADO - PROCESSO Nº 1400.01.0026473/2023-02")</f>
        <v>MATERIAL DESCARREGADO - PROCESSO Nº 1400.01.0026473/2023-02</v>
      </c>
    </row>
    <row r="677">
      <c r="A677" s="84">
        <f>IFERROR(__xludf.DUMMYFUNCTION("""COMPUTED_VALUE"""),676.0)</f>
        <v>676</v>
      </c>
      <c r="B677" s="85" t="str">
        <f>IFERROR(__xludf.DUMMYFUNCTION("""COMPUTED_VALUE"""),"CONJUNTO DE SOM -")</f>
        <v>CONJUNTO DE SOM -</v>
      </c>
      <c r="C677" s="86">
        <f>IFERROR(__xludf.DUMMYFUNCTION("""COMPUTED_VALUE"""),1.0)</f>
        <v>1</v>
      </c>
      <c r="D677" s="87" t="str">
        <f>IFERROR(__xludf.DUMMYFUNCTION("""COMPUTED_VALUE"""),"SEÇÃO")</f>
        <v>SEÇÃO</v>
      </c>
      <c r="E677" s="87" t="str">
        <f>IFERROR(__xludf.DUMMYFUNCTION("""COMPUTED_VALUE"""),"3 - DESCARGA")</f>
        <v>3 - DESCARGA</v>
      </c>
      <c r="F677" s="88"/>
      <c r="G677" s="89">
        <f>IFERROR(__xludf.DUMMYFUNCTION("""COMPUTED_VALUE"""),1.3850148E7)</f>
        <v>13850148</v>
      </c>
      <c r="H677" s="87"/>
      <c r="I677" s="87" t="str">
        <f>IFERROR(__xludf.DUMMYFUNCTION("""COMPUTED_VALUE"""),"MATERIAL DESCARREGADO - PROCESSO Nº 1400.01.0026473/2023-03")</f>
        <v>MATERIAL DESCARREGADO - PROCESSO Nº 1400.01.0026473/2023-03</v>
      </c>
    </row>
    <row r="678">
      <c r="A678" s="84">
        <f>IFERROR(__xludf.DUMMYFUNCTION("""COMPUTED_VALUE"""),677.0)</f>
        <v>677</v>
      </c>
      <c r="B678" s="85" t="str">
        <f>IFERROR(__xludf.DUMMYFUNCTION("""COMPUTED_VALUE"""),"COMPUTADOR -")</f>
        <v>COMPUTADOR -</v>
      </c>
      <c r="C678" s="86">
        <f>IFERROR(__xludf.DUMMYFUNCTION("""COMPUTED_VALUE"""),1.0)</f>
        <v>1</v>
      </c>
      <c r="D678" s="87" t="str">
        <f>IFERROR(__xludf.DUMMYFUNCTION("""COMPUTED_VALUE"""),"SEÇÃO")</f>
        <v>SEÇÃO</v>
      </c>
      <c r="E678" s="87" t="str">
        <f>IFERROR(__xludf.DUMMYFUNCTION("""COMPUTED_VALUE"""),"3 - DESCARGA")</f>
        <v>3 - DESCARGA</v>
      </c>
      <c r="F678" s="88"/>
      <c r="G678" s="89">
        <f>IFERROR(__xludf.DUMMYFUNCTION("""COMPUTED_VALUE"""),1.3895508E7)</f>
        <v>13895508</v>
      </c>
      <c r="H678" s="87"/>
      <c r="I678" s="87" t="str">
        <f>IFERROR(__xludf.DUMMYFUNCTION("""COMPUTED_VALUE"""),"MATERIAL DESCARREGADO - PROCESSO Nº 1400.01.0026473/2023-04")</f>
        <v>MATERIAL DESCARREGADO - PROCESSO Nº 1400.01.0026473/2023-04</v>
      </c>
    </row>
    <row r="679">
      <c r="A679" s="84">
        <f>IFERROR(__xludf.DUMMYFUNCTION("""COMPUTED_VALUE"""),678.0)</f>
        <v>678</v>
      </c>
      <c r="B679" s="85" t="str">
        <f>IFERROR(__xludf.DUMMYFUNCTION("""COMPUTED_VALUE"""),"COMPUTADOR -")</f>
        <v>COMPUTADOR -</v>
      </c>
      <c r="C679" s="86">
        <f>IFERROR(__xludf.DUMMYFUNCTION("""COMPUTED_VALUE"""),1.0)</f>
        <v>1</v>
      </c>
      <c r="D679" s="87" t="str">
        <f>IFERROR(__xludf.DUMMYFUNCTION("""COMPUTED_VALUE"""),"SEÇÃO")</f>
        <v>SEÇÃO</v>
      </c>
      <c r="E679" s="87" t="str">
        <f>IFERROR(__xludf.DUMMYFUNCTION("""COMPUTED_VALUE"""),"3 - DESCARGA")</f>
        <v>3 - DESCARGA</v>
      </c>
      <c r="F679" s="88"/>
      <c r="G679" s="89">
        <f>IFERROR(__xludf.DUMMYFUNCTION("""COMPUTED_VALUE"""),1.3895893E7)</f>
        <v>13895893</v>
      </c>
      <c r="H679" s="87"/>
      <c r="I679" s="87" t="str">
        <f>IFERROR(__xludf.DUMMYFUNCTION("""COMPUTED_VALUE"""),"MATERIAL DESCARREGADO - PROCESSO Nº 1400.01.0026473/2023-04")</f>
        <v>MATERIAL DESCARREGADO - PROCESSO Nº 1400.01.0026473/2023-04</v>
      </c>
    </row>
    <row r="680">
      <c r="A680" s="84">
        <f>IFERROR(__xludf.DUMMYFUNCTION("""COMPUTED_VALUE"""),679.0)</f>
        <v>679</v>
      </c>
      <c r="B680" s="85" t="str">
        <f>IFERROR(__xludf.DUMMYFUNCTION("""COMPUTED_VALUE"""),"COMPUTADOR -")</f>
        <v>COMPUTADOR -</v>
      </c>
      <c r="C680" s="86">
        <f>IFERROR(__xludf.DUMMYFUNCTION("""COMPUTED_VALUE"""),1.0)</f>
        <v>1</v>
      </c>
      <c r="D680" s="87" t="str">
        <f>IFERROR(__xludf.DUMMYFUNCTION("""COMPUTED_VALUE"""),"SEÇÃO")</f>
        <v>SEÇÃO</v>
      </c>
      <c r="E680" s="87" t="str">
        <f>IFERROR(__xludf.DUMMYFUNCTION("""COMPUTED_VALUE"""),"3 - DESCARGA")</f>
        <v>3 - DESCARGA</v>
      </c>
      <c r="F680" s="88"/>
      <c r="G680" s="89">
        <f>IFERROR(__xludf.DUMMYFUNCTION("""COMPUTED_VALUE"""),1.3896873E7)</f>
        <v>13896873</v>
      </c>
      <c r="H680" s="87"/>
      <c r="I680" s="87" t="str">
        <f>IFERROR(__xludf.DUMMYFUNCTION("""COMPUTED_VALUE"""),"MATERIAL DESCARREGADO - PROCESSO Nº 1400.01.0026473/2023-04")</f>
        <v>MATERIAL DESCARREGADO - PROCESSO Nº 1400.01.0026473/2023-04</v>
      </c>
    </row>
    <row r="681">
      <c r="A681" s="84">
        <f>IFERROR(__xludf.DUMMYFUNCTION("""COMPUTED_VALUE"""),680.0)</f>
        <v>680</v>
      </c>
      <c r="B681" s="85" t="str">
        <f>IFERROR(__xludf.DUMMYFUNCTION("""COMPUTED_VALUE"""),"COMPUTADOR -")</f>
        <v>COMPUTADOR -</v>
      </c>
      <c r="C681" s="86">
        <f>IFERROR(__xludf.DUMMYFUNCTION("""COMPUTED_VALUE"""),1.0)</f>
        <v>1</v>
      </c>
      <c r="D681" s="87" t="str">
        <f>IFERROR(__xludf.DUMMYFUNCTION("""COMPUTED_VALUE"""),"SEÇÃO")</f>
        <v>SEÇÃO</v>
      </c>
      <c r="E681" s="87" t="str">
        <f>IFERROR(__xludf.DUMMYFUNCTION("""COMPUTED_VALUE"""),"3 - DESCARGA")</f>
        <v>3 - DESCARGA</v>
      </c>
      <c r="F681" s="88"/>
      <c r="G681" s="89">
        <f>IFERROR(__xludf.DUMMYFUNCTION("""COMPUTED_VALUE"""),1.3922157E7)</f>
        <v>13922157</v>
      </c>
      <c r="H681" s="87"/>
      <c r="I681" s="87" t="str">
        <f>IFERROR(__xludf.DUMMYFUNCTION("""COMPUTED_VALUE"""),"MATERIAL DESCARREGADO - PROCESSO Nº 1400.01.0026473/2023-04")</f>
        <v>MATERIAL DESCARREGADO - PROCESSO Nº 1400.01.0026473/2023-04</v>
      </c>
    </row>
    <row r="682">
      <c r="A682" s="84">
        <f>IFERROR(__xludf.DUMMYFUNCTION("""COMPUTED_VALUE"""),681.0)</f>
        <v>681</v>
      </c>
      <c r="B682" s="85" t="str">
        <f>IFERROR(__xludf.DUMMYFUNCTION("""COMPUTED_VALUE"""),"COMPUTADOR -")</f>
        <v>COMPUTADOR -</v>
      </c>
      <c r="C682" s="86">
        <f>IFERROR(__xludf.DUMMYFUNCTION("""COMPUTED_VALUE"""),1.0)</f>
        <v>1</v>
      </c>
      <c r="D682" s="87" t="str">
        <f>IFERROR(__xludf.DUMMYFUNCTION("""COMPUTED_VALUE"""),"SEÇÃO")</f>
        <v>SEÇÃO</v>
      </c>
      <c r="E682" s="87" t="str">
        <f>IFERROR(__xludf.DUMMYFUNCTION("""COMPUTED_VALUE"""),"3 - DESCARGA")</f>
        <v>3 - DESCARGA</v>
      </c>
      <c r="F682" s="88"/>
      <c r="G682" s="89">
        <f>IFERROR(__xludf.DUMMYFUNCTION("""COMPUTED_VALUE"""),1.3922432E7)</f>
        <v>13922432</v>
      </c>
      <c r="H682" s="87"/>
      <c r="I682" s="87" t="str">
        <f>IFERROR(__xludf.DUMMYFUNCTION("""COMPUTED_VALUE"""),"MATERIAL DESCARREGADO - PROCESSO Nº 1400.01.0026473/2023-04")</f>
        <v>MATERIAL DESCARREGADO - PROCESSO Nº 1400.01.0026473/2023-04</v>
      </c>
    </row>
    <row r="683">
      <c r="A683" s="84">
        <f>IFERROR(__xludf.DUMMYFUNCTION("""COMPUTED_VALUE"""),682.0)</f>
        <v>682</v>
      </c>
      <c r="B683" s="85" t="str">
        <f>IFERROR(__xludf.DUMMYFUNCTION("""COMPUTED_VALUE"""),"COMPUTADOR -")</f>
        <v>COMPUTADOR -</v>
      </c>
      <c r="C683" s="86">
        <f>IFERROR(__xludf.DUMMYFUNCTION("""COMPUTED_VALUE"""),1.0)</f>
        <v>1</v>
      </c>
      <c r="D683" s="87" t="str">
        <f>IFERROR(__xludf.DUMMYFUNCTION("""COMPUTED_VALUE"""),"SEÇÃO")</f>
        <v>SEÇÃO</v>
      </c>
      <c r="E683" s="87" t="str">
        <f>IFERROR(__xludf.DUMMYFUNCTION("""COMPUTED_VALUE"""),"3 - DESCARGA")</f>
        <v>3 - DESCARGA</v>
      </c>
      <c r="F683" s="88"/>
      <c r="G683" s="89">
        <f>IFERROR(__xludf.DUMMYFUNCTION("""COMPUTED_VALUE"""),1.392284E7)</f>
        <v>13922840</v>
      </c>
      <c r="H683" s="87"/>
      <c r="I683" s="87" t="str">
        <f>IFERROR(__xludf.DUMMYFUNCTION("""COMPUTED_VALUE"""),"MATERIAL DESCARREGADO - PROCESSO Nº 1400.01.0026473/2023-04")</f>
        <v>MATERIAL DESCARREGADO - PROCESSO Nº 1400.01.0026473/2023-04</v>
      </c>
    </row>
    <row r="684">
      <c r="A684" s="84">
        <f>IFERROR(__xludf.DUMMYFUNCTION("""COMPUTED_VALUE"""),683.0)</f>
        <v>683</v>
      </c>
      <c r="B684" s="85" t="str">
        <f>IFERROR(__xludf.DUMMYFUNCTION("""COMPUTED_VALUE"""),"COMPUTADOR -")</f>
        <v>COMPUTADOR -</v>
      </c>
      <c r="C684" s="86">
        <f>IFERROR(__xludf.DUMMYFUNCTION("""COMPUTED_VALUE"""),1.0)</f>
        <v>1</v>
      </c>
      <c r="D684" s="87" t="str">
        <f>IFERROR(__xludf.DUMMYFUNCTION("""COMPUTED_VALUE"""),"SEÇÃO")</f>
        <v>SEÇÃO</v>
      </c>
      <c r="E684" s="87" t="str">
        <f>IFERROR(__xludf.DUMMYFUNCTION("""COMPUTED_VALUE"""),"3 - DESCARGA")</f>
        <v>3 - DESCARGA</v>
      </c>
      <c r="F684" s="88"/>
      <c r="G684" s="89">
        <f>IFERROR(__xludf.DUMMYFUNCTION("""COMPUTED_VALUE"""),1.392289E7)</f>
        <v>13922890</v>
      </c>
      <c r="H684" s="87"/>
      <c r="I684" s="87" t="str">
        <f>IFERROR(__xludf.DUMMYFUNCTION("""COMPUTED_VALUE"""),"MATERIAL DESCARREGADO - PROCESSO Nº 1400.01.0026473/2023-04")</f>
        <v>MATERIAL DESCARREGADO - PROCESSO Nº 1400.01.0026473/2023-04</v>
      </c>
    </row>
    <row r="685">
      <c r="A685" s="84">
        <f>IFERROR(__xludf.DUMMYFUNCTION("""COMPUTED_VALUE"""),684.0)</f>
        <v>684</v>
      </c>
      <c r="B685" s="85" t="str">
        <f>IFERROR(__xludf.DUMMYFUNCTION("""COMPUTED_VALUE"""),"PROJETOR MULTIMIDIA -")</f>
        <v>PROJETOR MULTIMIDIA -</v>
      </c>
      <c r="C685" s="86">
        <f>IFERROR(__xludf.DUMMYFUNCTION("""COMPUTED_VALUE"""),1.0)</f>
        <v>1</v>
      </c>
      <c r="D685" s="87" t="str">
        <f>IFERROR(__xludf.DUMMYFUNCTION("""COMPUTED_VALUE"""),"SEÇÃO")</f>
        <v>SEÇÃO</v>
      </c>
      <c r="E685" s="87" t="str">
        <f>IFERROR(__xludf.DUMMYFUNCTION("""COMPUTED_VALUE"""),"3 - 1ª CIA OP")</f>
        <v>3 - 1ª CIA OP</v>
      </c>
      <c r="F685" s="88" t="str">
        <f>IFERROR(__xludf.DUMMYFUNCTION("""COMPUTED_VALUE"""),"SECRETARIA")</f>
        <v>SECRETARIA</v>
      </c>
      <c r="G685" s="89">
        <f>IFERROR(__xludf.DUMMYFUNCTION("""COMPUTED_VALUE"""),1.3940058E7)</f>
        <v>13940058</v>
      </c>
      <c r="H685" s="87"/>
      <c r="I685" s="87"/>
    </row>
    <row r="686">
      <c r="A686" s="84">
        <f>IFERROR(__xludf.DUMMYFUNCTION("""COMPUTED_VALUE"""),685.0)</f>
        <v>685</v>
      </c>
      <c r="B686" s="85" t="str">
        <f>IFERROR(__xludf.DUMMYFUNCTION("""COMPUTED_VALUE"""),"ESTABILIZADOR ELETRONICO DE TENSAO -")</f>
        <v>ESTABILIZADOR ELETRONICO DE TENSAO -</v>
      </c>
      <c r="C686" s="86">
        <f>IFERROR(__xludf.DUMMYFUNCTION("""COMPUTED_VALUE"""),1.0)</f>
        <v>1</v>
      </c>
      <c r="D686" s="87" t="str">
        <f>IFERROR(__xludf.DUMMYFUNCTION("""COMPUTED_VALUE"""),"SEÇÃO")</f>
        <v>SEÇÃO</v>
      </c>
      <c r="E686" s="87" t="str">
        <f>IFERROR(__xludf.DUMMYFUNCTION("""COMPUTED_VALUE"""),"3 - DESCARGA")</f>
        <v>3 - DESCARGA</v>
      </c>
      <c r="F686" s="88"/>
      <c r="G686" s="89">
        <f>IFERROR(__xludf.DUMMYFUNCTION("""COMPUTED_VALUE"""),1.3949314E7)</f>
        <v>13949314</v>
      </c>
      <c r="H686" s="87"/>
      <c r="I686" s="87" t="str">
        <f>IFERROR(__xludf.DUMMYFUNCTION("""COMPUTED_VALUE"""),"MATERIAL DESCARREGADO - PROCESSO Nº 1400.01.0026473/2023-04")</f>
        <v>MATERIAL DESCARREGADO - PROCESSO Nº 1400.01.0026473/2023-04</v>
      </c>
    </row>
    <row r="687">
      <c r="A687" s="84">
        <f>IFERROR(__xludf.DUMMYFUNCTION("""COMPUTED_VALUE"""),686.0)</f>
        <v>686</v>
      </c>
      <c r="B687" s="85" t="str">
        <f>IFERROR(__xludf.DUMMYFUNCTION("""COMPUTED_VALUE"""),"IMPRESSORA -")</f>
        <v>IMPRESSORA -</v>
      </c>
      <c r="C687" s="86">
        <f>IFERROR(__xludf.DUMMYFUNCTION("""COMPUTED_VALUE"""),1.0)</f>
        <v>1</v>
      </c>
      <c r="D687" s="87" t="str">
        <f>IFERROR(__xludf.DUMMYFUNCTION("""COMPUTED_VALUE"""),"SEÇÃO")</f>
        <v>SEÇÃO</v>
      </c>
      <c r="E687" s="87" t="str">
        <f>IFERROR(__xludf.DUMMYFUNCTION("""COMPUTED_VALUE"""),"3 - DESCARGA")</f>
        <v>3 - DESCARGA</v>
      </c>
      <c r="F687" s="88"/>
      <c r="G687" s="89">
        <f>IFERROR(__xludf.DUMMYFUNCTION("""COMPUTED_VALUE"""),1.397422E7)</f>
        <v>13974220</v>
      </c>
      <c r="H687" s="87"/>
      <c r="I687" s="87" t="str">
        <f>IFERROR(__xludf.DUMMYFUNCTION("""COMPUTED_VALUE"""),"MATERIAL DESCARREGADO - PROCESSO Nº 1400.01.0026473/2023-04")</f>
        <v>MATERIAL DESCARREGADO - PROCESSO Nº 1400.01.0026473/2023-04</v>
      </c>
    </row>
    <row r="688">
      <c r="A688" s="84">
        <f>IFERROR(__xludf.DUMMYFUNCTION("""COMPUTED_VALUE"""),687.0)</f>
        <v>687</v>
      </c>
      <c r="B688" s="85" t="str">
        <f>IFERROR(__xludf.DUMMYFUNCTION("""COMPUTED_VALUE"""),"COMPUTADOR -")</f>
        <v>COMPUTADOR -</v>
      </c>
      <c r="C688" s="86">
        <f>IFERROR(__xludf.DUMMYFUNCTION("""COMPUTED_VALUE"""),1.0)</f>
        <v>1</v>
      </c>
      <c r="D688" s="87" t="str">
        <f>IFERROR(__xludf.DUMMYFUNCTION("""COMPUTED_VALUE"""),"SEÇÃO")</f>
        <v>SEÇÃO</v>
      </c>
      <c r="E688" s="87" t="str">
        <f>IFERROR(__xludf.DUMMYFUNCTION("""COMPUTED_VALUE"""),"3 - DESCARGA")</f>
        <v>3 - DESCARGA</v>
      </c>
      <c r="F688" s="88"/>
      <c r="G688" s="89">
        <f>IFERROR(__xludf.DUMMYFUNCTION("""COMPUTED_VALUE"""),1.3991183E7)</f>
        <v>13991183</v>
      </c>
      <c r="H688" s="87"/>
      <c r="I688" s="87" t="str">
        <f>IFERROR(__xludf.DUMMYFUNCTION("""COMPUTED_VALUE"""),"MATERIAL DESCARREGADO - PROCESSO Nº 1400.01.0026473/2023-04")</f>
        <v>MATERIAL DESCARREGADO - PROCESSO Nº 1400.01.0026473/2023-04</v>
      </c>
    </row>
    <row r="689">
      <c r="A689" s="84">
        <f>IFERROR(__xludf.DUMMYFUNCTION("""COMPUTED_VALUE"""),688.0)</f>
        <v>688</v>
      </c>
      <c r="B689" s="85" t="str">
        <f>IFERROR(__xludf.DUMMYFUNCTION("""COMPUTED_VALUE"""),"COMPUTADOR -")</f>
        <v>COMPUTADOR -</v>
      </c>
      <c r="C689" s="86">
        <f>IFERROR(__xludf.DUMMYFUNCTION("""COMPUTED_VALUE"""),1.0)</f>
        <v>1</v>
      </c>
      <c r="D689" s="87" t="str">
        <f>IFERROR(__xludf.DUMMYFUNCTION("""COMPUTED_VALUE"""),"SEÇÃO")</f>
        <v>SEÇÃO</v>
      </c>
      <c r="E689" s="87" t="str">
        <f>IFERROR(__xludf.DUMMYFUNCTION("""COMPUTED_VALUE"""),"3 - DESCARGA")</f>
        <v>3 - DESCARGA</v>
      </c>
      <c r="F689" s="88"/>
      <c r="G689" s="89">
        <f>IFERROR(__xludf.DUMMYFUNCTION("""COMPUTED_VALUE"""),1.3991345E7)</f>
        <v>13991345</v>
      </c>
      <c r="H689" s="87"/>
      <c r="I689" s="87" t="str">
        <f>IFERROR(__xludf.DUMMYFUNCTION("""COMPUTED_VALUE"""),"MATERIAL DESCARREGADO - PROCESSO Nº 1400.01.0026473/2023-04")</f>
        <v>MATERIAL DESCARREGADO - PROCESSO Nº 1400.01.0026473/2023-04</v>
      </c>
    </row>
    <row r="690">
      <c r="A690" s="84">
        <f>IFERROR(__xludf.DUMMYFUNCTION("""COMPUTED_VALUE"""),689.0)</f>
        <v>689</v>
      </c>
      <c r="B690" s="85" t="str">
        <f>IFERROR(__xludf.DUMMYFUNCTION("""COMPUTED_VALUE"""),"ESTACAO DE TRABALHO -")</f>
        <v>ESTACAO DE TRABALHO -</v>
      </c>
      <c r="C690" s="86">
        <f>IFERROR(__xludf.DUMMYFUNCTION("""COMPUTED_VALUE"""),1.0)</f>
        <v>1</v>
      </c>
      <c r="D690" s="87" t="str">
        <f>IFERROR(__xludf.DUMMYFUNCTION("""COMPUTED_VALUE"""),"SEÇÃO")</f>
        <v>SEÇÃO</v>
      </c>
      <c r="E690" s="87" t="str">
        <f>IFERROR(__xludf.DUMMYFUNCTION("""COMPUTED_VALUE"""),"3 - DESCARGA")</f>
        <v>3 - DESCARGA</v>
      </c>
      <c r="F690" s="88"/>
      <c r="G690" s="89">
        <f>IFERROR(__xludf.DUMMYFUNCTION("""COMPUTED_VALUE"""),1.3994085E7)</f>
        <v>13994085</v>
      </c>
      <c r="H690" s="87"/>
      <c r="I690" s="87" t="str">
        <f>IFERROR(__xludf.DUMMYFUNCTION("""COMPUTED_VALUE"""),"MATERIAL DESCARREGADO - PROCESSO Nº 1400.01.0026473/2023-04")</f>
        <v>MATERIAL DESCARREGADO - PROCESSO Nº 1400.01.0026473/2023-04</v>
      </c>
    </row>
    <row r="691">
      <c r="A691" s="84">
        <f>IFERROR(__xludf.DUMMYFUNCTION("""COMPUTED_VALUE"""),690.0)</f>
        <v>690</v>
      </c>
      <c r="B691" s="85" t="str">
        <f>IFERROR(__xludf.DUMMYFUNCTION("""COMPUTED_VALUE"""),"COMPUTADOR -")</f>
        <v>COMPUTADOR -</v>
      </c>
      <c r="C691" s="86">
        <f>IFERROR(__xludf.DUMMYFUNCTION("""COMPUTED_VALUE"""),1.0)</f>
        <v>1</v>
      </c>
      <c r="D691" s="87" t="str">
        <f>IFERROR(__xludf.DUMMYFUNCTION("""COMPUTED_VALUE"""),"SEÇÃO")</f>
        <v>SEÇÃO</v>
      </c>
      <c r="E691" s="87" t="str">
        <f>IFERROR(__xludf.DUMMYFUNCTION("""COMPUTED_VALUE"""),"3 - DESCARGA")</f>
        <v>3 - DESCARGA</v>
      </c>
      <c r="F691" s="88"/>
      <c r="G691" s="89">
        <f>IFERROR(__xludf.DUMMYFUNCTION("""COMPUTED_VALUE"""),1.399484E7)</f>
        <v>13994840</v>
      </c>
      <c r="H691" s="87"/>
      <c r="I691" s="87" t="str">
        <f>IFERROR(__xludf.DUMMYFUNCTION("""COMPUTED_VALUE"""),"MATERIAL DESCARREGADO - PROCESSO Nº 1400.01.0026473/2023-04")</f>
        <v>MATERIAL DESCARREGADO - PROCESSO Nº 1400.01.0026473/2023-04</v>
      </c>
    </row>
    <row r="692">
      <c r="A692" s="84">
        <f>IFERROR(__xludf.DUMMYFUNCTION("""COMPUTED_VALUE"""),691.0)</f>
        <v>691</v>
      </c>
      <c r="B692" s="85" t="str">
        <f>IFERROR(__xludf.DUMMYFUNCTION("""COMPUTED_VALUE"""),"ARQUIVO PARA ESCRITORIO -")</f>
        <v>ARQUIVO PARA ESCRITORIO -</v>
      </c>
      <c r="C692" s="86">
        <f>IFERROR(__xludf.DUMMYFUNCTION("""COMPUTED_VALUE"""),1.0)</f>
        <v>1</v>
      </c>
      <c r="D692" s="87" t="str">
        <f>IFERROR(__xludf.DUMMYFUNCTION("""COMPUTED_VALUE"""),"SEÇÃO")</f>
        <v>SEÇÃO</v>
      </c>
      <c r="E692" s="87" t="str">
        <f>IFERROR(__xludf.DUMMYFUNCTION("""COMPUTED_VALUE"""),"3 - CARTÓRIO")</f>
        <v>3 - CARTÓRIO</v>
      </c>
      <c r="F692" s="88"/>
      <c r="G692" s="89">
        <f>IFERROR(__xludf.DUMMYFUNCTION("""COMPUTED_VALUE"""),1.4006057E7)</f>
        <v>14006057</v>
      </c>
      <c r="H692" s="87"/>
      <c r="I692" s="87"/>
    </row>
    <row r="693">
      <c r="A693" s="84">
        <f>IFERROR(__xludf.DUMMYFUNCTION("""COMPUTED_VALUE"""),692.0)</f>
        <v>692</v>
      </c>
      <c r="B693" s="85" t="str">
        <f>IFERROR(__xludf.DUMMYFUNCTION("""COMPUTED_VALUE"""),"REVOLVER -")</f>
        <v>REVOLVER -</v>
      </c>
      <c r="C693" s="86">
        <f>IFERROR(__xludf.DUMMYFUNCTION("""COMPUTED_VALUE"""),1.0)</f>
        <v>1</v>
      </c>
      <c r="D693" s="87" t="str">
        <f>IFERROR(__xludf.DUMMYFUNCTION("""COMPUTED_VALUE"""),"SEÇÃO")</f>
        <v>SEÇÃO</v>
      </c>
      <c r="E693" s="87" t="str">
        <f>IFERROR(__xludf.DUMMYFUNCTION("""COMPUTED_VALUE"""),"3 - GUARDA")</f>
        <v>3 - GUARDA</v>
      </c>
      <c r="F693" s="88"/>
      <c r="G693" s="89">
        <f>IFERROR(__xludf.DUMMYFUNCTION("""COMPUTED_VALUE"""),1.4008173E7)</f>
        <v>14008173</v>
      </c>
      <c r="H693" s="87" t="str">
        <f>IFERROR(__xludf.DUMMYFUNCTION("""COMPUTED_VALUE"""),"ZK433357*")</f>
        <v>ZK433357*</v>
      </c>
      <c r="I693" s="87" t="str">
        <f>IFERROR(__xludf.DUMMYFUNCTION("""COMPUTED_VALUE"""),"38 SPECIAL TAURUS")</f>
        <v>38 SPECIAL TAURUS</v>
      </c>
    </row>
    <row r="694">
      <c r="A694" s="84">
        <f>IFERROR(__xludf.DUMMYFUNCTION("""COMPUTED_VALUE"""),693.0)</f>
        <v>693</v>
      </c>
      <c r="B694" s="85" t="str">
        <f>IFERROR(__xludf.DUMMYFUNCTION("""COMPUTED_VALUE"""),"REVOLVER -")</f>
        <v>REVOLVER -</v>
      </c>
      <c r="C694" s="86">
        <f>IFERROR(__xludf.DUMMYFUNCTION("""COMPUTED_VALUE"""),1.0)</f>
        <v>1</v>
      </c>
      <c r="D694" s="87" t="str">
        <f>IFERROR(__xludf.DUMMYFUNCTION("""COMPUTED_VALUE"""),"SEÇÃO")</f>
        <v>SEÇÃO</v>
      </c>
      <c r="E694" s="87" t="str">
        <f>IFERROR(__xludf.DUMMYFUNCTION("""COMPUTED_VALUE"""),"3 - SOU")</f>
        <v>3 - SOU</v>
      </c>
      <c r="F694" s="88" t="str">
        <f>IFERROR(__xludf.DUMMYFUNCTION("""COMPUTED_VALUE"""),"RÁDIO OPERADOR")</f>
        <v>RÁDIO OPERADOR</v>
      </c>
      <c r="G694" s="89">
        <f>IFERROR(__xludf.DUMMYFUNCTION("""COMPUTED_VALUE"""),1.4012944E7)</f>
        <v>14012944</v>
      </c>
      <c r="H694" s="87" t="str">
        <f>IFERROR(__xludf.DUMMYFUNCTION("""COMPUTED_VALUE"""),"ZK433717*")</f>
        <v>ZK433717*</v>
      </c>
      <c r="I694" s="87" t="str">
        <f>IFERROR(__xludf.DUMMYFUNCTION("""COMPUTED_VALUE"""),"38 SPECIAL TAURUS")</f>
        <v>38 SPECIAL TAURUS</v>
      </c>
    </row>
    <row r="695">
      <c r="A695" s="84">
        <f>IFERROR(__xludf.DUMMYFUNCTION("""COMPUTED_VALUE"""),694.0)</f>
        <v>694</v>
      </c>
      <c r="B695" s="85" t="str">
        <f>IFERROR(__xludf.DUMMYFUNCTION("""COMPUTED_VALUE"""),"REVOLVER -")</f>
        <v>REVOLVER -</v>
      </c>
      <c r="C695" s="86">
        <f>IFERROR(__xludf.DUMMYFUNCTION("""COMPUTED_VALUE"""),1.0)</f>
        <v>1</v>
      </c>
      <c r="D695" s="87" t="str">
        <f>IFERROR(__xludf.DUMMYFUNCTION("""COMPUTED_VALUE"""),"SEÇÃO")</f>
        <v>SEÇÃO</v>
      </c>
      <c r="E695" s="87" t="str">
        <f>IFERROR(__xludf.DUMMYFUNCTION("""COMPUTED_VALUE"""),"3 - ARMARIA")</f>
        <v>3 - ARMARIA</v>
      </c>
      <c r="F695" s="88"/>
      <c r="G695" s="89">
        <f>IFERROR(__xludf.DUMMYFUNCTION("""COMPUTED_VALUE"""),1.4012952E7)</f>
        <v>14012952</v>
      </c>
      <c r="H695" s="87" t="str">
        <f>IFERROR(__xludf.DUMMYFUNCTION("""COMPUTED_VALUE"""),"ZK433718")</f>
        <v>ZK433718</v>
      </c>
      <c r="I695" s="87" t="str">
        <f>IFERROR(__xludf.DUMMYFUNCTION("""COMPUTED_VALUE"""),"38 SPECIAL TAURUS (ESTRAVIADA), PROCESSO EM ANDAMENTO. ")</f>
        <v>38 SPECIAL TAURUS (ESTRAVIADA), PROCESSO EM ANDAMENTO. </v>
      </c>
    </row>
    <row r="696">
      <c r="A696" s="84">
        <f>IFERROR(__xludf.DUMMYFUNCTION("""COMPUTED_VALUE"""),695.0)</f>
        <v>695</v>
      </c>
      <c r="B696" s="85" t="str">
        <f>IFERROR(__xludf.DUMMYFUNCTION("""COMPUTED_VALUE"""),"REVOLVER -")</f>
        <v>REVOLVER -</v>
      </c>
      <c r="C696" s="86">
        <f>IFERROR(__xludf.DUMMYFUNCTION("""COMPUTED_VALUE"""),1.0)</f>
        <v>1</v>
      </c>
      <c r="D696" s="87" t="str">
        <f>IFERROR(__xludf.DUMMYFUNCTION("""COMPUTED_VALUE"""),"SEÇÃO")</f>
        <v>SEÇÃO</v>
      </c>
      <c r="E696" s="87" t="str">
        <f>IFERROR(__xludf.DUMMYFUNCTION("""COMPUTED_VALUE"""),"3 - ARMARIA")</f>
        <v>3 - ARMARIA</v>
      </c>
      <c r="F696" s="88"/>
      <c r="G696" s="89">
        <f>IFERROR(__xludf.DUMMYFUNCTION("""COMPUTED_VALUE"""),1.401296E7)</f>
        <v>14012960</v>
      </c>
      <c r="H696" s="87" t="str">
        <f>IFERROR(__xludf.DUMMYFUNCTION("""COMPUTED_VALUE"""),"ZK433719*")</f>
        <v>ZK433719*</v>
      </c>
      <c r="I696" s="87" t="str">
        <f>IFERROR(__xludf.DUMMYFUNCTION("""COMPUTED_VALUE"""),"38 SPECIAL TAURUS")</f>
        <v>38 SPECIAL TAURUS</v>
      </c>
    </row>
    <row r="697">
      <c r="A697" s="84">
        <f>IFERROR(__xludf.DUMMYFUNCTION("""COMPUTED_VALUE"""),696.0)</f>
        <v>696</v>
      </c>
      <c r="B697" s="85" t="str">
        <f>IFERROR(__xludf.DUMMYFUNCTION("""COMPUTED_VALUE"""),"REVOLVER -")</f>
        <v>REVOLVER -</v>
      </c>
      <c r="C697" s="86">
        <f>IFERROR(__xludf.DUMMYFUNCTION("""COMPUTED_VALUE"""),1.0)</f>
        <v>1</v>
      </c>
      <c r="D697" s="87" t="str">
        <f>IFERROR(__xludf.DUMMYFUNCTION("""COMPUTED_VALUE"""),"SEÇÃO")</f>
        <v>SEÇÃO</v>
      </c>
      <c r="E697" s="87" t="str">
        <f>IFERROR(__xludf.DUMMYFUNCTION("""COMPUTED_VALUE"""),"3 - ARMARIA")</f>
        <v>3 - ARMARIA</v>
      </c>
      <c r="F697" s="88"/>
      <c r="G697" s="89">
        <f>IFERROR(__xludf.DUMMYFUNCTION("""COMPUTED_VALUE"""),1.4013363E7)</f>
        <v>14013363</v>
      </c>
      <c r="H697" s="87" t="str">
        <f>IFERROR(__xludf.DUMMYFUNCTION("""COMPUTED_VALUE"""),"ZK93457*")</f>
        <v>ZK93457*</v>
      </c>
      <c r="I697" s="87" t="str">
        <f>IFERROR(__xludf.DUMMYFUNCTION("""COMPUTED_VALUE"""),"38 SPECIAL TAURUS cinco tiros, cano 2""")</f>
        <v>38 SPECIAL TAURUS cinco tiros, cano 2"</v>
      </c>
    </row>
    <row r="698">
      <c r="A698" s="84">
        <f>IFERROR(__xludf.DUMMYFUNCTION("""COMPUTED_VALUE"""),697.0)</f>
        <v>697</v>
      </c>
      <c r="B698" s="85" t="str">
        <f>IFERROR(__xludf.DUMMYFUNCTION("""COMPUTED_VALUE"""),"ROUPEIRO PARA VESTIARIO -")</f>
        <v>ROUPEIRO PARA VESTIARIO -</v>
      </c>
      <c r="C698" s="86">
        <f>IFERROR(__xludf.DUMMYFUNCTION("""COMPUTED_VALUE"""),1.0)</f>
        <v>1</v>
      </c>
      <c r="D698" s="87" t="str">
        <f>IFERROR(__xludf.DUMMYFUNCTION("""COMPUTED_VALUE"""),"SEÇÃO")</f>
        <v>SEÇÃO</v>
      </c>
      <c r="E698" s="87" t="str">
        <f>IFERROR(__xludf.DUMMYFUNCTION("""COMPUTED_VALUE"""),"3 - DESCARGA")</f>
        <v>3 - DESCARGA</v>
      </c>
      <c r="F698" s="88"/>
      <c r="G698" s="89">
        <f>IFERROR(__xludf.DUMMYFUNCTION("""COMPUTED_VALUE"""),1.4030578E7)</f>
        <v>14030578</v>
      </c>
      <c r="H698" s="87"/>
      <c r="I698" s="87" t="str">
        <f>IFERROR(__xludf.DUMMYFUNCTION("""COMPUTED_VALUE"""),"MATERIAL DESCARREGADO - PROCESSO Nº 1400.01.0026473/2023-04")</f>
        <v>MATERIAL DESCARREGADO - PROCESSO Nº 1400.01.0026473/2023-04</v>
      </c>
    </row>
    <row r="699">
      <c r="A699" s="84">
        <f>IFERROR(__xludf.DUMMYFUNCTION("""COMPUTED_VALUE"""),698.0)</f>
        <v>698</v>
      </c>
      <c r="B699" s="85" t="str">
        <f>IFERROR(__xludf.DUMMYFUNCTION("""COMPUTED_VALUE"""),"QUADRO DE AVISO -")</f>
        <v>QUADRO DE AVISO -</v>
      </c>
      <c r="C699" s="86">
        <f>IFERROR(__xludf.DUMMYFUNCTION("""COMPUTED_VALUE"""),1.0)</f>
        <v>1</v>
      </c>
      <c r="D699" s="87" t="str">
        <f>IFERROR(__xludf.DUMMYFUNCTION("""COMPUTED_VALUE"""),"SEÇÃO")</f>
        <v>SEÇÃO</v>
      </c>
      <c r="E699" s="87" t="str">
        <f>IFERROR(__xludf.DUMMYFUNCTION("""COMPUTED_VALUE"""),"3 - SEPLAN")</f>
        <v>3 - SEPLAN</v>
      </c>
      <c r="F699" s="88"/>
      <c r="G699" s="89">
        <f>IFERROR(__xludf.DUMMYFUNCTION("""COMPUTED_VALUE"""),1.4069334E7)</f>
        <v>14069334</v>
      </c>
      <c r="H699" s="87"/>
      <c r="I699" s="87" t="str">
        <f>IFERROR(__xludf.DUMMYFUNCTION("""COMPUTED_VALUE"""),"ENCONTRANVA-SE NO PROCESSO DE DESCARGA, CONTUDO ESTÁ EM USO NA SEPLAN")</f>
        <v>ENCONTRANVA-SE NO PROCESSO DE DESCARGA, CONTUDO ESTÁ EM USO NA SEPLAN</v>
      </c>
    </row>
    <row r="700">
      <c r="A700" s="84">
        <f>IFERROR(__xludf.DUMMYFUNCTION("""COMPUTED_VALUE"""),699.0)</f>
        <v>699</v>
      </c>
      <c r="B700" s="85" t="str">
        <f>IFERROR(__xludf.DUMMYFUNCTION("""COMPUTED_VALUE"""),"MESA PARA ESCRITORIO -")</f>
        <v>MESA PARA ESCRITORIO -</v>
      </c>
      <c r="C700" s="86">
        <f>IFERROR(__xludf.DUMMYFUNCTION("""COMPUTED_VALUE"""),1.0)</f>
        <v>1</v>
      </c>
      <c r="D700" s="87" t="str">
        <f>IFERROR(__xludf.DUMMYFUNCTION("""COMPUTED_VALUE"""),"SEÇÃO")</f>
        <v>SEÇÃO</v>
      </c>
      <c r="E700" s="87" t="str">
        <f>IFERROR(__xludf.DUMMYFUNCTION("""COMPUTED_VALUE"""),"3 - GUARDA")</f>
        <v>3 - GUARDA</v>
      </c>
      <c r="F700" s="88" t="str">
        <f>IFERROR(__xludf.DUMMYFUNCTION("""COMPUTED_VALUE"""),"ALOJAMENTO DA GUARDA")</f>
        <v>ALOJAMENTO DA GUARDA</v>
      </c>
      <c r="G700" s="89">
        <f>IFERROR(__xludf.DUMMYFUNCTION("""COMPUTED_VALUE"""),1.4080885E7)</f>
        <v>14080885</v>
      </c>
      <c r="H700" s="87"/>
      <c r="I700" s="87"/>
    </row>
    <row r="701">
      <c r="A701" s="84">
        <f>IFERROR(__xludf.DUMMYFUNCTION("""COMPUTED_VALUE"""),700.0)</f>
        <v>700</v>
      </c>
      <c r="B701" s="85" t="str">
        <f>IFERROR(__xludf.DUMMYFUNCTION("""COMPUTED_VALUE"""),"MESA MISTURADORA DE SOM -")</f>
        <v>MESA MISTURADORA DE SOM -</v>
      </c>
      <c r="C701" s="86">
        <f>IFERROR(__xludf.DUMMYFUNCTION("""COMPUTED_VALUE"""),1.0)</f>
        <v>1</v>
      </c>
      <c r="D701" s="87" t="str">
        <f>IFERROR(__xludf.DUMMYFUNCTION("""COMPUTED_VALUE"""),"SEÇÃO")</f>
        <v>SEÇÃO</v>
      </c>
      <c r="E701" s="87" t="str">
        <f>IFERROR(__xludf.DUMMYFUNCTION("""COMPUTED_VALUE"""),"3 - DESCARGA")</f>
        <v>3 - DESCARGA</v>
      </c>
      <c r="F701" s="88"/>
      <c r="G701" s="89">
        <f>IFERROR(__xludf.DUMMYFUNCTION("""COMPUTED_VALUE"""),1.4088002E7)</f>
        <v>14088002</v>
      </c>
      <c r="H701" s="87"/>
      <c r="I701" s="87" t="str">
        <f>IFERROR(__xludf.DUMMYFUNCTION("""COMPUTED_VALUE"""),"MATERIAL DESCARREGADO - PROCESSO Nº 1400.01.0026473/2023-04")</f>
        <v>MATERIAL DESCARREGADO - PROCESSO Nº 1400.01.0026473/2023-04</v>
      </c>
    </row>
    <row r="702">
      <c r="A702" s="84">
        <f>IFERROR(__xludf.DUMMYFUNCTION("""COMPUTED_VALUE"""),701.0)</f>
        <v>701</v>
      </c>
      <c r="B702" s="85" t="str">
        <f>IFERROR(__xludf.DUMMYFUNCTION("""COMPUTED_VALUE"""),"CAIXA ACUSTICA -")</f>
        <v>CAIXA ACUSTICA -</v>
      </c>
      <c r="C702" s="86">
        <f>IFERROR(__xludf.DUMMYFUNCTION("""COMPUTED_VALUE"""),1.0)</f>
        <v>1</v>
      </c>
      <c r="D702" s="87" t="str">
        <f>IFERROR(__xludf.DUMMYFUNCTION("""COMPUTED_VALUE"""),"SEÇÃO")</f>
        <v>SEÇÃO</v>
      </c>
      <c r="E702" s="87" t="str">
        <f>IFERROR(__xludf.DUMMYFUNCTION("""COMPUTED_VALUE"""),"3 - DESCARGA")</f>
        <v>3 - DESCARGA</v>
      </c>
      <c r="F702" s="88"/>
      <c r="G702" s="89">
        <f>IFERROR(__xludf.DUMMYFUNCTION("""COMPUTED_VALUE"""),1.4088045E7)</f>
        <v>14088045</v>
      </c>
      <c r="H702" s="87"/>
      <c r="I702" s="87" t="str">
        <f>IFERROR(__xludf.DUMMYFUNCTION("""COMPUTED_VALUE"""),"MATERIAL DESCARREGADO - PROCESSO Nº 1400.01.0026473/2023-04")</f>
        <v>MATERIAL DESCARREGADO - PROCESSO Nº 1400.01.0026473/2023-04</v>
      </c>
    </row>
    <row r="703">
      <c r="A703" s="84">
        <f>IFERROR(__xludf.DUMMYFUNCTION("""COMPUTED_VALUE"""),702.0)</f>
        <v>702</v>
      </c>
      <c r="B703" s="85" t="str">
        <f>IFERROR(__xludf.DUMMYFUNCTION("""COMPUTED_VALUE"""),"LIXEIRA-CINZEIRO -")</f>
        <v>LIXEIRA-CINZEIRO -</v>
      </c>
      <c r="C703" s="86">
        <f>IFERROR(__xludf.DUMMYFUNCTION("""COMPUTED_VALUE"""),1.0)</f>
        <v>1</v>
      </c>
      <c r="D703" s="87" t="str">
        <f>IFERROR(__xludf.DUMMYFUNCTION("""COMPUTED_VALUE"""),"SEÇÃO")</f>
        <v>SEÇÃO</v>
      </c>
      <c r="E703" s="87" t="str">
        <f>IFERROR(__xludf.DUMMYFUNCTION("""COMPUTED_VALUE"""),"3 - SEPLAN")</f>
        <v>3 - SEPLAN</v>
      </c>
      <c r="F703" s="88"/>
      <c r="G703" s="89">
        <f>IFERROR(__xludf.DUMMYFUNCTION("""COMPUTED_VALUE"""),1.4098008E7)</f>
        <v>14098008</v>
      </c>
      <c r="H703" s="87"/>
      <c r="I703" s="87"/>
    </row>
    <row r="704">
      <c r="A704" s="84">
        <f>IFERROR(__xludf.DUMMYFUNCTION("""COMPUTED_VALUE"""),703.0)</f>
        <v>703</v>
      </c>
      <c r="B704" s="85" t="str">
        <f>IFERROR(__xludf.DUMMYFUNCTION("""COMPUTED_VALUE"""),"CILINDRO PARA OXIGENIO USO MEDICO CIRURGICO -")</f>
        <v>CILINDRO PARA OXIGENIO USO MEDICO CIRURGICO -</v>
      </c>
      <c r="C704" s="86">
        <f>IFERROR(__xludf.DUMMYFUNCTION("""COMPUTED_VALUE"""),1.0)</f>
        <v>1</v>
      </c>
      <c r="D704" s="87" t="str">
        <f>IFERROR(__xludf.DUMMYFUNCTION("""COMPUTED_VALUE"""),"SEÇÃO")</f>
        <v>SEÇÃO</v>
      </c>
      <c r="E704" s="87" t="str">
        <f>IFERROR(__xludf.DUMMYFUNCTION("""COMPUTED_VALUE"""),"3 - ALMOX. ESTOQUE")</f>
        <v>3 - ALMOX. ESTOQUE</v>
      </c>
      <c r="F704" s="88"/>
      <c r="G704" s="89">
        <f>IFERROR(__xludf.DUMMYFUNCTION("""COMPUTED_VALUE"""),1.409813E7)</f>
        <v>14098130</v>
      </c>
      <c r="H704" s="87"/>
      <c r="I704" s="87"/>
    </row>
    <row r="705">
      <c r="A705" s="84">
        <f>IFERROR(__xludf.DUMMYFUNCTION("""COMPUTED_VALUE"""),704.0)</f>
        <v>704</v>
      </c>
      <c r="B705" s="85" t="str">
        <f>IFERROR(__xludf.DUMMYFUNCTION("""COMPUTED_VALUE"""),"BEBEDOURO REFRIGERADO -")</f>
        <v>BEBEDOURO REFRIGERADO -</v>
      </c>
      <c r="C705" s="86">
        <f>IFERROR(__xludf.DUMMYFUNCTION("""COMPUTED_VALUE"""),1.0)</f>
        <v>1</v>
      </c>
      <c r="D705" s="87" t="str">
        <f>IFERROR(__xludf.DUMMYFUNCTION("""COMPUTED_VALUE"""),"SEÇÃO")</f>
        <v>SEÇÃO</v>
      </c>
      <c r="E705" s="87" t="str">
        <f>IFERROR(__xludf.DUMMYFUNCTION("""COMPUTED_VALUE"""),"3 - COMANDANTE")</f>
        <v>3 - COMANDANTE</v>
      </c>
      <c r="F705" s="88"/>
      <c r="G705" s="89">
        <f>IFERROR(__xludf.DUMMYFUNCTION("""COMPUTED_VALUE"""),1.4121832E7)</f>
        <v>14121832</v>
      </c>
      <c r="H705" s="87"/>
      <c r="I705" s="87"/>
    </row>
    <row r="706">
      <c r="A706" s="84">
        <f>IFERROR(__xludf.DUMMYFUNCTION("""COMPUTED_VALUE"""),705.0)</f>
        <v>705</v>
      </c>
      <c r="B706" s="85" t="str">
        <f>IFERROR(__xludf.DUMMYFUNCTION("""COMPUTED_VALUE"""),"MESA DE ESCRITORIO (III) -")</f>
        <v>MESA DE ESCRITORIO (III) -</v>
      </c>
      <c r="C706" s="86">
        <f>IFERROR(__xludf.DUMMYFUNCTION("""COMPUTED_VALUE"""),1.0)</f>
        <v>1</v>
      </c>
      <c r="D706" s="87" t="str">
        <f>IFERROR(__xludf.DUMMYFUNCTION("""COMPUTED_VALUE"""),"SEÇÃO")</f>
        <v>SEÇÃO</v>
      </c>
      <c r="E706" s="87" t="str">
        <f>IFERROR(__xludf.DUMMYFUNCTION("""COMPUTED_VALUE"""),"3 - GUARDA")</f>
        <v>3 - GUARDA</v>
      </c>
      <c r="F706" s="88"/>
      <c r="G706" s="89">
        <f>IFERROR(__xludf.DUMMYFUNCTION("""COMPUTED_VALUE"""),1.4127695E7)</f>
        <v>14127695</v>
      </c>
      <c r="H706" s="87"/>
      <c r="I706" s="87" t="str">
        <f>IFERROR(__xludf.DUMMYFUNCTION("""COMPUTED_VALUE"""),"encontra-se no hall principal, prox. ao refeitório ")</f>
        <v>encontra-se no hall principal, prox. ao refeitório </v>
      </c>
    </row>
    <row r="707">
      <c r="A707" s="84">
        <f>IFERROR(__xludf.DUMMYFUNCTION("""COMPUTED_VALUE"""),706.0)</f>
        <v>706</v>
      </c>
      <c r="B707" s="85" t="str">
        <f>IFERROR(__xludf.DUMMYFUNCTION("""COMPUTED_VALUE"""),"CILINDRO PARA OXIGENIO USO MEDICO CIRURGICO -")</f>
        <v>CILINDRO PARA OXIGENIO USO MEDICO CIRURGICO -</v>
      </c>
      <c r="C707" s="86">
        <f>IFERROR(__xludf.DUMMYFUNCTION("""COMPUTED_VALUE"""),1.0)</f>
        <v>1</v>
      </c>
      <c r="D707" s="87" t="str">
        <f>IFERROR(__xludf.DUMMYFUNCTION("""COMPUTED_VALUE"""),"SEÇÃO")</f>
        <v>SEÇÃO</v>
      </c>
      <c r="E707" s="87" t="str">
        <f>IFERROR(__xludf.DUMMYFUNCTION("""COMPUTED_VALUE"""),"3 - ALMOX. ESTOQUE")</f>
        <v>3 - ALMOX. ESTOQUE</v>
      </c>
      <c r="F707" s="88"/>
      <c r="G707" s="89">
        <f>IFERROR(__xludf.DUMMYFUNCTION("""COMPUTED_VALUE"""),1.4162229E7)</f>
        <v>14162229</v>
      </c>
      <c r="H707" s="87"/>
      <c r="I707" s="87"/>
    </row>
    <row r="708">
      <c r="A708" s="84">
        <f>IFERROR(__xludf.DUMMYFUNCTION("""COMPUTED_VALUE"""),707.0)</f>
        <v>707</v>
      </c>
      <c r="B708" s="85" t="str">
        <f>IFERROR(__xludf.DUMMYFUNCTION("""COMPUTED_VALUE"""),"ARQUIVO PARA ESCRITORIO -(III)")</f>
        <v>ARQUIVO PARA ESCRITORIO -(III)</v>
      </c>
      <c r="C708" s="86">
        <f>IFERROR(__xludf.DUMMYFUNCTION("""COMPUTED_VALUE"""),1.0)</f>
        <v>1</v>
      </c>
      <c r="D708" s="87" t="str">
        <f>IFERROR(__xludf.DUMMYFUNCTION("""COMPUTED_VALUE"""),"SEÇÃO")</f>
        <v>SEÇÃO</v>
      </c>
      <c r="E708" s="87" t="str">
        <f>IFERROR(__xludf.DUMMYFUNCTION("""COMPUTED_VALUE"""),"3 - SUPRIMENTOS")</f>
        <v>3 - SUPRIMENTOS</v>
      </c>
      <c r="F708" s="88"/>
      <c r="G708" s="89">
        <f>IFERROR(__xludf.DUMMYFUNCTION("""COMPUTED_VALUE"""),1.4240777E7)</f>
        <v>14240777</v>
      </c>
      <c r="H708" s="87"/>
      <c r="I708" s="87" t="str">
        <f>IFERROR(__xludf.DUMMYFUNCTION("""COMPUTED_VALUE"""),"de metal, 04 gavetas ")</f>
        <v>de metal, 04 gavetas </v>
      </c>
    </row>
    <row r="709">
      <c r="A709" s="84">
        <f>IFERROR(__xludf.DUMMYFUNCTION("""COMPUTED_VALUE"""),708.0)</f>
        <v>708</v>
      </c>
      <c r="B709" s="85" t="str">
        <f>IFERROR(__xludf.DUMMYFUNCTION("""COMPUTED_VALUE"""),"MESA PARA IMPRESSORA - (II)")</f>
        <v>MESA PARA IMPRESSORA - (II)</v>
      </c>
      <c r="C709" s="86">
        <f>IFERROR(__xludf.DUMMYFUNCTION("""COMPUTED_VALUE"""),1.0)</f>
        <v>1</v>
      </c>
      <c r="D709" s="87" t="str">
        <f>IFERROR(__xludf.DUMMYFUNCTION("""COMPUTED_VALUE"""),"SEÇÃO")</f>
        <v>SEÇÃO</v>
      </c>
      <c r="E709" s="87" t="str">
        <f>IFERROR(__xludf.DUMMYFUNCTION("""COMPUTED_VALUE"""),"3 - SALA DE INSTRUÇÃO")</f>
        <v>3 - SALA DE INSTRUÇÃO</v>
      </c>
      <c r="F709" s="88"/>
      <c r="G709" s="89">
        <f>IFERROR(__xludf.DUMMYFUNCTION("""COMPUTED_VALUE"""),1.4668505E7)</f>
        <v>14668505</v>
      </c>
      <c r="H709" s="87"/>
      <c r="I709" s="87"/>
    </row>
    <row r="710">
      <c r="A710" s="84">
        <f>IFERROR(__xludf.DUMMYFUNCTION("""COMPUTED_VALUE"""),709.0)</f>
        <v>709</v>
      </c>
      <c r="B710" s="85" t="str">
        <f>IFERROR(__xludf.DUMMYFUNCTION("""COMPUTED_VALUE"""),"MESA PARA ESCRITORIO (II) -")</f>
        <v>MESA PARA ESCRITORIO (II) -</v>
      </c>
      <c r="C710" s="86">
        <f>IFERROR(__xludf.DUMMYFUNCTION("""COMPUTED_VALUE"""),1.0)</f>
        <v>1</v>
      </c>
      <c r="D710" s="87" t="str">
        <f>IFERROR(__xludf.DUMMYFUNCTION("""COMPUTED_VALUE"""),"SEÇÃO")</f>
        <v>SEÇÃO</v>
      </c>
      <c r="E710" s="87" t="str">
        <f>IFERROR(__xludf.DUMMYFUNCTION("""COMPUTED_VALUE"""),"3 - SOU")</f>
        <v>3 - SOU</v>
      </c>
      <c r="F710" s="88" t="str">
        <f>IFERROR(__xludf.DUMMYFUNCTION("""COMPUTED_VALUE"""),"RÁDIO OPERADOR")</f>
        <v>RÁDIO OPERADOR</v>
      </c>
      <c r="G710" s="89">
        <f>IFERROR(__xludf.DUMMYFUNCTION("""COMPUTED_VALUE"""),1.5009912E7)</f>
        <v>15009912</v>
      </c>
      <c r="H710" s="87"/>
      <c r="I710" s="87" t="str">
        <f>IFERROR(__xludf.DUMMYFUNCTION("""COMPUTED_VALUE"""),"mesa dos telefones ")</f>
        <v>mesa dos telefones </v>
      </c>
    </row>
    <row r="711">
      <c r="A711" s="84">
        <f>IFERROR(__xludf.DUMMYFUNCTION("""COMPUTED_VALUE"""),710.0)</f>
        <v>710</v>
      </c>
      <c r="B711" s="85" t="str">
        <f>IFERROR(__xludf.DUMMYFUNCTION("""COMPUTED_VALUE"""),"COMPUTADOR -")</f>
        <v>COMPUTADOR -</v>
      </c>
      <c r="C711" s="86">
        <f>IFERROR(__xludf.DUMMYFUNCTION("""COMPUTED_VALUE"""),1.0)</f>
        <v>1</v>
      </c>
      <c r="D711" s="87" t="str">
        <f>IFERROR(__xludf.DUMMYFUNCTION("""COMPUTED_VALUE"""),"SEÇÃO")</f>
        <v>SEÇÃO</v>
      </c>
      <c r="E711" s="87" t="str">
        <f>IFERROR(__xludf.DUMMYFUNCTION("""COMPUTED_VALUE"""),"3 - DESCARGA")</f>
        <v>3 - DESCARGA</v>
      </c>
      <c r="F711" s="88"/>
      <c r="G711" s="89">
        <f>IFERROR(__xludf.DUMMYFUNCTION("""COMPUTED_VALUE"""),3.0112311E7)</f>
        <v>30112311</v>
      </c>
      <c r="H711" s="87"/>
      <c r="I711" s="87" t="str">
        <f>IFERROR(__xludf.DUMMYFUNCTION("""COMPUTED_VALUE"""),"MATERIAL DESCARREGADO - PROCESSO Nº 1400.01.0026473/2023-04")</f>
        <v>MATERIAL DESCARREGADO - PROCESSO Nº 1400.01.0026473/2023-04</v>
      </c>
    </row>
    <row r="712">
      <c r="A712" s="84">
        <f>IFERROR(__xludf.DUMMYFUNCTION("""COMPUTED_VALUE"""),711.0)</f>
        <v>711</v>
      </c>
      <c r="B712" s="85" t="str">
        <f>IFERROR(__xludf.DUMMYFUNCTION("""COMPUTED_VALUE"""),"COMPUTADOR -")</f>
        <v>COMPUTADOR -</v>
      </c>
      <c r="C712" s="86">
        <f>IFERROR(__xludf.DUMMYFUNCTION("""COMPUTED_VALUE"""),1.0)</f>
        <v>1</v>
      </c>
      <c r="D712" s="87" t="str">
        <f>IFERROR(__xludf.DUMMYFUNCTION("""COMPUTED_VALUE"""),"SEÇÃO")</f>
        <v>SEÇÃO</v>
      </c>
      <c r="E712" s="87" t="str">
        <f>IFERROR(__xludf.DUMMYFUNCTION("""COMPUTED_VALUE"""),"3 - DESCARGA")</f>
        <v>3 - DESCARGA</v>
      </c>
      <c r="F712" s="88"/>
      <c r="G712" s="89">
        <f>IFERROR(__xludf.DUMMYFUNCTION("""COMPUTED_VALUE"""),3.0116104E7)</f>
        <v>30116104</v>
      </c>
      <c r="H712" s="87"/>
      <c r="I712" s="87" t="str">
        <f>IFERROR(__xludf.DUMMYFUNCTION("""COMPUTED_VALUE"""),"MATERIAL DESCARREGADO - PROCESSO Nº 1400.01.0026473/2023-04")</f>
        <v>MATERIAL DESCARREGADO - PROCESSO Nº 1400.01.0026473/2023-04</v>
      </c>
    </row>
    <row r="713">
      <c r="A713" s="84">
        <f>IFERROR(__xludf.DUMMYFUNCTION("""COMPUTED_VALUE"""),712.0)</f>
        <v>712</v>
      </c>
      <c r="B713" s="85" t="str">
        <f>IFERROR(__xludf.DUMMYFUNCTION("""COMPUTED_VALUE"""),"COMPUTADOR -")</f>
        <v>COMPUTADOR -</v>
      </c>
      <c r="C713" s="86">
        <f>IFERROR(__xludf.DUMMYFUNCTION("""COMPUTED_VALUE"""),1.0)</f>
        <v>1</v>
      </c>
      <c r="D713" s="87" t="str">
        <f>IFERROR(__xludf.DUMMYFUNCTION("""COMPUTED_VALUE"""),"SEÇÃO")</f>
        <v>SEÇÃO</v>
      </c>
      <c r="E713" s="87" t="str">
        <f>IFERROR(__xludf.DUMMYFUNCTION("""COMPUTED_VALUE"""),"3 - DESCARGA")</f>
        <v>3 - DESCARGA</v>
      </c>
      <c r="F713" s="88"/>
      <c r="G713" s="89">
        <f>IFERROR(__xludf.DUMMYFUNCTION("""COMPUTED_VALUE"""),3.0982901E7)</f>
        <v>30982901</v>
      </c>
      <c r="H713" s="87"/>
      <c r="I713" s="87" t="str">
        <f>IFERROR(__xludf.DUMMYFUNCTION("""COMPUTED_VALUE"""),"MATERIAL DESCARREGADO - PROCESSO Nº 1400.01.0026473/2023-04")</f>
        <v>MATERIAL DESCARREGADO - PROCESSO Nº 1400.01.0026473/2023-04</v>
      </c>
    </row>
    <row r="714">
      <c r="A714" s="84">
        <f>IFERROR(__xludf.DUMMYFUNCTION("""COMPUTED_VALUE"""),713.0)</f>
        <v>713</v>
      </c>
      <c r="B714" s="85" t="str">
        <f>IFERROR(__xludf.DUMMYFUNCTION("""COMPUTED_VALUE"""),"COMPUTADOR -")</f>
        <v>COMPUTADOR -</v>
      </c>
      <c r="C714" s="86">
        <f>IFERROR(__xludf.DUMMYFUNCTION("""COMPUTED_VALUE"""),1.0)</f>
        <v>1</v>
      </c>
      <c r="D714" s="87" t="str">
        <f>IFERROR(__xludf.DUMMYFUNCTION("""COMPUTED_VALUE"""),"SEÇÃO")</f>
        <v>SEÇÃO</v>
      </c>
      <c r="E714" s="87" t="str">
        <f>IFERROR(__xludf.DUMMYFUNCTION("""COMPUTED_VALUE"""),"3 - DESCARGA")</f>
        <v>3 - DESCARGA</v>
      </c>
      <c r="F714" s="88"/>
      <c r="G714" s="89">
        <f>IFERROR(__xludf.DUMMYFUNCTION("""COMPUTED_VALUE"""),3.0983088E7)</f>
        <v>30983088</v>
      </c>
      <c r="H714" s="87"/>
      <c r="I714" s="87" t="str">
        <f>IFERROR(__xludf.DUMMYFUNCTION("""COMPUTED_VALUE"""),"MATERIAL DESCARREGADO - PROCESSO Nº 1400.01.0026473/2023-04")</f>
        <v>MATERIAL DESCARREGADO - PROCESSO Nº 1400.01.0026473/2023-04</v>
      </c>
    </row>
    <row r="715">
      <c r="A715" s="84">
        <f>IFERROR(__xludf.DUMMYFUNCTION("""COMPUTED_VALUE"""),714.0)</f>
        <v>714</v>
      </c>
      <c r="B715" s="85" t="str">
        <f>IFERROR(__xludf.DUMMYFUNCTION("""COMPUTED_VALUE"""),"CAPACETE PARA COMBATE INCENDIO -")</f>
        <v>CAPACETE PARA COMBATE INCENDIO -</v>
      </c>
      <c r="C715" s="86">
        <f>IFERROR(__xludf.DUMMYFUNCTION("""COMPUTED_VALUE"""),1.0)</f>
        <v>1</v>
      </c>
      <c r="D715" s="87" t="str">
        <f>IFERROR(__xludf.DUMMYFUNCTION("""COMPUTED_VALUE"""),"SEÇÃO")</f>
        <v>SEÇÃO</v>
      </c>
      <c r="E715" s="87" t="str">
        <f>IFERROR(__xludf.DUMMYFUNCTION("""COMPUTED_VALUE"""),"3 - DESCARGA")</f>
        <v>3 - DESCARGA</v>
      </c>
      <c r="F715" s="88"/>
      <c r="G715" s="89">
        <f>IFERROR(__xludf.DUMMYFUNCTION("""COMPUTED_VALUE"""),3.9947726E7)</f>
        <v>39947726</v>
      </c>
      <c r="H715" s="87"/>
      <c r="I715" s="87" t="str">
        <f>IFERROR(__xludf.DUMMYFUNCTION("""COMPUTED_VALUE"""),"MATERIAL DESCARREGADO - PROCESSO Nº 1400.01.0026473/2023-04")</f>
        <v>MATERIAL DESCARREGADO - PROCESSO Nº 1400.01.0026473/2023-04</v>
      </c>
    </row>
    <row r="716">
      <c r="A716" s="84">
        <f>IFERROR(__xludf.DUMMYFUNCTION("""COMPUTED_VALUE"""),715.0)</f>
        <v>715</v>
      </c>
      <c r="B716" s="85" t="str">
        <f>IFERROR(__xludf.DUMMYFUNCTION("""COMPUTED_VALUE"""),"CAPACETE PARA COMBATE INCENDIO -")</f>
        <v>CAPACETE PARA COMBATE INCENDIO -</v>
      </c>
      <c r="C716" s="86">
        <f>IFERROR(__xludf.DUMMYFUNCTION("""COMPUTED_VALUE"""),1.0)</f>
        <v>1</v>
      </c>
      <c r="D716" s="87" t="str">
        <f>IFERROR(__xludf.DUMMYFUNCTION("""COMPUTED_VALUE"""),"SEÇÃO")</f>
        <v>SEÇÃO</v>
      </c>
      <c r="E716" s="87" t="str">
        <f>IFERROR(__xludf.DUMMYFUNCTION("""COMPUTED_VALUE"""),"3 - ALMOX. ESTOQUE")</f>
        <v>3 - ALMOX. ESTOQUE</v>
      </c>
      <c r="F716" s="88" t="str">
        <f>IFERROR(__xludf.DUMMYFUNCTION("""COMPUTED_VALUE"""),"SAO")</f>
        <v>SAO</v>
      </c>
      <c r="G716" s="89">
        <f>IFERROR(__xludf.DUMMYFUNCTION("""COMPUTED_VALUE"""),3.9951235E7)</f>
        <v>39951235</v>
      </c>
      <c r="H716" s="87"/>
      <c r="I716" s="87" t="str">
        <f>IFERROR(__xludf.DUMMYFUNCTION("""COMPUTED_VALUE"""),"capacete SICOR, AMARELO")</f>
        <v>capacete SICOR, AMARELO</v>
      </c>
    </row>
    <row r="717">
      <c r="A717" s="84">
        <f>IFERROR(__xludf.DUMMYFUNCTION("""COMPUTED_VALUE"""),716.0)</f>
        <v>716</v>
      </c>
      <c r="B717" s="85" t="str">
        <f>IFERROR(__xludf.DUMMYFUNCTION("""COMPUTED_VALUE"""),"CAPACETE PARA COMBATE INCENDIO -")</f>
        <v>CAPACETE PARA COMBATE INCENDIO -</v>
      </c>
      <c r="C717" s="86">
        <f>IFERROR(__xludf.DUMMYFUNCTION("""COMPUTED_VALUE"""),1.0)</f>
        <v>1</v>
      </c>
      <c r="D717" s="87" t="str">
        <f>IFERROR(__xludf.DUMMYFUNCTION("""COMPUTED_VALUE"""),"SEÇÃO")</f>
        <v>SEÇÃO</v>
      </c>
      <c r="E717" s="87" t="str">
        <f>IFERROR(__xludf.DUMMYFUNCTION("""COMPUTED_VALUE"""),"3 - ALMOX. ESTOQUE")</f>
        <v>3 - ALMOX. ESTOQUE</v>
      </c>
      <c r="F717" s="88" t="str">
        <f>IFERROR(__xludf.DUMMYFUNCTION("""COMPUTED_VALUE"""),"SAO")</f>
        <v>SAO</v>
      </c>
      <c r="G717" s="89">
        <f>IFERROR(__xludf.DUMMYFUNCTION("""COMPUTED_VALUE"""),3.9951723E7)</f>
        <v>39951723</v>
      </c>
      <c r="H717" s="87"/>
      <c r="I717" s="87" t="str">
        <f>IFERROR(__xludf.DUMMYFUNCTION("""COMPUTED_VALUE"""),"capacete SICOR, AMARELO")</f>
        <v>capacete SICOR, AMARELO</v>
      </c>
    </row>
    <row r="718">
      <c r="A718" s="84">
        <f>IFERROR(__xludf.DUMMYFUNCTION("""COMPUTED_VALUE"""),717.0)</f>
        <v>717</v>
      </c>
      <c r="B718" s="85" t="str">
        <f>IFERROR(__xludf.DUMMYFUNCTION("""COMPUTED_VALUE"""),"COMPUTADOR -")</f>
        <v>COMPUTADOR -</v>
      </c>
      <c r="C718" s="86">
        <f>IFERROR(__xludf.DUMMYFUNCTION("""COMPUTED_VALUE"""),1.0)</f>
        <v>1</v>
      </c>
      <c r="D718" s="87" t="str">
        <f>IFERROR(__xludf.DUMMYFUNCTION("""COMPUTED_VALUE"""),"SEÇÃO")</f>
        <v>SEÇÃO</v>
      </c>
      <c r="E718" s="87" t="str">
        <f>IFERROR(__xludf.DUMMYFUNCTION("""COMPUTED_VALUE"""),"3 - DESCARGA")</f>
        <v>3 - DESCARGA</v>
      </c>
      <c r="F718" s="88"/>
      <c r="G718" s="89">
        <f>IFERROR(__xludf.DUMMYFUNCTION("""COMPUTED_VALUE"""),4.0075362E7)</f>
        <v>40075362</v>
      </c>
      <c r="H718" s="87"/>
      <c r="I718" s="87" t="str">
        <f>IFERROR(__xludf.DUMMYFUNCTION("""COMPUTED_VALUE"""),"MATERIAL DESCARREGADO - PROCESSO Nº 1400.01.0026473/2023-04")</f>
        <v>MATERIAL DESCARREGADO - PROCESSO Nº 1400.01.0026473/2023-04</v>
      </c>
    </row>
    <row r="719">
      <c r="A719" s="84">
        <f>IFERROR(__xludf.DUMMYFUNCTION("""COMPUTED_VALUE"""),718.0)</f>
        <v>718</v>
      </c>
      <c r="B719" s="85" t="str">
        <f>IFERROR(__xludf.DUMMYFUNCTION("""COMPUTED_VALUE"""),"COMPUTADOR -")</f>
        <v>COMPUTADOR -</v>
      </c>
      <c r="C719" s="86">
        <f>IFERROR(__xludf.DUMMYFUNCTION("""COMPUTED_VALUE"""),1.0)</f>
        <v>1</v>
      </c>
      <c r="D719" s="87" t="str">
        <f>IFERROR(__xludf.DUMMYFUNCTION("""COMPUTED_VALUE"""),"SEÇÃO")</f>
        <v>SEÇÃO</v>
      </c>
      <c r="E719" s="87" t="str">
        <f>IFERROR(__xludf.DUMMYFUNCTION("""COMPUTED_VALUE"""),"3 - DESCARGA")</f>
        <v>3 - DESCARGA</v>
      </c>
      <c r="F719" s="88"/>
      <c r="G719" s="89">
        <f>IFERROR(__xludf.DUMMYFUNCTION("""COMPUTED_VALUE"""),4.0075567E7)</f>
        <v>40075567</v>
      </c>
      <c r="H719" s="87"/>
      <c r="I719" s="87" t="str">
        <f>IFERROR(__xludf.DUMMYFUNCTION("""COMPUTED_VALUE"""),"MATERIAL DESCARREGADO - PROCESSO Nº 1400.01.0026473/2023-04")</f>
        <v>MATERIAL DESCARREGADO - PROCESSO Nº 1400.01.0026473/2023-04</v>
      </c>
    </row>
    <row r="720">
      <c r="A720" s="84">
        <f>IFERROR(__xludf.DUMMYFUNCTION("""COMPUTED_VALUE"""),719.0)</f>
        <v>719</v>
      </c>
      <c r="B720" s="85" t="str">
        <f>IFERROR(__xludf.DUMMYFUNCTION("""COMPUTED_VALUE"""),"FRIGOBAR -")</f>
        <v>FRIGOBAR -</v>
      </c>
      <c r="C720" s="86">
        <f>IFERROR(__xludf.DUMMYFUNCTION("""COMPUTED_VALUE"""),1.0)</f>
        <v>1</v>
      </c>
      <c r="D720" s="87" t="str">
        <f>IFERROR(__xludf.DUMMYFUNCTION("""COMPUTED_VALUE"""),"SEÇÃO")</f>
        <v>SEÇÃO</v>
      </c>
      <c r="E720" s="87" t="str">
        <f>IFERROR(__xludf.DUMMYFUNCTION("""COMPUTED_VALUE"""),"3 - COMANDANTE")</f>
        <v>3 - COMANDANTE</v>
      </c>
      <c r="F720" s="88"/>
      <c r="G720" s="89">
        <f>IFERROR(__xludf.DUMMYFUNCTION("""COMPUTED_VALUE"""),4.0082075E7)</f>
        <v>40082075</v>
      </c>
      <c r="H720" s="87"/>
      <c r="I720" s="87"/>
    </row>
    <row r="721">
      <c r="A721" s="84">
        <f>IFERROR(__xludf.DUMMYFUNCTION("""COMPUTED_VALUE"""),720.0)</f>
        <v>720</v>
      </c>
      <c r="B721" s="85" t="str">
        <f>IFERROR(__xludf.DUMMYFUNCTION("""COMPUTED_VALUE"""),"ESTABILIZADOR ELETRONICO DE TENSAO -")</f>
        <v>ESTABILIZADOR ELETRONICO DE TENSAO -</v>
      </c>
      <c r="C721" s="86">
        <f>IFERROR(__xludf.DUMMYFUNCTION("""COMPUTED_VALUE"""),1.0)</f>
        <v>1</v>
      </c>
      <c r="D721" s="87" t="str">
        <f>IFERROR(__xludf.DUMMYFUNCTION("""COMPUTED_VALUE"""),"SEÇÃO")</f>
        <v>SEÇÃO</v>
      </c>
      <c r="E721" s="87" t="str">
        <f>IFERROR(__xludf.DUMMYFUNCTION("""COMPUTED_VALUE"""),"3 - SUPRIMENTOS")</f>
        <v>3 - SUPRIMENTOS</v>
      </c>
      <c r="F721" s="88"/>
      <c r="G721" s="89">
        <f>IFERROR(__xludf.DUMMYFUNCTION("""COMPUTED_VALUE"""),4.008848E7)</f>
        <v>40088480</v>
      </c>
      <c r="H721" s="87"/>
      <c r="I721" s="87"/>
    </row>
    <row r="722">
      <c r="A722" s="84">
        <f>IFERROR(__xludf.DUMMYFUNCTION("""COMPUTED_VALUE"""),721.0)</f>
        <v>721</v>
      </c>
      <c r="B722" s="85" t="str">
        <f>IFERROR(__xludf.DUMMYFUNCTION("""COMPUTED_VALUE"""),"COMPUTADOR -")</f>
        <v>COMPUTADOR -</v>
      </c>
      <c r="C722" s="86">
        <f>IFERROR(__xludf.DUMMYFUNCTION("""COMPUTED_VALUE"""),1.0)</f>
        <v>1</v>
      </c>
      <c r="D722" s="87" t="str">
        <f>IFERROR(__xludf.DUMMYFUNCTION("""COMPUTED_VALUE"""),"SEÇÃO")</f>
        <v>SEÇÃO</v>
      </c>
      <c r="E722" s="87" t="str">
        <f>IFERROR(__xludf.DUMMYFUNCTION("""COMPUTED_VALUE"""),"3 - DESCARGA")</f>
        <v>3 - DESCARGA</v>
      </c>
      <c r="F722" s="88"/>
      <c r="G722" s="89">
        <f>IFERROR(__xludf.DUMMYFUNCTION("""COMPUTED_VALUE"""),4.0090701E7)</f>
        <v>40090701</v>
      </c>
      <c r="H722" s="87"/>
      <c r="I722" s="87" t="str">
        <f>IFERROR(__xludf.DUMMYFUNCTION("""COMPUTED_VALUE"""),"MATERIAL DESCARREGADO - PROCESSO Nº 1400.01.0026473/2023-04")</f>
        <v>MATERIAL DESCARREGADO - PROCESSO Nº 1400.01.0026473/2023-04</v>
      </c>
    </row>
    <row r="723">
      <c r="A723" s="84">
        <f>IFERROR(__xludf.DUMMYFUNCTION("""COMPUTED_VALUE"""),722.0)</f>
        <v>722</v>
      </c>
      <c r="B723" s="85" t="str">
        <f>IFERROR(__xludf.DUMMYFUNCTION("""COMPUTED_VALUE"""),"ENCADERNADORA -")</f>
        <v>ENCADERNADORA -</v>
      </c>
      <c r="C723" s="86">
        <f>IFERROR(__xludf.DUMMYFUNCTION("""COMPUTED_VALUE"""),1.0)</f>
        <v>1</v>
      </c>
      <c r="D723" s="87" t="str">
        <f>IFERROR(__xludf.DUMMYFUNCTION("""COMPUTED_VALUE"""),"SEÇÃO")</f>
        <v>SEÇÃO</v>
      </c>
      <c r="E723" s="87" t="str">
        <f>IFERROR(__xludf.DUMMYFUNCTION("""COMPUTED_VALUE"""),"3 - SEPLAN")</f>
        <v>3 - SEPLAN</v>
      </c>
      <c r="F723" s="88"/>
      <c r="G723" s="89">
        <f>IFERROR(__xludf.DUMMYFUNCTION("""COMPUTED_VALUE"""),4.009076E7)</f>
        <v>40090760</v>
      </c>
      <c r="H723" s="87"/>
      <c r="I723" s="87"/>
    </row>
    <row r="724">
      <c r="A724" s="84">
        <f>IFERROR(__xludf.DUMMYFUNCTION("""COMPUTED_VALUE"""),723.0)</f>
        <v>723</v>
      </c>
      <c r="B724" s="85" t="str">
        <f>IFERROR(__xludf.DUMMYFUNCTION("""COMPUTED_VALUE"""),"IMPRESSORA MULTIFUNCIONAL -")</f>
        <v>IMPRESSORA MULTIFUNCIONAL -</v>
      </c>
      <c r="C724" s="86">
        <f>IFERROR(__xludf.DUMMYFUNCTION("""COMPUTED_VALUE"""),1.0)</f>
        <v>1</v>
      </c>
      <c r="D724" s="87" t="str">
        <f>IFERROR(__xludf.DUMMYFUNCTION("""COMPUTED_VALUE"""),"SEÇÃO")</f>
        <v>SEÇÃO</v>
      </c>
      <c r="E724" s="87" t="str">
        <f>IFERROR(__xludf.DUMMYFUNCTION("""COMPUTED_VALUE"""),"3 - DESCARGA")</f>
        <v>3 - DESCARGA</v>
      </c>
      <c r="F724" s="88"/>
      <c r="G724" s="89">
        <f>IFERROR(__xludf.DUMMYFUNCTION("""COMPUTED_VALUE"""),4.0093093E7)</f>
        <v>40093093</v>
      </c>
      <c r="H724" s="87"/>
      <c r="I724" s="87" t="str">
        <f>IFERROR(__xludf.DUMMYFUNCTION("""COMPUTED_VALUE"""),"MATERIAL DESCARREGADO - PROCESSO Nº 1400.01.0026473/2023-04")</f>
        <v>MATERIAL DESCARREGADO - PROCESSO Nº 1400.01.0026473/2023-04</v>
      </c>
    </row>
    <row r="725">
      <c r="A725" s="84">
        <f>IFERROR(__xludf.DUMMYFUNCTION("""COMPUTED_VALUE"""),724.0)</f>
        <v>724</v>
      </c>
      <c r="B725" s="85" t="str">
        <f>IFERROR(__xludf.DUMMYFUNCTION("""COMPUTED_VALUE"""),"AR CONDICIONADO -")</f>
        <v>AR CONDICIONADO -</v>
      </c>
      <c r="C725" s="86">
        <f>IFERROR(__xludf.DUMMYFUNCTION("""COMPUTED_VALUE"""),1.0)</f>
        <v>1</v>
      </c>
      <c r="D725" s="87" t="str">
        <f>IFERROR(__xludf.DUMMYFUNCTION("""COMPUTED_VALUE"""),"SEÇÃO")</f>
        <v>SEÇÃO</v>
      </c>
      <c r="E725" s="87" t="str">
        <f>IFERROR(__xludf.DUMMYFUNCTION("""COMPUTED_VALUE"""),"3 - 1ª CIA OP")</f>
        <v>3 - 1ª CIA OP</v>
      </c>
      <c r="F725" s="88" t="str">
        <f>IFERROR(__xludf.DUMMYFUNCTION("""COMPUTED_VALUE"""),"CMT OPERACIONAL")</f>
        <v>CMT OPERACIONAL</v>
      </c>
      <c r="G725" s="89">
        <f>IFERROR(__xludf.DUMMYFUNCTION("""COMPUTED_VALUE"""),4.0145379E7)</f>
        <v>40145379</v>
      </c>
      <c r="H725" s="87"/>
      <c r="I725" s="87" t="str">
        <f>IFERROR(__xludf.DUMMYFUNCTION("""COMPUTED_VALUE"""),"SALA DO CMT OPERACIONAL")</f>
        <v>SALA DO CMT OPERACIONAL</v>
      </c>
    </row>
    <row r="726">
      <c r="A726" s="84">
        <f>IFERROR(__xludf.DUMMYFUNCTION("""COMPUTED_VALUE"""),725.0)</f>
        <v>725</v>
      </c>
      <c r="B726" s="85" t="str">
        <f>IFERROR(__xludf.DUMMYFUNCTION("""COMPUTED_VALUE"""),"COMPUTADOR -")</f>
        <v>COMPUTADOR -</v>
      </c>
      <c r="C726" s="86">
        <f>IFERROR(__xludf.DUMMYFUNCTION("""COMPUTED_VALUE"""),1.0)</f>
        <v>1</v>
      </c>
      <c r="D726" s="87" t="str">
        <f>IFERROR(__xludf.DUMMYFUNCTION("""COMPUTED_VALUE"""),"SEÇÃO")</f>
        <v>SEÇÃO</v>
      </c>
      <c r="E726" s="87" t="str">
        <f>IFERROR(__xludf.DUMMYFUNCTION("""COMPUTED_VALUE"""),"3 - DESCARGA")</f>
        <v>3 - DESCARGA</v>
      </c>
      <c r="F726" s="88"/>
      <c r="G726" s="89">
        <f>IFERROR(__xludf.DUMMYFUNCTION("""COMPUTED_VALUE"""),4.015386E7)</f>
        <v>40153860</v>
      </c>
      <c r="H726" s="87"/>
      <c r="I726" s="87" t="str">
        <f>IFERROR(__xludf.DUMMYFUNCTION("""COMPUTED_VALUE"""),"MATERIAL DESCARREGADO - PROCESSO Nº 1400.01.0026473/2023-04")</f>
        <v>MATERIAL DESCARREGADO - PROCESSO Nº 1400.01.0026473/2023-04</v>
      </c>
    </row>
    <row r="727">
      <c r="A727" s="84">
        <f>IFERROR(__xludf.DUMMYFUNCTION("""COMPUTED_VALUE"""),726.0)</f>
        <v>726</v>
      </c>
      <c r="B727" s="85" t="str">
        <f>IFERROR(__xludf.DUMMYFUNCTION("""COMPUTED_VALUE"""),"CAPACETE PARA COMBATE INCENDIO -")</f>
        <v>CAPACETE PARA COMBATE INCENDIO -</v>
      </c>
      <c r="C727" s="86">
        <f>IFERROR(__xludf.DUMMYFUNCTION("""COMPUTED_VALUE"""),1.0)</f>
        <v>1</v>
      </c>
      <c r="D727" s="87" t="str">
        <f>IFERROR(__xludf.DUMMYFUNCTION("""COMPUTED_VALUE"""),"MILITAR")</f>
        <v>MILITAR</v>
      </c>
      <c r="E727" s="87" t="str">
        <f>IFERROR(__xludf.DUMMYFUNCTION("""COMPUTED_VALUE"""),"2 - 2º SGT ALESSANDRA DUARTE FONSECA KLEIN")</f>
        <v>2 - 2º SGT ALESSANDRA DUARTE FONSECA KLEIN</v>
      </c>
      <c r="F727" s="88"/>
      <c r="G727" s="89">
        <f>IFERROR(__xludf.DUMMYFUNCTION("""COMPUTED_VALUE"""),4.0175022E7)</f>
        <v>40175022</v>
      </c>
      <c r="H727" s="87"/>
      <c r="I727" s="87" t="str">
        <f>IFERROR(__xludf.DUMMYFUNCTION("""COMPUTED_VALUE"""),"capacete SICOR, VERMELHO, Condição BOM")</f>
        <v>capacete SICOR, VERMELHO, Condição BOM</v>
      </c>
    </row>
    <row r="728">
      <c r="A728" s="84">
        <f>IFERROR(__xludf.DUMMYFUNCTION("""COMPUTED_VALUE"""),727.0)</f>
        <v>727</v>
      </c>
      <c r="B728" s="85" t="str">
        <f>IFERROR(__xludf.DUMMYFUNCTION("""COMPUTED_VALUE"""),"CAPACETE PARA COMBATE INCENDIO -")</f>
        <v>CAPACETE PARA COMBATE INCENDIO -</v>
      </c>
      <c r="C728" s="86">
        <f>IFERROR(__xludf.DUMMYFUNCTION("""COMPUTED_VALUE"""),1.0)</f>
        <v>1</v>
      </c>
      <c r="D728" s="87" t="str">
        <f>IFERROR(__xludf.DUMMYFUNCTION("""COMPUTED_VALUE"""),"SEÇÃO")</f>
        <v>SEÇÃO</v>
      </c>
      <c r="E728" s="87" t="str">
        <f>IFERROR(__xludf.DUMMYFUNCTION("""COMPUTED_VALUE"""),"3 - ALMOX. ESTOQUE")</f>
        <v>3 - ALMOX. ESTOQUE</v>
      </c>
      <c r="F728" s="88" t="str">
        <f>IFERROR(__xludf.DUMMYFUNCTION("""COMPUTED_VALUE"""),"SAO")</f>
        <v>SAO</v>
      </c>
      <c r="G728" s="89">
        <f>IFERROR(__xludf.DUMMYFUNCTION("""COMPUTED_VALUE"""),4.017534E7)</f>
        <v>40175340</v>
      </c>
      <c r="H728" s="87"/>
      <c r="I728" s="87"/>
    </row>
    <row r="729">
      <c r="A729" s="84">
        <f>IFERROR(__xludf.DUMMYFUNCTION("""COMPUTED_VALUE"""),728.0)</f>
        <v>728</v>
      </c>
      <c r="B729" s="85" t="str">
        <f>IFERROR(__xludf.DUMMYFUNCTION("""COMPUTED_VALUE"""),"CAPACETE PARA COMBATE INCENDIO -")</f>
        <v>CAPACETE PARA COMBATE INCENDIO -</v>
      </c>
      <c r="C729" s="86">
        <f>IFERROR(__xludf.DUMMYFUNCTION("""COMPUTED_VALUE"""),1.0)</f>
        <v>1</v>
      </c>
      <c r="D729" s="87" t="str">
        <f>IFERROR(__xludf.DUMMYFUNCTION("""COMPUTED_VALUE"""),"MILITAR")</f>
        <v>MILITAR</v>
      </c>
      <c r="E729" s="87" t="str">
        <f>IFERROR(__xludf.DUMMYFUNCTION("""COMPUTED_VALUE"""),"2 - SD 2º CL GABRIEL DA SILVA FREITAS")</f>
        <v>2 - SD 2º CL GABRIEL DA SILVA FREITAS</v>
      </c>
      <c r="F729" s="88"/>
      <c r="G729" s="89">
        <f>IFERROR(__xludf.DUMMYFUNCTION("""COMPUTED_VALUE"""),4.017873E7)</f>
        <v>40178730</v>
      </c>
      <c r="H729" s="87"/>
      <c r="I729" s="87" t="str">
        <f>IFERROR(__xludf.DUMMYFUNCTION("""COMPUTED_VALUE"""),"capacete SICOR, AMARELO")</f>
        <v>capacete SICOR, AMARELO</v>
      </c>
    </row>
    <row r="730">
      <c r="A730" s="84">
        <f>IFERROR(__xludf.DUMMYFUNCTION("""COMPUTED_VALUE"""),729.0)</f>
        <v>729</v>
      </c>
      <c r="B730" s="85" t="str">
        <f>IFERROR(__xludf.DUMMYFUNCTION("""COMPUTED_VALUE"""),"MESA PARA ESCRITORIO -")</f>
        <v>MESA PARA ESCRITORIO -</v>
      </c>
      <c r="C730" s="86">
        <f>IFERROR(__xludf.DUMMYFUNCTION("""COMPUTED_VALUE"""),1.0)</f>
        <v>1</v>
      </c>
      <c r="D730" s="87" t="str">
        <f>IFERROR(__xludf.DUMMYFUNCTION("""COMPUTED_VALUE"""),"SEÇÃO")</f>
        <v>SEÇÃO</v>
      </c>
      <c r="E730" s="87" t="str">
        <f>IFERROR(__xludf.DUMMYFUNCTION("""COMPUTED_VALUE"""),"3 - SALA DE INSTRUÇÃO")</f>
        <v>3 - SALA DE INSTRUÇÃO</v>
      </c>
      <c r="F730" s="88"/>
      <c r="G730" s="89">
        <f>IFERROR(__xludf.DUMMYFUNCTION("""COMPUTED_VALUE"""),4.0216586E7)</f>
        <v>40216586</v>
      </c>
      <c r="H730" s="87"/>
      <c r="I730" s="87" t="str">
        <f>IFERROR(__xludf.DUMMYFUNCTION("""COMPUTED_VALUE"""),"mesa branca com 03 gavetas ")</f>
        <v>mesa branca com 03 gavetas </v>
      </c>
    </row>
    <row r="731">
      <c r="A731" s="84">
        <f>IFERROR(__xludf.DUMMYFUNCTION("""COMPUTED_VALUE"""),730.0)</f>
        <v>730</v>
      </c>
      <c r="B731" s="85" t="str">
        <f>IFERROR(__xludf.DUMMYFUNCTION("""COMPUTED_VALUE"""),"CADEIRA PARA ESCRITORIO -")</f>
        <v>CADEIRA PARA ESCRITORIO -</v>
      </c>
      <c r="C731" s="86">
        <f>IFERROR(__xludf.DUMMYFUNCTION("""COMPUTED_VALUE"""),1.0)</f>
        <v>1</v>
      </c>
      <c r="D731" s="87" t="str">
        <f>IFERROR(__xludf.DUMMYFUNCTION("""COMPUTED_VALUE"""),"SEÇÃO")</f>
        <v>SEÇÃO</v>
      </c>
      <c r="E731" s="87" t="str">
        <f>IFERROR(__xludf.DUMMYFUNCTION("""COMPUTED_VALUE"""),"3 - REFEITÓRIO (SEDE)")</f>
        <v>3 - REFEITÓRIO (SEDE)</v>
      </c>
      <c r="F731" s="88"/>
      <c r="G731" s="89">
        <f>IFERROR(__xludf.DUMMYFUNCTION("""COMPUTED_VALUE"""),4.021664E7)</f>
        <v>40216640</v>
      </c>
      <c r="H731" s="87"/>
      <c r="I731" s="87" t="str">
        <f>IFERROR(__xludf.DUMMYFUNCTION("""COMPUTED_VALUE""")," EM PROCESSO DE DESCARGA SEI-1400.01.0026473/2023-03")</f>
        <v> EM PROCESSO DE DESCARGA SEI-1400.01.0026473/2023-03</v>
      </c>
    </row>
    <row r="732">
      <c r="A732" s="84">
        <f>IFERROR(__xludf.DUMMYFUNCTION("""COMPUTED_VALUE"""),731.0)</f>
        <v>731</v>
      </c>
      <c r="B732" s="85" t="str">
        <f>IFERROR(__xludf.DUMMYFUNCTION("""COMPUTED_VALUE"""),"CADEIRA PARA ESCRITORIO -")</f>
        <v>CADEIRA PARA ESCRITORIO -</v>
      </c>
      <c r="C732" s="86">
        <f>IFERROR(__xludf.DUMMYFUNCTION("""COMPUTED_VALUE"""),1.0)</f>
        <v>1</v>
      </c>
      <c r="D732" s="87" t="str">
        <f>IFERROR(__xludf.DUMMYFUNCTION("""COMPUTED_VALUE"""),"SEÇÃO")</f>
        <v>SEÇÃO</v>
      </c>
      <c r="E732" s="87" t="str">
        <f>IFERROR(__xludf.DUMMYFUNCTION("""COMPUTED_VALUE"""),"3 - GUARDA")</f>
        <v>3 - GUARDA</v>
      </c>
      <c r="F732" s="88"/>
      <c r="G732" s="89">
        <f>IFERROR(__xludf.DUMMYFUNCTION("""COMPUTED_VALUE"""),4.0216659E7)</f>
        <v>40216659</v>
      </c>
      <c r="H732" s="87"/>
      <c r="I732" s="87" t="str">
        <f>IFERROR(__xludf.DUMMYFUNCTION("""COMPUTED_VALUE""")," EM PROCESSO DE DESCARGA SEI-1400.01.0026473/2023-03")</f>
        <v> EM PROCESSO DE DESCARGA SEI-1400.01.0026473/2023-03</v>
      </c>
    </row>
    <row r="733">
      <c r="A733" s="84">
        <f>IFERROR(__xludf.DUMMYFUNCTION("""COMPUTED_VALUE"""),732.0)</f>
        <v>732</v>
      </c>
      <c r="B733" s="85" t="str">
        <f>IFERROR(__xludf.DUMMYFUNCTION("""COMPUTED_VALUE"""),"CAPACETE PARA COMBATE INCENDIO -")</f>
        <v>CAPACETE PARA COMBATE INCENDIO -</v>
      </c>
      <c r="C733" s="86">
        <f>IFERROR(__xludf.DUMMYFUNCTION("""COMPUTED_VALUE"""),1.0)</f>
        <v>1</v>
      </c>
      <c r="D733" s="87" t="str">
        <f>IFERROR(__xludf.DUMMYFUNCTION("""COMPUTED_VALUE"""),"MILITAR")</f>
        <v>MILITAR</v>
      </c>
      <c r="E733" s="87" t="str">
        <f>IFERROR(__xludf.DUMMYFUNCTION("""COMPUTED_VALUE"""),"2 - 2º SGT AGNALDO CELESTINO DO COUTO")</f>
        <v>2 - 2º SGT AGNALDO CELESTINO DO COUTO</v>
      </c>
      <c r="F733" s="88"/>
      <c r="G733" s="89">
        <f>IFERROR(__xludf.DUMMYFUNCTION("""COMPUTED_VALUE"""),4.0234975E7)</f>
        <v>40234975</v>
      </c>
      <c r="H733" s="87"/>
      <c r="I733" s="87" t="str">
        <f>IFERROR(__xludf.DUMMYFUNCTION("""COMPUTED_VALUE"""),"capacete SICOR, ")</f>
        <v>capacete SICOR, </v>
      </c>
    </row>
    <row r="734">
      <c r="A734" s="84">
        <f>IFERROR(__xludf.DUMMYFUNCTION("""COMPUTED_VALUE"""),733.0)</f>
        <v>733</v>
      </c>
      <c r="B734" s="85" t="str">
        <f>IFERROR(__xludf.DUMMYFUNCTION("""COMPUTED_VALUE"""),"COMPUTADOR -")</f>
        <v>COMPUTADOR -</v>
      </c>
      <c r="C734" s="86">
        <f>IFERROR(__xludf.DUMMYFUNCTION("""COMPUTED_VALUE"""),1.0)</f>
        <v>1</v>
      </c>
      <c r="D734" s="87" t="str">
        <f>IFERROR(__xludf.DUMMYFUNCTION("""COMPUTED_VALUE"""),"SEÇÃO")</f>
        <v>SEÇÃO</v>
      </c>
      <c r="E734" s="87" t="str">
        <f>IFERROR(__xludf.DUMMYFUNCTION("""COMPUTED_VALUE"""),"3 - ALMOX. ESTOQUE")</f>
        <v>3 - ALMOX. ESTOQUE</v>
      </c>
      <c r="F734" s="88" t="str">
        <f>IFERROR(__xludf.DUMMYFUNCTION("""COMPUTED_VALUE"""),"CPD")</f>
        <v>CPD</v>
      </c>
      <c r="G734" s="89">
        <f>IFERROR(__xludf.DUMMYFUNCTION("""COMPUTED_VALUE"""),4.0349047E7)</f>
        <v>40349047</v>
      </c>
      <c r="H734" s="87" t="str">
        <f>IFERROR(__xludf.DUMMYFUNCTION("""COMPUTED_VALUE"""),"NS 4A348FS6J")</f>
        <v>NS 4A348FS6J</v>
      </c>
      <c r="I734" s="87" t="str">
        <f>IFERROR(__xludf.DUMMYFUNCTION("""COMPUTED_VALUE"""),"Positivo D535 ")</f>
        <v>Positivo D535 </v>
      </c>
    </row>
    <row r="735">
      <c r="A735" s="84">
        <f>IFERROR(__xludf.DUMMYFUNCTION("""COMPUTED_VALUE"""),734.0)</f>
        <v>734</v>
      </c>
      <c r="B735" s="85" t="str">
        <f>IFERROR(__xludf.DUMMYFUNCTION("""COMPUTED_VALUE"""),"COMPUTADOR -")</f>
        <v>COMPUTADOR -</v>
      </c>
      <c r="C735" s="86">
        <f>IFERROR(__xludf.DUMMYFUNCTION("""COMPUTED_VALUE"""),1.0)</f>
        <v>1</v>
      </c>
      <c r="D735" s="87" t="str">
        <f>IFERROR(__xludf.DUMMYFUNCTION("""COMPUTED_VALUE"""),"SEÇÃO")</f>
        <v>SEÇÃO</v>
      </c>
      <c r="E735" s="87" t="str">
        <f>IFERROR(__xludf.DUMMYFUNCTION("""COMPUTED_VALUE"""),"3 - CARTÓRIO")</f>
        <v>3 - CARTÓRIO</v>
      </c>
      <c r="F735" s="88" t="str">
        <f>IFERROR(__xludf.DUMMYFUNCTION("""COMPUTED_VALUE"""),"PROTOCOLO")</f>
        <v>PROTOCOLO</v>
      </c>
      <c r="G735" s="89">
        <f>IFERROR(__xludf.DUMMYFUNCTION("""COMPUTED_VALUE"""),4.0350096E7)</f>
        <v>40350096</v>
      </c>
      <c r="H735" s="87"/>
      <c r="I735" s="87" t="str">
        <f>IFERROR(__xludf.DUMMYFUNCTION("""COMPUTED_VALUE"""),"Func civil Sergia")</f>
        <v>Func civil Sergia</v>
      </c>
    </row>
    <row r="736">
      <c r="A736" s="84">
        <f>IFERROR(__xludf.DUMMYFUNCTION("""COMPUTED_VALUE"""),735.0)</f>
        <v>735</v>
      </c>
      <c r="B736" s="85" t="str">
        <f>IFERROR(__xludf.DUMMYFUNCTION("""COMPUTED_VALUE"""),"CADEIRA PARA ESCRITORIO -")</f>
        <v>CADEIRA PARA ESCRITORIO -</v>
      </c>
      <c r="C736" s="86">
        <f>IFERROR(__xludf.DUMMYFUNCTION("""COMPUTED_VALUE"""),1.0)</f>
        <v>1</v>
      </c>
      <c r="D736" s="87" t="str">
        <f>IFERROR(__xludf.DUMMYFUNCTION("""COMPUTED_VALUE"""),"SEÇÃO")</f>
        <v>SEÇÃO</v>
      </c>
      <c r="E736" s="87" t="str">
        <f>IFERROR(__xludf.DUMMYFUNCTION("""COMPUTED_VALUE"""),"3 - GUARDA")</f>
        <v>3 - GUARDA</v>
      </c>
      <c r="F736" s="88"/>
      <c r="G736" s="89">
        <f>IFERROR(__xludf.DUMMYFUNCTION("""COMPUTED_VALUE"""),4.0355144E7)</f>
        <v>40355144</v>
      </c>
      <c r="H736" s="87"/>
      <c r="I736" s="87"/>
    </row>
    <row r="737">
      <c r="A737" s="84">
        <f>IFERROR(__xludf.DUMMYFUNCTION("""COMPUTED_VALUE"""),736.0)</f>
        <v>736</v>
      </c>
      <c r="B737" s="85" t="str">
        <f>IFERROR(__xludf.DUMMYFUNCTION("""COMPUTED_VALUE"""),"CAMA -(II)")</f>
        <v>CAMA -(II)</v>
      </c>
      <c r="C737" s="86">
        <f>IFERROR(__xludf.DUMMYFUNCTION("""COMPUTED_VALUE"""),1.0)</f>
        <v>1</v>
      </c>
      <c r="D737" s="87" t="str">
        <f>IFERROR(__xludf.DUMMYFUNCTION("""COMPUTED_VALUE"""),"SEÇÃO")</f>
        <v>SEÇÃO</v>
      </c>
      <c r="E737" s="87" t="str">
        <f>IFERROR(__xludf.DUMMYFUNCTION("""COMPUTED_VALUE"""),"3 - 1ª CIA OP")</f>
        <v>3 - 1ª CIA OP</v>
      </c>
      <c r="F737" s="88" t="str">
        <f>IFERROR(__xludf.DUMMYFUNCTION("""COMPUTED_VALUE"""),"ALOJAMENTO OFICIAIS")</f>
        <v>ALOJAMENTO OFICIAIS</v>
      </c>
      <c r="G737" s="89">
        <f>IFERROR(__xludf.DUMMYFUNCTION("""COMPUTED_VALUE"""),4342542.0)</f>
        <v>4342542</v>
      </c>
      <c r="H737" s="87"/>
      <c r="I737" s="87"/>
    </row>
    <row r="738">
      <c r="A738" s="84">
        <f>IFERROR(__xludf.DUMMYFUNCTION("""COMPUTED_VALUE"""),737.0)</f>
        <v>737</v>
      </c>
      <c r="B738" s="85" t="str">
        <f>IFERROR(__xludf.DUMMYFUNCTION("""COMPUTED_VALUE"""),"MESA PARA ESCRITORIO -")</f>
        <v>MESA PARA ESCRITORIO -</v>
      </c>
      <c r="C738" s="86">
        <f>IFERROR(__xludf.DUMMYFUNCTION("""COMPUTED_VALUE"""),1.0)</f>
        <v>1</v>
      </c>
      <c r="D738" s="87" t="str">
        <f>IFERROR(__xludf.DUMMYFUNCTION("""COMPUTED_VALUE"""),"SEÇÃO")</f>
        <v>SEÇÃO</v>
      </c>
      <c r="E738" s="87" t="str">
        <f>IFERROR(__xludf.DUMMYFUNCTION("""COMPUTED_VALUE"""),"3 - DESCARGA")</f>
        <v>3 - DESCARGA</v>
      </c>
      <c r="F738" s="88"/>
      <c r="G738" s="89">
        <f>IFERROR(__xludf.DUMMYFUNCTION("""COMPUTED_VALUE"""),5.3495896E7)</f>
        <v>53495896</v>
      </c>
      <c r="H738" s="87"/>
      <c r="I738" s="87" t="str">
        <f>IFERROR(__xludf.DUMMYFUNCTION("""COMPUTED_VALUE"""),"MATERIAL DESCARREGADO - PROCESSO Nº 1400.01.0026473/2023-04")</f>
        <v>MATERIAL DESCARREGADO - PROCESSO Nº 1400.01.0026473/2023-04</v>
      </c>
    </row>
    <row r="739">
      <c r="A739" s="84">
        <f>IFERROR(__xludf.DUMMYFUNCTION("""COMPUTED_VALUE"""),738.0)</f>
        <v>738</v>
      </c>
      <c r="B739" s="85" t="str">
        <f>IFERROR(__xludf.DUMMYFUNCTION("""COMPUTED_VALUE"""),"GAVETEIRO -")</f>
        <v>GAVETEIRO -</v>
      </c>
      <c r="C739" s="86">
        <f>IFERROR(__xludf.DUMMYFUNCTION("""COMPUTED_VALUE"""),1.0)</f>
        <v>1</v>
      </c>
      <c r="D739" s="87" t="str">
        <f>IFERROR(__xludf.DUMMYFUNCTION("""COMPUTED_VALUE"""),"SEÇÃO")</f>
        <v>SEÇÃO</v>
      </c>
      <c r="E739" s="87" t="str">
        <f>IFERROR(__xludf.DUMMYFUNCTION("""COMPUTED_VALUE"""),"3 - DESCARGA")</f>
        <v>3 - DESCARGA</v>
      </c>
      <c r="F739" s="88"/>
      <c r="G739" s="89">
        <f>IFERROR(__xludf.DUMMYFUNCTION("""COMPUTED_VALUE"""),5.3529979E7)</f>
        <v>53529979</v>
      </c>
      <c r="H739" s="87"/>
      <c r="I739" s="87" t="str">
        <f>IFERROR(__xludf.DUMMYFUNCTION("""COMPUTED_VALUE""")," EM PROCESSO DE DESCARGA SEI-1400.01.0026473/2023-03
Área de descarte")</f>
        <v> EM PROCESSO DE DESCARGA SEI-1400.01.0026473/2023-03
Área de descarte</v>
      </c>
    </row>
    <row r="740">
      <c r="A740" s="84">
        <f>IFERROR(__xludf.DUMMYFUNCTION("""COMPUTED_VALUE"""),739.0)</f>
        <v>739</v>
      </c>
      <c r="B740" s="85" t="str">
        <f>IFERROR(__xludf.DUMMYFUNCTION("""COMPUTED_VALUE"""),"MESA DE ESCRITORIO (III) -")</f>
        <v>MESA DE ESCRITORIO (III) -</v>
      </c>
      <c r="C740" s="86">
        <f>IFERROR(__xludf.DUMMYFUNCTION("""COMPUTED_VALUE"""),1.0)</f>
        <v>1</v>
      </c>
      <c r="D740" s="87" t="str">
        <f>IFERROR(__xludf.DUMMYFUNCTION("""COMPUTED_VALUE"""),"SEÇÃO")</f>
        <v>SEÇÃO</v>
      </c>
      <c r="E740" s="87" t="str">
        <f>IFERROR(__xludf.DUMMYFUNCTION("""COMPUTED_VALUE"""),"3 - DESCARGA")</f>
        <v>3 - DESCARGA</v>
      </c>
      <c r="F740" s="88"/>
      <c r="G740" s="89">
        <f>IFERROR(__xludf.DUMMYFUNCTION("""COMPUTED_VALUE"""),5.4150868E7)</f>
        <v>54150868</v>
      </c>
      <c r="H740" s="87"/>
      <c r="I740" s="87" t="str">
        <f>IFERROR(__xludf.DUMMYFUNCTION("""COMPUTED_VALUE"""),"MATERIAL DESCARREGADO - PROCESSO Nº 1400.01.0026473/2023-04")</f>
        <v>MATERIAL DESCARREGADO - PROCESSO Nº 1400.01.0026473/2023-04</v>
      </c>
    </row>
    <row r="741">
      <c r="A741" s="84">
        <f>IFERROR(__xludf.DUMMYFUNCTION("""COMPUTED_VALUE"""),740.0)</f>
        <v>740</v>
      </c>
      <c r="B741" s="85" t="str">
        <f>IFERROR(__xludf.DUMMYFUNCTION("""COMPUTED_VALUE"""),"ROUPEIRO PARA VESTIARIO -")</f>
        <v>ROUPEIRO PARA VESTIARIO -</v>
      </c>
      <c r="C741" s="86">
        <f>IFERROR(__xludf.DUMMYFUNCTION("""COMPUTED_VALUE"""),1.0)</f>
        <v>1</v>
      </c>
      <c r="D741" s="87" t="str">
        <f>IFERROR(__xludf.DUMMYFUNCTION("""COMPUTED_VALUE"""),"SEÇÃO")</f>
        <v>SEÇÃO</v>
      </c>
      <c r="E741" s="87" t="str">
        <f>IFERROR(__xludf.DUMMYFUNCTION("""COMPUTED_VALUE"""),"3 - DESCARGA")</f>
        <v>3 - DESCARGA</v>
      </c>
      <c r="F741" s="88"/>
      <c r="G741" s="89">
        <f>IFERROR(__xludf.DUMMYFUNCTION("""COMPUTED_VALUE"""),5.725311E7)</f>
        <v>57253110</v>
      </c>
      <c r="H741" s="87"/>
      <c r="I741" s="87" t="str">
        <f>IFERROR(__xludf.DUMMYFUNCTION("""COMPUTED_VALUE"""),"MATERIAL DESCARREGADO - PROCESSO Nº 1400.01.0026473/2023-04")</f>
        <v>MATERIAL DESCARREGADO - PROCESSO Nº 1400.01.0026473/2023-04</v>
      </c>
    </row>
    <row r="742">
      <c r="A742" s="84">
        <f>IFERROR(__xludf.DUMMYFUNCTION("""COMPUTED_VALUE"""),741.0)</f>
        <v>741</v>
      </c>
      <c r="B742" s="85" t="str">
        <f>IFERROR(__xludf.DUMMYFUNCTION("""COMPUTED_VALUE"""),"ARQUIVO PARA ESCRITORIO -")</f>
        <v>ARQUIVO PARA ESCRITORIO -</v>
      </c>
      <c r="C742" s="86">
        <f>IFERROR(__xludf.DUMMYFUNCTION("""COMPUTED_VALUE"""),1.0)</f>
        <v>1</v>
      </c>
      <c r="D742" s="87" t="str">
        <f>IFERROR(__xludf.DUMMYFUNCTION("""COMPUTED_VALUE"""),"SEÇÃO")</f>
        <v>SEÇÃO</v>
      </c>
      <c r="E742" s="87" t="str">
        <f>IFERROR(__xludf.DUMMYFUNCTION("""COMPUTED_VALUE"""),"3 - ARMARIA")</f>
        <v>3 - ARMARIA</v>
      </c>
      <c r="F742" s="88"/>
      <c r="G742" s="89">
        <f>IFERROR(__xludf.DUMMYFUNCTION("""COMPUTED_VALUE"""),5.7284164E7)</f>
        <v>57284164</v>
      </c>
      <c r="H742" s="87"/>
      <c r="I742" s="87"/>
    </row>
    <row r="743">
      <c r="A743" s="84">
        <f>IFERROR(__xludf.DUMMYFUNCTION("""COMPUTED_VALUE"""),742.0)</f>
        <v>742</v>
      </c>
      <c r="B743" s="85" t="str">
        <f>IFERROR(__xludf.DUMMYFUNCTION("""COMPUTED_VALUE"""),"ROUPEIRO PARA VESTIARIO -")</f>
        <v>ROUPEIRO PARA VESTIARIO -</v>
      </c>
      <c r="C743" s="86">
        <f>IFERROR(__xludf.DUMMYFUNCTION("""COMPUTED_VALUE"""),1.0)</f>
        <v>1</v>
      </c>
      <c r="D743" s="87" t="str">
        <f>IFERROR(__xludf.DUMMYFUNCTION("""COMPUTED_VALUE"""),"SEÇÃO")</f>
        <v>SEÇÃO</v>
      </c>
      <c r="E743" s="87" t="str">
        <f>IFERROR(__xludf.DUMMYFUNCTION("""COMPUTED_VALUE"""),"3 - ALMOX. ESTOQUE")</f>
        <v>3 - ALMOX. ESTOQUE</v>
      </c>
      <c r="F743" s="88" t="str">
        <f>IFERROR(__xludf.DUMMYFUNCTION("""COMPUTED_VALUE"""),"ALMOX. PISCINA")</f>
        <v>ALMOX. PISCINA</v>
      </c>
      <c r="G743" s="89">
        <f>IFERROR(__xludf.DUMMYFUNCTION("""COMPUTED_VALUE"""),6.045869E7)</f>
        <v>60458690</v>
      </c>
      <c r="H743" s="87"/>
      <c r="I743" s="87" t="str">
        <f>IFERROR(__xludf.DUMMYFUNCTION("""COMPUTED_VALUE"""),"sendo utilizado pelo funcionário civil Silvério")</f>
        <v>sendo utilizado pelo funcionário civil Silvério</v>
      </c>
    </row>
    <row r="744">
      <c r="A744" s="84">
        <f>IFERROR(__xludf.DUMMYFUNCTION("""COMPUTED_VALUE"""),743.0)</f>
        <v>743</v>
      </c>
      <c r="B744" s="85" t="str">
        <f>IFERROR(__xludf.DUMMYFUNCTION("""COMPUTED_VALUE"""),"COMPUTADOR -")</f>
        <v>COMPUTADOR -</v>
      </c>
      <c r="C744" s="86">
        <f>IFERROR(__xludf.DUMMYFUNCTION("""COMPUTED_VALUE"""),1.0)</f>
        <v>1</v>
      </c>
      <c r="D744" s="87" t="str">
        <f>IFERROR(__xludf.DUMMYFUNCTION("""COMPUTED_VALUE"""),"SEÇÃO")</f>
        <v>SEÇÃO</v>
      </c>
      <c r="E744" s="87" t="str">
        <f>IFERROR(__xludf.DUMMYFUNCTION("""COMPUTED_VALUE"""),"3 - SOU")</f>
        <v>3 - SOU</v>
      </c>
      <c r="F744" s="88" t="str">
        <f>IFERROR(__xludf.DUMMYFUNCTION("""COMPUTED_VALUE"""),"SALA DE REDS")</f>
        <v>SALA DE REDS</v>
      </c>
      <c r="G744" s="89">
        <f>IFERROR(__xludf.DUMMYFUNCTION("""COMPUTED_VALUE"""),7.686921E7)</f>
        <v>76869210</v>
      </c>
      <c r="H744" s="87" t="str">
        <f>IFERROR(__xludf.DUMMYFUNCTION("""COMPUTED_VALUE"""),"00355-61108-55728-AAOEM")</f>
        <v>00355-61108-55728-AAOEM</v>
      </c>
      <c r="I744" s="87" t="str">
        <f>IFERROR(__xludf.DUMMYFUNCTION("""COMPUTED_VALUE"""),"DATEN - DC5A-U 7686921-0, 01 Monitor 26"", 01 Teclado, 01 Mouse")</f>
        <v>DATEN - DC5A-U 7686921-0, 01 Monitor 26", 01 Teclado, 01 Mouse</v>
      </c>
    </row>
    <row r="745">
      <c r="A745" s="84">
        <f>IFERROR(__xludf.DUMMYFUNCTION("""COMPUTED_VALUE"""),744.0)</f>
        <v>744</v>
      </c>
      <c r="B745" s="85" t="str">
        <f>IFERROR(__xludf.DUMMYFUNCTION("""COMPUTED_VALUE"""),"COMPUTADOR -")</f>
        <v>COMPUTADOR -</v>
      </c>
      <c r="C745" s="86">
        <f>IFERROR(__xludf.DUMMYFUNCTION("""COMPUTED_VALUE"""),1.0)</f>
        <v>1</v>
      </c>
      <c r="D745" s="87" t="str">
        <f>IFERROR(__xludf.DUMMYFUNCTION("""COMPUTED_VALUE"""),"SEÇÃO")</f>
        <v>SEÇÃO</v>
      </c>
      <c r="E745" s="87" t="str">
        <f>IFERROR(__xludf.DUMMYFUNCTION("""COMPUTED_VALUE"""),"3 - 1ª CIA OP")</f>
        <v>3 - 1ª CIA OP</v>
      </c>
      <c r="F745" s="88" t="str">
        <f>IFERROR(__xludf.DUMMYFUNCTION("""COMPUTED_VALUE"""),"SECRETARIA")</f>
        <v>SECRETARIA</v>
      </c>
      <c r="G745" s="89">
        <f>IFERROR(__xludf.DUMMYFUNCTION("""COMPUTED_VALUE"""),7.6869229E7)</f>
        <v>76869229</v>
      </c>
      <c r="H745" s="87"/>
      <c r="I745" s="87" t="str">
        <f>IFERROR(__xludf.DUMMYFUNCTION("""COMPUTED_VALUE"""),"DATEN - SECRETARIA")</f>
        <v>DATEN - SECRETARIA</v>
      </c>
    </row>
    <row r="746">
      <c r="A746" s="84">
        <f>IFERROR(__xludf.DUMMYFUNCTION("""COMPUTED_VALUE"""),745.0)</f>
        <v>745</v>
      </c>
      <c r="B746" s="85" t="str">
        <f>IFERROR(__xludf.DUMMYFUNCTION("""COMPUTED_VALUE"""),"COMPUTADOR -")</f>
        <v>COMPUTADOR -</v>
      </c>
      <c r="C746" s="86">
        <f>IFERROR(__xludf.DUMMYFUNCTION("""COMPUTED_VALUE"""),1.0)</f>
        <v>1</v>
      </c>
      <c r="D746" s="87" t="str">
        <f>IFERROR(__xludf.DUMMYFUNCTION("""COMPUTED_VALUE"""),"SEÇÃO")</f>
        <v>SEÇÃO</v>
      </c>
      <c r="E746" s="87" t="str">
        <f>IFERROR(__xludf.DUMMYFUNCTION("""COMPUTED_VALUE"""),"3 - SOU")</f>
        <v>3 - SOU</v>
      </c>
      <c r="F746" s="88" t="str">
        <f>IFERROR(__xludf.DUMMYFUNCTION("""COMPUTED_VALUE"""),"SALA DE REDS")</f>
        <v>SALA DE REDS</v>
      </c>
      <c r="G746" s="89">
        <f>IFERROR(__xludf.DUMMYFUNCTION("""COMPUTED_VALUE"""),7.6869237E7)</f>
        <v>76869237</v>
      </c>
      <c r="H746" s="87" t="str">
        <f>IFERROR(__xludf.DUMMYFUNCTION("""COMPUTED_VALUE"""),"00355-61108-55688-AAOEM")</f>
        <v>00355-61108-55688-AAOEM</v>
      </c>
      <c r="I746" s="87" t="str">
        <f>IFERROR(__xludf.DUMMYFUNCTION("""COMPUTED_VALUE"""),"DATEN - DC5A-U 7686923-7, 01 Monitor 26"", 01 Teclado, 01 Mouse")</f>
        <v>DATEN - DC5A-U 7686923-7, 01 Monitor 26", 01 Teclado, 01 Mouse</v>
      </c>
    </row>
    <row r="747">
      <c r="A747" s="84">
        <f>IFERROR(__xludf.DUMMYFUNCTION("""COMPUTED_VALUE"""),746.0)</f>
        <v>746</v>
      </c>
      <c r="B747" s="85" t="str">
        <f>IFERROR(__xludf.DUMMYFUNCTION("""COMPUTED_VALUE"""),"COMPUTADOR -")</f>
        <v>COMPUTADOR -</v>
      </c>
      <c r="C747" s="86">
        <f>IFERROR(__xludf.DUMMYFUNCTION("""COMPUTED_VALUE"""),1.0)</f>
        <v>1</v>
      </c>
      <c r="D747" s="87" t="str">
        <f>IFERROR(__xludf.DUMMYFUNCTION("""COMPUTED_VALUE"""),"SEÇÃO")</f>
        <v>SEÇÃO</v>
      </c>
      <c r="E747" s="87" t="str">
        <f>IFERROR(__xludf.DUMMYFUNCTION("""COMPUTED_VALUE"""),"3 - CARTÓRIO")</f>
        <v>3 - CARTÓRIO</v>
      </c>
      <c r="F747" s="88"/>
      <c r="G747" s="89">
        <f>IFERROR(__xludf.DUMMYFUNCTION("""COMPUTED_VALUE"""),7.6869245E7)</f>
        <v>76869245</v>
      </c>
      <c r="H747" s="87"/>
      <c r="I747" s="87" t="str">
        <f>IFERROR(__xludf.DUMMYFUNCTION("""COMPUTED_VALUE"""),"DATEN - Ten Mateus")</f>
        <v>DATEN - Ten Mateus</v>
      </c>
    </row>
    <row r="748">
      <c r="A748" s="84">
        <f>IFERROR(__xludf.DUMMYFUNCTION("""COMPUTED_VALUE"""),747.0)</f>
        <v>747</v>
      </c>
      <c r="B748" s="85" t="str">
        <f>IFERROR(__xludf.DUMMYFUNCTION("""COMPUTED_VALUE"""),"COMPUTADOR -")</f>
        <v>COMPUTADOR -</v>
      </c>
      <c r="C748" s="86">
        <f>IFERROR(__xludf.DUMMYFUNCTION("""COMPUTED_VALUE"""),1.0)</f>
        <v>1</v>
      </c>
      <c r="D748" s="87" t="str">
        <f>IFERROR(__xludf.DUMMYFUNCTION("""COMPUTED_VALUE"""),"SEÇÃO")</f>
        <v>SEÇÃO</v>
      </c>
      <c r="E748" s="87" t="str">
        <f>IFERROR(__xludf.DUMMYFUNCTION("""COMPUTED_VALUE"""),"3 - CURVELO")</f>
        <v>3 - CURVELO</v>
      </c>
      <c r="F748" s="88"/>
      <c r="G748" s="89">
        <f>IFERROR(__xludf.DUMMYFUNCTION("""COMPUTED_VALUE"""),7.6869253E7)</f>
        <v>76869253</v>
      </c>
      <c r="H748" s="87"/>
      <c r="I748" s="87" t="str">
        <f>IFERROR(__xludf.DUMMYFUNCTION("""COMPUTED_VALUE"""),"DATEN - TRANSFERIR PARA O PEL DE CURVELO")</f>
        <v>DATEN - TRANSFERIR PARA O PEL DE CURVELO</v>
      </c>
    </row>
    <row r="749">
      <c r="A749" s="84">
        <f>IFERROR(__xludf.DUMMYFUNCTION("""COMPUTED_VALUE"""),748.0)</f>
        <v>748</v>
      </c>
      <c r="B749" s="85" t="str">
        <f>IFERROR(__xludf.DUMMYFUNCTION("""COMPUTED_VALUE"""),"COMPUTADOR -")</f>
        <v>COMPUTADOR -</v>
      </c>
      <c r="C749" s="86">
        <f>IFERROR(__xludf.DUMMYFUNCTION("""COMPUTED_VALUE"""),1.0)</f>
        <v>1</v>
      </c>
      <c r="D749" s="87" t="str">
        <f>IFERROR(__xludf.DUMMYFUNCTION("""COMPUTED_VALUE"""),"SEÇÃO")</f>
        <v>SEÇÃO</v>
      </c>
      <c r="E749" s="87" t="str">
        <f>IFERROR(__xludf.DUMMYFUNCTION("""COMPUTED_VALUE"""),"3 - CURVELO")</f>
        <v>3 - CURVELO</v>
      </c>
      <c r="F749" s="88"/>
      <c r="G749" s="89">
        <f>IFERROR(__xludf.DUMMYFUNCTION("""COMPUTED_VALUE"""),7.6869261E7)</f>
        <v>76869261</v>
      </c>
      <c r="H749" s="87"/>
      <c r="I749" s="87" t="str">
        <f>IFERROR(__xludf.DUMMYFUNCTION("""COMPUTED_VALUE"""),"DATEN - TRANSFERIR PARA O PEL DE CURVELO")</f>
        <v>DATEN - TRANSFERIR PARA O PEL DE CURVELO</v>
      </c>
    </row>
    <row r="750">
      <c r="A750" s="84">
        <f>IFERROR(__xludf.DUMMYFUNCTION("""COMPUTED_VALUE"""),749.0)</f>
        <v>749</v>
      </c>
      <c r="B750" s="85" t="str">
        <f>IFERROR(__xludf.DUMMYFUNCTION("""COMPUTED_VALUE"""),"COMPUTADOR -")</f>
        <v>COMPUTADOR -</v>
      </c>
      <c r="C750" s="86">
        <f>IFERROR(__xludf.DUMMYFUNCTION("""COMPUTED_VALUE"""),1.0)</f>
        <v>1</v>
      </c>
      <c r="D750" s="87" t="str">
        <f>IFERROR(__xludf.DUMMYFUNCTION("""COMPUTED_VALUE"""),"SEÇÃO")</f>
        <v>SEÇÃO</v>
      </c>
      <c r="E750" s="87" t="str">
        <f>IFERROR(__xludf.DUMMYFUNCTION("""COMPUTED_VALUE"""),"3 - CURVELO")</f>
        <v>3 - CURVELO</v>
      </c>
      <c r="F750" s="88"/>
      <c r="G750" s="89">
        <f>IFERROR(__xludf.DUMMYFUNCTION("""COMPUTED_VALUE"""),7.686927E7)</f>
        <v>76869270</v>
      </c>
      <c r="H750" s="87"/>
      <c r="I750" s="87" t="str">
        <f>IFERROR(__xludf.DUMMYFUNCTION("""COMPUTED_VALUE"""),"DATEN TRANSFERIR PARA O PEL DE CURVELO")</f>
        <v>DATEN TRANSFERIR PARA O PEL DE CURVELO</v>
      </c>
    </row>
    <row r="751">
      <c r="A751" s="84">
        <f>IFERROR(__xludf.DUMMYFUNCTION("""COMPUTED_VALUE"""),750.0)</f>
        <v>750</v>
      </c>
      <c r="B751" s="85" t="str">
        <f>IFERROR(__xludf.DUMMYFUNCTION("""COMPUTED_VALUE"""),"ARQUIVO PARA ESCRITORIO -(II)")</f>
        <v>ARQUIVO PARA ESCRITORIO -(II)</v>
      </c>
      <c r="C751" s="86">
        <f>IFERROR(__xludf.DUMMYFUNCTION("""COMPUTED_VALUE"""),1.0)</f>
        <v>1</v>
      </c>
      <c r="D751" s="87" t="str">
        <f>IFERROR(__xludf.DUMMYFUNCTION("""COMPUTED_VALUE"""),"SEÇÃO")</f>
        <v>SEÇÃO</v>
      </c>
      <c r="E751" s="87" t="str">
        <f>IFERROR(__xludf.DUMMYFUNCTION("""COMPUTED_VALUE"""),"3 - ALMOX. ESTOQUE")</f>
        <v>3 - ALMOX. ESTOQUE</v>
      </c>
      <c r="F751" s="88" t="str">
        <f>IFERROR(__xludf.DUMMYFUNCTION("""COMPUTED_VALUE"""),"SAO")</f>
        <v>SAO</v>
      </c>
      <c r="G751" s="89">
        <f>IFERROR(__xludf.DUMMYFUNCTION("""COMPUTED_VALUE"""),7901461.0)</f>
        <v>7901461</v>
      </c>
      <c r="H751" s="87"/>
      <c r="I751" s="87"/>
    </row>
    <row r="752">
      <c r="A752" s="84">
        <f>IFERROR(__xludf.DUMMYFUNCTION("""COMPUTED_VALUE"""),751.0)</f>
        <v>751</v>
      </c>
      <c r="B752" s="85" t="str">
        <f>IFERROR(__xludf.DUMMYFUNCTION("""COMPUTED_VALUE"""),"MESA PARA MICROCOMPUTADOR - (II)")</f>
        <v>MESA PARA MICROCOMPUTADOR - (II)</v>
      </c>
      <c r="C752" s="86">
        <f>IFERROR(__xludf.DUMMYFUNCTION("""COMPUTED_VALUE"""),1.0)</f>
        <v>1</v>
      </c>
      <c r="D752" s="87" t="str">
        <f>IFERROR(__xludf.DUMMYFUNCTION("""COMPUTED_VALUE"""),"SEÇÃO")</f>
        <v>SEÇÃO</v>
      </c>
      <c r="E752" s="87" t="str">
        <f>IFERROR(__xludf.DUMMYFUNCTION("""COMPUTED_VALUE"""),"3 - DESCARGA")</f>
        <v>3 - DESCARGA</v>
      </c>
      <c r="F752" s="88"/>
      <c r="G752" s="89">
        <f>IFERROR(__xludf.DUMMYFUNCTION("""COMPUTED_VALUE"""),1.0306382E7)</f>
        <v>10306382</v>
      </c>
      <c r="H752" s="87"/>
      <c r="I752" s="87" t="str">
        <f>IFERROR(__xludf.DUMMYFUNCTION("""COMPUTED_VALUE"""),"MATERIAL DESCARREGADO - PROCESSO Nº 1400.01.0026473/2023-04")</f>
        <v>MATERIAL DESCARREGADO - PROCESSO Nº 1400.01.0026473/2023-04</v>
      </c>
    </row>
    <row r="753">
      <c r="A753" s="84">
        <f>IFERROR(__xludf.DUMMYFUNCTION("""COMPUTED_VALUE"""),752.0)</f>
        <v>752</v>
      </c>
      <c r="B753" s="85" t="str">
        <f>IFERROR(__xludf.DUMMYFUNCTION("""COMPUTED_VALUE"""),"CADEIRA PARA ESCRITORIO -(II)")</f>
        <v>CADEIRA PARA ESCRITORIO -(II)</v>
      </c>
      <c r="C753" s="86">
        <f>IFERROR(__xludf.DUMMYFUNCTION("""COMPUTED_VALUE"""),1.0)</f>
        <v>1</v>
      </c>
      <c r="D753" s="87" t="str">
        <f>IFERROR(__xludf.DUMMYFUNCTION("""COMPUTED_VALUE"""),"SEÇÃO")</f>
        <v>SEÇÃO</v>
      </c>
      <c r="E753" s="87" t="str">
        <f>IFERROR(__xludf.DUMMYFUNCTION("""COMPUTED_VALUE"""),"3 - DESCARGA")</f>
        <v>3 - DESCARGA</v>
      </c>
      <c r="F753" s="88"/>
      <c r="G753" s="89">
        <f>IFERROR(__xludf.DUMMYFUNCTION("""COMPUTED_VALUE"""),1.0476768E7)</f>
        <v>10476768</v>
      </c>
      <c r="H753" s="87"/>
      <c r="I753" s="87" t="str">
        <f>IFERROR(__xludf.DUMMYFUNCTION("""COMPUTED_VALUE"""),"MATERIAL DESCARREGADO - PROCESSO Nº 1400.01.0026473/2023-05")</f>
        <v>MATERIAL DESCARREGADO - PROCESSO Nº 1400.01.0026473/2023-05</v>
      </c>
    </row>
    <row r="754">
      <c r="A754" s="84">
        <f>IFERROR(__xludf.DUMMYFUNCTION("""COMPUTED_VALUE"""),753.0)</f>
        <v>753</v>
      </c>
      <c r="B754" s="85" t="str">
        <f>IFERROR(__xludf.DUMMYFUNCTION("""COMPUTED_VALUE"""),"ARQUIVO PARA ESCRITORIO -")</f>
        <v>ARQUIVO PARA ESCRITORIO -</v>
      </c>
      <c r="C754" s="86">
        <f>IFERROR(__xludf.DUMMYFUNCTION("""COMPUTED_VALUE"""),1.0)</f>
        <v>1</v>
      </c>
      <c r="D754" s="87" t="str">
        <f>IFERROR(__xludf.DUMMYFUNCTION("""COMPUTED_VALUE"""),"SEÇÃO")</f>
        <v>SEÇÃO</v>
      </c>
      <c r="E754" s="87" t="str">
        <f>IFERROR(__xludf.DUMMYFUNCTION("""COMPUTED_VALUE"""),"3 - PPV")</f>
        <v>3 - PPV</v>
      </c>
      <c r="F754" s="88" t="str">
        <f>IFERROR(__xludf.DUMMYFUNCTION("""COMPUTED_VALUE"""),"ARQUIVO")</f>
        <v>ARQUIVO</v>
      </c>
      <c r="G754" s="89">
        <f>IFERROR(__xludf.DUMMYFUNCTION("""COMPUTED_VALUE"""),1.0867457E7)</f>
        <v>10867457</v>
      </c>
      <c r="H754" s="87"/>
      <c r="I754" s="87"/>
    </row>
    <row r="755">
      <c r="A755" s="84">
        <f>IFERROR(__xludf.DUMMYFUNCTION("""COMPUTED_VALUE"""),754.0)</f>
        <v>754</v>
      </c>
      <c r="B755" s="85" t="str">
        <f>IFERROR(__xludf.DUMMYFUNCTION("""COMPUTED_VALUE"""),"CADEIRA GIRATORIA PARA DIGITADOR -")</f>
        <v>CADEIRA GIRATORIA PARA DIGITADOR -</v>
      </c>
      <c r="C755" s="86">
        <f>IFERROR(__xludf.DUMMYFUNCTION("""COMPUTED_VALUE"""),1.0)</f>
        <v>1</v>
      </c>
      <c r="D755" s="87" t="str">
        <f>IFERROR(__xludf.DUMMYFUNCTION("""COMPUTED_VALUE"""),"SEÇÃO")</f>
        <v>SEÇÃO</v>
      </c>
      <c r="E755" s="87" t="str">
        <f>IFERROR(__xludf.DUMMYFUNCTION("""COMPUTED_VALUE"""),"3 - DESCARGA")</f>
        <v>3 - DESCARGA</v>
      </c>
      <c r="F755" s="88"/>
      <c r="G755" s="89">
        <f>IFERROR(__xludf.DUMMYFUNCTION("""COMPUTED_VALUE"""),1.0996028E7)</f>
        <v>10996028</v>
      </c>
      <c r="H755" s="87"/>
      <c r="I755" s="87" t="str">
        <f>IFERROR(__xludf.DUMMYFUNCTION("""COMPUTED_VALUE"""),"MATERIAL DESCARREGADO - PROCESSO Nº 1400.01.0026473/2023-04")</f>
        <v>MATERIAL DESCARREGADO - PROCESSO Nº 1400.01.0026473/2023-04</v>
      </c>
    </row>
    <row r="756">
      <c r="A756" s="84">
        <f>IFERROR(__xludf.DUMMYFUNCTION("""COMPUTED_VALUE"""),755.0)</f>
        <v>755</v>
      </c>
      <c r="B756" s="85" t="str">
        <f>IFERROR(__xludf.DUMMYFUNCTION("""COMPUTED_VALUE"""),"ARQUIVO PARA ESCRITORIO -(II)")</f>
        <v>ARQUIVO PARA ESCRITORIO -(II)</v>
      </c>
      <c r="C756" s="86">
        <f>IFERROR(__xludf.DUMMYFUNCTION("""COMPUTED_VALUE"""),1.0)</f>
        <v>1</v>
      </c>
      <c r="D756" s="87" t="str">
        <f>IFERROR(__xludf.DUMMYFUNCTION("""COMPUTED_VALUE"""),"SEÇÃO")</f>
        <v>SEÇÃO</v>
      </c>
      <c r="E756" s="87" t="str">
        <f>IFERROR(__xludf.DUMMYFUNCTION("""COMPUTED_VALUE"""),"3 - PPV")</f>
        <v>3 - PPV</v>
      </c>
      <c r="F756" s="88" t="str">
        <f>IFERROR(__xludf.DUMMYFUNCTION("""COMPUTED_VALUE"""),"ARQUIVO")</f>
        <v>ARQUIVO</v>
      </c>
      <c r="G756" s="89">
        <f>IFERROR(__xludf.DUMMYFUNCTION("""COMPUTED_VALUE"""),1.2190063E7)</f>
        <v>12190063</v>
      </c>
      <c r="H756" s="87"/>
      <c r="I756" s="87"/>
    </row>
    <row r="757">
      <c r="A757" s="84">
        <f>IFERROR(__xludf.DUMMYFUNCTION("""COMPUTED_VALUE"""),756.0)</f>
        <v>756</v>
      </c>
      <c r="B757" s="85" t="str">
        <f>IFERROR(__xludf.DUMMYFUNCTION("""COMPUTED_VALUE"""),"ARQUIVO PARA ESCRITORIO -(II)")</f>
        <v>ARQUIVO PARA ESCRITORIO -(II)</v>
      </c>
      <c r="C757" s="86">
        <f>IFERROR(__xludf.DUMMYFUNCTION("""COMPUTED_VALUE"""),1.0)</f>
        <v>1</v>
      </c>
      <c r="D757" s="87" t="str">
        <f>IFERROR(__xludf.DUMMYFUNCTION("""COMPUTED_VALUE"""),"SEÇÃO")</f>
        <v>SEÇÃO</v>
      </c>
      <c r="E757" s="87" t="str">
        <f>IFERROR(__xludf.DUMMYFUNCTION("""COMPUTED_VALUE"""),"3 - PPV")</f>
        <v>3 - PPV</v>
      </c>
      <c r="F757" s="88" t="str">
        <f>IFERROR(__xludf.DUMMYFUNCTION("""COMPUTED_VALUE"""),"ARQUIVO")</f>
        <v>ARQUIVO</v>
      </c>
      <c r="G757" s="89">
        <f>IFERROR(__xludf.DUMMYFUNCTION("""COMPUTED_VALUE"""),1.219016E7)</f>
        <v>12190160</v>
      </c>
      <c r="H757" s="87"/>
      <c r="I757" s="87"/>
    </row>
    <row r="758">
      <c r="A758" s="84">
        <f>IFERROR(__xludf.DUMMYFUNCTION("""COMPUTED_VALUE"""),757.0)</f>
        <v>757</v>
      </c>
      <c r="B758" s="85" t="str">
        <f>IFERROR(__xludf.DUMMYFUNCTION("""COMPUTED_VALUE"""),"ARQUIVO PARA ESCRITORIO -(II)")</f>
        <v>ARQUIVO PARA ESCRITORIO -(II)</v>
      </c>
      <c r="C758" s="86">
        <f>IFERROR(__xludf.DUMMYFUNCTION("""COMPUTED_VALUE"""),1.0)</f>
        <v>1</v>
      </c>
      <c r="D758" s="87" t="str">
        <f>IFERROR(__xludf.DUMMYFUNCTION("""COMPUTED_VALUE"""),"SEÇÃO")</f>
        <v>SEÇÃO</v>
      </c>
      <c r="E758" s="87" t="str">
        <f>IFERROR(__xludf.DUMMYFUNCTION("""COMPUTED_VALUE"""),"3 - PPV")</f>
        <v>3 - PPV</v>
      </c>
      <c r="F758" s="88" t="str">
        <f>IFERROR(__xludf.DUMMYFUNCTION("""COMPUTED_VALUE"""),"ARQUIVO")</f>
        <v>ARQUIVO</v>
      </c>
      <c r="G758" s="89">
        <f>IFERROR(__xludf.DUMMYFUNCTION("""COMPUTED_VALUE"""),1.2190217E7)</f>
        <v>12190217</v>
      </c>
      <c r="H758" s="87"/>
      <c r="I758" s="87"/>
    </row>
    <row r="759">
      <c r="A759" s="84">
        <f>IFERROR(__xludf.DUMMYFUNCTION("""COMPUTED_VALUE"""),758.0)</f>
        <v>758</v>
      </c>
      <c r="B759" s="85" t="str">
        <f>IFERROR(__xludf.DUMMYFUNCTION("""COMPUTED_VALUE"""),"MESA PARA MICROCOMPUTADOR - (II)")</f>
        <v>MESA PARA MICROCOMPUTADOR - (II)</v>
      </c>
      <c r="C759" s="86">
        <f>IFERROR(__xludf.DUMMYFUNCTION("""COMPUTED_VALUE"""),1.0)</f>
        <v>1</v>
      </c>
      <c r="D759" s="87" t="str">
        <f>IFERROR(__xludf.DUMMYFUNCTION("""COMPUTED_VALUE"""),"SEÇÃO")</f>
        <v>SEÇÃO</v>
      </c>
      <c r="E759" s="87" t="str">
        <f>IFERROR(__xludf.DUMMYFUNCTION("""COMPUTED_VALUE"""),"3 - ALMOX. ESTOQUE")</f>
        <v>3 - ALMOX. ESTOQUE</v>
      </c>
      <c r="F759" s="88" t="str">
        <f>IFERROR(__xludf.DUMMYFUNCTION("""COMPUTED_VALUE"""),"SALA DO FUTEBOL (SEDE)")</f>
        <v>SALA DO FUTEBOL (SEDE)</v>
      </c>
      <c r="G759" s="89">
        <f>IFERROR(__xludf.DUMMYFUNCTION("""COMPUTED_VALUE"""),1.2707155E7)</f>
        <v>12707155</v>
      </c>
      <c r="H759" s="87"/>
      <c r="I759" s="87" t="str">
        <f>IFERROR(__xludf.DUMMYFUNCTION("""COMPUTED_VALUE"""),"Adicionar ao processo de descarga")</f>
        <v>Adicionar ao processo de descarga</v>
      </c>
    </row>
    <row r="760">
      <c r="A760" s="84">
        <f>IFERROR(__xludf.DUMMYFUNCTION("""COMPUTED_VALUE"""),759.0)</f>
        <v>759</v>
      </c>
      <c r="B760" s="85" t="str">
        <f>IFERROR(__xludf.DUMMYFUNCTION("""COMPUTED_VALUE"""),"MESA PARA MICROCOMPUTADOR - (II)")</f>
        <v>MESA PARA MICROCOMPUTADOR - (II)</v>
      </c>
      <c r="C760" s="86">
        <f>IFERROR(__xludf.DUMMYFUNCTION("""COMPUTED_VALUE"""),1.0)</f>
        <v>1</v>
      </c>
      <c r="D760" s="87" t="str">
        <f>IFERROR(__xludf.DUMMYFUNCTION("""COMPUTED_VALUE"""),"SEÇÃO")</f>
        <v>SEÇÃO</v>
      </c>
      <c r="E760" s="87" t="str">
        <f>IFERROR(__xludf.DUMMYFUNCTION("""COMPUTED_VALUE"""),"3 - ALMOX. ESTOQUE")</f>
        <v>3 - ALMOX. ESTOQUE</v>
      </c>
      <c r="F760" s="88" t="str">
        <f>IFERROR(__xludf.DUMMYFUNCTION("""COMPUTED_VALUE"""),"SALA DO FUTEBOL (SEDE)")</f>
        <v>SALA DO FUTEBOL (SEDE)</v>
      </c>
      <c r="G760" s="89">
        <f>IFERROR(__xludf.DUMMYFUNCTION("""COMPUTED_VALUE"""),1.2711195E7)</f>
        <v>12711195</v>
      </c>
      <c r="H760" s="87"/>
      <c r="I760" s="87"/>
    </row>
    <row r="761">
      <c r="A761" s="84">
        <f>IFERROR(__xludf.DUMMYFUNCTION("""COMPUTED_VALUE"""),760.0)</f>
        <v>760</v>
      </c>
      <c r="B761" s="85" t="str">
        <f>IFERROR(__xludf.DUMMYFUNCTION("""COMPUTED_VALUE"""),"ESTANTE PARA ALMOXARIFADO -")</f>
        <v>ESTANTE PARA ALMOXARIFADO -</v>
      </c>
      <c r="C761" s="86">
        <f>IFERROR(__xludf.DUMMYFUNCTION("""COMPUTED_VALUE"""),1.0)</f>
        <v>1</v>
      </c>
      <c r="D761" s="87" t="str">
        <f>IFERROR(__xludf.DUMMYFUNCTION("""COMPUTED_VALUE"""),"SEÇÃO")</f>
        <v>SEÇÃO</v>
      </c>
      <c r="E761" s="87" t="str">
        <f>IFERROR(__xludf.DUMMYFUNCTION("""COMPUTED_VALUE"""),"3 - 1ª CIA OP")</f>
        <v>3 - 1ª CIA OP</v>
      </c>
      <c r="F761" s="88" t="str">
        <f>IFERROR(__xludf.DUMMYFUNCTION("""COMPUTED_VALUE"""),"PPV (ANTIGA)")</f>
        <v>PPV (ANTIGA)</v>
      </c>
      <c r="G761" s="89">
        <f>IFERROR(__xludf.DUMMYFUNCTION("""COMPUTED_VALUE"""),1.3273795E7)</f>
        <v>13273795</v>
      </c>
      <c r="H761" s="87"/>
      <c r="I761" s="87"/>
    </row>
    <row r="762">
      <c r="A762" s="84">
        <f>IFERROR(__xludf.DUMMYFUNCTION("""COMPUTED_VALUE"""),761.0)</f>
        <v>761</v>
      </c>
      <c r="B762" s="85" t="str">
        <f>IFERROR(__xludf.DUMMYFUNCTION("""COMPUTED_VALUE"""),"ARMARIO PARA ESCRITORIO -(II)")</f>
        <v>ARMARIO PARA ESCRITORIO -(II)</v>
      </c>
      <c r="C762" s="86">
        <f>IFERROR(__xludf.DUMMYFUNCTION("""COMPUTED_VALUE"""),1.0)</f>
        <v>1</v>
      </c>
      <c r="D762" s="87" t="str">
        <f>IFERROR(__xludf.DUMMYFUNCTION("""COMPUTED_VALUE"""),"SEÇÃO")</f>
        <v>SEÇÃO</v>
      </c>
      <c r="E762" s="87" t="str">
        <f>IFERROR(__xludf.DUMMYFUNCTION("""COMPUTED_VALUE"""),"3 - 1ª CIA OP")</f>
        <v>3 - 1ª CIA OP</v>
      </c>
      <c r="F762" s="88" t="str">
        <f>IFERROR(__xludf.DUMMYFUNCTION("""COMPUTED_VALUE"""),"SECRETARIA")</f>
        <v>SECRETARIA</v>
      </c>
      <c r="G762" s="89">
        <f>IFERROR(__xludf.DUMMYFUNCTION("""COMPUTED_VALUE"""),1.3763881E7)</f>
        <v>13763881</v>
      </c>
      <c r="H762" s="87"/>
      <c r="I762" s="87" t="str">
        <f>IFERROR(__xludf.DUMMYFUNCTION("""COMPUTED_VALUE"""),"SECRETARIA")</f>
        <v>SECRETARIA</v>
      </c>
    </row>
    <row r="763">
      <c r="A763" s="84">
        <f>IFERROR(__xludf.DUMMYFUNCTION("""COMPUTED_VALUE"""),762.0)</f>
        <v>762</v>
      </c>
      <c r="B763" s="85" t="str">
        <f>IFERROR(__xludf.DUMMYFUNCTION("""COMPUTED_VALUE"""),"ARQUIVOS DESLIZANTES -(II)")</f>
        <v>ARQUIVOS DESLIZANTES -(II)</v>
      </c>
      <c r="C763" s="86">
        <f>IFERROR(__xludf.DUMMYFUNCTION("""COMPUTED_VALUE"""),1.0)</f>
        <v>1</v>
      </c>
      <c r="D763" s="87" t="str">
        <f>IFERROR(__xludf.DUMMYFUNCTION("""COMPUTED_VALUE"""),"SEÇÃO")</f>
        <v>SEÇÃO</v>
      </c>
      <c r="E763" s="87" t="str">
        <f>IFERROR(__xludf.DUMMYFUNCTION("""COMPUTED_VALUE"""),"3 - PPV")</f>
        <v>3 - PPV</v>
      </c>
      <c r="F763" s="88" t="str">
        <f>IFERROR(__xludf.DUMMYFUNCTION("""COMPUTED_VALUE"""),"ARQUIVO")</f>
        <v>ARQUIVO</v>
      </c>
      <c r="G763" s="89">
        <f>IFERROR(__xludf.DUMMYFUNCTION("""COMPUTED_VALUE"""),1.3765019E7)</f>
        <v>13765019</v>
      </c>
      <c r="H763" s="87"/>
      <c r="I763" s="87"/>
    </row>
    <row r="764">
      <c r="A764" s="84">
        <f>IFERROR(__xludf.DUMMYFUNCTION("""COMPUTED_VALUE"""),763.0)</f>
        <v>763</v>
      </c>
      <c r="B764" s="85" t="str">
        <f>IFERROR(__xludf.DUMMYFUNCTION("""COMPUTED_VALUE"""),"ARQUIVO PARA ESCRITORIO -(II)")</f>
        <v>ARQUIVO PARA ESCRITORIO -(II)</v>
      </c>
      <c r="C764" s="86">
        <f>IFERROR(__xludf.DUMMYFUNCTION("""COMPUTED_VALUE"""),1.0)</f>
        <v>1</v>
      </c>
      <c r="D764" s="87" t="str">
        <f>IFERROR(__xludf.DUMMYFUNCTION("""COMPUTED_VALUE"""),"SEÇÃO")</f>
        <v>SEÇÃO</v>
      </c>
      <c r="E764" s="87" t="str">
        <f>IFERROR(__xludf.DUMMYFUNCTION("""COMPUTED_VALUE"""),"3 - PPV")</f>
        <v>3 - PPV</v>
      </c>
      <c r="F764" s="88" t="str">
        <f>IFERROR(__xludf.DUMMYFUNCTION("""COMPUTED_VALUE"""),"ARQUIVO")</f>
        <v>ARQUIVO</v>
      </c>
      <c r="G764" s="89">
        <f>IFERROR(__xludf.DUMMYFUNCTION("""COMPUTED_VALUE"""),1.3766465E7)</f>
        <v>13766465</v>
      </c>
      <c r="H764" s="87"/>
      <c r="I764" s="87"/>
    </row>
    <row r="765">
      <c r="A765" s="84">
        <f>IFERROR(__xludf.DUMMYFUNCTION("""COMPUTED_VALUE"""),764.0)</f>
        <v>764</v>
      </c>
      <c r="B765" s="85" t="str">
        <f>IFERROR(__xludf.DUMMYFUNCTION("""COMPUTED_VALUE"""),"CADEIRA PARA ESCRITORIO -(II)")</f>
        <v>CADEIRA PARA ESCRITORIO -(II)</v>
      </c>
      <c r="C765" s="86">
        <f>IFERROR(__xludf.DUMMYFUNCTION("""COMPUTED_VALUE"""),1.0)</f>
        <v>1</v>
      </c>
      <c r="D765" s="87" t="str">
        <f>IFERROR(__xludf.DUMMYFUNCTION("""COMPUTED_VALUE"""),"SEÇÃO")</f>
        <v>SEÇÃO</v>
      </c>
      <c r="E765" s="87" t="str">
        <f>IFERROR(__xludf.DUMMYFUNCTION("""COMPUTED_VALUE"""),"3 - DESCARGA")</f>
        <v>3 - DESCARGA</v>
      </c>
      <c r="F765" s="88"/>
      <c r="G765" s="89">
        <f>IFERROR(__xludf.DUMMYFUNCTION("""COMPUTED_VALUE"""),1.3769111E7)</f>
        <v>13769111</v>
      </c>
      <c r="H765" s="87"/>
      <c r="I765" s="87" t="str">
        <f>IFERROR(__xludf.DUMMYFUNCTION("""COMPUTED_VALUE"""),"MATERIAL DESCARREGADO - PROCESSO Nº 1400.01.0026473/2023-04")</f>
        <v>MATERIAL DESCARREGADO - PROCESSO Nº 1400.01.0026473/2023-04</v>
      </c>
    </row>
    <row r="766">
      <c r="A766" s="84">
        <f>IFERROR(__xludf.DUMMYFUNCTION("""COMPUTED_VALUE"""),765.0)</f>
        <v>765</v>
      </c>
      <c r="B766" s="85" t="str">
        <f>IFERROR(__xludf.DUMMYFUNCTION("""COMPUTED_VALUE"""),"EXTINTOR DE INCENDIO -")</f>
        <v>EXTINTOR DE INCENDIO -</v>
      </c>
      <c r="C766" s="86">
        <f>IFERROR(__xludf.DUMMYFUNCTION("""COMPUTED_VALUE"""),1.0)</f>
        <v>1</v>
      </c>
      <c r="D766" s="87" t="str">
        <f>IFERROR(__xludf.DUMMYFUNCTION("""COMPUTED_VALUE"""),"SEÇÃO")</f>
        <v>SEÇÃO</v>
      </c>
      <c r="E766" s="87" t="str">
        <f>IFERROR(__xludf.DUMMYFUNCTION("""COMPUTED_VALUE"""),"3 - DESCARGA")</f>
        <v>3 - DESCARGA</v>
      </c>
      <c r="F766" s="88"/>
      <c r="G766" s="89">
        <f>IFERROR(__xludf.DUMMYFUNCTION("""COMPUTED_VALUE"""),1.3879499E7)</f>
        <v>13879499</v>
      </c>
      <c r="H766" s="87" t="str">
        <f>IFERROR(__xludf.DUMMYFUNCTION("""COMPUTED_VALUE"""),"Tipo A:B:C 12 Kg")</f>
        <v>Tipo A:B:C 12 Kg</v>
      </c>
      <c r="I766" s="87" t="str">
        <f>IFERROR(__xludf.DUMMYFUNCTION("""COMPUTED_VALUE"""),"MATERIAL DESCARREGADO - PROCESSO Nº 1400.01.0026473/2023-04")</f>
        <v>MATERIAL DESCARREGADO - PROCESSO Nº 1400.01.0026473/2023-04</v>
      </c>
    </row>
    <row r="767">
      <c r="A767" s="84">
        <f>IFERROR(__xludf.DUMMYFUNCTION("""COMPUTED_VALUE"""),766.0)</f>
        <v>766</v>
      </c>
      <c r="B767" s="85" t="str">
        <f>IFERROR(__xludf.DUMMYFUNCTION("""COMPUTED_VALUE"""),"EXTINTOR DE INCENDIO -")</f>
        <v>EXTINTOR DE INCENDIO -</v>
      </c>
      <c r="C767" s="86">
        <f>IFERROR(__xludf.DUMMYFUNCTION("""COMPUTED_VALUE"""),1.0)</f>
        <v>1</v>
      </c>
      <c r="D767" s="87" t="str">
        <f>IFERROR(__xludf.DUMMYFUNCTION("""COMPUTED_VALUE"""),"SEÇÃO")</f>
        <v>SEÇÃO</v>
      </c>
      <c r="E767" s="87" t="str">
        <f>IFERROR(__xludf.DUMMYFUNCTION("""COMPUTED_VALUE"""),"3 - DESCARGA")</f>
        <v>3 - DESCARGA</v>
      </c>
      <c r="F767" s="88"/>
      <c r="G767" s="89">
        <f>IFERROR(__xludf.DUMMYFUNCTION("""COMPUTED_VALUE"""),1.3879545E7)</f>
        <v>13879545</v>
      </c>
      <c r="H767" s="87" t="str">
        <f>IFERROR(__xludf.DUMMYFUNCTION("""COMPUTED_VALUE"""),"Tipo B:C 12 Kg")</f>
        <v>Tipo B:C 12 Kg</v>
      </c>
      <c r="I767" s="87" t="str">
        <f>IFERROR(__xludf.DUMMYFUNCTION("""COMPUTED_VALUE"""),"MATERIAL DESCARREGADO - PROCESSO Nº 1400.01.0026473/2023-04")</f>
        <v>MATERIAL DESCARREGADO - PROCESSO Nº 1400.01.0026473/2023-04</v>
      </c>
    </row>
    <row r="768">
      <c r="A768" s="84">
        <f>IFERROR(__xludf.DUMMYFUNCTION("""COMPUTED_VALUE"""),767.0)</f>
        <v>767</v>
      </c>
      <c r="B768" s="85" t="str">
        <f>IFERROR(__xludf.DUMMYFUNCTION("""COMPUTED_VALUE"""),"COMPUTADOR -")</f>
        <v>COMPUTADOR -</v>
      </c>
      <c r="C768" s="86">
        <f>IFERROR(__xludf.DUMMYFUNCTION("""COMPUTED_VALUE"""),1.0)</f>
        <v>1</v>
      </c>
      <c r="D768" s="87" t="str">
        <f>IFERROR(__xludf.DUMMYFUNCTION("""COMPUTED_VALUE"""),"SEÇÃO")</f>
        <v>SEÇÃO</v>
      </c>
      <c r="E768" s="87" t="str">
        <f>IFERROR(__xludf.DUMMYFUNCTION("""COMPUTED_VALUE"""),"3 - DESCARGA")</f>
        <v>3 - DESCARGA</v>
      </c>
      <c r="F768" s="88"/>
      <c r="G768" s="89">
        <f>IFERROR(__xludf.DUMMYFUNCTION("""COMPUTED_VALUE"""),1.3990896E7)</f>
        <v>13990896</v>
      </c>
      <c r="H768" s="87"/>
      <c r="I768" s="87" t="str">
        <f>IFERROR(__xludf.DUMMYFUNCTION("""COMPUTED_VALUE"""),"MATERIAL DESCARREGADO - PROCESSO Nº 1400.01.0026473/2023-04")</f>
        <v>MATERIAL DESCARREGADO - PROCESSO Nº 1400.01.0026473/2023-04</v>
      </c>
    </row>
    <row r="769">
      <c r="A769" s="84">
        <f>IFERROR(__xludf.DUMMYFUNCTION("""COMPUTED_VALUE"""),768.0)</f>
        <v>768</v>
      </c>
      <c r="B769" s="85" t="str">
        <f>IFERROR(__xludf.DUMMYFUNCTION("""COMPUTED_VALUE"""),"RADIO TRANSCEPTOR -")</f>
        <v>RADIO TRANSCEPTOR -</v>
      </c>
      <c r="C769" s="86">
        <f>IFERROR(__xludf.DUMMYFUNCTION("""COMPUTED_VALUE"""),1.0)</f>
        <v>1</v>
      </c>
      <c r="D769" s="87" t="str">
        <f>IFERROR(__xludf.DUMMYFUNCTION("""COMPUTED_VALUE"""),"SEÇÃO")</f>
        <v>SEÇÃO</v>
      </c>
      <c r="E769" s="87"/>
      <c r="F769" s="88"/>
      <c r="G769" s="89">
        <f>IFERROR(__xludf.DUMMYFUNCTION("""COMPUTED_VALUE"""),1.3997157E7)</f>
        <v>13997157</v>
      </c>
      <c r="H769" s="87"/>
      <c r="I769" s="87" t="str">
        <f>IFERROR(__xludf.DUMMYFUNCTION("""COMPUTED_VALUE"""),"Transferido para o 2ºBBM")</f>
        <v>Transferido para o 2ºBBM</v>
      </c>
    </row>
    <row r="770">
      <c r="A770" s="84">
        <f>IFERROR(__xludf.DUMMYFUNCTION("""COMPUTED_VALUE"""),769.0)</f>
        <v>769</v>
      </c>
      <c r="B770" s="85" t="str">
        <f>IFERROR(__xludf.DUMMYFUNCTION("""COMPUTED_VALUE"""),"IMPRESSORA -")</f>
        <v>IMPRESSORA -</v>
      </c>
      <c r="C770" s="86">
        <f>IFERROR(__xludf.DUMMYFUNCTION("""COMPUTED_VALUE"""),1.0)</f>
        <v>1</v>
      </c>
      <c r="D770" s="87" t="str">
        <f>IFERROR(__xludf.DUMMYFUNCTION("""COMPUTED_VALUE"""),"SEÇÃO")</f>
        <v>SEÇÃO</v>
      </c>
      <c r="E770" s="87" t="str">
        <f>IFERROR(__xludf.DUMMYFUNCTION("""COMPUTED_VALUE"""),"3 - DESCARGA")</f>
        <v>3 - DESCARGA</v>
      </c>
      <c r="F770" s="88"/>
      <c r="G770" s="89">
        <f>IFERROR(__xludf.DUMMYFUNCTION("""COMPUTED_VALUE"""),1.4080842E7)</f>
        <v>14080842</v>
      </c>
      <c r="H770" s="87"/>
      <c r="I770" s="87" t="str">
        <f>IFERROR(__xludf.DUMMYFUNCTION("""COMPUTED_VALUE"""),"MATERIAL DESCARREGADO - PROCESSO Nº 1400.01.0026473/2023-04")</f>
        <v>MATERIAL DESCARREGADO - PROCESSO Nº 1400.01.0026473/2023-04</v>
      </c>
    </row>
    <row r="771">
      <c r="A771" s="84">
        <f>IFERROR(__xludf.DUMMYFUNCTION("""COMPUTED_VALUE"""),770.0)</f>
        <v>770</v>
      </c>
      <c r="B771" s="85" t="str">
        <f>IFERROR(__xludf.DUMMYFUNCTION("""COMPUTED_VALUE"""),"MESA PARA ESCRITORIO (II) -")</f>
        <v>MESA PARA ESCRITORIO (II) -</v>
      </c>
      <c r="C771" s="86">
        <f>IFERROR(__xludf.DUMMYFUNCTION("""COMPUTED_VALUE"""),1.0)</f>
        <v>1</v>
      </c>
      <c r="D771" s="87" t="str">
        <f>IFERROR(__xludf.DUMMYFUNCTION("""COMPUTED_VALUE"""),"SEÇÃO")</f>
        <v>SEÇÃO</v>
      </c>
      <c r="E771" s="87" t="str">
        <f>IFERROR(__xludf.DUMMYFUNCTION("""COMPUTED_VALUE"""),"3 - CARTÓRIO")</f>
        <v>3 - CARTÓRIO</v>
      </c>
      <c r="F771" s="88"/>
      <c r="G771" s="89">
        <f>IFERROR(__xludf.DUMMYFUNCTION("""COMPUTED_VALUE"""),1.462138E7)</f>
        <v>14621380</v>
      </c>
      <c r="H771" s="87"/>
      <c r="I771" s="87" t="str">
        <f>IFERROR(__xludf.DUMMYFUNCTION("""COMPUTED_VALUE"""),"antessala ")</f>
        <v>antessala </v>
      </c>
    </row>
    <row r="772">
      <c r="A772" s="84">
        <f>IFERROR(__xludf.DUMMYFUNCTION("""COMPUTED_VALUE"""),771.0)</f>
        <v>771</v>
      </c>
      <c r="B772" s="85" t="str">
        <f>IFERROR(__xludf.DUMMYFUNCTION("""COMPUTED_VALUE"""),"MESA PARA ESCRITORIO (II) -")</f>
        <v>MESA PARA ESCRITORIO (II) -</v>
      </c>
      <c r="C772" s="86">
        <f>IFERROR(__xludf.DUMMYFUNCTION("""COMPUTED_VALUE"""),1.0)</f>
        <v>1</v>
      </c>
      <c r="D772" s="87" t="str">
        <f>IFERROR(__xludf.DUMMYFUNCTION("""COMPUTED_VALUE"""),"SEÇÃO")</f>
        <v>SEÇÃO</v>
      </c>
      <c r="E772" s="87" t="str">
        <f>IFERROR(__xludf.DUMMYFUNCTION("""COMPUTED_VALUE"""),"3 - DESCARGA")</f>
        <v>3 - DESCARGA</v>
      </c>
      <c r="F772" s="88"/>
      <c r="G772" s="89">
        <f>IFERROR(__xludf.DUMMYFUNCTION("""COMPUTED_VALUE"""),1.4621584E7)</f>
        <v>14621584</v>
      </c>
      <c r="H772" s="87"/>
      <c r="I772" s="87" t="str">
        <f>IFERROR(__xludf.DUMMYFUNCTION("""COMPUTED_VALUE"""),"MATERIAL DESCARREGADO - PROCESSO Nº 1400.01.0026473/2023-04")</f>
        <v>MATERIAL DESCARREGADO - PROCESSO Nº 1400.01.0026473/2023-04</v>
      </c>
    </row>
    <row r="773">
      <c r="A773" s="84">
        <f>IFERROR(__xludf.DUMMYFUNCTION("""COMPUTED_VALUE"""),772.0)</f>
        <v>772</v>
      </c>
      <c r="B773" s="85" t="str">
        <f>IFERROR(__xludf.DUMMYFUNCTION("""COMPUTED_VALUE"""),"MESA PARA ESCRITORIO (II) -")</f>
        <v>MESA PARA ESCRITORIO (II) -</v>
      </c>
      <c r="C773" s="86">
        <f>IFERROR(__xludf.DUMMYFUNCTION("""COMPUTED_VALUE"""),1.0)</f>
        <v>1</v>
      </c>
      <c r="D773" s="87" t="str">
        <f>IFERROR(__xludf.DUMMYFUNCTION("""COMPUTED_VALUE"""),"SEÇÃO")</f>
        <v>SEÇÃO</v>
      </c>
      <c r="E773" s="87" t="str">
        <f>IFERROR(__xludf.DUMMYFUNCTION("""COMPUTED_VALUE"""),"3 - ALMOX. ESTOQUE")</f>
        <v>3 - ALMOX. ESTOQUE</v>
      </c>
      <c r="F773" s="88"/>
      <c r="G773" s="89">
        <f>IFERROR(__xludf.DUMMYFUNCTION("""COMPUTED_VALUE"""),1.5010481E7)</f>
        <v>15010481</v>
      </c>
      <c r="H773" s="87"/>
      <c r="I773" s="87"/>
    </row>
    <row r="774">
      <c r="A774" s="84">
        <f>IFERROR(__xludf.DUMMYFUNCTION("""COMPUTED_VALUE"""),773.0)</f>
        <v>773</v>
      </c>
      <c r="B774" s="85" t="str">
        <f>IFERROR(__xludf.DUMMYFUNCTION("""COMPUTED_VALUE"""),"MESA PARA IMPRESSORA - (II)")</f>
        <v>MESA PARA IMPRESSORA - (II)</v>
      </c>
      <c r="C774" s="86">
        <f>IFERROR(__xludf.DUMMYFUNCTION("""COMPUTED_VALUE"""),1.0)</f>
        <v>1</v>
      </c>
      <c r="D774" s="87" t="str">
        <f>IFERROR(__xludf.DUMMYFUNCTION("""COMPUTED_VALUE"""),"SEÇÃO")</f>
        <v>SEÇÃO</v>
      </c>
      <c r="E774" s="87" t="str">
        <f>IFERROR(__xludf.DUMMYFUNCTION("""COMPUTED_VALUE"""),"3 - COMANDANTE")</f>
        <v>3 - COMANDANTE</v>
      </c>
      <c r="F774" s="88"/>
      <c r="G774" s="89">
        <f>IFERROR(__xludf.DUMMYFUNCTION("""COMPUTED_VALUE"""),1.5165361E7)</f>
        <v>15165361</v>
      </c>
      <c r="H774" s="87"/>
      <c r="I774" s="87"/>
    </row>
    <row r="775">
      <c r="A775" s="84">
        <f>IFERROR(__xludf.DUMMYFUNCTION("""COMPUTED_VALUE"""),774.0)</f>
        <v>774</v>
      </c>
      <c r="B775" s="85" t="str">
        <f>IFERROR(__xludf.DUMMYFUNCTION("""COMPUTED_VALUE"""),"CADEIRA PARA ESCRITORIO -(III)")</f>
        <v>CADEIRA PARA ESCRITORIO -(III)</v>
      </c>
      <c r="C775" s="86">
        <f>IFERROR(__xludf.DUMMYFUNCTION("""COMPUTED_VALUE"""),1.0)</f>
        <v>1</v>
      </c>
      <c r="D775" s="87" t="str">
        <f>IFERROR(__xludf.DUMMYFUNCTION("""COMPUTED_VALUE"""),"SEÇÃO")</f>
        <v>SEÇÃO</v>
      </c>
      <c r="E775" s="87" t="str">
        <f>IFERROR(__xludf.DUMMYFUNCTION("""COMPUTED_VALUE"""),"3 - SUB COMANDANTE")</f>
        <v>3 - SUB COMANDANTE</v>
      </c>
      <c r="F775" s="88"/>
      <c r="G775" s="89">
        <f>IFERROR(__xludf.DUMMYFUNCTION("""COMPUTED_VALUE"""),2.2944508E7)</f>
        <v>22944508</v>
      </c>
      <c r="H775" s="87"/>
      <c r="I775" s="87"/>
    </row>
    <row r="776">
      <c r="A776" s="84">
        <f>IFERROR(__xludf.DUMMYFUNCTION("""COMPUTED_VALUE"""),775.0)</f>
        <v>775</v>
      </c>
      <c r="B776" s="85" t="str">
        <f>IFERROR(__xludf.DUMMYFUNCTION("""COMPUTED_VALUE"""),"ESTANTE PARA ALMOXARIFADO -(III)")</f>
        <v>ESTANTE PARA ALMOXARIFADO -(III)</v>
      </c>
      <c r="C776" s="86">
        <f>IFERROR(__xludf.DUMMYFUNCTION("""COMPUTED_VALUE"""),1.0)</f>
        <v>1</v>
      </c>
      <c r="D776" s="87" t="str">
        <f>IFERROR(__xludf.DUMMYFUNCTION("""COMPUTED_VALUE"""),"SEÇÃO")</f>
        <v>SEÇÃO</v>
      </c>
      <c r="E776" s="87" t="str">
        <f>IFERROR(__xludf.DUMMYFUNCTION("""COMPUTED_VALUE"""),"3 - ALMOX. ESTOQUE")</f>
        <v>3 - ALMOX. ESTOQUE</v>
      </c>
      <c r="F776" s="88" t="str">
        <f>IFERROR(__xludf.DUMMYFUNCTION("""COMPUTED_VALUE"""),"BANHEIRO PCD (SEDE)")</f>
        <v>BANHEIRO PCD (SEDE)</v>
      </c>
      <c r="G776" s="89">
        <f>IFERROR(__xludf.DUMMYFUNCTION("""COMPUTED_VALUE"""),3.5450592E7)</f>
        <v>35450592</v>
      </c>
      <c r="H776" s="87"/>
      <c r="I776" s="87"/>
    </row>
    <row r="777">
      <c r="A777" s="84">
        <f>IFERROR(__xludf.DUMMYFUNCTION("""COMPUTED_VALUE"""),776.0)</f>
        <v>776</v>
      </c>
      <c r="B777" s="85" t="str">
        <f>IFERROR(__xludf.DUMMYFUNCTION("""COMPUTED_VALUE"""),"ESTANTE PARA ALMOXARIFADO -(III)")</f>
        <v>ESTANTE PARA ALMOXARIFADO -(III)</v>
      </c>
      <c r="C777" s="86">
        <f>IFERROR(__xludf.DUMMYFUNCTION("""COMPUTED_VALUE"""),1.0)</f>
        <v>1</v>
      </c>
      <c r="D777" s="87" t="str">
        <f>IFERROR(__xludf.DUMMYFUNCTION("""COMPUTED_VALUE"""),"SEÇÃO")</f>
        <v>SEÇÃO</v>
      </c>
      <c r="E777" s="87" t="str">
        <f>IFERROR(__xludf.DUMMYFUNCTION("""COMPUTED_VALUE"""),"3 - PPV")</f>
        <v>3 - PPV</v>
      </c>
      <c r="F777" s="88" t="str">
        <f>IFERROR(__xludf.DUMMYFUNCTION("""COMPUTED_VALUE"""),"ARQUIVO")</f>
        <v>ARQUIVO</v>
      </c>
      <c r="G777" s="89">
        <f>IFERROR(__xludf.DUMMYFUNCTION("""COMPUTED_VALUE"""),3.5450983E7)</f>
        <v>35450983</v>
      </c>
      <c r="H777" s="87"/>
      <c r="I777" s="87"/>
    </row>
    <row r="778">
      <c r="A778" s="84">
        <f>IFERROR(__xludf.DUMMYFUNCTION("""COMPUTED_VALUE"""),777.0)</f>
        <v>777</v>
      </c>
      <c r="B778" s="85" t="str">
        <f>IFERROR(__xludf.DUMMYFUNCTION("""COMPUTED_VALUE"""),"ROTEADOR PARA REDE WIRELLES -")</f>
        <v>ROTEADOR PARA REDE WIRELLES -</v>
      </c>
      <c r="C778" s="86">
        <f>IFERROR(__xludf.DUMMYFUNCTION("""COMPUTED_VALUE"""),1.0)</f>
        <v>1</v>
      </c>
      <c r="D778" s="87" t="str">
        <f>IFERROR(__xludf.DUMMYFUNCTION("""COMPUTED_VALUE"""),"SEÇÃO")</f>
        <v>SEÇÃO</v>
      </c>
      <c r="E778" s="87" t="str">
        <f>IFERROR(__xludf.DUMMYFUNCTION("""COMPUTED_VALUE"""),"3 - DESCARGA")</f>
        <v>3 - DESCARGA</v>
      </c>
      <c r="F778" s="88"/>
      <c r="G778" s="89">
        <f>IFERROR(__xludf.DUMMYFUNCTION("""COMPUTED_VALUE"""),4.0078574E7)</f>
        <v>40078574</v>
      </c>
      <c r="H778" s="87"/>
      <c r="I778" s="87" t="str">
        <f>IFERROR(__xludf.DUMMYFUNCTION("""COMPUTED_VALUE"""),"MATERIAL DESCARREGADO - PROCESSO Nº 1400.01.0026473/2023-04")</f>
        <v>MATERIAL DESCARREGADO - PROCESSO Nº 1400.01.0026473/2023-04</v>
      </c>
    </row>
    <row r="779">
      <c r="A779" s="84">
        <f>IFERROR(__xludf.DUMMYFUNCTION("""COMPUTED_VALUE"""),778.0)</f>
        <v>778</v>
      </c>
      <c r="B779" s="85" t="str">
        <f>IFERROR(__xludf.DUMMYFUNCTION("""COMPUTED_VALUE"""),"ESTABILIZADOR ELETRONICO DE TENSAO -")</f>
        <v>ESTABILIZADOR ELETRONICO DE TENSAO -</v>
      </c>
      <c r="C779" s="86">
        <f>IFERROR(__xludf.DUMMYFUNCTION("""COMPUTED_VALUE"""),1.0)</f>
        <v>1</v>
      </c>
      <c r="D779" s="87" t="str">
        <f>IFERROR(__xludf.DUMMYFUNCTION("""COMPUTED_VALUE"""),"SEÇÃO")</f>
        <v>SEÇÃO</v>
      </c>
      <c r="E779" s="87" t="str">
        <f>IFERROR(__xludf.DUMMYFUNCTION("""COMPUTED_VALUE"""),"3 - CARTÓRIO")</f>
        <v>3 - CARTÓRIO</v>
      </c>
      <c r="F779" s="88" t="str">
        <f>IFERROR(__xludf.DUMMYFUNCTION("""COMPUTED_VALUE"""),"PROTOCOLO")</f>
        <v>PROTOCOLO</v>
      </c>
      <c r="G779" s="89">
        <f>IFERROR(__xludf.DUMMYFUNCTION("""COMPUTED_VALUE"""),4.0088375E7)</f>
        <v>40088375</v>
      </c>
      <c r="H779" s="87"/>
      <c r="I779" s="87"/>
    </row>
    <row r="780">
      <c r="A780" s="84">
        <f>IFERROR(__xludf.DUMMYFUNCTION("""COMPUTED_VALUE"""),779.0)</f>
        <v>779</v>
      </c>
      <c r="B780" s="85" t="str">
        <f>IFERROR(__xludf.DUMMYFUNCTION("""COMPUTED_VALUE"""),"ESTABILIZADOR ELETRONICO DE TENSAO -")</f>
        <v>ESTABILIZADOR ELETRONICO DE TENSAO -</v>
      </c>
      <c r="C780" s="86">
        <f>IFERROR(__xludf.DUMMYFUNCTION("""COMPUTED_VALUE"""),1.0)</f>
        <v>1</v>
      </c>
      <c r="D780" s="87" t="str">
        <f>IFERROR(__xludf.DUMMYFUNCTION("""COMPUTED_VALUE"""),"SEÇÃO")</f>
        <v>SEÇÃO</v>
      </c>
      <c r="E780" s="87" t="str">
        <f>IFERROR(__xludf.DUMMYFUNCTION("""COMPUTED_VALUE"""),"3 - SEPLAN")</f>
        <v>3 - SEPLAN</v>
      </c>
      <c r="F780" s="88"/>
      <c r="G780" s="89">
        <f>IFERROR(__xludf.DUMMYFUNCTION("""COMPUTED_VALUE"""),4.0088421E7)</f>
        <v>40088421</v>
      </c>
      <c r="H780" s="87"/>
      <c r="I780" s="87" t="str">
        <f>IFERROR(__xludf.DUMMYFUNCTION("""COMPUTED_VALUE""")," EM PROCESSO DE DESCARGA SEI-1400.01.0026473/2023-03")</f>
        <v> EM PROCESSO DE DESCARGA SEI-1400.01.0026473/2023-03</v>
      </c>
    </row>
    <row r="781">
      <c r="A781" s="84">
        <f>IFERROR(__xludf.DUMMYFUNCTION("""COMPUTED_VALUE"""),780.0)</f>
        <v>780</v>
      </c>
      <c r="B781" s="85" t="str">
        <f>IFERROR(__xludf.DUMMYFUNCTION("""COMPUTED_VALUE"""),"ESTABILIZADOR ELETRONICO DE TENSAO -")</f>
        <v>ESTABILIZADOR ELETRONICO DE TENSAO -</v>
      </c>
      <c r="C781" s="86">
        <f>IFERROR(__xludf.DUMMYFUNCTION("""COMPUTED_VALUE"""),1.0)</f>
        <v>1</v>
      </c>
      <c r="D781" s="87" t="str">
        <f>IFERROR(__xludf.DUMMYFUNCTION("""COMPUTED_VALUE"""),"SEÇÃO")</f>
        <v>SEÇÃO</v>
      </c>
      <c r="E781" s="87" t="str">
        <f>IFERROR(__xludf.DUMMYFUNCTION("""COMPUTED_VALUE"""),"3 - DESCARGA")</f>
        <v>3 - DESCARGA</v>
      </c>
      <c r="F781" s="88"/>
      <c r="G781" s="89">
        <f>IFERROR(__xludf.DUMMYFUNCTION("""COMPUTED_VALUE"""),4.0088448E7)</f>
        <v>40088448</v>
      </c>
      <c r="H781" s="87"/>
      <c r="I781" s="87" t="str">
        <f>IFERROR(__xludf.DUMMYFUNCTION("""COMPUTED_VALUE"""),"MATERIAL DESCARREGADO - PROCESSO Nº 1400.01.0026473/2023-04")</f>
        <v>MATERIAL DESCARREGADO - PROCESSO Nº 1400.01.0026473/2023-04</v>
      </c>
    </row>
    <row r="782">
      <c r="A782" s="84">
        <f>IFERROR(__xludf.DUMMYFUNCTION("""COMPUTED_VALUE"""),781.0)</f>
        <v>781</v>
      </c>
      <c r="B782" s="85" t="str">
        <f>IFERROR(__xludf.DUMMYFUNCTION("""COMPUTED_VALUE"""),"CADEIRA -")</f>
        <v>CADEIRA -</v>
      </c>
      <c r="C782" s="86">
        <f>IFERROR(__xludf.DUMMYFUNCTION("""COMPUTED_VALUE"""),1.0)</f>
        <v>1</v>
      </c>
      <c r="D782" s="87" t="str">
        <f>IFERROR(__xludf.DUMMYFUNCTION("""COMPUTED_VALUE"""),"SEÇÃO")</f>
        <v>SEÇÃO</v>
      </c>
      <c r="E782" s="87" t="str">
        <f>IFERROR(__xludf.DUMMYFUNCTION("""COMPUTED_VALUE"""),"3 - SUPRIMENTOS")</f>
        <v>3 - SUPRIMENTOS</v>
      </c>
      <c r="F782" s="88"/>
      <c r="G782" s="89">
        <f>IFERROR(__xludf.DUMMYFUNCTION("""COMPUTED_VALUE"""),4.0094138E7)</f>
        <v>40094138</v>
      </c>
      <c r="H782" s="87"/>
      <c r="I782" s="87"/>
    </row>
    <row r="783">
      <c r="A783" s="84">
        <f>IFERROR(__xludf.DUMMYFUNCTION("""COMPUTED_VALUE"""),782.0)</f>
        <v>782</v>
      </c>
      <c r="B783" s="85" t="str">
        <f>IFERROR(__xludf.DUMMYFUNCTION("""COMPUTED_VALUE"""),"CADEIRA -")</f>
        <v>CADEIRA -</v>
      </c>
      <c r="C783" s="86">
        <f>IFERROR(__xludf.DUMMYFUNCTION("""COMPUTED_VALUE"""),1.0)</f>
        <v>1</v>
      </c>
      <c r="D783" s="87" t="str">
        <f>IFERROR(__xludf.DUMMYFUNCTION("""COMPUTED_VALUE"""),"SEÇÃO")</f>
        <v>SEÇÃO</v>
      </c>
      <c r="E783" s="87" t="str">
        <f>IFERROR(__xludf.DUMMYFUNCTION("""COMPUTED_VALUE"""),"3 - REFEITÓRIO (SEDE)")</f>
        <v>3 - REFEITÓRIO (SEDE)</v>
      </c>
      <c r="F783" s="88"/>
      <c r="G783" s="89">
        <f>IFERROR(__xludf.DUMMYFUNCTION("""COMPUTED_VALUE"""),4.0094626E7)</f>
        <v>40094626</v>
      </c>
      <c r="H783" s="87"/>
      <c r="I783" s="87"/>
    </row>
    <row r="784">
      <c r="A784" s="84">
        <f>IFERROR(__xludf.DUMMYFUNCTION("""COMPUTED_VALUE"""),783.0)</f>
        <v>783</v>
      </c>
      <c r="B784" s="85" t="str">
        <f>IFERROR(__xludf.DUMMYFUNCTION("""COMPUTED_VALUE"""),"AR CONDICIONADO -")</f>
        <v>AR CONDICIONADO -</v>
      </c>
      <c r="C784" s="86">
        <f>IFERROR(__xludf.DUMMYFUNCTION("""COMPUTED_VALUE"""),1.0)</f>
        <v>1</v>
      </c>
      <c r="D784" s="87" t="str">
        <f>IFERROR(__xludf.DUMMYFUNCTION("""COMPUTED_VALUE"""),"SEÇÃO")</f>
        <v>SEÇÃO</v>
      </c>
      <c r="E784" s="87" t="str">
        <f>IFERROR(__xludf.DUMMYFUNCTION("""COMPUTED_VALUE"""),"3 - 1ª CIA OP")</f>
        <v>3 - 1ª CIA OP</v>
      </c>
      <c r="F784" s="88" t="str">
        <f>IFERROR(__xludf.DUMMYFUNCTION("""COMPUTED_VALUE"""),"CPD")</f>
        <v>CPD</v>
      </c>
      <c r="G784" s="89">
        <f>IFERROR(__xludf.DUMMYFUNCTION("""COMPUTED_VALUE"""),4.0109895E7)</f>
        <v>40109895</v>
      </c>
      <c r="H784" s="87"/>
      <c r="I784" s="87" t="str">
        <f>IFERROR(__xludf.DUMMYFUNCTION("""COMPUTED_VALUE"""),"não está funcionando.")</f>
        <v>não está funcionando.</v>
      </c>
    </row>
    <row r="785">
      <c r="A785" s="84">
        <f>IFERROR(__xludf.DUMMYFUNCTION("""COMPUTED_VALUE"""),784.0)</f>
        <v>784</v>
      </c>
      <c r="B785" s="85" t="str">
        <f>IFERROR(__xludf.DUMMYFUNCTION("""COMPUTED_VALUE"""),"AR CONDICIONADO -")</f>
        <v>AR CONDICIONADO -</v>
      </c>
      <c r="C785" s="86">
        <f>IFERROR(__xludf.DUMMYFUNCTION("""COMPUTED_VALUE"""),1.0)</f>
        <v>1</v>
      </c>
      <c r="D785" s="87" t="str">
        <f>IFERROR(__xludf.DUMMYFUNCTION("""COMPUTED_VALUE"""),"SEÇÃO")</f>
        <v>SEÇÃO</v>
      </c>
      <c r="E785" s="87" t="str">
        <f>IFERROR(__xludf.DUMMYFUNCTION("""COMPUTED_VALUE"""),"3 - 1ª CIA OP")</f>
        <v>3 - 1ª CIA OP</v>
      </c>
      <c r="F785" s="88" t="str">
        <f>IFERROR(__xludf.DUMMYFUNCTION("""COMPUTED_VALUE"""),"CPD")</f>
        <v>CPD</v>
      </c>
      <c r="G785" s="89">
        <f>IFERROR(__xludf.DUMMYFUNCTION("""COMPUTED_VALUE"""),4.0145387E7)</f>
        <v>40145387</v>
      </c>
      <c r="H785" s="87"/>
      <c r="I785" s="87" t="str">
        <f>IFERROR(__xludf.DUMMYFUNCTION("""COMPUTED_VALUE"""),"está funcionando.")</f>
        <v>está funcionando.</v>
      </c>
    </row>
    <row r="786">
      <c r="A786" s="84">
        <f>IFERROR(__xludf.DUMMYFUNCTION("""COMPUTED_VALUE"""),785.0)</f>
        <v>785</v>
      </c>
      <c r="B786" s="85" t="str">
        <f>IFERROR(__xludf.DUMMYFUNCTION("""COMPUTED_VALUE"""),"COMPUTADOR -")</f>
        <v>COMPUTADOR -</v>
      </c>
      <c r="C786" s="86">
        <f>IFERROR(__xludf.DUMMYFUNCTION("""COMPUTED_VALUE"""),1.0)</f>
        <v>1</v>
      </c>
      <c r="D786" s="87" t="str">
        <f>IFERROR(__xludf.DUMMYFUNCTION("""COMPUTED_VALUE"""),"SEÇÃO")</f>
        <v>SEÇÃO</v>
      </c>
      <c r="E786" s="87" t="str">
        <f>IFERROR(__xludf.DUMMYFUNCTION("""COMPUTED_VALUE"""),"3 - DESCARGA")</f>
        <v>3 - DESCARGA</v>
      </c>
      <c r="F786" s="88"/>
      <c r="G786" s="89">
        <f>IFERROR(__xludf.DUMMYFUNCTION("""COMPUTED_VALUE"""),4.0153878E7)</f>
        <v>40153878</v>
      </c>
      <c r="H786" s="87"/>
      <c r="I786" s="87" t="str">
        <f>IFERROR(__xludf.DUMMYFUNCTION("""COMPUTED_VALUE"""),"MATERIAL DESCARREGADO - PROCESSO Nº 1400.01.0026473/2023-04")</f>
        <v>MATERIAL DESCARREGADO - PROCESSO Nº 1400.01.0026473/2023-04</v>
      </c>
    </row>
    <row r="787">
      <c r="A787" s="84">
        <f>IFERROR(__xludf.DUMMYFUNCTION("""COMPUTED_VALUE"""),786.0)</f>
        <v>786</v>
      </c>
      <c r="B787" s="85" t="str">
        <f>IFERROR(__xludf.DUMMYFUNCTION("""COMPUTED_VALUE"""),"CADEIRA PARA ESCRITORIO -")</f>
        <v>CADEIRA PARA ESCRITORIO -</v>
      </c>
      <c r="C787" s="86">
        <f>IFERROR(__xludf.DUMMYFUNCTION("""COMPUTED_VALUE"""),1.0)</f>
        <v>1</v>
      </c>
      <c r="D787" s="87" t="str">
        <f>IFERROR(__xludf.DUMMYFUNCTION("""COMPUTED_VALUE"""),"SEÇÃO")</f>
        <v>SEÇÃO</v>
      </c>
      <c r="E787" s="87" t="str">
        <f>IFERROR(__xludf.DUMMYFUNCTION("""COMPUTED_VALUE"""),"3 - SUB COMANDANTE")</f>
        <v>3 - SUB COMANDANTE</v>
      </c>
      <c r="F787" s="88"/>
      <c r="G787" s="89">
        <f>IFERROR(__xludf.DUMMYFUNCTION("""COMPUTED_VALUE"""),4.0216411E7)</f>
        <v>40216411</v>
      </c>
      <c r="H787" s="87"/>
      <c r="I787" s="87"/>
    </row>
    <row r="788">
      <c r="A788" s="84">
        <f>IFERROR(__xludf.DUMMYFUNCTION("""COMPUTED_VALUE"""),787.0)</f>
        <v>787</v>
      </c>
      <c r="B788" s="85" t="str">
        <f>IFERROR(__xludf.DUMMYFUNCTION("""COMPUTED_VALUE"""),"CADEIRA PARA ESCRITORIO -")</f>
        <v>CADEIRA PARA ESCRITORIO -</v>
      </c>
      <c r="C788" s="86">
        <f>IFERROR(__xludf.DUMMYFUNCTION("""COMPUTED_VALUE"""),1.0)</f>
        <v>1</v>
      </c>
      <c r="D788" s="87" t="str">
        <f>IFERROR(__xludf.DUMMYFUNCTION("""COMPUTED_VALUE"""),"SEÇÃO")</f>
        <v>SEÇÃO</v>
      </c>
      <c r="E788" s="87" t="str">
        <f>IFERROR(__xludf.DUMMYFUNCTION("""COMPUTED_VALUE"""),"3 - SUB COMANDANTE")</f>
        <v>3 - SUB COMANDANTE</v>
      </c>
      <c r="F788" s="88"/>
      <c r="G788" s="89">
        <f>IFERROR(__xludf.DUMMYFUNCTION("""COMPUTED_VALUE"""),4.021642E7)</f>
        <v>40216420</v>
      </c>
      <c r="H788" s="87"/>
      <c r="I788" s="87" t="str">
        <f>IFERROR(__xludf.DUMMYFUNCTION("""COMPUTED_VALUE""")," EM PROCESSO DE DESCARGA SEI-1400.01.0026473/2023-03")</f>
        <v> EM PROCESSO DE DESCARGA SEI-1400.01.0026473/2023-03</v>
      </c>
    </row>
    <row r="789">
      <c r="A789" s="84">
        <f>IFERROR(__xludf.DUMMYFUNCTION("""COMPUTED_VALUE"""),788.0)</f>
        <v>788</v>
      </c>
      <c r="B789" s="85" t="str">
        <f>IFERROR(__xludf.DUMMYFUNCTION("""COMPUTED_VALUE"""),"ARQUIVO PARA ESCRITORIO -")</f>
        <v>ARQUIVO PARA ESCRITORIO -</v>
      </c>
      <c r="C789" s="86">
        <f>IFERROR(__xludf.DUMMYFUNCTION("""COMPUTED_VALUE"""),1.0)</f>
        <v>1</v>
      </c>
      <c r="D789" s="87" t="str">
        <f>IFERROR(__xludf.DUMMYFUNCTION("""COMPUTED_VALUE"""),"SEÇÃO")</f>
        <v>SEÇÃO</v>
      </c>
      <c r="E789" s="87" t="str">
        <f>IFERROR(__xludf.DUMMYFUNCTION("""COMPUTED_VALUE"""),"3 - PPV")</f>
        <v>3 - PPV</v>
      </c>
      <c r="F789" s="88" t="str">
        <f>IFERROR(__xludf.DUMMYFUNCTION("""COMPUTED_VALUE"""),"ARQUIVO")</f>
        <v>ARQUIVO</v>
      </c>
      <c r="G789" s="89">
        <f>IFERROR(__xludf.DUMMYFUNCTION("""COMPUTED_VALUE"""),4.0216756E7)</f>
        <v>40216756</v>
      </c>
      <c r="H789" s="87"/>
      <c r="I789" s="87"/>
    </row>
    <row r="790">
      <c r="A790" s="84">
        <f>IFERROR(__xludf.DUMMYFUNCTION("""COMPUTED_VALUE"""),789.0)</f>
        <v>789</v>
      </c>
      <c r="B790" s="85" t="str">
        <f>IFERROR(__xludf.DUMMYFUNCTION("""COMPUTED_VALUE"""),"LUXIMETRO -")</f>
        <v>LUXIMETRO -</v>
      </c>
      <c r="C790" s="86">
        <f>IFERROR(__xludf.DUMMYFUNCTION("""COMPUTED_VALUE"""),1.0)</f>
        <v>1</v>
      </c>
      <c r="D790" s="87" t="str">
        <f>IFERROR(__xludf.DUMMYFUNCTION("""COMPUTED_VALUE"""),"SEÇÃO")</f>
        <v>SEÇÃO</v>
      </c>
      <c r="E790" s="87" t="str">
        <f>IFERROR(__xludf.DUMMYFUNCTION("""COMPUTED_VALUE"""),"3 - PPV")</f>
        <v>3 - PPV</v>
      </c>
      <c r="F790" s="88"/>
      <c r="G790" s="89">
        <f>IFERROR(__xludf.DUMMYFUNCTION("""COMPUTED_VALUE"""),4.0344207E7)</f>
        <v>40344207</v>
      </c>
      <c r="H790" s="87"/>
      <c r="I790" s="87"/>
    </row>
    <row r="791">
      <c r="A791" s="84">
        <f>IFERROR(__xludf.DUMMYFUNCTION("""COMPUTED_VALUE"""),790.0)</f>
        <v>790</v>
      </c>
      <c r="B791" s="85" t="str">
        <f>IFERROR(__xludf.DUMMYFUNCTION("""COMPUTED_VALUE"""),"LUXIMETRO -")</f>
        <v>LUXIMETRO -</v>
      </c>
      <c r="C791" s="86">
        <f>IFERROR(__xludf.DUMMYFUNCTION("""COMPUTED_VALUE"""),1.0)</f>
        <v>1</v>
      </c>
      <c r="D791" s="87" t="str">
        <f>IFERROR(__xludf.DUMMYFUNCTION("""COMPUTED_VALUE"""),"SEÇÃO")</f>
        <v>SEÇÃO</v>
      </c>
      <c r="E791" s="87" t="str">
        <f>IFERROR(__xludf.DUMMYFUNCTION("""COMPUTED_VALUE"""),"3 - PPV")</f>
        <v>3 - PPV</v>
      </c>
      <c r="F791" s="88"/>
      <c r="G791" s="89">
        <f>IFERROR(__xludf.DUMMYFUNCTION("""COMPUTED_VALUE"""),4.0344215E7)</f>
        <v>40344215</v>
      </c>
      <c r="H791" s="87"/>
      <c r="I791" s="87"/>
    </row>
    <row r="792">
      <c r="A792" s="84">
        <f>IFERROR(__xludf.DUMMYFUNCTION("""COMPUTED_VALUE"""),791.0)</f>
        <v>791</v>
      </c>
      <c r="B792" s="85" t="str">
        <f>IFERROR(__xludf.DUMMYFUNCTION("""COMPUTED_VALUE"""),"TRENA ELETRONICA -")</f>
        <v>TRENA ELETRONICA -</v>
      </c>
      <c r="C792" s="86">
        <f>IFERROR(__xludf.DUMMYFUNCTION("""COMPUTED_VALUE"""),1.0)</f>
        <v>1</v>
      </c>
      <c r="D792" s="87" t="str">
        <f>IFERROR(__xludf.DUMMYFUNCTION("""COMPUTED_VALUE"""),"MILITAR")</f>
        <v>MILITAR</v>
      </c>
      <c r="E792" s="87" t="str">
        <f>IFERROR(__xludf.DUMMYFUNCTION("""COMPUTED_VALUE"""),"2 - 2º SGT LUIS FERNANDO JOSÉ FERREIRA")</f>
        <v>2 - 2º SGT LUIS FERNANDO JOSÉ FERREIRA</v>
      </c>
      <c r="F792" s="88"/>
      <c r="G792" s="89">
        <f>IFERROR(__xludf.DUMMYFUNCTION("""COMPUTED_VALUE"""),4.03448E7)</f>
        <v>40344800</v>
      </c>
      <c r="H792" s="87" t="str">
        <f>IFERROR(__xludf.DUMMYFUNCTION("""COMPUTED_VALUE"""),"N.S.412208538")</f>
        <v>N.S.412208538</v>
      </c>
      <c r="I792" s="87"/>
    </row>
    <row r="793">
      <c r="A793" s="84">
        <f>IFERROR(__xludf.DUMMYFUNCTION("""COMPUTED_VALUE"""),792.0)</f>
        <v>792</v>
      </c>
      <c r="B793" s="85" t="str">
        <f>IFERROR(__xludf.DUMMYFUNCTION("""COMPUTED_VALUE"""),"TRENA ELETRONICA -")</f>
        <v>TRENA ELETRONICA -</v>
      </c>
      <c r="C793" s="86">
        <f>IFERROR(__xludf.DUMMYFUNCTION("""COMPUTED_VALUE"""),1.0)</f>
        <v>1</v>
      </c>
      <c r="D793" s="87" t="str">
        <f>IFERROR(__xludf.DUMMYFUNCTION("""COMPUTED_VALUE"""),"SEÇÃO")</f>
        <v>SEÇÃO</v>
      </c>
      <c r="E793" s="87" t="str">
        <f>IFERROR(__xludf.DUMMYFUNCTION("""COMPUTED_VALUE"""),"3 - PPV")</f>
        <v>3 - PPV</v>
      </c>
      <c r="F793" s="88"/>
      <c r="G793" s="89">
        <f>IFERROR(__xludf.DUMMYFUNCTION("""COMPUTED_VALUE"""),4.0344819E7)</f>
        <v>40344819</v>
      </c>
      <c r="H793" s="87"/>
      <c r="I793" s="87" t="str">
        <f>IFERROR(__xludf.DUMMYFUNCTION("""COMPUTED_VALUE"""),"Para descarga na ultima gaveta do armário de madeira")</f>
        <v>Para descarga na ultima gaveta do armário de madeira</v>
      </c>
    </row>
    <row r="794">
      <c r="A794" s="84">
        <f>IFERROR(__xludf.DUMMYFUNCTION("""COMPUTED_VALUE"""),793.0)</f>
        <v>793</v>
      </c>
      <c r="B794" s="85" t="str">
        <f>IFERROR(__xludf.DUMMYFUNCTION("""COMPUTED_VALUE"""),"TRENA ELETRONICA -")</f>
        <v>TRENA ELETRONICA -</v>
      </c>
      <c r="C794" s="86">
        <f>IFERROR(__xludf.DUMMYFUNCTION("""COMPUTED_VALUE"""),1.0)</f>
        <v>1</v>
      </c>
      <c r="D794" s="87" t="str">
        <f>IFERROR(__xludf.DUMMYFUNCTION("""COMPUTED_VALUE"""),"SEÇÃO")</f>
        <v>SEÇÃO</v>
      </c>
      <c r="E794" s="87" t="str">
        <f>IFERROR(__xludf.DUMMYFUNCTION("""COMPUTED_VALUE"""),"3 - PPV")</f>
        <v>3 - PPV</v>
      </c>
      <c r="F794" s="88"/>
      <c r="G794" s="89">
        <f>IFERROR(__xludf.DUMMYFUNCTION("""COMPUTED_VALUE"""),4.0344827E7)</f>
        <v>40344827</v>
      </c>
      <c r="H794" s="87"/>
      <c r="I794" s="87" t="str">
        <f>IFERROR(__xludf.DUMMYFUNCTION("""COMPUTED_VALUE"""),"Para descarga na ultima gaveta do armário de madeira")</f>
        <v>Para descarga na ultima gaveta do armário de madeira</v>
      </c>
    </row>
    <row r="795">
      <c r="A795" s="84">
        <f>IFERROR(__xludf.DUMMYFUNCTION("""COMPUTED_VALUE"""),794.0)</f>
        <v>794</v>
      </c>
      <c r="B795" s="85" t="str">
        <f>IFERROR(__xludf.DUMMYFUNCTION("""COMPUTED_VALUE"""),"COMPUTADOR -")</f>
        <v>COMPUTADOR -</v>
      </c>
      <c r="C795" s="86">
        <f>IFERROR(__xludf.DUMMYFUNCTION("""COMPUTED_VALUE"""),1.0)</f>
        <v>1</v>
      </c>
      <c r="D795" s="87" t="str">
        <f>IFERROR(__xludf.DUMMYFUNCTION("""COMPUTED_VALUE"""),"SEÇÃO")</f>
        <v>SEÇÃO</v>
      </c>
      <c r="E795" s="87" t="str">
        <f>IFERROR(__xludf.DUMMYFUNCTION("""COMPUTED_VALUE"""),"3 - GUARDA")</f>
        <v>3 - GUARDA</v>
      </c>
      <c r="F795" s="88"/>
      <c r="G795" s="89">
        <f>IFERROR(__xludf.DUMMYFUNCTION("""COMPUTED_VALUE"""),4.035015E7)</f>
        <v>40350150</v>
      </c>
      <c r="H795" s="87"/>
      <c r="I795" s="87"/>
    </row>
    <row r="796">
      <c r="A796" s="84">
        <f>IFERROR(__xludf.DUMMYFUNCTION("""COMPUTED_VALUE"""),795.0)</f>
        <v>795</v>
      </c>
      <c r="B796" s="85" t="str">
        <f>IFERROR(__xludf.DUMMYFUNCTION("""COMPUTED_VALUE"""),"TABLET PC -")</f>
        <v>TABLET PC -</v>
      </c>
      <c r="C796" s="86">
        <f>IFERROR(__xludf.DUMMYFUNCTION("""COMPUTED_VALUE"""),1.0)</f>
        <v>1</v>
      </c>
      <c r="D796" s="87" t="str">
        <f>IFERROR(__xludf.DUMMYFUNCTION("""COMPUTED_VALUE"""),"SEÇÃO")</f>
        <v>SEÇÃO</v>
      </c>
      <c r="E796" s="87" t="str">
        <f>IFERROR(__xludf.DUMMYFUNCTION("""COMPUTED_VALUE"""),"3 - SEPLAN")</f>
        <v>3 - SEPLAN</v>
      </c>
      <c r="F796" s="88"/>
      <c r="G796" s="89">
        <f>IFERROR(__xludf.DUMMYFUNCTION("""COMPUTED_VALUE"""),4.0364119E7)</f>
        <v>40364119</v>
      </c>
      <c r="H796" s="87"/>
      <c r="I796" s="87" t="str">
        <f>IFERROR(__xludf.DUMMYFUNCTION("""COMPUTED_VALUE"""),"Tablet antigo, encontra-se com o Sgt Avelar")</f>
        <v>Tablet antigo, encontra-se com o Sgt Avelar</v>
      </c>
    </row>
    <row r="797">
      <c r="A797" s="84">
        <f>IFERROR(__xludf.DUMMYFUNCTION("""COMPUTED_VALUE"""),796.0)</f>
        <v>796</v>
      </c>
      <c r="B797" s="85" t="str">
        <f>IFERROR(__xludf.DUMMYFUNCTION("""COMPUTED_VALUE"""),"TABLET PC -")</f>
        <v>TABLET PC -</v>
      </c>
      <c r="C797" s="86">
        <f>IFERROR(__xludf.DUMMYFUNCTION("""COMPUTED_VALUE"""),1.0)</f>
        <v>1</v>
      </c>
      <c r="D797" s="87" t="str">
        <f>IFERROR(__xludf.DUMMYFUNCTION("""COMPUTED_VALUE"""),"SEÇÃO")</f>
        <v>SEÇÃO</v>
      </c>
      <c r="E797" s="87" t="str">
        <f>IFERROR(__xludf.DUMMYFUNCTION("""COMPUTED_VALUE"""),"3 - DESCARGA")</f>
        <v>3 - DESCARGA</v>
      </c>
      <c r="F797" s="88"/>
      <c r="G797" s="89">
        <f>IFERROR(__xludf.DUMMYFUNCTION("""COMPUTED_VALUE"""),4.0364224E7)</f>
        <v>40364224</v>
      </c>
      <c r="H797" s="87"/>
      <c r="I797" s="87" t="str">
        <f>IFERROR(__xludf.DUMMYFUNCTION("""COMPUTED_VALUE"""),"MATERIAL DESCARREGADO - PROCESSO Nº 1400.01.0026473/2023-01")</f>
        <v>MATERIAL DESCARREGADO - PROCESSO Nº 1400.01.0026473/2023-01</v>
      </c>
    </row>
    <row r="798">
      <c r="A798" s="84">
        <f>IFERROR(__xludf.DUMMYFUNCTION("""COMPUTED_VALUE"""),797.0)</f>
        <v>797</v>
      </c>
      <c r="B798" s="85" t="str">
        <f>IFERROR(__xludf.DUMMYFUNCTION("""COMPUTED_VALUE"""),"TABLET PC -")</f>
        <v>TABLET PC -</v>
      </c>
      <c r="C798" s="86">
        <f>IFERROR(__xludf.DUMMYFUNCTION("""COMPUTED_VALUE"""),1.0)</f>
        <v>1</v>
      </c>
      <c r="D798" s="87" t="str">
        <f>IFERROR(__xludf.DUMMYFUNCTION("""COMPUTED_VALUE"""),"SEÇÃO")</f>
        <v>SEÇÃO</v>
      </c>
      <c r="E798" s="87" t="str">
        <f>IFERROR(__xludf.DUMMYFUNCTION("""COMPUTED_VALUE"""),"3 - DESCARGA")</f>
        <v>3 - DESCARGA</v>
      </c>
      <c r="F798" s="88"/>
      <c r="G798" s="89">
        <f>IFERROR(__xludf.DUMMYFUNCTION("""COMPUTED_VALUE"""),4.036438E7)</f>
        <v>40364380</v>
      </c>
      <c r="H798" s="87"/>
      <c r="I798" s="87" t="str">
        <f>IFERROR(__xludf.DUMMYFUNCTION("""COMPUTED_VALUE"""),"MATERIAL DESCARREGADO - PROCESSO Nº 1400.01.0026473/2023-01")</f>
        <v>MATERIAL DESCARREGADO - PROCESSO Nº 1400.01.0026473/2023-01</v>
      </c>
    </row>
    <row r="799">
      <c r="A799" s="84">
        <f>IFERROR(__xludf.DUMMYFUNCTION("""COMPUTED_VALUE"""),798.0)</f>
        <v>798</v>
      </c>
      <c r="B799" s="85" t="str">
        <f>IFERROR(__xludf.DUMMYFUNCTION("""COMPUTED_VALUE"""),"FICHARIO PARA ESCRITORIO -")</f>
        <v>FICHARIO PARA ESCRITORIO -</v>
      </c>
      <c r="C799" s="86">
        <f>IFERROR(__xludf.DUMMYFUNCTION("""COMPUTED_VALUE"""),1.0)</f>
        <v>1</v>
      </c>
      <c r="D799" s="87" t="str">
        <f>IFERROR(__xludf.DUMMYFUNCTION("""COMPUTED_VALUE"""),"SEÇÃO")</f>
        <v>SEÇÃO</v>
      </c>
      <c r="E799" s="87" t="str">
        <f>IFERROR(__xludf.DUMMYFUNCTION("""COMPUTED_VALUE"""),"3 - ARMARIA")</f>
        <v>3 - ARMARIA</v>
      </c>
      <c r="F799" s="88"/>
      <c r="G799" s="89">
        <f>IFERROR(__xludf.DUMMYFUNCTION("""COMPUTED_VALUE"""),51390.0)</f>
        <v>51390</v>
      </c>
      <c r="H799" s="87"/>
      <c r="I799" s="87"/>
    </row>
    <row r="800">
      <c r="A800" s="84">
        <f>IFERROR(__xludf.DUMMYFUNCTION("""COMPUTED_VALUE"""),799.0)</f>
        <v>799</v>
      </c>
      <c r="B800" s="85" t="str">
        <f>IFERROR(__xludf.DUMMYFUNCTION("""COMPUTED_VALUE"""),"FICHARIO PARA ESCRITORIO -")</f>
        <v>FICHARIO PARA ESCRITORIO -</v>
      </c>
      <c r="C800" s="86">
        <f>IFERROR(__xludf.DUMMYFUNCTION("""COMPUTED_VALUE"""),1.0)</f>
        <v>1</v>
      </c>
      <c r="D800" s="87" t="str">
        <f>IFERROR(__xludf.DUMMYFUNCTION("""COMPUTED_VALUE"""),"SEÇÃO")</f>
        <v>SEÇÃO</v>
      </c>
      <c r="E800" s="87" t="str">
        <f>IFERROR(__xludf.DUMMYFUNCTION("""COMPUTED_VALUE"""),"3 - ARMARIA")</f>
        <v>3 - ARMARIA</v>
      </c>
      <c r="F800" s="88"/>
      <c r="G800" s="89">
        <f>IFERROR(__xludf.DUMMYFUNCTION("""COMPUTED_VALUE"""),51411.0)</f>
        <v>51411</v>
      </c>
      <c r="H800" s="87"/>
      <c r="I800" s="87"/>
    </row>
    <row r="801">
      <c r="A801" s="84">
        <f>IFERROR(__xludf.DUMMYFUNCTION("""COMPUTED_VALUE"""),800.0)</f>
        <v>800</v>
      </c>
      <c r="B801" s="85" t="str">
        <f>IFERROR(__xludf.DUMMYFUNCTION("""COMPUTED_VALUE"""),"COMPUTADOR -")</f>
        <v>COMPUTADOR -</v>
      </c>
      <c r="C801" s="86">
        <f>IFERROR(__xludf.DUMMYFUNCTION("""COMPUTED_VALUE"""),1.0)</f>
        <v>1</v>
      </c>
      <c r="D801" s="87" t="str">
        <f>IFERROR(__xludf.DUMMYFUNCTION("""COMPUTED_VALUE"""),"SEÇÃO")</f>
        <v>SEÇÃO</v>
      </c>
      <c r="E801" s="87" t="str">
        <f>IFERROR(__xludf.DUMMYFUNCTION("""COMPUTED_VALUE"""),"3 - GUARDA")</f>
        <v>3 - GUARDA</v>
      </c>
      <c r="F801" s="88"/>
      <c r="G801" s="89">
        <f>IFERROR(__xludf.DUMMYFUNCTION("""COMPUTED_VALUE"""),5.5910467E7)</f>
        <v>55910467</v>
      </c>
      <c r="H801" s="87"/>
      <c r="I801" s="87" t="str">
        <f>IFERROR(__xludf.DUMMYFUNCTION("""COMPUTED_VALUE"""),"Apoio Guarda, ITAUTEC Mod. Infoway st4265 ")</f>
        <v>Apoio Guarda, ITAUTEC Mod. Infoway st4265 </v>
      </c>
    </row>
    <row r="802">
      <c r="A802" s="84">
        <f>IFERROR(__xludf.DUMMYFUNCTION("""COMPUTED_VALUE"""),801.0)</f>
        <v>801</v>
      </c>
      <c r="B802" s="85" t="str">
        <f>IFERROR(__xludf.DUMMYFUNCTION("""COMPUTED_VALUE"""),"ARQUIVO PARA ESCRITORIO -(II)")</f>
        <v>ARQUIVO PARA ESCRITORIO -(II)</v>
      </c>
      <c r="C802" s="86">
        <f>IFERROR(__xludf.DUMMYFUNCTION("""COMPUTED_VALUE"""),1.0)</f>
        <v>1</v>
      </c>
      <c r="D802" s="87" t="str">
        <f>IFERROR(__xludf.DUMMYFUNCTION("""COMPUTED_VALUE"""),"SEÇÃO")</f>
        <v>SEÇÃO</v>
      </c>
      <c r="E802" s="87" t="str">
        <f>IFERROR(__xludf.DUMMYFUNCTION("""COMPUTED_VALUE"""),"3 - PPV")</f>
        <v>3 - PPV</v>
      </c>
      <c r="F802" s="88" t="str">
        <f>IFERROR(__xludf.DUMMYFUNCTION("""COMPUTED_VALUE"""),"ARQUIVO")</f>
        <v>ARQUIVO</v>
      </c>
      <c r="G802" s="89">
        <f>IFERROR(__xludf.DUMMYFUNCTION("""COMPUTED_VALUE"""),6752764.0)</f>
        <v>6752764</v>
      </c>
      <c r="H802" s="87"/>
      <c r="I802" s="87"/>
    </row>
    <row r="803">
      <c r="A803" s="84">
        <f>IFERROR(__xludf.DUMMYFUNCTION("""COMPUTED_VALUE"""),802.0)</f>
        <v>802</v>
      </c>
      <c r="B803" s="85" t="str">
        <f>IFERROR(__xludf.DUMMYFUNCTION("""COMPUTED_VALUE"""),"ARQUIVO PARA ESCRITORIO -(II)")</f>
        <v>ARQUIVO PARA ESCRITORIO -(II)</v>
      </c>
      <c r="C803" s="86">
        <f>IFERROR(__xludf.DUMMYFUNCTION("""COMPUTED_VALUE"""),1.0)</f>
        <v>1</v>
      </c>
      <c r="D803" s="87" t="str">
        <f>IFERROR(__xludf.DUMMYFUNCTION("""COMPUTED_VALUE"""),"SEÇÃO")</f>
        <v>SEÇÃO</v>
      </c>
      <c r="E803" s="87" t="str">
        <f>IFERROR(__xludf.DUMMYFUNCTION("""COMPUTED_VALUE"""),"3 - PPV")</f>
        <v>3 - PPV</v>
      </c>
      <c r="F803" s="88" t="str">
        <f>IFERROR(__xludf.DUMMYFUNCTION("""COMPUTED_VALUE"""),"ARQUIVO")</f>
        <v>ARQUIVO</v>
      </c>
      <c r="G803" s="89">
        <f>IFERROR(__xludf.DUMMYFUNCTION("""COMPUTED_VALUE"""),6752772.0)</f>
        <v>6752772</v>
      </c>
      <c r="H803" s="87"/>
      <c r="I803" s="87"/>
    </row>
    <row r="804">
      <c r="A804" s="84">
        <f>IFERROR(__xludf.DUMMYFUNCTION("""COMPUTED_VALUE"""),803.0)</f>
        <v>803</v>
      </c>
      <c r="B804" s="85" t="str">
        <f>IFERROR(__xludf.DUMMYFUNCTION("""COMPUTED_VALUE"""),"ARQUIVO PARA ESCRITORIO -(II)")</f>
        <v>ARQUIVO PARA ESCRITORIO -(II)</v>
      </c>
      <c r="C804" s="86">
        <f>IFERROR(__xludf.DUMMYFUNCTION("""COMPUTED_VALUE"""),1.0)</f>
        <v>1</v>
      </c>
      <c r="D804" s="87" t="str">
        <f>IFERROR(__xludf.DUMMYFUNCTION("""COMPUTED_VALUE"""),"SEÇÃO")</f>
        <v>SEÇÃO</v>
      </c>
      <c r="E804" s="87" t="str">
        <f>IFERROR(__xludf.DUMMYFUNCTION("""COMPUTED_VALUE"""),"3 - PPV")</f>
        <v>3 - PPV</v>
      </c>
      <c r="F804" s="88" t="str">
        <f>IFERROR(__xludf.DUMMYFUNCTION("""COMPUTED_VALUE"""),"ARQUIVO")</f>
        <v>ARQUIVO</v>
      </c>
      <c r="G804" s="89">
        <f>IFERROR(__xludf.DUMMYFUNCTION("""COMPUTED_VALUE"""),6752780.0)</f>
        <v>6752780</v>
      </c>
      <c r="H804" s="87"/>
      <c r="I804" s="87"/>
    </row>
    <row r="805">
      <c r="A805" s="84">
        <f>IFERROR(__xludf.DUMMYFUNCTION("""COMPUTED_VALUE"""),804.0)</f>
        <v>804</v>
      </c>
      <c r="B805" s="85" t="str">
        <f>IFERROR(__xludf.DUMMYFUNCTION("""COMPUTED_VALUE"""),"ARQUIVO PARA ESCRITORIO -(III)")</f>
        <v>ARQUIVO PARA ESCRITORIO -(III)</v>
      </c>
      <c r="C805" s="86">
        <f>IFERROR(__xludf.DUMMYFUNCTION("""COMPUTED_VALUE"""),1.0)</f>
        <v>1</v>
      </c>
      <c r="D805" s="87" t="str">
        <f>IFERROR(__xludf.DUMMYFUNCTION("""COMPUTED_VALUE"""),"SEÇÃO")</f>
        <v>SEÇÃO</v>
      </c>
      <c r="E805" s="87" t="str">
        <f>IFERROR(__xludf.DUMMYFUNCTION("""COMPUTED_VALUE"""),"3 - PPV")</f>
        <v>3 - PPV</v>
      </c>
      <c r="F805" s="88" t="str">
        <f>IFERROR(__xludf.DUMMYFUNCTION("""COMPUTED_VALUE"""),"ARQUIVO")</f>
        <v>ARQUIVO</v>
      </c>
      <c r="G805" s="89">
        <f>IFERROR(__xludf.DUMMYFUNCTION("""COMPUTED_VALUE"""),944777.0)</f>
        <v>944777</v>
      </c>
      <c r="H805" s="87"/>
      <c r="I805" s="87"/>
    </row>
    <row r="806">
      <c r="A806" s="84">
        <f>IFERROR(__xludf.DUMMYFUNCTION("""COMPUTED_VALUE"""),805.0)</f>
        <v>805</v>
      </c>
      <c r="B806" s="85" t="str">
        <f>IFERROR(__xludf.DUMMYFUNCTION("""COMPUTED_VALUE"""),"CADEIRA PARA ESCRITORIO -(II)")</f>
        <v>CADEIRA PARA ESCRITORIO -(II)</v>
      </c>
      <c r="C806" s="86">
        <f>IFERROR(__xludf.DUMMYFUNCTION("""COMPUTED_VALUE"""),1.0)</f>
        <v>1</v>
      </c>
      <c r="D806" s="87" t="str">
        <f>IFERROR(__xludf.DUMMYFUNCTION("""COMPUTED_VALUE"""),"SEÇÃO")</f>
        <v>SEÇÃO</v>
      </c>
      <c r="E806" s="87" t="str">
        <f>IFERROR(__xludf.DUMMYFUNCTION("""COMPUTED_VALUE"""),"3 - DESCARGA")</f>
        <v>3 - DESCARGA</v>
      </c>
      <c r="F806" s="88"/>
      <c r="G806" s="89">
        <f>IFERROR(__xludf.DUMMYFUNCTION("""COMPUTED_VALUE"""),1.2745715E7)</f>
        <v>12745715</v>
      </c>
      <c r="H806" s="87"/>
      <c r="I806" s="87" t="str">
        <f>IFERROR(__xludf.DUMMYFUNCTION("""COMPUTED_VALUE"""),"MATERIAL DESCARREGADO - PROCESSO Nº 1400.01.0026473/2023-01")</f>
        <v>MATERIAL DESCARREGADO - PROCESSO Nº 1400.01.0026473/2023-01</v>
      </c>
    </row>
    <row r="807">
      <c r="A807" s="84">
        <f>IFERROR(__xludf.DUMMYFUNCTION("""COMPUTED_VALUE"""),806.0)</f>
        <v>806</v>
      </c>
      <c r="B807" s="85" t="str">
        <f>IFERROR(__xludf.DUMMYFUNCTION("""COMPUTED_VALUE"""),"ARQUIVOS DESLIZANTES -(II)")</f>
        <v>ARQUIVOS DESLIZANTES -(II)</v>
      </c>
      <c r="C807" s="86">
        <f>IFERROR(__xludf.DUMMYFUNCTION("""COMPUTED_VALUE"""),1.0)</f>
        <v>1</v>
      </c>
      <c r="D807" s="87" t="str">
        <f>IFERROR(__xludf.DUMMYFUNCTION("""COMPUTED_VALUE"""),"SEÇÃO")</f>
        <v>SEÇÃO</v>
      </c>
      <c r="E807" s="87" t="str">
        <f>IFERROR(__xludf.DUMMYFUNCTION("""COMPUTED_VALUE"""),"3 - SALA DE MERGULHO (SEDE)")</f>
        <v>3 - SALA DE MERGULHO (SEDE)</v>
      </c>
      <c r="F807" s="88"/>
      <c r="G807" s="89">
        <f>IFERROR(__xludf.DUMMYFUNCTION("""COMPUTED_VALUE"""),1.3760742E7)</f>
        <v>13760742</v>
      </c>
      <c r="H807" s="87"/>
      <c r="I807" s="87"/>
    </row>
    <row r="808">
      <c r="A808" s="84">
        <f>IFERROR(__xludf.DUMMYFUNCTION("""COMPUTED_VALUE"""),807.0)</f>
        <v>807</v>
      </c>
      <c r="B808" s="85" t="str">
        <f>IFERROR(__xludf.DUMMYFUNCTION("""COMPUTED_VALUE"""),"IMPRESSORA -")</f>
        <v>IMPRESSORA -</v>
      </c>
      <c r="C808" s="86">
        <f>IFERROR(__xludf.DUMMYFUNCTION("""COMPUTED_VALUE"""),1.0)</f>
        <v>1</v>
      </c>
      <c r="D808" s="87" t="str">
        <f>IFERROR(__xludf.DUMMYFUNCTION("""COMPUTED_VALUE"""),"SEÇÃO")</f>
        <v>SEÇÃO</v>
      </c>
      <c r="E808" s="87" t="str">
        <f>IFERROR(__xludf.DUMMYFUNCTION("""COMPUTED_VALUE"""),"3 - DESCARGA")</f>
        <v>3 - DESCARGA</v>
      </c>
      <c r="F808" s="88"/>
      <c r="G808" s="89">
        <f>IFERROR(__xludf.DUMMYFUNCTION("""COMPUTED_VALUE"""),1.387125E7)</f>
        <v>13871250</v>
      </c>
      <c r="H808" s="87"/>
      <c r="I808" s="87" t="str">
        <f>IFERROR(__xludf.DUMMYFUNCTION("""COMPUTED_VALUE"""),"MATERIAL DESCARREGADO - PROCESSO Nº 1400.01.0026473/2023-01")</f>
        <v>MATERIAL DESCARREGADO - PROCESSO Nº 1400.01.0026473/2023-01</v>
      </c>
    </row>
    <row r="809">
      <c r="A809" s="84">
        <f>IFERROR(__xludf.DUMMYFUNCTION("""COMPUTED_VALUE"""),808.0)</f>
        <v>808</v>
      </c>
      <c r="B809" s="85" t="str">
        <f>IFERROR(__xludf.DUMMYFUNCTION("""COMPUTED_VALUE"""),"IMPRESSORA -")</f>
        <v>IMPRESSORA -</v>
      </c>
      <c r="C809" s="86">
        <f>IFERROR(__xludf.DUMMYFUNCTION("""COMPUTED_VALUE"""),1.0)</f>
        <v>1</v>
      </c>
      <c r="D809" s="87" t="str">
        <f>IFERROR(__xludf.DUMMYFUNCTION("""COMPUTED_VALUE"""),"SEÇÃO")</f>
        <v>SEÇÃO</v>
      </c>
      <c r="E809" s="87" t="str">
        <f>IFERROR(__xludf.DUMMYFUNCTION("""COMPUTED_VALUE"""),"3 - DESCARGA")</f>
        <v>3 - DESCARGA</v>
      </c>
      <c r="F809" s="88"/>
      <c r="G809" s="89">
        <f>IFERROR(__xludf.DUMMYFUNCTION("""COMPUTED_VALUE"""),1.387187E7)</f>
        <v>13871870</v>
      </c>
      <c r="H809" s="87"/>
      <c r="I809" s="87" t="str">
        <f>IFERROR(__xludf.DUMMYFUNCTION("""COMPUTED_VALUE"""),"MATERIAL DESCARREGADO - PROCESSO Nº 1400.01.0026473/2023-01")</f>
        <v>MATERIAL DESCARREGADO - PROCESSO Nº 1400.01.0026473/2023-01</v>
      </c>
    </row>
    <row r="810">
      <c r="A810" s="84">
        <f>IFERROR(__xludf.DUMMYFUNCTION("""COMPUTED_VALUE"""),809.0)</f>
        <v>809</v>
      </c>
      <c r="B810" s="85" t="str">
        <f>IFERROR(__xludf.DUMMYFUNCTION("""COMPUTED_VALUE"""),"COMPUTADOR -")</f>
        <v>COMPUTADOR -</v>
      </c>
      <c r="C810" s="86">
        <f>IFERROR(__xludf.DUMMYFUNCTION("""COMPUTED_VALUE"""),1.0)</f>
        <v>1</v>
      </c>
      <c r="D810" s="87" t="str">
        <f>IFERROR(__xludf.DUMMYFUNCTION("""COMPUTED_VALUE"""),"SEÇÃO")</f>
        <v>SEÇÃO</v>
      </c>
      <c r="E810" s="87" t="str">
        <f>IFERROR(__xludf.DUMMYFUNCTION("""COMPUTED_VALUE"""),"3 - 1ª CIA OP")</f>
        <v>3 - 1ª CIA OP</v>
      </c>
      <c r="F810" s="88" t="str">
        <f>IFERROR(__xludf.DUMMYFUNCTION("""COMPUTED_VALUE"""),"CPD")</f>
        <v>CPD</v>
      </c>
      <c r="G810" s="89">
        <f>IFERROR(__xludf.DUMMYFUNCTION("""COMPUTED_VALUE"""),1.3896539E7)</f>
        <v>13896539</v>
      </c>
      <c r="H810" s="87" t="str">
        <f>IFERROR(__xludf.DUMMYFUNCTION("""COMPUTED_VALUE"""),"NS BRG907F066")</f>
        <v>NS BRG907F066</v>
      </c>
      <c r="I810" s="87" t="str">
        <f>IFERROR(__xludf.DUMMYFUNCTION("""COMPUTED_VALUE"""),"HP Compaq DC5850, 160 GB / NS BRG907F066 / Gravador")</f>
        <v>HP Compaq DC5850, 160 GB / NS BRG907F066 / Gravador</v>
      </c>
    </row>
    <row r="811">
      <c r="A811" s="84">
        <f>IFERROR(__xludf.DUMMYFUNCTION("""COMPUTED_VALUE"""),810.0)</f>
        <v>810</v>
      </c>
      <c r="B811" s="85" t="str">
        <f>IFERROR(__xludf.DUMMYFUNCTION("""COMPUTED_VALUE"""),"RADIO TRANSCEPTOR -")</f>
        <v>RADIO TRANSCEPTOR -</v>
      </c>
      <c r="C811" s="86">
        <f>IFERROR(__xludf.DUMMYFUNCTION("""COMPUTED_VALUE"""),1.0)</f>
        <v>1</v>
      </c>
      <c r="D811" s="87" t="str">
        <f>IFERROR(__xludf.DUMMYFUNCTION("""COMPUTED_VALUE"""),"SEÇÃO")</f>
        <v>SEÇÃO</v>
      </c>
      <c r="E811" s="87" t="str">
        <f>IFERROR(__xludf.DUMMYFUNCTION("""COMPUTED_VALUE"""),"3 - DESCARGA")</f>
        <v>3 - DESCARGA</v>
      </c>
      <c r="F811" s="88"/>
      <c r="G811" s="89">
        <f>IFERROR(__xludf.DUMMYFUNCTION("""COMPUTED_VALUE"""),1.3897764E7)</f>
        <v>13897764</v>
      </c>
      <c r="H811" s="87"/>
      <c r="I811" s="87" t="str">
        <f>IFERROR(__xludf.DUMMYFUNCTION("""COMPUTED_VALUE"""),"MATERIAL DESCARREGADO - PROCESSO Nº 1400.01.0026473/2023-01")</f>
        <v>MATERIAL DESCARREGADO - PROCESSO Nº 1400.01.0026473/2023-01</v>
      </c>
    </row>
    <row r="812">
      <c r="A812" s="84">
        <f>IFERROR(__xludf.DUMMYFUNCTION("""COMPUTED_VALUE"""),811.0)</f>
        <v>811</v>
      </c>
      <c r="B812" s="85" t="str">
        <f>IFERROR(__xludf.DUMMYFUNCTION("""COMPUTED_VALUE"""),"CADEIRA PARA ESCRITORIO -")</f>
        <v>CADEIRA PARA ESCRITORIO -</v>
      </c>
      <c r="C812" s="86">
        <f>IFERROR(__xludf.DUMMYFUNCTION("""COMPUTED_VALUE"""),1.0)</f>
        <v>1</v>
      </c>
      <c r="D812" s="87" t="str">
        <f>IFERROR(__xludf.DUMMYFUNCTION("""COMPUTED_VALUE"""),"SEÇÃO")</f>
        <v>SEÇÃO</v>
      </c>
      <c r="E812" s="87" t="str">
        <f>IFERROR(__xludf.DUMMYFUNCTION("""COMPUTED_VALUE"""),"3 - DESCARGA")</f>
        <v>3 - DESCARGA</v>
      </c>
      <c r="F812" s="88"/>
      <c r="G812" s="89">
        <f>IFERROR(__xludf.DUMMYFUNCTION("""COMPUTED_VALUE"""),1.3911619E7)</f>
        <v>13911619</v>
      </c>
      <c r="H812" s="87"/>
      <c r="I812" s="87" t="str">
        <f>IFERROR(__xludf.DUMMYFUNCTION("""COMPUTED_VALUE"""),"MATERIAL DESCARREGADO - PROCESSO Nº 1400.01.0026473/2023-01")</f>
        <v>MATERIAL DESCARREGADO - PROCESSO Nº 1400.01.0026473/2023-01</v>
      </c>
    </row>
    <row r="813">
      <c r="A813" s="84">
        <f>IFERROR(__xludf.DUMMYFUNCTION("""COMPUTED_VALUE"""),812.0)</f>
        <v>812</v>
      </c>
      <c r="B813" s="85" t="str">
        <f>IFERROR(__xludf.DUMMYFUNCTION("""COMPUTED_VALUE"""),"MESA PARA ESCRITORIO -")</f>
        <v>MESA PARA ESCRITORIO -</v>
      </c>
      <c r="C813" s="86">
        <f>IFERROR(__xludf.DUMMYFUNCTION("""COMPUTED_VALUE"""),1.0)</f>
        <v>1</v>
      </c>
      <c r="D813" s="87" t="str">
        <f>IFERROR(__xludf.DUMMYFUNCTION("""COMPUTED_VALUE"""),"SEÇÃO")</f>
        <v>SEÇÃO</v>
      </c>
      <c r="E813" s="87" t="str">
        <f>IFERROR(__xludf.DUMMYFUNCTION("""COMPUTED_VALUE"""),"3 - DESCARGA")</f>
        <v>3 - DESCARGA</v>
      </c>
      <c r="F813" s="88"/>
      <c r="G813" s="89">
        <f>IFERROR(__xludf.DUMMYFUNCTION("""COMPUTED_VALUE"""),1.396268E7)</f>
        <v>13962680</v>
      </c>
      <c r="H813" s="87"/>
      <c r="I813" s="87" t="str">
        <f>IFERROR(__xludf.DUMMYFUNCTION("""COMPUTED_VALUE"""),"MATERIAL DESCARREGADO - PROCESSO Nº 1400.01.0026473/2023-01")</f>
        <v>MATERIAL DESCARREGADO - PROCESSO Nº 1400.01.0026473/2023-01</v>
      </c>
    </row>
    <row r="814">
      <c r="A814" s="84">
        <f>IFERROR(__xludf.DUMMYFUNCTION("""COMPUTED_VALUE"""),813.0)</f>
        <v>813</v>
      </c>
      <c r="B814" s="85" t="str">
        <f>IFERROR(__xludf.DUMMYFUNCTION("""COMPUTED_VALUE"""),"CADEIRA PARA ESCRITORIO -")</f>
        <v>CADEIRA PARA ESCRITORIO -</v>
      </c>
      <c r="C814" s="86">
        <f>IFERROR(__xludf.DUMMYFUNCTION("""COMPUTED_VALUE"""),1.0)</f>
        <v>1</v>
      </c>
      <c r="D814" s="87" t="str">
        <f>IFERROR(__xludf.DUMMYFUNCTION("""COMPUTED_VALUE"""),"SEÇÃO")</f>
        <v>SEÇÃO</v>
      </c>
      <c r="E814" s="87" t="str">
        <f>IFERROR(__xludf.DUMMYFUNCTION("""COMPUTED_VALUE"""),"3 - DESCARGA")</f>
        <v>3 - DESCARGA</v>
      </c>
      <c r="F814" s="88"/>
      <c r="G814" s="89">
        <f>IFERROR(__xludf.DUMMYFUNCTION("""COMPUTED_VALUE"""),1.3963597E7)</f>
        <v>13963597</v>
      </c>
      <c r="H814" s="87"/>
      <c r="I814" s="87" t="str">
        <f>IFERROR(__xludf.DUMMYFUNCTION("""COMPUTED_VALUE"""),"MATERIAL DESCARREGADO - PROCESSO Nº 1400.01.0026473/2023-01")</f>
        <v>MATERIAL DESCARREGADO - PROCESSO Nº 1400.01.0026473/2023-01</v>
      </c>
    </row>
    <row r="815">
      <c r="A815" s="84">
        <f>IFERROR(__xludf.DUMMYFUNCTION("""COMPUTED_VALUE"""),814.0)</f>
        <v>814</v>
      </c>
      <c r="B815" s="85" t="str">
        <f>IFERROR(__xludf.DUMMYFUNCTION("""COMPUTED_VALUE"""),"REFRIGERADOR DOMESTICO -")</f>
        <v>REFRIGERADOR DOMESTICO -</v>
      </c>
      <c r="C815" s="86">
        <f>IFERROR(__xludf.DUMMYFUNCTION("""COMPUTED_VALUE"""),1.0)</f>
        <v>1</v>
      </c>
      <c r="D815" s="87" t="str">
        <f>IFERROR(__xludf.DUMMYFUNCTION("""COMPUTED_VALUE"""),"SEÇÃO")</f>
        <v>SEÇÃO</v>
      </c>
      <c r="E815" s="87" t="str">
        <f>IFERROR(__xludf.DUMMYFUNCTION("""COMPUTED_VALUE"""),"3 - DESCARGA")</f>
        <v>3 - DESCARGA</v>
      </c>
      <c r="F815" s="88"/>
      <c r="G815" s="89">
        <f>IFERROR(__xludf.DUMMYFUNCTION("""COMPUTED_VALUE"""),1.3963945E7)</f>
        <v>13963945</v>
      </c>
      <c r="H815" s="87"/>
      <c r="I815" s="87" t="str">
        <f>IFERROR(__xludf.DUMMYFUNCTION("""COMPUTED_VALUE"""),"MATERIAL DESCARREGADO - PROCESSO Nº 1400.01.0026473/2023-01")</f>
        <v>MATERIAL DESCARREGADO - PROCESSO Nº 1400.01.0026473/2023-01</v>
      </c>
    </row>
    <row r="816">
      <c r="A816" s="84">
        <f>IFERROR(__xludf.DUMMYFUNCTION("""COMPUTED_VALUE"""),815.0)</f>
        <v>815</v>
      </c>
      <c r="B816" s="85" t="str">
        <f>IFERROR(__xludf.DUMMYFUNCTION("""COMPUTED_VALUE"""),"IMPRESSORA -")</f>
        <v>IMPRESSORA -</v>
      </c>
      <c r="C816" s="86">
        <f>IFERROR(__xludf.DUMMYFUNCTION("""COMPUTED_VALUE"""),1.0)</f>
        <v>1</v>
      </c>
      <c r="D816" s="87" t="str">
        <f>IFERROR(__xludf.DUMMYFUNCTION("""COMPUTED_VALUE"""),"SEÇÃO")</f>
        <v>SEÇÃO</v>
      </c>
      <c r="E816" s="87" t="str">
        <f>IFERROR(__xludf.DUMMYFUNCTION("""COMPUTED_VALUE"""),"3 - DESCARGA")</f>
        <v>3 - DESCARGA</v>
      </c>
      <c r="F816" s="88"/>
      <c r="G816" s="89">
        <f>IFERROR(__xludf.DUMMYFUNCTION("""COMPUTED_VALUE"""),1.397427E7)</f>
        <v>13974270</v>
      </c>
      <c r="H816" s="87"/>
      <c r="I816" s="87" t="str">
        <f>IFERROR(__xludf.DUMMYFUNCTION("""COMPUTED_VALUE"""),"MATERIAL DESCARREGADO - PROCESSO Nº 1400.01.0026473/2023-01")</f>
        <v>MATERIAL DESCARREGADO - PROCESSO Nº 1400.01.0026473/2023-01</v>
      </c>
    </row>
    <row r="817">
      <c r="A817" s="84">
        <f>IFERROR(__xludf.DUMMYFUNCTION("""COMPUTED_VALUE"""),816.0)</f>
        <v>816</v>
      </c>
      <c r="B817" s="85" t="str">
        <f>IFERROR(__xludf.DUMMYFUNCTION("""COMPUTED_VALUE"""),"IMPRESSORA -")</f>
        <v>IMPRESSORA -</v>
      </c>
      <c r="C817" s="86">
        <f>IFERROR(__xludf.DUMMYFUNCTION("""COMPUTED_VALUE"""),1.0)</f>
        <v>1</v>
      </c>
      <c r="D817" s="87" t="str">
        <f>IFERROR(__xludf.DUMMYFUNCTION("""COMPUTED_VALUE"""),"SEÇÃO")</f>
        <v>SEÇÃO</v>
      </c>
      <c r="E817" s="87" t="str">
        <f>IFERROR(__xludf.DUMMYFUNCTION("""COMPUTED_VALUE"""),"3 - DESCARGA")</f>
        <v>3 - DESCARGA</v>
      </c>
      <c r="F817" s="88"/>
      <c r="G817" s="89">
        <f>IFERROR(__xludf.DUMMYFUNCTION("""COMPUTED_VALUE"""),1.3974548E7)</f>
        <v>13974548</v>
      </c>
      <c r="H817" s="87" t="str">
        <f>IFERROR(__xludf.DUMMYFUNCTION("""COMPUTED_VALUE"""),"Impressora Brother 5250DN")</f>
        <v>Impressora Brother 5250DN</v>
      </c>
      <c r="I817" s="87" t="str">
        <f>IFERROR(__xludf.DUMMYFUNCTION("""COMPUTED_VALUE"""),"MATERIAL DESCARREGADO - PROCESSO Nº 1400.01.0026473/2023-01")</f>
        <v>MATERIAL DESCARREGADO - PROCESSO Nº 1400.01.0026473/2023-01</v>
      </c>
    </row>
    <row r="818">
      <c r="A818" s="84">
        <f>IFERROR(__xludf.DUMMYFUNCTION("""COMPUTED_VALUE"""),817.0)</f>
        <v>817</v>
      </c>
      <c r="B818" s="85" t="str">
        <f>IFERROR(__xludf.DUMMYFUNCTION("""COMPUTED_VALUE"""),"COMPUTADOR -")</f>
        <v>COMPUTADOR -</v>
      </c>
      <c r="C818" s="86">
        <f>IFERROR(__xludf.DUMMYFUNCTION("""COMPUTED_VALUE"""),1.0)</f>
        <v>1</v>
      </c>
      <c r="D818" s="87" t="str">
        <f>IFERROR(__xludf.DUMMYFUNCTION("""COMPUTED_VALUE"""),"SEÇÃO")</f>
        <v>SEÇÃO</v>
      </c>
      <c r="E818" s="87" t="str">
        <f>IFERROR(__xludf.DUMMYFUNCTION("""COMPUTED_VALUE"""),"3 - DESCARGA")</f>
        <v>3 - DESCARGA</v>
      </c>
      <c r="F818" s="88"/>
      <c r="G818" s="89">
        <f>IFERROR(__xludf.DUMMYFUNCTION("""COMPUTED_VALUE"""),1.3987062E7)</f>
        <v>13987062</v>
      </c>
      <c r="H818" s="87" t="str">
        <f>IFERROR(__xludf.DUMMYFUNCTION("""COMPUTED_VALUE"""),"N.S.BRG030FB3K")</f>
        <v>N.S.BRG030FB3K</v>
      </c>
      <c r="I818" s="87" t="str">
        <f>IFERROR(__xludf.DUMMYFUNCTION("""COMPUTED_VALUE"""),"MATERIAL DESCARREGADO - PROCESSO Nº 1400.01.0026473/2023-01")</f>
        <v>MATERIAL DESCARREGADO - PROCESSO Nº 1400.01.0026473/2023-01</v>
      </c>
    </row>
    <row r="819">
      <c r="A819" s="84">
        <f>IFERROR(__xludf.DUMMYFUNCTION("""COMPUTED_VALUE"""),818.0)</f>
        <v>818</v>
      </c>
      <c r="B819" s="85" t="str">
        <f>IFERROR(__xludf.DUMMYFUNCTION("""COMPUTED_VALUE"""),"RADIO TRANSCEPTOR -")</f>
        <v>RADIO TRANSCEPTOR -</v>
      </c>
      <c r="C819" s="86">
        <f>IFERROR(__xludf.DUMMYFUNCTION("""COMPUTED_VALUE"""),1.0)</f>
        <v>1</v>
      </c>
      <c r="D819" s="87" t="str">
        <f>IFERROR(__xludf.DUMMYFUNCTION("""COMPUTED_VALUE"""),"SEÇÃO")</f>
        <v>SEÇÃO</v>
      </c>
      <c r="E819" s="87" t="str">
        <f>IFERROR(__xludf.DUMMYFUNCTION("""COMPUTED_VALUE"""),"3 - DESCARGA")</f>
        <v>3 - DESCARGA</v>
      </c>
      <c r="F819" s="88"/>
      <c r="G819" s="89">
        <f>IFERROR(__xludf.DUMMYFUNCTION("""COMPUTED_VALUE"""),1.3997211E7)</f>
        <v>13997211</v>
      </c>
      <c r="H819" s="87"/>
      <c r="I819" s="87" t="str">
        <f>IFERROR(__xludf.DUMMYFUNCTION("""COMPUTED_VALUE"""),"MATERIAL DESCARREGADO - PROCESSO Nº 1400.01.0026473/2023-01")</f>
        <v>MATERIAL DESCARREGADO - PROCESSO Nº 1400.01.0026473/2023-01</v>
      </c>
    </row>
    <row r="820">
      <c r="A820" s="84">
        <f>IFERROR(__xludf.DUMMYFUNCTION("""COMPUTED_VALUE"""),819.0)</f>
        <v>819</v>
      </c>
      <c r="B820" s="85" t="str">
        <f>IFERROR(__xludf.DUMMYFUNCTION("""COMPUTED_VALUE"""),"RADIO TRANSCEPTOR -")</f>
        <v>RADIO TRANSCEPTOR -</v>
      </c>
      <c r="C820" s="86">
        <f>IFERROR(__xludf.DUMMYFUNCTION("""COMPUTED_VALUE"""),1.0)</f>
        <v>1</v>
      </c>
      <c r="D820" s="87" t="str">
        <f>IFERROR(__xludf.DUMMYFUNCTION("""COMPUTED_VALUE"""),"SEÇÃO")</f>
        <v>SEÇÃO</v>
      </c>
      <c r="E820" s="87" t="str">
        <f>IFERROR(__xludf.DUMMYFUNCTION("""COMPUTED_VALUE"""),"3 - DESCARGA")</f>
        <v>3 - DESCARGA</v>
      </c>
      <c r="F820" s="88"/>
      <c r="G820" s="89">
        <f>IFERROR(__xludf.DUMMYFUNCTION("""COMPUTED_VALUE"""),1.4027836E7)</f>
        <v>14027836</v>
      </c>
      <c r="H820" s="87"/>
      <c r="I820" s="87" t="str">
        <f>IFERROR(__xludf.DUMMYFUNCTION("""COMPUTED_VALUE"""),"MATERIAL DESCARREGADO - PROCESSO Nº 1400.01.0026473/2023-01")</f>
        <v>MATERIAL DESCARREGADO - PROCESSO Nº 1400.01.0026473/2023-01</v>
      </c>
    </row>
    <row r="821">
      <c r="A821" s="84">
        <f>IFERROR(__xludf.DUMMYFUNCTION("""COMPUTED_VALUE"""),820.0)</f>
        <v>820</v>
      </c>
      <c r="B821" s="85" t="str">
        <f>IFERROR(__xludf.DUMMYFUNCTION("""COMPUTED_VALUE"""),"RADIO TRANSCEPTOR -")</f>
        <v>RADIO TRANSCEPTOR -</v>
      </c>
      <c r="C821" s="86">
        <f>IFERROR(__xludf.DUMMYFUNCTION("""COMPUTED_VALUE"""),1.0)</f>
        <v>1</v>
      </c>
      <c r="D821" s="87" t="str">
        <f>IFERROR(__xludf.DUMMYFUNCTION("""COMPUTED_VALUE"""),"SEÇÃO")</f>
        <v>SEÇÃO</v>
      </c>
      <c r="E821" s="87" t="str">
        <f>IFERROR(__xludf.DUMMYFUNCTION("""COMPUTED_VALUE"""),"3 - DESCARGA")</f>
        <v>3 - DESCARGA</v>
      </c>
      <c r="F821" s="88"/>
      <c r="G821" s="89">
        <f>IFERROR(__xludf.DUMMYFUNCTION("""COMPUTED_VALUE"""),1.4051397E7)</f>
        <v>14051397</v>
      </c>
      <c r="H821" s="87"/>
      <c r="I821" s="87" t="str">
        <f>IFERROR(__xludf.DUMMYFUNCTION("""COMPUTED_VALUE"""),"MATERIAL DESCARREGADO - PROCESSO Nº 1400.01.0026473/2023-01")</f>
        <v>MATERIAL DESCARREGADO - PROCESSO Nº 1400.01.0026473/2023-01</v>
      </c>
    </row>
    <row r="822">
      <c r="A822" s="84">
        <f>IFERROR(__xludf.DUMMYFUNCTION("""COMPUTED_VALUE"""),821.0)</f>
        <v>821</v>
      </c>
      <c r="B822" s="85" t="str">
        <f>IFERROR(__xludf.DUMMYFUNCTION("""COMPUTED_VALUE"""),"CONJUNTO COMBINADO DESENCARCERAMENTO DE VITIMAS -")</f>
        <v>CONJUNTO COMBINADO DESENCARCERAMENTO DE VITIMAS -</v>
      </c>
      <c r="C822" s="86">
        <f>IFERROR(__xludf.DUMMYFUNCTION("""COMPUTED_VALUE"""),1.0)</f>
        <v>1</v>
      </c>
      <c r="D822" s="87" t="str">
        <f>IFERROR(__xludf.DUMMYFUNCTION("""COMPUTED_VALUE"""),"SEÇÃO")</f>
        <v>SEÇÃO</v>
      </c>
      <c r="E822" s="87" t="str">
        <f>IFERROR(__xludf.DUMMYFUNCTION("""COMPUTED_VALUE"""),"3 - ALMOX. ESTOQUE")</f>
        <v>3 - ALMOX. ESTOQUE</v>
      </c>
      <c r="F822" s="88" t="str">
        <f>IFERROR(__xludf.DUMMYFUNCTION("""COMPUTED_VALUE"""),"ALMOX. SAO (SEDE)")</f>
        <v>ALMOX. SAO (SEDE)</v>
      </c>
      <c r="G822" s="89">
        <f>IFERROR(__xludf.DUMMYFUNCTION("""COMPUTED_VALUE"""),1.40518E7)</f>
        <v>14051800</v>
      </c>
      <c r="H822" s="87"/>
      <c r="I822" s="87" t="str">
        <f>IFERROR(__xludf.DUMMYFUNCTION("""COMPUTED_VALUE"""),"homatro a combustão")</f>
        <v>homatro a combustão</v>
      </c>
    </row>
    <row r="823">
      <c r="A823" s="84">
        <f>IFERROR(__xludf.DUMMYFUNCTION("""COMPUTED_VALUE"""),822.0)</f>
        <v>822</v>
      </c>
      <c r="B823" s="85" t="str">
        <f>IFERROR(__xludf.DUMMYFUNCTION("""COMPUTED_VALUE"""),"RADIO TRANSCEPTOR -")</f>
        <v>RADIO TRANSCEPTOR -</v>
      </c>
      <c r="C823" s="86">
        <f>IFERROR(__xludf.DUMMYFUNCTION("""COMPUTED_VALUE"""),1.0)</f>
        <v>1</v>
      </c>
      <c r="D823" s="87" t="str">
        <f>IFERROR(__xludf.DUMMYFUNCTION("""COMPUTED_VALUE"""),"SEÇÃO")</f>
        <v>SEÇÃO</v>
      </c>
      <c r="E823" s="87" t="str">
        <f>IFERROR(__xludf.DUMMYFUNCTION("""COMPUTED_VALUE"""),"3 - DESCARGA")</f>
        <v>3 - DESCARGA</v>
      </c>
      <c r="F823" s="88"/>
      <c r="G823" s="89">
        <f>IFERROR(__xludf.DUMMYFUNCTION("""COMPUTED_VALUE"""),1.4063921E7)</f>
        <v>14063921</v>
      </c>
      <c r="H823" s="87"/>
      <c r="I823" s="87" t="str">
        <f>IFERROR(__xludf.DUMMYFUNCTION("""COMPUTED_VALUE"""),"MATERIAL DESCARREGADO - PROCESSO Nº 1400.01.0026473/2023-01")</f>
        <v>MATERIAL DESCARREGADO - PROCESSO Nº 1400.01.0026473/2023-01</v>
      </c>
    </row>
    <row r="824">
      <c r="A824" s="84">
        <f>IFERROR(__xludf.DUMMYFUNCTION("""COMPUTED_VALUE"""),823.0)</f>
        <v>823</v>
      </c>
      <c r="B824" s="85" t="str">
        <f>IFERROR(__xludf.DUMMYFUNCTION("""COMPUTED_VALUE"""),"QUADRO DE AVISO -")</f>
        <v>QUADRO DE AVISO -</v>
      </c>
      <c r="C824" s="86">
        <f>IFERROR(__xludf.DUMMYFUNCTION("""COMPUTED_VALUE"""),1.0)</f>
        <v>1</v>
      </c>
      <c r="D824" s="87" t="str">
        <f>IFERROR(__xludf.DUMMYFUNCTION("""COMPUTED_VALUE"""),"SEÇÃO")</f>
        <v>SEÇÃO</v>
      </c>
      <c r="E824" s="87" t="str">
        <f>IFERROR(__xludf.DUMMYFUNCTION("""COMPUTED_VALUE"""),"3 - CARTÓRIO")</f>
        <v>3 - CARTÓRIO</v>
      </c>
      <c r="F824" s="88"/>
      <c r="G824" s="89">
        <f>IFERROR(__xludf.DUMMYFUNCTION("""COMPUTED_VALUE"""),1.406935E7)</f>
        <v>14069350</v>
      </c>
      <c r="H824" s="87"/>
      <c r="I824" s="87"/>
    </row>
    <row r="825">
      <c r="A825" s="84">
        <f>IFERROR(__xludf.DUMMYFUNCTION("""COMPUTED_VALUE"""),824.0)</f>
        <v>824</v>
      </c>
      <c r="B825" s="85" t="str">
        <f>IFERROR(__xludf.DUMMYFUNCTION("""COMPUTED_VALUE"""),"ARMARIO-BALCAO -")</f>
        <v>ARMARIO-BALCAO -</v>
      </c>
      <c r="C825" s="86">
        <f>IFERROR(__xludf.DUMMYFUNCTION("""COMPUTED_VALUE"""),1.0)</f>
        <v>1</v>
      </c>
      <c r="D825" s="87" t="str">
        <f>IFERROR(__xludf.DUMMYFUNCTION("""COMPUTED_VALUE"""),"SEÇÃO")</f>
        <v>SEÇÃO</v>
      </c>
      <c r="E825" s="87" t="str">
        <f>IFERROR(__xludf.DUMMYFUNCTION("""COMPUTED_VALUE"""),"3 - SOU")</f>
        <v>3 - SOU</v>
      </c>
      <c r="F825" s="88" t="str">
        <f>IFERROR(__xludf.DUMMYFUNCTION("""COMPUTED_VALUE"""),"SALA DE REDS")</f>
        <v>SALA DE REDS</v>
      </c>
      <c r="G825" s="89">
        <f>IFERROR(__xludf.DUMMYFUNCTION("""COMPUTED_VALUE"""),1.4094207E7)</f>
        <v>14094207</v>
      </c>
      <c r="H825" s="87"/>
      <c r="I825" s="87"/>
    </row>
    <row r="826">
      <c r="A826" s="84">
        <f>IFERROR(__xludf.DUMMYFUNCTION("""COMPUTED_VALUE"""),825.0)</f>
        <v>825</v>
      </c>
      <c r="B826" s="85" t="str">
        <f>IFERROR(__xludf.DUMMYFUNCTION("""COMPUTED_VALUE"""),"ARMARIO-BALCAO -")</f>
        <v>ARMARIO-BALCAO -</v>
      </c>
      <c r="C826" s="86">
        <f>IFERROR(__xludf.DUMMYFUNCTION("""COMPUTED_VALUE"""),1.0)</f>
        <v>1</v>
      </c>
      <c r="D826" s="87" t="str">
        <f>IFERROR(__xludf.DUMMYFUNCTION("""COMPUTED_VALUE"""),"SEÇÃO")</f>
        <v>SEÇÃO</v>
      </c>
      <c r="E826" s="87" t="str">
        <f>IFERROR(__xludf.DUMMYFUNCTION("""COMPUTED_VALUE"""),"3 - ALMOX. ESTOQUE")</f>
        <v>3 - ALMOX. ESTOQUE</v>
      </c>
      <c r="F826" s="88" t="str">
        <f>IFERROR(__xludf.DUMMYFUNCTION("""COMPUTED_VALUE"""),"ALMOX. APH")</f>
        <v>ALMOX. APH</v>
      </c>
      <c r="G826" s="89">
        <f>IFERROR(__xludf.DUMMYFUNCTION("""COMPUTED_VALUE"""),1.4094347E7)</f>
        <v>14094347</v>
      </c>
      <c r="H826" s="87"/>
      <c r="I826" s="87"/>
    </row>
    <row r="827">
      <c r="A827" s="84">
        <f>IFERROR(__xludf.DUMMYFUNCTION("""COMPUTED_VALUE"""),826.0)</f>
        <v>826</v>
      </c>
      <c r="B827" s="85" t="str">
        <f>IFERROR(__xludf.DUMMYFUNCTION("""COMPUTED_VALUE"""),"MOTOR DE POPA -")</f>
        <v>MOTOR DE POPA -</v>
      </c>
      <c r="C827" s="86">
        <f>IFERROR(__xludf.DUMMYFUNCTION("""COMPUTED_VALUE"""),1.0)</f>
        <v>1</v>
      </c>
      <c r="D827" s="87" t="str">
        <f>IFERROR(__xludf.DUMMYFUNCTION("""COMPUTED_VALUE"""),"SEÇÃO")</f>
        <v>SEÇÃO</v>
      </c>
      <c r="E827" s="87" t="str">
        <f>IFERROR(__xludf.DUMMYFUNCTION("""COMPUTED_VALUE"""),"3 - DESCARGA")</f>
        <v>3 - DESCARGA</v>
      </c>
      <c r="F827" s="88"/>
      <c r="G827" s="89">
        <f>IFERROR(__xludf.DUMMYFUNCTION("""COMPUTED_VALUE"""),1.4105888E7)</f>
        <v>14105888</v>
      </c>
      <c r="H827" s="87"/>
      <c r="I827" s="87" t="str">
        <f>IFERROR(__xludf.DUMMYFUNCTION("""COMPUTED_VALUE"""),"MATERIAL DESCARREGADO - PROCESSO Nº 1400.01.0026473/2023-01")</f>
        <v>MATERIAL DESCARREGADO - PROCESSO Nº 1400.01.0026473/2023-01</v>
      </c>
    </row>
    <row r="828">
      <c r="A828" s="84">
        <f>IFERROR(__xludf.DUMMYFUNCTION("""COMPUTED_VALUE"""),827.0)</f>
        <v>827</v>
      </c>
      <c r="B828" s="85" t="str">
        <f>IFERROR(__xludf.DUMMYFUNCTION("""COMPUTED_VALUE"""),"CADEIRA PARA ESCRITORIO -")</f>
        <v>CADEIRA PARA ESCRITORIO -</v>
      </c>
      <c r="C828" s="86">
        <f>IFERROR(__xludf.DUMMYFUNCTION("""COMPUTED_VALUE"""),1.0)</f>
        <v>1</v>
      </c>
      <c r="D828" s="87" t="str">
        <f>IFERROR(__xludf.DUMMYFUNCTION("""COMPUTED_VALUE"""),"SEÇÃO")</f>
        <v>SEÇÃO</v>
      </c>
      <c r="E828" s="87" t="str">
        <f>IFERROR(__xludf.DUMMYFUNCTION("""COMPUTED_VALUE"""),"3 - DESCARGA")</f>
        <v>3 - DESCARGA</v>
      </c>
      <c r="F828" s="88"/>
      <c r="G828" s="89">
        <f>IFERROR(__xludf.DUMMYFUNCTION("""COMPUTED_VALUE"""),1.4115204E7)</f>
        <v>14115204</v>
      </c>
      <c r="H828" s="87"/>
      <c r="I828" s="87" t="str">
        <f>IFERROR(__xludf.DUMMYFUNCTION("""COMPUTED_VALUE"""),"MATERIAL DESCARREGADO - PROCESSO Nº 1400.01.0026473/2023-01")</f>
        <v>MATERIAL DESCARREGADO - PROCESSO Nº 1400.01.0026473/2023-01</v>
      </c>
    </row>
    <row r="829">
      <c r="A829" s="84">
        <f>IFERROR(__xludf.DUMMYFUNCTION("""COMPUTED_VALUE"""),828.0)</f>
        <v>828</v>
      </c>
      <c r="B829" s="85" t="str">
        <f>IFERROR(__xludf.DUMMYFUNCTION("""COMPUTED_VALUE"""),"CADEIRA PARA ESCRITORIO -")</f>
        <v>CADEIRA PARA ESCRITORIO -</v>
      </c>
      <c r="C829" s="86">
        <f>IFERROR(__xludf.DUMMYFUNCTION("""COMPUTED_VALUE"""),1.0)</f>
        <v>1</v>
      </c>
      <c r="D829" s="87" t="str">
        <f>IFERROR(__xludf.DUMMYFUNCTION("""COMPUTED_VALUE"""),"SEÇÃO")</f>
        <v>SEÇÃO</v>
      </c>
      <c r="E829" s="87" t="str">
        <f>IFERROR(__xludf.DUMMYFUNCTION("""COMPUTED_VALUE"""),"3 - DESCARGA")</f>
        <v>3 - DESCARGA</v>
      </c>
      <c r="F829" s="88"/>
      <c r="G829" s="89">
        <f>IFERROR(__xludf.DUMMYFUNCTION("""COMPUTED_VALUE"""),1.4115255E7)</f>
        <v>14115255</v>
      </c>
      <c r="H829" s="87"/>
      <c r="I829" s="87" t="str">
        <f>IFERROR(__xludf.DUMMYFUNCTION("""COMPUTED_VALUE"""),"MATERIAL DESCARREGADO - PROCESSO Nº 1400.01.0026473/2023-01")</f>
        <v>MATERIAL DESCARREGADO - PROCESSO Nº 1400.01.0026473/2023-01</v>
      </c>
    </row>
    <row r="830">
      <c r="A830" s="84">
        <f>IFERROR(__xludf.DUMMYFUNCTION("""COMPUTED_VALUE"""),829.0)</f>
        <v>829</v>
      </c>
      <c r="B830" s="85" t="str">
        <f>IFERROR(__xludf.DUMMYFUNCTION("""COMPUTED_VALUE"""),"CADEIRA PARA ESCRITORIO -")</f>
        <v>CADEIRA PARA ESCRITORIO -</v>
      </c>
      <c r="C830" s="86">
        <f>IFERROR(__xludf.DUMMYFUNCTION("""COMPUTED_VALUE"""),1.0)</f>
        <v>1</v>
      </c>
      <c r="D830" s="87" t="str">
        <f>IFERROR(__xludf.DUMMYFUNCTION("""COMPUTED_VALUE"""),"SEÇÃO")</f>
        <v>SEÇÃO</v>
      </c>
      <c r="E830" s="87" t="str">
        <f>IFERROR(__xludf.DUMMYFUNCTION("""COMPUTED_VALUE"""),"3 - DESCARGA")</f>
        <v>3 - DESCARGA</v>
      </c>
      <c r="F830" s="88"/>
      <c r="G830" s="89">
        <f>IFERROR(__xludf.DUMMYFUNCTION("""COMPUTED_VALUE"""),1.4115433E7)</f>
        <v>14115433</v>
      </c>
      <c r="H830" s="87"/>
      <c r="I830" s="87" t="str">
        <f>IFERROR(__xludf.DUMMYFUNCTION("""COMPUTED_VALUE"""),"MATERIAL DESCARREGADO - PROCESSO Nº 1400.01.0026473/2023-01")</f>
        <v>MATERIAL DESCARREGADO - PROCESSO Nº 1400.01.0026473/2023-01</v>
      </c>
    </row>
    <row r="831">
      <c r="A831" s="84">
        <f>IFERROR(__xludf.DUMMYFUNCTION("""COMPUTED_VALUE"""),830.0)</f>
        <v>830</v>
      </c>
      <c r="B831" s="85" t="str">
        <f>IFERROR(__xludf.DUMMYFUNCTION("""COMPUTED_VALUE"""),"CADEIRA PARA ESCRITORIO -(III)")</f>
        <v>CADEIRA PARA ESCRITORIO -(III)</v>
      </c>
      <c r="C831" s="86">
        <f>IFERROR(__xludf.DUMMYFUNCTION("""COMPUTED_VALUE"""),1.0)</f>
        <v>1</v>
      </c>
      <c r="D831" s="87" t="str">
        <f>IFERROR(__xludf.DUMMYFUNCTION("""COMPUTED_VALUE"""),"SEÇÃO")</f>
        <v>SEÇÃO</v>
      </c>
      <c r="E831" s="87" t="str">
        <f>IFERROR(__xludf.DUMMYFUNCTION("""COMPUTED_VALUE"""),"3 - DESCARGA")</f>
        <v>3 - DESCARGA</v>
      </c>
      <c r="F831" s="88" t="str">
        <f>IFERROR(__xludf.DUMMYFUNCTION("""COMPUTED_VALUE"""),"ÁREA DE DESCARGA")</f>
        <v>ÁREA DE DESCARGA</v>
      </c>
      <c r="G831" s="89">
        <f>IFERROR(__xludf.DUMMYFUNCTION("""COMPUTED_VALUE"""),1.4127903E7)</f>
        <v>14127903</v>
      </c>
      <c r="H831" s="87"/>
      <c r="I831" s="87"/>
    </row>
    <row r="832">
      <c r="A832" s="84">
        <f>IFERROR(__xludf.DUMMYFUNCTION("""COMPUTED_VALUE"""),831.0)</f>
        <v>831</v>
      </c>
      <c r="B832" s="85" t="str">
        <f>IFERROR(__xludf.DUMMYFUNCTION("""COMPUTED_VALUE"""),"MESA PARA ESCRITORIO (II) -")</f>
        <v>MESA PARA ESCRITORIO (II) -</v>
      </c>
      <c r="C832" s="86">
        <f>IFERROR(__xludf.DUMMYFUNCTION("""COMPUTED_VALUE"""),1.0)</f>
        <v>1</v>
      </c>
      <c r="D832" s="87" t="str">
        <f>IFERROR(__xludf.DUMMYFUNCTION("""COMPUTED_VALUE"""),"SEÇÃO")</f>
        <v>SEÇÃO</v>
      </c>
      <c r="E832" s="87" t="str">
        <f>IFERROR(__xludf.DUMMYFUNCTION("""COMPUTED_VALUE"""),"3 - DESCARGA")</f>
        <v>3 - DESCARGA</v>
      </c>
      <c r="F832" s="88"/>
      <c r="G832" s="89">
        <f>IFERROR(__xludf.DUMMYFUNCTION("""COMPUTED_VALUE"""),1.4626624E7)</f>
        <v>14626624</v>
      </c>
      <c r="H832" s="87"/>
      <c r="I832" s="87" t="str">
        <f>IFERROR(__xludf.DUMMYFUNCTION("""COMPUTED_VALUE"""),"MATERIAL DESCARREGADO - PROCESSO Nº 1400.01.0026473/2023-01")</f>
        <v>MATERIAL DESCARREGADO - PROCESSO Nº 1400.01.0026473/2023-01</v>
      </c>
    </row>
    <row r="833">
      <c r="A833" s="84">
        <f>IFERROR(__xludf.DUMMYFUNCTION("""COMPUTED_VALUE"""),832.0)</f>
        <v>832</v>
      </c>
      <c r="B833" s="85" t="str">
        <f>IFERROR(__xludf.DUMMYFUNCTION("""COMPUTED_VALUE"""),"CADEIRA PARA ESCRITORIO -(II)")</f>
        <v>CADEIRA PARA ESCRITORIO -(II)</v>
      </c>
      <c r="C833" s="86">
        <f>IFERROR(__xludf.DUMMYFUNCTION("""COMPUTED_VALUE"""),1.0)</f>
        <v>1</v>
      </c>
      <c r="D833" s="87" t="str">
        <f>IFERROR(__xludf.DUMMYFUNCTION("""COMPUTED_VALUE"""),"SEÇÃO")</f>
        <v>SEÇÃO</v>
      </c>
      <c r="E833" s="87" t="str">
        <f>IFERROR(__xludf.DUMMYFUNCTION("""COMPUTED_VALUE"""),"3 - DESCARGA")</f>
        <v>3 - DESCARGA</v>
      </c>
      <c r="F833" s="88"/>
      <c r="G833" s="89">
        <f>IFERROR(__xludf.DUMMYFUNCTION("""COMPUTED_VALUE"""),1.883857E7)</f>
        <v>18838570</v>
      </c>
      <c r="H833" s="87"/>
      <c r="I833" s="87" t="str">
        <f>IFERROR(__xludf.DUMMYFUNCTION("""COMPUTED_VALUE"""),"MATERIAL DESCARREGADO - PROCESSO Nº 1400.01.0026473/2023-01")</f>
        <v>MATERIAL DESCARREGADO - PROCESSO Nº 1400.01.0026473/2023-01</v>
      </c>
    </row>
    <row r="834">
      <c r="A834" s="84">
        <f>IFERROR(__xludf.DUMMYFUNCTION("""COMPUTED_VALUE"""),833.0)</f>
        <v>833</v>
      </c>
      <c r="B834" s="85" t="str">
        <f>IFERROR(__xludf.DUMMYFUNCTION("""COMPUTED_VALUE"""),"MESA PARA COMPUTADOR -")</f>
        <v>MESA PARA COMPUTADOR -</v>
      </c>
      <c r="C834" s="86">
        <f>IFERROR(__xludf.DUMMYFUNCTION("""COMPUTED_VALUE"""),1.0)</f>
        <v>1</v>
      </c>
      <c r="D834" s="87" t="str">
        <f>IFERROR(__xludf.DUMMYFUNCTION("""COMPUTED_VALUE"""),"SEÇÃO")</f>
        <v>SEÇÃO</v>
      </c>
      <c r="E834" s="87" t="str">
        <f>IFERROR(__xludf.DUMMYFUNCTION("""COMPUTED_VALUE"""),"3 - 1ª CIA OP")</f>
        <v>3 - 1ª CIA OP</v>
      </c>
      <c r="F834" s="88" t="str">
        <f>IFERROR(__xludf.DUMMYFUNCTION("""COMPUTED_VALUE"""),"SECRETARIA")</f>
        <v>SECRETARIA</v>
      </c>
      <c r="G834" s="89">
        <f>IFERROR(__xludf.DUMMYFUNCTION("""COMPUTED_VALUE"""),1.8933025E7)</f>
        <v>18933025</v>
      </c>
      <c r="H834" s="87"/>
      <c r="I834" s="87"/>
    </row>
    <row r="835">
      <c r="A835" s="84">
        <f>IFERROR(__xludf.DUMMYFUNCTION("""COMPUTED_VALUE"""),834.0)</f>
        <v>834</v>
      </c>
      <c r="B835" s="85" t="str">
        <f>IFERROR(__xludf.DUMMYFUNCTION("""COMPUTED_VALUE"""),"MESA PARA COMPUTADOR -")</f>
        <v>MESA PARA COMPUTADOR -</v>
      </c>
      <c r="C835" s="86">
        <f>IFERROR(__xludf.DUMMYFUNCTION("""COMPUTED_VALUE"""),1.0)</f>
        <v>1</v>
      </c>
      <c r="D835" s="87" t="str">
        <f>IFERROR(__xludf.DUMMYFUNCTION("""COMPUTED_VALUE"""),"SEÇÃO")</f>
        <v>SEÇÃO</v>
      </c>
      <c r="E835" s="87" t="str">
        <f>IFERROR(__xludf.DUMMYFUNCTION("""COMPUTED_VALUE"""),"3 - DESCARGA")</f>
        <v>3 - DESCARGA</v>
      </c>
      <c r="F835" s="88"/>
      <c r="G835" s="89">
        <f>IFERROR(__xludf.DUMMYFUNCTION("""COMPUTED_VALUE"""),1.8933246E7)</f>
        <v>18933246</v>
      </c>
      <c r="H835" s="87"/>
      <c r="I835" s="87" t="str">
        <f>IFERROR(__xludf.DUMMYFUNCTION("""COMPUTED_VALUE"""),"MATERIAL DESCARREGADO - PROCESSO Nº 1400.01.0026473/2023-01")</f>
        <v>MATERIAL DESCARREGADO - PROCESSO Nº 1400.01.0026473/2023-01</v>
      </c>
    </row>
    <row r="836">
      <c r="A836" s="84">
        <f>IFERROR(__xludf.DUMMYFUNCTION("""COMPUTED_VALUE"""),835.0)</f>
        <v>835</v>
      </c>
      <c r="B836" s="85" t="str">
        <f>IFERROR(__xludf.DUMMYFUNCTION("""COMPUTED_VALUE"""),"MESA PARA COMPUTADOR -")</f>
        <v>MESA PARA COMPUTADOR -</v>
      </c>
      <c r="C836" s="86">
        <f>IFERROR(__xludf.DUMMYFUNCTION("""COMPUTED_VALUE"""),1.0)</f>
        <v>1</v>
      </c>
      <c r="D836" s="87" t="str">
        <f>IFERROR(__xludf.DUMMYFUNCTION("""COMPUTED_VALUE"""),"SEÇÃO")</f>
        <v>SEÇÃO</v>
      </c>
      <c r="E836" s="87" t="str">
        <f>IFERROR(__xludf.DUMMYFUNCTION("""COMPUTED_VALUE"""),"3 - CARTÓRIO")</f>
        <v>3 - CARTÓRIO</v>
      </c>
      <c r="F836" s="88"/>
      <c r="G836" s="89">
        <f>IFERROR(__xludf.DUMMYFUNCTION("""COMPUTED_VALUE"""),1.8933386E7)</f>
        <v>18933386</v>
      </c>
      <c r="H836" s="87"/>
      <c r="I836" s="87" t="str">
        <f>IFERROR(__xludf.DUMMYFUNCTION("""COMPUTED_VALUE"""),"antessala- ")</f>
        <v>antessala- </v>
      </c>
    </row>
    <row r="837">
      <c r="A837" s="84">
        <f>IFERROR(__xludf.DUMMYFUNCTION("""COMPUTED_VALUE"""),836.0)</f>
        <v>836</v>
      </c>
      <c r="B837" s="85" t="str">
        <f>IFERROR(__xludf.DUMMYFUNCTION("""COMPUTED_VALUE"""),"MESA PARA COMPUTADOR -")</f>
        <v>MESA PARA COMPUTADOR -</v>
      </c>
      <c r="C837" s="86">
        <f>IFERROR(__xludf.DUMMYFUNCTION("""COMPUTED_VALUE"""),1.0)</f>
        <v>1</v>
      </c>
      <c r="D837" s="87" t="str">
        <f>IFERROR(__xludf.DUMMYFUNCTION("""COMPUTED_VALUE"""),"SEÇÃO")</f>
        <v>SEÇÃO</v>
      </c>
      <c r="E837" s="87" t="str">
        <f>IFERROR(__xludf.DUMMYFUNCTION("""COMPUTED_VALUE"""),"3 - DESCARGA")</f>
        <v>3 - DESCARGA</v>
      </c>
      <c r="F837" s="88"/>
      <c r="G837" s="89">
        <f>IFERROR(__xludf.DUMMYFUNCTION("""COMPUTED_VALUE"""),1.8933467E7)</f>
        <v>18933467</v>
      </c>
      <c r="H837" s="87"/>
      <c r="I837" s="87" t="str">
        <f>IFERROR(__xludf.DUMMYFUNCTION("""COMPUTED_VALUE"""),"MATERIAL DESCARREGADO - PROCESSO Nº 1400.01.0026473/2023-01")</f>
        <v>MATERIAL DESCARREGADO - PROCESSO Nº 1400.01.0026473/2023-01</v>
      </c>
    </row>
    <row r="838">
      <c r="A838" s="84">
        <f>IFERROR(__xludf.DUMMYFUNCTION("""COMPUTED_VALUE"""),837.0)</f>
        <v>837</v>
      </c>
      <c r="B838" s="85" t="str">
        <f>IFERROR(__xludf.DUMMYFUNCTION("""COMPUTED_VALUE"""),"MESA PARA COMPUTADOR -")</f>
        <v>MESA PARA COMPUTADOR -</v>
      </c>
      <c r="C838" s="86">
        <f>IFERROR(__xludf.DUMMYFUNCTION("""COMPUTED_VALUE"""),1.0)</f>
        <v>1</v>
      </c>
      <c r="D838" s="87" t="str">
        <f>IFERROR(__xludf.DUMMYFUNCTION("""COMPUTED_VALUE"""),"SEÇÃO")</f>
        <v>SEÇÃO</v>
      </c>
      <c r="E838" s="87" t="str">
        <f>IFERROR(__xludf.DUMMYFUNCTION("""COMPUTED_VALUE"""),"3 - SOU")</f>
        <v>3 - SOU</v>
      </c>
      <c r="F838" s="88" t="str">
        <f>IFERROR(__xludf.DUMMYFUNCTION("""COMPUTED_VALUE"""),"RÁDIO OPERADOR")</f>
        <v>RÁDIO OPERADOR</v>
      </c>
      <c r="G838" s="89">
        <f>IFERROR(__xludf.DUMMYFUNCTION("""COMPUTED_VALUE"""),1.8933556E7)</f>
        <v>18933556</v>
      </c>
      <c r="H838" s="87"/>
      <c r="I838" s="87" t="str">
        <f>IFERROR(__xludf.DUMMYFUNCTION("""COMPUTED_VALUE"""),"mesa telefones")</f>
        <v>mesa telefones</v>
      </c>
    </row>
    <row r="839">
      <c r="A839" s="84">
        <f>IFERROR(__xludf.DUMMYFUNCTION("""COMPUTED_VALUE"""),838.0)</f>
        <v>838</v>
      </c>
      <c r="B839" s="85" t="str">
        <f>IFERROR(__xludf.DUMMYFUNCTION("""COMPUTED_VALUE"""),"MESA PARA COMPUTADOR -")</f>
        <v>MESA PARA COMPUTADOR -</v>
      </c>
      <c r="C839" s="86">
        <f>IFERROR(__xludf.DUMMYFUNCTION("""COMPUTED_VALUE"""),1.0)</f>
        <v>1</v>
      </c>
      <c r="D839" s="87" t="str">
        <f>IFERROR(__xludf.DUMMYFUNCTION("""COMPUTED_VALUE"""),"SEÇÃO")</f>
        <v>SEÇÃO</v>
      </c>
      <c r="E839" s="87" t="str">
        <f>IFERROR(__xludf.DUMMYFUNCTION("""COMPUTED_VALUE"""),"3 - DESCARGA")</f>
        <v>3 - DESCARGA</v>
      </c>
      <c r="F839" s="88"/>
      <c r="G839" s="89">
        <f>IFERROR(__xludf.DUMMYFUNCTION("""COMPUTED_VALUE"""),1.8933629E7)</f>
        <v>18933629</v>
      </c>
      <c r="H839" s="87"/>
      <c r="I839" s="87" t="str">
        <f>IFERROR(__xludf.DUMMYFUNCTION("""COMPUTED_VALUE"""),"MATERIAL DESCARREGADO - PROCESSO Nº 1400.01.0026473/2023-01")</f>
        <v>MATERIAL DESCARREGADO - PROCESSO Nº 1400.01.0026473/2023-01</v>
      </c>
    </row>
    <row r="840">
      <c r="A840" s="84">
        <f>IFERROR(__xludf.DUMMYFUNCTION("""COMPUTED_VALUE"""),839.0)</f>
        <v>839</v>
      </c>
      <c r="B840" s="85" t="str">
        <f>IFERROR(__xludf.DUMMYFUNCTION("""COMPUTED_VALUE"""),"CADEIRA PARA ESCRITORIO -")</f>
        <v>CADEIRA PARA ESCRITORIO -</v>
      </c>
      <c r="C840" s="86">
        <f>IFERROR(__xludf.DUMMYFUNCTION("""COMPUTED_VALUE"""),1.0)</f>
        <v>1</v>
      </c>
      <c r="D840" s="87" t="str">
        <f>IFERROR(__xludf.DUMMYFUNCTION("""COMPUTED_VALUE"""),"SEÇÃO")</f>
        <v>SEÇÃO</v>
      </c>
      <c r="E840" s="87" t="str">
        <f>IFERROR(__xludf.DUMMYFUNCTION("""COMPUTED_VALUE"""),"3 - DESCARGA")</f>
        <v>3 - DESCARGA</v>
      </c>
      <c r="F840" s="88" t="str">
        <f>IFERROR(__xludf.DUMMYFUNCTION("""COMPUTED_VALUE"""),"ÁREA DE DESCARGA")</f>
        <v>ÁREA DE DESCARGA</v>
      </c>
      <c r="G840" s="89">
        <f>IFERROR(__xludf.DUMMYFUNCTION("""COMPUTED_VALUE"""),2.8173929E7)</f>
        <v>28173929</v>
      </c>
      <c r="H840" s="87"/>
      <c r="I840" s="87" t="str">
        <f>IFERROR(__xludf.DUMMYFUNCTION("""COMPUTED_VALUE""")," EM PROCESSO DE DESCARGA SEI-1400.01.0026473/2023-03")</f>
        <v> EM PROCESSO DE DESCARGA SEI-1400.01.0026473/2023-03</v>
      </c>
    </row>
    <row r="841">
      <c r="A841" s="84">
        <f>IFERROR(__xludf.DUMMYFUNCTION("""COMPUTED_VALUE"""),840.0)</f>
        <v>840</v>
      </c>
      <c r="B841" s="85" t="str">
        <f>IFERROR(__xludf.DUMMYFUNCTION("""COMPUTED_VALUE"""),"ESTACAO DE TRABALHO -")</f>
        <v>ESTACAO DE TRABALHO -</v>
      </c>
      <c r="C841" s="86">
        <f>IFERROR(__xludf.DUMMYFUNCTION("""COMPUTED_VALUE"""),1.0)</f>
        <v>1</v>
      </c>
      <c r="D841" s="87" t="str">
        <f>IFERROR(__xludf.DUMMYFUNCTION("""COMPUTED_VALUE"""),"SEÇÃO")</f>
        <v>SEÇÃO</v>
      </c>
      <c r="E841" s="87" t="str">
        <f>IFERROR(__xludf.DUMMYFUNCTION("""COMPUTED_VALUE"""),"3 - DESCARGA")</f>
        <v>3 - DESCARGA</v>
      </c>
      <c r="F841" s="88"/>
      <c r="G841" s="89">
        <f>IFERROR(__xludf.DUMMYFUNCTION("""COMPUTED_VALUE"""),3.0861233E7)</f>
        <v>30861233</v>
      </c>
      <c r="H841" s="87"/>
      <c r="I841" s="87" t="str">
        <f>IFERROR(__xludf.DUMMYFUNCTION("""COMPUTED_VALUE"""),"MATERIAL DESCARREGADO - PROCESSO Nº 1400.01.0026473/2023-01")</f>
        <v>MATERIAL DESCARREGADO - PROCESSO Nº 1400.01.0026473/2023-01</v>
      </c>
    </row>
    <row r="842">
      <c r="A842" s="84">
        <f>IFERROR(__xludf.DUMMYFUNCTION("""COMPUTED_VALUE"""),841.0)</f>
        <v>841</v>
      </c>
      <c r="B842" s="85" t="str">
        <f>IFERROR(__xludf.DUMMYFUNCTION("""COMPUTED_VALUE"""),"CADEIRA -")</f>
        <v>CADEIRA -</v>
      </c>
      <c r="C842" s="86">
        <f>IFERROR(__xludf.DUMMYFUNCTION("""COMPUTED_VALUE"""),1.0)</f>
        <v>1</v>
      </c>
      <c r="D842" s="87" t="str">
        <f>IFERROR(__xludf.DUMMYFUNCTION("""COMPUTED_VALUE"""),"SEÇÃO")</f>
        <v>SEÇÃO</v>
      </c>
      <c r="E842" s="87" t="str">
        <f>IFERROR(__xludf.DUMMYFUNCTION("""COMPUTED_VALUE"""),"3 - DESCARGA")</f>
        <v>3 - DESCARGA</v>
      </c>
      <c r="F842" s="88"/>
      <c r="G842" s="89">
        <f>IFERROR(__xludf.DUMMYFUNCTION("""COMPUTED_VALUE"""),3.0920388E7)</f>
        <v>30920388</v>
      </c>
      <c r="H842" s="87"/>
      <c r="I842" s="87" t="str">
        <f>IFERROR(__xludf.DUMMYFUNCTION("""COMPUTED_VALUE"""),"MATERIAL DESCARREGADO - PROCESSO Nº 1400.01.0026473/2023-01")</f>
        <v>MATERIAL DESCARREGADO - PROCESSO Nº 1400.01.0026473/2023-01</v>
      </c>
    </row>
    <row r="843">
      <c r="A843" s="84">
        <f>IFERROR(__xludf.DUMMYFUNCTION("""COMPUTED_VALUE"""),842.0)</f>
        <v>842</v>
      </c>
      <c r="B843" s="85" t="str">
        <f>IFERROR(__xludf.DUMMYFUNCTION("""COMPUTED_VALUE"""),"REBOQUE PARA EMBARCACOES -")</f>
        <v>REBOQUE PARA EMBARCACOES -</v>
      </c>
      <c r="C843" s="86">
        <f>IFERROR(__xludf.DUMMYFUNCTION("""COMPUTED_VALUE"""),1.0)</f>
        <v>1</v>
      </c>
      <c r="D843" s="87" t="str">
        <f>IFERROR(__xludf.DUMMYFUNCTION("""COMPUTED_VALUE"""),"SEÇÃO")</f>
        <v>SEÇÃO</v>
      </c>
      <c r="E843" s="87" t="str">
        <f>IFERROR(__xludf.DUMMYFUNCTION("""COMPUTED_VALUE"""),"3 - ALMOX. ESTOQUE")</f>
        <v>3 - ALMOX. ESTOQUE</v>
      </c>
      <c r="F843" s="88" t="str">
        <f>IFERROR(__xludf.DUMMYFUNCTION("""COMPUTED_VALUE"""),"ALMOX. SAO (SEDE)")</f>
        <v>ALMOX. SAO (SEDE)</v>
      </c>
      <c r="G843" s="89">
        <f>IFERROR(__xludf.DUMMYFUNCTION("""COMPUTED_VALUE"""),3.5507667E7)</f>
        <v>35507667</v>
      </c>
      <c r="H843" s="87"/>
      <c r="I843" s="87" t="str">
        <f>IFERROR(__xludf.DUMMYFUNCTION("""COMPUTED_VALUE"""),"Carretinha Barco que era da PM.")</f>
        <v>Carretinha Barco que era da PM.</v>
      </c>
    </row>
    <row r="844">
      <c r="A844" s="84">
        <f>IFERROR(__xludf.DUMMYFUNCTION("""COMPUTED_VALUE"""),843.0)</f>
        <v>843</v>
      </c>
      <c r="B844" s="85" t="str">
        <f>IFERROR(__xludf.DUMMYFUNCTION("""COMPUTED_VALUE"""),"CADEIRA PARA ESCRITORIO -")</f>
        <v>CADEIRA PARA ESCRITORIO -</v>
      </c>
      <c r="C844" s="86">
        <f>IFERROR(__xludf.DUMMYFUNCTION("""COMPUTED_VALUE"""),1.0)</f>
        <v>1</v>
      </c>
      <c r="D844" s="87" t="str">
        <f>IFERROR(__xludf.DUMMYFUNCTION("""COMPUTED_VALUE"""),"SEÇÃO")</f>
        <v>SEÇÃO</v>
      </c>
      <c r="E844" s="87" t="str">
        <f>IFERROR(__xludf.DUMMYFUNCTION("""COMPUTED_VALUE"""),"3 - DESCARGA")</f>
        <v>3 - DESCARGA</v>
      </c>
      <c r="F844" s="88"/>
      <c r="G844" s="89">
        <f>IFERROR(__xludf.DUMMYFUNCTION("""COMPUTED_VALUE"""),3.5776811E7)</f>
        <v>35776811</v>
      </c>
      <c r="H844" s="87"/>
      <c r="I844" s="87" t="str">
        <f>IFERROR(__xludf.DUMMYFUNCTION("""COMPUTED_VALUE"""),"MATERIAL DESCARREGADO - PROCESSO Nº 1400.01.0026473/2023-01")</f>
        <v>MATERIAL DESCARREGADO - PROCESSO Nº 1400.01.0026473/2023-01</v>
      </c>
    </row>
    <row r="845">
      <c r="A845" s="84">
        <f>IFERROR(__xludf.DUMMYFUNCTION("""COMPUTED_VALUE"""),844.0)</f>
        <v>844</v>
      </c>
      <c r="B845" s="85" t="str">
        <f>IFERROR(__xludf.DUMMYFUNCTION("""COMPUTED_VALUE"""),"CAPACETE PARA COMBATE INCENDIO -")</f>
        <v>CAPACETE PARA COMBATE INCENDIO -</v>
      </c>
      <c r="C845" s="86">
        <f>IFERROR(__xludf.DUMMYFUNCTION("""COMPUTED_VALUE"""),1.0)</f>
        <v>1</v>
      </c>
      <c r="D845" s="87" t="str">
        <f>IFERROR(__xludf.DUMMYFUNCTION("""COMPUTED_VALUE"""),"SEÇÃO")</f>
        <v>SEÇÃO</v>
      </c>
      <c r="E845" s="87" t="str">
        <f>IFERROR(__xludf.DUMMYFUNCTION("""COMPUTED_VALUE"""),"3 - DESCARGA")</f>
        <v>3 - DESCARGA</v>
      </c>
      <c r="F845" s="88"/>
      <c r="G845" s="89">
        <f>IFERROR(__xludf.DUMMYFUNCTION("""COMPUTED_VALUE"""),3.9950999E7)</f>
        <v>39950999</v>
      </c>
      <c r="H845" s="87"/>
      <c r="I845" s="87" t="str">
        <f>IFERROR(__xludf.DUMMYFUNCTION("""COMPUTED_VALUE"""),"MATERIAL DESCARREGADO - PROCESSO Nº 1400.01.0026473/2023-01")</f>
        <v>MATERIAL DESCARREGADO - PROCESSO Nº 1400.01.0026473/2023-01</v>
      </c>
    </row>
    <row r="846">
      <c r="A846" s="84">
        <f>IFERROR(__xludf.DUMMYFUNCTION("""COMPUTED_VALUE"""),845.0)</f>
        <v>845</v>
      </c>
      <c r="B846" s="85" t="str">
        <f>IFERROR(__xludf.DUMMYFUNCTION("""COMPUTED_VALUE"""),"CAPACETE PARA COMBATE INCENDIO -")</f>
        <v>CAPACETE PARA COMBATE INCENDIO -</v>
      </c>
      <c r="C846" s="86">
        <f>IFERROR(__xludf.DUMMYFUNCTION("""COMPUTED_VALUE"""),1.0)</f>
        <v>1</v>
      </c>
      <c r="D846" s="87" t="str">
        <f>IFERROR(__xludf.DUMMYFUNCTION("""COMPUTED_VALUE"""),"SEÇÃO")</f>
        <v>SEÇÃO</v>
      </c>
      <c r="E846" s="87" t="str">
        <f>IFERROR(__xludf.DUMMYFUNCTION("""COMPUTED_VALUE"""),"3 - ALMOX. ESTOQUE")</f>
        <v>3 - ALMOX. ESTOQUE</v>
      </c>
      <c r="F846" s="88" t="str">
        <f>IFERROR(__xludf.DUMMYFUNCTION("""COMPUTED_VALUE"""),"SAO")</f>
        <v>SAO</v>
      </c>
      <c r="G846" s="89">
        <f>IFERROR(__xludf.DUMMYFUNCTION("""COMPUTED_VALUE"""),3.9951766E7)</f>
        <v>39951766</v>
      </c>
      <c r="H846" s="87"/>
      <c r="I846" s="87" t="str">
        <f>IFERROR(__xludf.DUMMYFUNCTION("""COMPUTED_VALUE""")," EM PROCESSO DE DESCARGA SEI-1400.01.0026473/2023-03")</f>
        <v> EM PROCESSO DE DESCARGA SEI-1400.01.0026473/2023-03</v>
      </c>
    </row>
    <row r="847">
      <c r="A847" s="84">
        <f>IFERROR(__xludf.DUMMYFUNCTION("""COMPUTED_VALUE"""),846.0)</f>
        <v>846</v>
      </c>
      <c r="B847" s="85" t="str">
        <f>IFERROR(__xludf.DUMMYFUNCTION("""COMPUTED_VALUE"""),"CADEIRA PARA ESCRITORIO -")</f>
        <v>CADEIRA PARA ESCRITORIO -</v>
      </c>
      <c r="C847" s="86">
        <f>IFERROR(__xludf.DUMMYFUNCTION("""COMPUTED_VALUE"""),1.0)</f>
        <v>1</v>
      </c>
      <c r="D847" s="87" t="str">
        <f>IFERROR(__xludf.DUMMYFUNCTION("""COMPUTED_VALUE"""),"SEÇÃO")</f>
        <v>SEÇÃO</v>
      </c>
      <c r="E847" s="87" t="str">
        <f>IFERROR(__xludf.DUMMYFUNCTION("""COMPUTED_VALUE"""),"3 - DESCARGA")</f>
        <v>3 - DESCARGA</v>
      </c>
      <c r="F847" s="88"/>
      <c r="G847" s="89">
        <f>IFERROR(__xludf.DUMMYFUNCTION("""COMPUTED_VALUE"""),4.00677E7)</f>
        <v>40067700</v>
      </c>
      <c r="H847" s="87"/>
      <c r="I847" s="87" t="str">
        <f>IFERROR(__xludf.DUMMYFUNCTION("""COMPUTED_VALUE"""),"MATERIAL DESCARREGADO - PROCESSO Nº 1400.01.0026473/2023-01")</f>
        <v>MATERIAL DESCARREGADO - PROCESSO Nº 1400.01.0026473/2023-01</v>
      </c>
    </row>
    <row r="848">
      <c r="A848" s="84">
        <f>IFERROR(__xludf.DUMMYFUNCTION("""COMPUTED_VALUE"""),847.0)</f>
        <v>847</v>
      </c>
      <c r="B848" s="85" t="str">
        <f>IFERROR(__xludf.DUMMYFUNCTION("""COMPUTED_VALUE"""),"CADEIRA PARA ESCRITORIO -")</f>
        <v>CADEIRA PARA ESCRITORIO -</v>
      </c>
      <c r="C848" s="86">
        <f>IFERROR(__xludf.DUMMYFUNCTION("""COMPUTED_VALUE"""),1.0)</f>
        <v>1</v>
      </c>
      <c r="D848" s="87" t="str">
        <f>IFERROR(__xludf.DUMMYFUNCTION("""COMPUTED_VALUE"""),"SEÇÃO")</f>
        <v>SEÇÃO</v>
      </c>
      <c r="E848" s="87" t="str">
        <f>IFERROR(__xludf.DUMMYFUNCTION("""COMPUTED_VALUE"""),"3 - DESCARGA")</f>
        <v>3 - DESCARGA</v>
      </c>
      <c r="F848" s="88"/>
      <c r="G848" s="89">
        <f>IFERROR(__xludf.DUMMYFUNCTION("""COMPUTED_VALUE"""),4.0067777E7)</f>
        <v>40067777</v>
      </c>
      <c r="H848" s="87"/>
      <c r="I848" s="87" t="str">
        <f>IFERROR(__xludf.DUMMYFUNCTION("""COMPUTED_VALUE"""),"MATERIAL DESCARREGADO - PROCESSO Nº 1400.01.0026473/2023-01")</f>
        <v>MATERIAL DESCARREGADO - PROCESSO Nº 1400.01.0026473/2023-01</v>
      </c>
    </row>
    <row r="849">
      <c r="A849" s="84">
        <f>IFERROR(__xludf.DUMMYFUNCTION("""COMPUTED_VALUE"""),848.0)</f>
        <v>848</v>
      </c>
      <c r="B849" s="85" t="str">
        <f>IFERROR(__xludf.DUMMYFUNCTION("""COMPUTED_VALUE"""),"SWITCH -")</f>
        <v>SWITCH -</v>
      </c>
      <c r="C849" s="86">
        <f>IFERROR(__xludf.DUMMYFUNCTION("""COMPUTED_VALUE"""),1.0)</f>
        <v>1</v>
      </c>
      <c r="D849" s="87" t="str">
        <f>IFERROR(__xludf.DUMMYFUNCTION("""COMPUTED_VALUE"""),"SEÇÃO")</f>
        <v>SEÇÃO</v>
      </c>
      <c r="E849" s="87" t="str">
        <f>IFERROR(__xludf.DUMMYFUNCTION("""COMPUTED_VALUE"""),"3 - CARTÓRIO")</f>
        <v>3 - CARTÓRIO</v>
      </c>
      <c r="F849" s="88"/>
      <c r="G849" s="89">
        <f>IFERROR(__xludf.DUMMYFUNCTION("""COMPUTED_VALUE"""),4.0077071E7)</f>
        <v>40077071</v>
      </c>
      <c r="H849" s="87"/>
      <c r="I849" s="87"/>
    </row>
    <row r="850">
      <c r="A850" s="84">
        <f>IFERROR(__xludf.DUMMYFUNCTION("""COMPUTED_VALUE"""),849.0)</f>
        <v>849</v>
      </c>
      <c r="B850" s="85" t="str">
        <f>IFERROR(__xludf.DUMMYFUNCTION("""COMPUTED_VALUE"""),"FRAGMENTADORA -")</f>
        <v>FRAGMENTADORA -</v>
      </c>
      <c r="C850" s="86">
        <f>IFERROR(__xludf.DUMMYFUNCTION("""COMPUTED_VALUE"""),1.0)</f>
        <v>1</v>
      </c>
      <c r="D850" s="87" t="str">
        <f>IFERROR(__xludf.DUMMYFUNCTION("""COMPUTED_VALUE"""),"SEÇÃO")</f>
        <v>SEÇÃO</v>
      </c>
      <c r="E850" s="87" t="str">
        <f>IFERROR(__xludf.DUMMYFUNCTION("""COMPUTED_VALUE"""),"3 - CARTÓRIO")</f>
        <v>3 - CARTÓRIO</v>
      </c>
      <c r="F850" s="88"/>
      <c r="G850" s="89">
        <f>IFERROR(__xludf.DUMMYFUNCTION("""COMPUTED_VALUE"""),4.0140695E7)</f>
        <v>40140695</v>
      </c>
      <c r="H850" s="87"/>
      <c r="I850" s="87"/>
    </row>
    <row r="851">
      <c r="A851" s="84">
        <f>IFERROR(__xludf.DUMMYFUNCTION("""COMPUTED_VALUE"""),850.0)</f>
        <v>850</v>
      </c>
      <c r="B851" s="85" t="str">
        <f>IFERROR(__xludf.DUMMYFUNCTION("""COMPUTED_VALUE"""),"CADEIRA PARA ESCRITORIO -")</f>
        <v>CADEIRA PARA ESCRITORIO -</v>
      </c>
      <c r="C851" s="86">
        <f>IFERROR(__xludf.DUMMYFUNCTION("""COMPUTED_VALUE"""),1.0)</f>
        <v>1</v>
      </c>
      <c r="D851" s="87" t="str">
        <f>IFERROR(__xludf.DUMMYFUNCTION("""COMPUTED_VALUE"""),"SEÇÃO")</f>
        <v>SEÇÃO</v>
      </c>
      <c r="E851" s="87" t="str">
        <f>IFERROR(__xludf.DUMMYFUNCTION("""COMPUTED_VALUE"""),"3 - DESCARGA")</f>
        <v>3 - DESCARGA</v>
      </c>
      <c r="F851" s="88"/>
      <c r="G851" s="89">
        <f>IFERROR(__xludf.DUMMYFUNCTION("""COMPUTED_VALUE"""),4.014836E7)</f>
        <v>40148360</v>
      </c>
      <c r="H851" s="87"/>
      <c r="I851" s="87" t="str">
        <f>IFERROR(__xludf.DUMMYFUNCTION("""COMPUTED_VALUE"""),"MATERIAL DESCARREGADO - PROCESSO Nº 1400.01.0026473/2023-01")</f>
        <v>MATERIAL DESCARREGADO - PROCESSO Nº 1400.01.0026473/2023-01</v>
      </c>
    </row>
    <row r="852">
      <c r="A852" s="84">
        <f>IFERROR(__xludf.DUMMYFUNCTION("""COMPUTED_VALUE"""),851.0)</f>
        <v>851</v>
      </c>
      <c r="B852" s="85" t="str">
        <f>IFERROR(__xludf.DUMMYFUNCTION("""COMPUTED_VALUE"""),"GAVETEIRO USO ESCRITORIO -")</f>
        <v>GAVETEIRO USO ESCRITORIO -</v>
      </c>
      <c r="C852" s="86">
        <f>IFERROR(__xludf.DUMMYFUNCTION("""COMPUTED_VALUE"""),1.0)</f>
        <v>1</v>
      </c>
      <c r="D852" s="87" t="str">
        <f>IFERROR(__xludf.DUMMYFUNCTION("""COMPUTED_VALUE"""),"SEÇÃO")</f>
        <v>SEÇÃO</v>
      </c>
      <c r="E852" s="87" t="str">
        <f>IFERROR(__xludf.DUMMYFUNCTION("""COMPUTED_VALUE"""),"3 - SOU")</f>
        <v>3 - SOU</v>
      </c>
      <c r="F852" s="88" t="str">
        <f>IFERROR(__xludf.DUMMYFUNCTION("""COMPUTED_VALUE"""),"RÁDIO OPERADOR")</f>
        <v>RÁDIO OPERADOR</v>
      </c>
      <c r="G852" s="89">
        <f>IFERROR(__xludf.DUMMYFUNCTION("""COMPUTED_VALUE"""),4.0148483E7)</f>
        <v>40148483</v>
      </c>
      <c r="H852" s="87"/>
      <c r="I852" s="87"/>
    </row>
    <row r="853">
      <c r="A853" s="84">
        <f>IFERROR(__xludf.DUMMYFUNCTION("""COMPUTED_VALUE"""),852.0)</f>
        <v>852</v>
      </c>
      <c r="B853" s="85" t="str">
        <f>IFERROR(__xludf.DUMMYFUNCTION("""COMPUTED_VALUE"""),"CADEIRA PARA ESCRITORIO -")</f>
        <v>CADEIRA PARA ESCRITORIO -</v>
      </c>
      <c r="C853" s="86">
        <f>IFERROR(__xludf.DUMMYFUNCTION("""COMPUTED_VALUE"""),1.0)</f>
        <v>1</v>
      </c>
      <c r="D853" s="87" t="str">
        <f>IFERROR(__xludf.DUMMYFUNCTION("""COMPUTED_VALUE"""),"SEÇÃO")</f>
        <v>SEÇÃO</v>
      </c>
      <c r="E853" s="87" t="str">
        <f>IFERROR(__xludf.DUMMYFUNCTION("""COMPUTED_VALUE"""),"3 - DESCARGA")</f>
        <v>3 - DESCARGA</v>
      </c>
      <c r="F853" s="88"/>
      <c r="G853" s="89">
        <f>IFERROR(__xludf.DUMMYFUNCTION("""COMPUTED_VALUE"""),4.0148866E7)</f>
        <v>40148866</v>
      </c>
      <c r="H853" s="87"/>
      <c r="I853" s="87" t="str">
        <f>IFERROR(__xludf.DUMMYFUNCTION("""COMPUTED_VALUE"""),"MATERIAL DESCARREGADO - PROCESSO Nº 1400.01.0026473/2023-01")</f>
        <v>MATERIAL DESCARREGADO - PROCESSO Nº 1400.01.0026473/2023-01</v>
      </c>
    </row>
    <row r="854">
      <c r="A854" s="84">
        <f>IFERROR(__xludf.DUMMYFUNCTION("""COMPUTED_VALUE"""),853.0)</f>
        <v>853</v>
      </c>
      <c r="B854" s="85" t="str">
        <f>IFERROR(__xludf.DUMMYFUNCTION("""COMPUTED_VALUE"""),"CADEIRA PARA ESCRITORIO -")</f>
        <v>CADEIRA PARA ESCRITORIO -</v>
      </c>
      <c r="C854" s="86">
        <f>IFERROR(__xludf.DUMMYFUNCTION("""COMPUTED_VALUE"""),1.0)</f>
        <v>1</v>
      </c>
      <c r="D854" s="87" t="str">
        <f>IFERROR(__xludf.DUMMYFUNCTION("""COMPUTED_VALUE"""),"SEÇÃO")</f>
        <v>SEÇÃO</v>
      </c>
      <c r="E854" s="87" t="str">
        <f>IFERROR(__xludf.DUMMYFUNCTION("""COMPUTED_VALUE"""),"3 - DESCARGA")</f>
        <v>3 - DESCARGA</v>
      </c>
      <c r="F854" s="88"/>
      <c r="G854" s="89">
        <f>IFERROR(__xludf.DUMMYFUNCTION("""COMPUTED_VALUE"""),4.014889E7)</f>
        <v>40148890</v>
      </c>
      <c r="H854" s="87"/>
      <c r="I854" s="87" t="str">
        <f>IFERROR(__xludf.DUMMYFUNCTION("""COMPUTED_VALUE"""),"MATERIAL DESCARREGADO - PROCESSO Nº 1400.01.0026473/2023-01")</f>
        <v>MATERIAL DESCARREGADO - PROCESSO Nº 1400.01.0026473/2023-01</v>
      </c>
    </row>
    <row r="855">
      <c r="A855" s="84">
        <f>IFERROR(__xludf.DUMMYFUNCTION("""COMPUTED_VALUE"""),854.0)</f>
        <v>854</v>
      </c>
      <c r="B855" s="85" t="str">
        <f>IFERROR(__xludf.DUMMYFUNCTION("""COMPUTED_VALUE"""),"CADEIRA PARA ESCRITORIO -")</f>
        <v>CADEIRA PARA ESCRITORIO -</v>
      </c>
      <c r="C855" s="86">
        <f>IFERROR(__xludf.DUMMYFUNCTION("""COMPUTED_VALUE"""),1.0)</f>
        <v>1</v>
      </c>
      <c r="D855" s="87" t="str">
        <f>IFERROR(__xludf.DUMMYFUNCTION("""COMPUTED_VALUE"""),"SEÇÃO")</f>
        <v>SEÇÃO</v>
      </c>
      <c r="E855" s="87" t="str">
        <f>IFERROR(__xludf.DUMMYFUNCTION("""COMPUTED_VALUE"""),"3 - DESCARGA")</f>
        <v>3 - DESCARGA</v>
      </c>
      <c r="F855" s="88"/>
      <c r="G855" s="89">
        <f>IFERROR(__xludf.DUMMYFUNCTION("""COMPUTED_VALUE"""),4.0148904E7)</f>
        <v>40148904</v>
      </c>
      <c r="H855" s="87"/>
      <c r="I855" s="87" t="str">
        <f>IFERROR(__xludf.DUMMYFUNCTION("""COMPUTED_VALUE"""),"MATERIAL DESCARREGADO - PROCESSO Nº 1400.01.0026473/2023-01")</f>
        <v>MATERIAL DESCARREGADO - PROCESSO Nº 1400.01.0026473/2023-01</v>
      </c>
    </row>
    <row r="856">
      <c r="A856" s="84">
        <f>IFERROR(__xludf.DUMMYFUNCTION("""COMPUTED_VALUE"""),855.0)</f>
        <v>855</v>
      </c>
      <c r="B856" s="85" t="str">
        <f>IFERROR(__xludf.DUMMYFUNCTION("""COMPUTED_VALUE"""),"CADEIRA PARA ESCRITORIO -")</f>
        <v>CADEIRA PARA ESCRITORIO -</v>
      </c>
      <c r="C856" s="86">
        <f>IFERROR(__xludf.DUMMYFUNCTION("""COMPUTED_VALUE"""),1.0)</f>
        <v>1</v>
      </c>
      <c r="D856" s="87" t="str">
        <f>IFERROR(__xludf.DUMMYFUNCTION("""COMPUTED_VALUE"""),"SEÇÃO")</f>
        <v>SEÇÃO</v>
      </c>
      <c r="E856" s="87" t="str">
        <f>IFERROR(__xludf.DUMMYFUNCTION("""COMPUTED_VALUE"""),"3 - DESCARGA")</f>
        <v>3 - DESCARGA</v>
      </c>
      <c r="F856" s="88"/>
      <c r="G856" s="89">
        <f>IFERROR(__xludf.DUMMYFUNCTION("""COMPUTED_VALUE"""),4.014898E7)</f>
        <v>40148980</v>
      </c>
      <c r="H856" s="87"/>
      <c r="I856" s="87" t="str">
        <f>IFERROR(__xludf.DUMMYFUNCTION("""COMPUTED_VALUE"""),"MATERIAL DESCARREGADO - PROCESSO Nº 1400.01.0026473/2023-01")</f>
        <v>MATERIAL DESCARREGADO - PROCESSO Nº 1400.01.0026473/2023-01</v>
      </c>
    </row>
    <row r="857">
      <c r="A857" s="84">
        <f>IFERROR(__xludf.DUMMYFUNCTION("""COMPUTED_VALUE"""),856.0)</f>
        <v>856</v>
      </c>
      <c r="B857" s="85" t="str">
        <f>IFERROR(__xludf.DUMMYFUNCTION("""COMPUTED_VALUE"""),"CADEIRA PARA ESCRITORIO -")</f>
        <v>CADEIRA PARA ESCRITORIO -</v>
      </c>
      <c r="C857" s="86">
        <f>IFERROR(__xludf.DUMMYFUNCTION("""COMPUTED_VALUE"""),1.0)</f>
        <v>1</v>
      </c>
      <c r="D857" s="87" t="str">
        <f>IFERROR(__xludf.DUMMYFUNCTION("""COMPUTED_VALUE"""),"SEÇÃO")</f>
        <v>SEÇÃO</v>
      </c>
      <c r="E857" s="87" t="str">
        <f>IFERROR(__xludf.DUMMYFUNCTION("""COMPUTED_VALUE"""),"3 - DESCARGA")</f>
        <v>3 - DESCARGA</v>
      </c>
      <c r="F857" s="88"/>
      <c r="G857" s="89">
        <f>IFERROR(__xludf.DUMMYFUNCTION("""COMPUTED_VALUE"""),4.0148998E7)</f>
        <v>40148998</v>
      </c>
      <c r="H857" s="87"/>
      <c r="I857" s="87" t="str">
        <f>IFERROR(__xludf.DUMMYFUNCTION("""COMPUTED_VALUE"""),"MATERIAL DESCARREGADO - PROCESSO Nº 1400.01.0026473/2023-01")</f>
        <v>MATERIAL DESCARREGADO - PROCESSO Nº 1400.01.0026473/2023-01</v>
      </c>
    </row>
    <row r="858">
      <c r="A858" s="84">
        <f>IFERROR(__xludf.DUMMYFUNCTION("""COMPUTED_VALUE"""),857.0)</f>
        <v>857</v>
      </c>
      <c r="B858" s="85" t="str">
        <f>IFERROR(__xludf.DUMMYFUNCTION("""COMPUTED_VALUE"""),"CAPACETE PARA COMBATE INCENDIO -")</f>
        <v>CAPACETE PARA COMBATE INCENDIO -</v>
      </c>
      <c r="C858" s="86">
        <f>IFERROR(__xludf.DUMMYFUNCTION("""COMPUTED_VALUE"""),1.0)</f>
        <v>1</v>
      </c>
      <c r="D858" s="87" t="str">
        <f>IFERROR(__xludf.DUMMYFUNCTION("""COMPUTED_VALUE"""),"MILITAR")</f>
        <v>MILITAR</v>
      </c>
      <c r="E858" s="87" t="str">
        <f>IFERROR(__xludf.DUMMYFUNCTION("""COMPUTED_VALUE"""),"2 - 3º SGT RICARDO ALEXANDRE BARBOSA TEIXEIRA")</f>
        <v>2 - 3º SGT RICARDO ALEXANDRE BARBOSA TEIXEIRA</v>
      </c>
      <c r="F858" s="88"/>
      <c r="G858" s="89">
        <f>IFERROR(__xludf.DUMMYFUNCTION("""COMPUTED_VALUE"""),4.016893E7)</f>
        <v>40168930</v>
      </c>
      <c r="H858" s="87"/>
      <c r="I858" s="87"/>
    </row>
    <row r="859">
      <c r="A859" s="84">
        <f>IFERROR(__xludf.DUMMYFUNCTION("""COMPUTED_VALUE"""),858.0)</f>
        <v>858</v>
      </c>
      <c r="B859" s="85" t="str">
        <f>IFERROR(__xludf.DUMMYFUNCTION("""COMPUTED_VALUE"""),"CAPACETE PARA COMBATE INCENDIO -")</f>
        <v>CAPACETE PARA COMBATE INCENDIO -</v>
      </c>
      <c r="C859" s="86">
        <f>IFERROR(__xludf.DUMMYFUNCTION("""COMPUTED_VALUE"""),1.0)</f>
        <v>1</v>
      </c>
      <c r="D859" s="87" t="str">
        <f>IFERROR(__xludf.DUMMYFUNCTION("""COMPUTED_VALUE"""),"MILITAR")</f>
        <v>MILITAR</v>
      </c>
      <c r="E859" s="87" t="str">
        <f>IFERROR(__xludf.DUMMYFUNCTION("""COMPUTED_VALUE"""),"2 - 3º SGT JORGE ANDRÉ RUAS DE OLIVEIRA")</f>
        <v>2 - 3º SGT JORGE ANDRÉ RUAS DE OLIVEIRA</v>
      </c>
      <c r="F859" s="88"/>
      <c r="G859" s="89">
        <f>IFERROR(__xludf.DUMMYFUNCTION("""COMPUTED_VALUE"""),4.016957E7)</f>
        <v>40169570</v>
      </c>
      <c r="H859" s="87"/>
      <c r="I859" s="87"/>
    </row>
    <row r="860">
      <c r="A860" s="84">
        <f>IFERROR(__xludf.DUMMYFUNCTION("""COMPUTED_VALUE"""),859.0)</f>
        <v>859</v>
      </c>
      <c r="B860" s="85" t="str">
        <f>IFERROR(__xludf.DUMMYFUNCTION("""COMPUTED_VALUE"""),"CAPACETE PARA COMBATE INCENDIO -")</f>
        <v>CAPACETE PARA COMBATE INCENDIO -</v>
      </c>
      <c r="C860" s="86">
        <f>IFERROR(__xludf.DUMMYFUNCTION("""COMPUTED_VALUE"""),1.0)</f>
        <v>1</v>
      </c>
      <c r="D860" s="87" t="str">
        <f>IFERROR(__xludf.DUMMYFUNCTION("""COMPUTED_VALUE"""),"MILITAR")</f>
        <v>MILITAR</v>
      </c>
      <c r="E860" s="87" t="str">
        <f>IFERROR(__xludf.DUMMYFUNCTION("""COMPUTED_VALUE"""),"2 - CB SHEILA CRISTINA DA SILVA RUAS")</f>
        <v>2 - CB SHEILA CRISTINA DA SILVA RUAS</v>
      </c>
      <c r="F860" s="88"/>
      <c r="G860" s="89">
        <f>IFERROR(__xludf.DUMMYFUNCTION("""COMPUTED_VALUE"""),4.0170993E7)</f>
        <v>40170993</v>
      </c>
      <c r="H860" s="87"/>
      <c r="I860" s="87"/>
    </row>
    <row r="861">
      <c r="A861" s="84">
        <f>IFERROR(__xludf.DUMMYFUNCTION("""COMPUTED_VALUE"""),860.0)</f>
        <v>860</v>
      </c>
      <c r="B861" s="85" t="str">
        <f>IFERROR(__xludf.DUMMYFUNCTION("""COMPUTED_VALUE"""),"CAPACETE PARA COMBATE INCENDIO -")</f>
        <v>CAPACETE PARA COMBATE INCENDIO -</v>
      </c>
      <c r="C861" s="86">
        <f>IFERROR(__xludf.DUMMYFUNCTION("""COMPUTED_VALUE"""),1.0)</f>
        <v>1</v>
      </c>
      <c r="D861" s="87" t="str">
        <f>IFERROR(__xludf.DUMMYFUNCTION("""COMPUTED_VALUE"""),"SEÇÃO")</f>
        <v>SEÇÃO</v>
      </c>
      <c r="E861" s="87" t="str">
        <f>IFERROR(__xludf.DUMMYFUNCTION("""COMPUTED_VALUE"""),"3 - ALMOX. ESTOQUE")</f>
        <v>3 - ALMOX. ESTOQUE</v>
      </c>
      <c r="F861" s="88" t="str">
        <f>IFERROR(__xludf.DUMMYFUNCTION("""COMPUTED_VALUE"""),"SAO")</f>
        <v>SAO</v>
      </c>
      <c r="G861" s="89">
        <f>IFERROR(__xludf.DUMMYFUNCTION("""COMPUTED_VALUE"""),4.0174719E7)</f>
        <v>40174719</v>
      </c>
      <c r="H861" s="87"/>
      <c r="I861" s="87"/>
    </row>
    <row r="862">
      <c r="A862" s="84">
        <f>IFERROR(__xludf.DUMMYFUNCTION("""COMPUTED_VALUE"""),861.0)</f>
        <v>861</v>
      </c>
      <c r="B862" s="85" t="str">
        <f>IFERROR(__xludf.DUMMYFUNCTION("""COMPUTED_VALUE"""),"CAPACETE PARA COMBATE INCENDIO -")</f>
        <v>CAPACETE PARA COMBATE INCENDIO -</v>
      </c>
      <c r="C862" s="86">
        <f>IFERROR(__xludf.DUMMYFUNCTION("""COMPUTED_VALUE"""),1.0)</f>
        <v>1</v>
      </c>
      <c r="D862" s="87" t="str">
        <f>IFERROR(__xludf.DUMMYFUNCTION("""COMPUTED_VALUE"""),"MILITAR")</f>
        <v>MILITAR</v>
      </c>
      <c r="E862" s="87" t="str">
        <f>IFERROR(__xludf.DUMMYFUNCTION("""COMPUTED_VALUE"""),"2 - CB ALEX COSTA MACHADO")</f>
        <v>2 - CB ALEX COSTA MACHADO</v>
      </c>
      <c r="F862" s="88"/>
      <c r="G862" s="89">
        <f>IFERROR(__xludf.DUMMYFUNCTION("""COMPUTED_VALUE"""),4.0175626E7)</f>
        <v>40175626</v>
      </c>
      <c r="H862" s="87"/>
      <c r="I862" s="87" t="str">
        <f>IFERROR(__xludf.DUMMYFUNCTION("""COMPUTED_VALUE"""),"capacete SICOR, AMARELO")</f>
        <v>capacete SICOR, AMARELO</v>
      </c>
    </row>
    <row r="863">
      <c r="A863" s="84">
        <f>IFERROR(__xludf.DUMMYFUNCTION("""COMPUTED_VALUE"""),862.0)</f>
        <v>862</v>
      </c>
      <c r="B863" s="85" t="str">
        <f>IFERROR(__xludf.DUMMYFUNCTION("""COMPUTED_VALUE"""),"CAPACETE PARA COMBATE INCENDIO -")</f>
        <v>CAPACETE PARA COMBATE INCENDIO -</v>
      </c>
      <c r="C863" s="86">
        <f>IFERROR(__xludf.DUMMYFUNCTION("""COMPUTED_VALUE"""),1.0)</f>
        <v>1</v>
      </c>
      <c r="D863" s="87" t="str">
        <f>IFERROR(__xludf.DUMMYFUNCTION("""COMPUTED_VALUE"""),"MILITAR")</f>
        <v>MILITAR</v>
      </c>
      <c r="E863" s="87" t="str">
        <f>IFERROR(__xludf.DUMMYFUNCTION("""COMPUTED_VALUE"""),"2 - CB FÁBIO DA CUNHA LARA")</f>
        <v>2 - CB FÁBIO DA CUNHA LARA</v>
      </c>
      <c r="F863" s="88"/>
      <c r="G863" s="89">
        <f>IFERROR(__xludf.DUMMYFUNCTION("""COMPUTED_VALUE"""),4.0175731E7)</f>
        <v>40175731</v>
      </c>
      <c r="H863" s="87"/>
      <c r="I863" s="87"/>
    </row>
    <row r="864">
      <c r="A864" s="84">
        <f>IFERROR(__xludf.DUMMYFUNCTION("""COMPUTED_VALUE"""),863.0)</f>
        <v>863</v>
      </c>
      <c r="B864" s="85" t="str">
        <f>IFERROR(__xludf.DUMMYFUNCTION("""COMPUTED_VALUE"""),"CAPACETE PARA COMBATE INCENDIO -")</f>
        <v>CAPACETE PARA COMBATE INCENDIO -</v>
      </c>
      <c r="C864" s="86">
        <f>IFERROR(__xludf.DUMMYFUNCTION("""COMPUTED_VALUE"""),1.0)</f>
        <v>1</v>
      </c>
      <c r="D864" s="87" t="str">
        <f>IFERROR(__xludf.DUMMYFUNCTION("""COMPUTED_VALUE"""),"MILITAR")</f>
        <v>MILITAR</v>
      </c>
      <c r="E864" s="87" t="str">
        <f>IFERROR(__xludf.DUMMYFUNCTION("""COMPUTED_VALUE"""),"2 - CB CLEITON SOUZA ROCHA")</f>
        <v>2 - CB CLEITON SOUZA ROCHA</v>
      </c>
      <c r="F864" s="88"/>
      <c r="G864" s="89">
        <f>IFERROR(__xludf.DUMMYFUNCTION("""COMPUTED_VALUE"""),4.017582E7)</f>
        <v>40175820</v>
      </c>
      <c r="H864" s="87"/>
      <c r="I864" s="87"/>
    </row>
    <row r="865">
      <c r="A865" s="84">
        <f>IFERROR(__xludf.DUMMYFUNCTION("""COMPUTED_VALUE"""),864.0)</f>
        <v>864</v>
      </c>
      <c r="B865" s="85" t="str">
        <f>IFERROR(__xludf.DUMMYFUNCTION("""COMPUTED_VALUE"""),"CAPACETE PARA COMBATE INCENDIO -")</f>
        <v>CAPACETE PARA COMBATE INCENDIO -</v>
      </c>
      <c r="C865" s="86">
        <f>IFERROR(__xludf.DUMMYFUNCTION("""COMPUTED_VALUE"""),1.0)</f>
        <v>1</v>
      </c>
      <c r="D865" s="87" t="str">
        <f>IFERROR(__xludf.DUMMYFUNCTION("""COMPUTED_VALUE"""),"MILITAR")</f>
        <v>MILITAR</v>
      </c>
      <c r="E865" s="87" t="str">
        <f>IFERROR(__xludf.DUMMYFUNCTION("""COMPUTED_VALUE"""),"2 - CB HUDSON HENRIQUE RODRIGUES PEREIRA")</f>
        <v>2 - CB HUDSON HENRIQUE RODRIGUES PEREIRA</v>
      </c>
      <c r="F865" s="88"/>
      <c r="G865" s="89">
        <f>IFERROR(__xludf.DUMMYFUNCTION("""COMPUTED_VALUE"""),4.0175855E7)</f>
        <v>40175855</v>
      </c>
      <c r="H865" s="87"/>
      <c r="I865" s="87"/>
    </row>
    <row r="866">
      <c r="A866" s="84">
        <f>IFERROR(__xludf.DUMMYFUNCTION("""COMPUTED_VALUE"""),865.0)</f>
        <v>865</v>
      </c>
      <c r="B866" s="85" t="str">
        <f>IFERROR(__xludf.DUMMYFUNCTION("""COMPUTED_VALUE"""),"CAPACETE PARA COMBATE INCENDIO -")</f>
        <v>CAPACETE PARA COMBATE INCENDIO -</v>
      </c>
      <c r="C866" s="86">
        <f>IFERROR(__xludf.DUMMYFUNCTION("""COMPUTED_VALUE"""),1.0)</f>
        <v>1</v>
      </c>
      <c r="D866" s="87" t="str">
        <f>IFERROR(__xludf.DUMMYFUNCTION("""COMPUTED_VALUE"""),"MILITAR")</f>
        <v>MILITAR</v>
      </c>
      <c r="E866" s="87" t="str">
        <f>IFERROR(__xludf.DUMMYFUNCTION("""COMPUTED_VALUE"""),"2 - CB DOUGLAS PETERSON TORTIERI COSTA")</f>
        <v>2 - CB DOUGLAS PETERSON TORTIERI COSTA</v>
      </c>
      <c r="F866" s="88"/>
      <c r="G866" s="89">
        <f>IFERROR(__xludf.DUMMYFUNCTION("""COMPUTED_VALUE"""),4.017588E7)</f>
        <v>40175880</v>
      </c>
      <c r="H866" s="87"/>
      <c r="I866" s="87"/>
    </row>
    <row r="867">
      <c r="A867" s="84">
        <f>IFERROR(__xludf.DUMMYFUNCTION("""COMPUTED_VALUE"""),866.0)</f>
        <v>866</v>
      </c>
      <c r="B867" s="85" t="str">
        <f>IFERROR(__xludf.DUMMYFUNCTION("""COMPUTED_VALUE"""),"CAPACETE PARA COMBATE INCENDIO -")</f>
        <v>CAPACETE PARA COMBATE INCENDIO -</v>
      </c>
      <c r="C867" s="86">
        <f>IFERROR(__xludf.DUMMYFUNCTION("""COMPUTED_VALUE"""),1.0)</f>
        <v>1</v>
      </c>
      <c r="D867" s="87" t="str">
        <f>IFERROR(__xludf.DUMMYFUNCTION("""COMPUTED_VALUE"""),"MILITAR")</f>
        <v>MILITAR</v>
      </c>
      <c r="E867" s="87" t="str">
        <f>IFERROR(__xludf.DUMMYFUNCTION("""COMPUTED_VALUE"""),"2 - CB LEONARDO OLIVEIRA DE DEUS")</f>
        <v>2 - CB LEONARDO OLIVEIRA DE DEUS</v>
      </c>
      <c r="F867" s="88"/>
      <c r="G867" s="89">
        <f>IFERROR(__xludf.DUMMYFUNCTION("""COMPUTED_VALUE"""),4.017596E7)</f>
        <v>40175960</v>
      </c>
      <c r="H867" s="87"/>
      <c r="I867" s="87"/>
    </row>
    <row r="868">
      <c r="A868" s="84">
        <f>IFERROR(__xludf.DUMMYFUNCTION("""COMPUTED_VALUE"""),867.0)</f>
        <v>867</v>
      </c>
      <c r="B868" s="85" t="str">
        <f>IFERROR(__xludf.DUMMYFUNCTION("""COMPUTED_VALUE"""),"CAPACETE PARA COMBATE INCENDIO -")</f>
        <v>CAPACETE PARA COMBATE INCENDIO -</v>
      </c>
      <c r="C868" s="86">
        <f>IFERROR(__xludf.DUMMYFUNCTION("""COMPUTED_VALUE"""),1.0)</f>
        <v>1</v>
      </c>
      <c r="D868" s="87" t="str">
        <f>IFERROR(__xludf.DUMMYFUNCTION("""COMPUTED_VALUE"""),"MILITAR")</f>
        <v>MILITAR</v>
      </c>
      <c r="E868" s="87" t="str">
        <f>IFERROR(__xludf.DUMMYFUNCTION("""COMPUTED_VALUE"""),"2 - CB RAFAEL PEREIRA DE SOUZA")</f>
        <v>2 - CB RAFAEL PEREIRA DE SOUZA</v>
      </c>
      <c r="F868" s="88"/>
      <c r="G868" s="89">
        <f>IFERROR(__xludf.DUMMYFUNCTION("""COMPUTED_VALUE"""),4.017638E7)</f>
        <v>40176380</v>
      </c>
      <c r="H868" s="87"/>
      <c r="I868" s="87"/>
    </row>
    <row r="869">
      <c r="A869" s="84">
        <f>IFERROR(__xludf.DUMMYFUNCTION("""COMPUTED_VALUE"""),868.0)</f>
        <v>868</v>
      </c>
      <c r="B869" s="85" t="str">
        <f>IFERROR(__xludf.DUMMYFUNCTION("""COMPUTED_VALUE"""),"CAPACETE PARA COMBATE INCENDIO -")</f>
        <v>CAPACETE PARA COMBATE INCENDIO -</v>
      </c>
      <c r="C869" s="86">
        <f>IFERROR(__xludf.DUMMYFUNCTION("""COMPUTED_VALUE"""),1.0)</f>
        <v>1</v>
      </c>
      <c r="D869" s="87" t="str">
        <f>IFERROR(__xludf.DUMMYFUNCTION("""COMPUTED_VALUE"""),"MILITAR")</f>
        <v>MILITAR</v>
      </c>
      <c r="E869" s="87" t="str">
        <f>IFERROR(__xludf.DUMMYFUNCTION("""COMPUTED_VALUE"""),"2 - CB ÉDER CHRISTIAN SOUZA")</f>
        <v>2 - CB ÉDER CHRISTIAN SOUZA</v>
      </c>
      <c r="F869" s="88"/>
      <c r="G869" s="89">
        <f>IFERROR(__xludf.DUMMYFUNCTION("""COMPUTED_VALUE"""),4.0176576E7)</f>
        <v>40176576</v>
      </c>
      <c r="H869" s="87"/>
      <c r="I869" s="87"/>
    </row>
    <row r="870">
      <c r="A870" s="84">
        <f>IFERROR(__xludf.DUMMYFUNCTION("""COMPUTED_VALUE"""),869.0)</f>
        <v>869</v>
      </c>
      <c r="B870" s="85" t="str">
        <f>IFERROR(__xludf.DUMMYFUNCTION("""COMPUTED_VALUE"""),"CAPACETE PARA COMBATE INCENDIO -")</f>
        <v>CAPACETE PARA COMBATE INCENDIO -</v>
      </c>
      <c r="C870" s="86">
        <f>IFERROR(__xludf.DUMMYFUNCTION("""COMPUTED_VALUE"""),1.0)</f>
        <v>1</v>
      </c>
      <c r="D870" s="87" t="str">
        <f>IFERROR(__xludf.DUMMYFUNCTION("""COMPUTED_VALUE"""),"MILITAR")</f>
        <v>MILITAR</v>
      </c>
      <c r="E870" s="87" t="str">
        <f>IFERROR(__xludf.DUMMYFUNCTION("""COMPUTED_VALUE"""),"2 - CB PAULO HENRIQUE DA ROCHA RODRIGUES")</f>
        <v>2 - CB PAULO HENRIQUE DA ROCHA RODRIGUES</v>
      </c>
      <c r="F870" s="88"/>
      <c r="G870" s="89">
        <f>IFERROR(__xludf.DUMMYFUNCTION("""COMPUTED_VALUE"""),4.0176584E7)</f>
        <v>40176584</v>
      </c>
      <c r="H870" s="87"/>
      <c r="I870" s="87"/>
    </row>
    <row r="871">
      <c r="A871" s="84">
        <f>IFERROR(__xludf.DUMMYFUNCTION("""COMPUTED_VALUE"""),870.0)</f>
        <v>870</v>
      </c>
      <c r="B871" s="85" t="str">
        <f>IFERROR(__xludf.DUMMYFUNCTION("""COMPUTED_VALUE"""),"CAPACETE PARA COMBATE INCENDIO -")</f>
        <v>CAPACETE PARA COMBATE INCENDIO -</v>
      </c>
      <c r="C871" s="86">
        <f>IFERROR(__xludf.DUMMYFUNCTION("""COMPUTED_VALUE"""),1.0)</f>
        <v>1</v>
      </c>
      <c r="D871" s="87" t="str">
        <f>IFERROR(__xludf.DUMMYFUNCTION("""COMPUTED_VALUE"""),"MILITAR")</f>
        <v>MILITAR</v>
      </c>
      <c r="E871" s="87" t="str">
        <f>IFERROR(__xludf.DUMMYFUNCTION("""COMPUTED_VALUE"""),"2 - CB ROMANO PIRES LIMA FILHO")</f>
        <v>2 - CB ROMANO PIRES LIMA FILHO</v>
      </c>
      <c r="F871" s="88"/>
      <c r="G871" s="89">
        <f>IFERROR(__xludf.DUMMYFUNCTION("""COMPUTED_VALUE"""),4.017669E7)</f>
        <v>40176690</v>
      </c>
      <c r="H871" s="87"/>
      <c r="I871" s="87"/>
    </row>
    <row r="872">
      <c r="A872" s="84">
        <f>IFERROR(__xludf.DUMMYFUNCTION("""COMPUTED_VALUE"""),871.0)</f>
        <v>871</v>
      </c>
      <c r="B872" s="85" t="str">
        <f>IFERROR(__xludf.DUMMYFUNCTION("""COMPUTED_VALUE"""),"CAPACETE PARA COMBATE INCENDIO -")</f>
        <v>CAPACETE PARA COMBATE INCENDIO -</v>
      </c>
      <c r="C872" s="86">
        <f>IFERROR(__xludf.DUMMYFUNCTION("""COMPUTED_VALUE"""),1.0)</f>
        <v>1</v>
      </c>
      <c r="D872" s="87" t="str">
        <f>IFERROR(__xludf.DUMMYFUNCTION("""COMPUTED_VALUE"""),"MILITAR")</f>
        <v>MILITAR</v>
      </c>
      <c r="E872" s="87" t="str">
        <f>IFERROR(__xludf.DUMMYFUNCTION("""COMPUTED_VALUE"""),"2 - SD HERICK LUCAS CARDOSO SALGUEIRO")</f>
        <v>2 - SD HERICK LUCAS CARDOSO SALGUEIRO</v>
      </c>
      <c r="F872" s="88"/>
      <c r="G872" s="89">
        <f>IFERROR(__xludf.DUMMYFUNCTION("""COMPUTED_VALUE"""),4.0176789E7)</f>
        <v>40176789</v>
      </c>
      <c r="H872" s="87"/>
      <c r="I872" s="87"/>
    </row>
    <row r="873">
      <c r="A873" s="84">
        <f>IFERROR(__xludf.DUMMYFUNCTION("""COMPUTED_VALUE"""),872.0)</f>
        <v>872</v>
      </c>
      <c r="B873" s="85" t="str">
        <f>IFERROR(__xludf.DUMMYFUNCTION("""COMPUTED_VALUE"""),"CAPACETE PARA COMBATE INCENDIO -")</f>
        <v>CAPACETE PARA COMBATE INCENDIO -</v>
      </c>
      <c r="C873" s="86">
        <f>IFERROR(__xludf.DUMMYFUNCTION("""COMPUTED_VALUE"""),1.0)</f>
        <v>1</v>
      </c>
      <c r="D873" s="87" t="str">
        <f>IFERROR(__xludf.DUMMYFUNCTION("""COMPUTED_VALUE"""),"MILITAR")</f>
        <v>MILITAR</v>
      </c>
      <c r="E873" s="87" t="str">
        <f>IFERROR(__xludf.DUMMYFUNCTION("""COMPUTED_VALUE"""),"2 - SD RENILSON ADRIANO CAMPOS FILHO")</f>
        <v>2 - SD RENILSON ADRIANO CAMPOS FILHO</v>
      </c>
      <c r="F873" s="88"/>
      <c r="G873" s="89">
        <f>IFERROR(__xludf.DUMMYFUNCTION("""COMPUTED_VALUE"""),4.0176835E7)</f>
        <v>40176835</v>
      </c>
      <c r="H873" s="87"/>
      <c r="I873" s="87" t="str">
        <f>IFERROR(__xludf.DUMMYFUNCTION("""COMPUTED_VALUE"""),"TRANSFERIR PARA A ABM")</f>
        <v>TRANSFERIR PARA A ABM</v>
      </c>
    </row>
    <row r="874">
      <c r="A874" s="84">
        <f>IFERROR(__xludf.DUMMYFUNCTION("""COMPUTED_VALUE"""),873.0)</f>
        <v>873</v>
      </c>
      <c r="B874" s="85" t="str">
        <f>IFERROR(__xludf.DUMMYFUNCTION("""COMPUTED_VALUE"""),"CAPACETE PARA COMBATE INCENDIO -")</f>
        <v>CAPACETE PARA COMBATE INCENDIO -</v>
      </c>
      <c r="C874" s="86">
        <f>IFERROR(__xludf.DUMMYFUNCTION("""COMPUTED_VALUE"""),1.0)</f>
        <v>1</v>
      </c>
      <c r="D874" s="87" t="str">
        <f>IFERROR(__xludf.DUMMYFUNCTION("""COMPUTED_VALUE"""),"SEÇÃO")</f>
        <v>SEÇÃO</v>
      </c>
      <c r="E874" s="87" t="str">
        <f>IFERROR(__xludf.DUMMYFUNCTION("""COMPUTED_VALUE"""),"3 - ALMOX. ESTOQUE")</f>
        <v>3 - ALMOX. ESTOQUE</v>
      </c>
      <c r="F874" s="88" t="str">
        <f>IFERROR(__xludf.DUMMYFUNCTION("""COMPUTED_VALUE"""),"SAO")</f>
        <v>SAO</v>
      </c>
      <c r="G874" s="89">
        <f>IFERROR(__xludf.DUMMYFUNCTION("""COMPUTED_VALUE"""),4.0176843E7)</f>
        <v>40176843</v>
      </c>
      <c r="H874" s="87"/>
      <c r="I874" s="87" t="str">
        <f>IFERROR(__xludf.DUMMYFUNCTION("""COMPUTED_VALUE"""),"capacete SICOR, AMARELO")</f>
        <v>capacete SICOR, AMARELO</v>
      </c>
    </row>
    <row r="875">
      <c r="A875" s="84">
        <f>IFERROR(__xludf.DUMMYFUNCTION("""COMPUTED_VALUE"""),874.0)</f>
        <v>874</v>
      </c>
      <c r="B875" s="85" t="str">
        <f>IFERROR(__xludf.DUMMYFUNCTION("""COMPUTED_VALUE"""),"CAPACETE PARA COMBATE INCENDIO -")</f>
        <v>CAPACETE PARA COMBATE INCENDIO -</v>
      </c>
      <c r="C875" s="86">
        <f>IFERROR(__xludf.DUMMYFUNCTION("""COMPUTED_VALUE"""),1.0)</f>
        <v>1</v>
      </c>
      <c r="D875" s="87" t="str">
        <f>IFERROR(__xludf.DUMMYFUNCTION("""COMPUTED_VALUE"""),"SEÇÃO")</f>
        <v>SEÇÃO</v>
      </c>
      <c r="E875" s="87" t="str">
        <f>IFERROR(__xludf.DUMMYFUNCTION("""COMPUTED_VALUE"""),"3 - ALMOX. ESTOQUE")</f>
        <v>3 - ALMOX. ESTOQUE</v>
      </c>
      <c r="F875" s="88" t="str">
        <f>IFERROR(__xludf.DUMMYFUNCTION("""COMPUTED_VALUE"""),"SAO")</f>
        <v>SAO</v>
      </c>
      <c r="G875" s="89">
        <f>IFERROR(__xludf.DUMMYFUNCTION("""COMPUTED_VALUE"""),4.0176886E7)</f>
        <v>40176886</v>
      </c>
      <c r="H875" s="87"/>
      <c r="I875" s="87" t="str">
        <f>IFERROR(__xludf.DUMMYFUNCTION("""COMPUTED_VALUE"""),"capacete SICOR, AMARELO")</f>
        <v>capacete SICOR, AMARELO</v>
      </c>
    </row>
    <row r="876">
      <c r="A876" s="84">
        <f>IFERROR(__xludf.DUMMYFUNCTION("""COMPUTED_VALUE"""),875.0)</f>
        <v>875</v>
      </c>
      <c r="B876" s="85" t="str">
        <f>IFERROR(__xludf.DUMMYFUNCTION("""COMPUTED_VALUE"""),"CAPACETE PARA COMBATE INCENDIO -")</f>
        <v>CAPACETE PARA COMBATE INCENDIO -</v>
      </c>
      <c r="C876" s="86">
        <f>IFERROR(__xludf.DUMMYFUNCTION("""COMPUTED_VALUE"""),1.0)</f>
        <v>1</v>
      </c>
      <c r="D876" s="87" t="str">
        <f>IFERROR(__xludf.DUMMYFUNCTION("""COMPUTED_VALUE"""),"SEÇÃO")</f>
        <v>SEÇÃO</v>
      </c>
      <c r="E876" s="87" t="str">
        <f>IFERROR(__xludf.DUMMYFUNCTION("""COMPUTED_VALUE"""),"3 - ALMOX. ESTOQUE")</f>
        <v>3 - ALMOX. ESTOQUE</v>
      </c>
      <c r="F876" s="88" t="str">
        <f>IFERROR(__xludf.DUMMYFUNCTION("""COMPUTED_VALUE"""),"SAO")</f>
        <v>SAO</v>
      </c>
      <c r="G876" s="89">
        <f>IFERROR(__xludf.DUMMYFUNCTION("""COMPUTED_VALUE"""),4.0176991E7)</f>
        <v>40176991</v>
      </c>
      <c r="H876" s="87"/>
      <c r="I876" s="87" t="str">
        <f>IFERROR(__xludf.DUMMYFUNCTION("""COMPUTED_VALUE"""),"capacete SICOR, AMARELO")</f>
        <v>capacete SICOR, AMARELO</v>
      </c>
    </row>
    <row r="877">
      <c r="A877" s="84">
        <f>IFERROR(__xludf.DUMMYFUNCTION("""COMPUTED_VALUE"""),876.0)</f>
        <v>876</v>
      </c>
      <c r="B877" s="85" t="str">
        <f>IFERROR(__xludf.DUMMYFUNCTION("""COMPUTED_VALUE"""),"CAPACETE PARA COMBATE INCENDIO -")</f>
        <v>CAPACETE PARA COMBATE INCENDIO -</v>
      </c>
      <c r="C877" s="86">
        <f>IFERROR(__xludf.DUMMYFUNCTION("""COMPUTED_VALUE"""),1.0)</f>
        <v>1</v>
      </c>
      <c r="D877" s="87" t="str">
        <f>IFERROR(__xludf.DUMMYFUNCTION("""COMPUTED_VALUE"""),"SEÇÃO")</f>
        <v>SEÇÃO</v>
      </c>
      <c r="E877" s="87" t="str">
        <f>IFERROR(__xludf.DUMMYFUNCTION("""COMPUTED_VALUE"""),"3 - ALMOX. ESTOQUE")</f>
        <v>3 - ALMOX. ESTOQUE</v>
      </c>
      <c r="F877" s="88" t="str">
        <f>IFERROR(__xludf.DUMMYFUNCTION("""COMPUTED_VALUE"""),"SAO")</f>
        <v>SAO</v>
      </c>
      <c r="G877" s="89">
        <f>IFERROR(__xludf.DUMMYFUNCTION("""COMPUTED_VALUE"""),4.0177017E7)</f>
        <v>40177017</v>
      </c>
      <c r="H877" s="87"/>
      <c r="I877" s="87" t="str">
        <f>IFERROR(__xludf.DUMMYFUNCTION("""COMPUTED_VALUE"""),"capacete SICOR, AMARELO")</f>
        <v>capacete SICOR, AMARELO</v>
      </c>
    </row>
    <row r="878">
      <c r="A878" s="84">
        <f>IFERROR(__xludf.DUMMYFUNCTION("""COMPUTED_VALUE"""),877.0)</f>
        <v>877</v>
      </c>
      <c r="B878" s="85" t="str">
        <f>IFERROR(__xludf.DUMMYFUNCTION("""COMPUTED_VALUE"""),"CAPACETE PARA COMBATE INCENDIO -")</f>
        <v>CAPACETE PARA COMBATE INCENDIO -</v>
      </c>
      <c r="C878" s="86">
        <f>IFERROR(__xludf.DUMMYFUNCTION("""COMPUTED_VALUE"""),1.0)</f>
        <v>1</v>
      </c>
      <c r="D878" s="87" t="str">
        <f>IFERROR(__xludf.DUMMYFUNCTION("""COMPUTED_VALUE"""),"MILITAR")</f>
        <v>MILITAR</v>
      </c>
      <c r="E878" s="87" t="str">
        <f>IFERROR(__xludf.DUMMYFUNCTION("""COMPUTED_VALUE"""),"2 - 1º SGT WANDERSON XAVIER ALVES")</f>
        <v>2 - 1º SGT WANDERSON XAVIER ALVES</v>
      </c>
      <c r="F878" s="88"/>
      <c r="G878" s="89">
        <f>IFERROR(__xludf.DUMMYFUNCTION("""COMPUTED_VALUE"""),4.0177084E7)</f>
        <v>40177084</v>
      </c>
      <c r="H878" s="87" t="str">
        <f>IFERROR(__xludf.DUMMYFUNCTION("""COMPUTED_VALUE"""),"SEI nº 119489254")</f>
        <v>SEI nº 119489254</v>
      </c>
      <c r="I878" s="87" t="str">
        <f>IFERROR(__xludf.DUMMYFUNCTION("""COMPUTED_VALUE"""),"capacete SICOR, VERMELHO ACAUTELDO PELO 1 SGT WANDERSON XAVIER ALVES")</f>
        <v>capacete SICOR, VERMELHO ACAUTELDO PELO 1 SGT WANDERSON XAVIER ALVES</v>
      </c>
    </row>
    <row r="879">
      <c r="A879" s="84">
        <f>IFERROR(__xludf.DUMMYFUNCTION("""COMPUTED_VALUE"""),878.0)</f>
        <v>878</v>
      </c>
      <c r="B879" s="85" t="str">
        <f>IFERROR(__xludf.DUMMYFUNCTION("""COMPUTED_VALUE"""),"CAPACETE PARA COMBATE INCENDIO -")</f>
        <v>CAPACETE PARA COMBATE INCENDIO -</v>
      </c>
      <c r="C879" s="86">
        <f>IFERROR(__xludf.DUMMYFUNCTION("""COMPUTED_VALUE"""),1.0)</f>
        <v>1</v>
      </c>
      <c r="D879" s="87" t="str">
        <f>IFERROR(__xludf.DUMMYFUNCTION("""COMPUTED_VALUE"""),"SEÇÃO")</f>
        <v>SEÇÃO</v>
      </c>
      <c r="E879" s="87" t="str">
        <f>IFERROR(__xludf.DUMMYFUNCTION("""COMPUTED_VALUE"""),"3 - ALMOX. ESTOQUE")</f>
        <v>3 - ALMOX. ESTOQUE</v>
      </c>
      <c r="F879" s="88" t="str">
        <f>IFERROR(__xludf.DUMMYFUNCTION("""COMPUTED_VALUE"""),"SAO")</f>
        <v>SAO</v>
      </c>
      <c r="G879" s="89">
        <f>IFERROR(__xludf.DUMMYFUNCTION("""COMPUTED_VALUE"""),4.0177114E7)</f>
        <v>40177114</v>
      </c>
      <c r="H879" s="87"/>
      <c r="I879" s="87" t="str">
        <f>IFERROR(__xludf.DUMMYFUNCTION("""COMPUTED_VALUE"""),"capacete SICOR, VERMELHO")</f>
        <v>capacete SICOR, VERMELHO</v>
      </c>
    </row>
    <row r="880">
      <c r="A880" s="84">
        <f>IFERROR(__xludf.DUMMYFUNCTION("""COMPUTED_VALUE"""),879.0)</f>
        <v>879</v>
      </c>
      <c r="B880" s="85" t="str">
        <f>IFERROR(__xludf.DUMMYFUNCTION("""COMPUTED_VALUE"""),"CAPACETE PARA COMBATE INCENDIO -")</f>
        <v>CAPACETE PARA COMBATE INCENDIO -</v>
      </c>
      <c r="C880" s="86">
        <f>IFERROR(__xludf.DUMMYFUNCTION("""COMPUTED_VALUE"""),1.0)</f>
        <v>1</v>
      </c>
      <c r="D880" s="87" t="str">
        <f>IFERROR(__xludf.DUMMYFUNCTION("""COMPUTED_VALUE"""),"SEÇÃO")</f>
        <v>SEÇÃO</v>
      </c>
      <c r="E880" s="87" t="str">
        <f>IFERROR(__xludf.DUMMYFUNCTION("""COMPUTED_VALUE"""),"3 - ALMOX. ESTOQUE")</f>
        <v>3 - ALMOX. ESTOQUE</v>
      </c>
      <c r="F880" s="88" t="str">
        <f>IFERROR(__xludf.DUMMYFUNCTION("""COMPUTED_VALUE"""),"SAO")</f>
        <v>SAO</v>
      </c>
      <c r="G880" s="89">
        <f>IFERROR(__xludf.DUMMYFUNCTION("""COMPUTED_VALUE"""),4.017719E7)</f>
        <v>40177190</v>
      </c>
      <c r="H880" s="87"/>
      <c r="I880" s="87" t="str">
        <f>IFERROR(__xludf.DUMMYFUNCTION("""COMPUTED_VALUE"""),"capacete SICOR, VERMELHO")</f>
        <v>capacete SICOR, VERMELHO</v>
      </c>
    </row>
    <row r="881">
      <c r="A881" s="84">
        <f>IFERROR(__xludf.DUMMYFUNCTION("""COMPUTED_VALUE"""),880.0)</f>
        <v>880</v>
      </c>
      <c r="B881" s="85" t="str">
        <f>IFERROR(__xludf.DUMMYFUNCTION("""COMPUTED_VALUE"""),"CAPACETE PARA COMBATE INCENDIO -")</f>
        <v>CAPACETE PARA COMBATE INCENDIO -</v>
      </c>
      <c r="C881" s="86">
        <f>IFERROR(__xludf.DUMMYFUNCTION("""COMPUTED_VALUE"""),1.0)</f>
        <v>1</v>
      </c>
      <c r="D881" s="87" t="str">
        <f>IFERROR(__xludf.DUMMYFUNCTION("""COMPUTED_VALUE"""),"SEÇÃO")</f>
        <v>SEÇÃO</v>
      </c>
      <c r="E881" s="87" t="str">
        <f>IFERROR(__xludf.DUMMYFUNCTION("""COMPUTED_VALUE"""),"3 - ALMOX. ESTOQUE")</f>
        <v>3 - ALMOX. ESTOQUE</v>
      </c>
      <c r="F881" s="88" t="str">
        <f>IFERROR(__xludf.DUMMYFUNCTION("""COMPUTED_VALUE"""),"SAO")</f>
        <v>SAO</v>
      </c>
      <c r="G881" s="89">
        <f>IFERROR(__xludf.DUMMYFUNCTION("""COMPUTED_VALUE"""),4.0177254E7)</f>
        <v>40177254</v>
      </c>
      <c r="H881" s="87"/>
      <c r="I881" s="87" t="str">
        <f>IFERROR(__xludf.DUMMYFUNCTION("""COMPUTED_VALUE"""),"capacete SICOR, VERMELHO")</f>
        <v>capacete SICOR, VERMELHO</v>
      </c>
    </row>
    <row r="882">
      <c r="A882" s="84">
        <f>IFERROR(__xludf.DUMMYFUNCTION("""COMPUTED_VALUE"""),881.0)</f>
        <v>881</v>
      </c>
      <c r="B882" s="85" t="str">
        <f>IFERROR(__xludf.DUMMYFUNCTION("""COMPUTED_VALUE"""),"CAPACETE PARA COMBATE INCENDIO -")</f>
        <v>CAPACETE PARA COMBATE INCENDIO -</v>
      </c>
      <c r="C882" s="86">
        <f>IFERROR(__xludf.DUMMYFUNCTION("""COMPUTED_VALUE"""),1.0)</f>
        <v>1</v>
      </c>
      <c r="D882" s="87" t="str">
        <f>IFERROR(__xludf.DUMMYFUNCTION("""COMPUTED_VALUE"""),"MILITAR")</f>
        <v>MILITAR</v>
      </c>
      <c r="E882" s="87" t="str">
        <f>IFERROR(__xludf.DUMMYFUNCTION("""COMPUTED_VALUE"""),"2 - 3º SGT RONALDO DE MEIRA SANTIAGO")</f>
        <v>2 - 3º SGT RONALDO DE MEIRA SANTIAGO</v>
      </c>
      <c r="F882" s="88"/>
      <c r="G882" s="89">
        <f>IFERROR(__xludf.DUMMYFUNCTION("""COMPUTED_VALUE"""),4.0177319E7)</f>
        <v>40177319</v>
      </c>
      <c r="H882" s="87"/>
      <c r="I882" s="87" t="str">
        <f>IFERROR(__xludf.DUMMYFUNCTION("""COMPUTED_VALUE"""),"capacete SICOR, VERMELHO (CAPACETE PAGO PARA CURVELO)")</f>
        <v>capacete SICOR, VERMELHO (CAPACETE PAGO PARA CURVELO)</v>
      </c>
    </row>
    <row r="883">
      <c r="A883" s="84">
        <f>IFERROR(__xludf.DUMMYFUNCTION("""COMPUTED_VALUE"""),882.0)</f>
        <v>882</v>
      </c>
      <c r="B883" s="85" t="str">
        <f>IFERROR(__xludf.DUMMYFUNCTION("""COMPUTED_VALUE"""),"CAPACETE PARA COMBATE INCENDIO -")</f>
        <v>CAPACETE PARA COMBATE INCENDIO -</v>
      </c>
      <c r="C883" s="86">
        <f>IFERROR(__xludf.DUMMYFUNCTION("""COMPUTED_VALUE"""),1.0)</f>
        <v>1</v>
      </c>
      <c r="D883" s="87" t="str">
        <f>IFERROR(__xludf.DUMMYFUNCTION("""COMPUTED_VALUE"""),"SEÇÃO")</f>
        <v>SEÇÃO</v>
      </c>
      <c r="E883" s="87" t="str">
        <f>IFERROR(__xludf.DUMMYFUNCTION("""COMPUTED_VALUE"""),"3 - ALMOX. ESTOQUE")</f>
        <v>3 - ALMOX. ESTOQUE</v>
      </c>
      <c r="F883" s="88" t="str">
        <f>IFERROR(__xludf.DUMMYFUNCTION("""COMPUTED_VALUE"""),"SAO")</f>
        <v>SAO</v>
      </c>
      <c r="G883" s="89">
        <f>IFERROR(__xludf.DUMMYFUNCTION("""COMPUTED_VALUE"""),4.0177335E7)</f>
        <v>40177335</v>
      </c>
      <c r="H883" s="87"/>
      <c r="I883" s="87" t="str">
        <f>IFERROR(__xludf.DUMMYFUNCTION("""COMPUTED_VALUE"""),"capacete SICOR, VERMELHO")</f>
        <v>capacete SICOR, VERMELHO</v>
      </c>
    </row>
    <row r="884">
      <c r="A884" s="84">
        <f>IFERROR(__xludf.DUMMYFUNCTION("""COMPUTED_VALUE"""),883.0)</f>
        <v>883</v>
      </c>
      <c r="B884" s="85" t="str">
        <f>IFERROR(__xludf.DUMMYFUNCTION("""COMPUTED_VALUE"""),"CAPACETE PARA COMBATE INCENDIO -")</f>
        <v>CAPACETE PARA COMBATE INCENDIO -</v>
      </c>
      <c r="C884" s="86">
        <f>IFERROR(__xludf.DUMMYFUNCTION("""COMPUTED_VALUE"""),1.0)</f>
        <v>1</v>
      </c>
      <c r="D884" s="87" t="str">
        <f>IFERROR(__xludf.DUMMYFUNCTION("""COMPUTED_VALUE"""),"MILITAR")</f>
        <v>MILITAR</v>
      </c>
      <c r="E884" s="87" t="str">
        <f>IFERROR(__xludf.DUMMYFUNCTION("""COMPUTED_VALUE"""),"2 - 1º TEN ALESSANDRO DE SENA COSTA")</f>
        <v>2 - 1º TEN ALESSANDRO DE SENA COSTA</v>
      </c>
      <c r="F884" s="88"/>
      <c r="G884" s="89">
        <f>IFERROR(__xludf.DUMMYFUNCTION("""COMPUTED_VALUE"""),4.0177351E7)</f>
        <v>40177351</v>
      </c>
      <c r="H884" s="87"/>
      <c r="I884" s="87" t="str">
        <f>IFERROR(__xludf.DUMMYFUNCTION("""COMPUTED_VALUE"""),"TRANSFERIR PATR. PARA O 7º BBM")</f>
        <v>TRANSFERIR PATR. PARA O 7º BBM</v>
      </c>
    </row>
    <row r="885">
      <c r="A885" s="84">
        <f>IFERROR(__xludf.DUMMYFUNCTION("""COMPUTED_VALUE"""),884.0)</f>
        <v>884</v>
      </c>
      <c r="B885" s="85" t="str">
        <f>IFERROR(__xludf.DUMMYFUNCTION("""COMPUTED_VALUE"""),"CAPACETE PARA COMBATE INCENDIO -")</f>
        <v>CAPACETE PARA COMBATE INCENDIO -</v>
      </c>
      <c r="C885" s="86">
        <f>IFERROR(__xludf.DUMMYFUNCTION("""COMPUTED_VALUE"""),1.0)</f>
        <v>1</v>
      </c>
      <c r="D885" s="87" t="str">
        <f>IFERROR(__xludf.DUMMYFUNCTION("""COMPUTED_VALUE"""),"SEÇÃO")</f>
        <v>SEÇÃO</v>
      </c>
      <c r="E885" s="87" t="str">
        <f>IFERROR(__xludf.DUMMYFUNCTION("""COMPUTED_VALUE"""),"3 - ALMOX. ESTOQUE")</f>
        <v>3 - ALMOX. ESTOQUE</v>
      </c>
      <c r="F885" s="88" t="str">
        <f>IFERROR(__xludf.DUMMYFUNCTION("""COMPUTED_VALUE"""),"SAO")</f>
        <v>SAO</v>
      </c>
      <c r="G885" s="89">
        <f>IFERROR(__xludf.DUMMYFUNCTION("""COMPUTED_VALUE"""),4.019543E7)</f>
        <v>40195430</v>
      </c>
      <c r="H885" s="87"/>
      <c r="I885" s="87" t="str">
        <f>IFERROR(__xludf.DUMMYFUNCTION("""COMPUTED_VALUE"""),"capacete SICOR, VERMELHO")</f>
        <v>capacete SICOR, VERMELHO</v>
      </c>
    </row>
    <row r="886">
      <c r="A886" s="84">
        <f>IFERROR(__xludf.DUMMYFUNCTION("""COMPUTED_VALUE"""),885.0)</f>
        <v>885</v>
      </c>
      <c r="B886" s="85" t="str">
        <f>IFERROR(__xludf.DUMMYFUNCTION("""COMPUTED_VALUE"""),"CAPACETE DE SALVAMENTO E PROTECAO -")</f>
        <v>CAPACETE DE SALVAMENTO E PROTECAO -</v>
      </c>
      <c r="C886" s="86">
        <f>IFERROR(__xludf.DUMMYFUNCTION("""COMPUTED_VALUE"""),1.0)</f>
        <v>1</v>
      </c>
      <c r="D886" s="87" t="str">
        <f>IFERROR(__xludf.DUMMYFUNCTION("""COMPUTED_VALUE"""),"SEÇÃO")</f>
        <v>SEÇÃO</v>
      </c>
      <c r="E886" s="87" t="str">
        <f>IFERROR(__xludf.DUMMYFUNCTION("""COMPUTED_VALUE"""),"3 - ALMOX. ESTOQUE")</f>
        <v>3 - ALMOX. ESTOQUE</v>
      </c>
      <c r="F886" s="88" t="str">
        <f>IFERROR(__xludf.DUMMYFUNCTION("""COMPUTED_VALUE"""),"SAO")</f>
        <v>SAO</v>
      </c>
      <c r="G886" s="89">
        <f>IFERROR(__xludf.DUMMYFUNCTION("""COMPUTED_VALUE"""),4.0205339E7)</f>
        <v>40205339</v>
      </c>
      <c r="H886" s="87"/>
      <c r="I886" s="87"/>
    </row>
    <row r="887">
      <c r="A887" s="84">
        <f>IFERROR(__xludf.DUMMYFUNCTION("""COMPUTED_VALUE"""),886.0)</f>
        <v>886</v>
      </c>
      <c r="B887" s="85" t="str">
        <f>IFERROR(__xludf.DUMMYFUNCTION("""COMPUTED_VALUE"""),"OXIMETRO -")</f>
        <v>OXIMETRO -</v>
      </c>
      <c r="C887" s="86">
        <f>IFERROR(__xludf.DUMMYFUNCTION("""COMPUTED_VALUE"""),1.0)</f>
        <v>1</v>
      </c>
      <c r="D887" s="87" t="str">
        <f>IFERROR(__xludf.DUMMYFUNCTION("""COMPUTED_VALUE"""),"VIATURA")</f>
        <v>VIATURA</v>
      </c>
      <c r="E887" s="87" t="str">
        <f>IFERROR(__xludf.DUMMYFUNCTION("""COMPUTED_VALUE"""),"1 - APV1330")</f>
        <v>1 - APV1330</v>
      </c>
      <c r="F887" s="88" t="str">
        <f>IFERROR(__xludf.DUMMYFUNCTION("""COMPUTED_VALUE"""),"BOLSA DE RESGATE")</f>
        <v>BOLSA DE RESGATE</v>
      </c>
      <c r="G887" s="89">
        <f>IFERROR(__xludf.DUMMYFUNCTION("""COMPUTED_VALUE"""),4.0212793E7)</f>
        <v>40212793</v>
      </c>
      <c r="H887" s="87" t="str">
        <f>IFERROR(__xludf.DUMMYFUNCTION("""COMPUTED_VALUE"""),"N.S 202854505972")</f>
        <v>N.S 202854505972</v>
      </c>
      <c r="I887" s="87" t="str">
        <f>IFERROR(__xludf.DUMMYFUNCTION("""COMPUTED_VALUE"""),"Oximetro de pulso G-TECH")</f>
        <v>Oximetro de pulso G-TECH</v>
      </c>
    </row>
    <row r="888">
      <c r="A888" s="84">
        <f>IFERROR(__xludf.DUMMYFUNCTION("""COMPUTED_VALUE"""),887.0)</f>
        <v>887</v>
      </c>
      <c r="B888" s="85" t="str">
        <f>IFERROR(__xludf.DUMMYFUNCTION("""COMPUTED_VALUE"""),"OXIMETRO -")</f>
        <v>OXIMETRO -</v>
      </c>
      <c r="C888" s="86">
        <f>IFERROR(__xludf.DUMMYFUNCTION("""COMPUTED_VALUE"""),1.0)</f>
        <v>1</v>
      </c>
      <c r="D888" s="87" t="str">
        <f>IFERROR(__xludf.DUMMYFUNCTION("""COMPUTED_VALUE"""),"SEÇÃO")</f>
        <v>SEÇÃO</v>
      </c>
      <c r="E888" s="87" t="str">
        <f>IFERROR(__xludf.DUMMYFUNCTION("""COMPUTED_VALUE"""),"3 - ALMOX. ESTOQUE")</f>
        <v>3 - ALMOX. ESTOQUE</v>
      </c>
      <c r="F888" s="88" t="str">
        <f>IFERROR(__xludf.DUMMYFUNCTION("""COMPUTED_VALUE"""),"ALMOX. APH")</f>
        <v>ALMOX. APH</v>
      </c>
      <c r="G888" s="89">
        <f>IFERROR(__xludf.DUMMYFUNCTION("""COMPUTED_VALUE"""),4.0212807E7)</f>
        <v>40212807</v>
      </c>
      <c r="H888" s="87" t="str">
        <f>IFERROR(__xludf.DUMMYFUNCTION("""COMPUTED_VALUE"""),"N.S. 182323208987")</f>
        <v>N.S. 182323208987</v>
      </c>
      <c r="I888" s="87" t="str">
        <f>IFERROR(__xludf.DUMMYFUNCTION("""COMPUTED_VALUE"""),"Oximetro de pulso G-TECH")</f>
        <v>Oximetro de pulso G-TECH</v>
      </c>
    </row>
    <row r="889">
      <c r="A889" s="84">
        <f>IFERROR(__xludf.DUMMYFUNCTION("""COMPUTED_VALUE"""),888.0)</f>
        <v>888</v>
      </c>
      <c r="B889" s="85" t="str">
        <f>IFERROR(__xludf.DUMMYFUNCTION("""COMPUTED_VALUE"""),"OXIMETRO -")</f>
        <v>OXIMETRO -</v>
      </c>
      <c r="C889" s="86">
        <f>IFERROR(__xludf.DUMMYFUNCTION("""COMPUTED_VALUE"""),1.0)</f>
        <v>1</v>
      </c>
      <c r="D889" s="87" t="str">
        <f>IFERROR(__xludf.DUMMYFUNCTION("""COMPUTED_VALUE"""),"SEÇÃO")</f>
        <v>SEÇÃO</v>
      </c>
      <c r="E889" s="87" t="str">
        <f>IFERROR(__xludf.DUMMYFUNCTION("""COMPUTED_VALUE"""),"3 - DESCARGA")</f>
        <v>3 - DESCARGA</v>
      </c>
      <c r="F889" s="88" t="str">
        <f>IFERROR(__xludf.DUMMYFUNCTION("""COMPUTED_VALUE"""),"ÁREA DE DESCARGA")</f>
        <v>ÁREA DE DESCARGA</v>
      </c>
      <c r="G889" s="89">
        <f>IFERROR(__xludf.DUMMYFUNCTION("""COMPUTED_VALUE"""),4.0212815E7)</f>
        <v>40212815</v>
      </c>
      <c r="H889" s="87"/>
      <c r="I889" s="87"/>
    </row>
    <row r="890">
      <c r="A890" s="84">
        <f>IFERROR(__xludf.DUMMYFUNCTION("""COMPUTED_VALUE"""),889.0)</f>
        <v>889</v>
      </c>
      <c r="B890" s="85" t="str">
        <f>IFERROR(__xludf.DUMMYFUNCTION("""COMPUTED_VALUE"""),"OXIMETRO -")</f>
        <v>OXIMETRO -</v>
      </c>
      <c r="C890" s="86">
        <f>IFERROR(__xludf.DUMMYFUNCTION("""COMPUTED_VALUE"""),1.0)</f>
        <v>1</v>
      </c>
      <c r="D890" s="87" t="str">
        <f>IFERROR(__xludf.DUMMYFUNCTION("""COMPUTED_VALUE"""),"SEÇÃO")</f>
        <v>SEÇÃO</v>
      </c>
      <c r="E890" s="87" t="str">
        <f>IFERROR(__xludf.DUMMYFUNCTION("""COMPUTED_VALUE"""),"3 - ALMOX. ESTOQUE")</f>
        <v>3 - ALMOX. ESTOQUE</v>
      </c>
      <c r="F890" s="88" t="str">
        <f>IFERROR(__xludf.DUMMYFUNCTION("""COMPUTED_VALUE"""),"ALMOX. APH")</f>
        <v>ALMOX. APH</v>
      </c>
      <c r="G890" s="89">
        <f>IFERROR(__xludf.DUMMYFUNCTION("""COMPUTED_VALUE"""),4.0212823E7)</f>
        <v>40212823</v>
      </c>
      <c r="H890" s="87"/>
      <c r="I890" s="87"/>
    </row>
    <row r="891">
      <c r="A891" s="84">
        <f>IFERROR(__xludf.DUMMYFUNCTION("""COMPUTED_VALUE"""),890.0)</f>
        <v>890</v>
      </c>
      <c r="B891" s="85" t="str">
        <f>IFERROR(__xludf.DUMMYFUNCTION("""COMPUTED_VALUE"""),"BEBEDOURO PARA GARRAFAO AGUA MINERAL -")</f>
        <v>BEBEDOURO PARA GARRAFAO AGUA MINERAL -</v>
      </c>
      <c r="C891" s="86">
        <f>IFERROR(__xludf.DUMMYFUNCTION("""COMPUTED_VALUE"""),1.0)</f>
        <v>1</v>
      </c>
      <c r="D891" s="87" t="str">
        <f>IFERROR(__xludf.DUMMYFUNCTION("""COMPUTED_VALUE"""),"SEÇÃO")</f>
        <v>SEÇÃO</v>
      </c>
      <c r="E891" s="87" t="str">
        <f>IFERROR(__xludf.DUMMYFUNCTION("""COMPUTED_VALUE"""),"3 - REFEITÓRIO (SEDE)")</f>
        <v>3 - REFEITÓRIO (SEDE)</v>
      </c>
      <c r="F891" s="88"/>
      <c r="G891" s="89">
        <f>IFERROR(__xludf.DUMMYFUNCTION("""COMPUTED_VALUE"""),4.021549E7)</f>
        <v>40215490</v>
      </c>
      <c r="H891" s="87"/>
      <c r="I891" s="87"/>
    </row>
    <row r="892">
      <c r="A892" s="84">
        <f>IFERROR(__xludf.DUMMYFUNCTION("""COMPUTED_VALUE"""),891.0)</f>
        <v>891</v>
      </c>
      <c r="B892" s="85" t="str">
        <f>IFERROR(__xludf.DUMMYFUNCTION("""COMPUTED_VALUE"""),"FORNO -")</f>
        <v>FORNO -</v>
      </c>
      <c r="C892" s="86">
        <f>IFERROR(__xludf.DUMMYFUNCTION("""COMPUTED_VALUE"""),1.0)</f>
        <v>1</v>
      </c>
      <c r="D892" s="87" t="str">
        <f>IFERROR(__xludf.DUMMYFUNCTION("""COMPUTED_VALUE"""),"SEÇÃO")</f>
        <v>SEÇÃO</v>
      </c>
      <c r="E892" s="87" t="str">
        <f>IFERROR(__xludf.DUMMYFUNCTION("""COMPUTED_VALUE"""),"3 - REFEITÓRIO (SEDE)")</f>
        <v>3 - REFEITÓRIO (SEDE)</v>
      </c>
      <c r="F892" s="88"/>
      <c r="G892" s="89">
        <f>IFERROR(__xludf.DUMMYFUNCTION("""COMPUTED_VALUE"""),4.0215881E7)</f>
        <v>40215881</v>
      </c>
      <c r="H892" s="87"/>
      <c r="I892" s="87"/>
    </row>
    <row r="893">
      <c r="A893" s="84">
        <f>IFERROR(__xludf.DUMMYFUNCTION("""COMPUTED_VALUE"""),892.0)</f>
        <v>892</v>
      </c>
      <c r="B893" s="85" t="str">
        <f>IFERROR(__xludf.DUMMYFUNCTION("""COMPUTED_VALUE"""),"AMBULANCIA -")</f>
        <v>AMBULANCIA -</v>
      </c>
      <c r="C893" s="86">
        <f>IFERROR(__xludf.DUMMYFUNCTION("""COMPUTED_VALUE"""),1.0)</f>
        <v>1</v>
      </c>
      <c r="D893" s="87" t="str">
        <f>IFERROR(__xludf.DUMMYFUNCTION("""COMPUTED_VALUE"""),"VIATURA")</f>
        <v>VIATURA</v>
      </c>
      <c r="E893" s="87" t="str">
        <f>IFERROR(__xludf.DUMMYFUNCTION("""COMPUTED_VALUE"""),"3 - DESCARGA")</f>
        <v>3 - DESCARGA</v>
      </c>
      <c r="F893" s="88"/>
      <c r="G893" s="89">
        <f>IFERROR(__xludf.DUMMYFUNCTION("""COMPUTED_VALUE"""),4.023785E7)</f>
        <v>40237850</v>
      </c>
      <c r="H893" s="87"/>
      <c r="I893" s="87" t="str">
        <f>IFERROR(__xludf.DUMMYFUNCTION("""COMPUTED_VALUE"""),"UR")</f>
        <v>UR</v>
      </c>
    </row>
    <row r="894">
      <c r="A894" s="84">
        <f>IFERROR(__xludf.DUMMYFUNCTION("""COMPUTED_VALUE"""),893.0)</f>
        <v>893</v>
      </c>
      <c r="B894" s="85" t="str">
        <f>IFERROR(__xludf.DUMMYFUNCTION("""COMPUTED_VALUE"""),"ESTACAO REPETIDORA -")</f>
        <v>ESTACAO REPETIDORA -</v>
      </c>
      <c r="C894" s="86">
        <f>IFERROR(__xludf.DUMMYFUNCTION("""COMPUTED_VALUE"""),1.0)</f>
        <v>1</v>
      </c>
      <c r="D894" s="87" t="str">
        <f>IFERROR(__xludf.DUMMYFUNCTION("""COMPUTED_VALUE"""),"SEÇÃO")</f>
        <v>SEÇÃO</v>
      </c>
      <c r="E894" s="87" t="str">
        <f>IFERROR(__xludf.DUMMYFUNCTION("""COMPUTED_VALUE"""),"3 - NTS")</f>
        <v>3 - NTS</v>
      </c>
      <c r="F894" s="88"/>
      <c r="G894" s="89">
        <f>IFERROR(__xludf.DUMMYFUNCTION("""COMPUTED_VALUE"""),4.026758E7)</f>
        <v>40267580</v>
      </c>
      <c r="H894" s="87"/>
      <c r="I894" s="87" t="str">
        <f>IFERROR(__xludf.DUMMYFUNCTION("""COMPUTED_VALUE"""),"Encontrava-se na Serra St Helena. Foi recolhido pela NTS")</f>
        <v>Encontrava-se na Serra St Helena. Foi recolhido pela NTS</v>
      </c>
    </row>
    <row r="895">
      <c r="A895" s="84">
        <f>IFERROR(__xludf.DUMMYFUNCTION("""COMPUTED_VALUE"""),894.0)</f>
        <v>894</v>
      </c>
      <c r="B895" s="85" t="str">
        <f>IFERROR(__xludf.DUMMYFUNCTION("""COMPUTED_VALUE"""),"CENTRAL TELEFONICA (PABX) -")</f>
        <v>CENTRAL TELEFONICA (PABX) -</v>
      </c>
      <c r="C895" s="86">
        <f>IFERROR(__xludf.DUMMYFUNCTION("""COMPUTED_VALUE"""),1.0)</f>
        <v>1</v>
      </c>
      <c r="D895" s="87" t="str">
        <f>IFERROR(__xludf.DUMMYFUNCTION("""COMPUTED_VALUE"""),"SEÇÃO")</f>
        <v>SEÇÃO</v>
      </c>
      <c r="E895" s="87" t="str">
        <f>IFERROR(__xludf.DUMMYFUNCTION("""COMPUTED_VALUE"""),"3 - ALMOX. ESTOQUE")</f>
        <v>3 - ALMOX. ESTOQUE</v>
      </c>
      <c r="F895" s="88" t="str">
        <f>IFERROR(__xludf.DUMMYFUNCTION("""COMPUTED_VALUE"""),"CPD")</f>
        <v>CPD</v>
      </c>
      <c r="G895" s="89">
        <f>IFERROR(__xludf.DUMMYFUNCTION("""COMPUTED_VALUE"""),4.0281256E7)</f>
        <v>40281256</v>
      </c>
      <c r="H895" s="87"/>
      <c r="I895" s="87"/>
    </row>
    <row r="896">
      <c r="A896" s="84">
        <f>IFERROR(__xludf.DUMMYFUNCTION("""COMPUTED_VALUE"""),895.0)</f>
        <v>895</v>
      </c>
      <c r="B896" s="85" t="str">
        <f>IFERROR(__xludf.DUMMYFUNCTION("""COMPUTED_VALUE"""),"CAPACETE PARA COMBATE INCENDIO -")</f>
        <v>CAPACETE PARA COMBATE INCENDIO -</v>
      </c>
      <c r="C896" s="86">
        <f>IFERROR(__xludf.DUMMYFUNCTION("""COMPUTED_VALUE"""),1.0)</f>
        <v>1</v>
      </c>
      <c r="D896" s="87" t="str">
        <f>IFERROR(__xludf.DUMMYFUNCTION("""COMPUTED_VALUE"""),"SEÇÃO")</f>
        <v>SEÇÃO</v>
      </c>
      <c r="E896" s="87" t="str">
        <f>IFERROR(__xludf.DUMMYFUNCTION("""COMPUTED_VALUE"""),"3 - ALMOX. ESTOQUE")</f>
        <v>3 - ALMOX. ESTOQUE</v>
      </c>
      <c r="F896" s="88" t="str">
        <f>IFERROR(__xludf.DUMMYFUNCTION("""COMPUTED_VALUE"""),"SAO")</f>
        <v>SAO</v>
      </c>
      <c r="G896" s="89">
        <f>IFERROR(__xludf.DUMMYFUNCTION("""COMPUTED_VALUE"""),4.0298574E7)</f>
        <v>40298574</v>
      </c>
      <c r="H896" s="87"/>
      <c r="I896" s="87" t="str">
        <f>IFERROR(__xludf.DUMMYFUNCTION("""COMPUTED_VALUE"""),"NÃO CONSTA NA CARGA ATUAL - 25/09/24")</f>
        <v>NÃO CONSTA NA CARGA ATUAL - 25/09/24</v>
      </c>
    </row>
    <row r="897">
      <c r="A897" s="84">
        <f>IFERROR(__xludf.DUMMYFUNCTION("""COMPUTED_VALUE"""),896.0)</f>
        <v>896</v>
      </c>
      <c r="B897" s="85" t="str">
        <f>IFERROR(__xludf.DUMMYFUNCTION("""COMPUTED_VALUE"""),"RADIO TRANSCEPTOR -")</f>
        <v>RADIO TRANSCEPTOR -</v>
      </c>
      <c r="C897" s="86">
        <f>IFERROR(__xludf.DUMMYFUNCTION("""COMPUTED_VALUE"""),1.0)</f>
        <v>1</v>
      </c>
      <c r="D897" s="87" t="str">
        <f>IFERROR(__xludf.DUMMYFUNCTION("""COMPUTED_VALUE"""),"SEÇÃO")</f>
        <v>SEÇÃO</v>
      </c>
      <c r="E897" s="87" t="str">
        <f>IFERROR(__xludf.DUMMYFUNCTION("""COMPUTED_VALUE"""),"3 - NTS")</f>
        <v>3 - NTS</v>
      </c>
      <c r="F897" s="88"/>
      <c r="G897" s="89">
        <f>IFERROR(__xludf.DUMMYFUNCTION("""COMPUTED_VALUE"""),4.0301338E7)</f>
        <v>40301338</v>
      </c>
      <c r="H897" s="87"/>
      <c r="I897" s="87" t="str">
        <f>IFERROR(__xludf.DUMMYFUNCTION("""COMPUTED_VALUE"""),"TRANSFERIDO PARA NTS")</f>
        <v>TRANSFERIDO PARA NTS</v>
      </c>
    </row>
    <row r="898">
      <c r="A898" s="84">
        <f>IFERROR(__xludf.DUMMYFUNCTION("""COMPUTED_VALUE"""),897.0)</f>
        <v>897</v>
      </c>
      <c r="B898" s="85" t="str">
        <f>IFERROR(__xludf.DUMMYFUNCTION("""COMPUTED_VALUE"""),"INTERFACE CELULAR -")</f>
        <v>INTERFACE CELULAR -</v>
      </c>
      <c r="C898" s="86">
        <f>IFERROR(__xludf.DUMMYFUNCTION("""COMPUTED_VALUE"""),1.0)</f>
        <v>1</v>
      </c>
      <c r="D898" s="87" t="str">
        <f>IFERROR(__xludf.DUMMYFUNCTION("""COMPUTED_VALUE"""),"SEÇÃO")</f>
        <v>SEÇÃO</v>
      </c>
      <c r="E898" s="87" t="str">
        <f>IFERROR(__xludf.DUMMYFUNCTION("""COMPUTED_VALUE"""),"3 - NTS")</f>
        <v>3 - NTS</v>
      </c>
      <c r="F898" s="88"/>
      <c r="G898" s="89">
        <f>IFERROR(__xludf.DUMMYFUNCTION("""COMPUTED_VALUE"""),4.0304205E7)</f>
        <v>40304205</v>
      </c>
      <c r="H898" s="87"/>
      <c r="I898" s="87" t="str">
        <f>IFERROR(__xludf.DUMMYFUNCTION("""COMPUTED_VALUE"""),"TRANSFERIDO PARA NTS")</f>
        <v>TRANSFERIDO PARA NTS</v>
      </c>
    </row>
    <row r="899">
      <c r="A899" s="84">
        <f>IFERROR(__xludf.DUMMYFUNCTION("""COMPUTED_VALUE"""),898.0)</f>
        <v>898</v>
      </c>
      <c r="B899" s="85" t="str">
        <f>IFERROR(__xludf.DUMMYFUNCTION("""COMPUTED_VALUE"""),"GRAVADOR PARA EQUIPAMENTO DE COMUNICACAO -")</f>
        <v>GRAVADOR PARA EQUIPAMENTO DE COMUNICACAO -</v>
      </c>
      <c r="C899" s="86">
        <f>IFERROR(__xludf.DUMMYFUNCTION("""COMPUTED_VALUE"""),1.0)</f>
        <v>1</v>
      </c>
      <c r="D899" s="87" t="str">
        <f>IFERROR(__xludf.DUMMYFUNCTION("""COMPUTED_VALUE"""),"SEÇÃO")</f>
        <v>SEÇÃO</v>
      </c>
      <c r="E899" s="87" t="str">
        <f>IFERROR(__xludf.DUMMYFUNCTION("""COMPUTED_VALUE"""),"3 - 1ª CIA OP")</f>
        <v>3 - 1ª CIA OP</v>
      </c>
      <c r="F899" s="88" t="str">
        <f>IFERROR(__xludf.DUMMYFUNCTION("""COMPUTED_VALUE"""),"CPD")</f>
        <v>CPD</v>
      </c>
      <c r="G899" s="89">
        <f>IFERROR(__xludf.DUMMYFUNCTION("""COMPUTED_VALUE"""),4.0304426E7)</f>
        <v>40304426</v>
      </c>
      <c r="H899" s="87"/>
      <c r="I899" s="87" t="str">
        <f>IFERROR(__xludf.DUMMYFUNCTION("""COMPUTED_VALUE"""),"TRANSFERIDO PARA NTS")</f>
        <v>TRANSFERIDO PARA NTS</v>
      </c>
    </row>
    <row r="900">
      <c r="A900" s="84">
        <f>IFERROR(__xludf.DUMMYFUNCTION("""COMPUTED_VALUE"""),899.0)</f>
        <v>899</v>
      </c>
      <c r="B900" s="85" t="str">
        <f>IFERROR(__xludf.DUMMYFUNCTION("""COMPUTED_VALUE"""),"COMPUTADOR -")</f>
        <v>COMPUTADOR -</v>
      </c>
      <c r="C900" s="86">
        <f>IFERROR(__xludf.DUMMYFUNCTION("""COMPUTED_VALUE"""),1.0)</f>
        <v>1</v>
      </c>
      <c r="D900" s="87" t="str">
        <f>IFERROR(__xludf.DUMMYFUNCTION("""COMPUTED_VALUE"""),"SEÇÃO")</f>
        <v>SEÇÃO</v>
      </c>
      <c r="E900" s="87" t="str">
        <f>IFERROR(__xludf.DUMMYFUNCTION("""COMPUTED_VALUE"""),"3 - 1ª CIA OP")</f>
        <v>3 - 1ª CIA OP</v>
      </c>
      <c r="F900" s="88" t="str">
        <f>IFERROR(__xludf.DUMMYFUNCTION("""COMPUTED_VALUE"""),"CMT OPERACIONAL")</f>
        <v>CMT OPERACIONAL</v>
      </c>
      <c r="G900" s="89">
        <f>IFERROR(__xludf.DUMMYFUNCTION("""COMPUTED_VALUE"""),4.034911E7)</f>
        <v>40349110</v>
      </c>
      <c r="H900" s="87" t="str">
        <f>IFERROR(__xludf.DUMMYFUNCTION("""COMPUTED_VALUE"""),"NS 4A348F99D")</f>
        <v>NS 4A348F99D</v>
      </c>
      <c r="I900" s="87" t="str">
        <f>IFERROR(__xludf.DUMMYFUNCTION("""COMPUTED_VALUE"""),"Cap Samuel - Positivo D535 - 500 GB / NS 4A348F99D - fab.2017")</f>
        <v>Cap Samuel - Positivo D535 - 500 GB / NS 4A348F99D - fab.2017</v>
      </c>
    </row>
    <row r="901">
      <c r="A901" s="84">
        <f>IFERROR(__xludf.DUMMYFUNCTION("""COMPUTED_VALUE"""),900.0)</f>
        <v>900</v>
      </c>
      <c r="B901" s="85" t="str">
        <f>IFERROR(__xludf.DUMMYFUNCTION("""COMPUTED_VALUE"""),"COMPUTADOR -")</f>
        <v>COMPUTADOR -</v>
      </c>
      <c r="C901" s="86">
        <f>IFERROR(__xludf.DUMMYFUNCTION("""COMPUTED_VALUE"""),1.0)</f>
        <v>1</v>
      </c>
      <c r="D901" s="87" t="str">
        <f>IFERROR(__xludf.DUMMYFUNCTION("""COMPUTED_VALUE"""),"SEÇÃO")</f>
        <v>SEÇÃO</v>
      </c>
      <c r="E901" s="87" t="str">
        <f>IFERROR(__xludf.DUMMYFUNCTION("""COMPUTED_VALUE"""),"3 - NTS")</f>
        <v>3 - NTS</v>
      </c>
      <c r="F901" s="88"/>
      <c r="G901" s="89">
        <f>IFERROR(__xludf.DUMMYFUNCTION("""COMPUTED_VALUE"""),4.0352676E7)</f>
        <v>40352676</v>
      </c>
      <c r="H901" s="87" t="str">
        <f>IFERROR(__xludf.DUMMYFUNCTION("""COMPUTED_VALUE"""),"4A348F89A")</f>
        <v>4A348F89A</v>
      </c>
      <c r="I901" s="87" t="str">
        <f>IFERROR(__xludf.DUMMYFUNCTION("""COMPUTED_VALUE"""),"TRANSFERIDO PARA NTS")</f>
        <v>TRANSFERIDO PARA NTS</v>
      </c>
    </row>
    <row r="902">
      <c r="A902" s="84">
        <f>IFERROR(__xludf.DUMMYFUNCTION("""COMPUTED_VALUE"""),901.0)</f>
        <v>901</v>
      </c>
      <c r="B902" s="85" t="str">
        <f>IFERROR(__xludf.DUMMYFUNCTION("""COMPUTED_VALUE"""),"COMPUTADOR -")</f>
        <v>COMPUTADOR -</v>
      </c>
      <c r="C902" s="86">
        <f>IFERROR(__xludf.DUMMYFUNCTION("""COMPUTED_VALUE"""),1.0)</f>
        <v>1</v>
      </c>
      <c r="D902" s="87" t="str">
        <f>IFERROR(__xludf.DUMMYFUNCTION("""COMPUTED_VALUE"""),"SEÇÃO")</f>
        <v>SEÇÃO</v>
      </c>
      <c r="E902" s="87" t="str">
        <f>IFERROR(__xludf.DUMMYFUNCTION("""COMPUTED_VALUE"""),"3 - ALMOX. ESTOQUE")</f>
        <v>3 - ALMOX. ESTOQUE</v>
      </c>
      <c r="F902" s="88" t="str">
        <f>IFERROR(__xludf.DUMMYFUNCTION("""COMPUTED_VALUE"""),"CPD")</f>
        <v>CPD</v>
      </c>
      <c r="G902" s="89">
        <f>IFERROR(__xludf.DUMMYFUNCTION("""COMPUTED_VALUE"""),4.0352684E7)</f>
        <v>40352684</v>
      </c>
      <c r="H902" s="87" t="str">
        <f>IFERROR(__xludf.DUMMYFUNCTION("""COMPUTED_VALUE"""),"NS 4A348G550")</f>
        <v>NS 4A348G550</v>
      </c>
      <c r="I902" s="87" t="str">
        <f>IFERROR(__xludf.DUMMYFUNCTION("""COMPUTED_VALUE"""),"MASTER N 4350 Cb Rocha")</f>
        <v>MASTER N 4350 Cb Rocha</v>
      </c>
    </row>
    <row r="903">
      <c r="A903" s="84">
        <f>IFERROR(__xludf.DUMMYFUNCTION("""COMPUTED_VALUE"""),902.0)</f>
        <v>902</v>
      </c>
      <c r="B903" s="85" t="str">
        <f>IFERROR(__xludf.DUMMYFUNCTION("""COMPUTED_VALUE"""),"COMPUTADOR -")</f>
        <v>COMPUTADOR -</v>
      </c>
      <c r="C903" s="86">
        <f>IFERROR(__xludf.DUMMYFUNCTION("""COMPUTED_VALUE"""),1.0)</f>
        <v>1</v>
      </c>
      <c r="D903" s="87" t="str">
        <f>IFERROR(__xludf.DUMMYFUNCTION("""COMPUTED_VALUE"""),"SEÇÃO")</f>
        <v>SEÇÃO</v>
      </c>
      <c r="E903" s="87" t="str">
        <f>IFERROR(__xludf.DUMMYFUNCTION("""COMPUTED_VALUE"""),"3 - SUPRIMENTOS")</f>
        <v>3 - SUPRIMENTOS</v>
      </c>
      <c r="F903" s="88" t="str">
        <f>IFERROR(__xludf.DUMMYFUNCTION("""COMPUTED_VALUE"""),"CPD")</f>
        <v>CPD</v>
      </c>
      <c r="G903" s="89">
        <f>IFERROR(__xludf.DUMMYFUNCTION("""COMPUTED_VALUE"""),4.0364593E7)</f>
        <v>40364593</v>
      </c>
      <c r="H903" s="87"/>
      <c r="I903" s="87" t="str">
        <f>IFERROR(__xludf.DUMMYFUNCTION("""COMPUTED_VALUE"""),"Daten DC1A-T - Servidor (cpd)")</f>
        <v>Daten DC1A-T - Servidor (cpd)</v>
      </c>
    </row>
    <row r="904">
      <c r="A904" s="84">
        <f>IFERROR(__xludf.DUMMYFUNCTION("""COMPUTED_VALUE"""),903.0)</f>
        <v>903</v>
      </c>
      <c r="B904" s="85" t="str">
        <f>IFERROR(__xludf.DUMMYFUNCTION("""COMPUTED_VALUE"""),"BARCO -")</f>
        <v>BARCO -</v>
      </c>
      <c r="C904" s="86">
        <f>IFERROR(__xludf.DUMMYFUNCTION("""COMPUTED_VALUE"""),1.0)</f>
        <v>1</v>
      </c>
      <c r="D904" s="87" t="str">
        <f>IFERROR(__xludf.DUMMYFUNCTION("""COMPUTED_VALUE"""),"SEÇÃO")</f>
        <v>SEÇÃO</v>
      </c>
      <c r="E904" s="87" t="str">
        <f>IFERROR(__xludf.DUMMYFUNCTION("""COMPUTED_VALUE"""),"3 - ALMOX. ESTOQUE")</f>
        <v>3 - ALMOX. ESTOQUE</v>
      </c>
      <c r="F904" s="88" t="str">
        <f>IFERROR(__xludf.DUMMYFUNCTION("""COMPUTED_VALUE"""),"ALMOX. SAO (SEDE)")</f>
        <v>ALMOX. SAO (SEDE)</v>
      </c>
      <c r="G904" s="89">
        <f>IFERROR(__xludf.DUMMYFUNCTION("""COMPUTED_VALUE"""),4.2708001E7)</f>
        <v>42708001</v>
      </c>
      <c r="H904" s="87"/>
      <c r="I904" s="87"/>
    </row>
    <row r="905">
      <c r="A905" s="84">
        <f>IFERROR(__xludf.DUMMYFUNCTION("""COMPUTED_VALUE"""),904.0)</f>
        <v>904</v>
      </c>
      <c r="B905" s="85" t="str">
        <f>IFERROR(__xludf.DUMMYFUNCTION("""COMPUTED_VALUE"""),"CADEIRA PARA ESCRITORIO -")</f>
        <v>CADEIRA PARA ESCRITORIO -</v>
      </c>
      <c r="C905" s="86">
        <f>IFERROR(__xludf.DUMMYFUNCTION("""COMPUTED_VALUE"""),1.0)</f>
        <v>1</v>
      </c>
      <c r="D905" s="87" t="str">
        <f>IFERROR(__xludf.DUMMYFUNCTION("""COMPUTED_VALUE"""),"SEÇÃO")</f>
        <v>SEÇÃO</v>
      </c>
      <c r="E905" s="87" t="str">
        <f>IFERROR(__xludf.DUMMYFUNCTION("""COMPUTED_VALUE"""),"3 - CARTÓRIO")</f>
        <v>3 - CARTÓRIO</v>
      </c>
      <c r="F905" s="88"/>
      <c r="G905" s="89">
        <f>IFERROR(__xludf.DUMMYFUNCTION("""COMPUTED_VALUE"""),5.2383571E7)</f>
        <v>52383571</v>
      </c>
      <c r="H905" s="87"/>
      <c r="I905" s="87" t="str">
        <f>IFERROR(__xludf.DUMMYFUNCTION("""COMPUTED_VALUE""")," EM PROCESSO DE DESCARGA SEI-1400.01.0026473/2023-03")</f>
        <v> EM PROCESSO DE DESCARGA SEI-1400.01.0026473/2023-03</v>
      </c>
    </row>
    <row r="906">
      <c r="A906" s="84">
        <f>IFERROR(__xludf.DUMMYFUNCTION("""COMPUTED_VALUE"""),905.0)</f>
        <v>905</v>
      </c>
      <c r="B906" s="85" t="str">
        <f>IFERROR(__xludf.DUMMYFUNCTION("""COMPUTED_VALUE"""),"CADEIRA PARA ESCRITORIO -")</f>
        <v>CADEIRA PARA ESCRITORIO -</v>
      </c>
      <c r="C906" s="86">
        <f>IFERROR(__xludf.DUMMYFUNCTION("""COMPUTED_VALUE"""),1.0)</f>
        <v>1</v>
      </c>
      <c r="D906" s="87" t="str">
        <f>IFERROR(__xludf.DUMMYFUNCTION("""COMPUTED_VALUE"""),"SEÇÃO")</f>
        <v>SEÇÃO</v>
      </c>
      <c r="E906" s="87" t="str">
        <f>IFERROR(__xludf.DUMMYFUNCTION("""COMPUTED_VALUE"""),"3 - SUB COMANDANTE")</f>
        <v>3 - SUB COMANDANTE</v>
      </c>
      <c r="F906" s="88"/>
      <c r="G906" s="89">
        <f>IFERROR(__xludf.DUMMYFUNCTION("""COMPUTED_VALUE"""),5.2386856E7)</f>
        <v>52386856</v>
      </c>
      <c r="H906" s="87"/>
      <c r="I906" s="87"/>
    </row>
    <row r="907">
      <c r="A907" s="84">
        <f>IFERROR(__xludf.DUMMYFUNCTION("""COMPUTED_VALUE"""),906.0)</f>
        <v>906</v>
      </c>
      <c r="B907" s="85" t="str">
        <f>IFERROR(__xludf.DUMMYFUNCTION("""COMPUTED_VALUE"""),"BOMBA COSTAL PARA COMBATE A INCENDIO -")</f>
        <v>BOMBA COSTAL PARA COMBATE A INCENDIO -</v>
      </c>
      <c r="C907" s="86">
        <f>IFERROR(__xludf.DUMMYFUNCTION("""COMPUTED_VALUE"""),1.0)</f>
        <v>1</v>
      </c>
      <c r="D907" s="87" t="str">
        <f>IFERROR(__xludf.DUMMYFUNCTION("""COMPUTED_VALUE"""),"SEÇÃO")</f>
        <v>SEÇÃO</v>
      </c>
      <c r="E907" s="87" t="str">
        <f>IFERROR(__xludf.DUMMYFUNCTION("""COMPUTED_VALUE"""),"3 - ALMOX. ESTOQUE")</f>
        <v>3 - ALMOX. ESTOQUE</v>
      </c>
      <c r="F907" s="88" t="str">
        <f>IFERROR(__xludf.DUMMYFUNCTION("""COMPUTED_VALUE"""),"ALMOX. SAO (SEDE)")</f>
        <v>ALMOX. SAO (SEDE)</v>
      </c>
      <c r="G907" s="89">
        <f>IFERROR(__xludf.DUMMYFUNCTION("""COMPUTED_VALUE"""),5.3392124E7)</f>
        <v>53392124</v>
      </c>
      <c r="H907" s="87"/>
      <c r="I907" s="87"/>
    </row>
    <row r="908">
      <c r="A908" s="84">
        <f>IFERROR(__xludf.DUMMYFUNCTION("""COMPUTED_VALUE"""),907.0)</f>
        <v>907</v>
      </c>
      <c r="B908" s="85" t="str">
        <f>IFERROR(__xludf.DUMMYFUNCTION("""COMPUTED_VALUE"""),"BOMBA COSTAL PARA COMBATE A INCENDIO -")</f>
        <v>BOMBA COSTAL PARA COMBATE A INCENDIO -</v>
      </c>
      <c r="C908" s="86">
        <f>IFERROR(__xludf.DUMMYFUNCTION("""COMPUTED_VALUE"""),1.0)</f>
        <v>1</v>
      </c>
      <c r="D908" s="87" t="str">
        <f>IFERROR(__xludf.DUMMYFUNCTION("""COMPUTED_VALUE"""),"SEÇÃO")</f>
        <v>SEÇÃO</v>
      </c>
      <c r="E908" s="87" t="str">
        <f>IFERROR(__xludf.DUMMYFUNCTION("""COMPUTED_VALUE"""),"3 - ALMOX. ESTOQUE")</f>
        <v>3 - ALMOX. ESTOQUE</v>
      </c>
      <c r="F908" s="88" t="str">
        <f>IFERROR(__xludf.DUMMYFUNCTION("""COMPUTED_VALUE"""),"ALMOX. SAO (SEDE)")</f>
        <v>ALMOX. SAO (SEDE)</v>
      </c>
      <c r="G908" s="89">
        <f>IFERROR(__xludf.DUMMYFUNCTION("""COMPUTED_VALUE"""),5.3392132E7)</f>
        <v>53392132</v>
      </c>
      <c r="H908" s="87"/>
      <c r="I908" s="87"/>
    </row>
    <row r="909">
      <c r="A909" s="84">
        <f>IFERROR(__xludf.DUMMYFUNCTION("""COMPUTED_VALUE"""),908.0)</f>
        <v>908</v>
      </c>
      <c r="B909" s="85" t="str">
        <f>IFERROR(__xludf.DUMMYFUNCTION("""COMPUTED_VALUE"""),"ARQUIVO PARA ESCRITORIO -")</f>
        <v>ARQUIVO PARA ESCRITORIO -</v>
      </c>
      <c r="C909" s="86">
        <f>IFERROR(__xludf.DUMMYFUNCTION("""COMPUTED_VALUE"""),1.0)</f>
        <v>1</v>
      </c>
      <c r="D909" s="87" t="str">
        <f>IFERROR(__xludf.DUMMYFUNCTION("""COMPUTED_VALUE"""),"SEÇÃO")</f>
        <v>SEÇÃO</v>
      </c>
      <c r="E909" s="87" t="str">
        <f>IFERROR(__xludf.DUMMYFUNCTION("""COMPUTED_VALUE"""),"3 - COMANDANTE")</f>
        <v>3 - COMANDANTE</v>
      </c>
      <c r="F909" s="88"/>
      <c r="G909" s="89">
        <f>IFERROR(__xludf.DUMMYFUNCTION("""COMPUTED_VALUE"""),5.3516516E7)</f>
        <v>53516516</v>
      </c>
      <c r="H909" s="87"/>
      <c r="I909" s="87"/>
    </row>
    <row r="910">
      <c r="A910" s="84">
        <f>IFERROR(__xludf.DUMMYFUNCTION("""COMPUTED_VALUE"""),909.0)</f>
        <v>909</v>
      </c>
      <c r="B910" s="85" t="str">
        <f>IFERROR(__xludf.DUMMYFUNCTION("""COMPUTED_VALUE"""),"BOMBA COSTAL PARA COMBATE A INCENDIO -")</f>
        <v>BOMBA COSTAL PARA COMBATE A INCENDIO -</v>
      </c>
      <c r="C910" s="86">
        <f>IFERROR(__xludf.DUMMYFUNCTION("""COMPUTED_VALUE"""),1.0)</f>
        <v>1</v>
      </c>
      <c r="D910" s="87" t="str">
        <f>IFERROR(__xludf.DUMMYFUNCTION("""COMPUTED_VALUE"""),"SEÇÃO")</f>
        <v>SEÇÃO</v>
      </c>
      <c r="E910" s="87" t="str">
        <f>IFERROR(__xludf.DUMMYFUNCTION("""COMPUTED_VALUE"""),"3 - ALMOX. ESTOQUE")</f>
        <v>3 - ALMOX. ESTOQUE</v>
      </c>
      <c r="F910" s="88" t="str">
        <f>IFERROR(__xludf.DUMMYFUNCTION("""COMPUTED_VALUE"""),"ALMOX. SAO (SEDE)")</f>
        <v>ALMOX. SAO (SEDE)</v>
      </c>
      <c r="G910" s="89">
        <f>IFERROR(__xludf.DUMMYFUNCTION("""COMPUTED_VALUE"""),5.6041047E7)</f>
        <v>56041047</v>
      </c>
      <c r="H910" s="87"/>
      <c r="I910" s="87"/>
    </row>
    <row r="911">
      <c r="A911" s="84">
        <f>IFERROR(__xludf.DUMMYFUNCTION("""COMPUTED_VALUE"""),910.0)</f>
        <v>910</v>
      </c>
      <c r="B911" s="85" t="str">
        <f>IFERROR(__xludf.DUMMYFUNCTION("""COMPUTED_VALUE"""),"BOMBA COSTAL PARA COMBATE A INCENDIO -")</f>
        <v>BOMBA COSTAL PARA COMBATE A INCENDIO -</v>
      </c>
      <c r="C911" s="86">
        <f>IFERROR(__xludf.DUMMYFUNCTION("""COMPUTED_VALUE"""),1.0)</f>
        <v>1</v>
      </c>
      <c r="D911" s="87" t="str">
        <f>IFERROR(__xludf.DUMMYFUNCTION("""COMPUTED_VALUE"""),"SEÇÃO")</f>
        <v>SEÇÃO</v>
      </c>
      <c r="E911" s="87" t="str">
        <f>IFERROR(__xludf.DUMMYFUNCTION("""COMPUTED_VALUE"""),"3 - ALMOX. ESTOQUE")</f>
        <v>3 - ALMOX. ESTOQUE</v>
      </c>
      <c r="F911" s="88" t="str">
        <f>IFERROR(__xludf.DUMMYFUNCTION("""COMPUTED_VALUE"""),"ALMOX. SAO (SEDE)")</f>
        <v>ALMOX. SAO (SEDE)</v>
      </c>
      <c r="G911" s="89">
        <f>IFERROR(__xludf.DUMMYFUNCTION("""COMPUTED_VALUE"""),5.6041055E7)</f>
        <v>56041055</v>
      </c>
      <c r="H911" s="87"/>
      <c r="I911" s="87"/>
    </row>
    <row r="912">
      <c r="A912" s="84">
        <f>IFERROR(__xludf.DUMMYFUNCTION("""COMPUTED_VALUE"""),911.0)</f>
        <v>911</v>
      </c>
      <c r="B912" s="85" t="str">
        <f>IFERROR(__xludf.DUMMYFUNCTION("""COMPUTED_VALUE"""),"BOMBA COSTAL PARA COMBATE A INCENDIO -")</f>
        <v>BOMBA COSTAL PARA COMBATE A INCENDIO -</v>
      </c>
      <c r="C912" s="86">
        <f>IFERROR(__xludf.DUMMYFUNCTION("""COMPUTED_VALUE"""),1.0)</f>
        <v>1</v>
      </c>
      <c r="D912" s="87" t="str">
        <f>IFERROR(__xludf.DUMMYFUNCTION("""COMPUTED_VALUE"""),"SEÇÃO")</f>
        <v>SEÇÃO</v>
      </c>
      <c r="E912" s="87" t="str">
        <f>IFERROR(__xludf.DUMMYFUNCTION("""COMPUTED_VALUE"""),"3 - ALMOX. ESTOQUE")</f>
        <v>3 - ALMOX. ESTOQUE</v>
      </c>
      <c r="F912" s="88" t="str">
        <f>IFERROR(__xludf.DUMMYFUNCTION("""COMPUTED_VALUE"""),"ALMOX. SAO (SEDE)")</f>
        <v>ALMOX. SAO (SEDE)</v>
      </c>
      <c r="G912" s="89">
        <f>IFERROR(__xludf.DUMMYFUNCTION("""COMPUTED_VALUE"""),5.6041063E7)</f>
        <v>56041063</v>
      </c>
      <c r="H912" s="87"/>
      <c r="I912" s="87"/>
    </row>
    <row r="913">
      <c r="A913" s="84">
        <f>IFERROR(__xludf.DUMMYFUNCTION("""COMPUTED_VALUE"""),912.0)</f>
        <v>912</v>
      </c>
      <c r="B913" s="85" t="str">
        <f>IFERROR(__xludf.DUMMYFUNCTION("""COMPUTED_VALUE"""),"BOMBA COSTAL PARA COMBATE A INCENDIO -")</f>
        <v>BOMBA COSTAL PARA COMBATE A INCENDIO -</v>
      </c>
      <c r="C913" s="86">
        <f>IFERROR(__xludf.DUMMYFUNCTION("""COMPUTED_VALUE"""),1.0)</f>
        <v>1</v>
      </c>
      <c r="D913" s="87" t="str">
        <f>IFERROR(__xludf.DUMMYFUNCTION("""COMPUTED_VALUE"""),"SEÇÃO")</f>
        <v>SEÇÃO</v>
      </c>
      <c r="E913" s="87" t="str">
        <f>IFERROR(__xludf.DUMMYFUNCTION("""COMPUTED_VALUE"""),"3 - ALMOX. ESTOQUE")</f>
        <v>3 - ALMOX. ESTOQUE</v>
      </c>
      <c r="F913" s="88" t="str">
        <f>IFERROR(__xludf.DUMMYFUNCTION("""COMPUTED_VALUE"""),"ALMOX. SAO (SEDE)")</f>
        <v>ALMOX. SAO (SEDE)</v>
      </c>
      <c r="G913" s="89">
        <f>IFERROR(__xludf.DUMMYFUNCTION("""COMPUTED_VALUE"""),5.6041071E7)</f>
        <v>56041071</v>
      </c>
      <c r="H913" s="87"/>
      <c r="I913" s="87"/>
    </row>
    <row r="914">
      <c r="A914" s="84">
        <f>IFERROR(__xludf.DUMMYFUNCTION("""COMPUTED_VALUE"""),913.0)</f>
        <v>913</v>
      </c>
      <c r="B914" s="85" t="str">
        <f>IFERROR(__xludf.DUMMYFUNCTION("""COMPUTED_VALUE"""),"BOMBA COSTAL PARA COMBATE A INCENDIO -")</f>
        <v>BOMBA COSTAL PARA COMBATE A INCENDIO -</v>
      </c>
      <c r="C914" s="86">
        <f>IFERROR(__xludf.DUMMYFUNCTION("""COMPUTED_VALUE"""),1.0)</f>
        <v>1</v>
      </c>
      <c r="D914" s="87" t="str">
        <f>IFERROR(__xludf.DUMMYFUNCTION("""COMPUTED_VALUE"""),"SEÇÃO")</f>
        <v>SEÇÃO</v>
      </c>
      <c r="E914" s="87" t="str">
        <f>IFERROR(__xludf.DUMMYFUNCTION("""COMPUTED_VALUE"""),"3 - ALMOX. ESTOQUE")</f>
        <v>3 - ALMOX. ESTOQUE</v>
      </c>
      <c r="F914" s="88" t="str">
        <f>IFERROR(__xludf.DUMMYFUNCTION("""COMPUTED_VALUE"""),"ALMOX. SAO (SEDE)")</f>
        <v>ALMOX. SAO (SEDE)</v>
      </c>
      <c r="G914" s="89">
        <f>IFERROR(__xludf.DUMMYFUNCTION("""COMPUTED_VALUE"""),5.604108E7)</f>
        <v>56041080</v>
      </c>
      <c r="H914" s="87"/>
      <c r="I914" s="87"/>
    </row>
    <row r="915">
      <c r="A915" s="84">
        <f>IFERROR(__xludf.DUMMYFUNCTION("""COMPUTED_VALUE"""),914.0)</f>
        <v>914</v>
      </c>
      <c r="B915" s="85" t="str">
        <f>IFERROR(__xludf.DUMMYFUNCTION("""COMPUTED_VALUE"""),"BOMBA COSTAL PARA COMBATE A INCENDIO -")</f>
        <v>BOMBA COSTAL PARA COMBATE A INCENDIO -</v>
      </c>
      <c r="C915" s="86">
        <f>IFERROR(__xludf.DUMMYFUNCTION("""COMPUTED_VALUE"""),1.0)</f>
        <v>1</v>
      </c>
      <c r="D915" s="87" t="str">
        <f>IFERROR(__xludf.DUMMYFUNCTION("""COMPUTED_VALUE"""),"SEÇÃO")</f>
        <v>SEÇÃO</v>
      </c>
      <c r="E915" s="87" t="str">
        <f>IFERROR(__xludf.DUMMYFUNCTION("""COMPUTED_VALUE"""),"3 - ALMOX. ESTOQUE")</f>
        <v>3 - ALMOX. ESTOQUE</v>
      </c>
      <c r="F915" s="88" t="str">
        <f>IFERROR(__xludf.DUMMYFUNCTION("""COMPUTED_VALUE"""),"ALMOX. SAO (SEDE)")</f>
        <v>ALMOX. SAO (SEDE)</v>
      </c>
      <c r="G915" s="89">
        <f>IFERROR(__xludf.DUMMYFUNCTION("""COMPUTED_VALUE"""),5.6041098E7)</f>
        <v>56041098</v>
      </c>
      <c r="H915" s="87"/>
      <c r="I915" s="87"/>
    </row>
    <row r="916">
      <c r="A916" s="84">
        <f>IFERROR(__xludf.DUMMYFUNCTION("""COMPUTED_VALUE"""),915.0)</f>
        <v>915</v>
      </c>
      <c r="B916" s="85" t="str">
        <f>IFERROR(__xludf.DUMMYFUNCTION("""COMPUTED_VALUE"""),"CADEIRA PARA ESCRITORIO -")</f>
        <v>CADEIRA PARA ESCRITORIO -</v>
      </c>
      <c r="C916" s="86">
        <f>IFERROR(__xludf.DUMMYFUNCTION("""COMPUTED_VALUE"""),1.0)</f>
        <v>1</v>
      </c>
      <c r="D916" s="87" t="str">
        <f>IFERROR(__xludf.DUMMYFUNCTION("""COMPUTED_VALUE"""),"SEÇÃO")</f>
        <v>SEÇÃO</v>
      </c>
      <c r="E916" s="87" t="str">
        <f>IFERROR(__xludf.DUMMYFUNCTION("""COMPUTED_VALUE"""),"3 - DESCARGA")</f>
        <v>3 - DESCARGA</v>
      </c>
      <c r="F916" s="88"/>
      <c r="G916" s="89">
        <f>IFERROR(__xludf.DUMMYFUNCTION("""COMPUTED_VALUE"""),5.7236151E7)</f>
        <v>57236151</v>
      </c>
      <c r="H916" s="87"/>
      <c r="I916" s="87" t="str">
        <f>IFERROR(__xludf.DUMMYFUNCTION("""COMPUTED_VALUE"""),"MATERIAL DESCARREGADO - PROCESSO Nº 1400.01.0026473/2023-09")</f>
        <v>MATERIAL DESCARREGADO - PROCESSO Nº 1400.01.0026473/2023-09</v>
      </c>
    </row>
    <row r="917">
      <c r="A917" s="84">
        <f>IFERROR(__xludf.DUMMYFUNCTION("""COMPUTED_VALUE"""),916.0)</f>
        <v>916</v>
      </c>
      <c r="B917" s="85" t="str">
        <f>IFERROR(__xludf.DUMMYFUNCTION("""COMPUTED_VALUE"""),"CAPACETE PARA COMBATE INCENDIO -")</f>
        <v>CAPACETE PARA COMBATE INCENDIO -</v>
      </c>
      <c r="C917" s="86">
        <f>IFERROR(__xludf.DUMMYFUNCTION("""COMPUTED_VALUE"""),1.0)</f>
        <v>1</v>
      </c>
      <c r="D917" s="87" t="str">
        <f>IFERROR(__xludf.DUMMYFUNCTION("""COMPUTED_VALUE"""),"SEÇÃO")</f>
        <v>SEÇÃO</v>
      </c>
      <c r="E917" s="87" t="str">
        <f>IFERROR(__xludf.DUMMYFUNCTION("""COMPUTED_VALUE"""),"3 - ALMOX. ESTOQUE")</f>
        <v>3 - ALMOX. ESTOQUE</v>
      </c>
      <c r="F917" s="88" t="str">
        <f>IFERROR(__xludf.DUMMYFUNCTION("""COMPUTED_VALUE"""),"SAO")</f>
        <v>SAO</v>
      </c>
      <c r="G917" s="89">
        <f>IFERROR(__xludf.DUMMYFUNCTION("""COMPUTED_VALUE"""),5.9317477E7)</f>
        <v>59317477</v>
      </c>
      <c r="H917" s="87"/>
      <c r="I917" s="87" t="str">
        <f>IFERROR(__xludf.DUMMYFUNCTION("""COMPUTED_VALUE"""),"capacete de incendio florestal")</f>
        <v>capacete de incendio florestal</v>
      </c>
    </row>
    <row r="918">
      <c r="A918" s="84">
        <f>IFERROR(__xludf.DUMMYFUNCTION("""COMPUTED_VALUE"""),917.0)</f>
        <v>917</v>
      </c>
      <c r="B918" s="85" t="str">
        <f>IFERROR(__xludf.DUMMYFUNCTION("""COMPUTED_VALUE"""),"CAPACETE PARA COMBATE INCENDIO -")</f>
        <v>CAPACETE PARA COMBATE INCENDIO -</v>
      </c>
      <c r="C918" s="86">
        <f>IFERROR(__xludf.DUMMYFUNCTION("""COMPUTED_VALUE"""),1.0)</f>
        <v>1</v>
      </c>
      <c r="D918" s="87" t="str">
        <f>IFERROR(__xludf.DUMMYFUNCTION("""COMPUTED_VALUE"""),"SEÇÃO")</f>
        <v>SEÇÃO</v>
      </c>
      <c r="E918" s="87" t="str">
        <f>IFERROR(__xludf.DUMMYFUNCTION("""COMPUTED_VALUE"""),"3 - ALMOX. ESTOQUE")</f>
        <v>3 - ALMOX. ESTOQUE</v>
      </c>
      <c r="F918" s="88" t="str">
        <f>IFERROR(__xludf.DUMMYFUNCTION("""COMPUTED_VALUE"""),"SAO")</f>
        <v>SAO</v>
      </c>
      <c r="G918" s="89">
        <f>IFERROR(__xludf.DUMMYFUNCTION("""COMPUTED_VALUE"""),5.9317485E7)</f>
        <v>59317485</v>
      </c>
      <c r="H918" s="87"/>
      <c r="I918" s="87" t="str">
        <f>IFERROR(__xludf.DUMMYFUNCTION("""COMPUTED_VALUE"""),"capacete SICOR, AMARELO")</f>
        <v>capacete SICOR, AMARELO</v>
      </c>
    </row>
    <row r="919">
      <c r="A919" s="84">
        <f>IFERROR(__xludf.DUMMYFUNCTION("""COMPUTED_VALUE"""),918.0)</f>
        <v>918</v>
      </c>
      <c r="B919" s="85" t="str">
        <f>IFERROR(__xludf.DUMMYFUNCTION("""COMPUTED_VALUE"""),"CAPACETE PARA COMBATE INCENDIO -")</f>
        <v>CAPACETE PARA COMBATE INCENDIO -</v>
      </c>
      <c r="C919" s="86">
        <f>IFERROR(__xludf.DUMMYFUNCTION("""COMPUTED_VALUE"""),1.0)</f>
        <v>1</v>
      </c>
      <c r="D919" s="87" t="str">
        <f>IFERROR(__xludf.DUMMYFUNCTION("""COMPUTED_VALUE"""),"SEÇÃO")</f>
        <v>SEÇÃO</v>
      </c>
      <c r="E919" s="87" t="str">
        <f>IFERROR(__xludf.DUMMYFUNCTION("""COMPUTED_VALUE"""),"3 - ALMOX. ESTOQUE")</f>
        <v>3 - ALMOX. ESTOQUE</v>
      </c>
      <c r="F919" s="88" t="str">
        <f>IFERROR(__xludf.DUMMYFUNCTION("""COMPUTED_VALUE"""),"SAO")</f>
        <v>SAO</v>
      </c>
      <c r="G919" s="89">
        <f>IFERROR(__xludf.DUMMYFUNCTION("""COMPUTED_VALUE"""),5.9317493E7)</f>
        <v>59317493</v>
      </c>
      <c r="H919" s="87"/>
      <c r="I919" s="87"/>
    </row>
    <row r="920">
      <c r="A920" s="84">
        <f>IFERROR(__xludf.DUMMYFUNCTION("""COMPUTED_VALUE"""),919.0)</f>
        <v>919</v>
      </c>
      <c r="B920" s="85" t="str">
        <f>IFERROR(__xludf.DUMMYFUNCTION("""COMPUTED_VALUE"""),"CAPACETE PARA COMBATE INCENDIO -")</f>
        <v>CAPACETE PARA COMBATE INCENDIO -</v>
      </c>
      <c r="C920" s="86">
        <f>IFERROR(__xludf.DUMMYFUNCTION("""COMPUTED_VALUE"""),1.0)</f>
        <v>1</v>
      </c>
      <c r="D920" s="87" t="str">
        <f>IFERROR(__xludf.DUMMYFUNCTION("""COMPUTED_VALUE"""),"SEÇÃO")</f>
        <v>SEÇÃO</v>
      </c>
      <c r="E920" s="87" t="str">
        <f>IFERROR(__xludf.DUMMYFUNCTION("""COMPUTED_VALUE"""),"3 - ALMOX. ESTOQUE")</f>
        <v>3 - ALMOX. ESTOQUE</v>
      </c>
      <c r="F920" s="88" t="str">
        <f>IFERROR(__xludf.DUMMYFUNCTION("""COMPUTED_VALUE"""),"SAO")</f>
        <v>SAO</v>
      </c>
      <c r="G920" s="89">
        <f>IFERROR(__xludf.DUMMYFUNCTION("""COMPUTED_VALUE"""),5.9317841E7)</f>
        <v>59317841</v>
      </c>
      <c r="H920" s="87"/>
      <c r="I920" s="87"/>
    </row>
    <row r="921">
      <c r="A921" s="84">
        <f>IFERROR(__xludf.DUMMYFUNCTION("""COMPUTED_VALUE"""),920.0)</f>
        <v>920</v>
      </c>
      <c r="B921" s="85" t="str">
        <f>IFERROR(__xludf.DUMMYFUNCTION("""COMPUTED_VALUE"""),"CAPACETE PARA COMBATE INCENDIO -")</f>
        <v>CAPACETE PARA COMBATE INCENDIO -</v>
      </c>
      <c r="C921" s="86">
        <f>IFERROR(__xludf.DUMMYFUNCTION("""COMPUTED_VALUE"""),1.0)</f>
        <v>1</v>
      </c>
      <c r="D921" s="87" t="str">
        <f>IFERROR(__xludf.DUMMYFUNCTION("""COMPUTED_VALUE"""),"MILITAR")</f>
        <v>MILITAR</v>
      </c>
      <c r="E921" s="87" t="str">
        <f>IFERROR(__xludf.DUMMYFUNCTION("""COMPUTED_VALUE"""),"2 - SD WESLEY DE SOUZA SOARES")</f>
        <v>2 - SD WESLEY DE SOUZA SOARES</v>
      </c>
      <c r="F921" s="88"/>
      <c r="G921" s="89">
        <f>IFERROR(__xludf.DUMMYFUNCTION("""COMPUTED_VALUE"""),5.931785E7)</f>
        <v>59317850</v>
      </c>
      <c r="H921" s="87"/>
      <c r="I921" s="87"/>
    </row>
    <row r="922">
      <c r="A922" s="84">
        <f>IFERROR(__xludf.DUMMYFUNCTION("""COMPUTED_VALUE"""),921.0)</f>
        <v>921</v>
      </c>
      <c r="B922" s="85" t="str">
        <f>IFERROR(__xludf.DUMMYFUNCTION("""COMPUTED_VALUE"""),"CAPACETE PARA COMBATE INCENDIO -")</f>
        <v>CAPACETE PARA COMBATE INCENDIO -</v>
      </c>
      <c r="C922" s="86">
        <f>IFERROR(__xludf.DUMMYFUNCTION("""COMPUTED_VALUE"""),1.0)</f>
        <v>1</v>
      </c>
      <c r="D922" s="87" t="str">
        <f>IFERROR(__xludf.DUMMYFUNCTION("""COMPUTED_VALUE"""),"SEÇÃO")</f>
        <v>SEÇÃO</v>
      </c>
      <c r="E922" s="87" t="str">
        <f>IFERROR(__xludf.DUMMYFUNCTION("""COMPUTED_VALUE"""),"3 - ALMOX. ESTOQUE")</f>
        <v>3 - ALMOX. ESTOQUE</v>
      </c>
      <c r="F922" s="88" t="str">
        <f>IFERROR(__xludf.DUMMYFUNCTION("""COMPUTED_VALUE"""),"SAO")</f>
        <v>SAO</v>
      </c>
      <c r="G922" s="89">
        <f>IFERROR(__xludf.DUMMYFUNCTION("""COMPUTED_VALUE"""),5.9317868E7)</f>
        <v>59317868</v>
      </c>
      <c r="H922" s="87"/>
      <c r="I922" s="87"/>
    </row>
    <row r="923">
      <c r="A923" s="84">
        <f>IFERROR(__xludf.DUMMYFUNCTION("""COMPUTED_VALUE"""),922.0)</f>
        <v>922</v>
      </c>
      <c r="B923" s="85" t="str">
        <f>IFERROR(__xludf.DUMMYFUNCTION("""COMPUTED_VALUE"""),"CAPACETE PARA COMBATE INCENDIO -")</f>
        <v>CAPACETE PARA COMBATE INCENDIO -</v>
      </c>
      <c r="C923" s="86">
        <f>IFERROR(__xludf.DUMMYFUNCTION("""COMPUTED_VALUE"""),1.0)</f>
        <v>1</v>
      </c>
      <c r="D923" s="87" t="str">
        <f>IFERROR(__xludf.DUMMYFUNCTION("""COMPUTED_VALUE"""),"SEÇÃO")</f>
        <v>SEÇÃO</v>
      </c>
      <c r="E923" s="87" t="str">
        <f>IFERROR(__xludf.DUMMYFUNCTION("""COMPUTED_VALUE"""),"3 - ALMOX. ESTOQUE")</f>
        <v>3 - ALMOX. ESTOQUE</v>
      </c>
      <c r="F923" s="88" t="str">
        <f>IFERROR(__xludf.DUMMYFUNCTION("""COMPUTED_VALUE"""),"SAO")</f>
        <v>SAO</v>
      </c>
      <c r="G923" s="89">
        <f>IFERROR(__xludf.DUMMYFUNCTION("""COMPUTED_VALUE"""),5.9317876E7)</f>
        <v>59317876</v>
      </c>
      <c r="H923" s="87"/>
      <c r="I923" s="87"/>
    </row>
    <row r="924">
      <c r="A924" s="84">
        <f>IFERROR(__xludf.DUMMYFUNCTION("""COMPUTED_VALUE"""),923.0)</f>
        <v>923</v>
      </c>
      <c r="B924" s="85" t="str">
        <f>IFERROR(__xludf.DUMMYFUNCTION("""COMPUTED_VALUE"""),"CAPACETE PARA COMBATE INCENDIO -")</f>
        <v>CAPACETE PARA COMBATE INCENDIO -</v>
      </c>
      <c r="C924" s="86">
        <f>IFERROR(__xludf.DUMMYFUNCTION("""COMPUTED_VALUE"""),1.0)</f>
        <v>1</v>
      </c>
      <c r="D924" s="87" t="str">
        <f>IFERROR(__xludf.DUMMYFUNCTION("""COMPUTED_VALUE"""),"SEÇÃO")</f>
        <v>SEÇÃO</v>
      </c>
      <c r="E924" s="87" t="str">
        <f>IFERROR(__xludf.DUMMYFUNCTION("""COMPUTED_VALUE"""),"3 - ALMOX. ESTOQUE")</f>
        <v>3 - ALMOX. ESTOQUE</v>
      </c>
      <c r="F924" s="88" t="str">
        <f>IFERROR(__xludf.DUMMYFUNCTION("""COMPUTED_VALUE"""),"SAO")</f>
        <v>SAO</v>
      </c>
      <c r="G924" s="89">
        <f>IFERROR(__xludf.DUMMYFUNCTION("""COMPUTED_VALUE"""),5.9317884E7)</f>
        <v>59317884</v>
      </c>
      <c r="H924" s="87"/>
      <c r="I924" s="87"/>
    </row>
    <row r="925">
      <c r="A925" s="84">
        <f>IFERROR(__xludf.DUMMYFUNCTION("""COMPUTED_VALUE"""),924.0)</f>
        <v>924</v>
      </c>
      <c r="B925" s="85" t="str">
        <f>IFERROR(__xludf.DUMMYFUNCTION("""COMPUTED_VALUE"""),"COMPUTADOR -")</f>
        <v>COMPUTADOR -</v>
      </c>
      <c r="C925" s="86">
        <f>IFERROR(__xludf.DUMMYFUNCTION("""COMPUTED_VALUE"""),1.0)</f>
        <v>1</v>
      </c>
      <c r="D925" s="87" t="str">
        <f>IFERROR(__xludf.DUMMYFUNCTION("""COMPUTED_VALUE"""),"SEÇÃO")</f>
        <v>SEÇÃO</v>
      </c>
      <c r="E925" s="87" t="str">
        <f>IFERROR(__xludf.DUMMYFUNCTION("""COMPUTED_VALUE"""),"3 - NTS")</f>
        <v>3 - NTS</v>
      </c>
      <c r="F925" s="88"/>
      <c r="G925" s="89">
        <f>IFERROR(__xludf.DUMMYFUNCTION("""COMPUTED_VALUE"""),6.2619586E7)</f>
        <v>62619586</v>
      </c>
      <c r="H925" s="87" t="str">
        <f>IFERROR(__xludf.DUMMYFUNCTION("""COMPUTED_VALUE"""),"ITAUTEC SM 3322")</f>
        <v>ITAUTEC SM 3322</v>
      </c>
      <c r="I925" s="87" t="str">
        <f>IFERROR(__xludf.DUMMYFUNCTION("""COMPUTED_VALUE"""),"TRANSFERIDO PARA NTS")</f>
        <v>TRANSFERIDO PARA NTS</v>
      </c>
    </row>
    <row r="926">
      <c r="A926" s="84">
        <f>IFERROR(__xludf.DUMMYFUNCTION("""COMPUTED_VALUE"""),925.0)</f>
        <v>925</v>
      </c>
      <c r="B926" s="85" t="str">
        <f>IFERROR(__xludf.DUMMYFUNCTION("""COMPUTED_VALUE"""),"COMPUTADOR -")</f>
        <v>COMPUTADOR -</v>
      </c>
      <c r="C926" s="86">
        <f>IFERROR(__xludf.DUMMYFUNCTION("""COMPUTED_VALUE"""),1.0)</f>
        <v>1</v>
      </c>
      <c r="D926" s="87" t="str">
        <f>IFERROR(__xludf.DUMMYFUNCTION("""COMPUTED_VALUE"""),"SEÇÃO")</f>
        <v>SEÇÃO</v>
      </c>
      <c r="E926" s="87" t="str">
        <f>IFERROR(__xludf.DUMMYFUNCTION("""COMPUTED_VALUE"""),"3 - ABM")</f>
        <v>3 - ABM</v>
      </c>
      <c r="F926" s="88"/>
      <c r="G926" s="89">
        <f>IFERROR(__xludf.DUMMYFUNCTION("""COMPUTED_VALUE"""),6.2666436E7)</f>
        <v>62666436</v>
      </c>
      <c r="H926" s="87" t="str">
        <f>IFERROR(__xludf.DUMMYFUNCTION("""COMPUTED_VALUE"""),"HP 6005PRO")</f>
        <v>HP 6005PRO</v>
      </c>
      <c r="I926" s="87" t="str">
        <f>IFERROR(__xludf.DUMMYFUNCTION("""COMPUTED_VALUE"""),"TRANSFERIDO PARA ABM SA DE INFORMÁTICA")</f>
        <v>TRANSFERIDO PARA ABM SA DE INFORMÁTICA</v>
      </c>
    </row>
    <row r="927">
      <c r="A927" s="84">
        <f>IFERROR(__xludf.DUMMYFUNCTION("""COMPUTED_VALUE"""),926.0)</f>
        <v>926</v>
      </c>
      <c r="B927" s="85" t="str">
        <f>IFERROR(__xludf.DUMMYFUNCTION("""COMPUTED_VALUE"""),"COMPUTADOR -")</f>
        <v>COMPUTADOR -</v>
      </c>
      <c r="C927" s="86">
        <f>IFERROR(__xludf.DUMMYFUNCTION("""COMPUTED_VALUE"""),1.0)</f>
        <v>1</v>
      </c>
      <c r="D927" s="87" t="str">
        <f>IFERROR(__xludf.DUMMYFUNCTION("""COMPUTED_VALUE"""),"SEÇÃO")</f>
        <v>SEÇÃO</v>
      </c>
      <c r="E927" s="87" t="str">
        <f>IFERROR(__xludf.DUMMYFUNCTION("""COMPUTED_VALUE"""),"3 - ABM")</f>
        <v>3 - ABM</v>
      </c>
      <c r="F927" s="88"/>
      <c r="G927" s="89">
        <f>IFERROR(__xludf.DUMMYFUNCTION("""COMPUTED_VALUE"""),6.2666444E7)</f>
        <v>62666444</v>
      </c>
      <c r="H927" s="87" t="str">
        <f>IFERROR(__xludf.DUMMYFUNCTION("""COMPUTED_VALUE"""),"HP 6005PRO")</f>
        <v>HP 6005PRO</v>
      </c>
      <c r="I927" s="87" t="str">
        <f>IFERROR(__xludf.DUMMYFUNCTION("""COMPUTED_VALUE"""),"TRANSFERIDO PARA ABM SA DE INFORMÁTICA")</f>
        <v>TRANSFERIDO PARA ABM SA DE INFORMÁTICA</v>
      </c>
    </row>
    <row r="928">
      <c r="A928" s="84">
        <f>IFERROR(__xludf.DUMMYFUNCTION("""COMPUTED_VALUE"""),927.0)</f>
        <v>927</v>
      </c>
      <c r="B928" s="85" t="str">
        <f>IFERROR(__xludf.DUMMYFUNCTION("""COMPUTED_VALUE"""),"COMPUTADOR -")</f>
        <v>COMPUTADOR -</v>
      </c>
      <c r="C928" s="86">
        <f>IFERROR(__xludf.DUMMYFUNCTION("""COMPUTED_VALUE"""),1.0)</f>
        <v>1</v>
      </c>
      <c r="D928" s="87" t="str">
        <f>IFERROR(__xludf.DUMMYFUNCTION("""COMPUTED_VALUE"""),"SEÇÃO")</f>
        <v>SEÇÃO</v>
      </c>
      <c r="E928" s="87" t="str">
        <f>IFERROR(__xludf.DUMMYFUNCTION("""COMPUTED_VALUE"""),"3 - ABM")</f>
        <v>3 - ABM</v>
      </c>
      <c r="F928" s="88"/>
      <c r="G928" s="89">
        <f>IFERROR(__xludf.DUMMYFUNCTION("""COMPUTED_VALUE"""),6.2666452E7)</f>
        <v>62666452</v>
      </c>
      <c r="H928" s="87" t="str">
        <f>IFERROR(__xludf.DUMMYFUNCTION("""COMPUTED_VALUE"""),"HP 6005PRO")</f>
        <v>HP 6005PRO</v>
      </c>
      <c r="I928" s="87" t="str">
        <f>IFERROR(__xludf.DUMMYFUNCTION("""COMPUTED_VALUE"""),"TRANSFERIDO PARA ABM SA DE INFORMÁTICA")</f>
        <v>TRANSFERIDO PARA ABM SA DE INFORMÁTICA</v>
      </c>
    </row>
    <row r="929">
      <c r="A929" s="84">
        <f>IFERROR(__xludf.DUMMYFUNCTION("""COMPUTED_VALUE"""),928.0)</f>
        <v>928</v>
      </c>
      <c r="B929" s="85" t="str">
        <f>IFERROR(__xludf.DUMMYFUNCTION("""COMPUTED_VALUE"""),"COMPUTADOR -")</f>
        <v>COMPUTADOR -</v>
      </c>
      <c r="C929" s="86">
        <f>IFERROR(__xludf.DUMMYFUNCTION("""COMPUTED_VALUE"""),1.0)</f>
        <v>1</v>
      </c>
      <c r="D929" s="87" t="str">
        <f>IFERROR(__xludf.DUMMYFUNCTION("""COMPUTED_VALUE"""),"SEÇÃO")</f>
        <v>SEÇÃO</v>
      </c>
      <c r="E929" s="87" t="str">
        <f>IFERROR(__xludf.DUMMYFUNCTION("""COMPUTED_VALUE"""),"3 - ABM")</f>
        <v>3 - ABM</v>
      </c>
      <c r="F929" s="88"/>
      <c r="G929" s="89">
        <f>IFERROR(__xludf.DUMMYFUNCTION("""COMPUTED_VALUE"""),6.2666517E7)</f>
        <v>62666517</v>
      </c>
      <c r="H929" s="87" t="str">
        <f>IFERROR(__xludf.DUMMYFUNCTION("""COMPUTED_VALUE"""),"HP 6005PRO")</f>
        <v>HP 6005PRO</v>
      </c>
      <c r="I929" s="87" t="str">
        <f>IFERROR(__xludf.DUMMYFUNCTION("""COMPUTED_VALUE"""),"TRANSFERIDO PARA ABM SA DE INFORMÁTICA")</f>
        <v>TRANSFERIDO PARA ABM SA DE INFORMÁTICA</v>
      </c>
    </row>
    <row r="930">
      <c r="A930" s="84">
        <f>IFERROR(__xludf.DUMMYFUNCTION("""COMPUTED_VALUE"""),929.0)</f>
        <v>929</v>
      </c>
      <c r="B930" s="85" t="str">
        <f>IFERROR(__xludf.DUMMYFUNCTION("""COMPUTED_VALUE"""),"COMPUTADOR -")</f>
        <v>COMPUTADOR -</v>
      </c>
      <c r="C930" s="86">
        <f>IFERROR(__xludf.DUMMYFUNCTION("""COMPUTED_VALUE"""),1.0)</f>
        <v>1</v>
      </c>
      <c r="D930" s="87" t="str">
        <f>IFERROR(__xludf.DUMMYFUNCTION("""COMPUTED_VALUE"""),"SEÇÃO")</f>
        <v>SEÇÃO</v>
      </c>
      <c r="E930" s="87" t="str">
        <f>IFERROR(__xludf.DUMMYFUNCTION("""COMPUTED_VALUE"""),"3 - ABM")</f>
        <v>3 - ABM</v>
      </c>
      <c r="F930" s="88"/>
      <c r="G930" s="89">
        <f>IFERROR(__xludf.DUMMYFUNCTION("""COMPUTED_VALUE"""),6.26673E7)</f>
        <v>62667300</v>
      </c>
      <c r="H930" s="87" t="str">
        <f>IFERROR(__xludf.DUMMYFUNCTION("""COMPUTED_VALUE"""),"HP 6005PRO")</f>
        <v>HP 6005PRO</v>
      </c>
      <c r="I930" s="87" t="str">
        <f>IFERROR(__xludf.DUMMYFUNCTION("""COMPUTED_VALUE"""),"TRANSFERIDO PARA NTS")</f>
        <v>TRANSFERIDO PARA NTS</v>
      </c>
    </row>
    <row r="931">
      <c r="A931" s="84">
        <f>IFERROR(__xludf.DUMMYFUNCTION("""COMPUTED_VALUE"""),930.0)</f>
        <v>930</v>
      </c>
      <c r="B931" s="85" t="str">
        <f>IFERROR(__xludf.DUMMYFUNCTION("""COMPUTED_VALUE"""),"COMPUTADOR -")</f>
        <v>COMPUTADOR -</v>
      </c>
      <c r="C931" s="86">
        <f>IFERROR(__xludf.DUMMYFUNCTION("""COMPUTED_VALUE"""),1.0)</f>
        <v>1</v>
      </c>
      <c r="D931" s="87" t="str">
        <f>IFERROR(__xludf.DUMMYFUNCTION("""COMPUTED_VALUE"""),"SEÇÃO")</f>
        <v>SEÇÃO</v>
      </c>
      <c r="E931" s="87" t="str">
        <f>IFERROR(__xludf.DUMMYFUNCTION("""COMPUTED_VALUE"""),"3 - ABM")</f>
        <v>3 - ABM</v>
      </c>
      <c r="F931" s="88"/>
      <c r="G931" s="89">
        <f>IFERROR(__xludf.DUMMYFUNCTION("""COMPUTED_VALUE"""),6.2840967E7)</f>
        <v>62840967</v>
      </c>
      <c r="H931" s="87" t="str">
        <f>IFERROR(__xludf.DUMMYFUNCTION("""COMPUTED_VALUE"""),"POSITIVO D480")</f>
        <v>POSITIVO D480</v>
      </c>
      <c r="I931" s="87" t="str">
        <f>IFERROR(__xludf.DUMMYFUNCTION("""COMPUTED_VALUE"""),"GUARDADO - transferido para NTS")</f>
        <v>GUARDADO - transferido para NTS</v>
      </c>
    </row>
    <row r="932">
      <c r="A932" s="84">
        <f>IFERROR(__xludf.DUMMYFUNCTION("""COMPUTED_VALUE"""),931.0)</f>
        <v>931</v>
      </c>
      <c r="B932" s="85" t="str">
        <f>IFERROR(__xludf.DUMMYFUNCTION("""COMPUTED_VALUE"""),"COMPUTADOR -")</f>
        <v>COMPUTADOR -</v>
      </c>
      <c r="C932" s="86">
        <f>IFERROR(__xludf.DUMMYFUNCTION("""COMPUTED_VALUE"""),1.0)</f>
        <v>1</v>
      </c>
      <c r="D932" s="87" t="str">
        <f>IFERROR(__xludf.DUMMYFUNCTION("""COMPUTED_VALUE"""),"SEÇÃO")</f>
        <v>SEÇÃO</v>
      </c>
      <c r="E932" s="87" t="str">
        <f>IFERROR(__xludf.DUMMYFUNCTION("""COMPUTED_VALUE"""),"3 - 1ª CIA OP")</f>
        <v>3 - 1ª CIA OP</v>
      </c>
      <c r="F932" s="88" t="str">
        <f>IFERROR(__xludf.DUMMYFUNCTION("""COMPUTED_VALUE"""),"SECRETARIA")</f>
        <v>SECRETARIA</v>
      </c>
      <c r="G932" s="89">
        <f>IFERROR(__xludf.DUMMYFUNCTION("""COMPUTED_VALUE"""),6.2841122E7)</f>
        <v>62841122</v>
      </c>
      <c r="H932" s="87" t="str">
        <f>IFERROR(__xludf.DUMMYFUNCTION("""COMPUTED_VALUE"""),"N.S.1AF51DC8M")</f>
        <v>N.S.1AF51DC8M</v>
      </c>
      <c r="I932" s="87" t="str">
        <f>IFERROR(__xludf.DUMMYFUNCTION("""COMPUTED_VALUE"""),"POSITIVO MASTER D480- comp. utilizado pelo Cb Romano")</f>
        <v>POSITIVO MASTER D480- comp. utilizado pelo Cb Romano</v>
      </c>
    </row>
    <row r="933">
      <c r="A933" s="84">
        <f>IFERROR(__xludf.DUMMYFUNCTION("""COMPUTED_VALUE"""),932.0)</f>
        <v>932</v>
      </c>
      <c r="B933" s="85" t="str">
        <f>IFERROR(__xludf.DUMMYFUNCTION("""COMPUTED_VALUE"""),"COMPUTADOR -")</f>
        <v>COMPUTADOR -</v>
      </c>
      <c r="C933" s="86">
        <f>IFERROR(__xludf.DUMMYFUNCTION("""COMPUTED_VALUE"""),1.0)</f>
        <v>1</v>
      </c>
      <c r="D933" s="87" t="str">
        <f>IFERROR(__xludf.DUMMYFUNCTION("""COMPUTED_VALUE"""),"SEÇÃO")</f>
        <v>SEÇÃO</v>
      </c>
      <c r="E933" s="87" t="str">
        <f>IFERROR(__xludf.DUMMYFUNCTION("""COMPUTED_VALUE"""),"3 - ABM")</f>
        <v>3 - ABM</v>
      </c>
      <c r="F933" s="88"/>
      <c r="G933" s="89">
        <f>IFERROR(__xludf.DUMMYFUNCTION("""COMPUTED_VALUE"""),6.284184E7)</f>
        <v>62841840</v>
      </c>
      <c r="H933" s="87"/>
      <c r="I933" s="87" t="str">
        <f>IFERROR(__xludf.DUMMYFUNCTION("""COMPUTED_VALUE"""),"TRANSFERIDO PARA ABM SA DE INFORMÁTICA")</f>
        <v>TRANSFERIDO PARA ABM SA DE INFORMÁTICA</v>
      </c>
    </row>
    <row r="934">
      <c r="A934" s="84">
        <f>IFERROR(__xludf.DUMMYFUNCTION("""COMPUTED_VALUE"""),933.0)</f>
        <v>933</v>
      </c>
      <c r="B934" s="85" t="str">
        <f>IFERROR(__xludf.DUMMYFUNCTION("""COMPUTED_VALUE"""),"COMPUTADOR -")</f>
        <v>COMPUTADOR -</v>
      </c>
      <c r="C934" s="86">
        <f>IFERROR(__xludf.DUMMYFUNCTION("""COMPUTED_VALUE"""),1.0)</f>
        <v>1</v>
      </c>
      <c r="D934" s="87" t="str">
        <f>IFERROR(__xludf.DUMMYFUNCTION("""COMPUTED_VALUE"""),"SEÇÃO")</f>
        <v>SEÇÃO</v>
      </c>
      <c r="E934" s="87" t="str">
        <f>IFERROR(__xludf.DUMMYFUNCTION("""COMPUTED_VALUE"""),"3 - SUPRIMENTOS")</f>
        <v>3 - SUPRIMENTOS</v>
      </c>
      <c r="F934" s="88"/>
      <c r="G934" s="89">
        <f>IFERROR(__xludf.DUMMYFUNCTION("""COMPUTED_VALUE"""),6.2841858E7)</f>
        <v>62841858</v>
      </c>
      <c r="H934" s="87" t="str">
        <f>IFERROR(__xludf.DUMMYFUNCTION("""COMPUTED_VALUE"""),"NS 1AF73JL7S")</f>
        <v>NS 1AF73JL7S</v>
      </c>
      <c r="I934" s="87" t="str">
        <f>IFERROR(__xludf.DUMMYFUNCTION("""COMPUTED_VALUE"""),"POSITIVO MASTER D480")</f>
        <v>POSITIVO MASTER D480</v>
      </c>
    </row>
    <row r="935">
      <c r="A935" s="84">
        <f>IFERROR(__xludf.DUMMYFUNCTION("""COMPUTED_VALUE"""),934.0)</f>
        <v>934</v>
      </c>
      <c r="B935" s="85" t="str">
        <f>IFERROR(__xludf.DUMMYFUNCTION("""COMPUTED_VALUE"""),"COMPUTADOR -")</f>
        <v>COMPUTADOR -</v>
      </c>
      <c r="C935" s="86">
        <f>IFERROR(__xludf.DUMMYFUNCTION("""COMPUTED_VALUE"""),1.0)</f>
        <v>1</v>
      </c>
      <c r="D935" s="87" t="str">
        <f>IFERROR(__xludf.DUMMYFUNCTION("""COMPUTED_VALUE"""),"SEÇÃO")</f>
        <v>SEÇÃO</v>
      </c>
      <c r="E935" s="87" t="str">
        <f>IFERROR(__xludf.DUMMYFUNCTION("""COMPUTED_VALUE"""),"3 - NTS")</f>
        <v>3 - NTS</v>
      </c>
      <c r="F935" s="88"/>
      <c r="G935" s="89">
        <f>IFERROR(__xludf.DUMMYFUNCTION("""COMPUTED_VALUE"""),6.2841882E7)</f>
        <v>62841882</v>
      </c>
      <c r="H935" s="87"/>
      <c r="I935" s="87" t="str">
        <f>IFERROR(__xludf.DUMMYFUNCTION("""COMPUTED_VALUE"""),"TRANSFERIDO PARA NTS")</f>
        <v>TRANSFERIDO PARA NTS</v>
      </c>
    </row>
    <row r="936">
      <c r="A936" s="84">
        <f>IFERROR(__xludf.DUMMYFUNCTION("""COMPUTED_VALUE"""),935.0)</f>
        <v>935</v>
      </c>
      <c r="B936" s="85" t="str">
        <f>IFERROR(__xludf.DUMMYFUNCTION("""COMPUTED_VALUE"""),"COMPUTADOR -")</f>
        <v>COMPUTADOR -</v>
      </c>
      <c r="C936" s="86">
        <f>IFERROR(__xludf.DUMMYFUNCTION("""COMPUTED_VALUE"""),1.0)</f>
        <v>1</v>
      </c>
      <c r="D936" s="87" t="str">
        <f>IFERROR(__xludf.DUMMYFUNCTION("""COMPUTED_VALUE"""),"SEÇÃO")</f>
        <v>SEÇÃO</v>
      </c>
      <c r="E936" s="87" t="str">
        <f>IFERROR(__xludf.DUMMYFUNCTION("""COMPUTED_VALUE"""),"3 - DESCARGA")</f>
        <v>3 - DESCARGA</v>
      </c>
      <c r="F936" s="88" t="str">
        <f>IFERROR(__xludf.DUMMYFUNCTION("""COMPUTED_VALUE"""),"CPD")</f>
        <v>CPD</v>
      </c>
      <c r="G936" s="89">
        <f>IFERROR(__xludf.DUMMYFUNCTION("""COMPUTED_VALUE"""),6.2841998E7)</f>
        <v>62841998</v>
      </c>
      <c r="H936" s="87" t="str">
        <f>IFERROR(__xludf.DUMMYFUNCTION("""COMPUTED_VALUE"""),"NS 1AF497C95")</f>
        <v>NS 1AF497C95</v>
      </c>
      <c r="I936" s="87" t="str">
        <f>IFERROR(__xludf.DUMMYFUNCTION("""COMPUTED_VALUE"""),"GUARDADO/ POSITIVO MASTER D480")</f>
        <v>GUARDADO/ POSITIVO MASTER D480</v>
      </c>
    </row>
    <row r="937">
      <c r="A937" s="84">
        <f>IFERROR(__xludf.DUMMYFUNCTION("""COMPUTED_VALUE"""),936.0)</f>
        <v>936</v>
      </c>
      <c r="B937" s="85" t="str">
        <f>IFERROR(__xludf.DUMMYFUNCTION("""COMPUTED_VALUE"""),"COMPUTADOR -")</f>
        <v>COMPUTADOR -</v>
      </c>
      <c r="C937" s="86">
        <f>IFERROR(__xludf.DUMMYFUNCTION("""COMPUTED_VALUE"""),1.0)</f>
        <v>1</v>
      </c>
      <c r="D937" s="87" t="str">
        <f>IFERROR(__xludf.DUMMYFUNCTION("""COMPUTED_VALUE"""),"SEÇÃO")</f>
        <v>SEÇÃO</v>
      </c>
      <c r="E937" s="87" t="str">
        <f>IFERROR(__xludf.DUMMYFUNCTION("""COMPUTED_VALUE"""),"3 - CARTÓRIO")</f>
        <v>3 - CARTÓRIO</v>
      </c>
      <c r="F937" s="88"/>
      <c r="G937" s="89">
        <f>IFERROR(__xludf.DUMMYFUNCTION("""COMPUTED_VALUE"""),6.2843117E7)</f>
        <v>62843117</v>
      </c>
      <c r="H937" s="87"/>
      <c r="I937" s="87" t="str">
        <f>IFERROR(__xludf.DUMMYFUNCTION("""COMPUTED_VALUE"""),"antessala para audição")</f>
        <v>antessala para audição</v>
      </c>
    </row>
    <row r="938">
      <c r="A938" s="84">
        <f>IFERROR(__xludf.DUMMYFUNCTION("""COMPUTED_VALUE"""),937.0)</f>
        <v>937</v>
      </c>
      <c r="B938" s="85" t="str">
        <f>IFERROR(__xludf.DUMMYFUNCTION("""COMPUTED_VALUE"""),"COMPUTADOR -")</f>
        <v>COMPUTADOR -</v>
      </c>
      <c r="C938" s="86">
        <f>IFERROR(__xludf.DUMMYFUNCTION("""COMPUTED_VALUE"""),1.0)</f>
        <v>1</v>
      </c>
      <c r="D938" s="87" t="str">
        <f>IFERROR(__xludf.DUMMYFUNCTION("""COMPUTED_VALUE"""),"SEÇÃO")</f>
        <v>SEÇÃO</v>
      </c>
      <c r="E938" s="87" t="str">
        <f>IFERROR(__xludf.DUMMYFUNCTION("""COMPUTED_VALUE"""),"3 - NTS")</f>
        <v>3 - NTS</v>
      </c>
      <c r="F938" s="88"/>
      <c r="G938" s="89">
        <f>IFERROR(__xludf.DUMMYFUNCTION("""COMPUTED_VALUE"""),6.2843214E7)</f>
        <v>62843214</v>
      </c>
      <c r="H938" s="87"/>
      <c r="I938" s="87" t="str">
        <f>IFERROR(__xludf.DUMMYFUNCTION("""COMPUTED_VALUE"""),"transferido para NTS")</f>
        <v>transferido para NTS</v>
      </c>
    </row>
    <row r="939">
      <c r="A939" s="84">
        <f>IFERROR(__xludf.DUMMYFUNCTION("""COMPUTED_VALUE"""),938.0)</f>
        <v>938</v>
      </c>
      <c r="B939" s="85" t="str">
        <f>IFERROR(__xludf.DUMMYFUNCTION("""COMPUTED_VALUE"""),"COMPUTADOR -")</f>
        <v>COMPUTADOR -</v>
      </c>
      <c r="C939" s="86">
        <f>IFERROR(__xludf.DUMMYFUNCTION("""COMPUTED_VALUE"""),1.0)</f>
        <v>1</v>
      </c>
      <c r="D939" s="87" t="str">
        <f>IFERROR(__xludf.DUMMYFUNCTION("""COMPUTED_VALUE"""),"SEÇÃO")</f>
        <v>SEÇÃO</v>
      </c>
      <c r="E939" s="87" t="str">
        <f>IFERROR(__xludf.DUMMYFUNCTION("""COMPUTED_VALUE"""),"3 - NTS")</f>
        <v>3 - NTS</v>
      </c>
      <c r="F939" s="88"/>
      <c r="G939" s="89">
        <f>IFERROR(__xludf.DUMMYFUNCTION("""COMPUTED_VALUE"""),6.2844423E7)</f>
        <v>62844423</v>
      </c>
      <c r="H939" s="87"/>
      <c r="I939" s="87" t="str">
        <f>IFERROR(__xludf.DUMMYFUNCTION("""COMPUTED_VALUE"""),"DESMONTADO - transferido para NTS")</f>
        <v>DESMONTADO - transferido para NTS</v>
      </c>
    </row>
    <row r="940">
      <c r="A940" s="84">
        <f>IFERROR(__xludf.DUMMYFUNCTION("""COMPUTED_VALUE"""),939.0)</f>
        <v>939</v>
      </c>
      <c r="B940" s="85" t="str">
        <f>IFERROR(__xludf.DUMMYFUNCTION("""COMPUTED_VALUE"""),"COMPUTADOR -")</f>
        <v>COMPUTADOR -</v>
      </c>
      <c r="C940" s="86">
        <f>IFERROR(__xludf.DUMMYFUNCTION("""COMPUTED_VALUE"""),1.0)</f>
        <v>1</v>
      </c>
      <c r="D940" s="87" t="str">
        <f>IFERROR(__xludf.DUMMYFUNCTION("""COMPUTED_VALUE"""),"SEÇÃO")</f>
        <v>SEÇÃO</v>
      </c>
      <c r="E940" s="87" t="str">
        <f>IFERROR(__xludf.DUMMYFUNCTION("""COMPUTED_VALUE"""),"3 - ABM")</f>
        <v>3 - ABM</v>
      </c>
      <c r="F940" s="88"/>
      <c r="G940" s="89">
        <f>IFERROR(__xludf.DUMMYFUNCTION("""COMPUTED_VALUE"""),7.5971615E7)</f>
        <v>75971615</v>
      </c>
      <c r="H940" s="87"/>
      <c r="I940" s="87" t="str">
        <f>IFERROR(__xludf.DUMMYFUNCTION("""COMPUTED_VALUE"""),"transferido para ABM")</f>
        <v>transferido para ABM</v>
      </c>
    </row>
    <row r="941">
      <c r="A941" s="84">
        <f>IFERROR(__xludf.DUMMYFUNCTION("""COMPUTED_VALUE"""),940.0)</f>
        <v>940</v>
      </c>
      <c r="B941" s="85" t="str">
        <f>IFERROR(__xludf.DUMMYFUNCTION("""COMPUTED_VALUE"""),"COMPUTADOR -")</f>
        <v>COMPUTADOR -</v>
      </c>
      <c r="C941" s="86">
        <f>IFERROR(__xludf.DUMMYFUNCTION("""COMPUTED_VALUE"""),1.0)</f>
        <v>1</v>
      </c>
      <c r="D941" s="87" t="str">
        <f>IFERROR(__xludf.DUMMYFUNCTION("""COMPUTED_VALUE"""),"SEÇÃO")</f>
        <v>SEÇÃO</v>
      </c>
      <c r="E941" s="87" t="str">
        <f>IFERROR(__xludf.DUMMYFUNCTION("""COMPUTED_VALUE"""),"3 - NTS")</f>
        <v>3 - NTS</v>
      </c>
      <c r="F941" s="88"/>
      <c r="G941" s="89">
        <f>IFERROR(__xludf.DUMMYFUNCTION("""COMPUTED_VALUE"""),7.5971631E7)</f>
        <v>75971631</v>
      </c>
      <c r="H941" s="87"/>
      <c r="I941" s="87" t="str">
        <f>IFERROR(__xludf.DUMMYFUNCTION("""COMPUTED_VALUE"""),"transferido para NTS")</f>
        <v>transferido para NTS</v>
      </c>
    </row>
    <row r="942">
      <c r="A942" s="84">
        <f>IFERROR(__xludf.DUMMYFUNCTION("""COMPUTED_VALUE"""),941.0)</f>
        <v>941</v>
      </c>
      <c r="B942" s="85" t="str">
        <f>IFERROR(__xludf.DUMMYFUNCTION("""COMPUTED_VALUE"""),"COMPUTADOR -")</f>
        <v>COMPUTADOR -</v>
      </c>
      <c r="C942" s="86">
        <f>IFERROR(__xludf.DUMMYFUNCTION("""COMPUTED_VALUE"""),1.0)</f>
        <v>1</v>
      </c>
      <c r="D942" s="87" t="str">
        <f>IFERROR(__xludf.DUMMYFUNCTION("""COMPUTED_VALUE"""),"SEÇÃO")</f>
        <v>SEÇÃO</v>
      </c>
      <c r="E942" s="87" t="str">
        <f>IFERROR(__xludf.DUMMYFUNCTION("""COMPUTED_VALUE"""),"3 - ABM")</f>
        <v>3 - ABM</v>
      </c>
      <c r="F942" s="88"/>
      <c r="G942" s="89">
        <f>IFERROR(__xludf.DUMMYFUNCTION("""COMPUTED_VALUE"""),7.597164E7)</f>
        <v>75971640</v>
      </c>
      <c r="H942" s="87"/>
      <c r="I942" s="87" t="str">
        <f>IFERROR(__xludf.DUMMYFUNCTION("""COMPUTED_VALUE"""),"transferido para ABM")</f>
        <v>transferido para ABM</v>
      </c>
    </row>
    <row r="943">
      <c r="A943" s="84">
        <f>IFERROR(__xludf.DUMMYFUNCTION("""COMPUTED_VALUE"""),942.0)</f>
        <v>942</v>
      </c>
      <c r="B943" s="85" t="str">
        <f>IFERROR(__xludf.DUMMYFUNCTION("""COMPUTED_VALUE"""),"COMPUTADOR -")</f>
        <v>COMPUTADOR -</v>
      </c>
      <c r="C943" s="86">
        <f>IFERROR(__xludf.DUMMYFUNCTION("""COMPUTED_VALUE"""),1.0)</f>
        <v>1</v>
      </c>
      <c r="D943" s="87" t="str">
        <f>IFERROR(__xludf.DUMMYFUNCTION("""COMPUTED_VALUE"""),"SEÇÃO")</f>
        <v>SEÇÃO</v>
      </c>
      <c r="E943" s="87" t="str">
        <f>IFERROR(__xludf.DUMMYFUNCTION("""COMPUTED_VALUE"""),"3 - NTS")</f>
        <v>3 - NTS</v>
      </c>
      <c r="F943" s="88"/>
      <c r="G943" s="89">
        <f>IFERROR(__xludf.DUMMYFUNCTION("""COMPUTED_VALUE"""),7.5971941E7)</f>
        <v>75971941</v>
      </c>
      <c r="H943" s="87"/>
      <c r="I943" s="87" t="str">
        <f>IFERROR(__xludf.DUMMYFUNCTION("""COMPUTED_VALUE"""),"antessala - transferido para NTS")</f>
        <v>antessala - transferido para NTS</v>
      </c>
    </row>
    <row r="944">
      <c r="A944" s="84">
        <f>IFERROR(__xludf.DUMMYFUNCTION("""COMPUTED_VALUE"""),943.0)</f>
        <v>943</v>
      </c>
      <c r="B944" s="85" t="str">
        <f>IFERROR(__xludf.DUMMYFUNCTION("""COMPUTED_VALUE"""),"COMPUTADOR -")</f>
        <v>COMPUTADOR -</v>
      </c>
      <c r="C944" s="86">
        <f>IFERROR(__xludf.DUMMYFUNCTION("""COMPUTED_VALUE"""),1.0)</f>
        <v>1</v>
      </c>
      <c r="D944" s="87" t="str">
        <f>IFERROR(__xludf.DUMMYFUNCTION("""COMPUTED_VALUE"""),"SEÇÃO")</f>
        <v>SEÇÃO</v>
      </c>
      <c r="E944" s="87" t="str">
        <f>IFERROR(__xludf.DUMMYFUNCTION("""COMPUTED_VALUE"""),"3 - ABM")</f>
        <v>3 - ABM</v>
      </c>
      <c r="F944" s="88"/>
      <c r="G944" s="89">
        <f>IFERROR(__xludf.DUMMYFUNCTION("""COMPUTED_VALUE"""),7.5971968E7)</f>
        <v>75971968</v>
      </c>
      <c r="H944" s="87"/>
      <c r="I944" s="87" t="str">
        <f>IFERROR(__xludf.DUMMYFUNCTION("""COMPUTED_VALUE"""),"transferido para ABM")</f>
        <v>transferido para ABM</v>
      </c>
    </row>
    <row r="945">
      <c r="A945" s="84">
        <f>IFERROR(__xludf.DUMMYFUNCTION("""COMPUTED_VALUE"""),944.0)</f>
        <v>944</v>
      </c>
      <c r="B945" s="85" t="str">
        <f>IFERROR(__xludf.DUMMYFUNCTION("""COMPUTED_VALUE"""),"COMPUTADOR -")</f>
        <v>COMPUTADOR -</v>
      </c>
      <c r="C945" s="86">
        <f>IFERROR(__xludf.DUMMYFUNCTION("""COMPUTED_VALUE"""),1.0)</f>
        <v>1</v>
      </c>
      <c r="D945" s="87" t="str">
        <f>IFERROR(__xludf.DUMMYFUNCTION("""COMPUTED_VALUE"""),"SEÇÃO")</f>
        <v>SEÇÃO</v>
      </c>
      <c r="E945" s="87" t="str">
        <f>IFERROR(__xludf.DUMMYFUNCTION("""COMPUTED_VALUE"""),"3 - ABM")</f>
        <v>3 - ABM</v>
      </c>
      <c r="F945" s="88"/>
      <c r="G945" s="89">
        <f>IFERROR(__xludf.DUMMYFUNCTION("""COMPUTED_VALUE"""),7.597253E7)</f>
        <v>75972530</v>
      </c>
      <c r="H945" s="87"/>
      <c r="I945" s="87" t="str">
        <f>IFERROR(__xludf.DUMMYFUNCTION("""COMPUTED_VALUE"""),"transferido para ABM")</f>
        <v>transferido para ABM</v>
      </c>
    </row>
    <row r="946">
      <c r="A946" s="84">
        <f>IFERROR(__xludf.DUMMYFUNCTION("""COMPUTED_VALUE"""),945.0)</f>
        <v>945</v>
      </c>
      <c r="B946" s="85" t="str">
        <f>IFERROR(__xludf.DUMMYFUNCTION("""COMPUTED_VALUE"""),"CADEIRA PARA ESCRITORIO -")</f>
        <v>CADEIRA PARA ESCRITORIO -</v>
      </c>
      <c r="C946" s="86">
        <f>IFERROR(__xludf.DUMMYFUNCTION("""COMPUTED_VALUE"""),1.0)</f>
        <v>1</v>
      </c>
      <c r="D946" s="87" t="str">
        <f>IFERROR(__xludf.DUMMYFUNCTION("""COMPUTED_VALUE"""),"SEÇÃO")</f>
        <v>SEÇÃO</v>
      </c>
      <c r="E946" s="87" t="str">
        <f>IFERROR(__xludf.DUMMYFUNCTION("""COMPUTED_VALUE"""),"3 - SUB COMANDANTE")</f>
        <v>3 - SUB COMANDANTE</v>
      </c>
      <c r="F946" s="88"/>
      <c r="G946" s="89">
        <f>IFERROR(__xludf.DUMMYFUNCTION("""COMPUTED_VALUE"""),7.601388E7)</f>
        <v>76013880</v>
      </c>
      <c r="H946" s="87"/>
      <c r="I946" s="87"/>
    </row>
    <row r="947">
      <c r="A947" s="84">
        <f>IFERROR(__xludf.DUMMYFUNCTION("""COMPUTED_VALUE"""),946.0)</f>
        <v>946</v>
      </c>
      <c r="B947" s="85" t="str">
        <f>IFERROR(__xludf.DUMMYFUNCTION("""COMPUTED_VALUE"""),"CADEIRA PARA ESCRITORIO -")</f>
        <v>CADEIRA PARA ESCRITORIO -</v>
      </c>
      <c r="C947" s="86">
        <f>IFERROR(__xludf.DUMMYFUNCTION("""COMPUTED_VALUE"""),1.0)</f>
        <v>1</v>
      </c>
      <c r="D947" s="87" t="str">
        <f>IFERROR(__xludf.DUMMYFUNCTION("""COMPUTED_VALUE"""),"SEÇÃO")</f>
        <v>SEÇÃO</v>
      </c>
      <c r="E947" s="87" t="str">
        <f>IFERROR(__xludf.DUMMYFUNCTION("""COMPUTED_VALUE"""),"3 - SUB COMANDANTE")</f>
        <v>3 - SUB COMANDANTE</v>
      </c>
      <c r="F947" s="88"/>
      <c r="G947" s="89">
        <f>IFERROR(__xludf.DUMMYFUNCTION("""COMPUTED_VALUE"""),7.6014576E7)</f>
        <v>76014576</v>
      </c>
      <c r="H947" s="87"/>
      <c r="I947" s="87" t="str">
        <f>IFERROR(__xludf.DUMMYFUNCTION("""COMPUTED_VALUE"""),"refeitório SEDE")</f>
        <v>refeitório SEDE</v>
      </c>
    </row>
    <row r="948">
      <c r="A948" s="84">
        <f>IFERROR(__xludf.DUMMYFUNCTION("""COMPUTED_VALUE"""),947.0)</f>
        <v>947</v>
      </c>
      <c r="B948" s="85" t="str">
        <f>IFERROR(__xludf.DUMMYFUNCTION("""COMPUTED_VALUE"""),"CADEIRA -")</f>
        <v>CADEIRA -</v>
      </c>
      <c r="C948" s="86">
        <f>IFERROR(__xludf.DUMMYFUNCTION("""COMPUTED_VALUE"""),1.0)</f>
        <v>1</v>
      </c>
      <c r="D948" s="87" t="str">
        <f>IFERROR(__xludf.DUMMYFUNCTION("""COMPUTED_VALUE"""),"SEÇÃO")</f>
        <v>SEÇÃO</v>
      </c>
      <c r="E948" s="87" t="str">
        <f>IFERROR(__xludf.DUMMYFUNCTION("""COMPUTED_VALUE"""),"3 - SEPLAN")</f>
        <v>3 - SEPLAN</v>
      </c>
      <c r="F948" s="88"/>
      <c r="G948" s="89">
        <f>IFERROR(__xludf.DUMMYFUNCTION("""COMPUTED_VALUE"""),7.6014703E7)</f>
        <v>76014703</v>
      </c>
      <c r="H948" s="87"/>
      <c r="I948" s="87"/>
    </row>
    <row r="949">
      <c r="A949" s="84">
        <f>IFERROR(__xludf.DUMMYFUNCTION("""COMPUTED_VALUE"""),948.0)</f>
        <v>948</v>
      </c>
      <c r="B949" s="85" t="str">
        <f>IFERROR(__xludf.DUMMYFUNCTION("""COMPUTED_VALUE"""),"TELEVISAO -")</f>
        <v>TELEVISAO -</v>
      </c>
      <c r="C949" s="86">
        <f>IFERROR(__xludf.DUMMYFUNCTION("""COMPUTED_VALUE"""),1.0)</f>
        <v>1</v>
      </c>
      <c r="D949" s="87" t="str">
        <f>IFERROR(__xludf.DUMMYFUNCTION("""COMPUTED_VALUE"""),"SEÇÃO")</f>
        <v>SEÇÃO</v>
      </c>
      <c r="E949" s="87" t="str">
        <f>IFERROR(__xludf.DUMMYFUNCTION("""COMPUTED_VALUE"""),"3 - 1ª CIA OP")</f>
        <v>3 - 1ª CIA OP</v>
      </c>
      <c r="F949" s="88" t="str">
        <f>IFERROR(__xludf.DUMMYFUNCTION("""COMPUTED_VALUE"""),"REFEITÓRIO (CIA OP)")</f>
        <v>REFEITÓRIO (CIA OP)</v>
      </c>
      <c r="G949" s="89">
        <f>IFERROR(__xludf.DUMMYFUNCTION("""COMPUTED_VALUE"""),7.6666115E7)</f>
        <v>76666115</v>
      </c>
      <c r="H949" s="87"/>
      <c r="I949" s="87"/>
    </row>
    <row r="950">
      <c r="A950" s="84">
        <f>IFERROR(__xludf.DUMMYFUNCTION("""COMPUTED_VALUE"""),949.0)</f>
        <v>949</v>
      </c>
      <c r="B950" s="85" t="str">
        <f>IFERROR(__xludf.DUMMYFUNCTION("""COMPUTED_VALUE"""),"MOTOSSERRA -")</f>
        <v>MOTOSSERRA -</v>
      </c>
      <c r="C950" s="86">
        <f>IFERROR(__xludf.DUMMYFUNCTION("""COMPUTED_VALUE"""),1.0)</f>
        <v>1</v>
      </c>
      <c r="D950" s="87" t="str">
        <f>IFERROR(__xludf.DUMMYFUNCTION("""COMPUTED_VALUE"""),"SEÇÃO")</f>
        <v>SEÇÃO</v>
      </c>
      <c r="E950" s="87" t="str">
        <f>IFERROR(__xludf.DUMMYFUNCTION("""COMPUTED_VALUE"""),"3 - ALMOX. ESTOQUE")</f>
        <v>3 - ALMOX. ESTOQUE</v>
      </c>
      <c r="F950" s="88" t="str">
        <f>IFERROR(__xludf.DUMMYFUNCTION("""COMPUTED_VALUE"""),"ALMOX. SAO (SEDE)")</f>
        <v>ALMOX. SAO (SEDE)</v>
      </c>
      <c r="G950" s="89">
        <f>IFERROR(__xludf.DUMMYFUNCTION("""COMPUTED_VALUE"""),7.6666425E7)</f>
        <v>76666425</v>
      </c>
      <c r="H950" s="87"/>
      <c r="I950" s="87" t="str">
        <f>IFERROR(__xludf.DUMMYFUNCTION("""COMPUTED_VALUE"""),"HUSQVARNA, T435 1,5KW; ROTACAO MIN  MA DE 12000 RPM; TANQUE DE COMBUSTIVEL MINIMA DE 250ML; TANQUE DE OLEO MINIMA DE 145ML; SABRE 16 POLEGADAS")</f>
        <v>HUSQVARNA, T435 1,5KW; ROTACAO MIN  MA DE 12000 RPM; TANQUE DE COMBUSTIVEL MINIMA DE 250ML; TANQUE DE OLEO MINIMA DE 145ML; SABRE 16 POLEGADAS</v>
      </c>
    </row>
    <row r="951">
      <c r="A951" s="84">
        <f>IFERROR(__xludf.DUMMYFUNCTION("""COMPUTED_VALUE"""),950.0)</f>
        <v>950</v>
      </c>
      <c r="B951" s="85" t="str">
        <f>IFERROR(__xludf.DUMMYFUNCTION("""COMPUTED_VALUE"""),"SISTEMA PORTATIL OXIGENIO -")</f>
        <v>SISTEMA PORTATIL OXIGENIO -</v>
      </c>
      <c r="C951" s="86">
        <f>IFERROR(__xludf.DUMMYFUNCTION("""COMPUTED_VALUE"""),1.0)</f>
        <v>1</v>
      </c>
      <c r="D951" s="87" t="str">
        <f>IFERROR(__xludf.DUMMYFUNCTION("""COMPUTED_VALUE"""),"VIATURA")</f>
        <v>VIATURA</v>
      </c>
      <c r="E951" s="87" t="str">
        <f>IFERROR(__xludf.DUMMYFUNCTION("""COMPUTED_VALUE"""),"1 - UR3486")</f>
        <v>1 - UR3486</v>
      </c>
      <c r="F951" s="88" t="str">
        <f>IFERROR(__xludf.DUMMYFUNCTION("""COMPUTED_VALUE"""),"BOLSA DE OXIGÊNIO")</f>
        <v>BOLSA DE OXIGÊNIO</v>
      </c>
      <c r="G951" s="89">
        <f>IFERROR(__xludf.DUMMYFUNCTION("""COMPUTED_VALUE"""),7.6666778E7)</f>
        <v>76666778</v>
      </c>
      <c r="H951" s="87"/>
      <c r="I951" s="87"/>
    </row>
    <row r="952">
      <c r="A952" s="84">
        <f>IFERROR(__xludf.DUMMYFUNCTION("""COMPUTED_VALUE"""),951.0)</f>
        <v>951</v>
      </c>
      <c r="B952" s="85" t="str">
        <f>IFERROR(__xludf.DUMMYFUNCTION("""COMPUTED_VALUE"""),"OXIMETRO -")</f>
        <v>OXIMETRO -</v>
      </c>
      <c r="C952" s="86">
        <f>IFERROR(__xludf.DUMMYFUNCTION("""COMPUTED_VALUE"""),1.0)</f>
        <v>1</v>
      </c>
      <c r="D952" s="87" t="str">
        <f>IFERROR(__xludf.DUMMYFUNCTION("""COMPUTED_VALUE"""),"SEÇÃO")</f>
        <v>SEÇÃO</v>
      </c>
      <c r="E952" s="87" t="str">
        <f>IFERROR(__xludf.DUMMYFUNCTION("""COMPUTED_VALUE"""),"3 - ALMOX. ESTOQUE")</f>
        <v>3 - ALMOX. ESTOQUE</v>
      </c>
      <c r="F952" s="88" t="str">
        <f>IFERROR(__xludf.DUMMYFUNCTION("""COMPUTED_VALUE"""),"ALMOX. APH")</f>
        <v>ALMOX. APH</v>
      </c>
      <c r="G952" s="89">
        <f>IFERROR(__xludf.DUMMYFUNCTION("""COMPUTED_VALUE"""),7.666693E7)</f>
        <v>76666930</v>
      </c>
      <c r="H952" s="87" t="str">
        <f>IFERROR(__xludf.DUMMYFUNCTION("""COMPUTED_VALUE"""),"N.S 3021E2040114417")</f>
        <v>N.S 3021E2040114417</v>
      </c>
      <c r="I952" s="87" t="str">
        <f>IFERROR(__xludf.DUMMYFUNCTION("""COMPUTED_VALUE"""),"tranferido 1º COB")</f>
        <v>tranferido 1º COB</v>
      </c>
    </row>
    <row r="953">
      <c r="A953" s="84">
        <f>IFERROR(__xludf.DUMMYFUNCTION("""COMPUTED_VALUE"""),952.0)</f>
        <v>952</v>
      </c>
      <c r="B953" s="85" t="str">
        <f>IFERROR(__xludf.DUMMYFUNCTION("""COMPUTED_VALUE"""),"OXIMETRO -")</f>
        <v>OXIMETRO -</v>
      </c>
      <c r="C953" s="86">
        <f>IFERROR(__xludf.DUMMYFUNCTION("""COMPUTED_VALUE"""),1.0)</f>
        <v>1</v>
      </c>
      <c r="D953" s="87" t="str">
        <f>IFERROR(__xludf.DUMMYFUNCTION("""COMPUTED_VALUE"""),"SEÇÃO")</f>
        <v>SEÇÃO</v>
      </c>
      <c r="E953" s="87" t="str">
        <f>IFERROR(__xludf.DUMMYFUNCTION("""COMPUTED_VALUE"""),"3 - ALMOX. ESTOQUE")</f>
        <v>3 - ALMOX. ESTOQUE</v>
      </c>
      <c r="F953" s="88" t="str">
        <f>IFERROR(__xludf.DUMMYFUNCTION("""COMPUTED_VALUE"""),"ALMOX. APH")</f>
        <v>ALMOX. APH</v>
      </c>
      <c r="G953" s="89">
        <f>IFERROR(__xludf.DUMMYFUNCTION("""COMPUTED_VALUE"""),7.6666964E7)</f>
        <v>76666964</v>
      </c>
      <c r="H953" s="87"/>
      <c r="I953" s="87"/>
    </row>
    <row r="954">
      <c r="A954" s="84">
        <f>IFERROR(__xludf.DUMMYFUNCTION("""COMPUTED_VALUE"""),953.0)</f>
        <v>953</v>
      </c>
      <c r="B954" s="85" t="str">
        <f>IFERROR(__xludf.DUMMYFUNCTION("""COMPUTED_VALUE"""),"ESCADA PROLONGAVEL PARA ATIVIDADES BOMBEIRO -")</f>
        <v>ESCADA PROLONGAVEL PARA ATIVIDADES BOMBEIRO -</v>
      </c>
      <c r="C954" s="86">
        <f>IFERROR(__xludf.DUMMYFUNCTION("""COMPUTED_VALUE"""),1.0)</f>
        <v>1</v>
      </c>
      <c r="D954" s="87" t="str">
        <f>IFERROR(__xludf.DUMMYFUNCTION("""COMPUTED_VALUE"""),"SEÇÃO")</f>
        <v>SEÇÃO</v>
      </c>
      <c r="E954" s="87" t="str">
        <f>IFERROR(__xludf.DUMMYFUNCTION("""COMPUTED_VALUE"""),"3 - ALMOX. ESTOQUE")</f>
        <v>3 - ALMOX. ESTOQUE</v>
      </c>
      <c r="F954" s="88" t="str">
        <f>IFERROR(__xludf.DUMMYFUNCTION("""COMPUTED_VALUE"""),"ALMOX. SAO (SEDE)")</f>
        <v>ALMOX. SAO (SEDE)</v>
      </c>
      <c r="G954" s="89">
        <f>IFERROR(__xludf.DUMMYFUNCTION("""COMPUTED_VALUE"""),7.6669165E7)</f>
        <v>76669165</v>
      </c>
      <c r="H954" s="87"/>
      <c r="I954" s="87" t="str">
        <f>IFERROR(__xludf.DUMMYFUNCTION("""COMPUTED_VALUE"""),"EMPRESTADO PARA O CTPM, SEI 72271/2024-10")</f>
        <v>EMPRESTADO PARA O CTPM, SEI 72271/2024-10</v>
      </c>
    </row>
    <row r="955">
      <c r="A955" s="84">
        <f>IFERROR(__xludf.DUMMYFUNCTION("""COMPUTED_VALUE"""),954.0)</f>
        <v>954</v>
      </c>
      <c r="B955" s="85" t="str">
        <f>IFERROR(__xludf.DUMMYFUNCTION("""COMPUTED_VALUE"""),"ESCADA PROLONGAVEL PARA ATIVIDADES BOMBEIRO -")</f>
        <v>ESCADA PROLONGAVEL PARA ATIVIDADES BOMBEIRO -</v>
      </c>
      <c r="C955" s="86">
        <f>IFERROR(__xludf.DUMMYFUNCTION("""COMPUTED_VALUE"""),1.0)</f>
        <v>1</v>
      </c>
      <c r="D955" s="87" t="str">
        <f>IFERROR(__xludf.DUMMYFUNCTION("""COMPUTED_VALUE"""),"VIATURA")</f>
        <v>VIATURA</v>
      </c>
      <c r="E955" s="87" t="str">
        <f>IFERROR(__xludf.DUMMYFUNCTION("""COMPUTED_VALUE"""),"1 - ASL1080")</f>
        <v>1 - ASL1080</v>
      </c>
      <c r="F955" s="88" t="str">
        <f>IFERROR(__xludf.DUMMYFUNCTION("""COMPUTED_VALUE"""),"CARROCERIA")</f>
        <v>CARROCERIA</v>
      </c>
      <c r="G955" s="89">
        <f>IFERROR(__xludf.DUMMYFUNCTION("""COMPUTED_VALUE"""),7.6669173E7)</f>
        <v>76669173</v>
      </c>
      <c r="H955" s="87"/>
      <c r="I955" s="87"/>
    </row>
    <row r="956">
      <c r="A956" s="84">
        <f>IFERROR(__xludf.DUMMYFUNCTION("""COMPUTED_VALUE"""),955.0)</f>
        <v>955</v>
      </c>
      <c r="B956" s="85" t="str">
        <f>IFERROR(__xludf.DUMMYFUNCTION("""COMPUTED_VALUE"""),"BOMBA COSTAL PARA COMBATE A INCENDIO -")</f>
        <v>BOMBA COSTAL PARA COMBATE A INCENDIO -</v>
      </c>
      <c r="C956" s="86">
        <f>IFERROR(__xludf.DUMMYFUNCTION("""COMPUTED_VALUE"""),1.0)</f>
        <v>1</v>
      </c>
      <c r="D956" s="87" t="str">
        <f>IFERROR(__xludf.DUMMYFUNCTION("""COMPUTED_VALUE"""),"SEÇÃO")</f>
        <v>SEÇÃO</v>
      </c>
      <c r="E956" s="87" t="str">
        <f>IFERROR(__xludf.DUMMYFUNCTION("""COMPUTED_VALUE"""),"3 - DESCARGA")</f>
        <v>3 - DESCARGA</v>
      </c>
      <c r="F956" s="88"/>
      <c r="G956" s="89">
        <f>IFERROR(__xludf.DUMMYFUNCTION("""COMPUTED_VALUE"""),7.66697E7)</f>
        <v>76669700</v>
      </c>
      <c r="H956" s="87"/>
      <c r="I956" s="87" t="str">
        <f>IFERROR(__xludf.DUMMYFUNCTION("""COMPUTED_VALUE"""),"MATERIAL DESCARREGADO - PROCESSO Nº 1400.01.0026473/2023-04")</f>
        <v>MATERIAL DESCARREGADO - PROCESSO Nº 1400.01.0026473/2023-04</v>
      </c>
    </row>
    <row r="957">
      <c r="A957" s="84">
        <f>IFERROR(__xludf.DUMMYFUNCTION("""COMPUTED_VALUE"""),956.0)</f>
        <v>956</v>
      </c>
      <c r="B957" s="85" t="str">
        <f>IFERROR(__xludf.DUMMYFUNCTION("""COMPUTED_VALUE"""),"MOCHILA COSTAL PARA COMBATE A INCENDIO")</f>
        <v>MOCHILA COSTAL PARA COMBATE A INCENDIO</v>
      </c>
      <c r="C957" s="86">
        <f>IFERROR(__xludf.DUMMYFUNCTION("""COMPUTED_VALUE"""),1.0)</f>
        <v>1</v>
      </c>
      <c r="D957" s="87" t="str">
        <f>IFERROR(__xludf.DUMMYFUNCTION("""COMPUTED_VALUE"""),"VIATURA")</f>
        <v>VIATURA</v>
      </c>
      <c r="E957" s="87" t="str">
        <f>IFERROR(__xludf.DUMMYFUNCTION("""COMPUTED_VALUE"""),"1 - ABTS5911")</f>
        <v>1 - ABTS5911</v>
      </c>
      <c r="F957" s="88" t="str">
        <f>IFERROR(__xludf.DUMMYFUNCTION("""COMPUTED_VALUE"""),"BOX 06")</f>
        <v>BOX 06</v>
      </c>
      <c r="G957" s="89">
        <f>IFERROR(__xludf.DUMMYFUNCTION("""COMPUTED_VALUE"""),7.6669718E7)</f>
        <v>76669718</v>
      </c>
      <c r="H957" s="87"/>
      <c r="I957" s="87" t="str">
        <f>IFERROR(__xludf.DUMMYFUNCTION("""COMPUTED_VALUE"""),"MOCHILA COSTAL (VALLFIREST) C/ ESGUICHO")</f>
        <v>MOCHILA COSTAL (VALLFIREST) C/ ESGUICHO</v>
      </c>
    </row>
    <row r="958">
      <c r="A958" s="84">
        <f>IFERROR(__xludf.DUMMYFUNCTION("""COMPUTED_VALUE"""),957.0)</f>
        <v>957</v>
      </c>
      <c r="B958" s="85" t="str">
        <f>IFERROR(__xludf.DUMMYFUNCTION("""COMPUTED_VALUE"""),"MOCHILA COSTAL PARA COMBATE A INCENDIO")</f>
        <v>MOCHILA COSTAL PARA COMBATE A INCENDIO</v>
      </c>
      <c r="C958" s="86">
        <f>IFERROR(__xludf.DUMMYFUNCTION("""COMPUTED_VALUE"""),1.0)</f>
        <v>1</v>
      </c>
      <c r="D958" s="87" t="str">
        <f>IFERROR(__xludf.DUMMYFUNCTION("""COMPUTED_VALUE"""),"VIATURA")</f>
        <v>VIATURA</v>
      </c>
      <c r="E958" s="87" t="str">
        <f>IFERROR(__xludf.DUMMYFUNCTION("""COMPUTED_VALUE"""),"1 - ABTS5911")</f>
        <v>1 - ABTS5911</v>
      </c>
      <c r="F958" s="88" t="str">
        <f>IFERROR(__xludf.DUMMYFUNCTION("""COMPUTED_VALUE"""),"BOX 06")</f>
        <v>BOX 06</v>
      </c>
      <c r="G958" s="89">
        <f>IFERROR(__xludf.DUMMYFUNCTION("""COMPUTED_VALUE"""),7.6669726E7)</f>
        <v>76669726</v>
      </c>
      <c r="H958" s="87"/>
      <c r="I958" s="87" t="str">
        <f>IFERROR(__xludf.DUMMYFUNCTION("""COMPUTED_VALUE"""),"MOCHILA COSTAL (VALLFIREST) C/ ESGUICHO")</f>
        <v>MOCHILA COSTAL (VALLFIREST) C/ ESGUICHO</v>
      </c>
    </row>
    <row r="959">
      <c r="A959" s="84">
        <f>IFERROR(__xludf.DUMMYFUNCTION("""COMPUTED_VALUE"""),958.0)</f>
        <v>958</v>
      </c>
      <c r="B959" s="85" t="str">
        <f>IFERROR(__xludf.DUMMYFUNCTION("""COMPUTED_VALUE"""),"CAPACETE DE SALVAMENTO E PROTECAO -")</f>
        <v>CAPACETE DE SALVAMENTO E PROTECAO -</v>
      </c>
      <c r="C959" s="86">
        <f>IFERROR(__xludf.DUMMYFUNCTION("""COMPUTED_VALUE"""),1.0)</f>
        <v>1</v>
      </c>
      <c r="D959" s="87" t="str">
        <f>IFERROR(__xludf.DUMMYFUNCTION("""COMPUTED_VALUE"""),"VIATURA")</f>
        <v>VIATURA</v>
      </c>
      <c r="E959" s="87" t="str">
        <f>IFERROR(__xludf.DUMMYFUNCTION("""COMPUTED_VALUE"""),"1 - UR3486")</f>
        <v>1 - UR3486</v>
      </c>
      <c r="F959" s="88" t="str">
        <f>IFERROR(__xludf.DUMMYFUNCTION("""COMPUTED_VALUE"""),"BANCO")</f>
        <v>BANCO</v>
      </c>
      <c r="G959" s="89">
        <f>IFERROR(__xludf.DUMMYFUNCTION("""COMPUTED_VALUE"""),7.6670244E7)</f>
        <v>76670244</v>
      </c>
      <c r="H959" s="87"/>
      <c r="I959" s="87" t="str">
        <f>IFERROR(__xludf.DUMMYFUNCTION("""COMPUTED_VALUE"""),"CAPACETE DE ALTURA VERMELHO")</f>
        <v>CAPACETE DE ALTURA VERMELHO</v>
      </c>
    </row>
    <row r="960">
      <c r="A960" s="84">
        <f>IFERROR(__xludf.DUMMYFUNCTION("""COMPUTED_VALUE"""),959.0)</f>
        <v>959</v>
      </c>
      <c r="B960" s="85" t="str">
        <f>IFERROR(__xludf.DUMMYFUNCTION("""COMPUTED_VALUE"""),"CAPACETE DE SALVAMENTO E PROTECAO -")</f>
        <v>CAPACETE DE SALVAMENTO E PROTECAO -</v>
      </c>
      <c r="C960" s="86">
        <f>IFERROR(__xludf.DUMMYFUNCTION("""COMPUTED_VALUE"""),1.0)</f>
        <v>1</v>
      </c>
      <c r="D960" s="87" t="str">
        <f>IFERROR(__xludf.DUMMYFUNCTION("""COMPUTED_VALUE"""),"SEÇÃO")</f>
        <v>SEÇÃO</v>
      </c>
      <c r="E960" s="87" t="str">
        <f>IFERROR(__xludf.DUMMYFUNCTION("""COMPUTED_VALUE"""),"3 - ALMOX. ESTOQUE")</f>
        <v>3 - ALMOX. ESTOQUE</v>
      </c>
      <c r="F960" s="88" t="str">
        <f>IFERROR(__xludf.DUMMYFUNCTION("""COMPUTED_VALUE"""),"SAO")</f>
        <v>SAO</v>
      </c>
      <c r="G960" s="89">
        <f>IFERROR(__xludf.DUMMYFUNCTION("""COMPUTED_VALUE"""),7.6670252E7)</f>
        <v>76670252</v>
      </c>
      <c r="H960" s="87"/>
      <c r="I960" s="87"/>
    </row>
    <row r="961">
      <c r="A961" s="84">
        <f>IFERROR(__xludf.DUMMYFUNCTION("""COMPUTED_VALUE"""),960.0)</f>
        <v>960</v>
      </c>
      <c r="B961" s="85" t="str">
        <f>IFERROR(__xludf.DUMMYFUNCTION("""COMPUTED_VALUE"""),"CAPACETE DE SALVAMENTO E PROTECAO -")</f>
        <v>CAPACETE DE SALVAMENTO E PROTECAO -</v>
      </c>
      <c r="C961" s="86">
        <f>IFERROR(__xludf.DUMMYFUNCTION("""COMPUTED_VALUE"""),1.0)</f>
        <v>1</v>
      </c>
      <c r="D961" s="87" t="str">
        <f>IFERROR(__xludf.DUMMYFUNCTION("""COMPUTED_VALUE"""),"SEÇÃO")</f>
        <v>SEÇÃO</v>
      </c>
      <c r="E961" s="87" t="str">
        <f>IFERROR(__xludf.DUMMYFUNCTION("""COMPUTED_VALUE"""),"3 - ALMOX. ESTOQUE")</f>
        <v>3 - ALMOX. ESTOQUE</v>
      </c>
      <c r="F961" s="88" t="str">
        <f>IFERROR(__xludf.DUMMYFUNCTION("""COMPUTED_VALUE"""),"SAO")</f>
        <v>SAO</v>
      </c>
      <c r="G961" s="89">
        <f>IFERROR(__xludf.DUMMYFUNCTION("""COMPUTED_VALUE"""),7.667026E7)</f>
        <v>76670260</v>
      </c>
      <c r="H961" s="87"/>
      <c r="I961" s="87"/>
    </row>
    <row r="962">
      <c r="A962" s="84">
        <f>IFERROR(__xludf.DUMMYFUNCTION("""COMPUTED_VALUE"""),961.0)</f>
        <v>961</v>
      </c>
      <c r="B962" s="85" t="str">
        <f>IFERROR(__xludf.DUMMYFUNCTION("""COMPUTED_VALUE"""),"CAPACETE DE SALVAMENTO E PROTECAO -")</f>
        <v>CAPACETE DE SALVAMENTO E PROTECAO -</v>
      </c>
      <c r="C962" s="86">
        <f>IFERROR(__xludf.DUMMYFUNCTION("""COMPUTED_VALUE"""),1.0)</f>
        <v>1</v>
      </c>
      <c r="D962" s="87" t="str">
        <f>IFERROR(__xludf.DUMMYFUNCTION("""COMPUTED_VALUE"""),"VIATURA")</f>
        <v>VIATURA</v>
      </c>
      <c r="E962" s="87" t="str">
        <f>IFERROR(__xludf.DUMMYFUNCTION("""COMPUTED_VALUE"""),"1 - UR3486")</f>
        <v>1 - UR3486</v>
      </c>
      <c r="F962" s="88" t="str">
        <f>IFERROR(__xludf.DUMMYFUNCTION("""COMPUTED_VALUE"""),"BANCO")</f>
        <v>BANCO</v>
      </c>
      <c r="G962" s="89">
        <f>IFERROR(__xludf.DUMMYFUNCTION("""COMPUTED_VALUE"""),7.6670279E7)</f>
        <v>76670279</v>
      </c>
      <c r="H962" s="87"/>
      <c r="I962" s="87" t="str">
        <f>IFERROR(__xludf.DUMMYFUNCTION("""COMPUTED_VALUE"""),"CAPACETE DE ALTURA BRANCO")</f>
        <v>CAPACETE DE ALTURA BRANCO</v>
      </c>
    </row>
    <row r="963">
      <c r="A963" s="84">
        <f>IFERROR(__xludf.DUMMYFUNCTION("""COMPUTED_VALUE"""),962.0)</f>
        <v>962</v>
      </c>
      <c r="B963" s="85" t="str">
        <f>IFERROR(__xludf.DUMMYFUNCTION("""COMPUTED_VALUE"""),"CAPACETE DE SALVAMENTO E PROTECAO -")</f>
        <v>CAPACETE DE SALVAMENTO E PROTECAO -</v>
      </c>
      <c r="C963" s="86">
        <f>IFERROR(__xludf.DUMMYFUNCTION("""COMPUTED_VALUE"""),1.0)</f>
        <v>1</v>
      </c>
      <c r="D963" s="87" t="str">
        <f>IFERROR(__xludf.DUMMYFUNCTION("""COMPUTED_VALUE"""),"SEÇÃO")</f>
        <v>SEÇÃO</v>
      </c>
      <c r="E963" s="87" t="str">
        <f>IFERROR(__xludf.DUMMYFUNCTION("""COMPUTED_VALUE"""),"3 - ALMOX. ESTOQUE")</f>
        <v>3 - ALMOX. ESTOQUE</v>
      </c>
      <c r="F963" s="88" t="str">
        <f>IFERROR(__xludf.DUMMYFUNCTION("""COMPUTED_VALUE"""),"SAO")</f>
        <v>SAO</v>
      </c>
      <c r="G963" s="89">
        <f>IFERROR(__xludf.DUMMYFUNCTION("""COMPUTED_VALUE"""),7.6670287E7)</f>
        <v>76670287</v>
      </c>
      <c r="H963" s="87"/>
      <c r="I963" s="87"/>
    </row>
    <row r="964">
      <c r="A964" s="84">
        <f>IFERROR(__xludf.DUMMYFUNCTION("""COMPUTED_VALUE"""),963.0)</f>
        <v>963</v>
      </c>
      <c r="B964" s="85" t="str">
        <f>IFERROR(__xludf.DUMMYFUNCTION("""COMPUTED_VALUE"""),"CAPACETE DE SALVAMENTO E PROTECAO -")</f>
        <v>CAPACETE DE SALVAMENTO E PROTECAO -</v>
      </c>
      <c r="C964" s="86">
        <f>IFERROR(__xludf.DUMMYFUNCTION("""COMPUTED_VALUE"""),1.0)</f>
        <v>1</v>
      </c>
      <c r="D964" s="87" t="str">
        <f>IFERROR(__xludf.DUMMYFUNCTION("""COMPUTED_VALUE"""),"SEÇÃO")</f>
        <v>SEÇÃO</v>
      </c>
      <c r="E964" s="87" t="str">
        <f>IFERROR(__xludf.DUMMYFUNCTION("""COMPUTED_VALUE"""),"3 - ALMOX. ESTOQUE")</f>
        <v>3 - ALMOX. ESTOQUE</v>
      </c>
      <c r="F964" s="88" t="str">
        <f>IFERROR(__xludf.DUMMYFUNCTION("""COMPUTED_VALUE"""),"SAO")</f>
        <v>SAO</v>
      </c>
      <c r="G964" s="89">
        <f>IFERROR(__xludf.DUMMYFUNCTION("""COMPUTED_VALUE"""),7.6670295E7)</f>
        <v>76670295</v>
      </c>
      <c r="H964" s="87"/>
      <c r="I964" s="87"/>
    </row>
    <row r="965">
      <c r="A965" s="84">
        <f>IFERROR(__xludf.DUMMYFUNCTION("""COMPUTED_VALUE"""),964.0)</f>
        <v>964</v>
      </c>
      <c r="B965" s="85" t="str">
        <f>IFERROR(__xludf.DUMMYFUNCTION("""COMPUTED_VALUE"""),"CAPACETE DE SALVAMENTO E PROTECAO -")</f>
        <v>CAPACETE DE SALVAMENTO E PROTECAO -</v>
      </c>
      <c r="C965" s="86">
        <f>IFERROR(__xludf.DUMMYFUNCTION("""COMPUTED_VALUE"""),1.0)</f>
        <v>1</v>
      </c>
      <c r="D965" s="87" t="str">
        <f>IFERROR(__xludf.DUMMYFUNCTION("""COMPUTED_VALUE"""),"SEÇÃO")</f>
        <v>SEÇÃO</v>
      </c>
      <c r="E965" s="87" t="str">
        <f>IFERROR(__xludf.DUMMYFUNCTION("""COMPUTED_VALUE"""),"3 - ALMOX. ESTOQUE")</f>
        <v>3 - ALMOX. ESTOQUE</v>
      </c>
      <c r="F965" s="88" t="str">
        <f>IFERROR(__xludf.DUMMYFUNCTION("""COMPUTED_VALUE"""),"SAO")</f>
        <v>SAO</v>
      </c>
      <c r="G965" s="89">
        <f>IFERROR(__xludf.DUMMYFUNCTION("""COMPUTED_VALUE"""),7.6670309E7)</f>
        <v>76670309</v>
      </c>
      <c r="H965" s="87"/>
      <c r="I965" s="87"/>
    </row>
    <row r="966">
      <c r="A966" s="84">
        <f>IFERROR(__xludf.DUMMYFUNCTION("""COMPUTED_VALUE"""),965.0)</f>
        <v>965</v>
      </c>
      <c r="B966" s="85" t="str">
        <f>IFERROR(__xludf.DUMMYFUNCTION("""COMPUTED_VALUE"""),"CAPACETE DE SALVAMENTO E PROTECAO -")</f>
        <v>CAPACETE DE SALVAMENTO E PROTECAO -</v>
      </c>
      <c r="C966" s="86">
        <f>IFERROR(__xludf.DUMMYFUNCTION("""COMPUTED_VALUE"""),1.0)</f>
        <v>1</v>
      </c>
      <c r="D966" s="87" t="str">
        <f>IFERROR(__xludf.DUMMYFUNCTION("""COMPUTED_VALUE"""),"SEÇÃO")</f>
        <v>SEÇÃO</v>
      </c>
      <c r="E966" s="87" t="str">
        <f>IFERROR(__xludf.DUMMYFUNCTION("""COMPUTED_VALUE"""),"3 - ALMOX. ESTOQUE")</f>
        <v>3 - ALMOX. ESTOQUE</v>
      </c>
      <c r="F966" s="88" t="str">
        <f>IFERROR(__xludf.DUMMYFUNCTION("""COMPUTED_VALUE"""),"SAO")</f>
        <v>SAO</v>
      </c>
      <c r="G966" s="89">
        <f>IFERROR(__xludf.DUMMYFUNCTION("""COMPUTED_VALUE"""),7.6670317E7)</f>
        <v>76670317</v>
      </c>
      <c r="H966" s="87"/>
      <c r="I966" s="87"/>
    </row>
    <row r="967">
      <c r="A967" s="84">
        <f>IFERROR(__xludf.DUMMYFUNCTION("""COMPUTED_VALUE"""),966.0)</f>
        <v>966</v>
      </c>
      <c r="B967" s="85" t="str">
        <f>IFERROR(__xludf.DUMMYFUNCTION("""COMPUTED_VALUE"""),"CAPACETE DE SALVAMENTO E PROTECAO -")</f>
        <v>CAPACETE DE SALVAMENTO E PROTECAO -</v>
      </c>
      <c r="C967" s="86">
        <f>IFERROR(__xludf.DUMMYFUNCTION("""COMPUTED_VALUE"""),1.0)</f>
        <v>1</v>
      </c>
      <c r="D967" s="87" t="str">
        <f>IFERROR(__xludf.DUMMYFUNCTION("""COMPUTED_VALUE"""),"MILITAR")</f>
        <v>MILITAR</v>
      </c>
      <c r="E967" s="87" t="str">
        <f>IFERROR(__xludf.DUMMYFUNCTION("""COMPUTED_VALUE"""),"2 - CAP JEFFERSON GERALDO DE MIRANDA")</f>
        <v>2 - CAP JEFFERSON GERALDO DE MIRANDA</v>
      </c>
      <c r="F967" s="88"/>
      <c r="G967" s="89">
        <f>IFERROR(__xludf.DUMMYFUNCTION("""COMPUTED_VALUE"""),7.6670325E7)</f>
        <v>76670325</v>
      </c>
      <c r="H967" s="87"/>
      <c r="I967" s="87"/>
    </row>
    <row r="968">
      <c r="A968" s="84">
        <f>IFERROR(__xludf.DUMMYFUNCTION("""COMPUTED_VALUE"""),967.0)</f>
        <v>967</v>
      </c>
      <c r="B968" s="85" t="str">
        <f>IFERROR(__xludf.DUMMYFUNCTION("""COMPUTED_VALUE"""),"CAPACETE DE SALVAMENTO E PROTECAO -")</f>
        <v>CAPACETE DE SALVAMENTO E PROTECAO -</v>
      </c>
      <c r="C968" s="86">
        <f>IFERROR(__xludf.DUMMYFUNCTION("""COMPUTED_VALUE"""),1.0)</f>
        <v>1</v>
      </c>
      <c r="D968" s="87" t="str">
        <f>IFERROR(__xludf.DUMMYFUNCTION("""COMPUTED_VALUE"""),"MILITAR")</f>
        <v>MILITAR</v>
      </c>
      <c r="E968" s="87" t="str">
        <f>IFERROR(__xludf.DUMMYFUNCTION("""COMPUTED_VALUE"""),"2 - 1º TEN OTACILIO COUTINHO JÚNIOR")</f>
        <v>2 - 1º TEN OTACILIO COUTINHO JÚNIOR</v>
      </c>
      <c r="F968" s="88"/>
      <c r="G968" s="89">
        <f>IFERROR(__xludf.DUMMYFUNCTION("""COMPUTED_VALUE"""),7.6670333E7)</f>
        <v>76670333</v>
      </c>
      <c r="H968" s="87"/>
      <c r="I968" s="87"/>
    </row>
    <row r="969">
      <c r="A969" s="84">
        <f>IFERROR(__xludf.DUMMYFUNCTION("""COMPUTED_VALUE"""),968.0)</f>
        <v>968</v>
      </c>
      <c r="B969" s="85" t="str">
        <f>IFERROR(__xludf.DUMMYFUNCTION("""COMPUTED_VALUE"""),"CAPACETE DE SALVAMENTO E PROTECAO -")</f>
        <v>CAPACETE DE SALVAMENTO E PROTECAO -</v>
      </c>
      <c r="C969" s="86">
        <f>IFERROR(__xludf.DUMMYFUNCTION("""COMPUTED_VALUE"""),1.0)</f>
        <v>1</v>
      </c>
      <c r="D969" s="87" t="str">
        <f>IFERROR(__xludf.DUMMYFUNCTION("""COMPUTED_VALUE"""),"MILITAR")</f>
        <v>MILITAR</v>
      </c>
      <c r="E969" s="87" t="str">
        <f>IFERROR(__xludf.DUMMYFUNCTION("""COMPUTED_VALUE"""),"2 - 1º TEN DOUGLAS WILLIAM ARAÚJO DA SILVA")</f>
        <v>2 - 1º TEN DOUGLAS WILLIAM ARAÚJO DA SILVA</v>
      </c>
      <c r="F969" s="88"/>
      <c r="G969" s="89">
        <f>IFERROR(__xludf.DUMMYFUNCTION("""COMPUTED_VALUE"""),7.6670341E7)</f>
        <v>76670341</v>
      </c>
      <c r="H969" s="87"/>
      <c r="I969" s="87"/>
    </row>
    <row r="970">
      <c r="A970" s="84">
        <f>IFERROR(__xludf.DUMMYFUNCTION("""COMPUTED_VALUE"""),969.0)</f>
        <v>969</v>
      </c>
      <c r="B970" s="85" t="str">
        <f>IFERROR(__xludf.DUMMYFUNCTION("""COMPUTED_VALUE"""),"CAPACETE DE SALVAMENTO E PROTECAO -")</f>
        <v>CAPACETE DE SALVAMENTO E PROTECAO -</v>
      </c>
      <c r="C970" s="86">
        <f>IFERROR(__xludf.DUMMYFUNCTION("""COMPUTED_VALUE"""),1.0)</f>
        <v>1</v>
      </c>
      <c r="D970" s="87" t="str">
        <f>IFERROR(__xludf.DUMMYFUNCTION("""COMPUTED_VALUE"""),"MILITAR")</f>
        <v>MILITAR</v>
      </c>
      <c r="E970" s="87" t="str">
        <f>IFERROR(__xludf.DUMMYFUNCTION("""COMPUTED_VALUE"""),"2 - 1º TEN MATEUS FONTANA GOMES NEVES")</f>
        <v>2 - 1º TEN MATEUS FONTANA GOMES NEVES</v>
      </c>
      <c r="F970" s="88"/>
      <c r="G970" s="89">
        <f>IFERROR(__xludf.DUMMYFUNCTION("""COMPUTED_VALUE"""),7.667035E7)</f>
        <v>76670350</v>
      </c>
      <c r="H970" s="87"/>
      <c r="I970" s="87"/>
    </row>
    <row r="971">
      <c r="A971" s="84">
        <f>IFERROR(__xludf.DUMMYFUNCTION("""COMPUTED_VALUE"""),970.0)</f>
        <v>970</v>
      </c>
      <c r="B971" s="85" t="str">
        <f>IFERROR(__xludf.DUMMYFUNCTION("""COMPUTED_VALUE"""),"CAPACETE DE SALVAMENTO E PROTECAO -")</f>
        <v>CAPACETE DE SALVAMENTO E PROTECAO -</v>
      </c>
      <c r="C971" s="86">
        <f>IFERROR(__xludf.DUMMYFUNCTION("""COMPUTED_VALUE"""),1.0)</f>
        <v>1</v>
      </c>
      <c r="D971" s="87" t="str">
        <f>IFERROR(__xludf.DUMMYFUNCTION("""COMPUTED_VALUE"""),"MILITAR")</f>
        <v>MILITAR</v>
      </c>
      <c r="E971" s="87" t="str">
        <f>IFERROR(__xludf.DUMMYFUNCTION("""COMPUTED_VALUE"""),"2 - 2º TEN RODRIGO ALVES TEIXEIRA")</f>
        <v>2 - 2º TEN RODRIGO ALVES TEIXEIRA</v>
      </c>
      <c r="F971" s="88"/>
      <c r="G971" s="89">
        <f>IFERROR(__xludf.DUMMYFUNCTION("""COMPUTED_VALUE"""),7.6670368E7)</f>
        <v>76670368</v>
      </c>
      <c r="H971" s="87"/>
      <c r="I971" s="87"/>
    </row>
    <row r="972">
      <c r="A972" s="84">
        <f>IFERROR(__xludf.DUMMYFUNCTION("""COMPUTED_VALUE"""),971.0)</f>
        <v>971</v>
      </c>
      <c r="B972" s="85" t="str">
        <f>IFERROR(__xludf.DUMMYFUNCTION("""COMPUTED_VALUE"""),"CAPACETE DE SALVAMENTO E PROTECAO -")</f>
        <v>CAPACETE DE SALVAMENTO E PROTECAO -</v>
      </c>
      <c r="C972" s="86">
        <f>IFERROR(__xludf.DUMMYFUNCTION("""COMPUTED_VALUE"""),1.0)</f>
        <v>1</v>
      </c>
      <c r="D972" s="87" t="str">
        <f>IFERROR(__xludf.DUMMYFUNCTION("""COMPUTED_VALUE"""),"MILITAR")</f>
        <v>MILITAR</v>
      </c>
      <c r="E972" s="87" t="str">
        <f>IFERROR(__xludf.DUMMYFUNCTION("""COMPUTED_VALUE"""),"2 - 2º TEN CARLOS EDUARDO COSTA DIAS")</f>
        <v>2 - 2º TEN CARLOS EDUARDO COSTA DIAS</v>
      </c>
      <c r="F972" s="88"/>
      <c r="G972" s="89">
        <f>IFERROR(__xludf.DUMMYFUNCTION("""COMPUTED_VALUE"""),7.6670376E7)</f>
        <v>76670376</v>
      </c>
      <c r="H972" s="87"/>
      <c r="I972" s="87"/>
    </row>
    <row r="973">
      <c r="A973" s="84">
        <f>IFERROR(__xludf.DUMMYFUNCTION("""COMPUTED_VALUE"""),972.0)</f>
        <v>972</v>
      </c>
      <c r="B973" s="85" t="str">
        <f>IFERROR(__xludf.DUMMYFUNCTION("""COMPUTED_VALUE"""),"CAPACETE DE SALVAMENTO E PROTECAO -")</f>
        <v>CAPACETE DE SALVAMENTO E PROTECAO -</v>
      </c>
      <c r="C973" s="86">
        <f>IFERROR(__xludf.DUMMYFUNCTION("""COMPUTED_VALUE"""),1.0)</f>
        <v>1</v>
      </c>
      <c r="D973" s="87" t="str">
        <f>IFERROR(__xludf.DUMMYFUNCTION("""COMPUTED_VALUE"""),"MILITAR")</f>
        <v>MILITAR</v>
      </c>
      <c r="E973" s="87" t="str">
        <f>IFERROR(__xludf.DUMMYFUNCTION("""COMPUTED_VALUE"""),"2 - 2º TEN MARCO PAULO LAGES")</f>
        <v>2 - 2º TEN MARCO PAULO LAGES</v>
      </c>
      <c r="F973" s="88"/>
      <c r="G973" s="89">
        <f>IFERROR(__xludf.DUMMYFUNCTION("""COMPUTED_VALUE"""),7.6670384E7)</f>
        <v>76670384</v>
      </c>
      <c r="H973" s="87"/>
      <c r="I973" s="87"/>
    </row>
    <row r="974">
      <c r="A974" s="84">
        <f>IFERROR(__xludf.DUMMYFUNCTION("""COMPUTED_VALUE"""),973.0)</f>
        <v>973</v>
      </c>
      <c r="B974" s="85" t="str">
        <f>IFERROR(__xludf.DUMMYFUNCTION("""COMPUTED_VALUE"""),"MOTOSSERRA -")</f>
        <v>MOTOSSERRA -</v>
      </c>
      <c r="C974" s="86">
        <f>IFERROR(__xludf.DUMMYFUNCTION("""COMPUTED_VALUE"""),1.0)</f>
        <v>1</v>
      </c>
      <c r="D974" s="87" t="str">
        <f>IFERROR(__xludf.DUMMYFUNCTION("""COMPUTED_VALUE"""),"SEÇÃO")</f>
        <v>SEÇÃO</v>
      </c>
      <c r="E974" s="87" t="str">
        <f>IFERROR(__xludf.DUMMYFUNCTION("""COMPUTED_VALUE"""),"3 - 4ª ALA OP.")</f>
        <v>3 - 4ª ALA OP.</v>
      </c>
      <c r="F974" s="88"/>
      <c r="G974" s="89">
        <f>IFERROR(__xludf.DUMMYFUNCTION("""COMPUTED_VALUE"""),7.668306E7)</f>
        <v>76683060</v>
      </c>
      <c r="H974" s="87"/>
      <c r="I974" s="87" t="str">
        <f>IFERROR(__xludf.DUMMYFUNCTION("""COMPUTED_VALUE"""),"HUSQVARMA, ALTA CILINDRADA - POTENCIA MOTOR MINIMA DE 4,2KW; ROTACAO MINIMA DE 12000; TANQUE DE COMBUSTIVEL MINIMA DE 800ML; TANQUE DE OLEO MINIMA DE 360ML; SABRE DE 16"" A 28""")</f>
        <v>HUSQVARMA, ALTA CILINDRADA - POTENCIA MOTOR MINIMA DE 4,2KW; ROTACAO MINIMA DE 12000; TANQUE DE COMBUSTIVEL MINIMA DE 800ML; TANQUE DE OLEO MINIMA DE 360ML; SABRE DE 16" A 28"</v>
      </c>
    </row>
    <row r="975">
      <c r="A975" s="84">
        <f>IFERROR(__xludf.DUMMYFUNCTION("""COMPUTED_VALUE"""),974.0)</f>
        <v>974</v>
      </c>
      <c r="B975" s="85" t="str">
        <f>IFERROR(__xludf.DUMMYFUNCTION("""COMPUTED_VALUE"""),"MOTOSSERRA -")</f>
        <v>MOTOSSERRA -</v>
      </c>
      <c r="C975" s="86">
        <f>IFERROR(__xludf.DUMMYFUNCTION("""COMPUTED_VALUE"""),1.0)</f>
        <v>1</v>
      </c>
      <c r="D975" s="87" t="str">
        <f>IFERROR(__xludf.DUMMYFUNCTION("""COMPUTED_VALUE"""),"SEÇÃO")</f>
        <v>SEÇÃO</v>
      </c>
      <c r="E975" s="87" t="str">
        <f>IFERROR(__xludf.DUMMYFUNCTION("""COMPUTED_VALUE"""),"3 - 3ª ALA OP.")</f>
        <v>3 - 3ª ALA OP.</v>
      </c>
      <c r="F975" s="88"/>
      <c r="G975" s="89">
        <f>IFERROR(__xludf.DUMMYFUNCTION("""COMPUTED_VALUE"""),7.6683354E7)</f>
        <v>76683354</v>
      </c>
      <c r="H975" s="87"/>
      <c r="I975" s="87" t="str">
        <f>IFERROR(__xludf.DUMMYFUNCTION("""COMPUTED_VALUE"""),"HUSQVARMA, ALTA CILINDRADA - POTENCIA MOTOR MINIMA DE 4,2KW; ROTACAO MINIMA DE 12000; TANQUE DE COMBUSTIVEL MINIMA DE 800ML; TANQUE DE OLEO MINIMA DE 360ML; SABRE DE 16"" A 28""")</f>
        <v>HUSQVARMA, ALTA CILINDRADA - POTENCIA MOTOR MINIMA DE 4,2KW; ROTACAO MINIMA DE 12000; TANQUE DE COMBUSTIVEL MINIMA DE 800ML; TANQUE DE OLEO MINIMA DE 360ML; SABRE DE 16" A 28"</v>
      </c>
    </row>
    <row r="976">
      <c r="A976" s="84">
        <f>IFERROR(__xludf.DUMMYFUNCTION("""COMPUTED_VALUE"""),975.0)</f>
        <v>975</v>
      </c>
      <c r="B976" s="85" t="str">
        <f>IFERROR(__xludf.DUMMYFUNCTION("""COMPUTED_VALUE"""),"MOTOSSERRA -")</f>
        <v>MOTOSSERRA -</v>
      </c>
      <c r="C976" s="86">
        <f>IFERROR(__xludf.DUMMYFUNCTION("""COMPUTED_VALUE"""),1.0)</f>
        <v>1</v>
      </c>
      <c r="D976" s="87" t="str">
        <f>IFERROR(__xludf.DUMMYFUNCTION("""COMPUTED_VALUE"""),"SEÇÃO")</f>
        <v>SEÇÃO</v>
      </c>
      <c r="E976" s="87" t="str">
        <f>IFERROR(__xludf.DUMMYFUNCTION("""COMPUTED_VALUE"""),"3 - 2ª ALA OP.")</f>
        <v>3 - 2ª ALA OP.</v>
      </c>
      <c r="F976" s="88"/>
      <c r="G976" s="89">
        <f>IFERROR(__xludf.DUMMYFUNCTION("""COMPUTED_VALUE"""),7.6686159E7)</f>
        <v>76686159</v>
      </c>
      <c r="H976" s="87" t="str">
        <f>IFERROR(__xludf.DUMMYFUNCTION("""COMPUTED_VALUE"""),"N.S. 8467220")</f>
        <v>N.S. 8467220</v>
      </c>
      <c r="I976" s="87" t="str">
        <f>IFERROR(__xludf.DUMMYFUNCTION("""COMPUTED_VALUE"""),"HUSQVARMA, T435 - POTENCIA MOTOR MINIMA DE 1,5KW; ROTACAO MINIMA DE 12000 RPM; TANQUE DE COMBUSTIVEL MINIMA DE 250ML; TANQUE DE OLEO MINIMA DE 145ML; SABRE 16 POLEGADAS ")</f>
        <v>HUSQVARMA, T435 - POTENCIA MOTOR MINIMA DE 1,5KW; ROTACAO MINIMA DE 12000 RPM; TANQUE DE COMBUSTIVEL MINIMA DE 250ML; TANQUE DE OLEO MINIMA DE 145ML; SABRE 16 POLEGADAS </v>
      </c>
    </row>
    <row r="977">
      <c r="A977" s="84">
        <f>IFERROR(__xludf.DUMMYFUNCTION("""COMPUTED_VALUE"""),976.0)</f>
        <v>976</v>
      </c>
      <c r="B977" s="85" t="str">
        <f>IFERROR(__xludf.DUMMYFUNCTION("""COMPUTED_VALUE"""),"MOTOSSERRA -")</f>
        <v>MOTOSSERRA -</v>
      </c>
      <c r="C977" s="86">
        <f>IFERROR(__xludf.DUMMYFUNCTION("""COMPUTED_VALUE"""),1.0)</f>
        <v>1</v>
      </c>
      <c r="D977" s="87" t="str">
        <f>IFERROR(__xludf.DUMMYFUNCTION("""COMPUTED_VALUE"""),"SEÇÃO")</f>
        <v>SEÇÃO</v>
      </c>
      <c r="E977" s="87" t="str">
        <f>IFERROR(__xludf.DUMMYFUNCTION("""COMPUTED_VALUE"""),"3 - 4ª ALA OP.")</f>
        <v>3 - 4ª ALA OP.</v>
      </c>
      <c r="F977" s="88"/>
      <c r="G977" s="89">
        <f>IFERROR(__xludf.DUMMYFUNCTION("""COMPUTED_VALUE"""),7.6686167E7)</f>
        <v>76686167</v>
      </c>
      <c r="H977" s="87"/>
      <c r="I977" s="87" t="str">
        <f>IFERROR(__xludf.DUMMYFUNCTION("""COMPUTED_VALUE"""),"HUSQVARMA, T435 - POTENCIA MOTOR MINIMA DE 1,5KW; ROTACAO MINIMA DE 12000 RPM; TANQUE DE COMBUSTIVEL MINIMA DE 250ML; TANQUE DE OLEO MINIMA DE 145ML; SABRE 16 POLEGADAS ")</f>
        <v>HUSQVARMA, T435 - POTENCIA MOTOR MINIMA DE 1,5KW; ROTACAO MINIMA DE 12000 RPM; TANQUE DE COMBUSTIVEL MINIMA DE 250ML; TANQUE DE OLEO MINIMA DE 145ML; SABRE 16 POLEGADAS </v>
      </c>
    </row>
    <row r="978">
      <c r="A978" s="84">
        <f>IFERROR(__xludf.DUMMYFUNCTION("""COMPUTED_VALUE"""),977.0)</f>
        <v>977</v>
      </c>
      <c r="B978" s="85" t="str">
        <f>IFERROR(__xludf.DUMMYFUNCTION("""COMPUTED_VALUE"""),"EQUIPAMENTO DE PROTEÇÃO RESPIRATÓRIO, COMPLETO -")</f>
        <v>EQUIPAMENTO DE PROTEÇÃO RESPIRATÓRIO, COMPLETO -</v>
      </c>
      <c r="C978" s="86">
        <f>IFERROR(__xludf.DUMMYFUNCTION("""COMPUTED_VALUE"""),1.0)</f>
        <v>1</v>
      </c>
      <c r="D978" s="87" t="str">
        <f>IFERROR(__xludf.DUMMYFUNCTION("""COMPUTED_VALUE"""),"VIATURA")</f>
        <v>VIATURA</v>
      </c>
      <c r="E978" s="87" t="str">
        <f>IFERROR(__xludf.DUMMYFUNCTION("""COMPUTED_VALUE"""),"1 - ASM3617")</f>
        <v>1 - ASM3617</v>
      </c>
      <c r="F978" s="88" t="str">
        <f>IFERROR(__xludf.DUMMYFUNCTION("""COMPUTED_VALUE"""),"BOX 03")</f>
        <v>BOX 03</v>
      </c>
      <c r="G978" s="89">
        <f>IFERROR(__xludf.DUMMYFUNCTION("""COMPUTED_VALUE"""),7.6830713E7)</f>
        <v>76830713</v>
      </c>
      <c r="H978" s="87"/>
      <c r="I978" s="87" t="str">
        <f>IFERROR(__xludf.DUMMYFUNCTION("""COMPUTED_VALUE"""),"EPR SCOTT COMPLETO, VALVULA DE DEMANDA, ARRIATA, CILINDRO E MÁSCARA")</f>
        <v>EPR SCOTT COMPLETO, VALVULA DE DEMANDA, ARRIATA, CILINDRO E MÁSCARA</v>
      </c>
    </row>
    <row r="979">
      <c r="A979" s="84">
        <f>IFERROR(__xludf.DUMMYFUNCTION("""COMPUTED_VALUE"""),978.0)</f>
        <v>978</v>
      </c>
      <c r="B979" s="85" t="str">
        <f>IFERROR(__xludf.DUMMYFUNCTION("""COMPUTED_VALUE"""),"EQUIPAMENTO DE PROTEÇÃO RESPIRATÓRIO, COMPLETO -")</f>
        <v>EQUIPAMENTO DE PROTEÇÃO RESPIRATÓRIO, COMPLETO -</v>
      </c>
      <c r="C979" s="86">
        <f>IFERROR(__xludf.DUMMYFUNCTION("""COMPUTED_VALUE"""),1.0)</f>
        <v>1</v>
      </c>
      <c r="D979" s="87" t="str">
        <f>IFERROR(__xludf.DUMMYFUNCTION("""COMPUTED_VALUE"""),"VIATURA")</f>
        <v>VIATURA</v>
      </c>
      <c r="E979" s="87" t="str">
        <f>IFERROR(__xludf.DUMMYFUNCTION("""COMPUTED_VALUE"""),"1 - ABTS5911")</f>
        <v>1 - ABTS5911</v>
      </c>
      <c r="F979" s="88" t="str">
        <f>IFERROR(__xludf.DUMMYFUNCTION("""COMPUTED_VALUE"""),"CABINE")</f>
        <v>CABINE</v>
      </c>
      <c r="G979" s="89">
        <f>IFERROR(__xludf.DUMMYFUNCTION("""COMPUTED_VALUE"""),7.6937577E7)</f>
        <v>76937577</v>
      </c>
      <c r="H979" s="87"/>
      <c r="I979" s="87" t="str">
        <f>IFERROR(__xludf.DUMMYFUNCTION("""COMPUTED_VALUE"""),"EPR MSA COMPLETO, VALVULA DE DEMANDA, ARRIATA, CILINDRO E MÁSCARA")</f>
        <v>EPR MSA COMPLETO, VALVULA DE DEMANDA, ARRIATA, CILINDRO E MÁSCARA</v>
      </c>
    </row>
    <row r="980">
      <c r="A980" s="84">
        <f>IFERROR(__xludf.DUMMYFUNCTION("""COMPUTED_VALUE"""),979.0)</f>
        <v>979</v>
      </c>
      <c r="B980" s="85" t="str">
        <f>IFERROR(__xludf.DUMMYFUNCTION("""COMPUTED_VALUE"""),"EQUIPAMENTO DE PROTEÇÃO RESPIRATÓRIO, COMPLETO -")</f>
        <v>EQUIPAMENTO DE PROTEÇÃO RESPIRATÓRIO, COMPLETO -</v>
      </c>
      <c r="C980" s="86">
        <f>IFERROR(__xludf.DUMMYFUNCTION("""COMPUTED_VALUE"""),1.0)</f>
        <v>1</v>
      </c>
      <c r="D980" s="87" t="str">
        <f>IFERROR(__xludf.DUMMYFUNCTION("""COMPUTED_VALUE"""),"SEÇÃO")</f>
        <v>SEÇÃO</v>
      </c>
      <c r="E980" s="87" t="str">
        <f>IFERROR(__xludf.DUMMYFUNCTION("""COMPUTED_VALUE"""),"3 - ALMOX. ESTOQUE")</f>
        <v>3 - ALMOX. ESTOQUE</v>
      </c>
      <c r="F980" s="88" t="str">
        <f>IFERROR(__xludf.DUMMYFUNCTION("""COMPUTED_VALUE"""),"ALMOX. SAO (SEDE)")</f>
        <v>ALMOX. SAO (SEDE)</v>
      </c>
      <c r="G980" s="89">
        <f>IFERROR(__xludf.DUMMYFUNCTION("""COMPUTED_VALUE"""),1.404398E7)</f>
        <v>14043980</v>
      </c>
      <c r="H980" s="87"/>
      <c r="I980" s="87" t="str">
        <f>IFERROR(__xludf.DUMMYFUNCTION("""COMPUTED_VALUE"""),"CSM JUNTO COM ALMOFADA PNEUMATICA")</f>
        <v>CSM JUNTO COM ALMOFADA PNEUMATICA</v>
      </c>
    </row>
    <row r="981">
      <c r="A981" s="84">
        <f>IFERROR(__xludf.DUMMYFUNCTION("""COMPUTED_VALUE"""),980.0)</f>
        <v>980</v>
      </c>
      <c r="B981" s="85" t="str">
        <f>IFERROR(__xludf.DUMMYFUNCTION("""COMPUTED_VALUE"""),"EQUIPAMENTO DE PROTEÇÃO RESPIRATÓRIO, COMPLETO -")</f>
        <v>EQUIPAMENTO DE PROTEÇÃO RESPIRATÓRIO, COMPLETO -</v>
      </c>
      <c r="C981" s="86">
        <f>IFERROR(__xludf.DUMMYFUNCTION("""COMPUTED_VALUE"""),1.0)</f>
        <v>1</v>
      </c>
      <c r="D981" s="87" t="str">
        <f>IFERROR(__xludf.DUMMYFUNCTION("""COMPUTED_VALUE"""),"VIATURA")</f>
        <v>VIATURA</v>
      </c>
      <c r="E981" s="87" t="str">
        <f>IFERROR(__xludf.DUMMYFUNCTION("""COMPUTED_VALUE"""),"1 - ASM3617")</f>
        <v>1 - ASM3617</v>
      </c>
      <c r="F981" s="88" t="str">
        <f>IFERROR(__xludf.DUMMYFUNCTION("""COMPUTED_VALUE"""),"BOX 03")</f>
        <v>BOX 03</v>
      </c>
      <c r="G981" s="89">
        <f>IFERROR(__xludf.DUMMYFUNCTION("""COMPUTED_VALUE"""),7.681307E7)</f>
        <v>76813070</v>
      </c>
      <c r="H981" s="87" t="str">
        <f>IFERROR(__xludf.DUMMYFUNCTION("""COMPUTED_VALUE"""),"N.S.115S2201004795")</f>
        <v>N.S.115S2201004795</v>
      </c>
      <c r="I981" s="87" t="str">
        <f>IFERROR(__xludf.DUMMYFUNCTION("""COMPUTED_VALUE"""),"EPR SCOTT COMPLETO, VALVULA DE DEMANDA, ARRIATA, CILINDRO E MÁSCARA")</f>
        <v>EPR SCOTT COMPLETO, VALVULA DE DEMANDA, ARRIATA, CILINDRO E MÁSCARA</v>
      </c>
    </row>
    <row r="982">
      <c r="A982" s="84">
        <f>IFERROR(__xludf.DUMMYFUNCTION("""COMPUTED_VALUE"""),981.0)</f>
        <v>981</v>
      </c>
      <c r="B982" s="85" t="str">
        <f>IFERROR(__xludf.DUMMYFUNCTION("""COMPUTED_VALUE"""),"APARELHO TELEFONICO -")</f>
        <v>APARELHO TELEFONICO -</v>
      </c>
      <c r="C982" s="86">
        <f>IFERROR(__xludf.DUMMYFUNCTION("""COMPUTED_VALUE"""),1.0)</f>
        <v>1</v>
      </c>
      <c r="D982" s="87" t="str">
        <f>IFERROR(__xludf.DUMMYFUNCTION("""COMPUTED_VALUE"""),"SEÇÃO")</f>
        <v>SEÇÃO</v>
      </c>
      <c r="E982" s="87" t="str">
        <f>IFERROR(__xludf.DUMMYFUNCTION("""COMPUTED_VALUE"""),"3 - DESCARGA")</f>
        <v>3 - DESCARGA</v>
      </c>
      <c r="F982" s="88"/>
      <c r="G982" s="89">
        <f>IFERROR(__xludf.DUMMYFUNCTION("""COMPUTED_VALUE"""),7.6715191E7)</f>
        <v>76715191</v>
      </c>
      <c r="H982" s="87"/>
      <c r="I982" s="87" t="str">
        <f>IFERROR(__xludf.DUMMYFUNCTION("""COMPUTED_VALUE"""),"MATERIAL DESCARREGADO - PROCESSO Nº 1400.01.0026473/2023-04")</f>
        <v>MATERIAL DESCARREGADO - PROCESSO Nº 1400.01.0026473/2023-04</v>
      </c>
    </row>
    <row r="983">
      <c r="A983" s="84">
        <f>IFERROR(__xludf.DUMMYFUNCTION("""COMPUTED_VALUE"""),982.0)</f>
        <v>982</v>
      </c>
      <c r="B983" s="85" t="str">
        <f>IFERROR(__xludf.DUMMYFUNCTION("""COMPUTED_VALUE"""),"RETROPROJETOR -")</f>
        <v>RETROPROJETOR -</v>
      </c>
      <c r="C983" s="86">
        <f>IFERROR(__xludf.DUMMYFUNCTION("""COMPUTED_VALUE"""),1.0)</f>
        <v>1</v>
      </c>
      <c r="D983" s="87" t="str">
        <f>IFERROR(__xludf.DUMMYFUNCTION("""COMPUTED_VALUE"""),"SEÇÃO")</f>
        <v>SEÇÃO</v>
      </c>
      <c r="E983" s="87" t="str">
        <f>IFERROR(__xludf.DUMMYFUNCTION("""COMPUTED_VALUE"""),"3 - SUPRIMENTOS")</f>
        <v>3 - SUPRIMENTOS</v>
      </c>
      <c r="F983" s="88"/>
      <c r="G983" s="89">
        <f>IFERROR(__xludf.DUMMYFUNCTION("""COMPUTED_VALUE"""),7.671545E7)</f>
        <v>76715450</v>
      </c>
      <c r="H983" s="87"/>
      <c r="I983" s="87"/>
    </row>
    <row r="984">
      <c r="A984" s="84">
        <f>IFERROR(__xludf.DUMMYFUNCTION("""COMPUTED_VALUE"""),983.0)</f>
        <v>983</v>
      </c>
      <c r="B984" s="85" t="str">
        <f>IFERROR(__xludf.DUMMYFUNCTION("""COMPUTED_VALUE"""),"IMPRESSORA MULTIFUNCIONAL -")</f>
        <v>IMPRESSORA MULTIFUNCIONAL -</v>
      </c>
      <c r="C984" s="86">
        <f>IFERROR(__xludf.DUMMYFUNCTION("""COMPUTED_VALUE"""),1.0)</f>
        <v>1</v>
      </c>
      <c r="D984" s="87" t="str">
        <f>IFERROR(__xludf.DUMMYFUNCTION("""COMPUTED_VALUE"""),"SEÇÃO")</f>
        <v>SEÇÃO</v>
      </c>
      <c r="E984" s="87" t="str">
        <f>IFERROR(__xludf.DUMMYFUNCTION("""COMPUTED_VALUE"""),"3 - CURVELO")</f>
        <v>3 - CURVELO</v>
      </c>
      <c r="F984" s="88"/>
      <c r="G984" s="89">
        <f>IFERROR(__xludf.DUMMYFUNCTION("""COMPUTED_VALUE"""),7.6715469E7)</f>
        <v>76715469</v>
      </c>
      <c r="H984" s="87"/>
      <c r="I984" s="87"/>
    </row>
    <row r="985">
      <c r="A985" s="84">
        <f>IFERROR(__xludf.DUMMYFUNCTION("""COMPUTED_VALUE"""),984.0)</f>
        <v>984</v>
      </c>
      <c r="B985" s="85" t="str">
        <f>IFERROR(__xludf.DUMMYFUNCTION("""COMPUTED_VALUE"""),"AR CONDICIONADO SPLIT -")</f>
        <v>AR CONDICIONADO SPLIT -</v>
      </c>
      <c r="C985" s="86">
        <f>IFERROR(__xludf.DUMMYFUNCTION("""COMPUTED_VALUE"""),1.0)</f>
        <v>1</v>
      </c>
      <c r="D985" s="87" t="str">
        <f>IFERROR(__xludf.DUMMYFUNCTION("""COMPUTED_VALUE"""),"SEÇÃO")</f>
        <v>SEÇÃO</v>
      </c>
      <c r="E985" s="87" t="str">
        <f>IFERROR(__xludf.DUMMYFUNCTION("""COMPUTED_VALUE"""),"3 - 1ª CIA OP")</f>
        <v>3 - 1ª CIA OP</v>
      </c>
      <c r="F985" s="88" t="str">
        <f>IFERROR(__xludf.DUMMYFUNCTION("""COMPUTED_VALUE"""),"ALOJAMENTO CB/SD")</f>
        <v>ALOJAMENTO CB/SD</v>
      </c>
      <c r="G985" s="89">
        <f>IFERROR(__xludf.DUMMYFUNCTION("""COMPUTED_VALUE"""),7.6715477E7)</f>
        <v>76715477</v>
      </c>
      <c r="H985" s="87"/>
      <c r="I985" s="87" t="str">
        <f>IFERROR(__xludf.DUMMYFUNCTION("""COMPUTED_VALUE"""),"modelo highwalt alpjamento CB/Sd")</f>
        <v>modelo highwalt alpjamento CB/Sd</v>
      </c>
    </row>
    <row r="986">
      <c r="A986" s="84">
        <f>IFERROR(__xludf.DUMMYFUNCTION("""COMPUTED_VALUE"""),985.0)</f>
        <v>985</v>
      </c>
      <c r="B986" s="85" t="str">
        <f>IFERROR(__xludf.DUMMYFUNCTION("""COMPUTED_VALUE"""),"AR CONDICIONADO SPLIT -")</f>
        <v>AR CONDICIONADO SPLIT -</v>
      </c>
      <c r="C986" s="86">
        <f>IFERROR(__xludf.DUMMYFUNCTION("""COMPUTED_VALUE"""),1.0)</f>
        <v>1</v>
      </c>
      <c r="D986" s="87" t="str">
        <f>IFERROR(__xludf.DUMMYFUNCTION("""COMPUTED_VALUE"""),"SEÇÃO")</f>
        <v>SEÇÃO</v>
      </c>
      <c r="E986" s="87" t="str">
        <f>IFERROR(__xludf.DUMMYFUNCTION("""COMPUTED_VALUE"""),"3 - 1ª CIA OP")</f>
        <v>3 - 1ª CIA OP</v>
      </c>
      <c r="F986" s="88" t="str">
        <f>IFERROR(__xludf.DUMMYFUNCTION("""COMPUTED_VALUE"""),"ALOJAMENTO SUB TEN/CAB SD")</f>
        <v>ALOJAMENTO SUB TEN/CAB SD</v>
      </c>
      <c r="G986" s="89">
        <f>IFERROR(__xludf.DUMMYFUNCTION("""COMPUTED_VALUE"""),7.6715485E7)</f>
        <v>76715485</v>
      </c>
      <c r="H986" s="87"/>
      <c r="I986" s="87" t="str">
        <f>IFERROR(__xludf.DUMMYFUNCTION("""COMPUTED_VALUE"""),"modelo highwalt - alojamento Sub Ten / Sgt")</f>
        <v>modelo highwalt - alojamento Sub Ten / Sgt</v>
      </c>
    </row>
    <row r="987">
      <c r="A987" s="84">
        <f>IFERROR(__xludf.DUMMYFUNCTION("""COMPUTED_VALUE"""),986.0)</f>
        <v>986</v>
      </c>
      <c r="B987" s="85" t="str">
        <f>IFERROR(__xludf.DUMMYFUNCTION("""COMPUTED_VALUE"""),"AR CONDICIONADO SPLIT -")</f>
        <v>AR CONDICIONADO SPLIT -</v>
      </c>
      <c r="C987" s="86">
        <f>IFERROR(__xludf.DUMMYFUNCTION("""COMPUTED_VALUE"""),1.0)</f>
        <v>1</v>
      </c>
      <c r="D987" s="87" t="str">
        <f>IFERROR(__xludf.DUMMYFUNCTION("""COMPUTED_VALUE"""),"SEÇÃO")</f>
        <v>SEÇÃO</v>
      </c>
      <c r="E987" s="87" t="str">
        <f>IFERROR(__xludf.DUMMYFUNCTION("""COMPUTED_VALUE"""),"3 - PPV")</f>
        <v>3 - PPV</v>
      </c>
      <c r="F987" s="88"/>
      <c r="G987" s="89">
        <f>IFERROR(__xludf.DUMMYFUNCTION("""COMPUTED_VALUE"""),7.6715493E7)</f>
        <v>76715493</v>
      </c>
      <c r="H987" s="87"/>
      <c r="I987" s="87" t="str">
        <f>IFERROR(__xludf.DUMMYFUNCTION("""COMPUTED_VALUE"""),"modelo highwalt - análise PPV")</f>
        <v>modelo highwalt - análise PPV</v>
      </c>
    </row>
    <row r="988">
      <c r="A988" s="84">
        <f>IFERROR(__xludf.DUMMYFUNCTION("""COMPUTED_VALUE"""),987.0)</f>
        <v>987</v>
      </c>
      <c r="B988" s="85" t="str">
        <f>IFERROR(__xludf.DUMMYFUNCTION("""COMPUTED_VALUE"""),"MAQUINA DE LAVAR VEICULOS E EQUIPAMENTOS -")</f>
        <v>MAQUINA DE LAVAR VEICULOS E EQUIPAMENTOS -</v>
      </c>
      <c r="C988" s="86">
        <f>IFERROR(__xludf.DUMMYFUNCTION("""COMPUTED_VALUE"""),1.0)</f>
        <v>1</v>
      </c>
      <c r="D988" s="87" t="str">
        <f>IFERROR(__xludf.DUMMYFUNCTION("""COMPUTED_VALUE"""),"SEÇÃO")</f>
        <v>SEÇÃO</v>
      </c>
      <c r="E988" s="87" t="str">
        <f>IFERROR(__xludf.DUMMYFUNCTION("""COMPUTED_VALUE"""),"3 - ALMOX. ESTOQUE")</f>
        <v>3 - ALMOX. ESTOQUE</v>
      </c>
      <c r="F988" s="88" t="str">
        <f>IFERROR(__xludf.DUMMYFUNCTION("""COMPUTED_VALUE"""),"ALMOX. SAO (SEDE)")</f>
        <v>ALMOX. SAO (SEDE)</v>
      </c>
      <c r="G988" s="89">
        <f>IFERROR(__xludf.DUMMYFUNCTION("""COMPUTED_VALUE"""),7.6715507E7)</f>
        <v>76715507</v>
      </c>
      <c r="H988" s="87"/>
      <c r="I988" s="87"/>
    </row>
    <row r="989">
      <c r="A989" s="84">
        <f>IFERROR(__xludf.DUMMYFUNCTION("""COMPUTED_VALUE"""),988.0)</f>
        <v>988</v>
      </c>
      <c r="B989" s="85" t="str">
        <f>IFERROR(__xludf.DUMMYFUNCTION("""COMPUTED_VALUE"""),"MAQUINA DE LAVAR VEICULOS E EQUIPAMENTOS -")</f>
        <v>MAQUINA DE LAVAR VEICULOS E EQUIPAMENTOS -</v>
      </c>
      <c r="C989" s="86">
        <f>IFERROR(__xludf.DUMMYFUNCTION("""COMPUTED_VALUE"""),1.0)</f>
        <v>1</v>
      </c>
      <c r="D989" s="87" t="str">
        <f>IFERROR(__xludf.DUMMYFUNCTION("""COMPUTED_VALUE"""),"SEÇÃO")</f>
        <v>SEÇÃO</v>
      </c>
      <c r="E989" s="87" t="str">
        <f>IFERROR(__xludf.DUMMYFUNCTION("""COMPUTED_VALUE"""),"3 - ALMOX. ESTOQUE")</f>
        <v>3 - ALMOX. ESTOQUE</v>
      </c>
      <c r="F989" s="88" t="str">
        <f>IFERROR(__xludf.DUMMYFUNCTION("""COMPUTED_VALUE"""),"ALMOX. SAO (SEDE)")</f>
        <v>ALMOX. SAO (SEDE)</v>
      </c>
      <c r="G989" s="89">
        <f>IFERROR(__xludf.DUMMYFUNCTION("""COMPUTED_VALUE"""),7.6715515E7)</f>
        <v>76715515</v>
      </c>
      <c r="H989" s="87"/>
      <c r="I989" s="87"/>
    </row>
    <row r="990">
      <c r="A990" s="84">
        <f>IFERROR(__xludf.DUMMYFUNCTION("""COMPUTED_VALUE"""),989.0)</f>
        <v>989</v>
      </c>
      <c r="B990" s="85" t="str">
        <f>IFERROR(__xludf.DUMMYFUNCTION("""COMPUTED_VALUE"""),"POLTRONA -")</f>
        <v>POLTRONA -</v>
      </c>
      <c r="C990" s="86">
        <f>IFERROR(__xludf.DUMMYFUNCTION("""COMPUTED_VALUE"""),1.0)</f>
        <v>1</v>
      </c>
      <c r="D990" s="87" t="str">
        <f>IFERROR(__xludf.DUMMYFUNCTION("""COMPUTED_VALUE"""),"SEÇÃO")</f>
        <v>SEÇÃO</v>
      </c>
      <c r="E990" s="87" t="str">
        <f>IFERROR(__xludf.DUMMYFUNCTION("""COMPUTED_VALUE"""),"3 - CARTÓRIO")</f>
        <v>3 - CARTÓRIO</v>
      </c>
      <c r="F990" s="88"/>
      <c r="G990" s="89">
        <f>IFERROR(__xludf.DUMMYFUNCTION("""COMPUTED_VALUE"""),7.6715663E7)</f>
        <v>76715663</v>
      </c>
      <c r="H990" s="87"/>
      <c r="I990" s="87" t="str">
        <f>IFERROR(__xludf.DUMMYFUNCTION("""COMPUTED_VALUE"""),"NÃO LOCALIZADO")</f>
        <v>NÃO LOCALIZADO</v>
      </c>
    </row>
    <row r="991">
      <c r="A991" s="84">
        <f>IFERROR(__xludf.DUMMYFUNCTION("""COMPUTED_VALUE"""),990.0)</f>
        <v>990</v>
      </c>
      <c r="B991" s="85" t="str">
        <f>IFERROR(__xludf.DUMMYFUNCTION("""COMPUTED_VALUE"""),"POLTRONA -")</f>
        <v>POLTRONA -</v>
      </c>
      <c r="C991" s="86">
        <f>IFERROR(__xludf.DUMMYFUNCTION("""COMPUTED_VALUE"""),1.0)</f>
        <v>1</v>
      </c>
      <c r="D991" s="87" t="str">
        <f>IFERROR(__xludf.DUMMYFUNCTION("""COMPUTED_VALUE"""),"SEÇÃO")</f>
        <v>SEÇÃO</v>
      </c>
      <c r="E991" s="87" t="str">
        <f>IFERROR(__xludf.DUMMYFUNCTION("""COMPUTED_VALUE"""),"3 - ALOJAMENTO FEM (SEDE)")</f>
        <v>3 - ALOJAMENTO FEM (SEDE)</v>
      </c>
      <c r="F991" s="88"/>
      <c r="G991" s="89">
        <f>IFERROR(__xludf.DUMMYFUNCTION("""COMPUTED_VALUE"""),7.6715671E7)</f>
        <v>76715671</v>
      </c>
      <c r="H991" s="87"/>
      <c r="I991" s="87" t="str">
        <f>IFERROR(__xludf.DUMMYFUNCTION("""COMPUTED_VALUE"""),"NÃO LOCALIZADO")</f>
        <v>NÃO LOCALIZADO</v>
      </c>
    </row>
    <row r="992">
      <c r="A992" s="84">
        <f>IFERROR(__xludf.DUMMYFUNCTION("""COMPUTED_VALUE"""),991.0)</f>
        <v>991</v>
      </c>
      <c r="B992" s="85" t="str">
        <f>IFERROR(__xludf.DUMMYFUNCTION("""COMPUTED_VALUE"""),"POLTRONA -")</f>
        <v>POLTRONA -</v>
      </c>
      <c r="C992" s="86">
        <f>IFERROR(__xludf.DUMMYFUNCTION("""COMPUTED_VALUE"""),1.0)</f>
        <v>1</v>
      </c>
      <c r="D992" s="87" t="str">
        <f>IFERROR(__xludf.DUMMYFUNCTION("""COMPUTED_VALUE"""),"SEÇÃO")</f>
        <v>SEÇÃO</v>
      </c>
      <c r="E992" s="87" t="str">
        <f>IFERROR(__xludf.DUMMYFUNCTION("""COMPUTED_VALUE"""),"3 - COMANDANTE")</f>
        <v>3 - COMANDANTE</v>
      </c>
      <c r="F992" s="88"/>
      <c r="G992" s="89">
        <f>IFERROR(__xludf.DUMMYFUNCTION("""COMPUTED_VALUE"""),7.671568E7)</f>
        <v>76715680</v>
      </c>
      <c r="H992" s="87"/>
      <c r="I992" s="87"/>
    </row>
    <row r="993">
      <c r="A993" s="84">
        <f>IFERROR(__xludf.DUMMYFUNCTION("""COMPUTED_VALUE"""),992.0)</f>
        <v>992</v>
      </c>
      <c r="B993" s="85" t="str">
        <f>IFERROR(__xludf.DUMMYFUNCTION("""COMPUTED_VALUE"""),"POLTRONA -")</f>
        <v>POLTRONA -</v>
      </c>
      <c r="C993" s="86">
        <f>IFERROR(__xludf.DUMMYFUNCTION("""COMPUTED_VALUE"""),1.0)</f>
        <v>1</v>
      </c>
      <c r="D993" s="87" t="str">
        <f>IFERROR(__xludf.DUMMYFUNCTION("""COMPUTED_VALUE"""),"SEÇÃO")</f>
        <v>SEÇÃO</v>
      </c>
      <c r="E993" s="87" t="str">
        <f>IFERROR(__xludf.DUMMYFUNCTION("""COMPUTED_VALUE"""),"3 - COMANDANTE")</f>
        <v>3 - COMANDANTE</v>
      </c>
      <c r="F993" s="88"/>
      <c r="G993" s="89">
        <f>IFERROR(__xludf.DUMMYFUNCTION("""COMPUTED_VALUE"""),7.6715698E7)</f>
        <v>76715698</v>
      </c>
      <c r="H993" s="87"/>
      <c r="I993" s="87"/>
    </row>
    <row r="994">
      <c r="A994" s="84">
        <f>IFERROR(__xludf.DUMMYFUNCTION("""COMPUTED_VALUE"""),993.0)</f>
        <v>993</v>
      </c>
      <c r="B994" s="85" t="str">
        <f>IFERROR(__xludf.DUMMYFUNCTION("""COMPUTED_VALUE"""),"SOFA PARA ESCRITORIO -")</f>
        <v>SOFA PARA ESCRITORIO -</v>
      </c>
      <c r="C994" s="86">
        <f>IFERROR(__xludf.DUMMYFUNCTION("""COMPUTED_VALUE"""),1.0)</f>
        <v>1</v>
      </c>
      <c r="D994" s="87" t="str">
        <f>IFERROR(__xludf.DUMMYFUNCTION("""COMPUTED_VALUE"""),"SEÇÃO")</f>
        <v>SEÇÃO</v>
      </c>
      <c r="E994" s="87" t="str">
        <f>IFERROR(__xludf.DUMMYFUNCTION("""COMPUTED_VALUE"""),"3 - COMANDANTE")</f>
        <v>3 - COMANDANTE</v>
      </c>
      <c r="F994" s="88"/>
      <c r="G994" s="89">
        <f>IFERROR(__xludf.DUMMYFUNCTION("""COMPUTED_VALUE"""),7.6715701E7)</f>
        <v>76715701</v>
      </c>
      <c r="H994" s="87"/>
      <c r="I994" s="87"/>
    </row>
    <row r="995">
      <c r="A995" s="84">
        <f>IFERROR(__xludf.DUMMYFUNCTION("""COMPUTED_VALUE"""),994.0)</f>
        <v>994</v>
      </c>
      <c r="B995" s="85" t="str">
        <f>IFERROR(__xludf.DUMMYFUNCTION("""COMPUTED_VALUE"""),"MESA DE REUNIAO USO ESCOLAR -")</f>
        <v>MESA DE REUNIAO USO ESCOLAR -</v>
      </c>
      <c r="C995" s="86">
        <f>IFERROR(__xludf.DUMMYFUNCTION("""COMPUTED_VALUE"""),1.0)</f>
        <v>1</v>
      </c>
      <c r="D995" s="87" t="str">
        <f>IFERROR(__xludf.DUMMYFUNCTION("""COMPUTED_VALUE"""),"SEÇÃO")</f>
        <v>SEÇÃO</v>
      </c>
      <c r="E995" s="87" t="str">
        <f>IFERROR(__xludf.DUMMYFUNCTION("""COMPUTED_VALUE"""),"3 - GRD")</f>
        <v>3 - GRD</v>
      </c>
      <c r="F995" s="88"/>
      <c r="G995" s="89">
        <f>IFERROR(__xludf.DUMMYFUNCTION("""COMPUTED_VALUE"""),7.671571E7)</f>
        <v>76715710</v>
      </c>
      <c r="H995" s="87"/>
      <c r="I995" s="87" t="str">
        <f>IFERROR(__xludf.DUMMYFUNCTION("""COMPUTED_VALUE"""),"ANTESSALA")</f>
        <v>ANTESSALA</v>
      </c>
    </row>
    <row r="996">
      <c r="A996" s="84">
        <f>IFERROR(__xludf.DUMMYFUNCTION("""COMPUTED_VALUE"""),995.0)</f>
        <v>995</v>
      </c>
      <c r="B996" s="85" t="str">
        <f>IFERROR(__xludf.DUMMYFUNCTION("""COMPUTED_VALUE"""),"QUADRO BRANCO -")</f>
        <v>QUADRO BRANCO -</v>
      </c>
      <c r="C996" s="86">
        <f>IFERROR(__xludf.DUMMYFUNCTION("""COMPUTED_VALUE"""),1.0)</f>
        <v>1</v>
      </c>
      <c r="D996" s="87" t="str">
        <f>IFERROR(__xludf.DUMMYFUNCTION("""COMPUTED_VALUE"""),"SEÇÃO")</f>
        <v>SEÇÃO</v>
      </c>
      <c r="E996" s="87" t="str">
        <f>IFERROR(__xludf.DUMMYFUNCTION("""COMPUTED_VALUE"""),"3 - SUPRIMENTOS")</f>
        <v>3 - SUPRIMENTOS</v>
      </c>
      <c r="F996" s="88"/>
      <c r="G996" s="89">
        <f>IFERROR(__xludf.DUMMYFUNCTION("""COMPUTED_VALUE"""),7.6715728E7)</f>
        <v>76715728</v>
      </c>
      <c r="H996" s="87"/>
      <c r="I996" s="87"/>
    </row>
    <row r="997">
      <c r="A997" s="84">
        <f>IFERROR(__xludf.DUMMYFUNCTION("""COMPUTED_VALUE"""),996.0)</f>
        <v>996</v>
      </c>
      <c r="B997" s="85" t="str">
        <f>IFERROR(__xludf.DUMMYFUNCTION("""COMPUTED_VALUE"""),"QUADRO BRANCO -")</f>
        <v>QUADRO BRANCO -</v>
      </c>
      <c r="C997" s="86">
        <f>IFERROR(__xludf.DUMMYFUNCTION("""COMPUTED_VALUE"""),1.0)</f>
        <v>1</v>
      </c>
      <c r="D997" s="87" t="str">
        <f>IFERROR(__xludf.DUMMYFUNCTION("""COMPUTED_VALUE"""),"SEÇÃO")</f>
        <v>SEÇÃO</v>
      </c>
      <c r="E997" s="87" t="str">
        <f>IFERROR(__xludf.DUMMYFUNCTION("""COMPUTED_VALUE"""),"3 - SEPLAN")</f>
        <v>3 - SEPLAN</v>
      </c>
      <c r="F997" s="88"/>
      <c r="G997" s="89">
        <f>IFERROR(__xludf.DUMMYFUNCTION("""COMPUTED_VALUE"""),7.6715736E7)</f>
        <v>76715736</v>
      </c>
      <c r="H997" s="87"/>
      <c r="I997" s="87"/>
    </row>
    <row r="998">
      <c r="A998" s="84">
        <f>IFERROR(__xludf.DUMMYFUNCTION("""COMPUTED_VALUE"""),997.0)</f>
        <v>997</v>
      </c>
      <c r="B998" s="85" t="str">
        <f>IFERROR(__xludf.DUMMYFUNCTION("""COMPUTED_VALUE"""),"QUADRO BRANCO -")</f>
        <v>QUADRO BRANCO -</v>
      </c>
      <c r="C998" s="86">
        <f>IFERROR(__xludf.DUMMYFUNCTION("""COMPUTED_VALUE"""),1.0)</f>
        <v>1</v>
      </c>
      <c r="D998" s="87" t="str">
        <f>IFERROR(__xludf.DUMMYFUNCTION("""COMPUTED_VALUE"""),"SEÇÃO")</f>
        <v>SEÇÃO</v>
      </c>
      <c r="E998" s="87" t="str">
        <f>IFERROR(__xludf.DUMMYFUNCTION("""COMPUTED_VALUE"""),"3 - DESCARGA")</f>
        <v>3 - DESCARGA</v>
      </c>
      <c r="F998" s="88"/>
      <c r="G998" s="89">
        <f>IFERROR(__xludf.DUMMYFUNCTION("""COMPUTED_VALUE"""),7.6715744E7)</f>
        <v>76715744</v>
      </c>
      <c r="H998" s="87"/>
      <c r="I998" s="87" t="str">
        <f>IFERROR(__xludf.DUMMYFUNCTION("""COMPUTED_VALUE"""),"MATERIAL DESCARREGADO - PROCESSO Nº 1400.01.0026473/2023-04")</f>
        <v>MATERIAL DESCARREGADO - PROCESSO Nº 1400.01.0026473/2023-04</v>
      </c>
    </row>
    <row r="999">
      <c r="A999" s="84">
        <f>IFERROR(__xludf.DUMMYFUNCTION("""COMPUTED_VALUE"""),998.0)</f>
        <v>998</v>
      </c>
      <c r="B999" s="85" t="str">
        <f>IFERROR(__xludf.DUMMYFUNCTION("""COMPUTED_VALUE"""),"CADEIRA PARA ESCRITORIO -")</f>
        <v>CADEIRA PARA ESCRITORIO -</v>
      </c>
      <c r="C999" s="86">
        <f>IFERROR(__xludf.DUMMYFUNCTION("""COMPUTED_VALUE"""),1.0)</f>
        <v>1</v>
      </c>
      <c r="D999" s="87" t="str">
        <f>IFERROR(__xludf.DUMMYFUNCTION("""COMPUTED_VALUE"""),"SEÇÃO")</f>
        <v>SEÇÃO</v>
      </c>
      <c r="E999" s="87" t="str">
        <f>IFERROR(__xludf.DUMMYFUNCTION("""COMPUTED_VALUE"""),"3 - CARTÓRIO")</f>
        <v>3 - CARTÓRIO</v>
      </c>
      <c r="F999" s="88"/>
      <c r="G999" s="89">
        <f>IFERROR(__xludf.DUMMYFUNCTION("""COMPUTED_VALUE"""),7.6715752E7)</f>
        <v>76715752</v>
      </c>
      <c r="H999" s="87"/>
      <c r="I999" s="87"/>
    </row>
    <row r="1000">
      <c r="A1000" s="84">
        <f>IFERROR(__xludf.DUMMYFUNCTION("""COMPUTED_VALUE"""),999.0)</f>
        <v>999</v>
      </c>
      <c r="B1000" s="85" t="str">
        <f>IFERROR(__xludf.DUMMYFUNCTION("""COMPUTED_VALUE"""),"CADEIRA PARA ESCRITORIO -")</f>
        <v>CADEIRA PARA ESCRITORIO -</v>
      </c>
      <c r="C1000" s="86">
        <f>IFERROR(__xludf.DUMMYFUNCTION("""COMPUTED_VALUE"""),1.0)</f>
        <v>1</v>
      </c>
      <c r="D1000" s="87" t="str">
        <f>IFERROR(__xludf.DUMMYFUNCTION("""COMPUTED_VALUE"""),"SEÇÃO")</f>
        <v>SEÇÃO</v>
      </c>
      <c r="E1000" s="87" t="str">
        <f>IFERROR(__xludf.DUMMYFUNCTION("""COMPUTED_VALUE"""),"3 - CARTÓRIO")</f>
        <v>3 - CARTÓRIO</v>
      </c>
      <c r="F1000" s="88"/>
      <c r="G1000" s="89">
        <f>IFERROR(__xludf.DUMMYFUNCTION("""COMPUTED_VALUE"""),7.671576E7)</f>
        <v>76715760</v>
      </c>
      <c r="H1000" s="87"/>
      <c r="I1000" s="87"/>
    </row>
    <row r="1001">
      <c r="A1001" s="84">
        <f>IFERROR(__xludf.DUMMYFUNCTION("""COMPUTED_VALUE"""),1000.0)</f>
        <v>1000</v>
      </c>
      <c r="B1001" s="85" t="str">
        <f>IFERROR(__xludf.DUMMYFUNCTION("""COMPUTED_VALUE"""),"CADEIRA PARA ESCRITORIO -")</f>
        <v>CADEIRA PARA ESCRITORIO -</v>
      </c>
      <c r="C1001" s="86">
        <f>IFERROR(__xludf.DUMMYFUNCTION("""COMPUTED_VALUE"""),1.0)</f>
        <v>1</v>
      </c>
      <c r="D1001" s="87" t="str">
        <f>IFERROR(__xludf.DUMMYFUNCTION("""COMPUTED_VALUE"""),"SEÇÃO")</f>
        <v>SEÇÃO</v>
      </c>
      <c r="E1001" s="87" t="str">
        <f>IFERROR(__xludf.DUMMYFUNCTION("""COMPUTED_VALUE"""),"3 - DESCARGA")</f>
        <v>3 - DESCARGA</v>
      </c>
      <c r="F1001" s="88"/>
      <c r="G1001" s="89">
        <f>IFERROR(__xludf.DUMMYFUNCTION("""COMPUTED_VALUE"""),7.6715779E7)</f>
        <v>76715779</v>
      </c>
      <c r="H1001" s="87"/>
      <c r="I1001" s="87" t="str">
        <f>IFERROR(__xludf.DUMMYFUNCTION("""COMPUTED_VALUE"""),"MATERIAL DESCARREGADO - PROCESSO Nº 1400.01.0026473/2023-04")</f>
        <v>MATERIAL DESCARREGADO - PROCESSO Nº 1400.01.0026473/2023-04</v>
      </c>
    </row>
    <row r="1002">
      <c r="A1002" s="84">
        <f>IFERROR(__xludf.DUMMYFUNCTION("""COMPUTED_VALUE"""),1001.0)</f>
        <v>1001</v>
      </c>
      <c r="B1002" s="85" t="str">
        <f>IFERROR(__xludf.DUMMYFUNCTION("""COMPUTED_VALUE"""),"CADEIRA PARA ESCRITORIO -")</f>
        <v>CADEIRA PARA ESCRITORIO -</v>
      </c>
      <c r="C1002" s="86">
        <f>IFERROR(__xludf.DUMMYFUNCTION("""COMPUTED_VALUE"""),1.0)</f>
        <v>1</v>
      </c>
      <c r="D1002" s="87" t="str">
        <f>IFERROR(__xludf.DUMMYFUNCTION("""COMPUTED_VALUE"""),"SEÇÃO")</f>
        <v>SEÇÃO</v>
      </c>
      <c r="E1002" s="87" t="str">
        <f>IFERROR(__xludf.DUMMYFUNCTION("""COMPUTED_VALUE"""),"3 - DESCARGA")</f>
        <v>3 - DESCARGA</v>
      </c>
      <c r="F1002" s="88"/>
      <c r="G1002" s="89">
        <f>IFERROR(__xludf.DUMMYFUNCTION("""COMPUTED_VALUE"""),7.6715787E7)</f>
        <v>76715787</v>
      </c>
      <c r="H1002" s="87"/>
      <c r="I1002" s="87" t="str">
        <f>IFERROR(__xludf.DUMMYFUNCTION("""COMPUTED_VALUE"""),"MATERIAL DESCARREGADO - PROCESSO Nº 1400.01.0026473/2023-05")</f>
        <v>MATERIAL DESCARREGADO - PROCESSO Nº 1400.01.0026473/2023-05</v>
      </c>
    </row>
    <row r="1003">
      <c r="A1003" s="84">
        <f>IFERROR(__xludf.DUMMYFUNCTION("""COMPUTED_VALUE"""),1002.0)</f>
        <v>1002</v>
      </c>
      <c r="B1003" s="85" t="str">
        <f>IFERROR(__xludf.DUMMYFUNCTION("""COMPUTED_VALUE"""),"CADEIRA PARA ESCRITORIO -")</f>
        <v>CADEIRA PARA ESCRITORIO -</v>
      </c>
      <c r="C1003" s="86">
        <f>IFERROR(__xludf.DUMMYFUNCTION("""COMPUTED_VALUE"""),1.0)</f>
        <v>1</v>
      </c>
      <c r="D1003" s="87" t="str">
        <f>IFERROR(__xludf.DUMMYFUNCTION("""COMPUTED_VALUE"""),"SEÇÃO")</f>
        <v>SEÇÃO</v>
      </c>
      <c r="E1003" s="87" t="str">
        <f>IFERROR(__xludf.DUMMYFUNCTION("""COMPUTED_VALUE"""),"3 - DESCARGA")</f>
        <v>3 - DESCARGA</v>
      </c>
      <c r="F1003" s="88"/>
      <c r="G1003" s="89">
        <f>IFERROR(__xludf.DUMMYFUNCTION("""COMPUTED_VALUE"""),7.6715795E7)</f>
        <v>76715795</v>
      </c>
      <c r="H1003" s="87"/>
      <c r="I1003" s="87" t="str">
        <f>IFERROR(__xludf.DUMMYFUNCTION("""COMPUTED_VALUE"""),"MATERIAL DESCARREGADO - PROCESSO Nº 1400.01.0026473/2023-06")</f>
        <v>MATERIAL DESCARREGADO - PROCESSO Nº 1400.01.0026473/2023-06</v>
      </c>
    </row>
    <row r="1004">
      <c r="A1004" s="84">
        <f>IFERROR(__xludf.DUMMYFUNCTION("""COMPUTED_VALUE"""),1003.0)</f>
        <v>1003</v>
      </c>
      <c r="B1004" s="85" t="str">
        <f>IFERROR(__xludf.DUMMYFUNCTION("""COMPUTED_VALUE"""),"CADEIRA PARA ESCRITORIO -")</f>
        <v>CADEIRA PARA ESCRITORIO -</v>
      </c>
      <c r="C1004" s="86">
        <f>IFERROR(__xludf.DUMMYFUNCTION("""COMPUTED_VALUE"""),1.0)</f>
        <v>1</v>
      </c>
      <c r="D1004" s="87" t="str">
        <f>IFERROR(__xludf.DUMMYFUNCTION("""COMPUTED_VALUE"""),"SEÇÃO")</f>
        <v>SEÇÃO</v>
      </c>
      <c r="E1004" s="87" t="str">
        <f>IFERROR(__xludf.DUMMYFUNCTION("""COMPUTED_VALUE"""),"3 - DESCARGA")</f>
        <v>3 - DESCARGA</v>
      </c>
      <c r="F1004" s="88"/>
      <c r="G1004" s="89">
        <f>IFERROR(__xludf.DUMMYFUNCTION("""COMPUTED_VALUE"""),7.6715809E7)</f>
        <v>76715809</v>
      </c>
      <c r="H1004" s="87"/>
      <c r="I1004" s="87" t="str">
        <f>IFERROR(__xludf.DUMMYFUNCTION("""COMPUTED_VALUE"""),"MATERIAL DESCARREGADO - PROCESSO Nº 1400.01.0026473/2023-07")</f>
        <v>MATERIAL DESCARREGADO - PROCESSO Nº 1400.01.0026473/2023-07</v>
      </c>
    </row>
    <row r="1005">
      <c r="A1005" s="84">
        <f>IFERROR(__xludf.DUMMYFUNCTION("""COMPUTED_VALUE"""),1004.0)</f>
        <v>1004</v>
      </c>
      <c r="B1005" s="85" t="str">
        <f>IFERROR(__xludf.DUMMYFUNCTION("""COMPUTED_VALUE"""),"CADEIRA PARA ESCRITORIO -")</f>
        <v>CADEIRA PARA ESCRITORIO -</v>
      </c>
      <c r="C1005" s="86">
        <f>IFERROR(__xludf.DUMMYFUNCTION("""COMPUTED_VALUE"""),1.0)</f>
        <v>1</v>
      </c>
      <c r="D1005" s="87" t="str">
        <f>IFERROR(__xludf.DUMMYFUNCTION("""COMPUTED_VALUE"""),"SEÇÃO")</f>
        <v>SEÇÃO</v>
      </c>
      <c r="E1005" s="87" t="str">
        <f>IFERROR(__xludf.DUMMYFUNCTION("""COMPUTED_VALUE"""),"3 - DESCARGA")</f>
        <v>3 - DESCARGA</v>
      </c>
      <c r="F1005" s="88"/>
      <c r="G1005" s="89">
        <f>IFERROR(__xludf.DUMMYFUNCTION("""COMPUTED_VALUE"""),7.6715817E7)</f>
        <v>76715817</v>
      </c>
      <c r="H1005" s="87"/>
      <c r="I1005" s="87" t="str">
        <f>IFERROR(__xludf.DUMMYFUNCTION("""COMPUTED_VALUE"""),"MATERIAL DESCARREGADO - PROCESSO Nº 1400.01.0026473/2023-08")</f>
        <v>MATERIAL DESCARREGADO - PROCESSO Nº 1400.01.0026473/2023-08</v>
      </c>
    </row>
    <row r="1006">
      <c r="A1006" s="84">
        <f>IFERROR(__xludf.DUMMYFUNCTION("""COMPUTED_VALUE"""),1005.0)</f>
        <v>1005</v>
      </c>
      <c r="B1006" s="85" t="str">
        <f>IFERROR(__xludf.DUMMYFUNCTION("""COMPUTED_VALUE"""),"CADEIRA PARA ESCRITORIO -")</f>
        <v>CADEIRA PARA ESCRITORIO -</v>
      </c>
      <c r="C1006" s="86">
        <f>IFERROR(__xludf.DUMMYFUNCTION("""COMPUTED_VALUE"""),1.0)</f>
        <v>1</v>
      </c>
      <c r="D1006" s="87" t="str">
        <f>IFERROR(__xludf.DUMMYFUNCTION("""COMPUTED_VALUE"""),"SEÇÃO")</f>
        <v>SEÇÃO</v>
      </c>
      <c r="E1006" s="87" t="str">
        <f>IFERROR(__xludf.DUMMYFUNCTION("""COMPUTED_VALUE"""),"3 - DESCARGA")</f>
        <v>3 - DESCARGA</v>
      </c>
      <c r="F1006" s="88"/>
      <c r="G1006" s="89">
        <f>IFERROR(__xludf.DUMMYFUNCTION("""COMPUTED_VALUE"""),7.6715825E7)</f>
        <v>76715825</v>
      </c>
      <c r="H1006" s="87"/>
      <c r="I1006" s="87" t="str">
        <f>IFERROR(__xludf.DUMMYFUNCTION("""COMPUTED_VALUE"""),"MATERIAL DESCARREGADO - PROCESSO Nº 1400.01.0026473/2023-09")</f>
        <v>MATERIAL DESCARREGADO - PROCESSO Nº 1400.01.0026473/2023-09</v>
      </c>
    </row>
    <row r="1007">
      <c r="A1007" s="84">
        <f>IFERROR(__xludf.DUMMYFUNCTION("""COMPUTED_VALUE"""),1006.0)</f>
        <v>1006</v>
      </c>
      <c r="B1007" s="85" t="str">
        <f>IFERROR(__xludf.DUMMYFUNCTION("""COMPUTED_VALUE"""),"CADEIRA PARA ESCRITORIO -")</f>
        <v>CADEIRA PARA ESCRITORIO -</v>
      </c>
      <c r="C1007" s="86">
        <f>IFERROR(__xludf.DUMMYFUNCTION("""COMPUTED_VALUE"""),1.0)</f>
        <v>1</v>
      </c>
      <c r="D1007" s="87" t="str">
        <f>IFERROR(__xludf.DUMMYFUNCTION("""COMPUTED_VALUE"""),"SEÇÃO")</f>
        <v>SEÇÃO</v>
      </c>
      <c r="E1007" s="87" t="str">
        <f>IFERROR(__xludf.DUMMYFUNCTION("""COMPUTED_VALUE"""),"3 - DESCARGA")</f>
        <v>3 - DESCARGA</v>
      </c>
      <c r="F1007" s="88"/>
      <c r="G1007" s="89">
        <f>IFERROR(__xludf.DUMMYFUNCTION("""COMPUTED_VALUE"""),7.6715833E7)</f>
        <v>76715833</v>
      </c>
      <c r="H1007" s="87"/>
      <c r="I1007" s="87" t="str">
        <f>IFERROR(__xludf.DUMMYFUNCTION("""COMPUTED_VALUE"""),"MATERIAL DESCARREGADO - PROCESSO Nº 1400.01.0026473/2023-10")</f>
        <v>MATERIAL DESCARREGADO - PROCESSO Nº 1400.01.0026473/2023-10</v>
      </c>
    </row>
    <row r="1008">
      <c r="A1008" s="84">
        <f>IFERROR(__xludf.DUMMYFUNCTION("""COMPUTED_VALUE"""),1007.0)</f>
        <v>1007</v>
      </c>
      <c r="B1008" s="85" t="str">
        <f>IFERROR(__xludf.DUMMYFUNCTION("""COMPUTED_VALUE"""),"CADEIRA PARA ESCRITORIO -")</f>
        <v>CADEIRA PARA ESCRITORIO -</v>
      </c>
      <c r="C1008" s="86">
        <f>IFERROR(__xludf.DUMMYFUNCTION("""COMPUTED_VALUE"""),1.0)</f>
        <v>1</v>
      </c>
      <c r="D1008" s="87" t="str">
        <f>IFERROR(__xludf.DUMMYFUNCTION("""COMPUTED_VALUE"""),"SEÇÃO")</f>
        <v>SEÇÃO</v>
      </c>
      <c r="E1008" s="87" t="str">
        <f>IFERROR(__xludf.DUMMYFUNCTION("""COMPUTED_VALUE"""),"3 - GUARDA")</f>
        <v>3 - GUARDA</v>
      </c>
      <c r="F1008" s="88"/>
      <c r="G1008" s="89">
        <f>IFERROR(__xludf.DUMMYFUNCTION("""COMPUTED_VALUE"""),7.6715841E7)</f>
        <v>76715841</v>
      </c>
      <c r="H1008" s="87"/>
      <c r="I1008" s="87"/>
    </row>
    <row r="1009">
      <c r="A1009" s="84">
        <f>IFERROR(__xludf.DUMMYFUNCTION("""COMPUTED_VALUE"""),1008.0)</f>
        <v>1008</v>
      </c>
      <c r="B1009" s="85" t="str">
        <f>IFERROR(__xludf.DUMMYFUNCTION("""COMPUTED_VALUE"""),"NOBREAK -")</f>
        <v>NOBREAK -</v>
      </c>
      <c r="C1009" s="86">
        <f>IFERROR(__xludf.DUMMYFUNCTION("""COMPUTED_VALUE"""),1.0)</f>
        <v>1</v>
      </c>
      <c r="D1009" s="87" t="str">
        <f>IFERROR(__xludf.DUMMYFUNCTION("""COMPUTED_VALUE"""),"SEÇÃO")</f>
        <v>SEÇÃO</v>
      </c>
      <c r="E1009" s="87" t="str">
        <f>IFERROR(__xludf.DUMMYFUNCTION("""COMPUTED_VALUE"""),"3 - ALMOX. ESTOQUE")</f>
        <v>3 - ALMOX. ESTOQUE</v>
      </c>
      <c r="F1009" s="88" t="str">
        <f>IFERROR(__xludf.DUMMYFUNCTION("""COMPUTED_VALUE"""),"CPD")</f>
        <v>CPD</v>
      </c>
      <c r="G1009" s="89">
        <f>IFERROR(__xludf.DUMMYFUNCTION("""COMPUTED_VALUE"""),7.6723283E7)</f>
        <v>76723283</v>
      </c>
      <c r="H1009" s="87"/>
      <c r="I1009" s="87" t="str">
        <f>IFERROR(__xludf.DUMMYFUNCTION("""COMPUTED_VALUE"""),"CPD")</f>
        <v>CPD</v>
      </c>
    </row>
    <row r="1010">
      <c r="A1010" s="84">
        <f>IFERROR(__xludf.DUMMYFUNCTION("""COMPUTED_VALUE"""),1009.0)</f>
        <v>1009</v>
      </c>
      <c r="B1010" s="85" t="str">
        <f>IFERROR(__xludf.DUMMYFUNCTION("""COMPUTED_VALUE"""),"NOBREAK -")</f>
        <v>NOBREAK -</v>
      </c>
      <c r="C1010" s="86">
        <f>IFERROR(__xludf.DUMMYFUNCTION("""COMPUTED_VALUE"""),1.0)</f>
        <v>1</v>
      </c>
      <c r="D1010" s="87" t="str">
        <f>IFERROR(__xludf.DUMMYFUNCTION("""COMPUTED_VALUE"""),"SEÇÃO")</f>
        <v>SEÇÃO</v>
      </c>
      <c r="E1010" s="87" t="str">
        <f>IFERROR(__xludf.DUMMYFUNCTION("""COMPUTED_VALUE"""),"3 - 1ª CIA OP")</f>
        <v>3 - 1ª CIA OP</v>
      </c>
      <c r="F1010" s="88" t="str">
        <f>IFERROR(__xludf.DUMMYFUNCTION("""COMPUTED_VALUE"""),"CPD")</f>
        <v>CPD</v>
      </c>
      <c r="G1010" s="89">
        <f>IFERROR(__xludf.DUMMYFUNCTION("""COMPUTED_VALUE"""),7.6723291E7)</f>
        <v>76723291</v>
      </c>
      <c r="H1010" s="87"/>
      <c r="I1010" s="87"/>
    </row>
    <row r="1011">
      <c r="A1011" s="84">
        <f>IFERROR(__xludf.DUMMYFUNCTION("""COMPUTED_VALUE"""),1010.0)</f>
        <v>1010</v>
      </c>
      <c r="B1011" s="85" t="str">
        <f>IFERROR(__xludf.DUMMYFUNCTION("""COMPUTED_VALUE"""),"BOMBA COSTAL PARA COMBATE A INCENDIO -")</f>
        <v>BOMBA COSTAL PARA COMBATE A INCENDIO -</v>
      </c>
      <c r="C1011" s="86">
        <f>IFERROR(__xludf.DUMMYFUNCTION("""COMPUTED_VALUE"""),1.0)</f>
        <v>1</v>
      </c>
      <c r="D1011" s="87" t="str">
        <f>IFERROR(__xludf.DUMMYFUNCTION("""COMPUTED_VALUE"""),"SEÇÃO")</f>
        <v>SEÇÃO</v>
      </c>
      <c r="E1011" s="87" t="str">
        <f>IFERROR(__xludf.DUMMYFUNCTION("""COMPUTED_VALUE"""),"3 - 1ª CIA OP")</f>
        <v>3 - 1ª CIA OP</v>
      </c>
      <c r="F1011" s="88" t="str">
        <f>IFERROR(__xludf.DUMMYFUNCTION("""COMPUTED_VALUE"""),"SETOR DE MEIOS")</f>
        <v>SETOR DE MEIOS</v>
      </c>
      <c r="G1011" s="89">
        <f>IFERROR(__xludf.DUMMYFUNCTION("""COMPUTED_VALUE"""),7.672551E7)</f>
        <v>76725510</v>
      </c>
      <c r="H1011" s="87"/>
      <c r="I1011" s="87" t="str">
        <f>IFERROR(__xludf.DUMMYFUNCTION("""COMPUTED_VALUE"""),"MOCHILA COSTAL (VALLFIREST) SEM ESGUICHO")</f>
        <v>MOCHILA COSTAL (VALLFIREST) SEM ESGUICHO</v>
      </c>
    </row>
    <row r="1012">
      <c r="A1012" s="84">
        <f>IFERROR(__xludf.DUMMYFUNCTION("""COMPUTED_VALUE"""),1011.0)</f>
        <v>1011</v>
      </c>
      <c r="B1012" s="85" t="str">
        <f>IFERROR(__xludf.DUMMYFUNCTION("""COMPUTED_VALUE"""),"MOCHILA COSTAL (VALLFIREST) C/ ESGUICHO")</f>
        <v>MOCHILA COSTAL (VALLFIREST) C/ ESGUICHO</v>
      </c>
      <c r="C1012" s="86">
        <f>IFERROR(__xludf.DUMMYFUNCTION("""COMPUTED_VALUE"""),1.0)</f>
        <v>1</v>
      </c>
      <c r="D1012" s="87" t="str">
        <f>IFERROR(__xludf.DUMMYFUNCTION("""COMPUTED_VALUE"""),"VIATURA")</f>
        <v>VIATURA</v>
      </c>
      <c r="E1012" s="87" t="str">
        <f>IFERROR(__xludf.DUMMYFUNCTION("""COMPUTED_VALUE"""),"1 - ACIF5790")</f>
        <v>1 - ACIF5790</v>
      </c>
      <c r="F1012" s="88" t="str">
        <f>IFERROR(__xludf.DUMMYFUNCTION("""COMPUTED_VALUE"""),"BOX 01")</f>
        <v>BOX 01</v>
      </c>
      <c r="G1012" s="89">
        <f>IFERROR(__xludf.DUMMYFUNCTION("""COMPUTED_VALUE"""),7.6725529E7)</f>
        <v>76725529</v>
      </c>
      <c r="H1012" s="87"/>
      <c r="I1012" s="87" t="str">
        <f>IFERROR(__xludf.DUMMYFUNCTION("""COMPUTED_VALUE"""),"MOCHILA COSTAL (VALLFIREST) C/ ESGUICHO")</f>
        <v>MOCHILA COSTAL (VALLFIREST) C/ ESGUICHO</v>
      </c>
    </row>
    <row r="1013">
      <c r="A1013" s="84">
        <f>IFERROR(__xludf.DUMMYFUNCTION("""COMPUTED_VALUE"""),1012.0)</f>
        <v>1012</v>
      </c>
      <c r="B1013" s="85" t="str">
        <f>IFERROR(__xludf.DUMMYFUNCTION("""COMPUTED_VALUE"""),"BOMBA COSTAL PARA COMBATE A INCENDIO -")</f>
        <v>BOMBA COSTAL PARA COMBATE A INCENDIO -</v>
      </c>
      <c r="C1013" s="86">
        <f>IFERROR(__xludf.DUMMYFUNCTION("""COMPUTED_VALUE"""),1.0)</f>
        <v>1</v>
      </c>
      <c r="D1013" s="87" t="str">
        <f>IFERROR(__xludf.DUMMYFUNCTION("""COMPUTED_VALUE"""),"SEÇÃO")</f>
        <v>SEÇÃO</v>
      </c>
      <c r="E1013" s="87" t="str">
        <f>IFERROR(__xludf.DUMMYFUNCTION("""COMPUTED_VALUE"""),"3 - ALMOX. ESTOQUE")</f>
        <v>3 - ALMOX. ESTOQUE</v>
      </c>
      <c r="F1013" s="88" t="str">
        <f>IFERROR(__xludf.DUMMYFUNCTION("""COMPUTED_VALUE"""),"ALMOX. SAO (SEDE)")</f>
        <v>ALMOX. SAO (SEDE)</v>
      </c>
      <c r="G1013" s="89">
        <f>IFERROR(__xludf.DUMMYFUNCTION("""COMPUTED_VALUE"""),7.6725537E7)</f>
        <v>76725537</v>
      </c>
      <c r="H1013" s="87"/>
      <c r="I1013" s="87"/>
    </row>
    <row r="1014">
      <c r="A1014" s="84">
        <f>IFERROR(__xludf.DUMMYFUNCTION("""COMPUTED_VALUE"""),1013.0)</f>
        <v>1013</v>
      </c>
      <c r="B1014" s="85" t="str">
        <f>IFERROR(__xludf.DUMMYFUNCTION("""COMPUTED_VALUE"""),"BOMBA COSTAL PARA COMBATE A INCENDIO -")</f>
        <v>BOMBA COSTAL PARA COMBATE A INCENDIO -</v>
      </c>
      <c r="C1014" s="86">
        <f>IFERROR(__xludf.DUMMYFUNCTION("""COMPUTED_VALUE"""),1.0)</f>
        <v>1</v>
      </c>
      <c r="D1014" s="87" t="str">
        <f>IFERROR(__xludf.DUMMYFUNCTION("""COMPUTED_VALUE"""),"SEÇÃO")</f>
        <v>SEÇÃO</v>
      </c>
      <c r="E1014" s="87" t="str">
        <f>IFERROR(__xludf.DUMMYFUNCTION("""COMPUTED_VALUE"""),"3 - ALMOX. ESTOQUE")</f>
        <v>3 - ALMOX. ESTOQUE</v>
      </c>
      <c r="F1014" s="88" t="str">
        <f>IFERROR(__xludf.DUMMYFUNCTION("""COMPUTED_VALUE"""),"ALMOX. SAO (SEDE)")</f>
        <v>ALMOX. SAO (SEDE)</v>
      </c>
      <c r="G1014" s="89">
        <f>IFERROR(__xludf.DUMMYFUNCTION("""COMPUTED_VALUE"""),7.6725545E7)</f>
        <v>76725545</v>
      </c>
      <c r="H1014" s="87"/>
      <c r="I1014" s="87"/>
    </row>
    <row r="1015">
      <c r="A1015" s="84">
        <f>IFERROR(__xludf.DUMMYFUNCTION("""COMPUTED_VALUE"""),1014.0)</f>
        <v>1014</v>
      </c>
      <c r="B1015" s="85" t="str">
        <f>IFERROR(__xludf.DUMMYFUNCTION("""COMPUTED_VALUE"""),"BOMBA COSTAL PARA COMBATE A INCENDIO -")</f>
        <v>BOMBA COSTAL PARA COMBATE A INCENDIO -</v>
      </c>
      <c r="C1015" s="86">
        <f>IFERROR(__xludf.DUMMYFUNCTION("""COMPUTED_VALUE"""),1.0)</f>
        <v>1</v>
      </c>
      <c r="D1015" s="87" t="str">
        <f>IFERROR(__xludf.DUMMYFUNCTION("""COMPUTED_VALUE"""),"SEÇÃO")</f>
        <v>SEÇÃO</v>
      </c>
      <c r="E1015" s="87" t="str">
        <f>IFERROR(__xludf.DUMMYFUNCTION("""COMPUTED_VALUE"""),"3 - ALMOX. ESTOQUE")</f>
        <v>3 - ALMOX. ESTOQUE</v>
      </c>
      <c r="F1015" s="88" t="str">
        <f>IFERROR(__xludf.DUMMYFUNCTION("""COMPUTED_VALUE"""),"ALMOX. SAO (SEDE)")</f>
        <v>ALMOX. SAO (SEDE)</v>
      </c>
      <c r="G1015" s="89">
        <f>IFERROR(__xludf.DUMMYFUNCTION("""COMPUTED_VALUE"""),7.6725553E7)</f>
        <v>76725553</v>
      </c>
      <c r="H1015" s="87"/>
      <c r="I1015" s="87"/>
    </row>
    <row r="1016">
      <c r="A1016" s="84">
        <f>IFERROR(__xludf.DUMMYFUNCTION("""COMPUTED_VALUE"""),1015.0)</f>
        <v>1015</v>
      </c>
      <c r="B1016" s="85" t="str">
        <f>IFERROR(__xludf.DUMMYFUNCTION("""COMPUTED_VALUE"""),"BOMBA COSTAL PARA COMBATE A INCENDIO -")</f>
        <v>BOMBA COSTAL PARA COMBATE A INCENDIO -</v>
      </c>
      <c r="C1016" s="86">
        <f>IFERROR(__xludf.DUMMYFUNCTION("""COMPUTED_VALUE"""),1.0)</f>
        <v>1</v>
      </c>
      <c r="D1016" s="87" t="str">
        <f>IFERROR(__xludf.DUMMYFUNCTION("""COMPUTED_VALUE"""),"SEÇÃO")</f>
        <v>SEÇÃO</v>
      </c>
      <c r="E1016" s="87" t="str">
        <f>IFERROR(__xludf.DUMMYFUNCTION("""COMPUTED_VALUE"""),"3 - ALMOX. ESTOQUE")</f>
        <v>3 - ALMOX. ESTOQUE</v>
      </c>
      <c r="F1016" s="88" t="str">
        <f>IFERROR(__xludf.DUMMYFUNCTION("""COMPUTED_VALUE"""),"ALMOX. SAO (SEDE)")</f>
        <v>ALMOX. SAO (SEDE)</v>
      </c>
      <c r="G1016" s="89">
        <f>IFERROR(__xludf.DUMMYFUNCTION("""COMPUTED_VALUE"""),7.6725561E7)</f>
        <v>76725561</v>
      </c>
      <c r="H1016" s="87"/>
      <c r="I1016" s="87"/>
    </row>
    <row r="1017">
      <c r="A1017" s="84">
        <f>IFERROR(__xludf.DUMMYFUNCTION("""COMPUTED_VALUE"""),1016.0)</f>
        <v>1016</v>
      </c>
      <c r="B1017" s="85" t="str">
        <f>IFERROR(__xludf.DUMMYFUNCTION("""COMPUTED_VALUE"""),"BOMBA COSTAL PARA COMBATE A INCENDIO -")</f>
        <v>BOMBA COSTAL PARA COMBATE A INCENDIO -</v>
      </c>
      <c r="C1017" s="86">
        <f>IFERROR(__xludf.DUMMYFUNCTION("""COMPUTED_VALUE"""),1.0)</f>
        <v>1</v>
      </c>
      <c r="D1017" s="87" t="str">
        <f>IFERROR(__xludf.DUMMYFUNCTION("""COMPUTED_VALUE"""),"SEÇÃO")</f>
        <v>SEÇÃO</v>
      </c>
      <c r="E1017" s="87" t="str">
        <f>IFERROR(__xludf.DUMMYFUNCTION("""COMPUTED_VALUE"""),"3 - ALMOX. ESTOQUE")</f>
        <v>3 - ALMOX. ESTOQUE</v>
      </c>
      <c r="F1017" s="88" t="str">
        <f>IFERROR(__xludf.DUMMYFUNCTION("""COMPUTED_VALUE"""),"ALMOX. SAO (SEDE)")</f>
        <v>ALMOX. SAO (SEDE)</v>
      </c>
      <c r="G1017" s="89">
        <f>IFERROR(__xludf.DUMMYFUNCTION("""COMPUTED_VALUE"""),7.672557E7)</f>
        <v>76725570</v>
      </c>
      <c r="H1017" s="87"/>
      <c r="I1017" s="87"/>
    </row>
    <row r="1018">
      <c r="A1018" s="84">
        <f>IFERROR(__xludf.DUMMYFUNCTION("""COMPUTED_VALUE"""),1017.0)</f>
        <v>1017</v>
      </c>
      <c r="B1018" s="85" t="str">
        <f>IFERROR(__xludf.DUMMYFUNCTION("""COMPUTED_VALUE"""),"BOMBA COSTAL PARA COMBATE A INCENDIO -")</f>
        <v>BOMBA COSTAL PARA COMBATE A INCENDIO -</v>
      </c>
      <c r="C1018" s="86">
        <f>IFERROR(__xludf.DUMMYFUNCTION("""COMPUTED_VALUE"""),1.0)</f>
        <v>1</v>
      </c>
      <c r="D1018" s="87" t="str">
        <f>IFERROR(__xludf.DUMMYFUNCTION("""COMPUTED_VALUE"""),"SEÇÃO")</f>
        <v>SEÇÃO</v>
      </c>
      <c r="E1018" s="87" t="str">
        <f>IFERROR(__xludf.DUMMYFUNCTION("""COMPUTED_VALUE"""),"3 - ALMOX. ESTOQUE")</f>
        <v>3 - ALMOX. ESTOQUE</v>
      </c>
      <c r="F1018" s="88" t="str">
        <f>IFERROR(__xludf.DUMMYFUNCTION("""COMPUTED_VALUE"""),"ALMOX. SAO (SEDE)")</f>
        <v>ALMOX. SAO (SEDE)</v>
      </c>
      <c r="G1018" s="89">
        <f>IFERROR(__xludf.DUMMYFUNCTION("""COMPUTED_VALUE"""),7.6725588E7)</f>
        <v>76725588</v>
      </c>
      <c r="H1018" s="87"/>
      <c r="I1018" s="87"/>
    </row>
    <row r="1019">
      <c r="A1019" s="84">
        <f>IFERROR(__xludf.DUMMYFUNCTION("""COMPUTED_VALUE"""),1018.0)</f>
        <v>1018</v>
      </c>
      <c r="B1019" s="85" t="str">
        <f>IFERROR(__xludf.DUMMYFUNCTION("""COMPUTED_VALUE"""),"BOMBA COSTAL PARA COMBATE A INCENDIO -")</f>
        <v>BOMBA COSTAL PARA COMBATE A INCENDIO -</v>
      </c>
      <c r="C1019" s="86">
        <f>IFERROR(__xludf.DUMMYFUNCTION("""COMPUTED_VALUE"""),1.0)</f>
        <v>1</v>
      </c>
      <c r="D1019" s="87" t="str">
        <f>IFERROR(__xludf.DUMMYFUNCTION("""COMPUTED_VALUE"""),"SEÇÃO")</f>
        <v>SEÇÃO</v>
      </c>
      <c r="E1019" s="87" t="str">
        <f>IFERROR(__xludf.DUMMYFUNCTION("""COMPUTED_VALUE"""),"3 - ALMOX. ESTOQUE")</f>
        <v>3 - ALMOX. ESTOQUE</v>
      </c>
      <c r="F1019" s="88" t="str">
        <f>IFERROR(__xludf.DUMMYFUNCTION("""COMPUTED_VALUE"""),"ALMOX. SAO (SEDE)")</f>
        <v>ALMOX. SAO (SEDE)</v>
      </c>
      <c r="G1019" s="89">
        <f>IFERROR(__xludf.DUMMYFUNCTION("""COMPUTED_VALUE"""),7.6725596E7)</f>
        <v>76725596</v>
      </c>
      <c r="H1019" s="87"/>
      <c r="I1019" s="87"/>
    </row>
    <row r="1020">
      <c r="A1020" s="84">
        <f>IFERROR(__xludf.DUMMYFUNCTION("""COMPUTED_VALUE"""),1019.0)</f>
        <v>1019</v>
      </c>
      <c r="B1020" s="85" t="str">
        <f>IFERROR(__xludf.DUMMYFUNCTION("""COMPUTED_VALUE"""),"BOMBA COSTAL PARA COMBATE A INCENDIO -")</f>
        <v>BOMBA COSTAL PARA COMBATE A INCENDIO -</v>
      </c>
      <c r="C1020" s="86">
        <f>IFERROR(__xludf.DUMMYFUNCTION("""COMPUTED_VALUE"""),1.0)</f>
        <v>1</v>
      </c>
      <c r="D1020" s="87" t="str">
        <f>IFERROR(__xludf.DUMMYFUNCTION("""COMPUTED_VALUE"""),"SEÇÃO")</f>
        <v>SEÇÃO</v>
      </c>
      <c r="E1020" s="87" t="str">
        <f>IFERROR(__xludf.DUMMYFUNCTION("""COMPUTED_VALUE"""),"3 - ALMOX. ESTOQUE")</f>
        <v>3 - ALMOX. ESTOQUE</v>
      </c>
      <c r="F1020" s="88" t="str">
        <f>IFERROR(__xludf.DUMMYFUNCTION("""COMPUTED_VALUE"""),"ALMOX. SAO (SEDE)")</f>
        <v>ALMOX. SAO (SEDE)</v>
      </c>
      <c r="G1020" s="89">
        <f>IFERROR(__xludf.DUMMYFUNCTION("""COMPUTED_VALUE"""),7.67256E7)</f>
        <v>76725600</v>
      </c>
      <c r="H1020" s="87"/>
      <c r="I1020" s="87"/>
    </row>
    <row r="1021">
      <c r="A1021" s="84">
        <f>IFERROR(__xludf.DUMMYFUNCTION("""COMPUTED_VALUE"""),1020.0)</f>
        <v>1020</v>
      </c>
      <c r="B1021" s="85" t="str">
        <f>IFERROR(__xludf.DUMMYFUNCTION("""COMPUTED_VALUE"""),"ESTETOSCOPIO -")</f>
        <v>ESTETOSCOPIO -</v>
      </c>
      <c r="C1021" s="86">
        <f>IFERROR(__xludf.DUMMYFUNCTION("""COMPUTED_VALUE"""),1.0)</f>
        <v>1</v>
      </c>
      <c r="D1021" s="87" t="str">
        <f>IFERROR(__xludf.DUMMYFUNCTION("""COMPUTED_VALUE"""),"VIATURA")</f>
        <v>VIATURA</v>
      </c>
      <c r="E1021" s="87" t="str">
        <f>IFERROR(__xludf.DUMMYFUNCTION("""COMPUTED_VALUE"""),"1 - UR3486")</f>
        <v>1 - UR3486</v>
      </c>
      <c r="F1021" s="88" t="str">
        <f>IFERROR(__xludf.DUMMYFUNCTION("""COMPUTED_VALUE"""),"BOLSA DE RESGATE")</f>
        <v>BOLSA DE RESGATE</v>
      </c>
      <c r="G1021" s="89">
        <f>IFERROR(__xludf.DUMMYFUNCTION("""COMPUTED_VALUE"""),7.6731693E7)</f>
        <v>76731693</v>
      </c>
      <c r="H1021" s="87"/>
      <c r="I1021" s="87"/>
    </row>
    <row r="1022">
      <c r="A1022" s="84">
        <f>IFERROR(__xludf.DUMMYFUNCTION("""COMPUTED_VALUE"""),1021.0)</f>
        <v>1021</v>
      </c>
      <c r="B1022" s="85" t="str">
        <f>IFERROR(__xludf.DUMMYFUNCTION("""COMPUTED_VALUE"""),"ESTETOSCOPIO -")</f>
        <v>ESTETOSCOPIO -</v>
      </c>
      <c r="C1022" s="86">
        <f>IFERROR(__xludf.DUMMYFUNCTION("""COMPUTED_VALUE"""),1.0)</f>
        <v>1</v>
      </c>
      <c r="D1022" s="87" t="str">
        <f>IFERROR(__xludf.DUMMYFUNCTION("""COMPUTED_VALUE"""),"VIATURA")</f>
        <v>VIATURA</v>
      </c>
      <c r="E1022" s="87" t="str">
        <f>IFERROR(__xludf.DUMMYFUNCTION("""COMPUTED_VALUE"""),"1 - ABTS1418")</f>
        <v>1 - ABTS1418</v>
      </c>
      <c r="F1022" s="88" t="str">
        <f>IFERROR(__xludf.DUMMYFUNCTION("""COMPUTED_VALUE"""),"BOLSA DE RESGATE")</f>
        <v>BOLSA DE RESGATE</v>
      </c>
      <c r="G1022" s="89">
        <f>IFERROR(__xludf.DUMMYFUNCTION("""COMPUTED_VALUE"""),7.6731707E7)</f>
        <v>76731707</v>
      </c>
      <c r="H1022" s="87"/>
      <c r="I1022" s="87"/>
    </row>
    <row r="1023">
      <c r="A1023" s="84">
        <f>IFERROR(__xludf.DUMMYFUNCTION("""COMPUTED_VALUE"""),1022.0)</f>
        <v>1022</v>
      </c>
      <c r="B1023" s="85" t="str">
        <f>IFERROR(__xludf.DUMMYFUNCTION("""COMPUTED_VALUE"""),"OXIMETRO -")</f>
        <v>OXIMETRO -</v>
      </c>
      <c r="C1023" s="86">
        <f>IFERROR(__xludf.DUMMYFUNCTION("""COMPUTED_VALUE"""),1.0)</f>
        <v>1</v>
      </c>
      <c r="D1023" s="87" t="str">
        <f>IFERROR(__xludf.DUMMYFUNCTION("""COMPUTED_VALUE"""),"SEÇÃO")</f>
        <v>SEÇÃO</v>
      </c>
      <c r="E1023" s="87" t="str">
        <f>IFERROR(__xludf.DUMMYFUNCTION("""COMPUTED_VALUE"""),"3 - ALMOX. ESTOQUE")</f>
        <v>3 - ALMOX. ESTOQUE</v>
      </c>
      <c r="F1023" s="88" t="str">
        <f>IFERROR(__xludf.DUMMYFUNCTION("""COMPUTED_VALUE"""),"ALMOX. APH")</f>
        <v>ALMOX. APH</v>
      </c>
      <c r="G1023" s="89">
        <f>IFERROR(__xludf.DUMMYFUNCTION("""COMPUTED_VALUE"""),7.6734722E7)</f>
        <v>76734722</v>
      </c>
      <c r="H1023" s="87"/>
      <c r="I1023" s="87"/>
    </row>
    <row r="1024">
      <c r="A1024" s="84">
        <f>IFERROR(__xludf.DUMMYFUNCTION("""COMPUTED_VALUE"""),1023.0)</f>
        <v>1023</v>
      </c>
      <c r="B1024" s="85" t="str">
        <f>IFERROR(__xludf.DUMMYFUNCTION("""COMPUTED_VALUE"""),"OXIMETRO -")</f>
        <v>OXIMETRO -</v>
      </c>
      <c r="C1024" s="86">
        <f>IFERROR(__xludf.DUMMYFUNCTION("""COMPUTED_VALUE"""),1.0)</f>
        <v>1</v>
      </c>
      <c r="D1024" s="87" t="str">
        <f>IFERROR(__xludf.DUMMYFUNCTION("""COMPUTED_VALUE"""),"SEÇÃO")</f>
        <v>SEÇÃO</v>
      </c>
      <c r="E1024" s="87" t="str">
        <f>IFERROR(__xludf.DUMMYFUNCTION("""COMPUTED_VALUE"""),"3 - ALMOX. ESTOQUE")</f>
        <v>3 - ALMOX. ESTOQUE</v>
      </c>
      <c r="F1024" s="88" t="str">
        <f>IFERROR(__xludf.DUMMYFUNCTION("""COMPUTED_VALUE"""),"ALMOX. APH")</f>
        <v>ALMOX. APH</v>
      </c>
      <c r="G1024" s="89">
        <f>IFERROR(__xludf.DUMMYFUNCTION("""COMPUTED_VALUE"""),7.673473E7)</f>
        <v>76734730</v>
      </c>
      <c r="H1024" s="87"/>
      <c r="I1024" s="87"/>
    </row>
    <row r="1025">
      <c r="A1025" s="84">
        <f>IFERROR(__xludf.DUMMYFUNCTION("""COMPUTED_VALUE"""),1024.0)</f>
        <v>1024</v>
      </c>
      <c r="B1025" s="85" t="str">
        <f>IFERROR(__xludf.DUMMYFUNCTION("""COMPUTED_VALUE"""),"OXIMETRO -")</f>
        <v>OXIMETRO -</v>
      </c>
      <c r="C1025" s="86">
        <f>IFERROR(__xludf.DUMMYFUNCTION("""COMPUTED_VALUE"""),1.0)</f>
        <v>1</v>
      </c>
      <c r="D1025" s="87" t="str">
        <f>IFERROR(__xludf.DUMMYFUNCTION("""COMPUTED_VALUE"""),"VIATURA")</f>
        <v>VIATURA</v>
      </c>
      <c r="E1025" s="87" t="str">
        <f>IFERROR(__xludf.DUMMYFUNCTION("""COMPUTED_VALUE"""),"1 - UR3478")</f>
        <v>1 - UR3478</v>
      </c>
      <c r="F1025" s="88" t="str">
        <f>IFERROR(__xludf.DUMMYFUNCTION("""COMPUTED_VALUE"""),"BOLSA DE RESGATE")</f>
        <v>BOLSA DE RESGATE</v>
      </c>
      <c r="G1025" s="89">
        <f>IFERROR(__xludf.DUMMYFUNCTION("""COMPUTED_VALUE"""),7.6734749E7)</f>
        <v>76734749</v>
      </c>
      <c r="H1025" s="87" t="str">
        <f>IFERROR(__xludf.DUMMYFUNCTION("""COMPUTED_VALUE"""),"N.S. E 20421409100900")</f>
        <v>N.S. E 20421409100900</v>
      </c>
      <c r="I1025" s="87"/>
    </row>
    <row r="1026">
      <c r="A1026" s="84">
        <f>IFERROR(__xludf.DUMMYFUNCTION("""COMPUTED_VALUE"""),1025.0)</f>
        <v>1025</v>
      </c>
      <c r="B1026" s="85" t="str">
        <f>IFERROR(__xludf.DUMMYFUNCTION("""COMPUTED_VALUE"""),"ESTETOSCOPIO -")</f>
        <v>ESTETOSCOPIO -</v>
      </c>
      <c r="C1026" s="86">
        <f>IFERROR(__xludf.DUMMYFUNCTION("""COMPUTED_VALUE"""),1.0)</f>
        <v>1</v>
      </c>
      <c r="D1026" s="87" t="str">
        <f>IFERROR(__xludf.DUMMYFUNCTION("""COMPUTED_VALUE"""),"SEÇÃO")</f>
        <v>SEÇÃO</v>
      </c>
      <c r="E1026" s="87" t="str">
        <f>IFERROR(__xludf.DUMMYFUNCTION("""COMPUTED_VALUE"""),"3 - SETOR DE MEIOS")</f>
        <v>3 - SETOR DE MEIOS</v>
      </c>
      <c r="F1026" s="88" t="str">
        <f>IFERROR(__xludf.DUMMYFUNCTION("""COMPUTED_VALUE"""),"MATERIAL DE MERGULHO")</f>
        <v>MATERIAL DE MERGULHO</v>
      </c>
      <c r="G1026" s="89">
        <f>IFERROR(__xludf.DUMMYFUNCTION("""COMPUTED_VALUE"""),7.6757587E7)</f>
        <v>76757587</v>
      </c>
      <c r="H1026" s="87"/>
      <c r="I1026" s="87" t="str">
        <f>IFERROR(__xludf.DUMMYFUNCTION("""COMPUTED_VALUE"""),"Bolsa de Resgate ")</f>
        <v>Bolsa de Resgate </v>
      </c>
    </row>
    <row r="1027">
      <c r="A1027" s="84">
        <f>IFERROR(__xludf.DUMMYFUNCTION("""COMPUTED_VALUE"""),1026.0)</f>
        <v>1026</v>
      </c>
      <c r="B1027" s="85" t="str">
        <f>IFERROR(__xludf.DUMMYFUNCTION("""COMPUTED_VALUE"""),"ESFIGMOMANOMETRO -")</f>
        <v>ESFIGMOMANOMETRO -</v>
      </c>
      <c r="C1027" s="86">
        <f>IFERROR(__xludf.DUMMYFUNCTION("""COMPUTED_VALUE"""),1.0)</f>
        <v>1</v>
      </c>
      <c r="D1027" s="87" t="str">
        <f>IFERROR(__xludf.DUMMYFUNCTION("""COMPUTED_VALUE"""),"SEÇÃO")</f>
        <v>SEÇÃO</v>
      </c>
      <c r="E1027" s="87" t="str">
        <f>IFERROR(__xludf.DUMMYFUNCTION("""COMPUTED_VALUE"""),"3 - ALMOX. ESTOQUE")</f>
        <v>3 - ALMOX. ESTOQUE</v>
      </c>
      <c r="F1027" s="88" t="str">
        <f>IFERROR(__xludf.DUMMYFUNCTION("""COMPUTED_VALUE"""),"ALMOX. APH")</f>
        <v>ALMOX. APH</v>
      </c>
      <c r="G1027" s="89">
        <f>IFERROR(__xludf.DUMMYFUNCTION("""COMPUTED_VALUE"""),7.6736024E7)</f>
        <v>76736024</v>
      </c>
      <c r="H1027" s="87"/>
      <c r="I1027" s="87"/>
    </row>
    <row r="1028">
      <c r="A1028" s="84">
        <f>IFERROR(__xludf.DUMMYFUNCTION("""COMPUTED_VALUE"""),1027.0)</f>
        <v>1027</v>
      </c>
      <c r="B1028" s="85" t="str">
        <f>IFERROR(__xludf.DUMMYFUNCTION("""COMPUTED_VALUE"""),"ESFIGMOMANOMETRO -")</f>
        <v>ESFIGMOMANOMETRO -</v>
      </c>
      <c r="C1028" s="86">
        <f>IFERROR(__xludf.DUMMYFUNCTION("""COMPUTED_VALUE"""),1.0)</f>
        <v>1</v>
      </c>
      <c r="D1028" s="87" t="str">
        <f>IFERROR(__xludf.DUMMYFUNCTION("""COMPUTED_VALUE"""),"VIATURA")</f>
        <v>VIATURA</v>
      </c>
      <c r="E1028" s="87" t="str">
        <f>IFERROR(__xludf.DUMMYFUNCTION("""COMPUTED_VALUE"""),"1 - ABTS1418")</f>
        <v>1 - ABTS1418</v>
      </c>
      <c r="F1028" s="88" t="str">
        <f>IFERROR(__xludf.DUMMYFUNCTION("""COMPUTED_VALUE"""),"BOLSA DE RESGATE")</f>
        <v>BOLSA DE RESGATE</v>
      </c>
      <c r="G1028" s="89">
        <f>IFERROR(__xludf.DUMMYFUNCTION("""COMPUTED_VALUE"""),7.6736032E7)</f>
        <v>76736032</v>
      </c>
      <c r="H1028" s="87"/>
      <c r="I1028" s="87"/>
    </row>
    <row r="1029">
      <c r="A1029" s="84">
        <f>IFERROR(__xludf.DUMMYFUNCTION("""COMPUTED_VALUE"""),1028.0)</f>
        <v>1028</v>
      </c>
      <c r="B1029" s="85" t="str">
        <f>IFERROR(__xludf.DUMMYFUNCTION("""COMPUTED_VALUE"""),"ESFIGMOMANOMETRO -")</f>
        <v>ESFIGMOMANOMETRO -</v>
      </c>
      <c r="C1029" s="86">
        <f>IFERROR(__xludf.DUMMYFUNCTION("""COMPUTED_VALUE"""),1.0)</f>
        <v>1</v>
      </c>
      <c r="D1029" s="87" t="str">
        <f>IFERROR(__xludf.DUMMYFUNCTION("""COMPUTED_VALUE"""),"SEÇÃO")</f>
        <v>SEÇÃO</v>
      </c>
      <c r="E1029" s="87" t="str">
        <f>IFERROR(__xludf.DUMMYFUNCTION("""COMPUTED_VALUE"""),"3 - DESCARGA")</f>
        <v>3 - DESCARGA</v>
      </c>
      <c r="F1029" s="88"/>
      <c r="G1029" s="89">
        <f>IFERROR(__xludf.DUMMYFUNCTION("""COMPUTED_VALUE"""),7.673604E7)</f>
        <v>76736040</v>
      </c>
      <c r="H1029" s="87"/>
      <c r="I1029" s="87" t="str">
        <f>IFERROR(__xludf.DUMMYFUNCTION("""COMPUTED_VALUE"""),"MATERIAL DESCARREGADO - PROCESSO Nº 1400.01.0026473/2023-10")</f>
        <v>MATERIAL DESCARREGADO - PROCESSO Nº 1400.01.0026473/2023-10</v>
      </c>
    </row>
    <row r="1030">
      <c r="A1030" s="84">
        <f>IFERROR(__xludf.DUMMYFUNCTION("""COMPUTED_VALUE"""),1029.0)</f>
        <v>1029</v>
      </c>
      <c r="B1030" s="85" t="str">
        <f>IFERROR(__xludf.DUMMYFUNCTION("""COMPUTED_VALUE"""),"ESFIGMOMANOMETRO -")</f>
        <v>ESFIGMOMANOMETRO -</v>
      </c>
      <c r="C1030" s="86">
        <f>IFERROR(__xludf.DUMMYFUNCTION("""COMPUTED_VALUE"""),1.0)</f>
        <v>1</v>
      </c>
      <c r="D1030" s="87" t="str">
        <f>IFERROR(__xludf.DUMMYFUNCTION("""COMPUTED_VALUE"""),"SEÇÃO")</f>
        <v>SEÇÃO</v>
      </c>
      <c r="E1030" s="87" t="str">
        <f>IFERROR(__xludf.DUMMYFUNCTION("""COMPUTED_VALUE"""),"3 - DESCARGA")</f>
        <v>3 - DESCARGA</v>
      </c>
      <c r="F1030" s="88"/>
      <c r="G1030" s="89">
        <f>IFERROR(__xludf.DUMMYFUNCTION("""COMPUTED_VALUE"""),7.6736059E7)</f>
        <v>76736059</v>
      </c>
      <c r="H1030" s="87"/>
      <c r="I1030" s="87" t="str">
        <f>IFERROR(__xludf.DUMMYFUNCTION("""COMPUTED_VALUE"""),"MATERIAL DESCARREGADO - PROCESSO Nº 1400.01.0026473/2023-10")</f>
        <v>MATERIAL DESCARREGADO - PROCESSO Nº 1400.01.0026473/2023-10</v>
      </c>
    </row>
    <row r="1031">
      <c r="A1031" s="84">
        <f>IFERROR(__xludf.DUMMYFUNCTION("""COMPUTED_VALUE"""),1030.0)</f>
        <v>1030</v>
      </c>
      <c r="B1031" s="85" t="str">
        <f>IFERROR(__xludf.DUMMYFUNCTION("""COMPUTED_VALUE"""),"ESFIGMOMANOMETRO -")</f>
        <v>ESFIGMOMANOMETRO -</v>
      </c>
      <c r="C1031" s="86">
        <f>IFERROR(__xludf.DUMMYFUNCTION("""COMPUTED_VALUE"""),1.0)</f>
        <v>1</v>
      </c>
      <c r="D1031" s="87" t="str">
        <f>IFERROR(__xludf.DUMMYFUNCTION("""COMPUTED_VALUE"""),"VIATURA")</f>
        <v>VIATURA</v>
      </c>
      <c r="E1031" s="87" t="str">
        <f>IFERROR(__xludf.DUMMYFUNCTION("""COMPUTED_VALUE"""),"1 - UR3486")</f>
        <v>1 - UR3486</v>
      </c>
      <c r="F1031" s="88" t="str">
        <f>IFERROR(__xludf.DUMMYFUNCTION("""COMPUTED_VALUE"""),"BOLSA DE RESGATE")</f>
        <v>BOLSA DE RESGATE</v>
      </c>
      <c r="G1031" s="89">
        <f>IFERROR(__xludf.DUMMYFUNCTION("""COMPUTED_VALUE"""),7.6736067E7)</f>
        <v>76736067</v>
      </c>
      <c r="H1031" s="87"/>
      <c r="I1031" s="87" t="str">
        <f>IFERROR(__xludf.DUMMYFUNCTION("""COMPUTED_VALUE"""),"ADULTO")</f>
        <v>ADULTO</v>
      </c>
    </row>
    <row r="1032">
      <c r="A1032" s="84">
        <f>IFERROR(__xludf.DUMMYFUNCTION("""COMPUTED_VALUE"""),1031.0)</f>
        <v>1031</v>
      </c>
      <c r="B1032" s="85" t="str">
        <f>IFERROR(__xludf.DUMMYFUNCTION("""COMPUTED_VALUE"""),"ESFIGMOMANOMETRO -")</f>
        <v>ESFIGMOMANOMETRO -</v>
      </c>
      <c r="C1032" s="86">
        <f>IFERROR(__xludf.DUMMYFUNCTION("""COMPUTED_VALUE"""),1.0)</f>
        <v>1</v>
      </c>
      <c r="D1032" s="87" t="str">
        <f>IFERROR(__xludf.DUMMYFUNCTION("""COMPUTED_VALUE"""),"SEÇÃO")</f>
        <v>SEÇÃO</v>
      </c>
      <c r="E1032" s="87" t="str">
        <f>IFERROR(__xludf.DUMMYFUNCTION("""COMPUTED_VALUE"""),"3 - ALMOX. ESTOQUE")</f>
        <v>3 - ALMOX. ESTOQUE</v>
      </c>
      <c r="F1032" s="88" t="str">
        <f>IFERROR(__xludf.DUMMYFUNCTION("""COMPUTED_VALUE"""),"ALMOX. APH")</f>
        <v>ALMOX. APH</v>
      </c>
      <c r="G1032" s="89">
        <f>IFERROR(__xludf.DUMMYFUNCTION("""COMPUTED_VALUE"""),7.6737209E7)</f>
        <v>76737209</v>
      </c>
      <c r="H1032" s="87"/>
      <c r="I1032" s="87" t="str">
        <f>IFERROR(__xludf.DUMMYFUNCTION("""COMPUTED_VALUE"""),"INFANTIL")</f>
        <v>INFANTIL</v>
      </c>
    </row>
    <row r="1033">
      <c r="A1033" s="84">
        <f>IFERROR(__xludf.DUMMYFUNCTION("""COMPUTED_VALUE"""),1032.0)</f>
        <v>1032</v>
      </c>
      <c r="B1033" s="85" t="str">
        <f>IFERROR(__xludf.DUMMYFUNCTION("""COMPUTED_VALUE"""),"ESFIGMOMANOMETRO -")</f>
        <v>ESFIGMOMANOMETRO -</v>
      </c>
      <c r="C1033" s="86">
        <f>IFERROR(__xludf.DUMMYFUNCTION("""COMPUTED_VALUE"""),1.0)</f>
        <v>1</v>
      </c>
      <c r="D1033" s="87" t="str">
        <f>IFERROR(__xludf.DUMMYFUNCTION("""COMPUTED_VALUE"""),"SEÇÃO")</f>
        <v>SEÇÃO</v>
      </c>
      <c r="E1033" s="87" t="str">
        <f>IFERROR(__xludf.DUMMYFUNCTION("""COMPUTED_VALUE"""),"3 - ALMOX. ESTOQUE")</f>
        <v>3 - ALMOX. ESTOQUE</v>
      </c>
      <c r="F1033" s="88" t="str">
        <f>IFERROR(__xludf.DUMMYFUNCTION("""COMPUTED_VALUE"""),"ALMOX. APH")</f>
        <v>ALMOX. APH</v>
      </c>
      <c r="G1033" s="89">
        <f>IFERROR(__xludf.DUMMYFUNCTION("""COMPUTED_VALUE"""),7.6737217E7)</f>
        <v>76737217</v>
      </c>
      <c r="H1033" s="87"/>
      <c r="I1033" s="87" t="str">
        <f>IFERROR(__xludf.DUMMYFUNCTION("""COMPUTED_VALUE"""),"INFANTIL")</f>
        <v>INFANTIL</v>
      </c>
    </row>
    <row r="1034">
      <c r="A1034" s="84">
        <f>IFERROR(__xludf.DUMMYFUNCTION("""COMPUTED_VALUE"""),1033.0)</f>
        <v>1033</v>
      </c>
      <c r="B1034" s="85" t="str">
        <f>IFERROR(__xludf.DUMMYFUNCTION("""COMPUTED_VALUE"""),"ESFIGMOMANOMETRO -")</f>
        <v>ESFIGMOMANOMETRO -</v>
      </c>
      <c r="C1034" s="86">
        <f>IFERROR(__xludf.DUMMYFUNCTION("""COMPUTED_VALUE"""),1.0)</f>
        <v>1</v>
      </c>
      <c r="D1034" s="87" t="str">
        <f>IFERROR(__xludf.DUMMYFUNCTION("""COMPUTED_VALUE"""),"VIATURA")</f>
        <v>VIATURA</v>
      </c>
      <c r="E1034" s="87" t="str">
        <f>IFERROR(__xludf.DUMMYFUNCTION("""COMPUTED_VALUE"""),"1 - UR3486")</f>
        <v>1 - UR3486</v>
      </c>
      <c r="F1034" s="88" t="str">
        <f>IFERROR(__xludf.DUMMYFUNCTION("""COMPUTED_VALUE"""),"BOLSA DE RESGATE")</f>
        <v>BOLSA DE RESGATE</v>
      </c>
      <c r="G1034" s="89">
        <f>IFERROR(__xludf.DUMMYFUNCTION("""COMPUTED_VALUE"""),7.6737225E7)</f>
        <v>76737225</v>
      </c>
      <c r="H1034" s="87"/>
      <c r="I1034" s="87" t="str">
        <f>IFERROR(__xludf.DUMMYFUNCTION("""COMPUTED_VALUE"""),"INFANTIL")</f>
        <v>INFANTIL</v>
      </c>
    </row>
    <row r="1035">
      <c r="A1035" s="84">
        <f>IFERROR(__xludf.DUMMYFUNCTION("""COMPUTED_VALUE"""),1034.0)</f>
        <v>1034</v>
      </c>
      <c r="B1035" s="85" t="str">
        <f>IFERROR(__xludf.DUMMYFUNCTION("""COMPUTED_VALUE"""),"ESCADA PROLONGAVEL PARA ATIVIDADES BOMBEIRO -")</f>
        <v>ESCADA PROLONGAVEL PARA ATIVIDADES BOMBEIRO -</v>
      </c>
      <c r="C1035" s="86">
        <f>IFERROR(__xludf.DUMMYFUNCTION("""COMPUTED_VALUE"""),1.0)</f>
        <v>1</v>
      </c>
      <c r="D1035" s="87" t="str">
        <f>IFERROR(__xludf.DUMMYFUNCTION("""COMPUTED_VALUE"""),"VIATURA")</f>
        <v>VIATURA</v>
      </c>
      <c r="E1035" s="87" t="str">
        <f>IFERROR(__xludf.DUMMYFUNCTION("""COMPUTED_VALUE"""),"1 - ABTS1418")</f>
        <v>1 - ABTS1418</v>
      </c>
      <c r="F1035" s="88" t="str">
        <f>IFERROR(__xludf.DUMMYFUNCTION("""COMPUTED_VALUE"""),"BOX SUPERIOR 01")</f>
        <v>BOX SUPERIOR 01</v>
      </c>
      <c r="G1035" s="89">
        <f>IFERROR(__xludf.DUMMYFUNCTION("""COMPUTED_VALUE"""),7.6737942E7)</f>
        <v>76737942</v>
      </c>
      <c r="H1035" s="87"/>
      <c r="I1035" s="87"/>
    </row>
    <row r="1036">
      <c r="A1036" s="84">
        <f>IFERROR(__xludf.DUMMYFUNCTION("""COMPUTED_VALUE"""),1035.0)</f>
        <v>1035</v>
      </c>
      <c r="B1036" s="85" t="str">
        <f>IFERROR(__xludf.DUMMYFUNCTION("""COMPUTED_VALUE"""),"MOTOSSERRA -")</f>
        <v>MOTOSSERRA -</v>
      </c>
      <c r="C1036" s="86">
        <f>IFERROR(__xludf.DUMMYFUNCTION("""COMPUTED_VALUE"""),1.0)</f>
        <v>1</v>
      </c>
      <c r="D1036" s="87" t="str">
        <f>IFERROR(__xludf.DUMMYFUNCTION("""COMPUTED_VALUE"""),"SEÇÃO")</f>
        <v>SEÇÃO</v>
      </c>
      <c r="E1036" s="87" t="str">
        <f>IFERROR(__xludf.DUMMYFUNCTION("""COMPUTED_VALUE"""),"3 - ALMOX. ESTOQUE")</f>
        <v>3 - ALMOX. ESTOQUE</v>
      </c>
      <c r="F1036" s="88" t="str">
        <f>IFERROR(__xludf.DUMMYFUNCTION("""COMPUTED_VALUE"""),"ALMOX. SAO (SEDE)")</f>
        <v>ALMOX. SAO (SEDE)</v>
      </c>
      <c r="G1036" s="89">
        <f>IFERROR(__xludf.DUMMYFUNCTION("""COMPUTED_VALUE"""),7.6738922E7)</f>
        <v>76738922</v>
      </c>
      <c r="H1036" s="87"/>
      <c r="I1036" s="87" t="str">
        <f>IFERROR(__xludf.DUMMYFUNCTION("""COMPUTED_VALUE"""),"POTENCIA MOTOR MINIMA DE 1,5KW; ROTACAO MINIMA DE 12000 RPM; TANQUE DE COMBUSTIVEL MINIMA DE 250ML; TANQUE DE OLEO MINIMA   DE 145ML; SABRE 16 POLEGADAS ")</f>
        <v>POTENCIA MOTOR MINIMA DE 1,5KW; ROTACAO MINIMA DE 12000 RPM; TANQUE DE COMBUSTIVEL MINIMA DE 250ML; TANQUE DE OLEO MINIMA   DE 145ML; SABRE 16 POLEGADAS </v>
      </c>
    </row>
    <row r="1037">
      <c r="A1037" s="84">
        <f>IFERROR(__xludf.DUMMYFUNCTION("""COMPUTED_VALUE"""),1036.0)</f>
        <v>1036</v>
      </c>
      <c r="B1037" s="85" t="str">
        <f>IFERROR(__xludf.DUMMYFUNCTION("""COMPUTED_VALUE"""),"MOTOSSERRA -")</f>
        <v>MOTOSSERRA -</v>
      </c>
      <c r="C1037" s="86">
        <f>IFERROR(__xludf.DUMMYFUNCTION("""COMPUTED_VALUE"""),1.0)</f>
        <v>1</v>
      </c>
      <c r="D1037" s="87" t="str">
        <f>IFERROR(__xludf.DUMMYFUNCTION("""COMPUTED_VALUE"""),"SEÇÃO")</f>
        <v>SEÇÃO</v>
      </c>
      <c r="E1037" s="87" t="str">
        <f>IFERROR(__xludf.DUMMYFUNCTION("""COMPUTED_VALUE"""),"3 - 3ª ALA OP.")</f>
        <v>3 - 3ª ALA OP.</v>
      </c>
      <c r="F1037" s="88"/>
      <c r="G1037" s="89">
        <f>IFERROR(__xludf.DUMMYFUNCTION("""COMPUTED_VALUE"""),7.6738965E7)</f>
        <v>76738965</v>
      </c>
      <c r="H1037" s="87"/>
      <c r="I1037" s="87" t="str">
        <f>IFERROR(__xludf.DUMMYFUNCTION("""COMPUTED_VALUE"""),"POTENCIA MOTOR MINIMA DE 1,5KW; ROTACAO MINIMA DE 12000 RPM; TANQUE DE COMBUSTIVEL MINIMA DE 250ML; TANQUE DE OLEO MINIMA   DE 145ML; SABRE 16 POLEGADAS ")</f>
        <v>POTENCIA MOTOR MINIMA DE 1,5KW; ROTACAO MINIMA DE 12000 RPM; TANQUE DE COMBUSTIVEL MINIMA DE 250ML; TANQUE DE OLEO MINIMA   DE 145ML; SABRE 16 POLEGADAS </v>
      </c>
    </row>
    <row r="1038">
      <c r="A1038" s="84">
        <f>IFERROR(__xludf.DUMMYFUNCTION("""COMPUTED_VALUE"""),1037.0)</f>
        <v>1037</v>
      </c>
      <c r="B1038" s="85" t="str">
        <f>IFERROR(__xludf.DUMMYFUNCTION("""COMPUTED_VALUE"""),"DESFIBRILADOR CARDIACO -")</f>
        <v>DESFIBRILADOR CARDIACO -</v>
      </c>
      <c r="C1038" s="86">
        <f>IFERROR(__xludf.DUMMYFUNCTION("""COMPUTED_VALUE"""),1.0)</f>
        <v>1</v>
      </c>
      <c r="D1038" s="87" t="str">
        <f>IFERROR(__xludf.DUMMYFUNCTION("""COMPUTED_VALUE"""),"VIATURA")</f>
        <v>VIATURA</v>
      </c>
      <c r="E1038" s="87" t="str">
        <f>IFERROR(__xludf.DUMMYFUNCTION("""COMPUTED_VALUE"""),"1 - UR3486")</f>
        <v>1 - UR3486</v>
      </c>
      <c r="F1038" s="88" t="str">
        <f>IFERROR(__xludf.DUMMYFUNCTION("""COMPUTED_VALUE"""),"PRATELEIRAS E GAVETAS")</f>
        <v>PRATELEIRAS E GAVETAS</v>
      </c>
      <c r="G1038" s="89">
        <f>IFERROR(__xludf.DUMMYFUNCTION("""COMPUTED_VALUE"""),7.6750507E7)</f>
        <v>76750507</v>
      </c>
      <c r="H1038" s="87" t="str">
        <f>IFERROR(__xludf.DUMMYFUNCTION("""COMPUTED_VALUE"""),"B20E-00854")</f>
        <v>B20E-00854</v>
      </c>
      <c r="I1038" s="87" t="str">
        <f>IFERROR(__xludf.DUMMYFUNCTION("""COMPUTED_VALUE"""),"Philips HeartStart Mod.861304 n.sB20E-00932")</f>
        <v>Philips HeartStart Mod.861304 n.sB20E-00932</v>
      </c>
    </row>
    <row r="1039">
      <c r="A1039" s="84">
        <f>IFERROR(__xludf.DUMMYFUNCTION("""COMPUTED_VALUE"""),1038.0)</f>
        <v>1038</v>
      </c>
      <c r="B1039" s="85" t="str">
        <f>IFERROR(__xludf.DUMMYFUNCTION("""COMPUTED_VALUE"""),"DESFIBRILADOR CARDIACO -")</f>
        <v>DESFIBRILADOR CARDIACO -</v>
      </c>
      <c r="C1039" s="86">
        <f>IFERROR(__xludf.DUMMYFUNCTION("""COMPUTED_VALUE"""),1.0)</f>
        <v>1</v>
      </c>
      <c r="D1039" s="87" t="str">
        <f>IFERROR(__xludf.DUMMYFUNCTION("""COMPUTED_VALUE"""),"SEÇÃO")</f>
        <v>SEÇÃO</v>
      </c>
      <c r="E1039" s="87" t="str">
        <f>IFERROR(__xludf.DUMMYFUNCTION("""COMPUTED_VALUE"""),"3 - GUARDA")</f>
        <v>3 - GUARDA</v>
      </c>
      <c r="F1039" s="88"/>
      <c r="G1039" s="89">
        <f>IFERROR(__xludf.DUMMYFUNCTION("""COMPUTED_VALUE"""),7.6750515E7)</f>
        <v>76750515</v>
      </c>
      <c r="H1039" s="87"/>
      <c r="I1039" s="87" t="str">
        <f>IFERROR(__xludf.DUMMYFUNCTION("""COMPUTED_VALUE"""),"PHILIPS FRX")</f>
        <v>PHILIPS FRX</v>
      </c>
    </row>
    <row r="1040">
      <c r="A1040" s="84">
        <f>IFERROR(__xludf.DUMMYFUNCTION("""COMPUTED_VALUE"""),1039.0)</f>
        <v>1039</v>
      </c>
      <c r="B1040" s="85" t="str">
        <f>IFERROR(__xludf.DUMMYFUNCTION("""COMPUTED_VALUE"""),"DESFIBRILADOR CARDIACO -")</f>
        <v>DESFIBRILADOR CARDIACO -</v>
      </c>
      <c r="C1040" s="86">
        <f>IFERROR(__xludf.DUMMYFUNCTION("""COMPUTED_VALUE"""),1.0)</f>
        <v>1</v>
      </c>
      <c r="D1040" s="87" t="str">
        <f>IFERROR(__xludf.DUMMYFUNCTION("""COMPUTED_VALUE"""),"SEÇÃO")</f>
        <v>SEÇÃO</v>
      </c>
      <c r="E1040" s="87" t="str">
        <f>IFERROR(__xludf.DUMMYFUNCTION("""COMPUTED_VALUE"""),"3 - ALMOX. ESTOQUE")</f>
        <v>3 - ALMOX. ESTOQUE</v>
      </c>
      <c r="F1040" s="88" t="str">
        <f>IFERROR(__xludf.DUMMYFUNCTION("""COMPUTED_VALUE"""),"ALMOX. APH")</f>
        <v>ALMOX. APH</v>
      </c>
      <c r="G1040" s="89">
        <f>IFERROR(__xludf.DUMMYFUNCTION("""COMPUTED_VALUE"""),7.6750523E7)</f>
        <v>76750523</v>
      </c>
      <c r="H1040" s="87"/>
      <c r="I1040" s="87" t="str">
        <f>IFERROR(__xludf.DUMMYFUNCTION("""COMPUTED_VALUE"""),"PHILIPS FRX")</f>
        <v>PHILIPS FRX</v>
      </c>
    </row>
    <row r="1041">
      <c r="A1041" s="84">
        <f>IFERROR(__xludf.DUMMYFUNCTION("""COMPUTED_VALUE"""),1040.0)</f>
        <v>1040</v>
      </c>
      <c r="B1041" s="85" t="str">
        <f>IFERROR(__xludf.DUMMYFUNCTION("""COMPUTED_VALUE"""),"BARRACA (PERMANENTE) -")</f>
        <v>BARRACA (PERMANENTE) -</v>
      </c>
      <c r="C1041" s="86">
        <f>IFERROR(__xludf.DUMMYFUNCTION("""COMPUTED_VALUE"""),1.0)</f>
        <v>1</v>
      </c>
      <c r="D1041" s="87" t="str">
        <f>IFERROR(__xludf.DUMMYFUNCTION("""COMPUTED_VALUE"""),"SEÇÃO")</f>
        <v>SEÇÃO</v>
      </c>
      <c r="E1041" s="87" t="str">
        <f>IFERROR(__xludf.DUMMYFUNCTION("""COMPUTED_VALUE"""),"3 - DESCARGA")</f>
        <v>3 - DESCARGA</v>
      </c>
      <c r="F1041" s="88"/>
      <c r="G1041" s="89">
        <f>IFERROR(__xludf.DUMMYFUNCTION("""COMPUTED_VALUE"""),7.6758125E7)</f>
        <v>76758125</v>
      </c>
      <c r="H1041" s="87"/>
      <c r="I1041" s="87" t="str">
        <f>IFERROR(__xludf.DUMMYFUNCTION("""COMPUTED_VALUE"""),"Possui somente uma sacola com algumas varetas de camping.")</f>
        <v>Possui somente uma sacola com algumas varetas de camping.</v>
      </c>
    </row>
    <row r="1042">
      <c r="A1042" s="84">
        <f>IFERROR(__xludf.DUMMYFUNCTION("""COMPUTED_VALUE"""),1041.0)</f>
        <v>1041</v>
      </c>
      <c r="B1042" s="85" t="str">
        <f>IFERROR(__xludf.DUMMYFUNCTION("""COMPUTED_VALUE"""),"WEBCAM -")</f>
        <v>WEBCAM -</v>
      </c>
      <c r="C1042" s="86">
        <f>IFERROR(__xludf.DUMMYFUNCTION("""COMPUTED_VALUE"""),1.0)</f>
        <v>1</v>
      </c>
      <c r="D1042" s="87" t="str">
        <f>IFERROR(__xludf.DUMMYFUNCTION("""COMPUTED_VALUE"""),"SEÇÃO")</f>
        <v>SEÇÃO</v>
      </c>
      <c r="E1042" s="87" t="str">
        <f>IFERROR(__xludf.DUMMYFUNCTION("""COMPUTED_VALUE"""),"3 - CARTÓRIO")</f>
        <v>3 - CARTÓRIO</v>
      </c>
      <c r="F1042" s="88"/>
      <c r="G1042" s="89">
        <f>IFERROR(__xludf.DUMMYFUNCTION("""COMPUTED_VALUE"""),7.676365E7)</f>
        <v>76763650</v>
      </c>
      <c r="H1042" s="87"/>
      <c r="I1042" s="87"/>
    </row>
    <row r="1043">
      <c r="A1043" s="84">
        <f>IFERROR(__xludf.DUMMYFUNCTION("""COMPUTED_VALUE"""),1042.0)</f>
        <v>1042</v>
      </c>
      <c r="B1043" s="85" t="str">
        <f>IFERROR(__xludf.DUMMYFUNCTION("""COMPUTED_VALUE"""),"MAQUINA DE FUMACA -")</f>
        <v>MAQUINA DE FUMACA -</v>
      </c>
      <c r="C1043" s="86">
        <f>IFERROR(__xludf.DUMMYFUNCTION("""COMPUTED_VALUE"""),1.0)</f>
        <v>1</v>
      </c>
      <c r="D1043" s="87" t="str">
        <f>IFERROR(__xludf.DUMMYFUNCTION("""COMPUTED_VALUE"""),"SEÇÃO")</f>
        <v>SEÇÃO</v>
      </c>
      <c r="E1043" s="87" t="str">
        <f>IFERROR(__xludf.DUMMYFUNCTION("""COMPUTED_VALUE"""),"3 - 1ª CIA OP")</f>
        <v>3 - 1ª CIA OP</v>
      </c>
      <c r="F1043" s="88" t="str">
        <f>IFERROR(__xludf.DUMMYFUNCTION("""COMPUTED_VALUE"""),"SECRETARIA")</f>
        <v>SECRETARIA</v>
      </c>
      <c r="G1043" s="89">
        <f>IFERROR(__xludf.DUMMYFUNCTION("""COMPUTED_VALUE"""),7.6765075E7)</f>
        <v>76765075</v>
      </c>
      <c r="H1043" s="87"/>
      <c r="I1043" s="87"/>
    </row>
    <row r="1044">
      <c r="A1044" s="84">
        <f>IFERROR(__xludf.DUMMYFUNCTION("""COMPUTED_VALUE"""),1043.0)</f>
        <v>1043</v>
      </c>
      <c r="B1044" s="85" t="str">
        <f>IFERROR(__xludf.DUMMYFUNCTION("""COMPUTED_VALUE"""),"TRANSFORMADOR DE VOLTAGEM -")</f>
        <v>TRANSFORMADOR DE VOLTAGEM -</v>
      </c>
      <c r="C1044" s="86">
        <f>IFERROR(__xludf.DUMMYFUNCTION("""COMPUTED_VALUE"""),1.0)</f>
        <v>1</v>
      </c>
      <c r="D1044" s="87" t="str">
        <f>IFERROR(__xludf.DUMMYFUNCTION("""COMPUTED_VALUE"""),"SEÇÃO")</f>
        <v>SEÇÃO</v>
      </c>
      <c r="E1044" s="87" t="str">
        <f>IFERROR(__xludf.DUMMYFUNCTION("""COMPUTED_VALUE"""),"3 - ALMOX. ESTOQUE")</f>
        <v>3 - ALMOX. ESTOQUE</v>
      </c>
      <c r="F1044" s="88" t="str">
        <f>IFERROR(__xludf.DUMMYFUNCTION("""COMPUTED_VALUE"""),"SAO")</f>
        <v>SAO</v>
      </c>
      <c r="G1044" s="89">
        <f>IFERROR(__xludf.DUMMYFUNCTION("""COMPUTED_VALUE"""),7.6767906E7)</f>
        <v>76767906</v>
      </c>
      <c r="H1044" s="87"/>
      <c r="I1044" s="87" t="str">
        <f>IFERROR(__xludf.DUMMYFUNCTION("""COMPUTED_VALUE"""),"emprestado para o ten Samuel em 24/07/2024, pelo Sub Ten Dawison")</f>
        <v>emprestado para o ten Samuel em 24/07/2024, pelo Sub Ten Dawison</v>
      </c>
    </row>
    <row r="1045">
      <c r="A1045" s="84">
        <f>IFERROR(__xludf.DUMMYFUNCTION("""COMPUTED_VALUE"""),1044.0)</f>
        <v>1044</v>
      </c>
      <c r="B1045" s="85" t="str">
        <f>IFERROR(__xludf.DUMMYFUNCTION("""COMPUTED_VALUE"""),"NOTEBOOK,NETBOOK E/OU ULTRAFINO -")</f>
        <v>NOTEBOOK,NETBOOK E/OU ULTRAFINO -</v>
      </c>
      <c r="C1045" s="86">
        <f>IFERROR(__xludf.DUMMYFUNCTION("""COMPUTED_VALUE"""),1.0)</f>
        <v>1</v>
      </c>
      <c r="D1045" s="87" t="str">
        <f>IFERROR(__xludf.DUMMYFUNCTION("""COMPUTED_VALUE"""),"SEÇÃO")</f>
        <v>SEÇÃO</v>
      </c>
      <c r="E1045" s="87" t="str">
        <f>IFERROR(__xludf.DUMMYFUNCTION("""COMPUTED_VALUE"""),"3 - 1ª CIA OP")</f>
        <v>3 - 1ª CIA OP</v>
      </c>
      <c r="F1045" s="88" t="str">
        <f>IFERROR(__xludf.DUMMYFUNCTION("""COMPUTED_VALUE"""),"SECRETARIA")</f>
        <v>SECRETARIA</v>
      </c>
      <c r="G1045" s="89">
        <f>IFERROR(__xludf.DUMMYFUNCTION("""COMPUTED_VALUE"""),7.6776999E7)</f>
        <v>76776999</v>
      </c>
      <c r="H1045" s="87"/>
      <c r="I1045" s="87" t="str">
        <f>IFERROR(__xludf.DUMMYFUNCTION("""COMPUTED_VALUE"""),"Positivo Master N 4350, Sgt Carmo")</f>
        <v>Positivo Master N 4350, Sgt Carmo</v>
      </c>
    </row>
    <row r="1046">
      <c r="A1046" s="84">
        <f>IFERROR(__xludf.DUMMYFUNCTION("""COMPUTED_VALUE"""),1045.0)</f>
        <v>1045</v>
      </c>
      <c r="B1046" s="85" t="str">
        <f>IFERROR(__xludf.DUMMYFUNCTION("""COMPUTED_VALUE"""),"CAIXA ACUSTICA -")</f>
        <v>CAIXA ACUSTICA -</v>
      </c>
      <c r="C1046" s="86">
        <f>IFERROR(__xludf.DUMMYFUNCTION("""COMPUTED_VALUE"""),1.0)</f>
        <v>1</v>
      </c>
      <c r="D1046" s="87" t="str">
        <f>IFERROR(__xludf.DUMMYFUNCTION("""COMPUTED_VALUE"""),"SEÇÃO")</f>
        <v>SEÇÃO</v>
      </c>
      <c r="E1046" s="87" t="str">
        <f>IFERROR(__xludf.DUMMYFUNCTION("""COMPUTED_VALUE"""),"3 - 1ª CIA OP")</f>
        <v>3 - 1ª CIA OP</v>
      </c>
      <c r="F1046" s="88" t="str">
        <f>IFERROR(__xludf.DUMMYFUNCTION("""COMPUTED_VALUE"""),"SECRETARIA")</f>
        <v>SECRETARIA</v>
      </c>
      <c r="G1046" s="89">
        <f>IFERROR(__xludf.DUMMYFUNCTION("""COMPUTED_VALUE"""),7.6777774E7)</f>
        <v>76777774</v>
      </c>
      <c r="H1046" s="87"/>
      <c r="I1046" s="87"/>
    </row>
    <row r="1047">
      <c r="A1047" s="84">
        <f>IFERROR(__xludf.DUMMYFUNCTION("""COMPUTED_VALUE"""),1046.0)</f>
        <v>1046</v>
      </c>
      <c r="B1047" s="85" t="str">
        <f>IFERROR(__xludf.DUMMYFUNCTION("""COMPUTED_VALUE"""),"MICROFONE -")</f>
        <v>MICROFONE -</v>
      </c>
      <c r="C1047" s="86">
        <f>IFERROR(__xludf.DUMMYFUNCTION("""COMPUTED_VALUE"""),1.0)</f>
        <v>1</v>
      </c>
      <c r="D1047" s="87" t="str">
        <f>IFERROR(__xludf.DUMMYFUNCTION("""COMPUTED_VALUE"""),"SEÇÃO")</f>
        <v>SEÇÃO</v>
      </c>
      <c r="E1047" s="87" t="str">
        <f>IFERROR(__xludf.DUMMYFUNCTION("""COMPUTED_VALUE"""),"3 - SALA DE INSTRUÇÃO")</f>
        <v>3 - SALA DE INSTRUÇÃO</v>
      </c>
      <c r="F1047" s="88"/>
      <c r="G1047" s="89">
        <f>IFERROR(__xludf.DUMMYFUNCTION("""COMPUTED_VALUE"""),7.6777979E7)</f>
        <v>76777979</v>
      </c>
      <c r="H1047" s="87"/>
      <c r="I1047" s="87" t="str">
        <f>IFERROR(__xludf.DUMMYFUNCTION("""COMPUTED_VALUE"""),"krs pro modelo:KM-58")</f>
        <v>krs pro modelo:KM-58</v>
      </c>
    </row>
    <row r="1048">
      <c r="A1048" s="84">
        <f>IFERROR(__xludf.DUMMYFUNCTION("""COMPUTED_VALUE"""),1047.0)</f>
        <v>1047</v>
      </c>
      <c r="B1048" s="85" t="str">
        <f>IFERROR(__xludf.DUMMYFUNCTION("""COMPUTED_VALUE"""),"PROJETOR MULTIMIDIA -")</f>
        <v>PROJETOR MULTIMIDIA -</v>
      </c>
      <c r="C1048" s="86">
        <f>IFERROR(__xludf.DUMMYFUNCTION("""COMPUTED_VALUE"""),1.0)</f>
        <v>1</v>
      </c>
      <c r="D1048" s="87" t="str">
        <f>IFERROR(__xludf.DUMMYFUNCTION("""COMPUTED_VALUE"""),"SEÇÃO")</f>
        <v>SEÇÃO</v>
      </c>
      <c r="E1048" s="87" t="str">
        <f>IFERROR(__xludf.DUMMYFUNCTION("""COMPUTED_VALUE"""),"3 - 1ª CIA OP")</f>
        <v>3 - 1ª CIA OP</v>
      </c>
      <c r="F1048" s="88" t="str">
        <f>IFERROR(__xludf.DUMMYFUNCTION("""COMPUTED_VALUE"""),"SECRETARIA")</f>
        <v>SECRETARIA</v>
      </c>
      <c r="G1048" s="89">
        <f>IFERROR(__xludf.DUMMYFUNCTION("""COMPUTED_VALUE"""),7.6778215E7)</f>
        <v>76778215</v>
      </c>
      <c r="H1048" s="87"/>
      <c r="I1048" s="87"/>
    </row>
    <row r="1049">
      <c r="A1049" s="84">
        <f>IFERROR(__xludf.DUMMYFUNCTION("""COMPUTED_VALUE"""),1048.0)</f>
        <v>1048</v>
      </c>
      <c r="B1049" s="85" t="str">
        <f>IFERROR(__xludf.DUMMYFUNCTION("""COMPUTED_VALUE"""),"PULVERIZADOR -")</f>
        <v>PULVERIZADOR -</v>
      </c>
      <c r="C1049" s="86">
        <f>IFERROR(__xludf.DUMMYFUNCTION("""COMPUTED_VALUE"""),1.0)</f>
        <v>1</v>
      </c>
      <c r="D1049" s="87" t="str">
        <f>IFERROR(__xludf.DUMMYFUNCTION("""COMPUTED_VALUE"""),"SEÇÃO")</f>
        <v>SEÇÃO</v>
      </c>
      <c r="E1049" s="87" t="str">
        <f>IFERROR(__xludf.DUMMYFUNCTION("""COMPUTED_VALUE"""),"3 - ALMOX. ESTOQUE")</f>
        <v>3 - ALMOX. ESTOQUE</v>
      </c>
      <c r="F1049" s="88" t="str">
        <f>IFERROR(__xludf.DUMMYFUNCTION("""COMPUTED_VALUE"""),"ALMOX. SAO (SEDE)")</f>
        <v>ALMOX. SAO (SEDE)</v>
      </c>
      <c r="G1049" s="89">
        <f>IFERROR(__xludf.DUMMYFUNCTION("""COMPUTED_VALUE"""),7.6792153E7)</f>
        <v>76792153</v>
      </c>
      <c r="H1049" s="87"/>
      <c r="I1049" s="87"/>
    </row>
    <row r="1050">
      <c r="A1050" s="84">
        <f>IFERROR(__xludf.DUMMYFUNCTION("""COMPUTED_VALUE"""),1049.0)</f>
        <v>1049</v>
      </c>
      <c r="B1050" s="85" t="str">
        <f>IFERROR(__xludf.DUMMYFUNCTION("""COMPUTED_VALUE"""),"TALHA -")</f>
        <v>TALHA -</v>
      </c>
      <c r="C1050" s="86">
        <f>IFERROR(__xludf.DUMMYFUNCTION("""COMPUTED_VALUE"""),1.0)</f>
        <v>1</v>
      </c>
      <c r="D1050" s="87" t="str">
        <f>IFERROR(__xludf.DUMMYFUNCTION("""COMPUTED_VALUE"""),"VIATURA")</f>
        <v>VIATURA</v>
      </c>
      <c r="E1050" s="87" t="str">
        <f>IFERROR(__xludf.DUMMYFUNCTION("""COMPUTED_VALUE"""),"1 - ABTS1418")</f>
        <v>1 - ABTS1418</v>
      </c>
      <c r="F1050" s="88" t="str">
        <f>IFERROR(__xludf.DUMMYFUNCTION("""COMPUTED_VALUE"""),"BOX 03")</f>
        <v>BOX 03</v>
      </c>
      <c r="G1050" s="89">
        <f>IFERROR(__xludf.DUMMYFUNCTION("""COMPUTED_VALUE"""),7.679239E7)</f>
        <v>76792390</v>
      </c>
      <c r="H1050" s="87" t="str">
        <f>IFERROR(__xludf.DUMMYFUNCTION("""COMPUTED_VALUE"""),"n.s. 200894")</f>
        <v>n.s. 200894</v>
      </c>
      <c r="I1050" s="87" t="str">
        <f>IFERROR(__xludf.DUMMYFUNCTION("""COMPUTED_VALUE"""),"3.200 kg")</f>
        <v>3.200 kg</v>
      </c>
    </row>
    <row r="1051">
      <c r="A1051" s="84">
        <f>IFERROR(__xludf.DUMMYFUNCTION("""COMPUTED_VALUE"""),1050.0)</f>
        <v>1050</v>
      </c>
      <c r="B1051" s="85" t="str">
        <f>IFERROR(__xludf.DUMMYFUNCTION("""COMPUTED_VALUE"""),"RADIO TRANSCEPTOR -")</f>
        <v>RADIO TRANSCEPTOR -</v>
      </c>
      <c r="C1051" s="86">
        <f>IFERROR(__xludf.DUMMYFUNCTION("""COMPUTED_VALUE"""),1.0)</f>
        <v>1</v>
      </c>
      <c r="D1051" s="87" t="str">
        <f>IFERROR(__xludf.DUMMYFUNCTION("""COMPUTED_VALUE"""),"SEÇÃO")</f>
        <v>SEÇÃO</v>
      </c>
      <c r="E1051" s="87" t="str">
        <f>IFERROR(__xludf.DUMMYFUNCTION("""COMPUTED_VALUE"""),"3 - SOU")</f>
        <v>3 - SOU</v>
      </c>
      <c r="F1051" s="88" t="str">
        <f>IFERROR(__xludf.DUMMYFUNCTION("""COMPUTED_VALUE"""),"RÁDIO OPERADOR")</f>
        <v>RÁDIO OPERADOR</v>
      </c>
      <c r="G1051" s="89">
        <f>IFERROR(__xludf.DUMMYFUNCTION("""COMPUTED_VALUE"""),7.679273E7)</f>
        <v>76792730</v>
      </c>
      <c r="H1051" s="87"/>
      <c r="I1051" s="87" t="str">
        <f>IFERROR(__xludf.DUMMYFUNCTION("""COMPUTED_VALUE"""),"Rádio Sentinela ")</f>
        <v>Rádio Sentinela </v>
      </c>
    </row>
    <row r="1052">
      <c r="A1052" s="84">
        <f>IFERROR(__xludf.DUMMYFUNCTION("""COMPUTED_VALUE"""),1051.0)</f>
        <v>1051</v>
      </c>
      <c r="B1052" s="85" t="str">
        <f>IFERROR(__xludf.DUMMYFUNCTION("""COMPUTED_VALUE"""),"MACA BOLHA -")</f>
        <v>MACA BOLHA -</v>
      </c>
      <c r="C1052" s="86">
        <f>IFERROR(__xludf.DUMMYFUNCTION("""COMPUTED_VALUE"""),1.0)</f>
        <v>1</v>
      </c>
      <c r="D1052" s="87" t="str">
        <f>IFERROR(__xludf.DUMMYFUNCTION("""COMPUTED_VALUE"""),"SEÇÃO")</f>
        <v>SEÇÃO</v>
      </c>
      <c r="E1052" s="87" t="str">
        <f>IFERROR(__xludf.DUMMYFUNCTION("""COMPUTED_VALUE"""),"3 - ALMOX. ESTOQUE")</f>
        <v>3 - ALMOX. ESTOQUE</v>
      </c>
      <c r="F1052" s="88" t="str">
        <f>IFERROR(__xludf.DUMMYFUNCTION("""COMPUTED_VALUE"""),"ALMOX. APH")</f>
        <v>ALMOX. APH</v>
      </c>
      <c r="G1052" s="89">
        <f>IFERROR(__xludf.DUMMYFUNCTION("""COMPUTED_VALUE"""),7.6793087E7)</f>
        <v>76793087</v>
      </c>
      <c r="H1052" s="87"/>
      <c r="I1052" s="87"/>
    </row>
    <row r="1053">
      <c r="A1053" s="84">
        <f>IFERROR(__xludf.DUMMYFUNCTION("""COMPUTED_VALUE"""),1052.0)</f>
        <v>1052</v>
      </c>
      <c r="B1053" s="85" t="str">
        <f>IFERROR(__xludf.DUMMYFUNCTION("""COMPUTED_VALUE"""),"CAPACETE PARA COMBATE INCENDIO -")</f>
        <v>CAPACETE PARA COMBATE INCENDIO -</v>
      </c>
      <c r="C1053" s="86">
        <f>IFERROR(__xludf.DUMMYFUNCTION("""COMPUTED_VALUE"""),1.0)</f>
        <v>1</v>
      </c>
      <c r="D1053" s="87" t="str">
        <f>IFERROR(__xludf.DUMMYFUNCTION("""COMPUTED_VALUE"""),"MILITAR")</f>
        <v>MILITAR</v>
      </c>
      <c r="E1053" s="87" t="str">
        <f>IFERROR(__xludf.DUMMYFUNCTION("""COMPUTED_VALUE"""),"2 - SD DIEGO LUCAS DA SILVA MENDES")</f>
        <v>2 - SD DIEGO LUCAS DA SILVA MENDES</v>
      </c>
      <c r="F1053" s="88"/>
      <c r="G1053" s="89">
        <f>IFERROR(__xludf.DUMMYFUNCTION("""COMPUTED_VALUE"""),7.6798283E7)</f>
        <v>76798283</v>
      </c>
      <c r="H1053" s="87"/>
      <c r="I1053" s="87" t="str">
        <f>IFERROR(__xludf.DUMMYFUNCTION("""COMPUTED_VALUE"""),"TRANFERIR PARA ")</f>
        <v>TRANFERIR PARA </v>
      </c>
    </row>
    <row r="1054">
      <c r="A1054" s="84">
        <f>IFERROR(__xludf.DUMMYFUNCTION("""COMPUTED_VALUE"""),1053.0)</f>
        <v>1053</v>
      </c>
      <c r="B1054" s="85" t="str">
        <f>IFERROR(__xludf.DUMMYFUNCTION("""COMPUTED_VALUE"""),"CAPACETE PARA COMBATE INCENDIO -")</f>
        <v>CAPACETE PARA COMBATE INCENDIO -</v>
      </c>
      <c r="C1054" s="86">
        <f>IFERROR(__xludf.DUMMYFUNCTION("""COMPUTED_VALUE"""),1.0)</f>
        <v>1</v>
      </c>
      <c r="D1054" s="87" t="str">
        <f>IFERROR(__xludf.DUMMYFUNCTION("""COMPUTED_VALUE"""),"MILITAR")</f>
        <v>MILITAR</v>
      </c>
      <c r="E1054" s="87" t="str">
        <f>IFERROR(__xludf.DUMMYFUNCTION("""COMPUTED_VALUE"""),"2 - GERSON GONÇALVES COSTA")</f>
        <v>2 - GERSON GONÇALVES COSTA</v>
      </c>
      <c r="F1054" s="88"/>
      <c r="G1054" s="89">
        <f>IFERROR(__xludf.DUMMYFUNCTION("""COMPUTED_VALUE"""),7.6802264E7)</f>
        <v>76802264</v>
      </c>
      <c r="H1054" s="87"/>
      <c r="I1054" s="87" t="str">
        <f>IFERROR(__xludf.DUMMYFUNCTION("""COMPUTED_VALUE"""),"Capacete Amarelo SICOR, cond. BOM, Sd Gerson, tranferido p/ 1º BBM")</f>
        <v>Capacete Amarelo SICOR, cond. BOM, Sd Gerson, tranferido p/ 1º BBM</v>
      </c>
    </row>
    <row r="1055">
      <c r="A1055" s="84">
        <f>IFERROR(__xludf.DUMMYFUNCTION("""COMPUTED_VALUE"""),1054.0)</f>
        <v>1054</v>
      </c>
      <c r="B1055" s="85" t="str">
        <f>IFERROR(__xludf.DUMMYFUNCTION("""COMPUTED_VALUE"""),"CAPACETE PARA COMBATE INCENDIO -")</f>
        <v>CAPACETE PARA COMBATE INCENDIO -</v>
      </c>
      <c r="C1055" s="86">
        <f>IFERROR(__xludf.DUMMYFUNCTION("""COMPUTED_VALUE"""),1.0)</f>
        <v>1</v>
      </c>
      <c r="D1055" s="87" t="str">
        <f>IFERROR(__xludf.DUMMYFUNCTION("""COMPUTED_VALUE"""),"MILITAR")</f>
        <v>MILITAR</v>
      </c>
      <c r="E1055" s="87" t="str">
        <f>IFERROR(__xludf.DUMMYFUNCTION("""COMPUTED_VALUE"""),"2 - SD CAIO GABRIEL CARVALHO DE ALMEIDA")</f>
        <v>2 - SD CAIO GABRIEL CARVALHO DE ALMEIDA</v>
      </c>
      <c r="F1055" s="88"/>
      <c r="G1055" s="89">
        <f>IFERROR(__xludf.DUMMYFUNCTION("""COMPUTED_VALUE"""),7.6802418E7)</f>
        <v>76802418</v>
      </c>
      <c r="H1055" s="87"/>
      <c r="I1055" s="87" t="str">
        <f>IFERROR(__xludf.DUMMYFUNCTION("""COMPUTED_VALUE"""),"Capacete Hércules, AMARELO")</f>
        <v>Capacete Hércules, AMARELO</v>
      </c>
    </row>
    <row r="1056">
      <c r="A1056" s="84">
        <f>IFERROR(__xludf.DUMMYFUNCTION("""COMPUTED_VALUE"""),1055.0)</f>
        <v>1055</v>
      </c>
      <c r="B1056" s="85" t="str">
        <f>IFERROR(__xludf.DUMMYFUNCTION("""COMPUTED_VALUE"""),"CAPACETE PARA COMBATE INCENDIO -")</f>
        <v>CAPACETE PARA COMBATE INCENDIO -</v>
      </c>
      <c r="C1056" s="86">
        <f>IFERROR(__xludf.DUMMYFUNCTION("""COMPUTED_VALUE"""),1.0)</f>
        <v>1</v>
      </c>
      <c r="D1056" s="87" t="str">
        <f>IFERROR(__xludf.DUMMYFUNCTION("""COMPUTED_VALUE"""),"MILITAR")</f>
        <v>MILITAR</v>
      </c>
      <c r="E1056" s="87" t="str">
        <f>IFERROR(__xludf.DUMMYFUNCTION("""COMPUTED_VALUE"""),"2 - SD JEYZER FELIPE JOSE ALMEIDA FERREIRA")</f>
        <v>2 - SD JEYZER FELIPE JOSE ALMEIDA FERREIRA</v>
      </c>
      <c r="F1056" s="88"/>
      <c r="G1056" s="89">
        <f>IFERROR(__xludf.DUMMYFUNCTION("""COMPUTED_VALUE"""),7.680254E7)</f>
        <v>76802540</v>
      </c>
      <c r="H1056" s="87"/>
      <c r="I1056" s="87" t="str">
        <f>IFERROR(__xludf.DUMMYFUNCTION("""COMPUTED_VALUE"""),"1400.01.0071712/2022-74")</f>
        <v>1400.01.0071712/2022-74</v>
      </c>
    </row>
    <row r="1057">
      <c r="A1057" s="84">
        <f>IFERROR(__xludf.DUMMYFUNCTION("""COMPUTED_VALUE"""),1056.0)</f>
        <v>1056</v>
      </c>
      <c r="B1057" s="85" t="str">
        <f>IFERROR(__xludf.DUMMYFUNCTION("""COMPUTED_VALUE"""),"CAPACETE PARA COMBATE INCENDIO -")</f>
        <v>CAPACETE PARA COMBATE INCENDIO -</v>
      </c>
      <c r="C1057" s="86">
        <f>IFERROR(__xludf.DUMMYFUNCTION("""COMPUTED_VALUE"""),1.0)</f>
        <v>1</v>
      </c>
      <c r="D1057" s="87" t="str">
        <f>IFERROR(__xludf.DUMMYFUNCTION("""COMPUTED_VALUE"""),"MILITAR")</f>
        <v>MILITAR</v>
      </c>
      <c r="E1057" s="87" t="str">
        <f>IFERROR(__xludf.DUMMYFUNCTION("""COMPUTED_VALUE"""),"2 - SD PEDRO BRANDÃO DE PAULA")</f>
        <v>2 - SD PEDRO BRANDÃO DE PAULA</v>
      </c>
      <c r="F1057" s="88"/>
      <c r="G1057" s="89">
        <f>IFERROR(__xludf.DUMMYFUNCTION("""COMPUTED_VALUE"""),7.6803155E7)</f>
        <v>76803155</v>
      </c>
      <c r="H1057" s="87"/>
      <c r="I1057" s="87" t="str">
        <f>IFERROR(__xludf.DUMMYFUNCTION("""COMPUTED_VALUE"""),"Capacete Amarelo SICOR, cond. BOM, Sd Brandão, transferido p/ ABM ")</f>
        <v>Capacete Amarelo SICOR, cond. BOM, Sd Brandão, transferido p/ ABM </v>
      </c>
    </row>
    <row r="1058">
      <c r="A1058" s="84">
        <f>IFERROR(__xludf.DUMMYFUNCTION("""COMPUTED_VALUE"""),1057.0)</f>
        <v>1057</v>
      </c>
      <c r="B1058" s="85" t="str">
        <f>IFERROR(__xludf.DUMMYFUNCTION("""COMPUTED_VALUE"""),"CAPACETE PARA COMBATE INCENDIO -")</f>
        <v>CAPACETE PARA COMBATE INCENDIO -</v>
      </c>
      <c r="C1058" s="86">
        <f>IFERROR(__xludf.DUMMYFUNCTION("""COMPUTED_VALUE"""),1.0)</f>
        <v>1</v>
      </c>
      <c r="D1058" s="87" t="str">
        <f>IFERROR(__xludf.DUMMYFUNCTION("""COMPUTED_VALUE"""),"MILITAR")</f>
        <v>MILITAR</v>
      </c>
      <c r="E1058" s="87" t="str">
        <f>IFERROR(__xludf.DUMMYFUNCTION("""COMPUTED_VALUE"""),"2 - CAD LEONARDO BARROS SANTINI")</f>
        <v>2 - CAD LEONARDO BARROS SANTINI</v>
      </c>
      <c r="F1058" s="88"/>
      <c r="G1058" s="89">
        <f>IFERROR(__xludf.DUMMYFUNCTION("""COMPUTED_VALUE"""),7.6804542E7)</f>
        <v>76804542</v>
      </c>
      <c r="H1058" s="87"/>
      <c r="I1058" s="87" t="str">
        <f>IFERROR(__xludf.DUMMYFUNCTION("""COMPUTED_VALUE"""),"TRANSFERIR PARA ABM")</f>
        <v>TRANSFERIR PARA ABM</v>
      </c>
    </row>
    <row r="1059">
      <c r="A1059" s="84">
        <f>IFERROR(__xludf.DUMMYFUNCTION("""COMPUTED_VALUE"""),1058.0)</f>
        <v>1058</v>
      </c>
      <c r="B1059" s="85" t="str">
        <f>IFERROR(__xludf.DUMMYFUNCTION("""COMPUTED_VALUE"""),"CAPACETE PARA COMBATE INCENDIO -")</f>
        <v>CAPACETE PARA COMBATE INCENDIO -</v>
      </c>
      <c r="C1059" s="86">
        <f>IFERROR(__xludf.DUMMYFUNCTION("""COMPUTED_VALUE"""),1.0)</f>
        <v>1</v>
      </c>
      <c r="D1059" s="87" t="str">
        <f>IFERROR(__xludf.DUMMYFUNCTION("""COMPUTED_VALUE"""),"MILITAR")</f>
        <v>MILITAR</v>
      </c>
      <c r="E1059" s="87" t="str">
        <f>IFERROR(__xludf.DUMMYFUNCTION("""COMPUTED_VALUE"""),"2 - MARIA ALICE DE ALMEIDA CRUZ FÉLIX")</f>
        <v>2 - MARIA ALICE DE ALMEIDA CRUZ FÉLIX</v>
      </c>
      <c r="F1059" s="88"/>
      <c r="G1059" s="89">
        <f>IFERROR(__xludf.DUMMYFUNCTION("""COMPUTED_VALUE"""),7.6805093E7)</f>
        <v>76805093</v>
      </c>
      <c r="H1059" s="87"/>
      <c r="I1059" s="87" t="str">
        <f>IFERROR(__xludf.DUMMYFUNCTION("""COMPUTED_VALUE"""),"Capacete Amarelo SICOR, Sd Maria Alice, Ttransferido p/ 3º BBM")</f>
        <v>Capacete Amarelo SICOR, Sd Maria Alice, Ttransferido p/ 3º BBM</v>
      </c>
    </row>
    <row r="1060">
      <c r="A1060" s="84">
        <f>IFERROR(__xludf.DUMMYFUNCTION("""COMPUTED_VALUE"""),1059.0)</f>
        <v>1059</v>
      </c>
      <c r="B1060" s="85" t="str">
        <f>IFERROR(__xludf.DUMMYFUNCTION("""COMPUTED_VALUE"""),"CAPACETE PARA COMBATE INCENDIO -")</f>
        <v>CAPACETE PARA COMBATE INCENDIO -</v>
      </c>
      <c r="C1060" s="86">
        <f>IFERROR(__xludf.DUMMYFUNCTION("""COMPUTED_VALUE"""),1.0)</f>
        <v>1</v>
      </c>
      <c r="D1060" s="87" t="str">
        <f>IFERROR(__xludf.DUMMYFUNCTION("""COMPUTED_VALUE"""),"MILITAR")</f>
        <v>MILITAR</v>
      </c>
      <c r="E1060" s="87" t="str">
        <f>IFERROR(__xludf.DUMMYFUNCTION("""COMPUTED_VALUE"""),"2 - SD TÚLIO FONSECA PAES DE CASTRO")</f>
        <v>2 - SD TÚLIO FONSECA PAES DE CASTRO</v>
      </c>
      <c r="F1060" s="88"/>
      <c r="G1060" s="89">
        <f>IFERROR(__xludf.DUMMYFUNCTION("""COMPUTED_VALUE"""),7.680519E7)</f>
        <v>76805190</v>
      </c>
      <c r="H1060" s="87"/>
      <c r="I1060" s="87" t="str">
        <f>IFERROR(__xludf.DUMMYFUNCTION("""COMPUTED_VALUE"""),"TRANSFERIR PARA O 3º BBM")</f>
        <v>TRANSFERIR PARA O 3º BBM</v>
      </c>
    </row>
    <row r="1061">
      <c r="A1061" s="84">
        <f>IFERROR(__xludf.DUMMYFUNCTION("""COMPUTED_VALUE"""),1060.0)</f>
        <v>1060</v>
      </c>
      <c r="B1061" s="85" t="str">
        <f>IFERROR(__xludf.DUMMYFUNCTION("""COMPUTED_VALUE"""),"CAPACETE PARA COMBATE INCENDIO -")</f>
        <v>CAPACETE PARA COMBATE INCENDIO -</v>
      </c>
      <c r="C1061" s="86">
        <f>IFERROR(__xludf.DUMMYFUNCTION("""COMPUTED_VALUE"""),1.0)</f>
        <v>1</v>
      </c>
      <c r="D1061" s="87" t="str">
        <f>IFERROR(__xludf.DUMMYFUNCTION("""COMPUTED_VALUE"""),"MILITAR")</f>
        <v>MILITAR</v>
      </c>
      <c r="E1061" s="87" t="str">
        <f>IFERROR(__xludf.DUMMYFUNCTION("""COMPUTED_VALUE"""),"2 - 1º TEN PEDRO HENRIQUE TAVARES VIEIRA DINIZ")</f>
        <v>2 - 1º TEN PEDRO HENRIQUE TAVARES VIEIRA DINIZ</v>
      </c>
      <c r="F1061" s="88"/>
      <c r="G1061" s="89">
        <f>IFERROR(__xludf.DUMMYFUNCTION("""COMPUTED_VALUE"""),7.6805239E7)</f>
        <v>76805239</v>
      </c>
      <c r="H1061" s="87"/>
      <c r="I1061" s="87"/>
    </row>
    <row r="1062">
      <c r="A1062" s="84">
        <f>IFERROR(__xludf.DUMMYFUNCTION("""COMPUTED_VALUE"""),1061.0)</f>
        <v>1061</v>
      </c>
      <c r="B1062" s="85" t="str">
        <f>IFERROR(__xludf.DUMMYFUNCTION("""COMPUTED_VALUE"""),"EQUIPAMENTO DE PROTEÇÃO RESPIRATÓRIO, COMPLETO -")</f>
        <v>EQUIPAMENTO DE PROTEÇÃO RESPIRATÓRIO, COMPLETO -</v>
      </c>
      <c r="C1062" s="86">
        <f>IFERROR(__xludf.DUMMYFUNCTION("""COMPUTED_VALUE"""),1.0)</f>
        <v>1</v>
      </c>
      <c r="D1062" s="87" t="str">
        <f>IFERROR(__xludf.DUMMYFUNCTION("""COMPUTED_VALUE"""),"VIATURA")</f>
        <v>VIATURA</v>
      </c>
      <c r="E1062" s="87" t="str">
        <f>IFERROR(__xludf.DUMMYFUNCTION("""COMPUTED_VALUE"""),"1 - ASM3617")</f>
        <v>1 - ASM3617</v>
      </c>
      <c r="F1062" s="88" t="str">
        <f>IFERROR(__xludf.DUMMYFUNCTION("""COMPUTED_VALUE"""),"BOX 03")</f>
        <v>BOX 03</v>
      </c>
      <c r="G1062" s="89">
        <f>IFERROR(__xludf.DUMMYFUNCTION("""COMPUTED_VALUE"""),7.6808076E7)</f>
        <v>76808076</v>
      </c>
      <c r="H1062" s="87"/>
      <c r="I1062" s="87" t="str">
        <f>IFERROR(__xludf.DUMMYFUNCTION("""COMPUTED_VALUE"""),"EPR SCOTT COMPLETO, VALVULA DE DEMANDA, ARRIATA, CILINDRO E MÁSCARA")</f>
        <v>EPR SCOTT COMPLETO, VALVULA DE DEMANDA, ARRIATA, CILINDRO E MÁSCARA</v>
      </c>
    </row>
    <row r="1063">
      <c r="A1063" s="84">
        <f>IFERROR(__xludf.DUMMYFUNCTION("""COMPUTED_VALUE"""),1062.0)</f>
        <v>1062</v>
      </c>
      <c r="B1063" s="85" t="str">
        <f>IFERROR(__xludf.DUMMYFUNCTION("""COMPUTED_VALUE"""),"CADEIRA UNIVERSITARIA -")</f>
        <v>CADEIRA UNIVERSITARIA -</v>
      </c>
      <c r="C1063" s="86">
        <f>IFERROR(__xludf.DUMMYFUNCTION("""COMPUTED_VALUE"""),1.0)</f>
        <v>1</v>
      </c>
      <c r="D1063" s="87" t="str">
        <f>IFERROR(__xludf.DUMMYFUNCTION("""COMPUTED_VALUE"""),"SEÇÃO")</f>
        <v>SEÇÃO</v>
      </c>
      <c r="E1063" s="87" t="str">
        <f>IFERROR(__xludf.DUMMYFUNCTION("""COMPUTED_VALUE"""),"3 - SALA DE INSTRUÇÃO")</f>
        <v>3 - SALA DE INSTRUÇÃO</v>
      </c>
      <c r="F1063" s="88"/>
      <c r="G1063" s="89">
        <f>IFERROR(__xludf.DUMMYFUNCTION("""COMPUTED_VALUE"""),7.680819E7)</f>
        <v>76808190</v>
      </c>
      <c r="H1063" s="87"/>
      <c r="I1063" s="87"/>
    </row>
    <row r="1064">
      <c r="A1064" s="84">
        <f>IFERROR(__xludf.DUMMYFUNCTION("""COMPUTED_VALUE"""),1063.0)</f>
        <v>1063</v>
      </c>
      <c r="B1064" s="85" t="str">
        <f>IFERROR(__xludf.DUMMYFUNCTION("""COMPUTED_VALUE"""),"CADEIRA UNIVERSITARIA -")</f>
        <v>CADEIRA UNIVERSITARIA -</v>
      </c>
      <c r="C1064" s="86">
        <f>IFERROR(__xludf.DUMMYFUNCTION("""COMPUTED_VALUE"""),1.0)</f>
        <v>1</v>
      </c>
      <c r="D1064" s="87" t="str">
        <f>IFERROR(__xludf.DUMMYFUNCTION("""COMPUTED_VALUE"""),"SEÇÃO")</f>
        <v>SEÇÃO</v>
      </c>
      <c r="E1064" s="87" t="str">
        <f>IFERROR(__xludf.DUMMYFUNCTION("""COMPUTED_VALUE"""),"3 - SALA DE INSTRUÇÃO")</f>
        <v>3 - SALA DE INSTRUÇÃO</v>
      </c>
      <c r="F1064" s="88"/>
      <c r="G1064" s="89">
        <f>IFERROR(__xludf.DUMMYFUNCTION("""COMPUTED_VALUE"""),7.6808203E7)</f>
        <v>76808203</v>
      </c>
      <c r="H1064" s="87"/>
      <c r="I1064" s="87"/>
    </row>
    <row r="1065">
      <c r="A1065" s="84">
        <f>IFERROR(__xludf.DUMMYFUNCTION("""COMPUTED_VALUE"""),1064.0)</f>
        <v>1064</v>
      </c>
      <c r="B1065" s="85" t="str">
        <f>IFERROR(__xludf.DUMMYFUNCTION("""COMPUTED_VALUE"""),"CADEIRA UNIVERSITARIA -")</f>
        <v>CADEIRA UNIVERSITARIA -</v>
      </c>
      <c r="C1065" s="86">
        <f>IFERROR(__xludf.DUMMYFUNCTION("""COMPUTED_VALUE"""),1.0)</f>
        <v>1</v>
      </c>
      <c r="D1065" s="87" t="str">
        <f>IFERROR(__xludf.DUMMYFUNCTION("""COMPUTED_VALUE"""),"SEÇÃO")</f>
        <v>SEÇÃO</v>
      </c>
      <c r="E1065" s="87" t="str">
        <f>IFERROR(__xludf.DUMMYFUNCTION("""COMPUTED_VALUE"""),"3 - SALA DE INSTRUÇÃO")</f>
        <v>3 - SALA DE INSTRUÇÃO</v>
      </c>
      <c r="F1065" s="88"/>
      <c r="G1065" s="89">
        <f>IFERROR(__xludf.DUMMYFUNCTION("""COMPUTED_VALUE"""),7.6808211E7)</f>
        <v>76808211</v>
      </c>
      <c r="H1065" s="87"/>
      <c r="I1065" s="87"/>
    </row>
    <row r="1066">
      <c r="A1066" s="84">
        <f>IFERROR(__xludf.DUMMYFUNCTION("""COMPUTED_VALUE"""),1065.0)</f>
        <v>1065</v>
      </c>
      <c r="B1066" s="85" t="str">
        <f>IFERROR(__xludf.DUMMYFUNCTION("""COMPUTED_VALUE"""),"CADEIRA UNIVERSITARIA -")</f>
        <v>CADEIRA UNIVERSITARIA -</v>
      </c>
      <c r="C1066" s="86">
        <f>IFERROR(__xludf.DUMMYFUNCTION("""COMPUTED_VALUE"""),1.0)</f>
        <v>1</v>
      </c>
      <c r="D1066" s="87" t="str">
        <f>IFERROR(__xludf.DUMMYFUNCTION("""COMPUTED_VALUE"""),"SEÇÃO")</f>
        <v>SEÇÃO</v>
      </c>
      <c r="E1066" s="87" t="str">
        <f>IFERROR(__xludf.DUMMYFUNCTION("""COMPUTED_VALUE"""),"3 - SALA DE INSTRUÇÃO")</f>
        <v>3 - SALA DE INSTRUÇÃO</v>
      </c>
      <c r="F1066" s="88"/>
      <c r="G1066" s="89">
        <f>IFERROR(__xludf.DUMMYFUNCTION("""COMPUTED_VALUE"""),7.680822E7)</f>
        <v>76808220</v>
      </c>
      <c r="H1066" s="87"/>
      <c r="I1066" s="87"/>
    </row>
    <row r="1067">
      <c r="A1067" s="84">
        <f>IFERROR(__xludf.DUMMYFUNCTION("""COMPUTED_VALUE"""),1066.0)</f>
        <v>1066</v>
      </c>
      <c r="B1067" s="85" t="str">
        <f>IFERROR(__xludf.DUMMYFUNCTION("""COMPUTED_VALUE"""),"CADEIRA UNIVERSITARIA -")</f>
        <v>CADEIRA UNIVERSITARIA -</v>
      </c>
      <c r="C1067" s="86">
        <f>IFERROR(__xludf.DUMMYFUNCTION("""COMPUTED_VALUE"""),1.0)</f>
        <v>1</v>
      </c>
      <c r="D1067" s="87" t="str">
        <f>IFERROR(__xludf.DUMMYFUNCTION("""COMPUTED_VALUE"""),"SEÇÃO")</f>
        <v>SEÇÃO</v>
      </c>
      <c r="E1067" s="87" t="str">
        <f>IFERROR(__xludf.DUMMYFUNCTION("""COMPUTED_VALUE"""),"3 - SALA DE INSTRUÇÃO")</f>
        <v>3 - SALA DE INSTRUÇÃO</v>
      </c>
      <c r="F1067" s="88"/>
      <c r="G1067" s="89">
        <f>IFERROR(__xludf.DUMMYFUNCTION("""COMPUTED_VALUE"""),7.6808238E7)</f>
        <v>76808238</v>
      </c>
      <c r="H1067" s="87"/>
      <c r="I1067" s="87"/>
    </row>
    <row r="1068">
      <c r="A1068" s="84">
        <f>IFERROR(__xludf.DUMMYFUNCTION("""COMPUTED_VALUE"""),1067.0)</f>
        <v>1067</v>
      </c>
      <c r="B1068" s="85" t="str">
        <f>IFERROR(__xludf.DUMMYFUNCTION("""COMPUTED_VALUE"""),"CADEIRA UNIVERSITARIA -")</f>
        <v>CADEIRA UNIVERSITARIA -</v>
      </c>
      <c r="C1068" s="86">
        <f>IFERROR(__xludf.DUMMYFUNCTION("""COMPUTED_VALUE"""),1.0)</f>
        <v>1</v>
      </c>
      <c r="D1068" s="87" t="str">
        <f>IFERROR(__xludf.DUMMYFUNCTION("""COMPUTED_VALUE"""),"SEÇÃO")</f>
        <v>SEÇÃO</v>
      </c>
      <c r="E1068" s="87" t="str">
        <f>IFERROR(__xludf.DUMMYFUNCTION("""COMPUTED_VALUE"""),"3 - SALA DE INSTRUÇÃO")</f>
        <v>3 - SALA DE INSTRUÇÃO</v>
      </c>
      <c r="F1068" s="88"/>
      <c r="G1068" s="89">
        <f>IFERROR(__xludf.DUMMYFUNCTION("""COMPUTED_VALUE"""),7.6808246E7)</f>
        <v>76808246</v>
      </c>
      <c r="H1068" s="87"/>
      <c r="I1068" s="87"/>
    </row>
    <row r="1069">
      <c r="A1069" s="84">
        <f>IFERROR(__xludf.DUMMYFUNCTION("""COMPUTED_VALUE"""),1068.0)</f>
        <v>1068</v>
      </c>
      <c r="B1069" s="85" t="str">
        <f>IFERROR(__xludf.DUMMYFUNCTION("""COMPUTED_VALUE"""),"CADEIRA UNIVERSITARIA -")</f>
        <v>CADEIRA UNIVERSITARIA -</v>
      </c>
      <c r="C1069" s="86">
        <f>IFERROR(__xludf.DUMMYFUNCTION("""COMPUTED_VALUE"""),1.0)</f>
        <v>1</v>
      </c>
      <c r="D1069" s="87" t="str">
        <f>IFERROR(__xludf.DUMMYFUNCTION("""COMPUTED_VALUE"""),"SEÇÃO")</f>
        <v>SEÇÃO</v>
      </c>
      <c r="E1069" s="87" t="str">
        <f>IFERROR(__xludf.DUMMYFUNCTION("""COMPUTED_VALUE"""),"3 - SALA DE INSTRUÇÃO")</f>
        <v>3 - SALA DE INSTRUÇÃO</v>
      </c>
      <c r="F1069" s="88"/>
      <c r="G1069" s="89">
        <f>IFERROR(__xludf.DUMMYFUNCTION("""COMPUTED_VALUE"""),7.6808254E7)</f>
        <v>76808254</v>
      </c>
      <c r="H1069" s="87"/>
      <c r="I1069" s="87"/>
    </row>
    <row r="1070">
      <c r="A1070" s="84">
        <f>IFERROR(__xludf.DUMMYFUNCTION("""COMPUTED_VALUE"""),1069.0)</f>
        <v>1069</v>
      </c>
      <c r="B1070" s="85" t="str">
        <f>IFERROR(__xludf.DUMMYFUNCTION("""COMPUTED_VALUE"""),"CADEIRA UNIVERSITARIA -")</f>
        <v>CADEIRA UNIVERSITARIA -</v>
      </c>
      <c r="C1070" s="86">
        <f>IFERROR(__xludf.DUMMYFUNCTION("""COMPUTED_VALUE"""),1.0)</f>
        <v>1</v>
      </c>
      <c r="D1070" s="87" t="str">
        <f>IFERROR(__xludf.DUMMYFUNCTION("""COMPUTED_VALUE"""),"SEÇÃO")</f>
        <v>SEÇÃO</v>
      </c>
      <c r="E1070" s="87" t="str">
        <f>IFERROR(__xludf.DUMMYFUNCTION("""COMPUTED_VALUE"""),"3 - SALA DE INSTRUÇÃO")</f>
        <v>3 - SALA DE INSTRUÇÃO</v>
      </c>
      <c r="F1070" s="88"/>
      <c r="G1070" s="89">
        <f>IFERROR(__xludf.DUMMYFUNCTION("""COMPUTED_VALUE"""),7.6808262E7)</f>
        <v>76808262</v>
      </c>
      <c r="H1070" s="87"/>
      <c r="I1070" s="87"/>
    </row>
    <row r="1071">
      <c r="A1071" s="84">
        <f>IFERROR(__xludf.DUMMYFUNCTION("""COMPUTED_VALUE"""),1070.0)</f>
        <v>1070</v>
      </c>
      <c r="B1071" s="85" t="str">
        <f>IFERROR(__xludf.DUMMYFUNCTION("""COMPUTED_VALUE"""),"CADEIRA UNIVERSITARIA -")</f>
        <v>CADEIRA UNIVERSITARIA -</v>
      </c>
      <c r="C1071" s="86">
        <f>IFERROR(__xludf.DUMMYFUNCTION("""COMPUTED_VALUE"""),1.0)</f>
        <v>1</v>
      </c>
      <c r="D1071" s="87" t="str">
        <f>IFERROR(__xludf.DUMMYFUNCTION("""COMPUTED_VALUE"""),"SEÇÃO")</f>
        <v>SEÇÃO</v>
      </c>
      <c r="E1071" s="87" t="str">
        <f>IFERROR(__xludf.DUMMYFUNCTION("""COMPUTED_VALUE"""),"3 - SALA DE INSTRUÇÃO")</f>
        <v>3 - SALA DE INSTRUÇÃO</v>
      </c>
      <c r="F1071" s="88"/>
      <c r="G1071" s="89">
        <f>IFERROR(__xludf.DUMMYFUNCTION("""COMPUTED_VALUE"""),7.680827E7)</f>
        <v>76808270</v>
      </c>
      <c r="H1071" s="87"/>
      <c r="I1071" s="87"/>
    </row>
    <row r="1072">
      <c r="A1072" s="84">
        <f>IFERROR(__xludf.DUMMYFUNCTION("""COMPUTED_VALUE"""),1071.0)</f>
        <v>1071</v>
      </c>
      <c r="B1072" s="85" t="str">
        <f>IFERROR(__xludf.DUMMYFUNCTION("""COMPUTED_VALUE"""),"CADEIRA UNIVERSITARIA -")</f>
        <v>CADEIRA UNIVERSITARIA -</v>
      </c>
      <c r="C1072" s="86">
        <f>IFERROR(__xludf.DUMMYFUNCTION("""COMPUTED_VALUE"""),1.0)</f>
        <v>1</v>
      </c>
      <c r="D1072" s="87" t="str">
        <f>IFERROR(__xludf.DUMMYFUNCTION("""COMPUTED_VALUE"""),"SEÇÃO")</f>
        <v>SEÇÃO</v>
      </c>
      <c r="E1072" s="87" t="str">
        <f>IFERROR(__xludf.DUMMYFUNCTION("""COMPUTED_VALUE"""),"3 - SALA DE INSTRUÇÃO")</f>
        <v>3 - SALA DE INSTRUÇÃO</v>
      </c>
      <c r="F1072" s="88"/>
      <c r="G1072" s="89">
        <f>IFERROR(__xludf.DUMMYFUNCTION("""COMPUTED_VALUE"""),7.6808289E7)</f>
        <v>76808289</v>
      </c>
      <c r="H1072" s="87"/>
      <c r="I1072" s="87"/>
    </row>
    <row r="1073">
      <c r="A1073" s="84">
        <f>IFERROR(__xludf.DUMMYFUNCTION("""COMPUTED_VALUE"""),1072.0)</f>
        <v>1072</v>
      </c>
      <c r="B1073" s="85" t="str">
        <f>IFERROR(__xludf.DUMMYFUNCTION("""COMPUTED_VALUE"""),"CADEIRA UNIVERSITARIA -")</f>
        <v>CADEIRA UNIVERSITARIA -</v>
      </c>
      <c r="C1073" s="86">
        <f>IFERROR(__xludf.DUMMYFUNCTION("""COMPUTED_VALUE"""),1.0)</f>
        <v>1</v>
      </c>
      <c r="D1073" s="87" t="str">
        <f>IFERROR(__xludf.DUMMYFUNCTION("""COMPUTED_VALUE"""),"SEÇÃO")</f>
        <v>SEÇÃO</v>
      </c>
      <c r="E1073" s="87" t="str">
        <f>IFERROR(__xludf.DUMMYFUNCTION("""COMPUTED_VALUE"""),"3 - SALA DE INSTRUÇÃO")</f>
        <v>3 - SALA DE INSTRUÇÃO</v>
      </c>
      <c r="F1073" s="88"/>
      <c r="G1073" s="89">
        <f>IFERROR(__xludf.DUMMYFUNCTION("""COMPUTED_VALUE"""),7.6808297E7)</f>
        <v>76808297</v>
      </c>
      <c r="H1073" s="87"/>
      <c r="I1073" s="87"/>
    </row>
    <row r="1074">
      <c r="A1074" s="84">
        <f>IFERROR(__xludf.DUMMYFUNCTION("""COMPUTED_VALUE"""),1073.0)</f>
        <v>1073</v>
      </c>
      <c r="B1074" s="85" t="str">
        <f>IFERROR(__xludf.DUMMYFUNCTION("""COMPUTED_VALUE"""),"CADEIRA UNIVERSITARIA -")</f>
        <v>CADEIRA UNIVERSITARIA -</v>
      </c>
      <c r="C1074" s="86">
        <f>IFERROR(__xludf.DUMMYFUNCTION("""COMPUTED_VALUE"""),1.0)</f>
        <v>1</v>
      </c>
      <c r="D1074" s="87" t="str">
        <f>IFERROR(__xludf.DUMMYFUNCTION("""COMPUTED_VALUE"""),"SEÇÃO")</f>
        <v>SEÇÃO</v>
      </c>
      <c r="E1074" s="87" t="str">
        <f>IFERROR(__xludf.DUMMYFUNCTION("""COMPUTED_VALUE"""),"3 - SALA DE INSTRUÇÃO")</f>
        <v>3 - SALA DE INSTRUÇÃO</v>
      </c>
      <c r="F1074" s="88"/>
      <c r="G1074" s="89">
        <f>IFERROR(__xludf.DUMMYFUNCTION("""COMPUTED_VALUE"""),7.68083E7)</f>
        <v>76808300</v>
      </c>
      <c r="H1074" s="87"/>
      <c r="I1074" s="87"/>
    </row>
    <row r="1075">
      <c r="A1075" s="84">
        <f>IFERROR(__xludf.DUMMYFUNCTION("""COMPUTED_VALUE"""),1074.0)</f>
        <v>1074</v>
      </c>
      <c r="B1075" s="85" t="str">
        <f>IFERROR(__xludf.DUMMYFUNCTION("""COMPUTED_VALUE"""),"CADEIRA UNIVERSITARIA -")</f>
        <v>CADEIRA UNIVERSITARIA -</v>
      </c>
      <c r="C1075" s="86">
        <f>IFERROR(__xludf.DUMMYFUNCTION("""COMPUTED_VALUE"""),1.0)</f>
        <v>1</v>
      </c>
      <c r="D1075" s="87" t="str">
        <f>IFERROR(__xludf.DUMMYFUNCTION("""COMPUTED_VALUE"""),"SEÇÃO")</f>
        <v>SEÇÃO</v>
      </c>
      <c r="E1075" s="87" t="str">
        <f>IFERROR(__xludf.DUMMYFUNCTION("""COMPUTED_VALUE"""),"3 - SALA DE INSTRUÇÃO")</f>
        <v>3 - SALA DE INSTRUÇÃO</v>
      </c>
      <c r="F1075" s="88"/>
      <c r="G1075" s="89">
        <f>IFERROR(__xludf.DUMMYFUNCTION("""COMPUTED_VALUE"""),7.6808319E7)</f>
        <v>76808319</v>
      </c>
      <c r="H1075" s="87"/>
      <c r="I1075" s="87"/>
    </row>
    <row r="1076">
      <c r="A1076" s="84">
        <f>IFERROR(__xludf.DUMMYFUNCTION("""COMPUTED_VALUE"""),1075.0)</f>
        <v>1075</v>
      </c>
      <c r="B1076" s="85" t="str">
        <f>IFERROR(__xludf.DUMMYFUNCTION("""COMPUTED_VALUE"""),"CADEIRA UNIVERSITARIA -")</f>
        <v>CADEIRA UNIVERSITARIA -</v>
      </c>
      <c r="C1076" s="86">
        <f>IFERROR(__xludf.DUMMYFUNCTION("""COMPUTED_VALUE"""),1.0)</f>
        <v>1</v>
      </c>
      <c r="D1076" s="87" t="str">
        <f>IFERROR(__xludf.DUMMYFUNCTION("""COMPUTED_VALUE"""),"SEÇÃO")</f>
        <v>SEÇÃO</v>
      </c>
      <c r="E1076" s="87" t="str">
        <f>IFERROR(__xludf.DUMMYFUNCTION("""COMPUTED_VALUE"""),"3 - SALA DE INSTRUÇÃO")</f>
        <v>3 - SALA DE INSTRUÇÃO</v>
      </c>
      <c r="F1076" s="88"/>
      <c r="G1076" s="89">
        <f>IFERROR(__xludf.DUMMYFUNCTION("""COMPUTED_VALUE"""),7.6808327E7)</f>
        <v>76808327</v>
      </c>
      <c r="H1076" s="87"/>
      <c r="I1076" s="87"/>
    </row>
    <row r="1077">
      <c r="A1077" s="84">
        <f>IFERROR(__xludf.DUMMYFUNCTION("""COMPUTED_VALUE"""),1076.0)</f>
        <v>1076</v>
      </c>
      <c r="B1077" s="85" t="str">
        <f>IFERROR(__xludf.DUMMYFUNCTION("""COMPUTED_VALUE"""),"CADEIRA UNIVERSITARIA -")</f>
        <v>CADEIRA UNIVERSITARIA -</v>
      </c>
      <c r="C1077" s="86">
        <f>IFERROR(__xludf.DUMMYFUNCTION("""COMPUTED_VALUE"""),1.0)</f>
        <v>1</v>
      </c>
      <c r="D1077" s="87" t="str">
        <f>IFERROR(__xludf.DUMMYFUNCTION("""COMPUTED_VALUE"""),"SEÇÃO")</f>
        <v>SEÇÃO</v>
      </c>
      <c r="E1077" s="87" t="str">
        <f>IFERROR(__xludf.DUMMYFUNCTION("""COMPUTED_VALUE"""),"3 - SALA DE INSTRUÇÃO")</f>
        <v>3 - SALA DE INSTRUÇÃO</v>
      </c>
      <c r="F1077" s="88"/>
      <c r="G1077" s="89">
        <f>IFERROR(__xludf.DUMMYFUNCTION("""COMPUTED_VALUE"""),7.6808335E7)</f>
        <v>76808335</v>
      </c>
      <c r="H1077" s="87"/>
      <c r="I1077" s="87"/>
    </row>
    <row r="1078">
      <c r="A1078" s="84">
        <f>IFERROR(__xludf.DUMMYFUNCTION("""COMPUTED_VALUE"""),1077.0)</f>
        <v>1077</v>
      </c>
      <c r="B1078" s="85" t="str">
        <f>IFERROR(__xludf.DUMMYFUNCTION("""COMPUTED_VALUE"""),"CADEIRA UNIVERSITARIA -")</f>
        <v>CADEIRA UNIVERSITARIA -</v>
      </c>
      <c r="C1078" s="86">
        <f>IFERROR(__xludf.DUMMYFUNCTION("""COMPUTED_VALUE"""),1.0)</f>
        <v>1</v>
      </c>
      <c r="D1078" s="87" t="str">
        <f>IFERROR(__xludf.DUMMYFUNCTION("""COMPUTED_VALUE"""),"SEÇÃO")</f>
        <v>SEÇÃO</v>
      </c>
      <c r="E1078" s="87" t="str">
        <f>IFERROR(__xludf.DUMMYFUNCTION("""COMPUTED_VALUE"""),"3 - SALA DE INSTRUÇÃO")</f>
        <v>3 - SALA DE INSTRUÇÃO</v>
      </c>
      <c r="F1078" s="88"/>
      <c r="G1078" s="89">
        <f>IFERROR(__xludf.DUMMYFUNCTION("""COMPUTED_VALUE"""),7.6808343E7)</f>
        <v>76808343</v>
      </c>
      <c r="H1078" s="87"/>
      <c r="I1078" s="87"/>
    </row>
    <row r="1079">
      <c r="A1079" s="84">
        <f>IFERROR(__xludf.DUMMYFUNCTION("""COMPUTED_VALUE"""),1078.0)</f>
        <v>1078</v>
      </c>
      <c r="B1079" s="85" t="str">
        <f>IFERROR(__xludf.DUMMYFUNCTION("""COMPUTED_VALUE"""),"CADEIRA UNIVERSITARIA -")</f>
        <v>CADEIRA UNIVERSITARIA -</v>
      </c>
      <c r="C1079" s="86">
        <f>IFERROR(__xludf.DUMMYFUNCTION("""COMPUTED_VALUE"""),1.0)</f>
        <v>1</v>
      </c>
      <c r="D1079" s="87" t="str">
        <f>IFERROR(__xludf.DUMMYFUNCTION("""COMPUTED_VALUE"""),"SEÇÃO")</f>
        <v>SEÇÃO</v>
      </c>
      <c r="E1079" s="87" t="str">
        <f>IFERROR(__xludf.DUMMYFUNCTION("""COMPUTED_VALUE"""),"3 - SALA DE INSTRUÇÃO")</f>
        <v>3 - SALA DE INSTRUÇÃO</v>
      </c>
      <c r="F1079" s="88"/>
      <c r="G1079" s="89">
        <f>IFERROR(__xludf.DUMMYFUNCTION("""COMPUTED_VALUE"""),7.6808351E7)</f>
        <v>76808351</v>
      </c>
      <c r="H1079" s="87"/>
      <c r="I1079" s="87"/>
    </row>
    <row r="1080">
      <c r="A1080" s="84">
        <f>IFERROR(__xludf.DUMMYFUNCTION("""COMPUTED_VALUE"""),1079.0)</f>
        <v>1079</v>
      </c>
      <c r="B1080" s="85" t="str">
        <f>IFERROR(__xludf.DUMMYFUNCTION("""COMPUTED_VALUE"""),"CADEIRA UNIVERSITARIA -")</f>
        <v>CADEIRA UNIVERSITARIA -</v>
      </c>
      <c r="C1080" s="86">
        <f>IFERROR(__xludf.DUMMYFUNCTION("""COMPUTED_VALUE"""),1.0)</f>
        <v>1</v>
      </c>
      <c r="D1080" s="87" t="str">
        <f>IFERROR(__xludf.DUMMYFUNCTION("""COMPUTED_VALUE"""),"SEÇÃO")</f>
        <v>SEÇÃO</v>
      </c>
      <c r="E1080" s="87" t="str">
        <f>IFERROR(__xludf.DUMMYFUNCTION("""COMPUTED_VALUE"""),"3 - SALA DE INSTRUÇÃO")</f>
        <v>3 - SALA DE INSTRUÇÃO</v>
      </c>
      <c r="F1080" s="88"/>
      <c r="G1080" s="89">
        <f>IFERROR(__xludf.DUMMYFUNCTION("""COMPUTED_VALUE"""),7.680836E7)</f>
        <v>76808360</v>
      </c>
      <c r="H1080" s="87"/>
      <c r="I1080" s="87"/>
    </row>
    <row r="1081">
      <c r="A1081" s="84">
        <f>IFERROR(__xludf.DUMMYFUNCTION("""COMPUTED_VALUE"""),1080.0)</f>
        <v>1080</v>
      </c>
      <c r="B1081" s="85" t="str">
        <f>IFERROR(__xludf.DUMMYFUNCTION("""COMPUTED_VALUE"""),"CADEIRA UNIVERSITARIA -")</f>
        <v>CADEIRA UNIVERSITARIA -</v>
      </c>
      <c r="C1081" s="86">
        <f>IFERROR(__xludf.DUMMYFUNCTION("""COMPUTED_VALUE"""),1.0)</f>
        <v>1</v>
      </c>
      <c r="D1081" s="87" t="str">
        <f>IFERROR(__xludf.DUMMYFUNCTION("""COMPUTED_VALUE"""),"SEÇÃO")</f>
        <v>SEÇÃO</v>
      </c>
      <c r="E1081" s="87" t="str">
        <f>IFERROR(__xludf.DUMMYFUNCTION("""COMPUTED_VALUE"""),"3 - SALA DE INSTRUÇÃO")</f>
        <v>3 - SALA DE INSTRUÇÃO</v>
      </c>
      <c r="F1081" s="88"/>
      <c r="G1081" s="89">
        <f>IFERROR(__xludf.DUMMYFUNCTION("""COMPUTED_VALUE"""),7.6808378E7)</f>
        <v>76808378</v>
      </c>
      <c r="H1081" s="87"/>
      <c r="I1081" s="87"/>
    </row>
    <row r="1082">
      <c r="A1082" s="84">
        <f>IFERROR(__xludf.DUMMYFUNCTION("""COMPUTED_VALUE"""),1081.0)</f>
        <v>1081</v>
      </c>
      <c r="B1082" s="85" t="str">
        <f>IFERROR(__xludf.DUMMYFUNCTION("""COMPUTED_VALUE"""),"CADEIRA UNIVERSITARIA -")</f>
        <v>CADEIRA UNIVERSITARIA -</v>
      </c>
      <c r="C1082" s="86">
        <f>IFERROR(__xludf.DUMMYFUNCTION("""COMPUTED_VALUE"""),1.0)</f>
        <v>1</v>
      </c>
      <c r="D1082" s="87" t="str">
        <f>IFERROR(__xludf.DUMMYFUNCTION("""COMPUTED_VALUE"""),"SEÇÃO")</f>
        <v>SEÇÃO</v>
      </c>
      <c r="E1082" s="87" t="str">
        <f>IFERROR(__xludf.DUMMYFUNCTION("""COMPUTED_VALUE"""),"3 - SALA DE INSTRUÇÃO")</f>
        <v>3 - SALA DE INSTRUÇÃO</v>
      </c>
      <c r="F1082" s="88"/>
      <c r="G1082" s="89">
        <f>IFERROR(__xludf.DUMMYFUNCTION("""COMPUTED_VALUE"""),7.6808386E7)</f>
        <v>76808386</v>
      </c>
      <c r="H1082" s="87"/>
      <c r="I1082" s="87"/>
    </row>
    <row r="1083">
      <c r="A1083" s="84">
        <f>IFERROR(__xludf.DUMMYFUNCTION("""COMPUTED_VALUE"""),1082.0)</f>
        <v>1082</v>
      </c>
      <c r="B1083" s="85" t="str">
        <f>IFERROR(__xludf.DUMMYFUNCTION("""COMPUTED_VALUE"""),"CADEIRA UNIVERSITARIA -")</f>
        <v>CADEIRA UNIVERSITARIA -</v>
      </c>
      <c r="C1083" s="86">
        <f>IFERROR(__xludf.DUMMYFUNCTION("""COMPUTED_VALUE"""),1.0)</f>
        <v>1</v>
      </c>
      <c r="D1083" s="87" t="str">
        <f>IFERROR(__xludf.DUMMYFUNCTION("""COMPUTED_VALUE"""),"SEÇÃO")</f>
        <v>SEÇÃO</v>
      </c>
      <c r="E1083" s="87" t="str">
        <f>IFERROR(__xludf.DUMMYFUNCTION("""COMPUTED_VALUE"""),"3 - SALA DE INSTRUÇÃO")</f>
        <v>3 - SALA DE INSTRUÇÃO</v>
      </c>
      <c r="F1083" s="88"/>
      <c r="G1083" s="89">
        <f>IFERROR(__xludf.DUMMYFUNCTION("""COMPUTED_VALUE"""),7.6808394E7)</f>
        <v>76808394</v>
      </c>
      <c r="H1083" s="87"/>
      <c r="I1083" s="87"/>
    </row>
    <row r="1084">
      <c r="A1084" s="84">
        <f>IFERROR(__xludf.DUMMYFUNCTION("""COMPUTED_VALUE"""),1083.0)</f>
        <v>1083</v>
      </c>
      <c r="B1084" s="85" t="str">
        <f>IFERROR(__xludf.DUMMYFUNCTION("""COMPUTED_VALUE"""),"CADEIRA UNIVERSITARIA -")</f>
        <v>CADEIRA UNIVERSITARIA -</v>
      </c>
      <c r="C1084" s="86">
        <f>IFERROR(__xludf.DUMMYFUNCTION("""COMPUTED_VALUE"""),1.0)</f>
        <v>1</v>
      </c>
      <c r="D1084" s="87" t="str">
        <f>IFERROR(__xludf.DUMMYFUNCTION("""COMPUTED_VALUE"""),"SEÇÃO")</f>
        <v>SEÇÃO</v>
      </c>
      <c r="E1084" s="87" t="str">
        <f>IFERROR(__xludf.DUMMYFUNCTION("""COMPUTED_VALUE"""),"3 - SALA DE INSTRUÇÃO")</f>
        <v>3 - SALA DE INSTRUÇÃO</v>
      </c>
      <c r="F1084" s="88"/>
      <c r="G1084" s="89">
        <f>IFERROR(__xludf.DUMMYFUNCTION("""COMPUTED_VALUE"""),7.6808408E7)</f>
        <v>76808408</v>
      </c>
      <c r="H1084" s="87"/>
      <c r="I1084" s="87"/>
    </row>
    <row r="1085">
      <c r="A1085" s="84">
        <f>IFERROR(__xludf.DUMMYFUNCTION("""COMPUTED_VALUE"""),1084.0)</f>
        <v>1084</v>
      </c>
      <c r="B1085" s="85" t="str">
        <f>IFERROR(__xludf.DUMMYFUNCTION("""COMPUTED_VALUE"""),"CADEIRA UNIVERSITARIA -")</f>
        <v>CADEIRA UNIVERSITARIA -</v>
      </c>
      <c r="C1085" s="86">
        <f>IFERROR(__xludf.DUMMYFUNCTION("""COMPUTED_VALUE"""),1.0)</f>
        <v>1</v>
      </c>
      <c r="D1085" s="87" t="str">
        <f>IFERROR(__xludf.DUMMYFUNCTION("""COMPUTED_VALUE"""),"SEÇÃO")</f>
        <v>SEÇÃO</v>
      </c>
      <c r="E1085" s="87" t="str">
        <f>IFERROR(__xludf.DUMMYFUNCTION("""COMPUTED_VALUE"""),"3 - SALA DE INSTRUÇÃO")</f>
        <v>3 - SALA DE INSTRUÇÃO</v>
      </c>
      <c r="F1085" s="88"/>
      <c r="G1085" s="89">
        <f>IFERROR(__xludf.DUMMYFUNCTION("""COMPUTED_VALUE"""),7.6808416E7)</f>
        <v>76808416</v>
      </c>
      <c r="H1085" s="87"/>
      <c r="I1085" s="87"/>
    </row>
    <row r="1086">
      <c r="A1086" s="84">
        <f>IFERROR(__xludf.DUMMYFUNCTION("""COMPUTED_VALUE"""),1085.0)</f>
        <v>1085</v>
      </c>
      <c r="B1086" s="85" t="str">
        <f>IFERROR(__xludf.DUMMYFUNCTION("""COMPUTED_VALUE"""),"CADEIRA UNIVERSITARIA -")</f>
        <v>CADEIRA UNIVERSITARIA -</v>
      </c>
      <c r="C1086" s="86">
        <f>IFERROR(__xludf.DUMMYFUNCTION("""COMPUTED_VALUE"""),1.0)</f>
        <v>1</v>
      </c>
      <c r="D1086" s="87" t="str">
        <f>IFERROR(__xludf.DUMMYFUNCTION("""COMPUTED_VALUE"""),"SEÇÃO")</f>
        <v>SEÇÃO</v>
      </c>
      <c r="E1086" s="87" t="str">
        <f>IFERROR(__xludf.DUMMYFUNCTION("""COMPUTED_VALUE"""),"3 - SALA DE INSTRUÇÃO")</f>
        <v>3 - SALA DE INSTRUÇÃO</v>
      </c>
      <c r="F1086" s="88"/>
      <c r="G1086" s="89">
        <f>IFERROR(__xludf.DUMMYFUNCTION("""COMPUTED_VALUE"""),7.6808424E7)</f>
        <v>76808424</v>
      </c>
      <c r="H1086" s="87"/>
      <c r="I1086" s="87"/>
    </row>
    <row r="1087">
      <c r="A1087" s="84">
        <f>IFERROR(__xludf.DUMMYFUNCTION("""COMPUTED_VALUE"""),1086.0)</f>
        <v>1086</v>
      </c>
      <c r="B1087" s="85" t="str">
        <f>IFERROR(__xludf.DUMMYFUNCTION("""COMPUTED_VALUE"""),"CADEIRA UNIVERSITARIA -")</f>
        <v>CADEIRA UNIVERSITARIA -</v>
      </c>
      <c r="C1087" s="86">
        <f>IFERROR(__xludf.DUMMYFUNCTION("""COMPUTED_VALUE"""),1.0)</f>
        <v>1</v>
      </c>
      <c r="D1087" s="87" t="str">
        <f>IFERROR(__xludf.DUMMYFUNCTION("""COMPUTED_VALUE"""),"SEÇÃO")</f>
        <v>SEÇÃO</v>
      </c>
      <c r="E1087" s="87" t="str">
        <f>IFERROR(__xludf.DUMMYFUNCTION("""COMPUTED_VALUE"""),"3 - SALA DE INSTRUÇÃO")</f>
        <v>3 - SALA DE INSTRUÇÃO</v>
      </c>
      <c r="F1087" s="88"/>
      <c r="G1087" s="89">
        <f>IFERROR(__xludf.DUMMYFUNCTION("""COMPUTED_VALUE"""),7.6808432E7)</f>
        <v>76808432</v>
      </c>
      <c r="H1087" s="87"/>
      <c r="I1087" s="87"/>
    </row>
    <row r="1088">
      <c r="A1088" s="84">
        <f>IFERROR(__xludf.DUMMYFUNCTION("""COMPUTED_VALUE"""),1087.0)</f>
        <v>1087</v>
      </c>
      <c r="B1088" s="85" t="str">
        <f>IFERROR(__xludf.DUMMYFUNCTION("""COMPUTED_VALUE"""),"CADEIRA UNIVERSITARIA -")</f>
        <v>CADEIRA UNIVERSITARIA -</v>
      </c>
      <c r="C1088" s="86">
        <f>IFERROR(__xludf.DUMMYFUNCTION("""COMPUTED_VALUE"""),1.0)</f>
        <v>1</v>
      </c>
      <c r="D1088" s="87" t="str">
        <f>IFERROR(__xludf.DUMMYFUNCTION("""COMPUTED_VALUE"""),"SEÇÃO")</f>
        <v>SEÇÃO</v>
      </c>
      <c r="E1088" s="87" t="str">
        <f>IFERROR(__xludf.DUMMYFUNCTION("""COMPUTED_VALUE"""),"3 - SALA DE INSTRUÇÃO")</f>
        <v>3 - SALA DE INSTRUÇÃO</v>
      </c>
      <c r="F1088" s="88"/>
      <c r="G1088" s="89">
        <f>IFERROR(__xludf.DUMMYFUNCTION("""COMPUTED_VALUE"""),7.680844E7)</f>
        <v>76808440</v>
      </c>
      <c r="H1088" s="87"/>
      <c r="I1088" s="87"/>
    </row>
    <row r="1089">
      <c r="A1089" s="84">
        <f>IFERROR(__xludf.DUMMYFUNCTION("""COMPUTED_VALUE"""),1088.0)</f>
        <v>1088</v>
      </c>
      <c r="B1089" s="85" t="str">
        <f>IFERROR(__xludf.DUMMYFUNCTION("""COMPUTED_VALUE"""),"CADEIRA UNIVERSITARIA -")</f>
        <v>CADEIRA UNIVERSITARIA -</v>
      </c>
      <c r="C1089" s="86">
        <f>IFERROR(__xludf.DUMMYFUNCTION("""COMPUTED_VALUE"""),1.0)</f>
        <v>1</v>
      </c>
      <c r="D1089" s="87" t="str">
        <f>IFERROR(__xludf.DUMMYFUNCTION("""COMPUTED_VALUE"""),"SEÇÃO")</f>
        <v>SEÇÃO</v>
      </c>
      <c r="E1089" s="87" t="str">
        <f>IFERROR(__xludf.DUMMYFUNCTION("""COMPUTED_VALUE"""),"3 - 1ª CIA OP")</f>
        <v>3 - 1ª CIA OP</v>
      </c>
      <c r="F1089" s="88" t="str">
        <f>IFERROR(__xludf.DUMMYFUNCTION("""COMPUTED_VALUE"""),"PPV (ANTIGA)")</f>
        <v>PPV (ANTIGA)</v>
      </c>
      <c r="G1089" s="89">
        <f>IFERROR(__xludf.DUMMYFUNCTION("""COMPUTED_VALUE"""),7.6808459E7)</f>
        <v>76808459</v>
      </c>
      <c r="H1089" s="87"/>
      <c r="I1089" s="87"/>
    </row>
    <row r="1090">
      <c r="A1090" s="84">
        <f>IFERROR(__xludf.DUMMYFUNCTION("""COMPUTED_VALUE"""),1089.0)</f>
        <v>1089</v>
      </c>
      <c r="B1090" s="85" t="str">
        <f>IFERROR(__xludf.DUMMYFUNCTION("""COMPUTED_VALUE"""),"CADEIRA UNIVERSITARIA -")</f>
        <v>CADEIRA UNIVERSITARIA -</v>
      </c>
      <c r="C1090" s="86">
        <f>IFERROR(__xludf.DUMMYFUNCTION("""COMPUTED_VALUE"""),1.0)</f>
        <v>1</v>
      </c>
      <c r="D1090" s="87" t="str">
        <f>IFERROR(__xludf.DUMMYFUNCTION("""COMPUTED_VALUE"""),"SEÇÃO")</f>
        <v>SEÇÃO</v>
      </c>
      <c r="E1090" s="87" t="str">
        <f>IFERROR(__xludf.DUMMYFUNCTION("""COMPUTED_VALUE"""),"3 - 1ª CIA OP")</f>
        <v>3 - 1ª CIA OP</v>
      </c>
      <c r="F1090" s="88" t="str">
        <f>IFERROR(__xludf.DUMMYFUNCTION("""COMPUTED_VALUE"""),"PPV (ANTIGA)")</f>
        <v>PPV (ANTIGA)</v>
      </c>
      <c r="G1090" s="89">
        <f>IFERROR(__xludf.DUMMYFUNCTION("""COMPUTED_VALUE"""),7.6808467E7)</f>
        <v>76808467</v>
      </c>
      <c r="H1090" s="87"/>
      <c r="I1090" s="87"/>
    </row>
    <row r="1091">
      <c r="A1091" s="84">
        <f>IFERROR(__xludf.DUMMYFUNCTION("""COMPUTED_VALUE"""),1090.0)</f>
        <v>1090</v>
      </c>
      <c r="B1091" s="85" t="str">
        <f>IFERROR(__xludf.DUMMYFUNCTION("""COMPUTED_VALUE"""),"CADEIRA UNIVERSITARIA -")</f>
        <v>CADEIRA UNIVERSITARIA -</v>
      </c>
      <c r="C1091" s="86">
        <f>IFERROR(__xludf.DUMMYFUNCTION("""COMPUTED_VALUE"""),1.0)</f>
        <v>1</v>
      </c>
      <c r="D1091" s="87" t="str">
        <f>IFERROR(__xludf.DUMMYFUNCTION("""COMPUTED_VALUE"""),"SEÇÃO")</f>
        <v>SEÇÃO</v>
      </c>
      <c r="E1091" s="87" t="str">
        <f>IFERROR(__xludf.DUMMYFUNCTION("""COMPUTED_VALUE"""),"3 - 1ª CIA OP")</f>
        <v>3 - 1ª CIA OP</v>
      </c>
      <c r="F1091" s="88" t="str">
        <f>IFERROR(__xludf.DUMMYFUNCTION("""COMPUTED_VALUE"""),"PPV (ANTIGA)")</f>
        <v>PPV (ANTIGA)</v>
      </c>
      <c r="G1091" s="89">
        <f>IFERROR(__xludf.DUMMYFUNCTION("""COMPUTED_VALUE"""),7.6808475E7)</f>
        <v>76808475</v>
      </c>
      <c r="H1091" s="87"/>
      <c r="I1091" s="87"/>
    </row>
    <row r="1092">
      <c r="A1092" s="84">
        <f>IFERROR(__xludf.DUMMYFUNCTION("""COMPUTED_VALUE"""),1091.0)</f>
        <v>1091</v>
      </c>
      <c r="B1092" s="85" t="str">
        <f>IFERROR(__xludf.DUMMYFUNCTION("""COMPUTED_VALUE"""),"CADEIRA UNIVERSITARIA -")</f>
        <v>CADEIRA UNIVERSITARIA -</v>
      </c>
      <c r="C1092" s="86">
        <f>IFERROR(__xludf.DUMMYFUNCTION("""COMPUTED_VALUE"""),1.0)</f>
        <v>1</v>
      </c>
      <c r="D1092" s="87" t="str">
        <f>IFERROR(__xludf.DUMMYFUNCTION("""COMPUTED_VALUE"""),"SEÇÃO")</f>
        <v>SEÇÃO</v>
      </c>
      <c r="E1092" s="87" t="str">
        <f>IFERROR(__xludf.DUMMYFUNCTION("""COMPUTED_VALUE"""),"3 - 1ª CIA OP")</f>
        <v>3 - 1ª CIA OP</v>
      </c>
      <c r="F1092" s="88" t="str">
        <f>IFERROR(__xludf.DUMMYFUNCTION("""COMPUTED_VALUE"""),"PPV (ANTIGA)")</f>
        <v>PPV (ANTIGA)</v>
      </c>
      <c r="G1092" s="89">
        <f>IFERROR(__xludf.DUMMYFUNCTION("""COMPUTED_VALUE"""),7.6808483E7)</f>
        <v>76808483</v>
      </c>
      <c r="H1092" s="87"/>
      <c r="I1092" s="87"/>
    </row>
    <row r="1093">
      <c r="A1093" s="84">
        <f>IFERROR(__xludf.DUMMYFUNCTION("""COMPUTED_VALUE"""),1092.0)</f>
        <v>1092</v>
      </c>
      <c r="B1093" s="85" t="str">
        <f>IFERROR(__xludf.DUMMYFUNCTION("""COMPUTED_VALUE"""),"CADEIRA UNIVERSITARIA -")</f>
        <v>CADEIRA UNIVERSITARIA -</v>
      </c>
      <c r="C1093" s="86">
        <f>IFERROR(__xludf.DUMMYFUNCTION("""COMPUTED_VALUE"""),1.0)</f>
        <v>1</v>
      </c>
      <c r="D1093" s="87" t="str">
        <f>IFERROR(__xludf.DUMMYFUNCTION("""COMPUTED_VALUE"""),"SEÇÃO")</f>
        <v>SEÇÃO</v>
      </c>
      <c r="E1093" s="87" t="str">
        <f>IFERROR(__xludf.DUMMYFUNCTION("""COMPUTED_VALUE"""),"3 - 1ª CIA OP")</f>
        <v>3 - 1ª CIA OP</v>
      </c>
      <c r="F1093" s="88" t="str">
        <f>IFERROR(__xludf.DUMMYFUNCTION("""COMPUTED_VALUE"""),"PPV (ANTIGA)")</f>
        <v>PPV (ANTIGA)</v>
      </c>
      <c r="G1093" s="89">
        <f>IFERROR(__xludf.DUMMYFUNCTION("""COMPUTED_VALUE"""),7.6808491E7)</f>
        <v>76808491</v>
      </c>
      <c r="H1093" s="87"/>
      <c r="I1093" s="87"/>
    </row>
    <row r="1094">
      <c r="A1094" s="84">
        <f>IFERROR(__xludf.DUMMYFUNCTION("""COMPUTED_VALUE"""),1093.0)</f>
        <v>1093</v>
      </c>
      <c r="B1094" s="85" t="str">
        <f>IFERROR(__xludf.DUMMYFUNCTION("""COMPUTED_VALUE"""),"CADEIRA UNIVERSITARIA -")</f>
        <v>CADEIRA UNIVERSITARIA -</v>
      </c>
      <c r="C1094" s="86">
        <f>IFERROR(__xludf.DUMMYFUNCTION("""COMPUTED_VALUE"""),1.0)</f>
        <v>1</v>
      </c>
      <c r="D1094" s="87" t="str">
        <f>IFERROR(__xludf.DUMMYFUNCTION("""COMPUTED_VALUE"""),"SEÇÃO")</f>
        <v>SEÇÃO</v>
      </c>
      <c r="E1094" s="87" t="str">
        <f>IFERROR(__xludf.DUMMYFUNCTION("""COMPUTED_VALUE"""),"3 - 1ª CIA OP")</f>
        <v>3 - 1ª CIA OP</v>
      </c>
      <c r="F1094" s="88" t="str">
        <f>IFERROR(__xludf.DUMMYFUNCTION("""COMPUTED_VALUE"""),"PPV (ANTIGA)")</f>
        <v>PPV (ANTIGA)</v>
      </c>
      <c r="G1094" s="89">
        <f>IFERROR(__xludf.DUMMYFUNCTION("""COMPUTED_VALUE"""),7.6808505E7)</f>
        <v>76808505</v>
      </c>
      <c r="H1094" s="87"/>
      <c r="I1094" s="87"/>
    </row>
    <row r="1095">
      <c r="A1095" s="84">
        <f>IFERROR(__xludf.DUMMYFUNCTION("""COMPUTED_VALUE"""),1094.0)</f>
        <v>1094</v>
      </c>
      <c r="B1095" s="85" t="str">
        <f>IFERROR(__xludf.DUMMYFUNCTION("""COMPUTED_VALUE"""),"CADEIRA UNIVERSITARIA -")</f>
        <v>CADEIRA UNIVERSITARIA -</v>
      </c>
      <c r="C1095" s="86">
        <f>IFERROR(__xludf.DUMMYFUNCTION("""COMPUTED_VALUE"""),1.0)</f>
        <v>1</v>
      </c>
      <c r="D1095" s="87" t="str">
        <f>IFERROR(__xludf.DUMMYFUNCTION("""COMPUTED_VALUE"""),"SEÇÃO")</f>
        <v>SEÇÃO</v>
      </c>
      <c r="E1095" s="87" t="str">
        <f>IFERROR(__xludf.DUMMYFUNCTION("""COMPUTED_VALUE"""),"3 - 1ª CIA OP")</f>
        <v>3 - 1ª CIA OP</v>
      </c>
      <c r="F1095" s="88" t="str">
        <f>IFERROR(__xludf.DUMMYFUNCTION("""COMPUTED_VALUE"""),"PPV (ANTIGA)")</f>
        <v>PPV (ANTIGA)</v>
      </c>
      <c r="G1095" s="89">
        <f>IFERROR(__xludf.DUMMYFUNCTION("""COMPUTED_VALUE"""),7.6808513E7)</f>
        <v>76808513</v>
      </c>
      <c r="H1095" s="87"/>
      <c r="I1095" s="87"/>
    </row>
    <row r="1096">
      <c r="A1096" s="84">
        <f>IFERROR(__xludf.DUMMYFUNCTION("""COMPUTED_VALUE"""),1095.0)</f>
        <v>1095</v>
      </c>
      <c r="B1096" s="85" t="str">
        <f>IFERROR(__xludf.DUMMYFUNCTION("""COMPUTED_VALUE"""),"CADEIRA UNIVERSITARIA -")</f>
        <v>CADEIRA UNIVERSITARIA -</v>
      </c>
      <c r="C1096" s="86">
        <f>IFERROR(__xludf.DUMMYFUNCTION("""COMPUTED_VALUE"""),1.0)</f>
        <v>1</v>
      </c>
      <c r="D1096" s="87" t="str">
        <f>IFERROR(__xludf.DUMMYFUNCTION("""COMPUTED_VALUE"""),"SEÇÃO")</f>
        <v>SEÇÃO</v>
      </c>
      <c r="E1096" s="87" t="str">
        <f>IFERROR(__xludf.DUMMYFUNCTION("""COMPUTED_VALUE"""),"3 - 1ª CIA OP")</f>
        <v>3 - 1ª CIA OP</v>
      </c>
      <c r="F1096" s="88" t="str">
        <f>IFERROR(__xludf.DUMMYFUNCTION("""COMPUTED_VALUE"""),"PPV (ANTIGA)")</f>
        <v>PPV (ANTIGA)</v>
      </c>
      <c r="G1096" s="89">
        <f>IFERROR(__xludf.DUMMYFUNCTION("""COMPUTED_VALUE"""),7.6808521E7)</f>
        <v>76808521</v>
      </c>
      <c r="H1096" s="87"/>
      <c r="I1096" s="87"/>
    </row>
    <row r="1097">
      <c r="A1097" s="84">
        <f>IFERROR(__xludf.DUMMYFUNCTION("""COMPUTED_VALUE"""),1096.0)</f>
        <v>1096</v>
      </c>
      <c r="B1097" s="85" t="str">
        <f>IFERROR(__xludf.DUMMYFUNCTION("""COMPUTED_VALUE"""),"CADEIRA UNIVERSITARIA -")</f>
        <v>CADEIRA UNIVERSITARIA -</v>
      </c>
      <c r="C1097" s="86">
        <f>IFERROR(__xludf.DUMMYFUNCTION("""COMPUTED_VALUE"""),1.0)</f>
        <v>1</v>
      </c>
      <c r="D1097" s="87" t="str">
        <f>IFERROR(__xludf.DUMMYFUNCTION("""COMPUTED_VALUE"""),"SEÇÃO")</f>
        <v>SEÇÃO</v>
      </c>
      <c r="E1097" s="87" t="str">
        <f>IFERROR(__xludf.DUMMYFUNCTION("""COMPUTED_VALUE"""),"3 - SALA DE INSTRUÇÃO")</f>
        <v>3 - SALA DE INSTRUÇÃO</v>
      </c>
      <c r="F1097" s="88"/>
      <c r="G1097" s="89">
        <f>IFERROR(__xludf.DUMMYFUNCTION("""COMPUTED_VALUE"""),7.680853E7)</f>
        <v>76808530</v>
      </c>
      <c r="H1097" s="87"/>
      <c r="I1097" s="87"/>
    </row>
    <row r="1098">
      <c r="A1098" s="84">
        <f>IFERROR(__xludf.DUMMYFUNCTION("""COMPUTED_VALUE"""),1097.0)</f>
        <v>1097</v>
      </c>
      <c r="B1098" s="85" t="str">
        <f>IFERROR(__xludf.DUMMYFUNCTION("""COMPUTED_VALUE"""),"CADEIRA UNIVERSITARIA -")</f>
        <v>CADEIRA UNIVERSITARIA -</v>
      </c>
      <c r="C1098" s="86">
        <f>IFERROR(__xludf.DUMMYFUNCTION("""COMPUTED_VALUE"""),1.0)</f>
        <v>1</v>
      </c>
      <c r="D1098" s="87" t="str">
        <f>IFERROR(__xludf.DUMMYFUNCTION("""COMPUTED_VALUE"""),"SEÇÃO")</f>
        <v>SEÇÃO</v>
      </c>
      <c r="E1098" s="87" t="str">
        <f>IFERROR(__xludf.DUMMYFUNCTION("""COMPUTED_VALUE"""),"3 - SALA DE INSTRUÇÃO")</f>
        <v>3 - SALA DE INSTRUÇÃO</v>
      </c>
      <c r="F1098" s="88"/>
      <c r="G1098" s="89">
        <f>IFERROR(__xludf.DUMMYFUNCTION("""COMPUTED_VALUE"""),7.6808548E7)</f>
        <v>76808548</v>
      </c>
      <c r="H1098" s="87"/>
      <c r="I1098" s="87"/>
    </row>
    <row r="1099">
      <c r="A1099" s="84">
        <f>IFERROR(__xludf.DUMMYFUNCTION("""COMPUTED_VALUE"""),1098.0)</f>
        <v>1098</v>
      </c>
      <c r="B1099" s="85" t="str">
        <f>IFERROR(__xludf.DUMMYFUNCTION("""COMPUTED_VALUE"""),"CADEIRA UNIVERSITARIA -")</f>
        <v>CADEIRA UNIVERSITARIA -</v>
      </c>
      <c r="C1099" s="86">
        <f>IFERROR(__xludf.DUMMYFUNCTION("""COMPUTED_VALUE"""),1.0)</f>
        <v>1</v>
      </c>
      <c r="D1099" s="87" t="str">
        <f>IFERROR(__xludf.DUMMYFUNCTION("""COMPUTED_VALUE"""),"SEÇÃO")</f>
        <v>SEÇÃO</v>
      </c>
      <c r="E1099" s="87" t="str">
        <f>IFERROR(__xludf.DUMMYFUNCTION("""COMPUTED_VALUE"""),"3 - SALA DE INSTRUÇÃO")</f>
        <v>3 - SALA DE INSTRUÇÃO</v>
      </c>
      <c r="F1099" s="88"/>
      <c r="G1099" s="89">
        <f>IFERROR(__xludf.DUMMYFUNCTION("""COMPUTED_VALUE"""),7.6808556E7)</f>
        <v>76808556</v>
      </c>
      <c r="H1099" s="87"/>
      <c r="I1099" s="87"/>
    </row>
    <row r="1100">
      <c r="A1100" s="84">
        <f>IFERROR(__xludf.DUMMYFUNCTION("""COMPUTED_VALUE"""),1099.0)</f>
        <v>1099</v>
      </c>
      <c r="B1100" s="85" t="str">
        <f>IFERROR(__xludf.DUMMYFUNCTION("""COMPUTED_VALUE"""),"CADEIRA UNIVERSITARIA -")</f>
        <v>CADEIRA UNIVERSITARIA -</v>
      </c>
      <c r="C1100" s="86">
        <f>IFERROR(__xludf.DUMMYFUNCTION("""COMPUTED_VALUE"""),1.0)</f>
        <v>1</v>
      </c>
      <c r="D1100" s="87" t="str">
        <f>IFERROR(__xludf.DUMMYFUNCTION("""COMPUTED_VALUE"""),"SEÇÃO")</f>
        <v>SEÇÃO</v>
      </c>
      <c r="E1100" s="87" t="str">
        <f>IFERROR(__xludf.DUMMYFUNCTION("""COMPUTED_VALUE"""),"3 - SALA DE INSTRUÇÃO")</f>
        <v>3 - SALA DE INSTRUÇÃO</v>
      </c>
      <c r="F1100" s="88"/>
      <c r="G1100" s="89">
        <f>IFERROR(__xludf.DUMMYFUNCTION("""COMPUTED_VALUE"""),7.6808564E7)</f>
        <v>76808564</v>
      </c>
      <c r="H1100" s="87"/>
      <c r="I1100" s="87"/>
    </row>
    <row r="1101">
      <c r="A1101" s="84">
        <f>IFERROR(__xludf.DUMMYFUNCTION("""COMPUTED_VALUE"""),1100.0)</f>
        <v>1100</v>
      </c>
      <c r="B1101" s="85" t="str">
        <f>IFERROR(__xludf.DUMMYFUNCTION("""COMPUTED_VALUE"""),"CADEIRA UNIVERSITARIA -")</f>
        <v>CADEIRA UNIVERSITARIA -</v>
      </c>
      <c r="C1101" s="86">
        <f>IFERROR(__xludf.DUMMYFUNCTION("""COMPUTED_VALUE"""),1.0)</f>
        <v>1</v>
      </c>
      <c r="D1101" s="87" t="str">
        <f>IFERROR(__xludf.DUMMYFUNCTION("""COMPUTED_VALUE"""),"SEÇÃO")</f>
        <v>SEÇÃO</v>
      </c>
      <c r="E1101" s="87" t="str">
        <f>IFERROR(__xludf.DUMMYFUNCTION("""COMPUTED_VALUE"""),"3 - SALA DE INSTRUÇÃO")</f>
        <v>3 - SALA DE INSTRUÇÃO</v>
      </c>
      <c r="F1101" s="88"/>
      <c r="G1101" s="89">
        <f>IFERROR(__xludf.DUMMYFUNCTION("""COMPUTED_VALUE"""),7.6808572E7)</f>
        <v>76808572</v>
      </c>
      <c r="H1101" s="87"/>
      <c r="I1101" s="87"/>
    </row>
    <row r="1102">
      <c r="A1102" s="84">
        <f>IFERROR(__xludf.DUMMYFUNCTION("""COMPUTED_VALUE"""),1101.0)</f>
        <v>1101</v>
      </c>
      <c r="B1102" s="85" t="str">
        <f>IFERROR(__xludf.DUMMYFUNCTION("""COMPUTED_VALUE"""),"CADEIRA UNIVERSITARIA -")</f>
        <v>CADEIRA UNIVERSITARIA -</v>
      </c>
      <c r="C1102" s="86">
        <f>IFERROR(__xludf.DUMMYFUNCTION("""COMPUTED_VALUE"""),1.0)</f>
        <v>1</v>
      </c>
      <c r="D1102" s="87" t="str">
        <f>IFERROR(__xludf.DUMMYFUNCTION("""COMPUTED_VALUE"""),"SEÇÃO")</f>
        <v>SEÇÃO</v>
      </c>
      <c r="E1102" s="87" t="str">
        <f>IFERROR(__xludf.DUMMYFUNCTION("""COMPUTED_VALUE"""),"3 - SALA DE INSTRUÇÃO")</f>
        <v>3 - SALA DE INSTRUÇÃO</v>
      </c>
      <c r="F1102" s="88"/>
      <c r="G1102" s="89">
        <f>IFERROR(__xludf.DUMMYFUNCTION("""COMPUTED_VALUE"""),7.680858E7)</f>
        <v>76808580</v>
      </c>
      <c r="H1102" s="87"/>
      <c r="I1102" s="87"/>
    </row>
    <row r="1103">
      <c r="A1103" s="84">
        <f>IFERROR(__xludf.DUMMYFUNCTION("""COMPUTED_VALUE"""),1102.0)</f>
        <v>1102</v>
      </c>
      <c r="B1103" s="85" t="str">
        <f>IFERROR(__xludf.DUMMYFUNCTION("""COMPUTED_VALUE"""),"CONJUNTO COMBINADO DESENCARCERAMENTO DE VITIMAS -")</f>
        <v>CONJUNTO COMBINADO DESENCARCERAMENTO DE VITIMAS -</v>
      </c>
      <c r="C1103" s="86">
        <f>IFERROR(__xludf.DUMMYFUNCTION("""COMPUTED_VALUE"""),1.0)</f>
        <v>1</v>
      </c>
      <c r="D1103" s="87" t="str">
        <f>IFERROR(__xludf.DUMMYFUNCTION("""COMPUTED_VALUE"""),"SEÇÃO")</f>
        <v>SEÇÃO</v>
      </c>
      <c r="E1103" s="87" t="str">
        <f>IFERROR(__xludf.DUMMYFUNCTION("""COMPUTED_VALUE"""),"3 - CURVELO")</f>
        <v>3 - CURVELO</v>
      </c>
      <c r="F1103" s="88"/>
      <c r="G1103" s="89">
        <f>IFERROR(__xludf.DUMMYFUNCTION("""COMPUTED_VALUE"""),7.6809196E7)</f>
        <v>76809196</v>
      </c>
      <c r="H1103" s="87"/>
      <c r="I1103" s="87" t="str">
        <f>IFERROR(__xludf.DUMMYFUNCTION("""COMPUTED_VALUE""")," CILINDRO, TESOURA, EXPANSOR E CORTA PEDAL. MOTOR 4 TEMPOS CORRENTES: 01 JOGO DE CORRENTES; MANGUEIRA/ACESSORIOS: DEVERA SER UNICA COAXIAL;")</f>
        <v> CILINDRO, TESOURA, EXPANSOR E CORTA PEDAL. MOTOR 4 TEMPOS CORRENTES: 01 JOGO DE CORRENTES; MANGUEIRA/ACESSORIOS: DEVERA SER UNICA COAXIAL;</v>
      </c>
    </row>
    <row r="1104">
      <c r="A1104" s="84">
        <f>IFERROR(__xludf.DUMMYFUNCTION("""COMPUTED_VALUE"""),1103.0)</f>
        <v>1103</v>
      </c>
      <c r="B1104" s="85" t="str">
        <f>IFERROR(__xludf.DUMMYFUNCTION("""COMPUTED_VALUE"""),"PROJETOR MULTIMIDIA -")</f>
        <v>PROJETOR MULTIMIDIA -</v>
      </c>
      <c r="C1104" s="86">
        <f>IFERROR(__xludf.DUMMYFUNCTION("""COMPUTED_VALUE"""),1.0)</f>
        <v>1</v>
      </c>
      <c r="D1104" s="87" t="str">
        <f>IFERROR(__xludf.DUMMYFUNCTION("""COMPUTED_VALUE"""),"SEÇÃO")</f>
        <v>SEÇÃO</v>
      </c>
      <c r="E1104" s="87" t="str">
        <f>IFERROR(__xludf.DUMMYFUNCTION("""COMPUTED_VALUE"""),"3 - ALMOX. ESTOQUE")</f>
        <v>3 - ALMOX. ESTOQUE</v>
      </c>
      <c r="F1104" s="88" t="str">
        <f>IFERROR(__xludf.DUMMYFUNCTION("""COMPUTED_VALUE"""),"SAO")</f>
        <v>SAO</v>
      </c>
      <c r="G1104" s="89">
        <f>IFERROR(__xludf.DUMMYFUNCTION("""COMPUTED_VALUE"""),7.6812766E7)</f>
        <v>76812766</v>
      </c>
      <c r="H1104" s="87" t="str">
        <f>IFERROR(__xludf.DUMMYFUNCTION("""COMPUTED_VALUE"""),"469PRY200900151")</f>
        <v>469PRY200900151</v>
      </c>
      <c r="I1104" s="87" t="str">
        <f>IFERROR(__xludf.DUMMYFUNCTION("""COMPUTED_VALUE"""),"sao principal - projetor modelo: M18 ")</f>
        <v>sao principal - projetor modelo: M18 </v>
      </c>
    </row>
    <row r="1105">
      <c r="A1105" s="84">
        <f>IFERROR(__xludf.DUMMYFUNCTION("""COMPUTED_VALUE"""),1104.0)</f>
        <v>1104</v>
      </c>
      <c r="B1105" s="85" t="str">
        <f>IFERROR(__xludf.DUMMYFUNCTION("""COMPUTED_VALUE"""),"ESCADA PROLONGAVEL PARA ATIVIDADES BOMBEIRO -")</f>
        <v>ESCADA PROLONGAVEL PARA ATIVIDADES BOMBEIRO -</v>
      </c>
      <c r="C1105" s="86">
        <f>IFERROR(__xludf.DUMMYFUNCTION("""COMPUTED_VALUE"""),1.0)</f>
        <v>1</v>
      </c>
      <c r="D1105" s="87" t="str">
        <f>IFERROR(__xludf.DUMMYFUNCTION("""COMPUTED_VALUE"""),"VIATURA")</f>
        <v>VIATURA</v>
      </c>
      <c r="E1105" s="87" t="str">
        <f>IFERROR(__xludf.DUMMYFUNCTION("""COMPUTED_VALUE"""),"1 - ASM3617")</f>
        <v>1 - ASM3617</v>
      </c>
      <c r="F1105" s="88" t="str">
        <f>IFERROR(__xludf.DUMMYFUNCTION("""COMPUTED_VALUE"""),"BOX SUPERIOR 01")</f>
        <v>BOX SUPERIOR 01</v>
      </c>
      <c r="G1105" s="89">
        <f>IFERROR(__xludf.DUMMYFUNCTION("""COMPUTED_VALUE"""),7.6878546E7)</f>
        <v>76878546</v>
      </c>
      <c r="H1105" s="87"/>
      <c r="I1105" s="87"/>
    </row>
    <row r="1106">
      <c r="A1106" s="84">
        <f>IFERROR(__xludf.DUMMYFUNCTION("""COMPUTED_VALUE"""),1105.0)</f>
        <v>1105</v>
      </c>
      <c r="B1106" s="85" t="str">
        <f>IFERROR(__xludf.DUMMYFUNCTION("""COMPUTED_VALUE"""),"RADIO TRANSCEPTOR -")</f>
        <v>RADIO TRANSCEPTOR -</v>
      </c>
      <c r="C1106" s="86">
        <f>IFERROR(__xludf.DUMMYFUNCTION("""COMPUTED_VALUE"""),1.0)</f>
        <v>1</v>
      </c>
      <c r="D1106" s="87" t="str">
        <f>IFERROR(__xludf.DUMMYFUNCTION("""COMPUTED_VALUE"""),"VIATURA")</f>
        <v>VIATURA</v>
      </c>
      <c r="E1106" s="87" t="str">
        <f>IFERROR(__xludf.DUMMYFUNCTION("""COMPUTED_VALUE"""),"1 - ASL1080")</f>
        <v>1 - ASL1080</v>
      </c>
      <c r="F1106" s="88" t="str">
        <f>IFERROR(__xludf.DUMMYFUNCTION("""COMPUTED_VALUE"""),"CARROCERIA")</f>
        <v>CARROCERIA</v>
      </c>
      <c r="G1106" s="89">
        <f>IFERROR(__xludf.DUMMYFUNCTION("""COMPUTED_VALUE"""),7.6815137E7)</f>
        <v>76815137</v>
      </c>
      <c r="H1106" s="87"/>
      <c r="I1106" s="87"/>
    </row>
    <row r="1107">
      <c r="A1107" s="84">
        <f>IFERROR(__xludf.DUMMYFUNCTION("""COMPUTED_VALUE"""),1106.0)</f>
        <v>1106</v>
      </c>
      <c r="B1107" s="85" t="str">
        <f>IFERROR(__xludf.DUMMYFUNCTION("""COMPUTED_VALUE"""),"RADIO TRANSCEPTOR -")</f>
        <v>RADIO TRANSCEPTOR -</v>
      </c>
      <c r="C1107" s="86">
        <f>IFERROR(__xludf.DUMMYFUNCTION("""COMPUTED_VALUE"""),1.0)</f>
        <v>1</v>
      </c>
      <c r="D1107" s="87" t="str">
        <f>IFERROR(__xludf.DUMMYFUNCTION("""COMPUTED_VALUE"""),"VIATURA")</f>
        <v>VIATURA</v>
      </c>
      <c r="E1107" s="87" t="str">
        <f>IFERROR(__xludf.DUMMYFUNCTION("""COMPUTED_VALUE"""),"1 - ABTS3026")</f>
        <v>1 - ABTS3026</v>
      </c>
      <c r="F1107" s="88"/>
      <c r="G1107" s="89">
        <f>IFERROR(__xludf.DUMMYFUNCTION("""COMPUTED_VALUE"""),7.6816192E7)</f>
        <v>76816192</v>
      </c>
      <c r="H1107" s="87"/>
      <c r="I1107" s="87" t="str">
        <f>IFERROR(__xludf.DUMMYFUNCTION("""COMPUTED_VALUE"""),"Foi transferido para a carga de Curvelo.")</f>
        <v>Foi transferido para a carga de Curvelo.</v>
      </c>
    </row>
    <row r="1108">
      <c r="A1108" s="84">
        <f>IFERROR(__xludf.DUMMYFUNCTION("""COMPUTED_VALUE"""),1107.0)</f>
        <v>1107</v>
      </c>
      <c r="B1108" s="85" t="str">
        <f>IFERROR(__xludf.DUMMYFUNCTION("""COMPUTED_VALUE"""),"COMPUTADOR -")</f>
        <v>COMPUTADOR -</v>
      </c>
      <c r="C1108" s="86">
        <f>IFERROR(__xludf.DUMMYFUNCTION("""COMPUTED_VALUE"""),1.0)</f>
        <v>1</v>
      </c>
      <c r="D1108" s="87" t="str">
        <f>IFERROR(__xludf.DUMMYFUNCTION("""COMPUTED_VALUE"""),"SEÇÃO")</f>
        <v>SEÇÃO</v>
      </c>
      <c r="E1108" s="87" t="str">
        <f>IFERROR(__xludf.DUMMYFUNCTION("""COMPUTED_VALUE"""),"3 - CURVELO")</f>
        <v>3 - CURVELO</v>
      </c>
      <c r="F1108" s="88"/>
      <c r="G1108" s="89">
        <f>IFERROR(__xludf.DUMMYFUNCTION("""COMPUTED_VALUE"""),7.6818993E7)</f>
        <v>76818993</v>
      </c>
      <c r="H1108" s="87" t="str">
        <f>IFERROR(__xludf.DUMMYFUNCTION("""COMPUTED_VALUE"""),"5A265PB7C")</f>
        <v>5A265PB7C</v>
      </c>
      <c r="I1108" s="87" t="str">
        <f>IFERROR(__xludf.DUMMYFUNCTION("""COMPUTED_VALUE"""),"Transferido para a carga de Curvelo")</f>
        <v>Transferido para a carga de Curvelo</v>
      </c>
    </row>
    <row r="1109">
      <c r="A1109" s="84">
        <f>IFERROR(__xludf.DUMMYFUNCTION("""COMPUTED_VALUE"""),1108.0)</f>
        <v>1108</v>
      </c>
      <c r="B1109" s="85" t="str">
        <f>IFERROR(__xludf.DUMMYFUNCTION("""COMPUTED_VALUE"""),"COMPUTADOR -")</f>
        <v>COMPUTADOR -</v>
      </c>
      <c r="C1109" s="86">
        <f>IFERROR(__xludf.DUMMYFUNCTION("""COMPUTED_VALUE"""),1.0)</f>
        <v>1</v>
      </c>
      <c r="D1109" s="87" t="str">
        <f>IFERROR(__xludf.DUMMYFUNCTION("""COMPUTED_VALUE"""),"SEÇÃO")</f>
        <v>SEÇÃO</v>
      </c>
      <c r="E1109" s="87" t="str">
        <f>IFERROR(__xludf.DUMMYFUNCTION("""COMPUTED_VALUE"""),"3 - PPV")</f>
        <v>3 - PPV</v>
      </c>
      <c r="F1109" s="88"/>
      <c r="G1109" s="89">
        <f>IFERROR(__xludf.DUMMYFUNCTION("""COMPUTED_VALUE"""),7.6819132E7)</f>
        <v>76819132</v>
      </c>
      <c r="H1109" s="87" t="str">
        <f>IFERROR(__xludf.DUMMYFUNCTION("""COMPUTED_VALUE"""),"N.S.5A265P94R")</f>
        <v>N.S.5A265P94R</v>
      </c>
      <c r="I1109" s="87" t="str">
        <f>IFERROR(__xludf.DUMMYFUNCTION("""COMPUTED_VALUE"""),"Positivo Master N 4350, Sgt Alessandra")</f>
        <v>Positivo Master N 4350, Sgt Alessandra</v>
      </c>
    </row>
    <row r="1110">
      <c r="A1110" s="84">
        <f>IFERROR(__xludf.DUMMYFUNCTION("""COMPUTED_VALUE"""),1109.0)</f>
        <v>1109</v>
      </c>
      <c r="B1110" s="85" t="str">
        <f>IFERROR(__xludf.DUMMYFUNCTION("""COMPUTED_VALUE"""),"COMPUTADOR -")</f>
        <v>COMPUTADOR -</v>
      </c>
      <c r="C1110" s="86">
        <f>IFERROR(__xludf.DUMMYFUNCTION("""COMPUTED_VALUE"""),1.0)</f>
        <v>1</v>
      </c>
      <c r="D1110" s="87" t="str">
        <f>IFERROR(__xludf.DUMMYFUNCTION("""COMPUTED_VALUE"""),"SEÇÃO")</f>
        <v>SEÇÃO</v>
      </c>
      <c r="E1110" s="87" t="str">
        <f>IFERROR(__xludf.DUMMYFUNCTION("""COMPUTED_VALUE"""),"3 - PPV")</f>
        <v>3 - PPV</v>
      </c>
      <c r="F1110" s="88"/>
      <c r="G1110" s="89">
        <f>IFERROR(__xludf.DUMMYFUNCTION("""COMPUTED_VALUE"""),7.6819256E7)</f>
        <v>76819256</v>
      </c>
      <c r="H1110" s="87" t="str">
        <f>IFERROR(__xludf.DUMMYFUNCTION("""COMPUTED_VALUE"""),"N.S.5A265PV6V")</f>
        <v>N.S.5A265PV6V</v>
      </c>
      <c r="I1110" s="87" t="str">
        <f>IFERROR(__xludf.DUMMYFUNCTION("""COMPUTED_VALUE"""),"Positivo Master N 4350,  Vistoriador")</f>
        <v>Positivo Master N 4350,  Vistoriador</v>
      </c>
    </row>
    <row r="1111">
      <c r="A1111" s="84">
        <f>IFERROR(__xludf.DUMMYFUNCTION("""COMPUTED_VALUE"""),1110.0)</f>
        <v>1110</v>
      </c>
      <c r="B1111" s="85" t="str">
        <f>IFERROR(__xludf.DUMMYFUNCTION("""COMPUTED_VALUE"""),"NOTEBOOK,NETBOOK E/OU ULTRAFINO -")</f>
        <v>NOTEBOOK,NETBOOK E/OU ULTRAFINO -</v>
      </c>
      <c r="C1111" s="86">
        <f>IFERROR(__xludf.DUMMYFUNCTION("""COMPUTED_VALUE"""),1.0)</f>
        <v>1</v>
      </c>
      <c r="D1111" s="87" t="str">
        <f>IFERROR(__xludf.DUMMYFUNCTION("""COMPUTED_VALUE"""),"SEÇÃO")</f>
        <v>SEÇÃO</v>
      </c>
      <c r="E1111" s="87" t="str">
        <f>IFERROR(__xludf.DUMMYFUNCTION("""COMPUTED_VALUE"""),"3 - SEPLAN")</f>
        <v>3 - SEPLAN</v>
      </c>
      <c r="F1111" s="88"/>
      <c r="G1111" s="89">
        <f>IFERROR(__xludf.DUMMYFUNCTION("""COMPUTED_VALUE"""),7.682075E7)</f>
        <v>76820750</v>
      </c>
      <c r="H1111" s="87"/>
      <c r="I1111" s="87" t="str">
        <f>IFERROR(__xludf.DUMMYFUNCTION("""COMPUTED_VALUE"""),"Positivo Master N 4350")</f>
        <v>Positivo Master N 4350</v>
      </c>
    </row>
    <row r="1112">
      <c r="A1112" s="84">
        <f>IFERROR(__xludf.DUMMYFUNCTION("""COMPUTED_VALUE"""),1111.0)</f>
        <v>1111</v>
      </c>
      <c r="B1112" s="85" t="str">
        <f>IFERROR(__xludf.DUMMYFUNCTION("""COMPUTED_VALUE"""),"TABLET PC -")</f>
        <v>TABLET PC -</v>
      </c>
      <c r="C1112" s="86">
        <f>IFERROR(__xludf.DUMMYFUNCTION("""COMPUTED_VALUE"""),1.0)</f>
        <v>1</v>
      </c>
      <c r="D1112" s="87" t="str">
        <f>IFERROR(__xludf.DUMMYFUNCTION("""COMPUTED_VALUE"""),"SEÇÃO")</f>
        <v>SEÇÃO</v>
      </c>
      <c r="E1112" s="87" t="str">
        <f>IFERROR(__xludf.DUMMYFUNCTION("""COMPUTED_VALUE"""),"3 - PPV")</f>
        <v>3 - PPV</v>
      </c>
      <c r="F1112" s="88"/>
      <c r="G1112" s="89">
        <f>IFERROR(__xludf.DUMMYFUNCTION("""COMPUTED_VALUE"""),7.6821234E7)</f>
        <v>76821234</v>
      </c>
      <c r="H1112" s="87" t="str">
        <f>IFERROR(__xludf.DUMMYFUNCTION("""COMPUTED_VALUE"""),"N.S.RXT2T10018SN")</f>
        <v>N.S.RXT2T10018SN</v>
      </c>
      <c r="I1112" s="87" t="str">
        <f>IFERROR(__xludf.DUMMYFUNCTION("""COMPUTED_VALUE"""),"IMEI:352855860817536, N.S.RXT2T10018SN, chip 89550237001018043878 (SGT LUIS)")</f>
        <v>IMEI:352855860817536, N.S.RXT2T10018SN, chip 89550237001018043878 (SGT LUIS)</v>
      </c>
    </row>
    <row r="1113">
      <c r="A1113" s="84">
        <f>IFERROR(__xludf.DUMMYFUNCTION("""COMPUTED_VALUE"""),1112.0)</f>
        <v>1112</v>
      </c>
      <c r="B1113" s="85" t="str">
        <f>IFERROR(__xludf.DUMMYFUNCTION("""COMPUTED_VALUE"""),"TABLET PC -")</f>
        <v>TABLET PC -</v>
      </c>
      <c r="C1113" s="86">
        <f>IFERROR(__xludf.DUMMYFUNCTION("""COMPUTED_VALUE"""),1.0)</f>
        <v>1</v>
      </c>
      <c r="D1113" s="87" t="str">
        <f>IFERROR(__xludf.DUMMYFUNCTION("""COMPUTED_VALUE"""),"SEÇÃO")</f>
        <v>SEÇÃO</v>
      </c>
      <c r="E1113" s="87" t="str">
        <f>IFERROR(__xludf.DUMMYFUNCTION("""COMPUTED_VALUE"""),"3 - PPV")</f>
        <v>3 - PPV</v>
      </c>
      <c r="F1113" s="88"/>
      <c r="G1113" s="89">
        <f>IFERROR(__xludf.DUMMYFUNCTION("""COMPUTED_VALUE"""),7.6821242E7)</f>
        <v>76821242</v>
      </c>
      <c r="H1113" s="87" t="str">
        <f>IFERROR(__xludf.DUMMYFUNCTION("""COMPUTED_VALUE"""),"N.S.RX2T10059CP")</f>
        <v>N.S.RX2T10059CP</v>
      </c>
      <c r="I1113" s="87" t="str">
        <f>IFERROR(__xludf.DUMMYFUNCTION("""COMPUTED_VALUE"""),"IMEI:352855860861286, N.S.RX2T10059CP, chip 89550237001018043860 (SGT GATTI)")</f>
        <v>IMEI:352855860861286, N.S.RX2T10059CP, chip 89550237001018043860 (SGT GATTI)</v>
      </c>
    </row>
    <row r="1114">
      <c r="A1114" s="84">
        <f>IFERROR(__xludf.DUMMYFUNCTION("""COMPUTED_VALUE"""),1113.0)</f>
        <v>1113</v>
      </c>
      <c r="B1114" s="85" t="str">
        <f>IFERROR(__xludf.DUMMYFUNCTION("""COMPUTED_VALUE"""),"TABLET PC -")</f>
        <v>TABLET PC -</v>
      </c>
      <c r="C1114" s="86">
        <f>IFERROR(__xludf.DUMMYFUNCTION("""COMPUTED_VALUE"""),1.0)</f>
        <v>1</v>
      </c>
      <c r="D1114" s="87" t="str">
        <f>IFERROR(__xludf.DUMMYFUNCTION("""COMPUTED_VALUE"""),"SEÇÃO")</f>
        <v>SEÇÃO</v>
      </c>
      <c r="E1114" s="87" t="str">
        <f>IFERROR(__xludf.DUMMYFUNCTION("""COMPUTED_VALUE"""),"3 - PPV")</f>
        <v>3 - PPV</v>
      </c>
      <c r="F1114" s="88"/>
      <c r="G1114" s="89">
        <f>IFERROR(__xludf.DUMMYFUNCTION("""COMPUTED_VALUE"""),7.682125E7)</f>
        <v>76821250</v>
      </c>
      <c r="H1114" s="87" t="str">
        <f>IFERROR(__xludf.DUMMYFUNCTION("""COMPUTED_VALUE"""),"N.S.RX2T1006ADJ")</f>
        <v>N.S.RX2T1006ADJ</v>
      </c>
      <c r="I1114" s="87" t="str">
        <f>IFERROR(__xludf.DUMMYFUNCTION("""COMPUTED_VALUE"""),"IMEI:352855880872515, N.S.RX2T1006ADJ (C/ TEN SAMUEL - RESERVA")</f>
        <v>IMEI:352855880872515, N.S.RX2T1006ADJ (C/ TEN SAMUEL - RESERVA</v>
      </c>
    </row>
    <row r="1115">
      <c r="A1115" s="84">
        <f>IFERROR(__xludf.DUMMYFUNCTION("""COMPUTED_VALUE"""),1114.0)</f>
        <v>1114</v>
      </c>
      <c r="B1115" s="85" t="str">
        <f>IFERROR(__xludf.DUMMYFUNCTION("""COMPUTED_VALUE"""),"TABLET PC -")</f>
        <v>TABLET PC -</v>
      </c>
      <c r="C1115" s="86">
        <f>IFERROR(__xludf.DUMMYFUNCTION("""COMPUTED_VALUE"""),1.0)</f>
        <v>1</v>
      </c>
      <c r="D1115" s="87" t="str">
        <f>IFERROR(__xludf.DUMMYFUNCTION("""COMPUTED_VALUE"""),"SEÇÃO")</f>
        <v>SEÇÃO</v>
      </c>
      <c r="E1115" s="87" t="str">
        <f>IFERROR(__xludf.DUMMYFUNCTION("""COMPUTED_VALUE"""),"3 - PPV")</f>
        <v>3 - PPV</v>
      </c>
      <c r="F1115" s="88"/>
      <c r="G1115" s="89">
        <f>IFERROR(__xludf.DUMMYFUNCTION("""COMPUTED_VALUE"""),7.6821269E7)</f>
        <v>76821269</v>
      </c>
      <c r="H1115" s="87" t="str">
        <f>IFERROR(__xludf.DUMMYFUNCTION("""COMPUTED_VALUE"""),"N.S.RX2T1006A1L")</f>
        <v>N.S.RX2T1006A1L</v>
      </c>
      <c r="I1115" s="87" t="str">
        <f>IFERROR(__xludf.DUMMYFUNCTION("""COMPUTED_VALUE"""),"IMEI:352855860872390, N.S.RX2T1006A1L (C/ TEN SAMUEL - RESERVA")</f>
        <v>IMEI:352855860872390, N.S.RX2T1006A1L (C/ TEN SAMUEL - RESERVA</v>
      </c>
    </row>
    <row r="1116">
      <c r="A1116" s="84">
        <f>IFERROR(__xludf.DUMMYFUNCTION("""COMPUTED_VALUE"""),1115.0)</f>
        <v>1115</v>
      </c>
      <c r="B1116" s="85" t="str">
        <f>IFERROR(__xludf.DUMMYFUNCTION("""COMPUTED_VALUE"""),"TABLET PC -")</f>
        <v>TABLET PC -</v>
      </c>
      <c r="C1116" s="86">
        <f>IFERROR(__xludf.DUMMYFUNCTION("""COMPUTED_VALUE"""),1.0)</f>
        <v>1</v>
      </c>
      <c r="D1116" s="87" t="str">
        <f>IFERROR(__xludf.DUMMYFUNCTION("""COMPUTED_VALUE"""),"SEÇÃO")</f>
        <v>SEÇÃO</v>
      </c>
      <c r="E1116" s="87" t="str">
        <f>IFERROR(__xludf.DUMMYFUNCTION("""COMPUTED_VALUE"""),"3 - PPV")</f>
        <v>3 - PPV</v>
      </c>
      <c r="F1116" s="88"/>
      <c r="G1116" s="89">
        <f>IFERROR(__xludf.DUMMYFUNCTION("""COMPUTED_VALUE"""),7.6821277E7)</f>
        <v>76821277</v>
      </c>
      <c r="H1116" s="87" t="str">
        <f>IFERROR(__xludf.DUMMYFUNCTION("""COMPUTED_VALUE"""),"N.S.RX2T1006F3W")</f>
        <v>N.S.RX2T1006F3W</v>
      </c>
      <c r="I1116" s="87" t="str">
        <f>IFERROR(__xludf.DUMMYFUNCTION("""COMPUTED_VALUE"""),"IMEI:352855860874065, N.S.RX2T1006F3W, chip 89550237001018043811  (SGT DOS ANJOS)")</f>
        <v>IMEI:352855860874065, N.S.RX2T1006F3W, chip 89550237001018043811  (SGT DOS ANJOS)</v>
      </c>
    </row>
    <row r="1117">
      <c r="A1117" s="84">
        <f>IFERROR(__xludf.DUMMYFUNCTION("""COMPUTED_VALUE"""),1116.0)</f>
        <v>1116</v>
      </c>
      <c r="B1117" s="85" t="str">
        <f>IFERROR(__xludf.DUMMYFUNCTION("""COMPUTED_VALUE"""),"TABLET PC -")</f>
        <v>TABLET PC -</v>
      </c>
      <c r="C1117" s="86">
        <f>IFERROR(__xludf.DUMMYFUNCTION("""COMPUTED_VALUE"""),1.0)</f>
        <v>1</v>
      </c>
      <c r="D1117" s="87" t="str">
        <f>IFERROR(__xludf.DUMMYFUNCTION("""COMPUTED_VALUE"""),"SEÇÃO")</f>
        <v>SEÇÃO</v>
      </c>
      <c r="E1117" s="87" t="str">
        <f>IFERROR(__xludf.DUMMYFUNCTION("""COMPUTED_VALUE"""),"3 - CURVELO")</f>
        <v>3 - CURVELO</v>
      </c>
      <c r="F1117" s="88"/>
      <c r="G1117" s="89">
        <f>IFERROR(__xludf.DUMMYFUNCTION("""COMPUTED_VALUE"""),7.6822028E7)</f>
        <v>76822028</v>
      </c>
      <c r="H1117" s="87" t="str">
        <f>IFERROR(__xludf.DUMMYFUNCTION("""COMPUTED_VALUE"""),"N.S.RX2T10042YV")</f>
        <v>N.S.RX2T10042YV</v>
      </c>
      <c r="I1117" s="87" t="str">
        <f>IFERROR(__xludf.DUMMYFUNCTION("""COMPUTED_VALUE"""),"IMEI: 352855860848275  N.S.RX2T10042YV, transferido p/ Curvelo")</f>
        <v>IMEI: 352855860848275  N.S.RX2T10042YV, transferido p/ Curvelo</v>
      </c>
    </row>
    <row r="1118">
      <c r="A1118" s="84">
        <f>IFERROR(__xludf.DUMMYFUNCTION("""COMPUTED_VALUE"""),1117.0)</f>
        <v>1117</v>
      </c>
      <c r="B1118" s="85" t="str">
        <f>IFERROR(__xludf.DUMMYFUNCTION("""COMPUTED_VALUE"""),"TABLET PC -")</f>
        <v>TABLET PC -</v>
      </c>
      <c r="C1118" s="86">
        <f>IFERROR(__xludf.DUMMYFUNCTION("""COMPUTED_VALUE"""),1.0)</f>
        <v>1</v>
      </c>
      <c r="D1118" s="87" t="str">
        <f>IFERROR(__xludf.DUMMYFUNCTION("""COMPUTED_VALUE"""),"SEÇÃO")</f>
        <v>SEÇÃO</v>
      </c>
      <c r="E1118" s="87" t="str">
        <f>IFERROR(__xludf.DUMMYFUNCTION("""COMPUTED_VALUE"""),"3 - CURVELO")</f>
        <v>3 - CURVELO</v>
      </c>
      <c r="F1118" s="88"/>
      <c r="G1118" s="89">
        <f>IFERROR(__xludf.DUMMYFUNCTION("""COMPUTED_VALUE"""),7.6822036E7)</f>
        <v>76822036</v>
      </c>
      <c r="H1118" s="87" t="str">
        <f>IFERROR(__xludf.DUMMYFUNCTION("""COMPUTED_VALUE"""),"N.S.RX2T10046LR")</f>
        <v>N.S.RX2T10046LR</v>
      </c>
      <c r="I1118" s="87" t="str">
        <f>IFERROR(__xludf.DUMMYFUNCTION("""COMPUTED_VALUE"""),"IMEI: 352855860849489 N.S.RX2T10046LR, transferido p/ Curvelo")</f>
        <v>IMEI: 352855860849489 N.S.RX2T10046LR, transferido p/ Curvelo</v>
      </c>
    </row>
    <row r="1119">
      <c r="A1119" s="84">
        <f>IFERROR(__xludf.DUMMYFUNCTION("""COMPUTED_VALUE"""),1118.0)</f>
        <v>1118</v>
      </c>
      <c r="B1119" s="85" t="str">
        <f>IFERROR(__xludf.DUMMYFUNCTION("""COMPUTED_VALUE"""),"COMPUTADOR -")</f>
        <v>COMPUTADOR -</v>
      </c>
      <c r="C1119" s="86">
        <f>IFERROR(__xludf.DUMMYFUNCTION("""COMPUTED_VALUE"""),1.0)</f>
        <v>1</v>
      </c>
      <c r="D1119" s="87" t="str">
        <f>IFERROR(__xludf.DUMMYFUNCTION("""COMPUTED_VALUE"""),"SEÇÃO")</f>
        <v>SEÇÃO</v>
      </c>
      <c r="E1119" s="87" t="str">
        <f>IFERROR(__xludf.DUMMYFUNCTION("""COMPUTED_VALUE"""),"3 - SEPLAN")</f>
        <v>3 - SEPLAN</v>
      </c>
      <c r="F1119" s="88"/>
      <c r="G1119" s="89">
        <f>IFERROR(__xludf.DUMMYFUNCTION("""COMPUTED_VALUE"""),7.6823512E7)</f>
        <v>76823512</v>
      </c>
      <c r="H1119" s="87" t="str">
        <f>IFERROR(__xludf.DUMMYFUNCTION("""COMPUTED_VALUE"""),"9JZRMM3")</f>
        <v>9JZRMM3</v>
      </c>
      <c r="I1119" s="87" t="str">
        <f>IFERROR(__xludf.DUMMYFUNCTION("""COMPUTED_VALUE"""),"DELL OPTIPLEX 3080 - Sgt Avelar")</f>
        <v>DELL OPTIPLEX 3080 - Sgt Avelar</v>
      </c>
    </row>
    <row r="1120">
      <c r="A1120" s="84">
        <f>IFERROR(__xludf.DUMMYFUNCTION("""COMPUTED_VALUE"""),1119.0)</f>
        <v>1119</v>
      </c>
      <c r="B1120" s="85" t="str">
        <f>IFERROR(__xludf.DUMMYFUNCTION("""COMPUTED_VALUE"""),"COMPUTADOR -")</f>
        <v>COMPUTADOR -</v>
      </c>
      <c r="C1120" s="86">
        <f>IFERROR(__xludf.DUMMYFUNCTION("""COMPUTED_VALUE"""),1.0)</f>
        <v>1</v>
      </c>
      <c r="D1120" s="87" t="str">
        <f>IFERROR(__xludf.DUMMYFUNCTION("""COMPUTED_VALUE"""),"SEÇÃO")</f>
        <v>SEÇÃO</v>
      </c>
      <c r="E1120" s="87" t="str">
        <f>IFERROR(__xludf.DUMMYFUNCTION("""COMPUTED_VALUE"""),"3 - CURVELO")</f>
        <v>3 - CURVELO</v>
      </c>
      <c r="F1120" s="88"/>
      <c r="G1120" s="89">
        <f>IFERROR(__xludf.DUMMYFUNCTION("""COMPUTED_VALUE"""),7.6823539E7)</f>
        <v>76823539</v>
      </c>
      <c r="H1120" s="87" t="str">
        <f>IFERROR(__xludf.DUMMYFUNCTION("""COMPUTED_VALUE"""),"DHZRMM3")</f>
        <v>DHZRMM3</v>
      </c>
      <c r="I1120" s="87" t="str">
        <f>IFERROR(__xludf.DUMMYFUNCTION("""COMPUTED_VALUE"""),"DELL OPTIPLEX 3080 - SOF DE CURVELO")</f>
        <v>DELL OPTIPLEX 3080 - SOF DE CURVELO</v>
      </c>
    </row>
    <row r="1121">
      <c r="A1121" s="84">
        <f>IFERROR(__xludf.DUMMYFUNCTION("""COMPUTED_VALUE"""),1120.0)</f>
        <v>1120</v>
      </c>
      <c r="B1121" s="85" t="str">
        <f>IFERROR(__xludf.DUMMYFUNCTION("""COMPUTED_VALUE"""),"COMPUTADOR -")</f>
        <v>COMPUTADOR -</v>
      </c>
      <c r="C1121" s="86">
        <f>IFERROR(__xludf.DUMMYFUNCTION("""COMPUTED_VALUE"""),1.0)</f>
        <v>1</v>
      </c>
      <c r="D1121" s="87" t="str">
        <f>IFERROR(__xludf.DUMMYFUNCTION("""COMPUTED_VALUE"""),"SEÇÃO")</f>
        <v>SEÇÃO</v>
      </c>
      <c r="E1121" s="87" t="str">
        <f>IFERROR(__xludf.DUMMYFUNCTION("""COMPUTED_VALUE"""),"3 - SEPLAN")</f>
        <v>3 - SEPLAN</v>
      </c>
      <c r="F1121" s="88"/>
      <c r="G1121" s="89">
        <f>IFERROR(__xludf.DUMMYFUNCTION("""COMPUTED_VALUE"""),7.6823547E7)</f>
        <v>76823547</v>
      </c>
      <c r="H1121" s="87" t="str">
        <f>IFERROR(__xludf.DUMMYFUNCTION("""COMPUTED_VALUE"""),"6JCRMM3")</f>
        <v>6JCRMM3</v>
      </c>
      <c r="I1121" s="87" t="str">
        <f>IFERROR(__xludf.DUMMYFUNCTION("""COMPUTED_VALUE"""),"DELL OPTIPLEX 3080 - ten Otacílio")</f>
        <v>DELL OPTIPLEX 3080 - ten Otacílio</v>
      </c>
    </row>
    <row r="1122">
      <c r="A1122" s="84">
        <f>IFERROR(__xludf.DUMMYFUNCTION("""COMPUTED_VALUE"""),1121.0)</f>
        <v>1121</v>
      </c>
      <c r="B1122" s="85" t="str">
        <f>IFERROR(__xludf.DUMMYFUNCTION("""COMPUTED_VALUE"""),"COMPUTADOR -")</f>
        <v>COMPUTADOR -</v>
      </c>
      <c r="C1122" s="86">
        <f>IFERROR(__xludf.DUMMYFUNCTION("""COMPUTED_VALUE"""),1.0)</f>
        <v>1</v>
      </c>
      <c r="D1122" s="87" t="str">
        <f>IFERROR(__xludf.DUMMYFUNCTION("""COMPUTED_VALUE"""),"SEÇÃO")</f>
        <v>SEÇÃO</v>
      </c>
      <c r="E1122" s="87" t="str">
        <f>IFERROR(__xludf.DUMMYFUNCTION("""COMPUTED_VALUE"""),"3 - CURVELO")</f>
        <v>3 - CURVELO</v>
      </c>
      <c r="F1122" s="88"/>
      <c r="G1122" s="89">
        <f>IFERROR(__xludf.DUMMYFUNCTION("""COMPUTED_VALUE"""),7.682366E7)</f>
        <v>76823660</v>
      </c>
      <c r="H1122" s="87" t="str">
        <f>IFERROR(__xludf.DUMMYFUNCTION("""COMPUTED_VALUE"""),"8FZRMM3")</f>
        <v>8FZRMM3</v>
      </c>
      <c r="I1122" s="87" t="str">
        <f>IFERROR(__xludf.DUMMYFUNCTION("""COMPUTED_VALUE"""),"DELL OPTIPLEX 3080 - COM CB THIAGO DE CURVELO")</f>
        <v>DELL OPTIPLEX 3080 - COM CB THIAGO DE CURVELO</v>
      </c>
    </row>
    <row r="1123">
      <c r="A1123" s="84">
        <f>IFERROR(__xludf.DUMMYFUNCTION("""COMPUTED_VALUE"""),1122.0)</f>
        <v>1122</v>
      </c>
      <c r="B1123" s="85" t="str">
        <f>IFERROR(__xludf.DUMMYFUNCTION("""COMPUTED_VALUE"""),"SERRA SABRE -")</f>
        <v>SERRA SABRE -</v>
      </c>
      <c r="C1123" s="86">
        <f>IFERROR(__xludf.DUMMYFUNCTION("""COMPUTED_VALUE"""),1.0)</f>
        <v>1</v>
      </c>
      <c r="D1123" s="87" t="str">
        <f>IFERROR(__xludf.DUMMYFUNCTION("""COMPUTED_VALUE"""),"SEÇÃO")</f>
        <v>SEÇÃO</v>
      </c>
      <c r="E1123" s="87" t="str">
        <f>IFERROR(__xludf.DUMMYFUNCTION("""COMPUTED_VALUE"""),"3 - ALMOX. ESTOQUE")</f>
        <v>3 - ALMOX. ESTOQUE</v>
      </c>
      <c r="F1123" s="88" t="str">
        <f>IFERROR(__xludf.DUMMYFUNCTION("""COMPUTED_VALUE"""),"SAO")</f>
        <v>SAO</v>
      </c>
      <c r="G1123" s="89">
        <f>IFERROR(__xludf.DUMMYFUNCTION("""COMPUTED_VALUE"""),7.6823776E7)</f>
        <v>76823776</v>
      </c>
      <c r="H1123" s="87"/>
      <c r="I1123" s="87"/>
    </row>
    <row r="1124">
      <c r="A1124" s="84">
        <f>IFERROR(__xludf.DUMMYFUNCTION("""COMPUTED_VALUE"""),1123.0)</f>
        <v>1123</v>
      </c>
      <c r="B1124" s="85" t="str">
        <f>IFERROR(__xludf.DUMMYFUNCTION("""COMPUTED_VALUE"""),"MICRO RETIFICA -")</f>
        <v>MICRO RETIFICA -</v>
      </c>
      <c r="C1124" s="86">
        <f>IFERROR(__xludf.DUMMYFUNCTION("""COMPUTED_VALUE"""),1.0)</f>
        <v>1</v>
      </c>
      <c r="D1124" s="87" t="str">
        <f>IFERROR(__xludf.DUMMYFUNCTION("""COMPUTED_VALUE"""),"SEÇÃO")</f>
        <v>SEÇÃO</v>
      </c>
      <c r="E1124" s="87" t="str">
        <f>IFERROR(__xludf.DUMMYFUNCTION("""COMPUTED_VALUE"""),"3 - ALMOX. ESTOQUE")</f>
        <v>3 - ALMOX. ESTOQUE</v>
      </c>
      <c r="F1124" s="88" t="str">
        <f>IFERROR(__xludf.DUMMYFUNCTION("""COMPUTED_VALUE"""),"SAO")</f>
        <v>SAO</v>
      </c>
      <c r="G1124" s="89">
        <f>IFERROR(__xludf.DUMMYFUNCTION("""COMPUTED_VALUE"""),7.6823822E7)</f>
        <v>76823822</v>
      </c>
      <c r="H1124" s="87"/>
      <c r="I1124" s="87"/>
    </row>
    <row r="1125">
      <c r="A1125" s="84">
        <f>IFERROR(__xludf.DUMMYFUNCTION("""COMPUTED_VALUE"""),1124.0)</f>
        <v>1124</v>
      </c>
      <c r="B1125" s="85" t="str">
        <f>IFERROR(__xludf.DUMMYFUNCTION("""COMPUTED_VALUE"""),"MICRO RETIFICA -")</f>
        <v>MICRO RETIFICA -</v>
      </c>
      <c r="C1125" s="86">
        <f>IFERROR(__xludf.DUMMYFUNCTION("""COMPUTED_VALUE"""),1.0)</f>
        <v>1</v>
      </c>
      <c r="D1125" s="87" t="str">
        <f>IFERROR(__xludf.DUMMYFUNCTION("""COMPUTED_VALUE"""),"SEÇÃO")</f>
        <v>SEÇÃO</v>
      </c>
      <c r="E1125" s="87" t="str">
        <f>IFERROR(__xludf.DUMMYFUNCTION("""COMPUTED_VALUE"""),"3 - ALMOX. ESTOQUE")</f>
        <v>3 - ALMOX. ESTOQUE</v>
      </c>
      <c r="F1125" s="88" t="str">
        <f>IFERROR(__xludf.DUMMYFUNCTION("""COMPUTED_VALUE"""),"SAO")</f>
        <v>SAO</v>
      </c>
      <c r="G1125" s="89">
        <f>IFERROR(__xludf.DUMMYFUNCTION("""COMPUTED_VALUE"""),7.682383E7)</f>
        <v>76823830</v>
      </c>
      <c r="H1125" s="87"/>
      <c r="I1125" s="87"/>
    </row>
    <row r="1126">
      <c r="A1126" s="84">
        <f>IFERROR(__xludf.DUMMYFUNCTION("""COMPUTED_VALUE"""),1125.0)</f>
        <v>1125</v>
      </c>
      <c r="B1126" s="85" t="str">
        <f>IFERROR(__xludf.DUMMYFUNCTION("""COMPUTED_VALUE"""),"SERRA SABRE -")</f>
        <v>SERRA SABRE -</v>
      </c>
      <c r="C1126" s="86">
        <f>IFERROR(__xludf.DUMMYFUNCTION("""COMPUTED_VALUE"""),1.0)</f>
        <v>1</v>
      </c>
      <c r="D1126" s="87" t="str">
        <f>IFERROR(__xludf.DUMMYFUNCTION("""COMPUTED_VALUE"""),"SEÇÃO")</f>
        <v>SEÇÃO</v>
      </c>
      <c r="E1126" s="87" t="str">
        <f>IFERROR(__xludf.DUMMYFUNCTION("""COMPUTED_VALUE"""),"3 - ALMOX. ESTOQUE")</f>
        <v>3 - ALMOX. ESTOQUE</v>
      </c>
      <c r="F1126" s="88" t="str">
        <f>IFERROR(__xludf.DUMMYFUNCTION("""COMPUTED_VALUE"""),"SAO")</f>
        <v>SAO</v>
      </c>
      <c r="G1126" s="89">
        <f>IFERROR(__xludf.DUMMYFUNCTION("""COMPUTED_VALUE"""),7.6826023E7)</f>
        <v>76826023</v>
      </c>
      <c r="H1126" s="87"/>
      <c r="I1126" s="87"/>
    </row>
    <row r="1127">
      <c r="A1127" s="84">
        <f>IFERROR(__xludf.DUMMYFUNCTION("""COMPUTED_VALUE"""),1126.0)</f>
        <v>1126</v>
      </c>
      <c r="B1127" s="85" t="str">
        <f>IFERROR(__xludf.DUMMYFUNCTION("""COMPUTED_VALUE"""),"LANTERNA LUZ DE CENA -")</f>
        <v>LANTERNA LUZ DE CENA -</v>
      </c>
      <c r="C1127" s="86">
        <f>IFERROR(__xludf.DUMMYFUNCTION("""COMPUTED_VALUE"""),1.0)</f>
        <v>1</v>
      </c>
      <c r="D1127" s="87" t="str">
        <f>IFERROR(__xludf.DUMMYFUNCTION("""COMPUTED_VALUE"""),"SEÇÃO")</f>
        <v>SEÇÃO</v>
      </c>
      <c r="E1127" s="87" t="str">
        <f>IFERROR(__xludf.DUMMYFUNCTION("""COMPUTED_VALUE"""),"3 - ALMOX. ESTOQUE")</f>
        <v>3 - ALMOX. ESTOQUE</v>
      </c>
      <c r="F1127" s="88" t="str">
        <f>IFERROR(__xludf.DUMMYFUNCTION("""COMPUTED_VALUE"""),"BAIXADO")</f>
        <v>BAIXADO</v>
      </c>
      <c r="G1127" s="89">
        <f>IFERROR(__xludf.DUMMYFUNCTION("""COMPUTED_VALUE"""),7.6828409E7)</f>
        <v>76828409</v>
      </c>
      <c r="H1127" s="87" t="str">
        <f>IFERROR(__xludf.DUMMYFUNCTION("""COMPUTED_VALUE"""),"N.S. 44353")</f>
        <v>N.S. 44353</v>
      </c>
      <c r="I1127" s="87" t="str">
        <f>IFERROR(__xludf.DUMMYFUNCTION("""COMPUTED_VALUE"""),"Lanterna Survivor streamlight  c/ base carregador e carr. veicular (ALTERAÇÃO: NÃO FOI LOCALIZADO O CABO DO CARREGADOR PELA 4° ALA NO DIA 07/09/24, AGUARDANDO SOLUÇÃO)")</f>
        <v>Lanterna Survivor streamlight  c/ base carregador e carr. veicular (ALTERAÇÃO: NÃO FOI LOCALIZADO O CABO DO CARREGADOR PELA 4° ALA NO DIA 07/09/24, AGUARDANDO SOLUÇÃO)</v>
      </c>
    </row>
    <row r="1128">
      <c r="A1128" s="84">
        <f>IFERROR(__xludf.DUMMYFUNCTION("""COMPUTED_VALUE"""),1127.0)</f>
        <v>1127</v>
      </c>
      <c r="B1128" s="85" t="str">
        <f>IFERROR(__xludf.DUMMYFUNCTION("""COMPUTED_VALUE"""),"COMPUTADOR -")</f>
        <v>COMPUTADOR -</v>
      </c>
      <c r="C1128" s="86">
        <f>IFERROR(__xludf.DUMMYFUNCTION("""COMPUTED_VALUE"""),1.0)</f>
        <v>1</v>
      </c>
      <c r="D1128" s="87" t="str">
        <f>IFERROR(__xludf.DUMMYFUNCTION("""COMPUTED_VALUE"""),"SEÇÃO")</f>
        <v>SEÇÃO</v>
      </c>
      <c r="E1128" s="87" t="str">
        <f>IFERROR(__xludf.DUMMYFUNCTION("""COMPUTED_VALUE"""),"3 - PPV")</f>
        <v>3 - PPV</v>
      </c>
      <c r="F1128" s="88"/>
      <c r="G1128" s="89">
        <f>IFERROR(__xludf.DUMMYFUNCTION("""COMPUTED_VALUE"""),7.6828964E7)</f>
        <v>76828964</v>
      </c>
      <c r="H1128" s="87" t="str">
        <f>IFERROR(__xludf.DUMMYFUNCTION("""COMPUTED_VALUE"""),"TE08L72E")</f>
        <v>TE08L72E</v>
      </c>
      <c r="I1128" s="87" t="str">
        <f>IFERROR(__xludf.DUMMYFUNCTION("""COMPUTED_VALUE"""),"Lenovo M70Q tyme thinkcentre - (SGT GATTI) - FAB. 2022")</f>
        <v>Lenovo M70Q tyme thinkcentre - (SGT GATTI) - FAB. 2022</v>
      </c>
    </row>
    <row r="1129">
      <c r="A1129" s="84">
        <f>IFERROR(__xludf.DUMMYFUNCTION("""COMPUTED_VALUE"""),1128.0)</f>
        <v>1128</v>
      </c>
      <c r="B1129" s="85" t="str">
        <f>IFERROR(__xludf.DUMMYFUNCTION("""COMPUTED_VALUE"""),"EQUIPAMENTO PARA DETECCAO DE GASES -")</f>
        <v>EQUIPAMENTO PARA DETECCAO DE GASES -</v>
      </c>
      <c r="C1129" s="86">
        <f>IFERROR(__xludf.DUMMYFUNCTION("""COMPUTED_VALUE"""),1.0)</f>
        <v>1</v>
      </c>
      <c r="D1129" s="87" t="str">
        <f>IFERROR(__xludf.DUMMYFUNCTION("""COMPUTED_VALUE"""),"SEÇÃO")</f>
        <v>SEÇÃO</v>
      </c>
      <c r="E1129" s="87" t="str">
        <f>IFERROR(__xludf.DUMMYFUNCTION("""COMPUTED_VALUE"""),"3 - CURVELO")</f>
        <v>3 - CURVELO</v>
      </c>
      <c r="F1129" s="88"/>
      <c r="G1129" s="89">
        <f>IFERROR(__xludf.DUMMYFUNCTION("""COMPUTED_VALUE"""),7.68292E7)</f>
        <v>76829200</v>
      </c>
      <c r="H1129" s="87"/>
      <c r="I1129" s="87" t="str">
        <f>IFERROR(__xludf.DUMMYFUNCTION("""COMPUTED_VALUE"""),"Transferido para Curvelo")</f>
        <v>Transferido para Curvelo</v>
      </c>
    </row>
    <row r="1130">
      <c r="A1130" s="84">
        <f>IFERROR(__xludf.DUMMYFUNCTION("""COMPUTED_VALUE"""),1129.0)</f>
        <v>1129</v>
      </c>
      <c r="B1130" s="85" t="str">
        <f>IFERROR(__xludf.DUMMYFUNCTION("""COMPUTED_VALUE"""),"LANTERNA LUZ DE CENA -")</f>
        <v>LANTERNA LUZ DE CENA -</v>
      </c>
      <c r="C1130" s="86">
        <f>IFERROR(__xludf.DUMMYFUNCTION("""COMPUTED_VALUE"""),1.0)</f>
        <v>1</v>
      </c>
      <c r="D1130" s="87" t="str">
        <f>IFERROR(__xludf.DUMMYFUNCTION("""COMPUTED_VALUE"""),"VIATURA")</f>
        <v>VIATURA</v>
      </c>
      <c r="E1130" s="87" t="str">
        <f>IFERROR(__xludf.DUMMYFUNCTION("""COMPUTED_VALUE"""),"1 - ABTS5911")</f>
        <v>1 - ABTS5911</v>
      </c>
      <c r="F1130" s="88" t="str">
        <f>IFERROR(__xludf.DUMMYFUNCTION("""COMPUTED_VALUE"""),"BOX 01")</f>
        <v>BOX 01</v>
      </c>
      <c r="G1130" s="89">
        <f>IFERROR(__xludf.DUMMYFUNCTION("""COMPUTED_VALUE"""),7.6829391E7)</f>
        <v>76829391</v>
      </c>
      <c r="H1130" s="87"/>
      <c r="I1130" s="87" t="str">
        <f>IFERROR(__xludf.DUMMYFUNCTION("""COMPUTED_VALUE"""),"STREAMLIGHT")</f>
        <v>STREAMLIGHT</v>
      </c>
    </row>
    <row r="1131">
      <c r="A1131" s="84">
        <f>IFERROR(__xludf.DUMMYFUNCTION("""COMPUTED_VALUE"""),1130.0)</f>
        <v>1130</v>
      </c>
      <c r="B1131" s="85" t="str">
        <f>IFERROR(__xludf.DUMMYFUNCTION("""COMPUTED_VALUE"""),"CILINDRO DE OXIGENIO, PARA MERGULHO -")</f>
        <v>CILINDRO DE OXIGENIO, PARA MERGULHO -</v>
      </c>
      <c r="C1131" s="86">
        <f>IFERROR(__xludf.DUMMYFUNCTION("""COMPUTED_VALUE"""),1.0)</f>
        <v>1</v>
      </c>
      <c r="D1131" s="87" t="str">
        <f>IFERROR(__xludf.DUMMYFUNCTION("""COMPUTED_VALUE"""),"SEÇÃO")</f>
        <v>SEÇÃO</v>
      </c>
      <c r="E1131" s="87" t="str">
        <f>IFERROR(__xludf.DUMMYFUNCTION("""COMPUTED_VALUE"""),"3 - DESCARGA")</f>
        <v>3 - DESCARGA</v>
      </c>
      <c r="F1131" s="88"/>
      <c r="G1131" s="89">
        <f>IFERROR(__xludf.DUMMYFUNCTION("""COMPUTED_VALUE"""),7.683008E7)</f>
        <v>76830080</v>
      </c>
      <c r="H1131" s="87"/>
      <c r="I1131" s="87" t="str">
        <f>IFERROR(__xludf.DUMMYFUNCTION("""COMPUTED_VALUE"""),"ENCONTRA-SE ATRÁS DO PALCO PARA DESCARGA")</f>
        <v>ENCONTRA-SE ATRÁS DO PALCO PARA DESCARGA</v>
      </c>
    </row>
    <row r="1132">
      <c r="A1132" s="84">
        <f>IFERROR(__xludf.DUMMYFUNCTION("""COMPUTED_VALUE"""),1131.0)</f>
        <v>1131</v>
      </c>
      <c r="B1132" s="85" t="str">
        <f>IFERROR(__xludf.DUMMYFUNCTION("""COMPUTED_VALUE"""),"CILINDRO DE OXIGENIO, PARA MERGULHO -")</f>
        <v>CILINDRO DE OXIGENIO, PARA MERGULHO -</v>
      </c>
      <c r="C1132" s="86">
        <f>IFERROR(__xludf.DUMMYFUNCTION("""COMPUTED_VALUE"""),1.0)</f>
        <v>1</v>
      </c>
      <c r="D1132" s="87" t="str">
        <f>IFERROR(__xludf.DUMMYFUNCTION("""COMPUTED_VALUE"""),"SEÇÃO")</f>
        <v>SEÇÃO</v>
      </c>
      <c r="E1132" s="87" t="str">
        <f>IFERROR(__xludf.DUMMYFUNCTION("""COMPUTED_VALUE"""),"3 - DESCARGA")</f>
        <v>3 - DESCARGA</v>
      </c>
      <c r="F1132" s="88"/>
      <c r="G1132" s="89">
        <f>IFERROR(__xludf.DUMMYFUNCTION("""COMPUTED_VALUE"""),7.6830098E7)</f>
        <v>76830098</v>
      </c>
      <c r="H1132" s="87"/>
      <c r="I1132" s="87" t="str">
        <f>IFERROR(__xludf.DUMMYFUNCTION("""COMPUTED_VALUE"""),"ENCONTRA-SE ATRÁS DO PALCO PARA DESCARGA")</f>
        <v>ENCONTRA-SE ATRÁS DO PALCO PARA DESCARGA</v>
      </c>
    </row>
    <row r="1133">
      <c r="A1133" s="84">
        <f>IFERROR(__xludf.DUMMYFUNCTION("""COMPUTED_VALUE"""),1132.0)</f>
        <v>1132</v>
      </c>
      <c r="B1133" s="85" t="str">
        <f>IFERROR(__xludf.DUMMYFUNCTION("""COMPUTED_VALUE"""),"CILINDRO DE OXIGENIO, PARA MERGULHO -")</f>
        <v>CILINDRO DE OXIGENIO, PARA MERGULHO -</v>
      </c>
      <c r="C1133" s="86">
        <f>IFERROR(__xludf.DUMMYFUNCTION("""COMPUTED_VALUE"""),1.0)</f>
        <v>1</v>
      </c>
      <c r="D1133" s="87" t="str">
        <f>IFERROR(__xludf.DUMMYFUNCTION("""COMPUTED_VALUE"""),"SEÇÃO")</f>
        <v>SEÇÃO</v>
      </c>
      <c r="E1133" s="87" t="str">
        <f>IFERROR(__xludf.DUMMYFUNCTION("""COMPUTED_VALUE"""),"3 - DESCARGA")</f>
        <v>3 - DESCARGA</v>
      </c>
      <c r="F1133" s="88"/>
      <c r="G1133" s="89">
        <f>IFERROR(__xludf.DUMMYFUNCTION("""COMPUTED_VALUE"""),7.6830101E7)</f>
        <v>76830101</v>
      </c>
      <c r="H1133" s="87"/>
      <c r="I1133" s="87" t="str">
        <f>IFERROR(__xludf.DUMMYFUNCTION("""COMPUTED_VALUE"""),"ENCONTRA-SE ATRÁS DO PALCO PARA DESCARGA")</f>
        <v>ENCONTRA-SE ATRÁS DO PALCO PARA DESCARGA</v>
      </c>
    </row>
    <row r="1134">
      <c r="A1134" s="84">
        <f>IFERROR(__xludf.DUMMYFUNCTION("""COMPUTED_VALUE"""),1133.0)</f>
        <v>1133</v>
      </c>
      <c r="B1134" s="85" t="str">
        <f>IFERROR(__xludf.DUMMYFUNCTION("""COMPUTED_VALUE"""),"CILINDRO DE OXIGENIO, PARA MERGULHO -")</f>
        <v>CILINDRO DE OXIGENIO, PARA MERGULHO -</v>
      </c>
      <c r="C1134" s="86">
        <f>IFERROR(__xludf.DUMMYFUNCTION("""COMPUTED_VALUE"""),1.0)</f>
        <v>1</v>
      </c>
      <c r="D1134" s="87" t="str">
        <f>IFERROR(__xludf.DUMMYFUNCTION("""COMPUTED_VALUE"""),"SEÇÃO")</f>
        <v>SEÇÃO</v>
      </c>
      <c r="E1134" s="87" t="str">
        <f>IFERROR(__xludf.DUMMYFUNCTION("""COMPUTED_VALUE"""),"3 - DESCARGA")</f>
        <v>3 - DESCARGA</v>
      </c>
      <c r="F1134" s="88"/>
      <c r="G1134" s="89">
        <f>IFERROR(__xludf.DUMMYFUNCTION("""COMPUTED_VALUE"""),7.683011E7)</f>
        <v>76830110</v>
      </c>
      <c r="H1134" s="87"/>
      <c r="I1134" s="87" t="str">
        <f>IFERROR(__xludf.DUMMYFUNCTION("""COMPUTED_VALUE"""),"ENCONTRA-SE ATRÁS DO PALCO PARA DESCARGA")</f>
        <v>ENCONTRA-SE ATRÁS DO PALCO PARA DESCARGA</v>
      </c>
    </row>
    <row r="1135">
      <c r="A1135" s="84">
        <f>IFERROR(__xludf.DUMMYFUNCTION("""COMPUTED_VALUE"""),1134.0)</f>
        <v>1134</v>
      </c>
      <c r="B1135" s="85" t="str">
        <f>IFERROR(__xludf.DUMMYFUNCTION("""COMPUTED_VALUE"""),"CILINDRO DE OXIGENIO, PARA MERGULHO -")</f>
        <v>CILINDRO DE OXIGENIO, PARA MERGULHO -</v>
      </c>
      <c r="C1135" s="86">
        <f>IFERROR(__xludf.DUMMYFUNCTION("""COMPUTED_VALUE"""),1.0)</f>
        <v>1</v>
      </c>
      <c r="D1135" s="87" t="str">
        <f>IFERROR(__xludf.DUMMYFUNCTION("""COMPUTED_VALUE"""),"SEÇÃO")</f>
        <v>SEÇÃO</v>
      </c>
      <c r="E1135" s="87" t="str">
        <f>IFERROR(__xludf.DUMMYFUNCTION("""COMPUTED_VALUE"""),"3 - ALMOX. ESTOQUE")</f>
        <v>3 - ALMOX. ESTOQUE</v>
      </c>
      <c r="F1135" s="88" t="str">
        <f>IFERROR(__xludf.DUMMYFUNCTION("""COMPUTED_VALUE"""),"ALMOX. SAO (SEDE)")</f>
        <v>ALMOX. SAO (SEDE)</v>
      </c>
      <c r="G1135" s="89">
        <f>IFERROR(__xludf.DUMMYFUNCTION("""COMPUTED_VALUE"""),7.6830128E7)</f>
        <v>76830128</v>
      </c>
      <c r="H1135" s="87"/>
      <c r="I1135" s="87"/>
    </row>
    <row r="1136">
      <c r="A1136" s="84">
        <f>IFERROR(__xludf.DUMMYFUNCTION("""COMPUTED_VALUE"""),1135.0)</f>
        <v>1135</v>
      </c>
      <c r="B1136" s="85" t="str">
        <f>IFERROR(__xludf.DUMMYFUNCTION("""COMPUTED_VALUE"""),"CILINDRO DE OXIGENIO, PARA MERGULHO -")</f>
        <v>CILINDRO DE OXIGENIO, PARA MERGULHO -</v>
      </c>
      <c r="C1136" s="86">
        <f>IFERROR(__xludf.DUMMYFUNCTION("""COMPUTED_VALUE"""),1.0)</f>
        <v>1</v>
      </c>
      <c r="D1136" s="87" t="str">
        <f>IFERROR(__xludf.DUMMYFUNCTION("""COMPUTED_VALUE"""),"SEÇÃO")</f>
        <v>SEÇÃO</v>
      </c>
      <c r="E1136" s="87" t="str">
        <f>IFERROR(__xludf.DUMMYFUNCTION("""COMPUTED_VALUE"""),"3 - ALMOX. ESTOQUE")</f>
        <v>3 - ALMOX. ESTOQUE</v>
      </c>
      <c r="F1136" s="88" t="str">
        <f>IFERROR(__xludf.DUMMYFUNCTION("""COMPUTED_VALUE"""),"ALMOX. SAO (SEDE)")</f>
        <v>ALMOX. SAO (SEDE)</v>
      </c>
      <c r="G1136" s="89">
        <f>IFERROR(__xludf.DUMMYFUNCTION("""COMPUTED_VALUE"""),7.6830136E7)</f>
        <v>76830136</v>
      </c>
      <c r="H1136" s="87"/>
      <c r="I1136" s="87"/>
    </row>
    <row r="1137">
      <c r="A1137" s="84">
        <f>IFERROR(__xludf.DUMMYFUNCTION("""COMPUTED_VALUE"""),1136.0)</f>
        <v>1136</v>
      </c>
      <c r="B1137" s="85" t="str">
        <f>IFERROR(__xludf.DUMMYFUNCTION("""COMPUTED_VALUE"""),"CILINDRO DE OXIGENIO, PARA MERGULHO -")</f>
        <v>CILINDRO DE OXIGENIO, PARA MERGULHO -</v>
      </c>
      <c r="C1137" s="86">
        <f>IFERROR(__xludf.DUMMYFUNCTION("""COMPUTED_VALUE"""),1.0)</f>
        <v>1</v>
      </c>
      <c r="D1137" s="87" t="str">
        <f>IFERROR(__xludf.DUMMYFUNCTION("""COMPUTED_VALUE"""),"SEÇÃO")</f>
        <v>SEÇÃO</v>
      </c>
      <c r="E1137" s="87" t="str">
        <f>IFERROR(__xludf.DUMMYFUNCTION("""COMPUTED_VALUE"""),"3 - ALMOX. ESTOQUE")</f>
        <v>3 - ALMOX. ESTOQUE</v>
      </c>
      <c r="F1137" s="88" t="str">
        <f>IFERROR(__xludf.DUMMYFUNCTION("""COMPUTED_VALUE"""),"ALMOX. SAO (SEDE)")</f>
        <v>ALMOX. SAO (SEDE)</v>
      </c>
      <c r="G1137" s="89">
        <f>IFERROR(__xludf.DUMMYFUNCTION("""COMPUTED_VALUE"""),7.6830144E7)</f>
        <v>76830144</v>
      </c>
      <c r="H1137" s="87"/>
      <c r="I1137" s="87"/>
    </row>
    <row r="1138">
      <c r="A1138" s="84">
        <f>IFERROR(__xludf.DUMMYFUNCTION("""COMPUTED_VALUE"""),1137.0)</f>
        <v>1137</v>
      </c>
      <c r="B1138" s="85" t="str">
        <f>IFERROR(__xludf.DUMMYFUNCTION("""COMPUTED_VALUE"""),"EQUIPAMENTO DE PROTEÇÃO RESPIRATÓRIO, COMPLETO -")</f>
        <v>EQUIPAMENTO DE PROTEÇÃO RESPIRATÓRIO, COMPLETO -</v>
      </c>
      <c r="C1138" s="86">
        <f>IFERROR(__xludf.DUMMYFUNCTION("""COMPUTED_VALUE"""),1.0)</f>
        <v>1</v>
      </c>
      <c r="D1138" s="87" t="str">
        <f>IFERROR(__xludf.DUMMYFUNCTION("""COMPUTED_VALUE"""),"SEÇÃO")</f>
        <v>SEÇÃO</v>
      </c>
      <c r="E1138" s="87" t="str">
        <f>IFERROR(__xludf.DUMMYFUNCTION("""COMPUTED_VALUE"""),"3 - ALMOX. ESTOQUE")</f>
        <v>3 - ALMOX. ESTOQUE</v>
      </c>
      <c r="F1138" s="88" t="str">
        <f>IFERROR(__xludf.DUMMYFUNCTION("""COMPUTED_VALUE"""),"ALMOX. SAO (SEDE)")</f>
        <v>ALMOX. SAO (SEDE)</v>
      </c>
      <c r="G1138" s="89">
        <f>IFERROR(__xludf.DUMMYFUNCTION("""COMPUTED_VALUE"""),7.6813088E7)</f>
        <v>76813088</v>
      </c>
      <c r="H1138" s="87" t="str">
        <f>IFERROR(__xludf.DUMMYFUNCTION("""COMPUTED_VALUE"""),"N.S.115S2208011460")</f>
        <v>N.S.115S2208011460</v>
      </c>
      <c r="I1138" s="87" t="str">
        <f>IFERROR(__xludf.DUMMYFUNCTION("""COMPUTED_VALUE"""),"MATERIAL DA ATB 0722 ARMAZENADO NA SAO (SEDE)")</f>
        <v>MATERIAL DA ATB 0722 ARMAZENADO NA SAO (SEDE)</v>
      </c>
    </row>
    <row r="1139">
      <c r="A1139" s="84">
        <f>IFERROR(__xludf.DUMMYFUNCTION("""COMPUTED_VALUE"""),1138.0)</f>
        <v>1138</v>
      </c>
      <c r="B1139" s="85" t="str">
        <f>IFERROR(__xludf.DUMMYFUNCTION("""COMPUTED_VALUE"""),"EQUIPAMENTO DE PROTEÇÃO RESPIRATÓRIO, COMPLETO -")</f>
        <v>EQUIPAMENTO DE PROTEÇÃO RESPIRATÓRIO, COMPLETO -</v>
      </c>
      <c r="C1139" s="86">
        <f>IFERROR(__xludf.DUMMYFUNCTION("""COMPUTED_VALUE"""),1.0)</f>
        <v>1</v>
      </c>
      <c r="D1139" s="87" t="str">
        <f>IFERROR(__xludf.DUMMYFUNCTION("""COMPUTED_VALUE"""),"SEÇÃO")</f>
        <v>SEÇÃO</v>
      </c>
      <c r="E1139" s="87" t="str">
        <f>IFERROR(__xludf.DUMMYFUNCTION("""COMPUTED_VALUE"""),"3 - ALMOX. ESTOQUE")</f>
        <v>3 - ALMOX. ESTOQUE</v>
      </c>
      <c r="F1139" s="88" t="str">
        <f>IFERROR(__xludf.DUMMYFUNCTION("""COMPUTED_VALUE"""),"ALMOX. SAO (SEDE)")</f>
        <v>ALMOX. SAO (SEDE)</v>
      </c>
      <c r="G1139" s="89">
        <f>IFERROR(__xludf.DUMMYFUNCTION("""COMPUTED_VALUE"""),7.6830705E7)</f>
        <v>76830705</v>
      </c>
      <c r="H1139" s="87" t="str">
        <f>IFERROR(__xludf.DUMMYFUNCTION("""COMPUTED_VALUE"""),"N.S.115S1920012559 ")</f>
        <v>N.S.115S1920012559 </v>
      </c>
      <c r="I1139" s="87" t="str">
        <f>IFERROR(__xludf.DUMMYFUNCTION("""COMPUTED_VALUE"""),"MATERIAL DA ATB 0722 ARMAZENADO NA SAO (SEDE)")</f>
        <v>MATERIAL DA ATB 0722 ARMAZENADO NA SAO (SEDE)</v>
      </c>
    </row>
    <row r="1140">
      <c r="A1140" s="84">
        <f>IFERROR(__xludf.DUMMYFUNCTION("""COMPUTED_VALUE"""),1139.0)</f>
        <v>1139</v>
      </c>
      <c r="B1140" s="85" t="str">
        <f>IFERROR(__xludf.DUMMYFUNCTION("""COMPUTED_VALUE"""),"FERRAMENTA PARA DESENCARCERAMENTO -")</f>
        <v>FERRAMENTA PARA DESENCARCERAMENTO -</v>
      </c>
      <c r="C1140" s="86">
        <f>IFERROR(__xludf.DUMMYFUNCTION("""COMPUTED_VALUE"""),1.0)</f>
        <v>1</v>
      </c>
      <c r="D1140" s="87" t="str">
        <f>IFERROR(__xludf.DUMMYFUNCTION("""COMPUTED_VALUE"""),"SEÇÃO")</f>
        <v>SEÇÃO</v>
      </c>
      <c r="E1140" s="87" t="str">
        <f>IFERROR(__xludf.DUMMYFUNCTION("""COMPUTED_VALUE"""),"3 - CURVELO")</f>
        <v>3 - CURVELO</v>
      </c>
      <c r="F1140" s="88"/>
      <c r="G1140" s="89">
        <f>IFERROR(__xludf.DUMMYFUNCTION("""COMPUTED_VALUE"""),7.6831515E7)</f>
        <v>76831515</v>
      </c>
      <c r="H1140" s="87" t="str">
        <f>IFERROR(__xludf.DUMMYFUNCTION("""COMPUTED_VALUE"""),"1407715HH")</f>
        <v>1407715HH</v>
      </c>
      <c r="I1140" s="87" t="str">
        <f>IFERROR(__xludf.DUMMYFUNCTION("""COMPUTED_VALUE"""),"(CORTADOR) - HOLMATRO MODELO:PCU50 - PENTHEON -  C/ BATERIA,")</f>
        <v>(CORTADOR) - HOLMATRO MODELO:PCU50 - PENTHEON -  C/ BATERIA,</v>
      </c>
    </row>
    <row r="1141">
      <c r="A1141" s="84">
        <f>IFERROR(__xludf.DUMMYFUNCTION("""COMPUTED_VALUE"""),1140.0)</f>
        <v>1140</v>
      </c>
      <c r="B1141" s="85" t="str">
        <f>IFERROR(__xludf.DUMMYFUNCTION("""COMPUTED_VALUE"""),"FERRAMENTA PARA DESENCARCERAMENTO -")</f>
        <v>FERRAMENTA PARA DESENCARCERAMENTO -</v>
      </c>
      <c r="C1141" s="86">
        <f>IFERROR(__xludf.DUMMYFUNCTION("""COMPUTED_VALUE"""),1.0)</f>
        <v>1</v>
      </c>
      <c r="D1141" s="87" t="str">
        <f>IFERROR(__xludf.DUMMYFUNCTION("""COMPUTED_VALUE"""),"SEÇÃO")</f>
        <v>SEÇÃO</v>
      </c>
      <c r="E1141" s="87" t="str">
        <f>IFERROR(__xludf.DUMMYFUNCTION("""COMPUTED_VALUE"""),"3 - CSM")</f>
        <v>3 - CSM</v>
      </c>
      <c r="F1141" s="88" t="str">
        <f>IFERROR(__xludf.DUMMYFUNCTION("""COMPUTED_VALUE"""),"BAIXADO")</f>
        <v>BAIXADO</v>
      </c>
      <c r="G1141" s="89">
        <f>IFERROR(__xludf.DUMMYFUNCTION("""COMPUTED_VALUE"""),7.6831523E7)</f>
        <v>76831523</v>
      </c>
      <c r="H1141" s="87" t="str">
        <f>IFERROR(__xludf.DUMMYFUNCTION("""COMPUTED_VALUE"""),"1416118HH")</f>
        <v>1416118HH</v>
      </c>
      <c r="I1141" s="87" t="str">
        <f>IFERROR(__xludf.DUMMYFUNCTION("""COMPUTED_VALUE"""),"(ALARGADOR) HOLMATRO MODELO: PSP40 PENTHEON C/ BATERIA, TRANSFERIR PARA CURVELO - ")</f>
        <v>(ALARGADOR) HOLMATRO MODELO: PSP40 PENTHEON C/ BATERIA, TRANSFERIR PARA CURVELO - </v>
      </c>
    </row>
    <row r="1142">
      <c r="A1142" s="84">
        <f>IFERROR(__xludf.DUMMYFUNCTION("""COMPUTED_VALUE"""),1141.0)</f>
        <v>1141</v>
      </c>
      <c r="B1142" s="85" t="str">
        <f>IFERROR(__xludf.DUMMYFUNCTION("""COMPUTED_VALUE"""),"AERONAVE REMOTAMENTE PILOTADA RPA ( DRONE ) -")</f>
        <v>AERONAVE REMOTAMENTE PILOTADA RPA ( DRONE ) -</v>
      </c>
      <c r="C1142" s="86">
        <f>IFERROR(__xludf.DUMMYFUNCTION("""COMPUTED_VALUE"""),1.0)</f>
        <v>1</v>
      </c>
      <c r="D1142" s="87" t="str">
        <f>IFERROR(__xludf.DUMMYFUNCTION("""COMPUTED_VALUE"""),"SEÇÃO")</f>
        <v>SEÇÃO</v>
      </c>
      <c r="E1142" s="87" t="str">
        <f>IFERROR(__xludf.DUMMYFUNCTION("""COMPUTED_VALUE"""),"3 - CURVELO")</f>
        <v>3 - CURVELO</v>
      </c>
      <c r="F1142" s="88"/>
      <c r="G1142" s="89">
        <f>IFERROR(__xludf.DUMMYFUNCTION("""COMPUTED_VALUE"""),7.6833828E7)</f>
        <v>76833828</v>
      </c>
      <c r="H1142" s="87" t="str">
        <f>IFERROR(__xludf.DUMMYFUNCTION("""COMPUTED_VALUE"""),"tablet ipad chip 89550237001018043787")</f>
        <v>tablet ipad chip 89550237001018043787</v>
      </c>
      <c r="I1142" s="87" t="str">
        <f>IFERROR(__xludf.DUMMYFUNCTION("""COMPUTED_VALUE"""),"SEI - 1400.01.0030.404/2022-84 - Drone DJI Phantom 4 Pro")</f>
        <v>SEI - 1400.01.0030.404/2022-84 - Drone DJI Phantom 4 Pro</v>
      </c>
    </row>
    <row r="1143">
      <c r="A1143" s="84">
        <f>IFERROR(__xludf.DUMMYFUNCTION("""COMPUTED_VALUE"""),1142.0)</f>
        <v>1142</v>
      </c>
      <c r="B1143" s="85" t="str">
        <f>IFERROR(__xludf.DUMMYFUNCTION("""COMPUTED_VALUE"""),"NOTEBOOK,NETBOOK E/OU ULTRAFINO -")</f>
        <v>NOTEBOOK,NETBOOK E/OU ULTRAFINO -</v>
      </c>
      <c r="C1143" s="86">
        <f>IFERROR(__xludf.DUMMYFUNCTION("""COMPUTED_VALUE"""),1.0)</f>
        <v>1</v>
      </c>
      <c r="D1143" s="87" t="str">
        <f>IFERROR(__xludf.DUMMYFUNCTION("""COMPUTED_VALUE"""),"SEÇÃO")</f>
        <v>SEÇÃO</v>
      </c>
      <c r="E1143" s="87" t="str">
        <f>IFERROR(__xludf.DUMMYFUNCTION("""COMPUTED_VALUE"""),"3 - SUPRIMENTOS")</f>
        <v>3 - SUPRIMENTOS</v>
      </c>
      <c r="F1143" s="88"/>
      <c r="G1143" s="89">
        <f>IFERROR(__xludf.DUMMYFUNCTION("""COMPUTED_VALUE"""),7.6833879E7)</f>
        <v>76833879</v>
      </c>
      <c r="H1143" s="87"/>
      <c r="I1143" s="87" t="str">
        <f>IFERROR(__xludf.DUMMYFUNCTION("""COMPUTED_VALUE"""),"AVELL - A55 MOB 1650 NOTEBOOK DO RPA")</f>
        <v>AVELL - A55 MOB 1650 NOTEBOOK DO RPA</v>
      </c>
    </row>
    <row r="1144">
      <c r="A1144" s="84">
        <f>IFERROR(__xludf.DUMMYFUNCTION("""COMPUTED_VALUE"""),1143.0)</f>
        <v>1143</v>
      </c>
      <c r="B1144" s="85" t="str">
        <f>IFERROR(__xludf.DUMMYFUNCTION("""COMPUTED_VALUE"""),"AERONAVE REMOTAMENTE PILOTADA RPA ( DRONE ) -")</f>
        <v>AERONAVE REMOTAMENTE PILOTADA RPA ( DRONE ) -</v>
      </c>
      <c r="C1144" s="86">
        <f>IFERROR(__xludf.DUMMYFUNCTION("""COMPUTED_VALUE"""),1.0)</f>
        <v>1</v>
      </c>
      <c r="D1144" s="87" t="str">
        <f>IFERROR(__xludf.DUMMYFUNCTION("""COMPUTED_VALUE"""),"SEÇÃO")</f>
        <v>SEÇÃO</v>
      </c>
      <c r="E1144" s="87" t="str">
        <f>IFERROR(__xludf.DUMMYFUNCTION("""COMPUTED_VALUE"""),"3 - SOU")</f>
        <v>3 - SOU</v>
      </c>
      <c r="F1144" s="88" t="str">
        <f>IFERROR(__xludf.DUMMYFUNCTION("""COMPUTED_VALUE"""),"CPD")</f>
        <v>CPD</v>
      </c>
      <c r="G1144" s="89">
        <f>IFERROR(__xludf.DUMMYFUNCTION("""COMPUTED_VALUE"""),7.6838005E7)</f>
        <v>76838005</v>
      </c>
      <c r="H1144" s="87"/>
      <c r="I1144" s="87" t="str">
        <f>IFERROR(__xludf.DUMMYFUNCTION("""COMPUTED_VALUE"""),"Componentes conforme doc 47125670, SEI - 1400.01.0030.404/2022-84 - Drone DJI MavicEnterprise 2")</f>
        <v>Componentes conforme doc 47125670, SEI - 1400.01.0030.404/2022-84 - Drone DJI MavicEnterprise 2</v>
      </c>
    </row>
    <row r="1145">
      <c r="A1145" s="84">
        <f>IFERROR(__xludf.DUMMYFUNCTION("""COMPUTED_VALUE"""),1144.0)</f>
        <v>1144</v>
      </c>
      <c r="B1145" s="85" t="str">
        <f>IFERROR(__xludf.DUMMYFUNCTION("""COMPUTED_VALUE"""),"FERRAMENTA PARA DESENCARCERAMENTO -")</f>
        <v>FERRAMENTA PARA DESENCARCERAMENTO -</v>
      </c>
      <c r="C1145" s="86">
        <f>IFERROR(__xludf.DUMMYFUNCTION("""COMPUTED_VALUE"""),1.0)</f>
        <v>1</v>
      </c>
      <c r="D1145" s="87" t="str">
        <f>IFERROR(__xludf.DUMMYFUNCTION("""COMPUTED_VALUE"""),"VIATURA")</f>
        <v>VIATURA</v>
      </c>
      <c r="E1145" s="87" t="str">
        <f>IFERROR(__xludf.DUMMYFUNCTION("""COMPUTED_VALUE"""),"1 - ABTS1418")</f>
        <v>1 - ABTS1418</v>
      </c>
      <c r="F1145" s="88" t="str">
        <f>IFERROR(__xludf.DUMMYFUNCTION("""COMPUTED_VALUE"""),"BOX 02")</f>
        <v>BOX 02</v>
      </c>
      <c r="G1145" s="89">
        <f>IFERROR(__xludf.DUMMYFUNCTION("""COMPUTED_VALUE"""),7.6838617E7)</f>
        <v>76838617</v>
      </c>
      <c r="H1145" s="87" t="str">
        <f>IFERROR(__xludf.DUMMYFUNCTION("""COMPUTED_VALUE"""),"1418622HH")</f>
        <v>1418622HH</v>
      </c>
      <c r="I1145" s="87" t="str">
        <f>IFERROR(__xludf.DUMMYFUNCTION("""COMPUTED_VALUE"""),"(CORTADOR) - HOLMATRO MODELO:PCU50 - PENTHEON C/ BATERIA")</f>
        <v>(CORTADOR) - HOLMATRO MODELO:PCU50 - PENTHEON C/ BATERIA</v>
      </c>
    </row>
    <row r="1146">
      <c r="A1146" s="84">
        <f>IFERROR(__xludf.DUMMYFUNCTION("""COMPUTED_VALUE"""),1145.0)</f>
        <v>1145</v>
      </c>
      <c r="B1146" s="85" t="str">
        <f>IFERROR(__xludf.DUMMYFUNCTION("""COMPUTED_VALUE"""),"FERRAMENTA PARA DESENCARCERAMENTO -")</f>
        <v>FERRAMENTA PARA DESENCARCERAMENTO -</v>
      </c>
      <c r="C1146" s="86">
        <f>IFERROR(__xludf.DUMMYFUNCTION("""COMPUTED_VALUE"""),1.0)</f>
        <v>1</v>
      </c>
      <c r="D1146" s="87" t="str">
        <f>IFERROR(__xludf.DUMMYFUNCTION("""COMPUTED_VALUE"""),"VIATURA")</f>
        <v>VIATURA</v>
      </c>
      <c r="E1146" s="87" t="str">
        <f>IFERROR(__xludf.DUMMYFUNCTION("""COMPUTED_VALUE"""),"1 - ABTS5911")</f>
        <v>1 - ABTS5911</v>
      </c>
      <c r="F1146" s="88" t="str">
        <f>IFERROR(__xludf.DUMMYFUNCTION("""COMPUTED_VALUE"""),"BOX 06")</f>
        <v>BOX 06</v>
      </c>
      <c r="G1146" s="89">
        <f>IFERROR(__xludf.DUMMYFUNCTION("""COMPUTED_VALUE"""),7.6839168E7)</f>
        <v>76839168</v>
      </c>
      <c r="H1146" s="87"/>
      <c r="I1146" s="87" t="str">
        <f>IFERROR(__xludf.DUMMYFUNCTION("""COMPUTED_VALUE"""),"(ALARGADOR) HOLMATRO MODELO: PSP40 PENTHEON  C/ BATERIA")</f>
        <v>(ALARGADOR) HOLMATRO MODELO: PSP40 PENTHEON  C/ BATERIA</v>
      </c>
    </row>
    <row r="1147">
      <c r="A1147" s="84">
        <f>IFERROR(__xludf.DUMMYFUNCTION("""COMPUTED_VALUE"""),1146.0)</f>
        <v>1146</v>
      </c>
      <c r="B1147" s="85" t="str">
        <f>IFERROR(__xludf.DUMMYFUNCTION("""COMPUTED_VALUE"""),"NOTEBOOK,NETBOOK E/OU ULTRAFINO -")</f>
        <v>NOTEBOOK,NETBOOK E/OU ULTRAFINO -</v>
      </c>
      <c r="C1147" s="86">
        <f>IFERROR(__xludf.DUMMYFUNCTION("""COMPUTED_VALUE"""),1.0)</f>
        <v>1</v>
      </c>
      <c r="D1147" s="87" t="str">
        <f>IFERROR(__xludf.DUMMYFUNCTION("""COMPUTED_VALUE"""),"SEÇÃO")</f>
        <v>SEÇÃO</v>
      </c>
      <c r="E1147" s="87" t="str">
        <f>IFERROR(__xludf.DUMMYFUNCTION("""COMPUTED_VALUE"""),"3 - SUB COMANDANTE")</f>
        <v>3 - SUB COMANDANTE</v>
      </c>
      <c r="F1147" s="88"/>
      <c r="G1147" s="89">
        <f>IFERROR(__xludf.DUMMYFUNCTION("""COMPUTED_VALUE"""),7.6839605E7)</f>
        <v>76839605</v>
      </c>
      <c r="H1147" s="87"/>
      <c r="I1147" s="87" t="str">
        <f>IFERROR(__xludf.DUMMYFUNCTION("""COMPUTED_VALUE"""),"Positivo, Master N 4350 - Major Figueiredo")</f>
        <v>Positivo, Master N 4350 - Major Figueiredo</v>
      </c>
    </row>
    <row r="1148">
      <c r="A1148" s="84">
        <f>IFERROR(__xludf.DUMMYFUNCTION("""COMPUTED_VALUE"""),1147.0)</f>
        <v>1147</v>
      </c>
      <c r="B1148" s="85" t="str">
        <f>IFERROR(__xludf.DUMMYFUNCTION("""COMPUTED_VALUE"""),"NOTEBOOK,NETBOOK E/OU ULTRAFINO -")</f>
        <v>NOTEBOOK,NETBOOK E/OU ULTRAFINO -</v>
      </c>
      <c r="C1148" s="86">
        <f>IFERROR(__xludf.DUMMYFUNCTION("""COMPUTED_VALUE"""),1.0)</f>
        <v>1</v>
      </c>
      <c r="D1148" s="87" t="str">
        <f>IFERROR(__xludf.DUMMYFUNCTION("""COMPUTED_VALUE"""),"SEÇÃO")</f>
        <v>SEÇÃO</v>
      </c>
      <c r="E1148" s="87" t="str">
        <f>IFERROR(__xludf.DUMMYFUNCTION("""COMPUTED_VALUE"""),"3 - CARTÓRIO")</f>
        <v>3 - CARTÓRIO</v>
      </c>
      <c r="F1148" s="88"/>
      <c r="G1148" s="89">
        <f>IFERROR(__xludf.DUMMYFUNCTION("""COMPUTED_VALUE"""),7.6839613E7)</f>
        <v>76839613</v>
      </c>
      <c r="H1148" s="87" t="str">
        <f>IFERROR(__xludf.DUMMYFUNCTION("""COMPUTED_VALUE"""),"N.S 4AD63Q97L")</f>
        <v>N.S 4AD63Q97L</v>
      </c>
      <c r="I1148" s="87" t="str">
        <f>IFERROR(__xludf.DUMMYFUNCTION("""COMPUTED_VALUE"""),"Disponível para o ten Araújo ")</f>
        <v>Disponível para o ten Araújo </v>
      </c>
    </row>
    <row r="1149">
      <c r="A1149" s="84">
        <f>IFERROR(__xludf.DUMMYFUNCTION("""COMPUTED_VALUE"""),1148.0)</f>
        <v>1148</v>
      </c>
      <c r="B1149" s="85" t="str">
        <f>IFERROR(__xludf.DUMMYFUNCTION("""COMPUTED_VALUE"""),"NOTEBOOK,NETBOOK E/OU ULTRAFINO -")</f>
        <v>NOTEBOOK,NETBOOK E/OU ULTRAFINO -</v>
      </c>
      <c r="C1149" s="86">
        <f>IFERROR(__xludf.DUMMYFUNCTION("""COMPUTED_VALUE"""),1.0)</f>
        <v>1</v>
      </c>
      <c r="D1149" s="87" t="str">
        <f>IFERROR(__xludf.DUMMYFUNCTION("""COMPUTED_VALUE"""),"SEÇÃO")</f>
        <v>SEÇÃO</v>
      </c>
      <c r="E1149" s="87" t="str">
        <f>IFERROR(__xludf.DUMMYFUNCTION("""COMPUTED_VALUE"""),"3 - 1ª CIA OP")</f>
        <v>3 - 1ª CIA OP</v>
      </c>
      <c r="F1149" s="88" t="str">
        <f>IFERROR(__xludf.DUMMYFUNCTION("""COMPUTED_VALUE"""),"CMT OPERACIONAL")</f>
        <v>CMT OPERACIONAL</v>
      </c>
      <c r="G1149" s="89">
        <f>IFERROR(__xludf.DUMMYFUNCTION("""COMPUTED_VALUE"""),7.6839621E7)</f>
        <v>76839621</v>
      </c>
      <c r="H1149" s="87" t="str">
        <f>IFERROR(__xludf.DUMMYFUNCTION("""COMPUTED_VALUE"""),"N.S 4AD63QD5N")</f>
        <v>N.S 4AD63QD5N</v>
      </c>
      <c r="I1149" s="87" t="str">
        <f>IFERROR(__xludf.DUMMYFUNCTION("""COMPUTED_VALUE"""),"CMT Cmt Operacional - Cap Samuel ")</f>
        <v>CMT Cmt Operacional - Cap Samuel </v>
      </c>
    </row>
    <row r="1150">
      <c r="A1150" s="84">
        <f>IFERROR(__xludf.DUMMYFUNCTION("""COMPUTED_VALUE"""),1149.0)</f>
        <v>1149</v>
      </c>
      <c r="B1150" s="85" t="str">
        <f>IFERROR(__xludf.DUMMYFUNCTION("""COMPUTED_VALUE"""),"NOTEBOOK,NETBOOK E/OU ULTRAFINO -")</f>
        <v>NOTEBOOK,NETBOOK E/OU ULTRAFINO -</v>
      </c>
      <c r="C1150" s="86">
        <f>IFERROR(__xludf.DUMMYFUNCTION("""COMPUTED_VALUE"""),1.0)</f>
        <v>1</v>
      </c>
      <c r="D1150" s="87" t="str">
        <f>IFERROR(__xludf.DUMMYFUNCTION("""COMPUTED_VALUE"""),"SEÇÃO")</f>
        <v>SEÇÃO</v>
      </c>
      <c r="E1150" s="87" t="str">
        <f>IFERROR(__xludf.DUMMYFUNCTION("""COMPUTED_VALUE"""),"3 - SUPRIMENTOS")</f>
        <v>3 - SUPRIMENTOS</v>
      </c>
      <c r="F1150" s="88"/>
      <c r="G1150" s="89">
        <f>IFERROR(__xludf.DUMMYFUNCTION("""COMPUTED_VALUE"""),7.683963E7)</f>
        <v>76839630</v>
      </c>
      <c r="H1150" s="87"/>
      <c r="I1150" s="87" t="str">
        <f>IFERROR(__xludf.DUMMYFUNCTION("""COMPUTED_VALUE"""),"Positivo, Master N 4350 -")</f>
        <v>Positivo, Master N 4350 -</v>
      </c>
    </row>
    <row r="1151">
      <c r="A1151" s="84">
        <f>IFERROR(__xludf.DUMMYFUNCTION("""COMPUTED_VALUE"""),1150.0)</f>
        <v>1150</v>
      </c>
      <c r="B1151" s="85" t="str">
        <f>IFERROR(__xludf.DUMMYFUNCTION("""COMPUTED_VALUE"""),"LANTERNA DE BOMBEIRO -")</f>
        <v>LANTERNA DE BOMBEIRO -</v>
      </c>
      <c r="C1151" s="86">
        <f>IFERROR(__xludf.DUMMYFUNCTION("""COMPUTED_VALUE"""),1.0)</f>
        <v>1</v>
      </c>
      <c r="D1151" s="87" t="str">
        <f>IFERROR(__xludf.DUMMYFUNCTION("""COMPUTED_VALUE"""),"SEÇÃO")</f>
        <v>SEÇÃO</v>
      </c>
      <c r="E1151" s="87" t="str">
        <f>IFERROR(__xludf.DUMMYFUNCTION("""COMPUTED_VALUE"""),"3 - SAO")</f>
        <v>3 - SAO</v>
      </c>
      <c r="F1151" s="88"/>
      <c r="G1151" s="89">
        <f>IFERROR(__xludf.DUMMYFUNCTION("""COMPUTED_VALUE"""),7.684151E7)</f>
        <v>76841510</v>
      </c>
      <c r="H1151" s="87" t="str">
        <f>IFERROR(__xludf.DUMMYFUNCTION("""COMPUTED_VALUE"""),"N.S. BR012346")</f>
        <v>N.S. BR012346</v>
      </c>
      <c r="I1151" s="87" t="str">
        <f>IFERROR(__xludf.DUMMYFUNCTION("""COMPUTED_VALUE"""),"Lanterna Survivor streamlight  c/ base carregador e carr. veicular *PAGO AO ASP MARTINELI")</f>
        <v>Lanterna Survivor streamlight  c/ base carregador e carr. veicular *PAGO AO ASP MARTINELI</v>
      </c>
    </row>
    <row r="1152">
      <c r="A1152" s="84">
        <f>IFERROR(__xludf.DUMMYFUNCTION("""COMPUTED_VALUE"""),1151.0)</f>
        <v>1151</v>
      </c>
      <c r="B1152" s="85" t="str">
        <f>IFERROR(__xludf.DUMMYFUNCTION("""COMPUTED_VALUE"""),"TELEVISAO -")</f>
        <v>TELEVISAO -</v>
      </c>
      <c r="C1152" s="86">
        <f>IFERROR(__xludf.DUMMYFUNCTION("""COMPUTED_VALUE"""),1.0)</f>
        <v>1</v>
      </c>
      <c r="D1152" s="87" t="str">
        <f>IFERROR(__xludf.DUMMYFUNCTION("""COMPUTED_VALUE"""),"SEÇÃO")</f>
        <v>SEÇÃO</v>
      </c>
      <c r="E1152" s="87" t="str">
        <f>IFERROR(__xludf.DUMMYFUNCTION("""COMPUTED_VALUE"""),"3 - SUB COMANDANTE")</f>
        <v>3 - SUB COMANDANTE</v>
      </c>
      <c r="F1152" s="88"/>
      <c r="G1152" s="89">
        <f>IFERROR(__xludf.DUMMYFUNCTION("""COMPUTED_VALUE"""),7.6846962E7)</f>
        <v>76846962</v>
      </c>
      <c r="H1152" s="87"/>
      <c r="I1152" s="87"/>
    </row>
    <row r="1153">
      <c r="A1153" s="84">
        <f>IFERROR(__xludf.DUMMYFUNCTION("""COMPUTED_VALUE"""),1152.0)</f>
        <v>1152</v>
      </c>
      <c r="B1153" s="85" t="str">
        <f>IFERROR(__xludf.DUMMYFUNCTION("""COMPUTED_VALUE"""),"TELEVISAO -")</f>
        <v>TELEVISAO -</v>
      </c>
      <c r="C1153" s="86">
        <f>IFERROR(__xludf.DUMMYFUNCTION("""COMPUTED_VALUE"""),1.0)</f>
        <v>1</v>
      </c>
      <c r="D1153" s="87" t="str">
        <f>IFERROR(__xludf.DUMMYFUNCTION("""COMPUTED_VALUE"""),"SEÇÃO")</f>
        <v>SEÇÃO</v>
      </c>
      <c r="E1153" s="87" t="str">
        <f>IFERROR(__xludf.DUMMYFUNCTION("""COMPUTED_VALUE"""),"3 - SUPRIMENTOS")</f>
        <v>3 - SUPRIMENTOS</v>
      </c>
      <c r="F1153" s="88"/>
      <c r="G1153" s="89">
        <f>IFERROR(__xludf.DUMMYFUNCTION("""COMPUTED_VALUE"""),7.684697E7)</f>
        <v>76846970</v>
      </c>
      <c r="H1153" s="87"/>
      <c r="I1153" s="87" t="str">
        <f>IFERROR(__xludf.DUMMYFUNCTION("""COMPUTED_VALUE"""),"TV AOC Roku 50"" LED")</f>
        <v>TV AOC Roku 50" LED</v>
      </c>
    </row>
    <row r="1154">
      <c r="A1154" s="84">
        <f>IFERROR(__xludf.DUMMYFUNCTION("""COMPUTED_VALUE"""),1153.0)</f>
        <v>1153</v>
      </c>
      <c r="B1154" s="85" t="str">
        <f>IFERROR(__xludf.DUMMYFUNCTION("""COMPUTED_VALUE"""),"TELEVISAO -")</f>
        <v>TELEVISAO -</v>
      </c>
      <c r="C1154" s="86">
        <f>IFERROR(__xludf.DUMMYFUNCTION("""COMPUTED_VALUE"""),1.0)</f>
        <v>1</v>
      </c>
      <c r="D1154" s="87" t="str">
        <f>IFERROR(__xludf.DUMMYFUNCTION("""COMPUTED_VALUE"""),"SEÇÃO")</f>
        <v>SEÇÃO</v>
      </c>
      <c r="E1154" s="87" t="str">
        <f>IFERROR(__xludf.DUMMYFUNCTION("""COMPUTED_VALUE"""),"3 - CARTÓRIO")</f>
        <v>3 - CARTÓRIO</v>
      </c>
      <c r="F1154" s="88"/>
      <c r="G1154" s="89">
        <f>IFERROR(__xludf.DUMMYFUNCTION("""COMPUTED_VALUE"""),7.6846989E7)</f>
        <v>76846989</v>
      </c>
      <c r="H1154" s="87"/>
      <c r="I1154" s="87"/>
    </row>
    <row r="1155">
      <c r="A1155" s="84">
        <f>IFERROR(__xludf.DUMMYFUNCTION("""COMPUTED_VALUE"""),1154.0)</f>
        <v>1154</v>
      </c>
      <c r="B1155" s="85" t="str">
        <f>IFERROR(__xludf.DUMMYFUNCTION("""COMPUTED_VALUE"""),"TELEVISAO -")</f>
        <v>TELEVISAO -</v>
      </c>
      <c r="C1155" s="86">
        <f>IFERROR(__xludf.DUMMYFUNCTION("""COMPUTED_VALUE"""),1.0)</f>
        <v>1</v>
      </c>
      <c r="D1155" s="87" t="str">
        <f>IFERROR(__xludf.DUMMYFUNCTION("""COMPUTED_VALUE"""),"SEÇÃO")</f>
        <v>SEÇÃO</v>
      </c>
      <c r="E1155" s="87" t="str">
        <f>IFERROR(__xludf.DUMMYFUNCTION("""COMPUTED_VALUE"""),"3 - SUB COMANDANTE")</f>
        <v>3 - SUB COMANDANTE</v>
      </c>
      <c r="F1155" s="88"/>
      <c r="G1155" s="89">
        <f>IFERROR(__xludf.DUMMYFUNCTION("""COMPUTED_VALUE"""),7.6846997E7)</f>
        <v>76846997</v>
      </c>
      <c r="H1155" s="87"/>
      <c r="I1155" s="87"/>
    </row>
    <row r="1156">
      <c r="A1156" s="84">
        <f>IFERROR(__xludf.DUMMYFUNCTION("""COMPUTED_VALUE"""),1155.0)</f>
        <v>1155</v>
      </c>
      <c r="B1156" s="85" t="str">
        <f>IFERROR(__xludf.DUMMYFUNCTION("""COMPUTED_VALUE"""),"EQUIPAMENTO DE PROTEÇÃO RESPIRATÓRIO, COMPLETO -")</f>
        <v>EQUIPAMENTO DE PROTEÇÃO RESPIRATÓRIO, COMPLETO -</v>
      </c>
      <c r="C1156" s="86">
        <f>IFERROR(__xludf.DUMMYFUNCTION("""COMPUTED_VALUE"""),1.0)</f>
        <v>1</v>
      </c>
      <c r="D1156" s="87" t="str">
        <f>IFERROR(__xludf.DUMMYFUNCTION("""COMPUTED_VALUE"""),"SEÇÃO")</f>
        <v>SEÇÃO</v>
      </c>
      <c r="E1156" s="87" t="str">
        <f>IFERROR(__xludf.DUMMYFUNCTION("""COMPUTED_VALUE"""),"3 - ALMOX. ESTOQUE")</f>
        <v>3 - ALMOX. ESTOQUE</v>
      </c>
      <c r="F1156" s="88" t="str">
        <f>IFERROR(__xludf.DUMMYFUNCTION("""COMPUTED_VALUE"""),"ALMOX. SAO (SEDE)")</f>
        <v>ALMOX. SAO (SEDE)</v>
      </c>
      <c r="G1156" s="89">
        <f>IFERROR(__xludf.DUMMYFUNCTION("""COMPUTED_VALUE"""),7.6704882E7)</f>
        <v>76704882</v>
      </c>
      <c r="H1156" s="87"/>
      <c r="I1156" s="87"/>
    </row>
    <row r="1157">
      <c r="A1157" s="84">
        <f>IFERROR(__xludf.DUMMYFUNCTION("""COMPUTED_VALUE"""),1156.0)</f>
        <v>1156</v>
      </c>
      <c r="B1157" s="85" t="str">
        <f>IFERROR(__xludf.DUMMYFUNCTION("""COMPUTED_VALUE"""),"EQUIPAMENTO DE PROTEÇÃO RESPIRATÓRIO, COMPLETO -")</f>
        <v>EQUIPAMENTO DE PROTEÇÃO RESPIRATÓRIO, COMPLETO -</v>
      </c>
      <c r="C1157" s="86">
        <f>IFERROR(__xludf.DUMMYFUNCTION("""COMPUTED_VALUE"""),1.0)</f>
        <v>1</v>
      </c>
      <c r="D1157" s="87" t="str">
        <f>IFERROR(__xludf.DUMMYFUNCTION("""COMPUTED_VALUE"""),"SEÇÃO")</f>
        <v>SEÇÃO</v>
      </c>
      <c r="E1157" s="87" t="str">
        <f>IFERROR(__xludf.DUMMYFUNCTION("""COMPUTED_VALUE"""),"3 - ALMOX. ESTOQUE")</f>
        <v>3 - ALMOX. ESTOQUE</v>
      </c>
      <c r="F1157" s="88" t="str">
        <f>IFERROR(__xludf.DUMMYFUNCTION("""COMPUTED_VALUE"""),"ALMOX. SAO (SEDE)")</f>
        <v>ALMOX. SAO (SEDE)</v>
      </c>
      <c r="G1157" s="89">
        <f>IFERROR(__xludf.DUMMYFUNCTION("""COMPUTED_VALUE"""),7.670489E7)</f>
        <v>76704890</v>
      </c>
      <c r="H1157" s="87"/>
      <c r="I1157" s="87"/>
    </row>
    <row r="1158">
      <c r="A1158" s="84">
        <f>IFERROR(__xludf.DUMMYFUNCTION("""COMPUTED_VALUE"""),1157.0)</f>
        <v>1157</v>
      </c>
      <c r="B1158" s="85" t="str">
        <f>IFERROR(__xludf.DUMMYFUNCTION("""COMPUTED_VALUE""")," (KIT GUARANI) CONJ ACOPLAVEL A VEICULO, COMBATE INCENDIO -")</f>
        <v> (KIT GUARANI) CONJ ACOPLAVEL A VEICULO, COMBATE INCENDIO -</v>
      </c>
      <c r="C1158" s="86">
        <f>IFERROR(__xludf.DUMMYFUNCTION("""COMPUTED_VALUE"""),1.0)</f>
        <v>1</v>
      </c>
      <c r="D1158" s="87" t="str">
        <f>IFERROR(__xludf.DUMMYFUNCTION("""COMPUTED_VALUE"""),"VIATURA")</f>
        <v>VIATURA</v>
      </c>
      <c r="E1158" s="87" t="str">
        <f>IFERROR(__xludf.DUMMYFUNCTION("""COMPUTED_VALUE"""),"1 - ACA2230")</f>
        <v>1 - ACA2230</v>
      </c>
      <c r="F1158" s="88" t="str">
        <f>IFERROR(__xludf.DUMMYFUNCTION("""COMPUTED_VALUE"""),"CARROCERIA")</f>
        <v>CARROCERIA</v>
      </c>
      <c r="G1158" s="89">
        <f>IFERROR(__xludf.DUMMYFUNCTION("""COMPUTED_VALUE"""),7.6856011E7)</f>
        <v>76856011</v>
      </c>
      <c r="H1158" s="87" t="str">
        <f>IFERROR(__xludf.DUMMYFUNCTION("""COMPUTED_VALUE"""),"T051002110016456")</f>
        <v>T051002110016456</v>
      </c>
      <c r="I1158" s="87" t="str">
        <f>IFERROR(__xludf.DUMMYFUNCTION("""COMPUTED_VALUE"""),"CONJ. DE COMBATE PICKUP TR C/ MANGUEIRA RESERVA (LARANJADA) + ESGUICHO 2 ESTÁGIOS + MANGUEIRA P/ ESCORVA AZUL.. ")</f>
        <v>CONJ. DE COMBATE PICKUP TR C/ MANGUEIRA RESERVA (LARANJADA) + ESGUICHO 2 ESTÁGIOS + MANGUEIRA P/ ESCORVA AZUL.. </v>
      </c>
    </row>
    <row r="1159">
      <c r="A1159" s="84">
        <f>IFERROR(__xludf.DUMMYFUNCTION("""COMPUTED_VALUE"""),1158.0)</f>
        <v>1158</v>
      </c>
      <c r="B1159" s="85" t="str">
        <f>IFERROR(__xludf.DUMMYFUNCTION("""COMPUTED_VALUE"""),"EQUIPAMENTO PARA DETECCAO DE GASES -")</f>
        <v>EQUIPAMENTO PARA DETECCAO DE GASES -</v>
      </c>
      <c r="C1159" s="86">
        <f>IFERROR(__xludf.DUMMYFUNCTION("""COMPUTED_VALUE"""),1.0)</f>
        <v>1</v>
      </c>
      <c r="D1159" s="87" t="str">
        <f>IFERROR(__xludf.DUMMYFUNCTION("""COMPUTED_VALUE"""),"SEÇÃO")</f>
        <v>SEÇÃO</v>
      </c>
      <c r="E1159" s="87" t="str">
        <f>IFERROR(__xludf.DUMMYFUNCTION("""COMPUTED_VALUE"""),"3 - ALMOX. ESTOQUE")</f>
        <v>3 - ALMOX. ESTOQUE</v>
      </c>
      <c r="F1159" s="88" t="str">
        <f>IFERROR(__xludf.DUMMYFUNCTION("""COMPUTED_VALUE"""),"SAO")</f>
        <v>SAO</v>
      </c>
      <c r="G1159" s="89">
        <f>IFERROR(__xludf.DUMMYFUNCTION("""COMPUTED_VALUE"""),7.68561E7)</f>
        <v>76856100</v>
      </c>
      <c r="H1159" s="87"/>
      <c r="I1159" s="87"/>
    </row>
    <row r="1160">
      <c r="A1160" s="84">
        <f>IFERROR(__xludf.DUMMYFUNCTION("""COMPUTED_VALUE"""),1159.0)</f>
        <v>1159</v>
      </c>
      <c r="B1160" s="85" t="str">
        <f>IFERROR(__xludf.DUMMYFUNCTION("""COMPUTED_VALUE"""),"KIT CALIBRACAO PARA GAS EXPLOSIVO -")</f>
        <v>KIT CALIBRACAO PARA GAS EXPLOSIVO -</v>
      </c>
      <c r="C1160" s="86">
        <f>IFERROR(__xludf.DUMMYFUNCTION("""COMPUTED_VALUE"""),1.0)</f>
        <v>1</v>
      </c>
      <c r="D1160" s="87" t="str">
        <f>IFERROR(__xludf.DUMMYFUNCTION("""COMPUTED_VALUE"""),"SEÇÃO")</f>
        <v>SEÇÃO</v>
      </c>
      <c r="E1160" s="87" t="str">
        <f>IFERROR(__xludf.DUMMYFUNCTION("""COMPUTED_VALUE"""),"3 - CURVELO")</f>
        <v>3 - CURVELO</v>
      </c>
      <c r="F1160" s="88"/>
      <c r="G1160" s="89">
        <f>IFERROR(__xludf.DUMMYFUNCTION("""COMPUTED_VALUE"""),7.6856119E7)</f>
        <v>76856119</v>
      </c>
      <c r="H1160" s="87"/>
      <c r="I1160" s="87" t="str">
        <f>IFERROR(__xludf.DUMMYFUNCTION("""COMPUTED_VALUE"""),"Transferido para Curvelo.")</f>
        <v>Transferido para Curvelo.</v>
      </c>
    </row>
    <row r="1161">
      <c r="A1161" s="84">
        <f>IFERROR(__xludf.DUMMYFUNCTION("""COMPUTED_VALUE"""),1160.0)</f>
        <v>1160</v>
      </c>
      <c r="B1161" s="85" t="str">
        <f>IFERROR(__xludf.DUMMYFUNCTION("""COMPUTED_VALUE"""),"ESGUICHO PARA MANGUEIRA COMBATE A INCENDIO -")</f>
        <v>ESGUICHO PARA MANGUEIRA COMBATE A INCENDIO -</v>
      </c>
      <c r="C1161" s="86">
        <f>IFERROR(__xludf.DUMMYFUNCTION("""COMPUTED_VALUE"""),1.0)</f>
        <v>1</v>
      </c>
      <c r="D1161" s="87" t="str">
        <f>IFERROR(__xludf.DUMMYFUNCTION("""COMPUTED_VALUE"""),"VIATURA")</f>
        <v>VIATURA</v>
      </c>
      <c r="E1161" s="87" t="str">
        <f>IFERROR(__xludf.DUMMYFUNCTION("""COMPUTED_VALUE"""),"1 - ABTS5911")</f>
        <v>1 - ABTS5911</v>
      </c>
      <c r="F1161" s="88" t="str">
        <f>IFERROR(__xludf.DUMMYFUNCTION("""COMPUTED_VALUE"""),"BOX 05")</f>
        <v>BOX 05</v>
      </c>
      <c r="G1161" s="89">
        <f>IFERROR(__xludf.DUMMYFUNCTION("""COMPUTED_VALUE"""),7.685633E7)</f>
        <v>76856330</v>
      </c>
      <c r="H1161" s="87" t="str">
        <f>IFERROR(__xludf.DUMMYFUNCTION("""COMPUTED_VALUE"""),"N.S-4630-22")</f>
        <v>N.S-4630-22</v>
      </c>
      <c r="I1161" s="87" t="str">
        <f>IFERROR(__xludf.DUMMYFUNCTION("""COMPUTED_VALUE"""),"Esguicho POK Firefighting equipment ")</f>
        <v>Esguicho POK Firefighting equipment </v>
      </c>
    </row>
    <row r="1162">
      <c r="A1162" s="84">
        <f>IFERROR(__xludf.DUMMYFUNCTION("""COMPUTED_VALUE"""),1161.0)</f>
        <v>1161</v>
      </c>
      <c r="B1162" s="85" t="str">
        <f>IFERROR(__xludf.DUMMYFUNCTION("""COMPUTED_VALUE"""),"FERRAMENTA PARA DESENCARCERAMENTO -")</f>
        <v>FERRAMENTA PARA DESENCARCERAMENTO -</v>
      </c>
      <c r="C1162" s="86">
        <f>IFERROR(__xludf.DUMMYFUNCTION("""COMPUTED_VALUE"""),1.0)</f>
        <v>1</v>
      </c>
      <c r="D1162" s="87" t="str">
        <f>IFERROR(__xludf.DUMMYFUNCTION("""COMPUTED_VALUE"""),"SEÇÃO")</f>
        <v>SEÇÃO</v>
      </c>
      <c r="E1162" s="87" t="str">
        <f>IFERROR(__xludf.DUMMYFUNCTION("""COMPUTED_VALUE"""),"3 - ALMOX. ESTOQUE")</f>
        <v>3 - ALMOX. ESTOQUE</v>
      </c>
      <c r="F1162" s="88" t="str">
        <f>IFERROR(__xludf.DUMMYFUNCTION("""COMPUTED_VALUE"""),"ALMOX. SAO (SEDE)")</f>
        <v>ALMOX. SAO (SEDE)</v>
      </c>
      <c r="G1162" s="89">
        <f>IFERROR(__xludf.DUMMYFUNCTION("""COMPUTED_VALUE"""),7.6857239E7)</f>
        <v>76857239</v>
      </c>
      <c r="H1162" s="87" t="str">
        <f>IFERROR(__xludf.DUMMYFUNCTION("""COMPUTED_VALUE"""),"1416988HH")</f>
        <v>1416988HH</v>
      </c>
      <c r="I1162" s="87" t="str">
        <f>IFERROR(__xludf.DUMMYFUNCTION("""COMPUTED_VALUE"""),"(CORTADOR) - HOLMATRO MODELO:PCU50 - PENTHEON ")</f>
        <v>(CORTADOR) - HOLMATRO MODELO:PCU50 - PENTHEON </v>
      </c>
    </row>
    <row r="1163">
      <c r="A1163" s="84">
        <f>IFERROR(__xludf.DUMMYFUNCTION("""COMPUTED_VALUE"""),1162.0)</f>
        <v>1162</v>
      </c>
      <c r="B1163" s="85" t="str">
        <f>IFERROR(__xludf.DUMMYFUNCTION("""COMPUTED_VALUE"""),"FERRAMENTA PARA DESENCARCERAMENTO -")</f>
        <v>FERRAMENTA PARA DESENCARCERAMENTO -</v>
      </c>
      <c r="C1163" s="86">
        <f>IFERROR(__xludf.DUMMYFUNCTION("""COMPUTED_VALUE"""),1.0)</f>
        <v>1</v>
      </c>
      <c r="D1163" s="87" t="str">
        <f>IFERROR(__xludf.DUMMYFUNCTION("""COMPUTED_VALUE"""),"VIATURA")</f>
        <v>VIATURA</v>
      </c>
      <c r="E1163" s="87" t="str">
        <f>IFERROR(__xludf.DUMMYFUNCTION("""COMPUTED_VALUE"""),"1 - ABTS5911")</f>
        <v>1 - ABTS5911</v>
      </c>
      <c r="F1163" s="88" t="str">
        <f>IFERROR(__xludf.DUMMYFUNCTION("""COMPUTED_VALUE"""),"BOX 05")</f>
        <v>BOX 05</v>
      </c>
      <c r="G1163" s="89">
        <f>IFERROR(__xludf.DUMMYFUNCTION("""COMPUTED_VALUE"""),7.6857638E7)</f>
        <v>76857638</v>
      </c>
      <c r="H1163" s="87" t="str">
        <f>IFERROR(__xludf.DUMMYFUNCTION("""COMPUTED_VALUE"""),"1407131HH")</f>
        <v>1407131HH</v>
      </c>
      <c r="I1163" s="87" t="str">
        <f>IFERROR(__xludf.DUMMYFUNCTION("""COMPUTED_VALUE"""),"(ALARGADOR) - HOLMATRO MODELO: PSP40 PENTHEON  C/ BATERIA ")</f>
        <v>(ALARGADOR) - HOLMATRO MODELO: PSP40 PENTHEON  C/ BATERIA </v>
      </c>
    </row>
    <row r="1164">
      <c r="A1164" s="84">
        <f>IFERROR(__xludf.DUMMYFUNCTION("""COMPUTED_VALUE"""),1163.0)</f>
        <v>1163</v>
      </c>
      <c r="B1164" s="85" t="str">
        <f>IFERROR(__xludf.DUMMYFUNCTION("""COMPUTED_VALUE"""),"FERRAMENTA PARA DESENCARCERAMENTO -")</f>
        <v>FERRAMENTA PARA DESENCARCERAMENTO -</v>
      </c>
      <c r="C1164" s="86">
        <f>IFERROR(__xludf.DUMMYFUNCTION("""COMPUTED_VALUE"""),1.0)</f>
        <v>1</v>
      </c>
      <c r="D1164" s="87" t="str">
        <f>IFERROR(__xludf.DUMMYFUNCTION("""COMPUTED_VALUE"""),"SEÇÃO")</f>
        <v>SEÇÃO</v>
      </c>
      <c r="E1164" s="87" t="str">
        <f>IFERROR(__xludf.DUMMYFUNCTION("""COMPUTED_VALUE"""),"3 - CURVELO")</f>
        <v>3 - CURVELO</v>
      </c>
      <c r="F1164" s="88"/>
      <c r="G1164" s="89">
        <f>IFERROR(__xludf.DUMMYFUNCTION("""COMPUTED_VALUE"""),7.6857417E7)</f>
        <v>76857417</v>
      </c>
      <c r="H1164" s="87" t="str">
        <f>IFERROR(__xludf.DUMMYFUNCTION("""COMPUTED_VALUE"""),"1415971HH")</f>
        <v>1415971HH</v>
      </c>
      <c r="I1164" s="87" t="str">
        <f>IFERROR(__xludf.DUMMYFUNCTION("""COMPUTED_VALUE"""),"(EXTENSOR) - HOLMATRO MODELO:PTR50 - PENTHEON, ")</f>
        <v>(EXTENSOR) - HOLMATRO MODELO:PTR50 - PENTHEON, </v>
      </c>
    </row>
    <row r="1165">
      <c r="A1165" s="84">
        <f>IFERROR(__xludf.DUMMYFUNCTION("""COMPUTED_VALUE"""),1164.0)</f>
        <v>1164</v>
      </c>
      <c r="B1165" s="85" t="str">
        <f>IFERROR(__xludf.DUMMYFUNCTION("""COMPUTED_VALUE"""),"WEBCAM -")</f>
        <v>WEBCAM -</v>
      </c>
      <c r="C1165" s="86">
        <f>IFERROR(__xludf.DUMMYFUNCTION("""COMPUTED_VALUE"""),1.0)</f>
        <v>1</v>
      </c>
      <c r="D1165" s="87" t="str">
        <f>IFERROR(__xludf.DUMMYFUNCTION("""COMPUTED_VALUE"""),"SEÇÃO")</f>
        <v>SEÇÃO</v>
      </c>
      <c r="E1165" s="87" t="str">
        <f>IFERROR(__xludf.DUMMYFUNCTION("""COMPUTED_VALUE"""),"3 - COMANDANTE")</f>
        <v>3 - COMANDANTE</v>
      </c>
      <c r="F1165" s="88"/>
      <c r="G1165" s="89">
        <f>IFERROR(__xludf.DUMMYFUNCTION("""COMPUTED_VALUE"""),7.6859495E7)</f>
        <v>76859495</v>
      </c>
      <c r="H1165" s="87"/>
      <c r="I1165" s="87"/>
    </row>
    <row r="1166">
      <c r="A1166" s="84">
        <f>IFERROR(__xludf.DUMMYFUNCTION("""COMPUTED_VALUE"""),1165.0)</f>
        <v>1165</v>
      </c>
      <c r="B1166" s="85" t="str">
        <f>IFERROR(__xludf.DUMMYFUNCTION("""COMPUTED_VALUE"""),"WEBCAM -")</f>
        <v>WEBCAM -</v>
      </c>
      <c r="C1166" s="86">
        <f>IFERROR(__xludf.DUMMYFUNCTION("""COMPUTED_VALUE"""),1.0)</f>
        <v>1</v>
      </c>
      <c r="D1166" s="87" t="str">
        <f>IFERROR(__xludf.DUMMYFUNCTION("""COMPUTED_VALUE"""),"SEÇÃO")</f>
        <v>SEÇÃO</v>
      </c>
      <c r="E1166" s="87" t="str">
        <f>IFERROR(__xludf.DUMMYFUNCTION("""COMPUTED_VALUE"""),"3 - CARTÓRIO")</f>
        <v>3 - CARTÓRIO</v>
      </c>
      <c r="F1166" s="88"/>
      <c r="G1166" s="89">
        <f>IFERROR(__xludf.DUMMYFUNCTION("""COMPUTED_VALUE"""),7.6859509E7)</f>
        <v>76859509</v>
      </c>
      <c r="H1166" s="87"/>
      <c r="I1166" s="87" t="str">
        <f>IFERROR(__xludf.DUMMYFUNCTION("""COMPUTED_VALUE"""),"SGT BATISTA")</f>
        <v>SGT BATISTA</v>
      </c>
    </row>
    <row r="1167">
      <c r="A1167" s="84">
        <f>IFERROR(__xludf.DUMMYFUNCTION("""COMPUTED_VALUE"""),1166.0)</f>
        <v>1166</v>
      </c>
      <c r="B1167" s="85" t="str">
        <f>IFERROR(__xludf.DUMMYFUNCTION("""COMPUTED_VALUE"""),"WEBCAM -")</f>
        <v>WEBCAM -</v>
      </c>
      <c r="C1167" s="86">
        <f>IFERROR(__xludf.DUMMYFUNCTION("""COMPUTED_VALUE"""),1.0)</f>
        <v>1</v>
      </c>
      <c r="D1167" s="87" t="str">
        <f>IFERROR(__xludf.DUMMYFUNCTION("""COMPUTED_VALUE"""),"SEÇÃO")</f>
        <v>SEÇÃO</v>
      </c>
      <c r="E1167" s="87" t="str">
        <f>IFERROR(__xludf.DUMMYFUNCTION("""COMPUTED_VALUE"""),"3 - SUPRIMENTOS")</f>
        <v>3 - SUPRIMENTOS</v>
      </c>
      <c r="F1167" s="88"/>
      <c r="G1167" s="89">
        <f>IFERROR(__xludf.DUMMYFUNCTION("""COMPUTED_VALUE"""),7.6859517E7)</f>
        <v>76859517</v>
      </c>
      <c r="H1167" s="87"/>
      <c r="I1167" s="87"/>
    </row>
    <row r="1168">
      <c r="A1168" s="84">
        <f>IFERROR(__xludf.DUMMYFUNCTION("""COMPUTED_VALUE"""),1167.0)</f>
        <v>1167</v>
      </c>
      <c r="B1168" s="85" t="str">
        <f>IFERROR(__xludf.DUMMYFUNCTION("""COMPUTED_VALUE"""),"WEBCAM -")</f>
        <v>WEBCAM -</v>
      </c>
      <c r="C1168" s="86">
        <f>IFERROR(__xludf.DUMMYFUNCTION("""COMPUTED_VALUE"""),1.0)</f>
        <v>1</v>
      </c>
      <c r="D1168" s="87" t="str">
        <f>IFERROR(__xludf.DUMMYFUNCTION("""COMPUTED_VALUE"""),"SEÇÃO")</f>
        <v>SEÇÃO</v>
      </c>
      <c r="E1168" s="87" t="str">
        <f>IFERROR(__xludf.DUMMYFUNCTION("""COMPUTED_VALUE"""),"3 - CARTÓRIO")</f>
        <v>3 - CARTÓRIO</v>
      </c>
      <c r="F1168" s="88"/>
      <c r="G1168" s="89">
        <f>IFERROR(__xludf.DUMMYFUNCTION("""COMPUTED_VALUE"""),7.6859525E7)</f>
        <v>76859525</v>
      </c>
      <c r="H1168" s="87" t="str">
        <f>IFERROR(__xludf.DUMMYFUNCTION("""COMPUTED_VALUE"""),"INTELBRAS FULL HD")</f>
        <v>INTELBRAS FULL HD</v>
      </c>
      <c r="I1168" s="87" t="str">
        <f>IFERROR(__xludf.DUMMYFUNCTION("""COMPUTED_VALUE"""),"TEN MATEUS")</f>
        <v>TEN MATEUS</v>
      </c>
    </row>
    <row r="1169">
      <c r="A1169" s="84">
        <f>IFERROR(__xludf.DUMMYFUNCTION("""COMPUTED_VALUE"""),1168.0)</f>
        <v>1168</v>
      </c>
      <c r="B1169" s="85" t="str">
        <f>IFERROR(__xludf.DUMMYFUNCTION("""COMPUTED_VALUE"""),"WEBCAM -")</f>
        <v>WEBCAM -</v>
      </c>
      <c r="C1169" s="86">
        <f>IFERROR(__xludf.DUMMYFUNCTION("""COMPUTED_VALUE"""),1.0)</f>
        <v>1</v>
      </c>
      <c r="D1169" s="87" t="str">
        <f>IFERROR(__xludf.DUMMYFUNCTION("""COMPUTED_VALUE"""),"SEÇÃO")</f>
        <v>SEÇÃO</v>
      </c>
      <c r="E1169" s="87" t="str">
        <f>IFERROR(__xludf.DUMMYFUNCTION("""COMPUTED_VALUE"""),"3 - SEPLAN")</f>
        <v>3 - SEPLAN</v>
      </c>
      <c r="F1169" s="88"/>
      <c r="G1169" s="89">
        <f>IFERROR(__xludf.DUMMYFUNCTION("""COMPUTED_VALUE"""),7.6866408E7)</f>
        <v>76866408</v>
      </c>
      <c r="H1169" s="87"/>
      <c r="I1169" s="87"/>
    </row>
    <row r="1170">
      <c r="A1170" s="84">
        <f>IFERROR(__xludf.DUMMYFUNCTION("""COMPUTED_VALUE"""),1169.0)</f>
        <v>1169</v>
      </c>
      <c r="B1170" s="85" t="str">
        <f>IFERROR(__xludf.DUMMYFUNCTION("""COMPUTED_VALUE"""),"WEBCAM -")</f>
        <v>WEBCAM -</v>
      </c>
      <c r="C1170" s="86">
        <f>IFERROR(__xludf.DUMMYFUNCTION("""COMPUTED_VALUE"""),1.0)</f>
        <v>1</v>
      </c>
      <c r="D1170" s="87" t="str">
        <f>IFERROR(__xludf.DUMMYFUNCTION("""COMPUTED_VALUE"""),"SEÇÃO")</f>
        <v>SEÇÃO</v>
      </c>
      <c r="E1170" s="87" t="str">
        <f>IFERROR(__xludf.DUMMYFUNCTION("""COMPUTED_VALUE"""),"3 - PPV")</f>
        <v>3 - PPV</v>
      </c>
      <c r="F1170" s="88"/>
      <c r="G1170" s="89">
        <f>IFERROR(__xludf.DUMMYFUNCTION("""COMPUTED_VALUE"""),7.6866416E7)</f>
        <v>76866416</v>
      </c>
      <c r="H1170" s="87"/>
      <c r="I1170" s="87"/>
    </row>
    <row r="1171">
      <c r="A1171" s="84">
        <f>IFERROR(__xludf.DUMMYFUNCTION("""COMPUTED_VALUE"""),1170.0)</f>
        <v>1170</v>
      </c>
      <c r="B1171" s="85" t="str">
        <f>IFERROR(__xludf.DUMMYFUNCTION("""COMPUTED_VALUE"""),"WEBCAM -")</f>
        <v>WEBCAM -</v>
      </c>
      <c r="C1171" s="86">
        <f>IFERROR(__xludf.DUMMYFUNCTION("""COMPUTED_VALUE"""),1.0)</f>
        <v>1</v>
      </c>
      <c r="D1171" s="87" t="str">
        <f>IFERROR(__xludf.DUMMYFUNCTION("""COMPUTED_VALUE"""),"SEÇÃO")</f>
        <v>SEÇÃO</v>
      </c>
      <c r="E1171" s="87" t="str">
        <f>IFERROR(__xludf.DUMMYFUNCTION("""COMPUTED_VALUE"""),"3 - SEPLAN")</f>
        <v>3 - SEPLAN</v>
      </c>
      <c r="F1171" s="88"/>
      <c r="G1171" s="89">
        <f>IFERROR(__xludf.DUMMYFUNCTION("""COMPUTED_VALUE"""),7.6866424E7)</f>
        <v>76866424</v>
      </c>
      <c r="H1171" s="87"/>
      <c r="I1171" s="87"/>
    </row>
    <row r="1172">
      <c r="A1172" s="84">
        <f>IFERROR(__xludf.DUMMYFUNCTION("""COMPUTED_VALUE"""),1171.0)</f>
        <v>1171</v>
      </c>
      <c r="B1172" s="85" t="str">
        <f>IFERROR(__xludf.DUMMYFUNCTION("""COMPUTED_VALUE"""),"WEBCAM -")</f>
        <v>WEBCAM -</v>
      </c>
      <c r="C1172" s="86">
        <f>IFERROR(__xludf.DUMMYFUNCTION("""COMPUTED_VALUE"""),1.0)</f>
        <v>1</v>
      </c>
      <c r="D1172" s="87" t="str">
        <f>IFERROR(__xludf.DUMMYFUNCTION("""COMPUTED_VALUE"""),"SEÇÃO")</f>
        <v>SEÇÃO</v>
      </c>
      <c r="E1172" s="87" t="str">
        <f>IFERROR(__xludf.DUMMYFUNCTION("""COMPUTED_VALUE"""),"3 - SEPLAN")</f>
        <v>3 - SEPLAN</v>
      </c>
      <c r="F1172" s="88"/>
      <c r="G1172" s="89">
        <f>IFERROR(__xludf.DUMMYFUNCTION("""COMPUTED_VALUE"""),7.6866432E7)</f>
        <v>76866432</v>
      </c>
      <c r="H1172" s="87"/>
      <c r="I1172" s="87"/>
    </row>
    <row r="1173">
      <c r="A1173" s="84">
        <f>IFERROR(__xludf.DUMMYFUNCTION("""COMPUTED_VALUE"""),1172.0)</f>
        <v>1172</v>
      </c>
      <c r="B1173" s="85" t="str">
        <f>IFERROR(__xludf.DUMMYFUNCTION("""COMPUTED_VALUE"""),"WEBCAM -")</f>
        <v>WEBCAM -</v>
      </c>
      <c r="C1173" s="86">
        <f>IFERROR(__xludf.DUMMYFUNCTION("""COMPUTED_VALUE"""),1.0)</f>
        <v>1</v>
      </c>
      <c r="D1173" s="87" t="str">
        <f>IFERROR(__xludf.DUMMYFUNCTION("""COMPUTED_VALUE"""),"SEÇÃO")</f>
        <v>SEÇÃO</v>
      </c>
      <c r="E1173" s="87" t="str">
        <f>IFERROR(__xludf.DUMMYFUNCTION("""COMPUTED_VALUE"""),"3 - SUPRIMENTOS")</f>
        <v>3 - SUPRIMENTOS</v>
      </c>
      <c r="F1173" s="88"/>
      <c r="G1173" s="89">
        <f>IFERROR(__xludf.DUMMYFUNCTION("""COMPUTED_VALUE"""),7.686644E7)</f>
        <v>76866440</v>
      </c>
      <c r="H1173" s="87"/>
      <c r="I1173" s="87"/>
    </row>
    <row r="1174">
      <c r="A1174" s="84">
        <f>IFERROR(__xludf.DUMMYFUNCTION("""COMPUTED_VALUE"""),1173.0)</f>
        <v>1173</v>
      </c>
      <c r="B1174" s="85" t="str">
        <f>IFERROR(__xludf.DUMMYFUNCTION("""COMPUTED_VALUE"""),"WEBCAM -")</f>
        <v>WEBCAM -</v>
      </c>
      <c r="C1174" s="86">
        <f>IFERROR(__xludf.DUMMYFUNCTION("""COMPUTED_VALUE"""),1.0)</f>
        <v>1</v>
      </c>
      <c r="D1174" s="87" t="str">
        <f>IFERROR(__xludf.DUMMYFUNCTION("""COMPUTED_VALUE"""),"SEÇÃO")</f>
        <v>SEÇÃO</v>
      </c>
      <c r="E1174" s="87" t="str">
        <f>IFERROR(__xludf.DUMMYFUNCTION("""COMPUTED_VALUE"""),"3 - COMANDANTE")</f>
        <v>3 - COMANDANTE</v>
      </c>
      <c r="F1174" s="88"/>
      <c r="G1174" s="89">
        <f>IFERROR(__xludf.DUMMYFUNCTION("""COMPUTED_VALUE"""),7.6866459E7)</f>
        <v>76866459</v>
      </c>
      <c r="H1174" s="87"/>
      <c r="I1174" s="87"/>
    </row>
    <row r="1175">
      <c r="A1175" s="84">
        <f>IFERROR(__xludf.DUMMYFUNCTION("""COMPUTED_VALUE"""),1174.0)</f>
        <v>1174</v>
      </c>
      <c r="B1175" s="85" t="str">
        <f>IFERROR(__xludf.DUMMYFUNCTION("""COMPUTED_VALUE"""),"WEBCAM -")</f>
        <v>WEBCAM -</v>
      </c>
      <c r="C1175" s="86">
        <f>IFERROR(__xludf.DUMMYFUNCTION("""COMPUTED_VALUE"""),1.0)</f>
        <v>1</v>
      </c>
      <c r="D1175" s="87" t="str">
        <f>IFERROR(__xludf.DUMMYFUNCTION("""COMPUTED_VALUE"""),"SEÇÃO")</f>
        <v>SEÇÃO</v>
      </c>
      <c r="E1175" s="87" t="str">
        <f>IFERROR(__xludf.DUMMYFUNCTION("""COMPUTED_VALUE"""),"3 - CARTÓRIO")</f>
        <v>3 - CARTÓRIO</v>
      </c>
      <c r="F1175" s="88"/>
      <c r="G1175" s="89">
        <f>IFERROR(__xludf.DUMMYFUNCTION("""COMPUTED_VALUE"""),7.6866467E7)</f>
        <v>76866467</v>
      </c>
      <c r="H1175" s="87"/>
      <c r="I1175" s="87" t="str">
        <f>IFERROR(__xludf.DUMMYFUNCTION("""COMPUTED_VALUE"""),"SGT CARVALHO")</f>
        <v>SGT CARVALHO</v>
      </c>
    </row>
    <row r="1176">
      <c r="A1176" s="84">
        <f>IFERROR(__xludf.DUMMYFUNCTION("""COMPUTED_VALUE"""),1175.0)</f>
        <v>1175</v>
      </c>
      <c r="B1176" s="85" t="str">
        <f>IFERROR(__xludf.DUMMYFUNCTION("""COMPUTED_VALUE"""),"WEBCAM -")</f>
        <v>WEBCAM -</v>
      </c>
      <c r="C1176" s="86">
        <f>IFERROR(__xludf.DUMMYFUNCTION("""COMPUTED_VALUE"""),1.0)</f>
        <v>1</v>
      </c>
      <c r="D1176" s="87" t="str">
        <f>IFERROR(__xludf.DUMMYFUNCTION("""COMPUTED_VALUE"""),"SEÇÃO")</f>
        <v>SEÇÃO</v>
      </c>
      <c r="E1176" s="87" t="str">
        <f>IFERROR(__xludf.DUMMYFUNCTION("""COMPUTED_VALUE"""),"3 - 1ª CIA OP")</f>
        <v>3 - 1ª CIA OP</v>
      </c>
      <c r="F1176" s="88" t="str">
        <f>IFERROR(__xludf.DUMMYFUNCTION("""COMPUTED_VALUE"""),"CMT OPERACIONAL")</f>
        <v>CMT OPERACIONAL</v>
      </c>
      <c r="G1176" s="89">
        <f>IFERROR(__xludf.DUMMYFUNCTION("""COMPUTED_VALUE"""),7.6866475E7)</f>
        <v>76866475</v>
      </c>
      <c r="H1176" s="87" t="str">
        <f>IFERROR(__xludf.DUMMYFUNCTION("""COMPUTED_VALUE"""),"INTELBRAS FULL HD")</f>
        <v>INTELBRAS FULL HD</v>
      </c>
      <c r="I1176" s="87"/>
    </row>
    <row r="1177">
      <c r="A1177" s="84">
        <f>IFERROR(__xludf.DUMMYFUNCTION("""COMPUTED_VALUE"""),1176.0)</f>
        <v>1176</v>
      </c>
      <c r="B1177" s="85" t="str">
        <f>IFERROR(__xludf.DUMMYFUNCTION("""COMPUTED_VALUE"""),"WEBCAM -")</f>
        <v>WEBCAM -</v>
      </c>
      <c r="C1177" s="86">
        <f>IFERROR(__xludf.DUMMYFUNCTION("""COMPUTED_VALUE"""),1.0)</f>
        <v>1</v>
      </c>
      <c r="D1177" s="87" t="str">
        <f>IFERROR(__xludf.DUMMYFUNCTION("""COMPUTED_VALUE"""),"SEÇÃO")</f>
        <v>SEÇÃO</v>
      </c>
      <c r="E1177" s="87" t="str">
        <f>IFERROR(__xludf.DUMMYFUNCTION("""COMPUTED_VALUE"""),"3 - SUPRIMENTOS")</f>
        <v>3 - SUPRIMENTOS</v>
      </c>
      <c r="F1177" s="88"/>
      <c r="G1177" s="89">
        <f>IFERROR(__xludf.DUMMYFUNCTION("""COMPUTED_VALUE"""),7.6866483E7)</f>
        <v>76866483</v>
      </c>
      <c r="H1177" s="87"/>
      <c r="I1177" s="87"/>
    </row>
    <row r="1178">
      <c r="A1178" s="84">
        <f>IFERROR(__xludf.DUMMYFUNCTION("""COMPUTED_VALUE"""),1177.0)</f>
        <v>1177</v>
      </c>
      <c r="B1178" s="85" t="str">
        <f>IFERROR(__xludf.DUMMYFUNCTION("""COMPUTED_VALUE"""),"WEBCAM -")</f>
        <v>WEBCAM -</v>
      </c>
      <c r="C1178" s="86">
        <f>IFERROR(__xludf.DUMMYFUNCTION("""COMPUTED_VALUE"""),1.0)</f>
        <v>1</v>
      </c>
      <c r="D1178" s="87" t="str">
        <f>IFERROR(__xludf.DUMMYFUNCTION("""COMPUTED_VALUE"""),"SEÇÃO")</f>
        <v>SEÇÃO</v>
      </c>
      <c r="E1178" s="87" t="str">
        <f>IFERROR(__xludf.DUMMYFUNCTION("""COMPUTED_VALUE"""),"3 - GRD")</f>
        <v>3 - GRD</v>
      </c>
      <c r="F1178" s="88"/>
      <c r="G1178" s="89">
        <f>IFERROR(__xludf.DUMMYFUNCTION("""COMPUTED_VALUE"""),7.6866491E7)</f>
        <v>76866491</v>
      </c>
      <c r="H1178" s="87"/>
      <c r="I1178" s="87"/>
    </row>
    <row r="1179">
      <c r="A1179" s="84">
        <f>IFERROR(__xludf.DUMMYFUNCTION("""COMPUTED_VALUE"""),1178.0)</f>
        <v>1178</v>
      </c>
      <c r="B1179" s="85" t="str">
        <f>IFERROR(__xludf.DUMMYFUNCTION("""COMPUTED_VALUE"""),"IMPRESSORA MULTIFUNCIONAL -")</f>
        <v>IMPRESSORA MULTIFUNCIONAL -</v>
      </c>
      <c r="C1179" s="86">
        <f>IFERROR(__xludf.DUMMYFUNCTION("""COMPUTED_VALUE"""),1.0)</f>
        <v>1</v>
      </c>
      <c r="D1179" s="87" t="str">
        <f>IFERROR(__xludf.DUMMYFUNCTION("""COMPUTED_VALUE"""),"SEÇÃO")</f>
        <v>SEÇÃO</v>
      </c>
      <c r="E1179" s="87" t="str">
        <f>IFERROR(__xludf.DUMMYFUNCTION("""COMPUTED_VALUE"""),"3 - CARTÓRIO")</f>
        <v>3 - CARTÓRIO</v>
      </c>
      <c r="F1179" s="88"/>
      <c r="G1179" s="89">
        <f>IFERROR(__xludf.DUMMYFUNCTION("""COMPUTED_VALUE"""),7.687129E7)</f>
        <v>76871290</v>
      </c>
      <c r="H1179" s="87"/>
      <c r="I1179" s="87"/>
    </row>
    <row r="1180">
      <c r="A1180" s="84">
        <f>IFERROR(__xludf.DUMMYFUNCTION("""COMPUTED_VALUE"""),1179.0)</f>
        <v>1179</v>
      </c>
      <c r="B1180" s="85" t="str">
        <f>IFERROR(__xludf.DUMMYFUNCTION("""COMPUTED_VALUE"""),"MOTOR DE POPA -")</f>
        <v>MOTOR DE POPA -</v>
      </c>
      <c r="C1180" s="86">
        <f>IFERROR(__xludf.DUMMYFUNCTION("""COMPUTED_VALUE"""),1.0)</f>
        <v>1</v>
      </c>
      <c r="D1180" s="87" t="str">
        <f>IFERROR(__xludf.DUMMYFUNCTION("""COMPUTED_VALUE"""),"SEÇÃO")</f>
        <v>SEÇÃO</v>
      </c>
      <c r="E1180" s="87" t="str">
        <f>IFERROR(__xludf.DUMMYFUNCTION("""COMPUTED_VALUE"""),"3 - SETOR DE MEIOS")</f>
        <v>3 - SETOR DE MEIOS</v>
      </c>
      <c r="F1180" s="88" t="str">
        <f>IFERROR(__xludf.DUMMYFUNCTION("""COMPUTED_VALUE"""),"MATERIAL DE MERGULHO")</f>
        <v>MATERIAL DE MERGULHO</v>
      </c>
      <c r="G1180" s="89">
        <f>IFERROR(__xludf.DUMMYFUNCTION("""COMPUTED_VALUE"""),7.687155E7)</f>
        <v>76871550</v>
      </c>
      <c r="H1180" s="87"/>
      <c r="I1180" s="87" t="str">
        <f>IFERROR(__xludf.DUMMYFUNCTION("""COMPUTED_VALUE"""),"motor 15 hp - encontra-se na ALA Op.")</f>
        <v>motor 15 hp - encontra-se na ALA Op.</v>
      </c>
    </row>
    <row r="1181">
      <c r="A1181" s="84">
        <f>IFERROR(__xludf.DUMMYFUNCTION("""COMPUTED_VALUE"""),1180.0)</f>
        <v>1180</v>
      </c>
      <c r="B1181" s="85" t="str">
        <f>IFERROR(__xludf.DUMMYFUNCTION("""COMPUTED_VALUE"""),"WEBCAM -")</f>
        <v>WEBCAM -</v>
      </c>
      <c r="C1181" s="86">
        <f>IFERROR(__xludf.DUMMYFUNCTION("""COMPUTED_VALUE"""),1.0)</f>
        <v>1</v>
      </c>
      <c r="D1181" s="87" t="str">
        <f>IFERROR(__xludf.DUMMYFUNCTION("""COMPUTED_VALUE"""),"SEÇÃO")</f>
        <v>SEÇÃO</v>
      </c>
      <c r="E1181" s="87" t="str">
        <f>IFERROR(__xludf.DUMMYFUNCTION("""COMPUTED_VALUE"""),"3 - 1ª CIA OP")</f>
        <v>3 - 1ª CIA OP</v>
      </c>
      <c r="F1181" s="88" t="str">
        <f>IFERROR(__xludf.DUMMYFUNCTION("""COMPUTED_VALUE"""),"SALA DE REDS")</f>
        <v>SALA DE REDS</v>
      </c>
      <c r="G1181" s="89">
        <f>IFERROR(__xludf.DUMMYFUNCTION("""COMPUTED_VALUE"""),7.6871924E7)</f>
        <v>76871924</v>
      </c>
      <c r="H1181" s="87" t="str">
        <f>IFERROR(__xludf.DUMMYFUNCTION("""COMPUTED_VALUE"""),"BLUECASE BWEB1080P-02")</f>
        <v>BLUECASE BWEB1080P-02</v>
      </c>
      <c r="I1181" s="87"/>
    </row>
    <row r="1182">
      <c r="A1182" s="84">
        <f>IFERROR(__xludf.DUMMYFUNCTION("""COMPUTED_VALUE"""),1181.0)</f>
        <v>1181</v>
      </c>
      <c r="B1182" s="85" t="str">
        <f>IFERROR(__xludf.DUMMYFUNCTION("""COMPUTED_VALUE"""),"WEBCAM -")</f>
        <v>WEBCAM -</v>
      </c>
      <c r="C1182" s="86">
        <f>IFERROR(__xludf.DUMMYFUNCTION("""COMPUTED_VALUE"""),1.0)</f>
        <v>1</v>
      </c>
      <c r="D1182" s="87" t="str">
        <f>IFERROR(__xludf.DUMMYFUNCTION("""COMPUTED_VALUE"""),"SEÇÃO")</f>
        <v>SEÇÃO</v>
      </c>
      <c r="E1182" s="87" t="str">
        <f>IFERROR(__xludf.DUMMYFUNCTION("""COMPUTED_VALUE"""),"3 - ALMOX. ESTOQUE")</f>
        <v>3 - ALMOX. ESTOQUE</v>
      </c>
      <c r="F1182" s="88"/>
      <c r="G1182" s="89">
        <f>IFERROR(__xludf.DUMMYFUNCTION("""COMPUTED_VALUE"""),7.6871932E7)</f>
        <v>76871932</v>
      </c>
      <c r="H1182" s="87" t="str">
        <f>IFERROR(__xludf.DUMMYFUNCTION("""COMPUTED_VALUE"""),"BLUECASE BWEB1080P-02")</f>
        <v>BLUECASE BWEB1080P-02</v>
      </c>
      <c r="I1182" s="87" t="str">
        <f>IFERROR(__xludf.DUMMYFUNCTION("""COMPUTED_VALUE"""),"guardado ")</f>
        <v>guardado </v>
      </c>
    </row>
    <row r="1183">
      <c r="A1183" s="84">
        <f>IFERROR(__xludf.DUMMYFUNCTION("""COMPUTED_VALUE"""),1182.0)</f>
        <v>1182</v>
      </c>
      <c r="B1183" s="85" t="str">
        <f>IFERROR(__xludf.DUMMYFUNCTION("""COMPUTED_VALUE"""),"WEBCAM -")</f>
        <v>WEBCAM -</v>
      </c>
      <c r="C1183" s="86">
        <f>IFERROR(__xludf.DUMMYFUNCTION("""COMPUTED_VALUE"""),1.0)</f>
        <v>1</v>
      </c>
      <c r="D1183" s="87" t="str">
        <f>IFERROR(__xludf.DUMMYFUNCTION("""COMPUTED_VALUE"""),"SEÇÃO")</f>
        <v>SEÇÃO</v>
      </c>
      <c r="E1183" s="87" t="str">
        <f>IFERROR(__xludf.DUMMYFUNCTION("""COMPUTED_VALUE"""),"3 - GRD")</f>
        <v>3 - GRD</v>
      </c>
      <c r="F1183" s="88"/>
      <c r="G1183" s="89">
        <f>IFERROR(__xludf.DUMMYFUNCTION("""COMPUTED_VALUE"""),7.6871959E7)</f>
        <v>76871959</v>
      </c>
      <c r="H1183" s="87" t="str">
        <f>IFERROR(__xludf.DUMMYFUNCTION("""COMPUTED_VALUE"""),"BLUECASE BWEB1080P-02")</f>
        <v>BLUECASE BWEB1080P-02</v>
      </c>
      <c r="I1183" s="87" t="str">
        <f>IFERROR(__xludf.DUMMYFUNCTION("""COMPUTED_VALUE"""),"Sd 2ª Cl Freitas")</f>
        <v>Sd 2ª Cl Freitas</v>
      </c>
    </row>
    <row r="1184">
      <c r="A1184" s="84">
        <f>IFERROR(__xludf.DUMMYFUNCTION("""COMPUTED_VALUE"""),1183.0)</f>
        <v>1183</v>
      </c>
      <c r="B1184" s="85" t="str">
        <f>IFERROR(__xludf.DUMMYFUNCTION("""COMPUTED_VALUE"""),"WEBCAM -")</f>
        <v>WEBCAM -</v>
      </c>
      <c r="C1184" s="86">
        <f>IFERROR(__xludf.DUMMYFUNCTION("""COMPUTED_VALUE"""),1.0)</f>
        <v>1</v>
      </c>
      <c r="D1184" s="87" t="str">
        <f>IFERROR(__xludf.DUMMYFUNCTION("""COMPUTED_VALUE"""),"SEÇÃO")</f>
        <v>SEÇÃO</v>
      </c>
      <c r="E1184" s="87" t="str">
        <f>IFERROR(__xludf.DUMMYFUNCTION("""COMPUTED_VALUE"""),"3 - CARTÓRIO")</f>
        <v>3 - CARTÓRIO</v>
      </c>
      <c r="F1184" s="88" t="str">
        <f>IFERROR(__xludf.DUMMYFUNCTION("""COMPUTED_VALUE"""),"PROTOCOLO")</f>
        <v>PROTOCOLO</v>
      </c>
      <c r="G1184" s="89">
        <f>IFERROR(__xludf.DUMMYFUNCTION("""COMPUTED_VALUE"""),7.6871967E7)</f>
        <v>76871967</v>
      </c>
      <c r="H1184" s="87"/>
      <c r="I1184" s="87" t="str">
        <f>IFERROR(__xludf.DUMMYFUNCTION("""COMPUTED_VALUE"""),"Func. Civil Sérgia")</f>
        <v>Func. Civil Sérgia</v>
      </c>
    </row>
    <row r="1185">
      <c r="A1185" s="84">
        <f>IFERROR(__xludf.DUMMYFUNCTION("""COMPUTED_VALUE"""),1184.0)</f>
        <v>1184</v>
      </c>
      <c r="B1185" s="85" t="str">
        <f>IFERROR(__xludf.DUMMYFUNCTION("""COMPUTED_VALUE"""),"WEBCAM -")</f>
        <v>WEBCAM -</v>
      </c>
      <c r="C1185" s="86">
        <f>IFERROR(__xludf.DUMMYFUNCTION("""COMPUTED_VALUE"""),1.0)</f>
        <v>1</v>
      </c>
      <c r="D1185" s="87" t="str">
        <f>IFERROR(__xludf.DUMMYFUNCTION("""COMPUTED_VALUE"""),"SEÇÃO")</f>
        <v>SEÇÃO</v>
      </c>
      <c r="E1185" s="87" t="str">
        <f>IFERROR(__xludf.DUMMYFUNCTION("""COMPUTED_VALUE"""),"3 - 1ª CIA OP")</f>
        <v>3 - 1ª CIA OP</v>
      </c>
      <c r="F1185" s="88" t="str">
        <f>IFERROR(__xludf.DUMMYFUNCTION("""COMPUTED_VALUE"""),"SECRETARIA")</f>
        <v>SECRETARIA</v>
      </c>
      <c r="G1185" s="89">
        <f>IFERROR(__xludf.DUMMYFUNCTION("""COMPUTED_VALUE"""),7.6871975E7)</f>
        <v>76871975</v>
      </c>
      <c r="H1185" s="87"/>
      <c r="I1185" s="87"/>
    </row>
    <row r="1186">
      <c r="A1186" s="84">
        <f>IFERROR(__xludf.DUMMYFUNCTION("""COMPUTED_VALUE"""),1185.0)</f>
        <v>1185</v>
      </c>
      <c r="B1186" s="85" t="str">
        <f>IFERROR(__xludf.DUMMYFUNCTION("""COMPUTED_VALUE"""),"WEBCAM -")</f>
        <v>WEBCAM -</v>
      </c>
      <c r="C1186" s="86">
        <f>IFERROR(__xludf.DUMMYFUNCTION("""COMPUTED_VALUE"""),1.0)</f>
        <v>1</v>
      </c>
      <c r="D1186" s="87" t="str">
        <f>IFERROR(__xludf.DUMMYFUNCTION("""COMPUTED_VALUE"""),"SEÇÃO")</f>
        <v>SEÇÃO</v>
      </c>
      <c r="E1186" s="87" t="str">
        <f>IFERROR(__xludf.DUMMYFUNCTION("""COMPUTED_VALUE"""),"3 - ALMOX. ESTOQUE")</f>
        <v>3 - ALMOX. ESTOQUE</v>
      </c>
      <c r="F1186" s="88"/>
      <c r="G1186" s="89">
        <f>IFERROR(__xludf.DUMMYFUNCTION("""COMPUTED_VALUE"""),7.6871991E7)</f>
        <v>76871991</v>
      </c>
      <c r="H1186" s="87" t="str">
        <f>IFERROR(__xludf.DUMMYFUNCTION("""COMPUTED_VALUE"""),"BLUECASE BWEB1080P-02")</f>
        <v>BLUECASE BWEB1080P-02</v>
      </c>
      <c r="I1186" s="87" t="str">
        <f>IFERROR(__xludf.DUMMYFUNCTION("""COMPUTED_VALUE"""),"guardado ")</f>
        <v>guardado </v>
      </c>
    </row>
    <row r="1187">
      <c r="A1187" s="84">
        <f>IFERROR(__xludf.DUMMYFUNCTION("""COMPUTED_VALUE"""),1186.0)</f>
        <v>1186</v>
      </c>
      <c r="B1187" s="85" t="str">
        <f>IFERROR(__xludf.DUMMYFUNCTION("""COMPUTED_VALUE"""),"WEBCAM -")</f>
        <v>WEBCAM -</v>
      </c>
      <c r="C1187" s="86">
        <f>IFERROR(__xludf.DUMMYFUNCTION("""COMPUTED_VALUE"""),1.0)</f>
        <v>1</v>
      </c>
      <c r="D1187" s="87" t="str">
        <f>IFERROR(__xludf.DUMMYFUNCTION("""COMPUTED_VALUE"""),"SEÇÃO")</f>
        <v>SEÇÃO</v>
      </c>
      <c r="E1187" s="87" t="str">
        <f>IFERROR(__xludf.DUMMYFUNCTION("""COMPUTED_VALUE"""),"3 - 1ª CIA OP")</f>
        <v>3 - 1ª CIA OP</v>
      </c>
      <c r="F1187" s="88" t="str">
        <f>IFERROR(__xludf.DUMMYFUNCTION("""COMPUTED_VALUE"""),"SECRETARIA")</f>
        <v>SECRETARIA</v>
      </c>
      <c r="G1187" s="89">
        <f>IFERROR(__xludf.DUMMYFUNCTION("""COMPUTED_VALUE"""),7.6872009E7)</f>
        <v>76872009</v>
      </c>
      <c r="H1187" s="87"/>
      <c r="I1187" s="87"/>
    </row>
    <row r="1188">
      <c r="A1188" s="84">
        <f>IFERROR(__xludf.DUMMYFUNCTION("""COMPUTED_VALUE"""),1187.0)</f>
        <v>1187</v>
      </c>
      <c r="B1188" s="85" t="str">
        <f>IFERROR(__xludf.DUMMYFUNCTION("""COMPUTED_VALUE"""),"WEBCAM -")</f>
        <v>WEBCAM -</v>
      </c>
      <c r="C1188" s="86">
        <f>IFERROR(__xludf.DUMMYFUNCTION("""COMPUTED_VALUE"""),1.0)</f>
        <v>1</v>
      </c>
      <c r="D1188" s="87" t="str">
        <f>IFERROR(__xludf.DUMMYFUNCTION("""COMPUTED_VALUE"""),"SEÇÃO")</f>
        <v>SEÇÃO</v>
      </c>
      <c r="E1188" s="87" t="str">
        <f>IFERROR(__xludf.DUMMYFUNCTION("""COMPUTED_VALUE"""),"3 - CARTÓRIO")</f>
        <v>3 - CARTÓRIO</v>
      </c>
      <c r="F1188" s="88"/>
      <c r="G1188" s="89">
        <f>IFERROR(__xludf.DUMMYFUNCTION("""COMPUTED_VALUE"""),7.6872726E7)</f>
        <v>76872726</v>
      </c>
      <c r="H1188" s="87" t="str">
        <f>IFERROR(__xludf.DUMMYFUNCTION("""COMPUTED_VALUE"""),"BLUECASE BWEB1080P-02")</f>
        <v>BLUECASE BWEB1080P-02</v>
      </c>
      <c r="I1188" s="87" t="str">
        <f>IFERROR(__xludf.DUMMYFUNCTION("""COMPUTED_VALUE"""),"SALA CEDMU")</f>
        <v>SALA CEDMU</v>
      </c>
    </row>
    <row r="1189">
      <c r="A1189" s="84">
        <f>IFERROR(__xludf.DUMMYFUNCTION("""COMPUTED_VALUE"""),1188.0)</f>
        <v>1188</v>
      </c>
      <c r="B1189" s="85" t="str">
        <f>IFERROR(__xludf.DUMMYFUNCTION("""COMPUTED_VALUE"""),"WEBCAM -")</f>
        <v>WEBCAM -</v>
      </c>
      <c r="C1189" s="86">
        <f>IFERROR(__xludf.DUMMYFUNCTION("""COMPUTED_VALUE"""),1.0)</f>
        <v>1</v>
      </c>
      <c r="D1189" s="87" t="str">
        <f>IFERROR(__xludf.DUMMYFUNCTION("""COMPUTED_VALUE"""),"SEÇÃO")</f>
        <v>SEÇÃO</v>
      </c>
      <c r="E1189" s="87" t="str">
        <f>IFERROR(__xludf.DUMMYFUNCTION("""COMPUTED_VALUE"""),"3 - PPV")</f>
        <v>3 - PPV</v>
      </c>
      <c r="F1189" s="88"/>
      <c r="G1189" s="89">
        <f>IFERROR(__xludf.DUMMYFUNCTION("""COMPUTED_VALUE"""),7.6872734E7)</f>
        <v>76872734</v>
      </c>
      <c r="H1189" s="87" t="str">
        <f>IFERROR(__xludf.DUMMYFUNCTION("""COMPUTED_VALUE"""),"BLUECASE BWEB1080P-02")</f>
        <v>BLUECASE BWEB1080P-02</v>
      </c>
      <c r="I1189" s="87" t="str">
        <f>IFERROR(__xludf.DUMMYFUNCTION("""COMPUTED_VALUE"""),"Sgt Alessandra")</f>
        <v>Sgt Alessandra</v>
      </c>
    </row>
    <row r="1190">
      <c r="A1190" s="84">
        <f>IFERROR(__xludf.DUMMYFUNCTION("""COMPUTED_VALUE"""),1189.0)</f>
        <v>1189</v>
      </c>
      <c r="B1190" s="85" t="str">
        <f>IFERROR(__xludf.DUMMYFUNCTION("""COMPUTED_VALUE"""),"WEBCAM -")</f>
        <v>WEBCAM -</v>
      </c>
      <c r="C1190" s="86">
        <f>IFERROR(__xludf.DUMMYFUNCTION("""COMPUTED_VALUE"""),1.0)</f>
        <v>1</v>
      </c>
      <c r="D1190" s="87" t="str">
        <f>IFERROR(__xludf.DUMMYFUNCTION("""COMPUTED_VALUE"""),"SEÇÃO")</f>
        <v>SEÇÃO</v>
      </c>
      <c r="E1190" s="87" t="str">
        <f>IFERROR(__xludf.DUMMYFUNCTION("""COMPUTED_VALUE"""),"3 - ALMOX. ESTOQUE")</f>
        <v>3 - ALMOX. ESTOQUE</v>
      </c>
      <c r="F1190" s="88"/>
      <c r="G1190" s="89">
        <f>IFERROR(__xludf.DUMMYFUNCTION("""COMPUTED_VALUE"""),7.687275E7)</f>
        <v>76872750</v>
      </c>
      <c r="H1190" s="87" t="str">
        <f>IFERROR(__xludf.DUMMYFUNCTION("""COMPUTED_VALUE"""),"BLUECASE BWEB1080P-02")</f>
        <v>BLUECASE BWEB1080P-02</v>
      </c>
      <c r="I1190" s="87" t="str">
        <f>IFERROR(__xludf.DUMMYFUNCTION("""COMPUTED_VALUE"""),"guardado ")</f>
        <v>guardado </v>
      </c>
    </row>
    <row r="1191">
      <c r="A1191" s="84">
        <f>IFERROR(__xludf.DUMMYFUNCTION("""COMPUTED_VALUE"""),1190.0)</f>
        <v>1190</v>
      </c>
      <c r="B1191" s="85" t="str">
        <f>IFERROR(__xludf.DUMMYFUNCTION("""COMPUTED_VALUE"""),"FURADEIRA/PARAFUSADEIRA MANUAL -")</f>
        <v>FURADEIRA/PARAFUSADEIRA MANUAL -</v>
      </c>
      <c r="C1191" s="86">
        <f>IFERROR(__xludf.DUMMYFUNCTION("""COMPUTED_VALUE"""),1.0)</f>
        <v>1</v>
      </c>
      <c r="D1191" s="87" t="str">
        <f>IFERROR(__xludf.DUMMYFUNCTION("""COMPUTED_VALUE"""),"SEÇÃO")</f>
        <v>SEÇÃO</v>
      </c>
      <c r="E1191" s="87" t="str">
        <f>IFERROR(__xludf.DUMMYFUNCTION("""COMPUTED_VALUE"""),"3 - ALMOX. ESTOQUE")</f>
        <v>3 - ALMOX. ESTOQUE</v>
      </c>
      <c r="F1191" s="88" t="str">
        <f>IFERROR(__xludf.DUMMYFUNCTION("""COMPUTED_VALUE"""),"ALMOX. SAO (SEDE)")</f>
        <v>ALMOX. SAO (SEDE)</v>
      </c>
      <c r="G1191" s="89">
        <f>IFERROR(__xludf.DUMMYFUNCTION("""COMPUTED_VALUE"""),7.687423E7)</f>
        <v>76874230</v>
      </c>
      <c r="H1191" s="87"/>
      <c r="I1191" s="87"/>
    </row>
    <row r="1192">
      <c r="A1192" s="84">
        <f>IFERROR(__xludf.DUMMYFUNCTION("""COMPUTED_VALUE"""),1191.0)</f>
        <v>1191</v>
      </c>
      <c r="B1192" s="85" t="str">
        <f>IFERROR(__xludf.DUMMYFUNCTION("""COMPUTED_VALUE"""),"LANTERNA LUZ DE CENA -")</f>
        <v>LANTERNA LUZ DE CENA -</v>
      </c>
      <c r="C1192" s="86">
        <f>IFERROR(__xludf.DUMMYFUNCTION("""COMPUTED_VALUE"""),1.0)</f>
        <v>1</v>
      </c>
      <c r="D1192" s="87" t="str">
        <f>IFERROR(__xludf.DUMMYFUNCTION("""COMPUTED_VALUE"""),"SEÇÃO")</f>
        <v>SEÇÃO</v>
      </c>
      <c r="E1192" s="87" t="str">
        <f>IFERROR(__xludf.DUMMYFUNCTION("""COMPUTED_VALUE"""),"3 - ALMOX. ESTOQUE")</f>
        <v>3 - ALMOX. ESTOQUE</v>
      </c>
      <c r="F1192" s="88" t="str">
        <f>IFERROR(__xludf.DUMMYFUNCTION("""COMPUTED_VALUE"""),"SAO")</f>
        <v>SAO</v>
      </c>
      <c r="G1192" s="89">
        <f>IFERROR(__xludf.DUMMYFUNCTION("""COMPUTED_VALUE"""),7.6875407E7)</f>
        <v>76875407</v>
      </c>
      <c r="H1192" s="87" t="str">
        <f>IFERROR(__xludf.DUMMYFUNCTION("""COMPUTED_VALUE"""),"N.S.64645")</f>
        <v>N.S.64645</v>
      </c>
      <c r="I1192" s="87"/>
    </row>
    <row r="1193">
      <c r="A1193" s="84">
        <f>IFERROR(__xludf.DUMMYFUNCTION("""COMPUTED_VALUE"""),1192.0)</f>
        <v>1192</v>
      </c>
      <c r="B1193" s="85" t="str">
        <f>IFERROR(__xludf.DUMMYFUNCTION("""COMPUTED_VALUE"""),"MOTOSSERRA -")</f>
        <v>MOTOSSERRA -</v>
      </c>
      <c r="C1193" s="86">
        <f>IFERROR(__xludf.DUMMYFUNCTION("""COMPUTED_VALUE"""),1.0)</f>
        <v>1</v>
      </c>
      <c r="D1193" s="87" t="str">
        <f>IFERROR(__xludf.DUMMYFUNCTION("""COMPUTED_VALUE"""),"SEÇÃO")</f>
        <v>SEÇÃO</v>
      </c>
      <c r="E1193" s="87" t="str">
        <f>IFERROR(__xludf.DUMMYFUNCTION("""COMPUTED_VALUE"""),"3 - ALMOX. ESTOQUE")</f>
        <v>3 - ALMOX. ESTOQUE</v>
      </c>
      <c r="F1193" s="88" t="str">
        <f>IFERROR(__xludf.DUMMYFUNCTION("""COMPUTED_VALUE"""),"ALMOX. SAO (SEDE)")</f>
        <v>ALMOX. SAO (SEDE)</v>
      </c>
      <c r="G1193" s="89">
        <f>IFERROR(__xludf.DUMMYFUNCTION("""COMPUTED_VALUE"""),7.6875512E7)</f>
        <v>76875512</v>
      </c>
      <c r="H1193" s="87"/>
      <c r="I1193" s="87" t="str">
        <f>IFERROR(__xludf.DUMMYFUNCTION("""COMPUTED_VALUE"""),"POTENCIA MOTOR MINIMA DE 4,2KW; ROTACAO MINIMA DE 12000; TANQUE DE COMBUSTIVEL MINIMA DE 800ML; TANQUE DE OLEO MINIMA DE 360ML; SABRE DE 16"" A 28""")</f>
        <v>POTENCIA MOTOR MINIMA DE 4,2KW; ROTACAO MINIMA DE 12000; TANQUE DE COMBUSTIVEL MINIMA DE 800ML; TANQUE DE OLEO MINIMA DE 360ML; SABRE DE 16" A 28"</v>
      </c>
    </row>
    <row r="1194">
      <c r="A1194" s="84">
        <f>IFERROR(__xludf.DUMMYFUNCTION("""COMPUTED_VALUE"""),1193.0)</f>
        <v>1193</v>
      </c>
      <c r="B1194" s="85" t="str">
        <f>IFERROR(__xludf.DUMMYFUNCTION("""COMPUTED_VALUE"""),"MOTOSSERRA -")</f>
        <v>MOTOSSERRA -</v>
      </c>
      <c r="C1194" s="86">
        <f>IFERROR(__xludf.DUMMYFUNCTION("""COMPUTED_VALUE"""),1.0)</f>
        <v>1</v>
      </c>
      <c r="D1194" s="87" t="str">
        <f>IFERROR(__xludf.DUMMYFUNCTION("""COMPUTED_VALUE"""),"SEÇÃO")</f>
        <v>SEÇÃO</v>
      </c>
      <c r="E1194" s="87" t="str">
        <f>IFERROR(__xludf.DUMMYFUNCTION("""COMPUTED_VALUE"""),"3 - ALMOX. ESTOQUE")</f>
        <v>3 - ALMOX. ESTOQUE</v>
      </c>
      <c r="F1194" s="88" t="str">
        <f>IFERROR(__xludf.DUMMYFUNCTION("""COMPUTED_VALUE"""),"ALMOX. SAO (SEDE)")</f>
        <v>ALMOX. SAO (SEDE)</v>
      </c>
      <c r="G1194" s="89">
        <f>IFERROR(__xludf.DUMMYFUNCTION("""COMPUTED_VALUE"""),7.6875628E7)</f>
        <v>76875628</v>
      </c>
      <c r="H1194" s="87"/>
      <c r="I1194" s="87" t="str">
        <f>IFERROR(__xludf.DUMMYFUNCTION("""COMPUTED_VALUE"""),"POTENCIA MOTOR MINIMA DE 1,5KW; ROTACAO MINIMA DE 12000 RPM; TANQUE DE COMBUSTIVEL MINIMA DE 250ML; TANQUE DE OLEO MINIMA   DE 145ML; SABRE 16 POLEGADAS ")</f>
        <v>POTENCIA MOTOR MINIMA DE 1,5KW; ROTACAO MINIMA DE 12000 RPM; TANQUE DE COMBUSTIVEL MINIMA DE 250ML; TANQUE DE OLEO MINIMA   DE 145ML; SABRE 16 POLEGADAS </v>
      </c>
    </row>
    <row r="1195">
      <c r="A1195" s="84">
        <f>IFERROR(__xludf.DUMMYFUNCTION("""COMPUTED_VALUE"""),1194.0)</f>
        <v>1194</v>
      </c>
      <c r="B1195" s="85" t="str">
        <f>IFERROR(__xludf.DUMMYFUNCTION("""COMPUTED_VALUE"""),"MANEQUIM - SIMULADOR AVANCADO -")</f>
        <v>MANEQUIM - SIMULADOR AVANCADO -</v>
      </c>
      <c r="C1195" s="86">
        <f>IFERROR(__xludf.DUMMYFUNCTION("""COMPUTED_VALUE"""),1.0)</f>
        <v>1</v>
      </c>
      <c r="D1195" s="87" t="str">
        <f>IFERROR(__xludf.DUMMYFUNCTION("""COMPUTED_VALUE"""),"SEÇÃO")</f>
        <v>SEÇÃO</v>
      </c>
      <c r="E1195" s="87" t="str">
        <f>IFERROR(__xludf.DUMMYFUNCTION("""COMPUTED_VALUE"""),"3 - ALMOX. ESTOQUE")</f>
        <v>3 - ALMOX. ESTOQUE</v>
      </c>
      <c r="F1195" s="88" t="str">
        <f>IFERROR(__xludf.DUMMYFUNCTION("""COMPUTED_VALUE"""),"ALMOX. APH")</f>
        <v>ALMOX. APH</v>
      </c>
      <c r="G1195" s="89">
        <f>IFERROR(__xludf.DUMMYFUNCTION("""COMPUTED_VALUE"""),7.6877825E7)</f>
        <v>76877825</v>
      </c>
      <c r="H1195" s="87"/>
      <c r="I1195" s="87"/>
    </row>
    <row r="1196">
      <c r="A1196" s="84">
        <f>IFERROR(__xludf.DUMMYFUNCTION("""COMPUTED_VALUE"""),1195.0)</f>
        <v>1195</v>
      </c>
      <c r="B1196" s="85" t="str">
        <f>IFERROR(__xludf.DUMMYFUNCTION("""COMPUTED_VALUE"""),"MANEQUIM - SIMULADOR AVANCADO -")</f>
        <v>MANEQUIM - SIMULADOR AVANCADO -</v>
      </c>
      <c r="C1196" s="86">
        <f>IFERROR(__xludf.DUMMYFUNCTION("""COMPUTED_VALUE"""),1.0)</f>
        <v>1</v>
      </c>
      <c r="D1196" s="87" t="str">
        <f>IFERROR(__xludf.DUMMYFUNCTION("""COMPUTED_VALUE"""),"SEÇÃO")</f>
        <v>SEÇÃO</v>
      </c>
      <c r="E1196" s="87" t="str">
        <f>IFERROR(__xludf.DUMMYFUNCTION("""COMPUTED_VALUE"""),"3 - CURVELO")</f>
        <v>3 - CURVELO</v>
      </c>
      <c r="F1196" s="88"/>
      <c r="G1196" s="89">
        <f>IFERROR(__xludf.DUMMYFUNCTION("""COMPUTED_VALUE"""),7.6878082E7)</f>
        <v>76878082</v>
      </c>
      <c r="H1196" s="87"/>
      <c r="I1196" s="87"/>
    </row>
    <row r="1197">
      <c r="A1197" s="84">
        <f>IFERROR(__xludf.DUMMYFUNCTION("""COMPUTED_VALUE"""),1196.0)</f>
        <v>1196</v>
      </c>
      <c r="B1197" s="85" t="str">
        <f>IFERROR(__xludf.DUMMYFUNCTION("""COMPUTED_VALUE"""),"FERRAMENTA PARA DESENCARCERAMENTO -")</f>
        <v>FERRAMENTA PARA DESENCARCERAMENTO -</v>
      </c>
      <c r="C1197" s="86">
        <f>IFERROR(__xludf.DUMMYFUNCTION("""COMPUTED_VALUE"""),1.0)</f>
        <v>1</v>
      </c>
      <c r="D1197" s="87" t="str">
        <f>IFERROR(__xludf.DUMMYFUNCTION("""COMPUTED_VALUE"""),"VIATURA")</f>
        <v>VIATURA</v>
      </c>
      <c r="E1197" s="87" t="str">
        <f>IFERROR(__xludf.DUMMYFUNCTION("""COMPUTED_VALUE"""),"1 - ASM3617")</f>
        <v>1 - ASM3617</v>
      </c>
      <c r="F1197" s="88" t="str">
        <f>IFERROR(__xludf.DUMMYFUNCTION("""COMPUTED_VALUE"""),"BOX 01")</f>
        <v>BOX 01</v>
      </c>
      <c r="G1197" s="89">
        <f>IFERROR(__xludf.DUMMYFUNCTION("""COMPUTED_VALUE"""),7.6832872E7)</f>
        <v>76832872</v>
      </c>
      <c r="H1197" s="87" t="str">
        <f>IFERROR(__xludf.DUMMYFUNCTION("""COMPUTED_VALUE"""),"1407815HH")</f>
        <v>1407815HH</v>
      </c>
      <c r="I1197" s="87" t="str">
        <f>IFERROR(__xludf.DUMMYFUNCTION("""COMPUTED_VALUE"""),"(EXTENSOR) - HOLMATRO MODELO:PTR50 - PENTHEON - C/ BATERIA")</f>
        <v>(EXTENSOR) - HOLMATRO MODELO:PTR50 - PENTHEON - C/ BATERIA</v>
      </c>
    </row>
    <row r="1198">
      <c r="A1198" s="84">
        <f>IFERROR(__xludf.DUMMYFUNCTION("""COMPUTED_VALUE"""),1197.0)</f>
        <v>1197</v>
      </c>
      <c r="B1198" s="85" t="str">
        <f>IFERROR(__xludf.DUMMYFUNCTION("""COMPUTED_VALUE"""),"COMPUTADOR -")</f>
        <v>COMPUTADOR -</v>
      </c>
      <c r="C1198" s="86">
        <f>IFERROR(__xludf.DUMMYFUNCTION("""COMPUTED_VALUE"""),1.0)</f>
        <v>1</v>
      </c>
      <c r="D1198" s="87" t="str">
        <f>IFERROR(__xludf.DUMMYFUNCTION("""COMPUTED_VALUE"""),"SEÇÃO")</f>
        <v>SEÇÃO</v>
      </c>
      <c r="E1198" s="87" t="str">
        <f>IFERROR(__xludf.DUMMYFUNCTION("""COMPUTED_VALUE"""),"3 - SUPRIMENTOS")</f>
        <v>3 - SUPRIMENTOS</v>
      </c>
      <c r="F1198" s="88"/>
      <c r="G1198" s="89">
        <f>IFERROR(__xludf.DUMMYFUNCTION("""COMPUTED_VALUE"""),7.6878945E7)</f>
        <v>76878945</v>
      </c>
      <c r="H1198" s="87"/>
      <c r="I1198" s="87" t="str">
        <f>IFERROR(__xludf.DUMMYFUNCTION("""COMPUTED_VALUE"""),"multilaser mini pc ut 161 ultra - Sgt Dos Anjos")</f>
        <v>multilaser mini pc ut 161 ultra - Sgt Dos Anjos</v>
      </c>
    </row>
    <row r="1199">
      <c r="A1199" s="84">
        <f>IFERROR(__xludf.DUMMYFUNCTION("""COMPUTED_VALUE"""),1198.0)</f>
        <v>1198</v>
      </c>
      <c r="B1199" s="85" t="str">
        <f>IFERROR(__xludf.DUMMYFUNCTION("""COMPUTED_VALUE"""),"COMPUTADOR -")</f>
        <v>COMPUTADOR -</v>
      </c>
      <c r="C1199" s="86">
        <f>IFERROR(__xludf.DUMMYFUNCTION("""COMPUTED_VALUE"""),1.0)</f>
        <v>1</v>
      </c>
      <c r="D1199" s="87" t="str">
        <f>IFERROR(__xludf.DUMMYFUNCTION("""COMPUTED_VALUE"""),"SEÇÃO")</f>
        <v>SEÇÃO</v>
      </c>
      <c r="E1199" s="87" t="str">
        <f>IFERROR(__xludf.DUMMYFUNCTION("""COMPUTED_VALUE"""),"3 - PPV")</f>
        <v>3 - PPV</v>
      </c>
      <c r="F1199" s="88" t="str">
        <f>IFERROR(__xludf.DUMMYFUNCTION("""COMPUTED_VALUE"""),"CMT PPV")</f>
        <v>CMT PPV</v>
      </c>
      <c r="G1199" s="89">
        <f>IFERROR(__xludf.DUMMYFUNCTION("""COMPUTED_VALUE"""),7.6878953E7)</f>
        <v>76878953</v>
      </c>
      <c r="H1199" s="87"/>
      <c r="I1199" s="87" t="str">
        <f>IFERROR(__xludf.DUMMYFUNCTION("""COMPUTED_VALUE"""),"multilaser mini pc ut 161 ultra - Ten Araújo")</f>
        <v>multilaser mini pc ut 161 ultra - Ten Araújo</v>
      </c>
    </row>
    <row r="1200">
      <c r="A1200" s="84">
        <f>IFERROR(__xludf.DUMMYFUNCTION("""COMPUTED_VALUE"""),1199.0)</f>
        <v>1199</v>
      </c>
      <c r="B1200" s="85" t="str">
        <f>IFERROR(__xludf.DUMMYFUNCTION("""COMPUTED_VALUE"""),"COMPUTADOR -")</f>
        <v>COMPUTADOR -</v>
      </c>
      <c r="C1200" s="86">
        <f>IFERROR(__xludf.DUMMYFUNCTION("""COMPUTED_VALUE"""),1.0)</f>
        <v>1</v>
      </c>
      <c r="D1200" s="87" t="str">
        <f>IFERROR(__xludf.DUMMYFUNCTION("""COMPUTED_VALUE"""),"SEÇÃO")</f>
        <v>SEÇÃO</v>
      </c>
      <c r="E1200" s="87" t="str">
        <f>IFERROR(__xludf.DUMMYFUNCTION("""COMPUTED_VALUE"""),"3 - COMANDANTE")</f>
        <v>3 - COMANDANTE</v>
      </c>
      <c r="F1200" s="88"/>
      <c r="G1200" s="89">
        <f>IFERROR(__xludf.DUMMYFUNCTION("""COMPUTED_VALUE"""),7.6878961E7)</f>
        <v>76878961</v>
      </c>
      <c r="H1200" s="87"/>
      <c r="I1200" s="87" t="str">
        <f>IFERROR(__xludf.DUMMYFUNCTION("""COMPUTED_VALUE"""),"multilaser mini pc ut 161 ultra -Ten Cel Arthur")</f>
        <v>multilaser mini pc ut 161 ultra -Ten Cel Arthur</v>
      </c>
    </row>
    <row r="1201">
      <c r="A1201" s="84">
        <f>IFERROR(__xludf.DUMMYFUNCTION("""COMPUTED_VALUE"""),1200.0)</f>
        <v>1200</v>
      </c>
      <c r="B1201" s="85" t="str">
        <f>IFERROR(__xludf.DUMMYFUNCTION("""COMPUTED_VALUE"""),"COMPUTADOR -")</f>
        <v>COMPUTADOR -</v>
      </c>
      <c r="C1201" s="86">
        <f>IFERROR(__xludf.DUMMYFUNCTION("""COMPUTED_VALUE"""),1.0)</f>
        <v>1</v>
      </c>
      <c r="D1201" s="87" t="str">
        <f>IFERROR(__xludf.DUMMYFUNCTION("""COMPUTED_VALUE"""),"SEÇÃO")</f>
        <v>SEÇÃO</v>
      </c>
      <c r="E1201" s="87" t="str">
        <f>IFERROR(__xludf.DUMMYFUNCTION("""COMPUTED_VALUE"""),"3 - CARTÓRIO")</f>
        <v>3 - CARTÓRIO</v>
      </c>
      <c r="F1201" s="88"/>
      <c r="G1201" s="89">
        <f>IFERROR(__xludf.DUMMYFUNCTION("""COMPUTED_VALUE"""),7.687897E7)</f>
        <v>76878970</v>
      </c>
      <c r="H1201" s="87"/>
      <c r="I1201" s="87" t="str">
        <f>IFERROR(__xludf.DUMMYFUNCTION("""COMPUTED_VALUE"""),"multilaser mini pc ut 161 ultra - Sgt Batista")</f>
        <v>multilaser mini pc ut 161 ultra - Sgt Batista</v>
      </c>
    </row>
    <row r="1202">
      <c r="A1202" s="84">
        <f>IFERROR(__xludf.DUMMYFUNCTION("""COMPUTED_VALUE"""),1201.0)</f>
        <v>1201</v>
      </c>
      <c r="B1202" s="85" t="str">
        <f>IFERROR(__xludf.DUMMYFUNCTION("""COMPUTED_VALUE"""),"COMPUTADOR -")</f>
        <v>COMPUTADOR -</v>
      </c>
      <c r="C1202" s="86">
        <f>IFERROR(__xludf.DUMMYFUNCTION("""COMPUTED_VALUE"""),1.0)</f>
        <v>1</v>
      </c>
      <c r="D1202" s="87" t="str">
        <f>IFERROR(__xludf.DUMMYFUNCTION("""COMPUTED_VALUE"""),"SEÇÃO")</f>
        <v>SEÇÃO</v>
      </c>
      <c r="E1202" s="87" t="str">
        <f>IFERROR(__xludf.DUMMYFUNCTION("""COMPUTED_VALUE"""),"3 - SEPLAN")</f>
        <v>3 - SEPLAN</v>
      </c>
      <c r="F1202" s="88"/>
      <c r="G1202" s="89">
        <f>IFERROR(__xludf.DUMMYFUNCTION("""COMPUTED_VALUE"""),7.6878988E7)</f>
        <v>76878988</v>
      </c>
      <c r="H1202" s="87"/>
      <c r="I1202" s="87" t="str">
        <f>IFERROR(__xludf.DUMMYFUNCTION("""COMPUTED_VALUE"""),"Multilaser Mini PC UT 161 Ultra - Tortieti")</f>
        <v>Multilaser Mini PC UT 161 Ultra - Tortieti</v>
      </c>
    </row>
    <row r="1203">
      <c r="A1203" s="84">
        <f>IFERROR(__xludf.DUMMYFUNCTION("""COMPUTED_VALUE"""),1202.0)</f>
        <v>1202</v>
      </c>
      <c r="B1203" s="85" t="str">
        <f>IFERROR(__xludf.DUMMYFUNCTION("""COMPUTED_VALUE"""),"COMPUTADOR -")</f>
        <v>COMPUTADOR -</v>
      </c>
      <c r="C1203" s="86">
        <f>IFERROR(__xludf.DUMMYFUNCTION("""COMPUTED_VALUE"""),1.0)</f>
        <v>1</v>
      </c>
      <c r="D1203" s="87" t="str">
        <f>IFERROR(__xludf.DUMMYFUNCTION("""COMPUTED_VALUE"""),"SEÇÃO")</f>
        <v>SEÇÃO</v>
      </c>
      <c r="E1203" s="87" t="str">
        <f>IFERROR(__xludf.DUMMYFUNCTION("""COMPUTED_VALUE"""),"3 - CARTÓRIO")</f>
        <v>3 - CARTÓRIO</v>
      </c>
      <c r="F1203" s="88"/>
      <c r="G1203" s="89">
        <f>IFERROR(__xludf.DUMMYFUNCTION("""COMPUTED_VALUE"""),7.6878996E7)</f>
        <v>76878996</v>
      </c>
      <c r="H1203" s="87"/>
      <c r="I1203" s="87" t="str">
        <f>IFERROR(__xludf.DUMMYFUNCTION("""COMPUTED_VALUE"""),"multilaser mini pc ut 161 ultra - Sgt Carvalho")</f>
        <v>multilaser mini pc ut 161 ultra - Sgt Carvalho</v>
      </c>
    </row>
    <row r="1204">
      <c r="A1204" s="84">
        <f>IFERROR(__xludf.DUMMYFUNCTION("""COMPUTED_VALUE"""),1203.0)</f>
        <v>1203</v>
      </c>
      <c r="B1204" s="85" t="str">
        <f>IFERROR(__xludf.DUMMYFUNCTION("""COMPUTED_VALUE"""),"COMPUTADOR -")</f>
        <v>COMPUTADOR -</v>
      </c>
      <c r="C1204" s="86">
        <f>IFERROR(__xludf.DUMMYFUNCTION("""COMPUTED_VALUE"""),1.0)</f>
        <v>1</v>
      </c>
      <c r="D1204" s="87" t="str">
        <f>IFERROR(__xludf.DUMMYFUNCTION("""COMPUTED_VALUE"""),"SEÇÃO")</f>
        <v>SEÇÃO</v>
      </c>
      <c r="E1204" s="87" t="str">
        <f>IFERROR(__xludf.DUMMYFUNCTION("""COMPUTED_VALUE"""),"3 - SUB COMANDANTE")</f>
        <v>3 - SUB COMANDANTE</v>
      </c>
      <c r="F1204" s="88"/>
      <c r="G1204" s="89">
        <f>IFERROR(__xludf.DUMMYFUNCTION("""COMPUTED_VALUE"""),7.6879003E7)</f>
        <v>76879003</v>
      </c>
      <c r="H1204" s="87"/>
      <c r="I1204" s="87" t="str">
        <f>IFERROR(__xludf.DUMMYFUNCTION("""COMPUTED_VALUE"""),"multilaser mini pc ut 161 ultra - Maj Figueiredo")</f>
        <v>multilaser mini pc ut 161 ultra - Maj Figueiredo</v>
      </c>
    </row>
    <row r="1205">
      <c r="A1205" s="84">
        <f>IFERROR(__xludf.DUMMYFUNCTION("""COMPUTED_VALUE"""),1204.0)</f>
        <v>1204</v>
      </c>
      <c r="B1205" s="85" t="str">
        <f>IFERROR(__xludf.DUMMYFUNCTION("""COMPUTED_VALUE"""),"COMPUTADOR -")</f>
        <v>COMPUTADOR -</v>
      </c>
      <c r="C1205" s="86">
        <f>IFERROR(__xludf.DUMMYFUNCTION("""COMPUTED_VALUE"""),1.0)</f>
        <v>1</v>
      </c>
      <c r="D1205" s="87" t="str">
        <f>IFERROR(__xludf.DUMMYFUNCTION("""COMPUTED_VALUE"""),"SEÇÃO")</f>
        <v>SEÇÃO</v>
      </c>
      <c r="E1205" s="87" t="str">
        <f>IFERROR(__xludf.DUMMYFUNCTION("""COMPUTED_VALUE"""),"3 - SUPRIMENTOS")</f>
        <v>3 - SUPRIMENTOS</v>
      </c>
      <c r="F1205" s="88"/>
      <c r="G1205" s="89">
        <f>IFERROR(__xludf.DUMMYFUNCTION("""COMPUTED_VALUE"""),7.6879011E7)</f>
        <v>76879011</v>
      </c>
      <c r="H1205" s="87"/>
      <c r="I1205" s="87" t="str">
        <f>IFERROR(__xludf.DUMMYFUNCTION("""COMPUTED_VALUE"""),"multilaser mini pc ut 161 ultra - Ten Tavarez")</f>
        <v>multilaser mini pc ut 161 ultra - Ten Tavarez</v>
      </c>
    </row>
    <row r="1206">
      <c r="A1206" s="84">
        <f>IFERROR(__xludf.DUMMYFUNCTION("""COMPUTED_VALUE"""),1205.0)</f>
        <v>1205</v>
      </c>
      <c r="B1206" s="85" t="str">
        <f>IFERROR(__xludf.DUMMYFUNCTION("""COMPUTED_VALUE"""),"COMPUTADOR -")</f>
        <v>COMPUTADOR -</v>
      </c>
      <c r="C1206" s="86">
        <f>IFERROR(__xludf.DUMMYFUNCTION("""COMPUTED_VALUE"""),1.0)</f>
        <v>1</v>
      </c>
      <c r="D1206" s="87" t="str">
        <f>IFERROR(__xludf.DUMMYFUNCTION("""COMPUTED_VALUE"""),"SEÇÃO")</f>
        <v>SEÇÃO</v>
      </c>
      <c r="E1206" s="87" t="str">
        <f>IFERROR(__xludf.DUMMYFUNCTION("""COMPUTED_VALUE"""),"3 - SUPRIMENTOS")</f>
        <v>3 - SUPRIMENTOS</v>
      </c>
      <c r="F1206" s="88"/>
      <c r="G1206" s="89">
        <f>IFERROR(__xludf.DUMMYFUNCTION("""COMPUTED_VALUE"""),7.687902E7)</f>
        <v>76879020</v>
      </c>
      <c r="H1206" s="87" t="str">
        <f>IFERROR(__xludf.DUMMYFUNCTION("""COMPUTED_VALUE"""),"00355-61310-59375-AAOEM")</f>
        <v>00355-61310-59375-AAOEM</v>
      </c>
      <c r="I1206" s="87" t="str">
        <f>IFERROR(__xludf.DUMMYFUNCTION("""COMPUTED_VALUE"""),"Multilaser mini pc ut 161 ultra. 2º SGT  CAMILO")</f>
        <v>Multilaser mini pc ut 161 ultra. 2º SGT  CAMILO</v>
      </c>
    </row>
    <row r="1207">
      <c r="A1207" s="84">
        <f>IFERROR(__xludf.DUMMYFUNCTION("""COMPUTED_VALUE"""),1206.0)</f>
        <v>1206</v>
      </c>
      <c r="B1207" s="85" t="str">
        <f>IFERROR(__xludf.DUMMYFUNCTION("""COMPUTED_VALUE"""),"COMPUTADOR -")</f>
        <v>COMPUTADOR -</v>
      </c>
      <c r="C1207" s="86">
        <f>IFERROR(__xludf.DUMMYFUNCTION("""COMPUTED_VALUE"""),1.0)</f>
        <v>1</v>
      </c>
      <c r="D1207" s="87" t="str">
        <f>IFERROR(__xludf.DUMMYFUNCTION("""COMPUTED_VALUE"""),"SEÇÃO")</f>
        <v>SEÇÃO</v>
      </c>
      <c r="E1207" s="87" t="str">
        <f>IFERROR(__xludf.DUMMYFUNCTION("""COMPUTED_VALUE"""),"3 - DESCARGA")</f>
        <v>3 - DESCARGA</v>
      </c>
      <c r="F1207" s="88"/>
      <c r="G1207" s="89">
        <f>IFERROR(__xludf.DUMMYFUNCTION("""COMPUTED_VALUE"""),8.3072039E7)</f>
        <v>83072039</v>
      </c>
      <c r="H1207" s="87" t="str">
        <f>IFERROR(__xludf.DUMMYFUNCTION("""COMPUTED_VALUE"""),"00330-50000-00000-AAOEM, HP COMPAQ 8307203-9,")</f>
        <v>00330-50000-00000-AAOEM, HP COMPAQ 8307203-9,</v>
      </c>
      <c r="I1207" s="87" t="str">
        <f>IFERROR(__xludf.DUMMYFUNCTION("""COMPUTED_VALUE"""),"MATERIAL DESCARREGADO - PROCESSO Nº 1400.01.0026473/2023-04")</f>
        <v>MATERIAL DESCARREGADO - PROCESSO Nº 1400.01.0026473/2023-04</v>
      </c>
    </row>
    <row r="1208">
      <c r="A1208" s="84">
        <f>IFERROR(__xludf.DUMMYFUNCTION("""COMPUTED_VALUE"""),1207.0)</f>
        <v>1207</v>
      </c>
      <c r="B1208" s="85" t="str">
        <f>IFERROR(__xludf.DUMMYFUNCTION("""COMPUTED_VALUE"""),"SIMULADOR DE ARRITMIAS CARDIACAS -")</f>
        <v>SIMULADOR DE ARRITMIAS CARDIACAS -</v>
      </c>
      <c r="C1208" s="86">
        <f>IFERROR(__xludf.DUMMYFUNCTION("""COMPUTED_VALUE"""),1.0)</f>
        <v>1</v>
      </c>
      <c r="D1208" s="87" t="str">
        <f>IFERROR(__xludf.DUMMYFUNCTION("""COMPUTED_VALUE"""),"SEÇÃO")</f>
        <v>SEÇÃO</v>
      </c>
      <c r="E1208" s="87" t="str">
        <f>IFERROR(__xludf.DUMMYFUNCTION("""COMPUTED_VALUE"""),"3 - ALMOX. ESTOQUE")</f>
        <v>3 - ALMOX. ESTOQUE</v>
      </c>
      <c r="F1208" s="88" t="str">
        <f>IFERROR(__xludf.DUMMYFUNCTION("""COMPUTED_VALUE"""),"ALMOX. APH")</f>
        <v>ALMOX. APH</v>
      </c>
      <c r="G1208" s="89">
        <f>IFERROR(__xludf.DUMMYFUNCTION("""COMPUTED_VALUE"""),8.3802878E7)</f>
        <v>83802878</v>
      </c>
      <c r="H1208" s="87"/>
      <c r="I1208" s="87"/>
    </row>
    <row r="1209">
      <c r="A1209" s="84">
        <f>IFERROR(__xludf.DUMMYFUNCTION("""COMPUTED_VALUE"""),1208.0)</f>
        <v>1208</v>
      </c>
      <c r="B1209" s="85" t="str">
        <f>IFERROR(__xludf.DUMMYFUNCTION("""COMPUTED_VALUE"""),"COMPUTADOR -")</f>
        <v>COMPUTADOR -</v>
      </c>
      <c r="C1209" s="86">
        <f>IFERROR(__xludf.DUMMYFUNCTION("""COMPUTED_VALUE"""),1.0)</f>
        <v>1</v>
      </c>
      <c r="D1209" s="87" t="str">
        <f>IFERROR(__xludf.DUMMYFUNCTION("""COMPUTED_VALUE"""),"SEÇÃO")</f>
        <v>SEÇÃO</v>
      </c>
      <c r="E1209" s="87" t="str">
        <f>IFERROR(__xludf.DUMMYFUNCTION("""COMPUTED_VALUE"""),"3 - ALMOX. ESTOQUE")</f>
        <v>3 - ALMOX. ESTOQUE</v>
      </c>
      <c r="F1209" s="88" t="str">
        <f>IFERROR(__xludf.DUMMYFUNCTION("""COMPUTED_VALUE"""),"CPD")</f>
        <v>CPD</v>
      </c>
      <c r="G1209" s="89">
        <f>IFERROR(__xludf.DUMMYFUNCTION("""COMPUTED_VALUE"""),8.4192038E7)</f>
        <v>84192038</v>
      </c>
      <c r="H1209" s="87" t="str">
        <f>IFERROR(__xludf.DUMMYFUNCTION("""COMPUTED_VALUE"""),"NS 1AF50UL9X")</f>
        <v>NS 1AF50UL9X</v>
      </c>
      <c r="I1209" s="87" t="str">
        <f>IFERROR(__xludf.DUMMYFUNCTION("""COMPUTED_VALUE"""),"positivo Mater d480, NS 1AF50UL9X")</f>
        <v>positivo Mater d480, NS 1AF50UL9X</v>
      </c>
    </row>
    <row r="1210">
      <c r="A1210" s="84">
        <f>IFERROR(__xludf.DUMMYFUNCTION("""COMPUTED_VALUE"""),1209.0)</f>
        <v>1209</v>
      </c>
      <c r="B1210" s="85" t="str">
        <f>IFERROR(__xludf.DUMMYFUNCTION("""COMPUTED_VALUE"""),"CAMINHAO (S) -")</f>
        <v>CAMINHAO (S) -</v>
      </c>
      <c r="C1210" s="86">
        <f>IFERROR(__xludf.DUMMYFUNCTION("""COMPUTED_VALUE"""),1.0)</f>
        <v>1</v>
      </c>
      <c r="D1210" s="87" t="str">
        <f>IFERROR(__xludf.DUMMYFUNCTION("""COMPUTED_VALUE"""),"VIATURA")</f>
        <v>VIATURA</v>
      </c>
      <c r="E1210" s="87" t="str">
        <f>IFERROR(__xludf.DUMMYFUNCTION("""COMPUTED_VALUE"""),"3 - FROTA 5ª CIA IND")</f>
        <v>3 - FROTA 5ª CIA IND</v>
      </c>
      <c r="F1210" s="88"/>
      <c r="G1210" s="89">
        <f>IFERROR(__xludf.DUMMYFUNCTION("""COMPUTED_VALUE"""),1.3975447E7)</f>
        <v>13975447</v>
      </c>
      <c r="H1210" s="87" t="str">
        <f>IFERROR(__xludf.DUMMYFUNCTION("""COMPUTED_VALUE"""),"9BWPR82U36R608236")</f>
        <v>9BWPR82U36R608236</v>
      </c>
      <c r="I1210" s="87" t="str">
        <f>IFERROR(__xludf.DUMMYFUNCTION("""COMPUTED_VALUE"""),"ATB0722 - PLACA  HMH0893")</f>
        <v>ATB0722 - PLACA  HMH0893</v>
      </c>
    </row>
    <row r="1211">
      <c r="A1211" s="84">
        <f>IFERROR(__xludf.DUMMYFUNCTION("""COMPUTED_VALUE"""),1210.0)</f>
        <v>1210</v>
      </c>
      <c r="B1211" s="85" t="str">
        <f>IFERROR(__xludf.DUMMYFUNCTION("""COMPUTED_VALUE"""),"TANQUE PARA CAMINHAO -")</f>
        <v>TANQUE PARA CAMINHAO -</v>
      </c>
      <c r="C1211" s="86">
        <f>IFERROR(__xludf.DUMMYFUNCTION("""COMPUTED_VALUE"""),1.0)</f>
        <v>1</v>
      </c>
      <c r="D1211" s="87" t="str">
        <f>IFERROR(__xludf.DUMMYFUNCTION("""COMPUTED_VALUE"""),"VIATURA")</f>
        <v>VIATURA</v>
      </c>
      <c r="E1211" s="87" t="str">
        <f>IFERROR(__xludf.DUMMYFUNCTION("""COMPUTED_VALUE"""),"1 - ATB0722")</f>
        <v>1 - ATB0722</v>
      </c>
      <c r="F1211" s="88"/>
      <c r="G1211" s="89">
        <f>IFERROR(__xludf.DUMMYFUNCTION("""COMPUTED_VALUE"""),1.3989626E7)</f>
        <v>13989626</v>
      </c>
      <c r="H1211" s="87"/>
      <c r="I1211" s="87" t="str">
        <f>IFERROR(__xludf.DUMMYFUNCTION("""COMPUTED_VALUE"""),"IMPLEMENTO.")</f>
        <v>IMPLEMENTO.</v>
      </c>
    </row>
    <row r="1212">
      <c r="A1212" s="84">
        <f>IFERROR(__xludf.DUMMYFUNCTION("""COMPUTED_VALUE"""),1211.0)</f>
        <v>1211</v>
      </c>
      <c r="B1212" s="85" t="str">
        <f>IFERROR(__xludf.DUMMYFUNCTION("""COMPUTED_VALUE"""),"VIATURA BASICA -")</f>
        <v>VIATURA BASICA -</v>
      </c>
      <c r="C1212" s="86">
        <f>IFERROR(__xludf.DUMMYFUNCTION("""COMPUTED_VALUE"""),1.0)</f>
        <v>1</v>
      </c>
      <c r="D1212" s="87" t="str">
        <f>IFERROR(__xludf.DUMMYFUNCTION("""COMPUTED_VALUE"""),"VIATURA")</f>
        <v>VIATURA</v>
      </c>
      <c r="E1212" s="87" t="str">
        <f>IFERROR(__xludf.DUMMYFUNCTION("""COMPUTED_VALUE"""),"3 - FROTA 5ª CIA IND")</f>
        <v>3 - FROTA 5ª CIA IND</v>
      </c>
      <c r="F1212" s="88"/>
      <c r="G1212" s="89">
        <f>IFERROR(__xludf.DUMMYFUNCTION("""COMPUTED_VALUE"""),4.0280047E7)</f>
        <v>40280047</v>
      </c>
      <c r="H1212" s="87" t="str">
        <f>IFERROR(__xludf.DUMMYFUNCTION("""COMPUTED_VALUE"""),"9BD195A6MG0725381")</f>
        <v>9BD195A6MG0725381</v>
      </c>
      <c r="I1212" s="87" t="str">
        <f>IFERROR(__xludf.DUMMYFUNCTION("""COMPUTED_VALUE"""),"APV1331 - PLACA PUE8030")</f>
        <v>APV1331 - PLACA PUE8030</v>
      </c>
    </row>
    <row r="1213">
      <c r="A1213" s="84">
        <f>IFERROR(__xludf.DUMMYFUNCTION("""COMPUTED_VALUE"""),1212.0)</f>
        <v>1212</v>
      </c>
      <c r="B1213" s="85" t="str">
        <f>IFERROR(__xludf.DUMMYFUNCTION("""COMPUTED_VALUE"""),"VIATURA BASICA -")</f>
        <v>VIATURA BASICA -</v>
      </c>
      <c r="C1213" s="86">
        <f>IFERROR(__xludf.DUMMYFUNCTION("""COMPUTED_VALUE"""),1.0)</f>
        <v>1</v>
      </c>
      <c r="D1213" s="87" t="str">
        <f>IFERROR(__xludf.DUMMYFUNCTION("""COMPUTED_VALUE"""),"VIATURA")</f>
        <v>VIATURA</v>
      </c>
      <c r="E1213" s="87" t="str">
        <f>IFERROR(__xludf.DUMMYFUNCTION("""COMPUTED_VALUE"""),"3 - FROTA 5ª CIA IND")</f>
        <v>3 - FROTA 5ª CIA IND</v>
      </c>
      <c r="F1213" s="88"/>
      <c r="G1213" s="89">
        <f>IFERROR(__xludf.DUMMYFUNCTION("""COMPUTED_VALUE"""),4.0280969E7)</f>
        <v>40280969</v>
      </c>
      <c r="H1213" s="87" t="str">
        <f>IFERROR(__xludf.DUMMYFUNCTION("""COMPUTED_VALUE"""),"9BD195A6MG0719634")</f>
        <v>9BD195A6MG0719634</v>
      </c>
      <c r="I1213" s="87" t="str">
        <f>IFERROR(__xludf.DUMMYFUNCTION("""COMPUTED_VALUE"""),"APV1330 - PLACA PUE8029")</f>
        <v>APV1330 - PLACA PUE8029</v>
      </c>
    </row>
    <row r="1214">
      <c r="A1214" s="84">
        <f>IFERROR(__xludf.DUMMYFUNCTION("""COMPUTED_VALUE"""),1213.0)</f>
        <v>1213</v>
      </c>
      <c r="B1214" s="85" t="str">
        <f>IFERROR(__xludf.DUMMYFUNCTION("""COMPUTED_VALUE"""),"VIATURA BASICA -")</f>
        <v>VIATURA BASICA -</v>
      </c>
      <c r="C1214" s="86">
        <f>IFERROR(__xludf.DUMMYFUNCTION("""COMPUTED_VALUE"""),1.0)</f>
        <v>1</v>
      </c>
      <c r="D1214" s="87" t="str">
        <f>IFERROR(__xludf.DUMMYFUNCTION("""COMPUTED_VALUE"""),"VIATURA")</f>
        <v>VIATURA</v>
      </c>
      <c r="E1214" s="87" t="str">
        <f>IFERROR(__xludf.DUMMYFUNCTION("""COMPUTED_VALUE"""),"3 - FROTA 5ª CIA IND")</f>
        <v>3 - FROTA 5ª CIA IND</v>
      </c>
      <c r="F1214" s="88"/>
      <c r="G1214" s="89">
        <f>IFERROR(__xludf.DUMMYFUNCTION("""COMPUTED_VALUE"""),4.0282945E7)</f>
        <v>40282945</v>
      </c>
      <c r="H1214" s="87" t="str">
        <f>IFERROR(__xludf.DUMMYFUNCTION("""COMPUTED_VALUE"""),"9BD19716TG3287213")</f>
        <v>9BD19716TG3287213</v>
      </c>
      <c r="I1214" s="87" t="str">
        <f>IFERROR(__xludf.DUMMYFUNCTION("""COMPUTED_VALUE"""),"APV8340 - PLACA PUE8340")</f>
        <v>APV8340 - PLACA PUE8340</v>
      </c>
    </row>
    <row r="1215">
      <c r="A1215" s="84">
        <f>IFERROR(__xludf.DUMMYFUNCTION("""COMPUTED_VALUE"""),1214.0)</f>
        <v>1214</v>
      </c>
      <c r="B1215" s="85" t="str">
        <f>IFERROR(__xludf.DUMMYFUNCTION("""COMPUTED_VALUE"""),"AMBULANCIA -")</f>
        <v>AMBULANCIA -</v>
      </c>
      <c r="C1215" s="86">
        <f>IFERROR(__xludf.DUMMYFUNCTION("""COMPUTED_VALUE"""),1.0)</f>
        <v>1</v>
      </c>
      <c r="D1215" s="87" t="str">
        <f>IFERROR(__xludf.DUMMYFUNCTION("""COMPUTED_VALUE"""),"VIATURA")</f>
        <v>VIATURA</v>
      </c>
      <c r="E1215" s="87" t="str">
        <f>IFERROR(__xludf.DUMMYFUNCTION("""COMPUTED_VALUE"""),"3 - DESCARGA")</f>
        <v>3 - DESCARGA</v>
      </c>
      <c r="F1215" s="88"/>
      <c r="G1215" s="89">
        <f>IFERROR(__xludf.DUMMYFUNCTION("""COMPUTED_VALUE"""),4.0345866E7)</f>
        <v>40345866</v>
      </c>
      <c r="H1215" s="87"/>
      <c r="I1215" s="87" t="str">
        <f>IFERROR(__xludf.DUMMYFUNCTION("""COMPUTED_VALUE"""),"UR8866")</f>
        <v>UR8866</v>
      </c>
    </row>
    <row r="1216">
      <c r="A1216" s="84">
        <f>IFERROR(__xludf.DUMMYFUNCTION("""COMPUTED_VALUE"""),1215.0)</f>
        <v>1215</v>
      </c>
      <c r="B1216" s="85" t="str">
        <f>IFERROR(__xludf.DUMMYFUNCTION("""COMPUTED_VALUE"""),"VEICULO AUTO BOMBA/TANQUE -")</f>
        <v>VEICULO AUTO BOMBA/TANQUE -</v>
      </c>
      <c r="C1216" s="86">
        <f>IFERROR(__xludf.DUMMYFUNCTION("""COMPUTED_VALUE"""),1.0)</f>
        <v>1</v>
      </c>
      <c r="D1216" s="87" t="str">
        <f>IFERROR(__xludf.DUMMYFUNCTION("""COMPUTED_VALUE"""),"VIATURA")</f>
        <v>VIATURA</v>
      </c>
      <c r="E1216" s="87" t="str">
        <f>IFERROR(__xludf.DUMMYFUNCTION("""COMPUTED_VALUE"""),"1 - ABTS1418")</f>
        <v>1 - ABTS1418</v>
      </c>
      <c r="F1216" s="88"/>
      <c r="G1216" s="89">
        <f>IFERROR(__xludf.DUMMYFUNCTION("""COMPUTED_VALUE"""),4.035709E7)</f>
        <v>40357090</v>
      </c>
      <c r="H1216" s="87"/>
      <c r="I1216" s="87" t="str">
        <f>IFERROR(__xludf.DUMMYFUNCTION("""COMPUTED_VALUE"""),"ABTS1418 - PLACA PUE8483")</f>
        <v>ABTS1418 - PLACA PUE8483</v>
      </c>
    </row>
    <row r="1217">
      <c r="A1217" s="84">
        <f>IFERROR(__xludf.DUMMYFUNCTION("""COMPUTED_VALUE"""),1216.0)</f>
        <v>1216</v>
      </c>
      <c r="B1217" s="85" t="str">
        <f>IFERROR(__xludf.DUMMYFUNCTION("""COMPUTED_VALUE"""),"CAMINHONETE -")</f>
        <v>CAMINHONETE -</v>
      </c>
      <c r="C1217" s="86">
        <f>IFERROR(__xludf.DUMMYFUNCTION("""COMPUTED_VALUE"""),1.0)</f>
        <v>1</v>
      </c>
      <c r="D1217" s="87" t="str">
        <f>IFERROR(__xludf.DUMMYFUNCTION("""COMPUTED_VALUE"""),"VIATURA")</f>
        <v>VIATURA</v>
      </c>
      <c r="E1217" s="87" t="str">
        <f>IFERROR(__xludf.DUMMYFUNCTION("""COMPUTED_VALUE"""),"3 - FROTA 5ª CIA IND")</f>
        <v>3 - FROTA 5ª CIA IND</v>
      </c>
      <c r="F1217" s="88"/>
      <c r="G1217" s="89">
        <f>IFERROR(__xludf.DUMMYFUNCTION("""COMPUTED_VALUE"""),7.6699765E7)</f>
        <v>76699765</v>
      </c>
      <c r="H1217" s="87" t="str">
        <f>IFERROR(__xludf.DUMMYFUNCTION("""COMPUTED_VALUE"""),"8AJKA8CD0K3187307")</f>
        <v>8AJKA8CD0K3187307</v>
      </c>
      <c r="I1217" s="87" t="str">
        <f>IFERROR(__xludf.DUMMYFUNCTION("""COMPUTED_VALUE"""),"ACA2230 - PLACA QMV2230 (HILUX)")</f>
        <v>ACA2230 - PLACA QMV2230 (HILUX)</v>
      </c>
    </row>
    <row r="1218">
      <c r="A1218" s="84">
        <f>IFERROR(__xludf.DUMMYFUNCTION("""COMPUTED_VALUE"""),1217.0)</f>
        <v>1217</v>
      </c>
      <c r="B1218" s="85" t="str">
        <f>IFERROR(__xludf.DUMMYFUNCTION("""COMPUTED_VALUE"""),"RADIO TRANSCEPTOR -")</f>
        <v>RADIO TRANSCEPTOR -</v>
      </c>
      <c r="C1218" s="86">
        <f>IFERROR(__xludf.DUMMYFUNCTION("""COMPUTED_VALUE"""),1.0)</f>
        <v>1</v>
      </c>
      <c r="D1218" s="87" t="str">
        <f>IFERROR(__xludf.DUMMYFUNCTION("""COMPUTED_VALUE"""),"VIATURA")</f>
        <v>VIATURA</v>
      </c>
      <c r="E1218" s="87" t="str">
        <f>IFERROR(__xludf.DUMMYFUNCTION("""COMPUTED_VALUE"""),"1 - UR3478")</f>
        <v>1 - UR3478</v>
      </c>
      <c r="F1218" s="88"/>
      <c r="G1218" s="89">
        <f>IFERROR(__xludf.DUMMYFUNCTION("""COMPUTED_VALUE"""),7.6813851E7)</f>
        <v>76813851</v>
      </c>
      <c r="H1218" s="87"/>
      <c r="I1218" s="87"/>
    </row>
    <row r="1219">
      <c r="A1219" s="84">
        <f>IFERROR(__xludf.DUMMYFUNCTION("""COMPUTED_VALUE"""),1218.0)</f>
        <v>1218</v>
      </c>
      <c r="B1219" s="85" t="str">
        <f>IFERROR(__xludf.DUMMYFUNCTION("""COMPUTED_VALUE"""),"AMBULANCIA -")</f>
        <v>AMBULANCIA -</v>
      </c>
      <c r="C1219" s="86">
        <f>IFERROR(__xludf.DUMMYFUNCTION("""COMPUTED_VALUE"""),1.0)</f>
        <v>1</v>
      </c>
      <c r="D1219" s="87" t="str">
        <f>IFERROR(__xludf.DUMMYFUNCTION("""COMPUTED_VALUE"""),"VIATURA")</f>
        <v>VIATURA</v>
      </c>
      <c r="E1219" s="87" t="str">
        <f>IFERROR(__xludf.DUMMYFUNCTION("""COMPUTED_VALUE"""),"3 - CURVELO")</f>
        <v>3 - CURVELO</v>
      </c>
      <c r="F1219" s="88"/>
      <c r="G1219" s="89">
        <f>IFERROR(__xludf.DUMMYFUNCTION("""COMPUTED_VALUE"""),7.6817008E7)</f>
        <v>76817008</v>
      </c>
      <c r="H1219" s="87" t="str">
        <f>IFERROR(__xludf.DUMMYFUNCTION("""COMPUTED_VALUE"""),"PLACA - QXW2B08")</f>
        <v>PLACA - QXW2B08</v>
      </c>
      <c r="I1219" s="87" t="str">
        <f>IFERROR(__xludf.DUMMYFUNCTION("""COMPUTED_VALUE"""),"Transferida para ABM - SEI 1400.01.0046184/2024-42")</f>
        <v>Transferida para ABM - SEI 1400.01.0046184/2024-42</v>
      </c>
    </row>
    <row r="1220">
      <c r="A1220" s="84">
        <f>IFERROR(__xludf.DUMMYFUNCTION("""COMPUTED_VALUE"""),1219.0)</f>
        <v>1219</v>
      </c>
      <c r="B1220" s="85" t="str">
        <f>IFERROR(__xludf.DUMMYFUNCTION("""COMPUTED_VALUE"""),"VIATURA CAMINHAO -")</f>
        <v>VIATURA CAMINHAO -</v>
      </c>
      <c r="C1220" s="86">
        <f>IFERROR(__xludf.DUMMYFUNCTION("""COMPUTED_VALUE"""),1.0)</f>
        <v>1</v>
      </c>
      <c r="D1220" s="87" t="str">
        <f>IFERROR(__xludf.DUMMYFUNCTION("""COMPUTED_VALUE"""),"VIATURA")</f>
        <v>VIATURA</v>
      </c>
      <c r="E1220" s="87" t="str">
        <f>IFERROR(__xludf.DUMMYFUNCTION("""COMPUTED_VALUE"""),"3 - FROTA 5ª CIA IND")</f>
        <v>3 - FROTA 5ª CIA IND</v>
      </c>
      <c r="F1220" s="88"/>
      <c r="G1220" s="89">
        <f>IFERROR(__xludf.DUMMYFUNCTION("""COMPUTED_VALUE"""),7.6831736E7)</f>
        <v>76831736</v>
      </c>
      <c r="H1220" s="87" t="str">
        <f>IFERROR(__xludf.DUMMYFUNCTION("""COMPUTED_VALUE"""),"8AC907153NE206900")</f>
        <v>8AC907153NE206900</v>
      </c>
      <c r="I1220" s="87" t="str">
        <f>IFERROR(__xludf.DUMMYFUNCTION("""COMPUTED_VALUE"""),"ASM3617 - PLACA QXW3H17")</f>
        <v>ASM3617 - PLACA QXW3H17</v>
      </c>
    </row>
    <row r="1221">
      <c r="A1221" s="84">
        <f>IFERROR(__xludf.DUMMYFUNCTION("""COMPUTED_VALUE"""),1220.0)</f>
        <v>1220</v>
      </c>
      <c r="B1221" s="85" t="str">
        <f>IFERROR(__xludf.DUMMYFUNCTION("""COMPUTED_VALUE"""),"AMBULANCIA -")</f>
        <v>AMBULANCIA -</v>
      </c>
      <c r="C1221" s="86">
        <f>IFERROR(__xludf.DUMMYFUNCTION("""COMPUTED_VALUE"""),1.0)</f>
        <v>1</v>
      </c>
      <c r="D1221" s="87" t="str">
        <f>IFERROR(__xludf.DUMMYFUNCTION("""COMPUTED_VALUE"""),"VIATURA")</f>
        <v>VIATURA</v>
      </c>
      <c r="E1221" s="87" t="str">
        <f>IFERROR(__xludf.DUMMYFUNCTION("""COMPUTED_VALUE"""),"1 - UR3486")</f>
        <v>1 - UR3486</v>
      </c>
      <c r="F1221" s="88" t="str">
        <f>IFERROR(__xludf.DUMMYFUNCTION("""COMPUTED_VALUE"""),"VIATURA")</f>
        <v>VIATURA</v>
      </c>
      <c r="G1221" s="89">
        <f>IFERROR(__xludf.DUMMYFUNCTION("""COMPUTED_VALUE"""),7.6837521E7)</f>
        <v>76837521</v>
      </c>
      <c r="H1221" s="87" t="str">
        <f>IFERROR(__xludf.DUMMYFUNCTION("""COMPUTED_VALUE"""),"8AC907643RE232244")</f>
        <v>8AC907643RE232244</v>
      </c>
      <c r="I1221" s="87" t="str">
        <f>IFERROR(__xludf.DUMMYFUNCTION("""COMPUTED_VALUE"""),"UR      PLACA SJC3E86")</f>
        <v>UR      PLACA SJC3E86</v>
      </c>
    </row>
    <row r="1222">
      <c r="A1222" s="84">
        <f>IFERROR(__xludf.DUMMYFUNCTION("""COMPUTED_VALUE"""),1221.0)</f>
        <v>1221</v>
      </c>
      <c r="B1222" s="85" t="str">
        <f>IFERROR(__xludf.DUMMYFUNCTION("""COMPUTED_VALUE"""),"AMBULANCIA -")</f>
        <v>AMBULANCIA -</v>
      </c>
      <c r="C1222" s="86">
        <f>IFERROR(__xludf.DUMMYFUNCTION("""COMPUTED_VALUE"""),1.0)</f>
        <v>1</v>
      </c>
      <c r="D1222" s="87" t="str">
        <f>IFERROR(__xludf.DUMMYFUNCTION("""COMPUTED_VALUE"""),"VIATURA")</f>
        <v>VIATURA</v>
      </c>
      <c r="E1222" s="87" t="str">
        <f>IFERROR(__xludf.DUMMYFUNCTION("""COMPUTED_VALUE"""),"3 - FROTA 5ª CIA IND")</f>
        <v>3 - FROTA 5ª CIA IND</v>
      </c>
      <c r="F1222" s="88"/>
      <c r="G1222" s="89">
        <f>IFERROR(__xludf.DUMMYFUNCTION("""COMPUTED_VALUE"""),7.683753E7)</f>
        <v>76837530</v>
      </c>
      <c r="H1222" s="87" t="str">
        <f>IFERROR(__xludf.DUMMYFUNCTION("""COMPUTED_VALUE"""),"8AC907643RE232181")</f>
        <v>8AC907643RE232181</v>
      </c>
      <c r="I1222" s="87" t="str">
        <f>IFERROR(__xludf.DUMMYFUNCTION("""COMPUTED_VALUE"""),"UR      PLACA SJC3E78")</f>
        <v>UR      PLACA SJC3E78</v>
      </c>
    </row>
    <row r="1223">
      <c r="A1223" s="84">
        <f>IFERROR(__xludf.DUMMYFUNCTION("""COMPUTED_VALUE"""),1222.0)</f>
        <v>1222</v>
      </c>
      <c r="B1223" s="85" t="str">
        <f>IFERROR(__xludf.DUMMYFUNCTION("""COMPUTED_VALUE"""),"VIATURA CAMINHONETE -")</f>
        <v>VIATURA CAMINHONETE -</v>
      </c>
      <c r="C1223" s="86">
        <f>IFERROR(__xludf.DUMMYFUNCTION("""COMPUTED_VALUE"""),1.0)</f>
        <v>1</v>
      </c>
      <c r="D1223" s="87" t="str">
        <f>IFERROR(__xludf.DUMMYFUNCTION("""COMPUTED_VALUE"""),"VIATURA")</f>
        <v>VIATURA</v>
      </c>
      <c r="E1223" s="87" t="str">
        <f>IFERROR(__xludf.DUMMYFUNCTION("""COMPUTED_VALUE"""),"3 - FROTA 5ª CIA IND")</f>
        <v>3 - FROTA 5ª CIA IND</v>
      </c>
      <c r="F1223" s="88"/>
      <c r="G1223" s="89">
        <f>IFERROR(__xludf.DUMMYFUNCTION("""COMPUTED_VALUE"""),7.6839869E7)</f>
        <v>76839869</v>
      </c>
      <c r="H1223" s="87" t="str">
        <f>IFERROR(__xludf.DUMMYFUNCTION("""COMPUTED_VALUE"""),"93XSYKL1TPCN64488")</f>
        <v>93XSYKL1TPCN64488</v>
      </c>
      <c r="I1223" s="87" t="str">
        <f>IFERROR(__xludf.DUMMYFUNCTION("""COMPUTED_VALUE"""),"ASL4429 - PLACA QXW4E29 (L200)")</f>
        <v>ASL4429 - PLACA QXW4E29 (L200)</v>
      </c>
    </row>
    <row r="1224">
      <c r="A1224" s="84">
        <f>IFERROR(__xludf.DUMMYFUNCTION("""COMPUTED_VALUE"""),1223.0)</f>
        <v>1223</v>
      </c>
      <c r="B1224" s="85" t="str">
        <f>IFERROR(__xludf.DUMMYFUNCTION("""COMPUTED_VALUE"""),"CAMINHAO -")</f>
        <v>CAMINHAO -</v>
      </c>
      <c r="C1224" s="86">
        <f>IFERROR(__xludf.DUMMYFUNCTION("""COMPUTED_VALUE"""),1.0)</f>
        <v>1</v>
      </c>
      <c r="D1224" s="87" t="str">
        <f>IFERROR(__xludf.DUMMYFUNCTION("""COMPUTED_VALUE"""),"VIATURA")</f>
        <v>VIATURA</v>
      </c>
      <c r="E1224" s="87" t="str">
        <f>IFERROR(__xludf.DUMMYFUNCTION("""COMPUTED_VALUE"""),"3 - FROTA 5ª CIA IND")</f>
        <v>3 - FROTA 5ª CIA IND</v>
      </c>
      <c r="F1224" s="88"/>
      <c r="G1224" s="89">
        <f>IFERROR(__xludf.DUMMYFUNCTION("""COMPUTED_VALUE"""),9.01061166E8)</f>
        <v>901061166</v>
      </c>
      <c r="H1224" s="87" t="str">
        <f>IFERROR(__xludf.DUMMYFUNCTION("""COMPUTED_VALUE"""),"93ZA01RF0P8955916")</f>
        <v>93ZA01RF0P8955916</v>
      </c>
      <c r="I1224" s="87" t="str">
        <f>IFERROR(__xludf.DUMMYFUNCTION("""COMPUTED_VALUE"""),"ACIF5790 - PLACA SIA5H90 (IVECO TECTOR), NÃO CONSTA NA CARGA ATUAL 25/09/24")</f>
        <v>ACIF5790 - PLACA SIA5H90 (IVECO TECTOR), NÃO CONSTA NA CARGA ATUAL 25/09/24</v>
      </c>
    </row>
    <row r="1225">
      <c r="A1225" s="84">
        <f>IFERROR(__xludf.DUMMYFUNCTION("""COMPUTED_VALUE"""),1224.0)</f>
        <v>1224</v>
      </c>
      <c r="B1225" s="85" t="str">
        <f>IFERROR(__xludf.DUMMYFUNCTION("""COMPUTED_VALUE"""),"escaninho de madeira 04 gavetas ")</f>
        <v>escaninho de madeira 04 gavetas </v>
      </c>
      <c r="C1225" s="86">
        <f>IFERROR(__xludf.DUMMYFUNCTION("""COMPUTED_VALUE"""),1.0)</f>
        <v>1</v>
      </c>
      <c r="D1225" s="87" t="str">
        <f>IFERROR(__xludf.DUMMYFUNCTION("""COMPUTED_VALUE"""),"SEÇÃO")</f>
        <v>SEÇÃO</v>
      </c>
      <c r="E1225" s="87" t="str">
        <f>IFERROR(__xludf.DUMMYFUNCTION("""COMPUTED_VALUE"""),"3 - PPV")</f>
        <v>3 - PPV</v>
      </c>
      <c r="F1225" s="88"/>
      <c r="G1225" s="89"/>
      <c r="H1225" s="87"/>
      <c r="I1225" s="87"/>
    </row>
    <row r="1226">
      <c r="A1226" s="84">
        <f>IFERROR(__xludf.DUMMYFUNCTION("""COMPUTED_VALUE"""),1225.0)</f>
        <v>1225</v>
      </c>
      <c r="B1226" s="85" t="str">
        <f>IFERROR(__xludf.DUMMYFUNCTION("""COMPUTED_VALUE"""),"armário de madeira 02 portas")</f>
        <v>armário de madeira 02 portas</v>
      </c>
      <c r="C1226" s="86">
        <f>IFERROR(__xludf.DUMMYFUNCTION("""COMPUTED_VALUE"""),1.0)</f>
        <v>1</v>
      </c>
      <c r="D1226" s="87" t="str">
        <f>IFERROR(__xludf.DUMMYFUNCTION("""COMPUTED_VALUE"""),"SEÇÃO")</f>
        <v>SEÇÃO</v>
      </c>
      <c r="E1226" s="87" t="str">
        <f>IFERROR(__xludf.DUMMYFUNCTION("""COMPUTED_VALUE"""),"3 - PPV")</f>
        <v>3 - PPV</v>
      </c>
      <c r="F1226" s="88"/>
      <c r="G1226" s="89"/>
      <c r="H1226" s="87"/>
      <c r="I1226" s="87"/>
    </row>
    <row r="1227">
      <c r="A1227" s="84">
        <f>IFERROR(__xludf.DUMMYFUNCTION("""COMPUTED_VALUE"""),1226.0)</f>
        <v>1226</v>
      </c>
      <c r="B1227" s="85" t="str">
        <f>IFERROR(__xludf.DUMMYFUNCTION("""COMPUTED_VALUE"""),"cadeira gaming marca: MYMAX MXO")</f>
        <v>cadeira gaming marca: MYMAX MXO</v>
      </c>
      <c r="C1227" s="86">
        <f>IFERROR(__xludf.DUMMYFUNCTION("""COMPUTED_VALUE"""),3.0)</f>
        <v>3</v>
      </c>
      <c r="D1227" s="87" t="str">
        <f>IFERROR(__xludf.DUMMYFUNCTION("""COMPUTED_VALUE"""),"SEÇÃO")</f>
        <v>SEÇÃO</v>
      </c>
      <c r="E1227" s="87" t="str">
        <f>IFERROR(__xludf.DUMMYFUNCTION("""COMPUTED_VALUE"""),"3 - PPV")</f>
        <v>3 - PPV</v>
      </c>
      <c r="F1227" s="88"/>
      <c r="G1227" s="89"/>
      <c r="H1227" s="87"/>
      <c r="I1227" s="87"/>
    </row>
    <row r="1228">
      <c r="A1228" s="84">
        <f>IFERROR(__xludf.DUMMYFUNCTION("""COMPUTED_VALUE"""),1227.0)</f>
        <v>1227</v>
      </c>
      <c r="B1228" s="85" t="str">
        <f>IFERROR(__xludf.DUMMYFUNCTION("""COMPUTED_VALUE"""),"ar condicionado marca elgin 24 mil btu")</f>
        <v>ar condicionado marca elgin 24 mil btu</v>
      </c>
      <c r="C1228" s="86">
        <f>IFERROR(__xludf.DUMMYFUNCTION("""COMPUTED_VALUE"""),1.0)</f>
        <v>1</v>
      </c>
      <c r="D1228" s="87" t="str">
        <f>IFERROR(__xludf.DUMMYFUNCTION("""COMPUTED_VALUE"""),"SEÇÃO")</f>
        <v>SEÇÃO</v>
      </c>
      <c r="E1228" s="87" t="str">
        <f>IFERROR(__xludf.DUMMYFUNCTION("""COMPUTED_VALUE"""),"3 - PPV")</f>
        <v>3 - PPV</v>
      </c>
      <c r="F1228" s="88"/>
      <c r="G1228" s="89"/>
      <c r="H1228" s="87"/>
      <c r="I1228" s="87"/>
    </row>
    <row r="1229">
      <c r="A1229" s="84">
        <f>IFERROR(__xludf.DUMMYFUNCTION("""COMPUTED_VALUE"""),1228.0)</f>
        <v>1228</v>
      </c>
      <c r="B1229" s="85" t="str">
        <f>IFERROR(__xludf.DUMMYFUNCTION("""COMPUTED_VALUE"""),"CAPACETE PARA COMBATE INCENDIO -")</f>
        <v>CAPACETE PARA COMBATE INCENDIO -</v>
      </c>
      <c r="C1229" s="86">
        <f>IFERROR(__xludf.DUMMYFUNCTION("""COMPUTED_VALUE"""),1.0)</f>
        <v>1</v>
      </c>
      <c r="D1229" s="87" t="str">
        <f>IFERROR(__xludf.DUMMYFUNCTION("""COMPUTED_VALUE"""),"MILITAR")</f>
        <v>MILITAR</v>
      </c>
      <c r="E1229" s="87" t="str">
        <f>IFERROR(__xludf.DUMMYFUNCTION("""COMPUTED_VALUE"""),"2 - 2º TEN RODRIGO ALVES TEIXEIRA")</f>
        <v>2 - 2º TEN RODRIGO ALVES TEIXEIRA</v>
      </c>
      <c r="F1229" s="88"/>
      <c r="G1229" s="89">
        <f>IFERROR(__xludf.DUMMYFUNCTION("""COMPUTED_VALUE"""),7.691058E7)</f>
        <v>76910580</v>
      </c>
      <c r="H1229" s="87"/>
      <c r="I1229" s="87" t="str">
        <f>IFERROR(__xludf.DUMMYFUNCTION("""COMPUTED_VALUE"""),"pago ao Tenente Alves - Gallet Helmet F1XF")</f>
        <v>pago ao Tenente Alves - Gallet Helmet F1XF</v>
      </c>
    </row>
    <row r="1230">
      <c r="A1230" s="84">
        <f>IFERROR(__xludf.DUMMYFUNCTION("""COMPUTED_VALUE"""),1229.0)</f>
        <v>1229</v>
      </c>
      <c r="B1230" s="85" t="str">
        <f>IFERROR(__xludf.DUMMYFUNCTION("""COMPUTED_VALUE"""),"Ar condicionado Midea inverter 18.000 btus")</f>
        <v>Ar condicionado Midea inverter 18.000 btus</v>
      </c>
      <c r="C1230" s="86">
        <f>IFERROR(__xludf.DUMMYFUNCTION("""COMPUTED_VALUE"""),1.0)</f>
        <v>1</v>
      </c>
      <c r="D1230" s="87" t="str">
        <f>IFERROR(__xludf.DUMMYFUNCTION("""COMPUTED_VALUE"""),"SEÇÃO")</f>
        <v>SEÇÃO</v>
      </c>
      <c r="E1230" s="87" t="str">
        <f>IFERROR(__xludf.DUMMYFUNCTION("""COMPUTED_VALUE"""),"3 - GUARDA")</f>
        <v>3 - GUARDA</v>
      </c>
      <c r="F1230" s="88"/>
      <c r="G1230" s="89"/>
      <c r="H1230" s="87" t="str">
        <f>IFERROR(__xludf.DUMMYFUNCTION("""COMPUTED_VALUE"""),"N.S 4523B13284826")</f>
        <v>N.S 4523B13284826</v>
      </c>
      <c r="I1230" s="87"/>
    </row>
    <row r="1231">
      <c r="A1231" s="84">
        <f>IFERROR(__xludf.DUMMYFUNCTION("""COMPUTED_VALUE"""),1230.0)</f>
        <v>1230</v>
      </c>
      <c r="B1231" s="85" t="str">
        <f>IFERROR(__xludf.DUMMYFUNCTION("""COMPUTED_VALUE"""),"SIMULADOR DE ARRITMIAS CARDIACAS -")</f>
        <v>SIMULADOR DE ARRITMIAS CARDIACAS -</v>
      </c>
      <c r="C1231" s="86">
        <f>IFERROR(__xludf.DUMMYFUNCTION("""COMPUTED_VALUE"""),1.0)</f>
        <v>1</v>
      </c>
      <c r="D1231" s="87" t="str">
        <f>IFERROR(__xludf.DUMMYFUNCTION("""COMPUTED_VALUE"""),"SEÇÃO")</f>
        <v>SEÇÃO</v>
      </c>
      <c r="E1231" s="87" t="str">
        <f>IFERROR(__xludf.DUMMYFUNCTION("""COMPUTED_VALUE"""),"3 - SALA DE INSTRUÇÃO")</f>
        <v>3 - SALA DE INSTRUÇÃO</v>
      </c>
      <c r="F1231" s="88"/>
      <c r="G1231" s="89">
        <f>IFERROR(__xludf.DUMMYFUNCTION("""COMPUTED_VALUE"""),8.3802681E7)</f>
        <v>83802681</v>
      </c>
      <c r="H1231" s="87" t="str">
        <f>IFERROR(__xludf.DUMMYFUNCTION("""COMPUTED_VALUE""")," modelo n.XFT-120C+")</f>
        <v> modelo n.XFT-120C+</v>
      </c>
      <c r="I1231" s="87"/>
    </row>
    <row r="1232">
      <c r="A1232" s="84">
        <f>IFERROR(__xludf.DUMMYFUNCTION("""COMPUTED_VALUE"""),1231.0)</f>
        <v>1231</v>
      </c>
      <c r="B1232" s="85" t="str">
        <f>IFERROR(__xludf.DUMMYFUNCTION("""COMPUTED_VALUE"""),"armário de metal, 04 gavetas ")</f>
        <v>armário de metal, 04 gavetas </v>
      </c>
      <c r="C1232" s="86">
        <f>IFERROR(__xludf.DUMMYFUNCTION("""COMPUTED_VALUE"""),1.0)</f>
        <v>1</v>
      </c>
      <c r="D1232" s="87" t="str">
        <f>IFERROR(__xludf.DUMMYFUNCTION("""COMPUTED_VALUE"""),"SEÇÃO")</f>
        <v>SEÇÃO</v>
      </c>
      <c r="E1232" s="87" t="str">
        <f>IFERROR(__xludf.DUMMYFUNCTION("""COMPUTED_VALUE"""),"3 - GUARDA")</f>
        <v>3 - GUARDA</v>
      </c>
      <c r="F1232" s="88"/>
      <c r="G1232" s="89"/>
      <c r="H1232" s="87"/>
      <c r="I1232" s="87"/>
    </row>
    <row r="1233">
      <c r="A1233" s="84">
        <f>IFERROR(__xludf.DUMMYFUNCTION("""COMPUTED_VALUE"""),1233.0)</f>
        <v>1233</v>
      </c>
      <c r="B1233" s="85" t="str">
        <f>IFERROR(__xludf.DUMMYFUNCTION("""COMPUTED_VALUE"""),"CADEIRA")</f>
        <v>CADEIRA</v>
      </c>
      <c r="C1233" s="86">
        <f>IFERROR(__xludf.DUMMYFUNCTION("""COMPUTED_VALUE"""),1.0)</f>
        <v>1</v>
      </c>
      <c r="D1233" s="87" t="str">
        <f>IFERROR(__xludf.DUMMYFUNCTION("""COMPUTED_VALUE"""),"SEÇÃO")</f>
        <v>SEÇÃO</v>
      </c>
      <c r="E1233" s="87" t="str">
        <f>IFERROR(__xludf.DUMMYFUNCTION("""COMPUTED_VALUE"""),"3 - GUARDA")</f>
        <v>3 - GUARDA</v>
      </c>
      <c r="F1233" s="88"/>
      <c r="G1233" s="89"/>
      <c r="H1233" s="87"/>
      <c r="I1233" s="87" t="str">
        <f>IFERROR(__xludf.DUMMYFUNCTION("""COMPUTED_VALUE"""),"cadeira gaming marca: MYMAX MXO")</f>
        <v>cadeira gaming marca: MYMAX MXO</v>
      </c>
    </row>
    <row r="1234">
      <c r="A1234" s="84">
        <f>IFERROR(__xludf.DUMMYFUNCTION("""COMPUTED_VALUE"""),1234.0)</f>
        <v>1234</v>
      </c>
      <c r="B1234" s="85" t="str">
        <f>IFERROR(__xludf.DUMMYFUNCTION("""COMPUTED_VALUE"""),"CADEIRA")</f>
        <v>CADEIRA</v>
      </c>
      <c r="C1234" s="86">
        <f>IFERROR(__xludf.DUMMYFUNCTION("""COMPUTED_VALUE"""),1.0)</f>
        <v>1</v>
      </c>
      <c r="D1234" s="87" t="str">
        <f>IFERROR(__xludf.DUMMYFUNCTION("""COMPUTED_VALUE"""),"SEÇÃO")</f>
        <v>SEÇÃO</v>
      </c>
      <c r="E1234" s="87" t="str">
        <f>IFERROR(__xludf.DUMMYFUNCTION("""COMPUTED_VALUE"""),"3 - GUARDA")</f>
        <v>3 - GUARDA</v>
      </c>
      <c r="F1234" s="88"/>
      <c r="G1234" s="89"/>
      <c r="H1234" s="87"/>
      <c r="I1234" s="87" t="str">
        <f>IFERROR(__xludf.DUMMYFUNCTION("""COMPUTED_VALUE"""),"cadeira gaming marca: pichau ")</f>
        <v>cadeira gaming marca: pichau </v>
      </c>
    </row>
    <row r="1235">
      <c r="A1235" s="84">
        <f>IFERROR(__xludf.DUMMYFUNCTION("""COMPUTED_VALUE"""),1235.0)</f>
        <v>1235</v>
      </c>
      <c r="B1235" s="85" t="str">
        <f>IFERROR(__xludf.DUMMYFUNCTION("""COMPUTED_VALUE"""),"MANEQUIM INFANTIL")</f>
        <v>MANEQUIM INFANTIL</v>
      </c>
      <c r="C1235" s="86">
        <f>IFERROR(__xludf.DUMMYFUNCTION("""COMPUTED_VALUE"""),1.0)</f>
        <v>1</v>
      </c>
      <c r="D1235" s="87" t="str">
        <f>IFERROR(__xludf.DUMMYFUNCTION("""COMPUTED_VALUE"""),"SEÇÃO")</f>
        <v>SEÇÃO</v>
      </c>
      <c r="E1235" s="87" t="str">
        <f>IFERROR(__xludf.DUMMYFUNCTION("""COMPUTED_VALUE"""),"3 - ALMOX. ESTOQUE")</f>
        <v>3 - ALMOX. ESTOQUE</v>
      </c>
      <c r="F1235" s="88" t="str">
        <f>IFERROR(__xludf.DUMMYFUNCTION("""COMPUTED_VALUE"""),"ALMOX. APH")</f>
        <v>ALMOX. APH</v>
      </c>
      <c r="G1235" s="89">
        <f>IFERROR(__xludf.DUMMYFUNCTION("""COMPUTED_VALUE"""),8.3816348E7)</f>
        <v>83816348</v>
      </c>
      <c r="H1235" s="87"/>
      <c r="I1235" s="87" t="str">
        <f>IFERROR(__xludf.DUMMYFUNCTION("""COMPUTED_VALUE"""),"Marca Practiman CPR Training solutions, ")</f>
        <v>Marca Practiman CPR Training solutions, </v>
      </c>
    </row>
    <row r="1236">
      <c r="A1236" s="84">
        <f>IFERROR(__xludf.DUMMYFUNCTION("""COMPUTED_VALUE"""),1236.0)</f>
        <v>1236</v>
      </c>
      <c r="B1236" s="85" t="str">
        <f>IFERROR(__xludf.DUMMYFUNCTION("""COMPUTED_VALUE"""),"MANEQUIM ADULTO")</f>
        <v>MANEQUIM ADULTO</v>
      </c>
      <c r="C1236" s="86">
        <f>IFERROR(__xludf.DUMMYFUNCTION("""COMPUTED_VALUE"""),1.0)</f>
        <v>1</v>
      </c>
      <c r="D1236" s="87" t="str">
        <f>IFERROR(__xludf.DUMMYFUNCTION("""COMPUTED_VALUE"""),"SEÇÃO")</f>
        <v>SEÇÃO</v>
      </c>
      <c r="E1236" s="87" t="str">
        <f>IFERROR(__xludf.DUMMYFUNCTION("""COMPUTED_VALUE"""),"3 - ALMOX. ESTOQUE")</f>
        <v>3 - ALMOX. ESTOQUE</v>
      </c>
      <c r="F1236" s="88" t="str">
        <f>IFERROR(__xludf.DUMMYFUNCTION("""COMPUTED_VALUE"""),"ALMOX. APH")</f>
        <v>ALMOX. APH</v>
      </c>
      <c r="G1236" s="89">
        <f>IFERROR(__xludf.DUMMYFUNCTION("""COMPUTED_VALUE"""),8.38012E7)</f>
        <v>83801200</v>
      </c>
      <c r="H1236" s="87"/>
      <c r="I1236" s="87" t="str">
        <f>IFERROR(__xludf.DUMMYFUNCTION("""COMPUTED_VALUE"""),"MANEQUIM - SIMULADOR AVANCADO - IDENTIFICACAO MANEQUIM ADULTO - TIPO TORSO; APLICACAO TREINAMENTO DE RCP E DAS TECNICAS BLS; MEDIDA COM DIMENSOES REAIS DE PACIENTE ADULTO;")</f>
        <v>MANEQUIM - SIMULADOR AVANCADO - IDENTIFICACAO MANEQUIM ADULTO - TIPO TORSO; APLICACAO TREINAMENTO DE RCP E DAS TECNICAS BLS; MEDIDA COM DIMENSOES REAIS DE PACIENTE ADULTO;</v>
      </c>
    </row>
    <row r="1237">
      <c r="A1237" s="84">
        <f>IFERROR(__xludf.DUMMYFUNCTION("""COMPUTED_VALUE"""),1237.0)</f>
        <v>1237</v>
      </c>
      <c r="B1237" s="85" t="str">
        <f>IFERROR(__xludf.DUMMYFUNCTION("""COMPUTED_VALUE"""),"ESGUICHO PARA MANGUEIRA COMBATE A INCENDIO -")</f>
        <v>ESGUICHO PARA MANGUEIRA COMBATE A INCENDIO -</v>
      </c>
      <c r="C1237" s="86">
        <f>IFERROR(__xludf.DUMMYFUNCTION("""COMPUTED_VALUE"""),1.0)</f>
        <v>1</v>
      </c>
      <c r="D1237" s="87" t="str">
        <f>IFERROR(__xludf.DUMMYFUNCTION("""COMPUTED_VALUE"""),"VIATURA")</f>
        <v>VIATURA</v>
      </c>
      <c r="E1237" s="87" t="str">
        <f>IFERROR(__xludf.DUMMYFUNCTION("""COMPUTED_VALUE"""),"1 - ACIF5790")</f>
        <v>1 - ACIF5790</v>
      </c>
      <c r="F1237" s="88" t="str">
        <f>IFERROR(__xludf.DUMMYFUNCTION("""COMPUTED_VALUE"""),"CABINE")</f>
        <v>CABINE</v>
      </c>
      <c r="G1237" s="89">
        <f>IFERROR(__xludf.DUMMYFUNCTION("""COMPUTED_VALUE"""),7.6904164E7)</f>
        <v>76904164</v>
      </c>
      <c r="H1237" s="87" t="str">
        <f>IFERROR(__xludf.DUMMYFUNCTION("""COMPUTED_VALUE"""),"N.S- 0600-23 ")</f>
        <v>N.S- 0600-23 </v>
      </c>
      <c r="I1237" s="87" t="str">
        <f>IFERROR(__xludf.DUMMYFUNCTION("""COMPUTED_VALUE"""),"Esguicho POK Firefighting equipment ")</f>
        <v>Esguicho POK Firefighting equipment </v>
      </c>
    </row>
    <row r="1238">
      <c r="A1238" s="84">
        <f>IFERROR(__xludf.DUMMYFUNCTION("""COMPUTED_VALUE"""),1238.0)</f>
        <v>1238</v>
      </c>
      <c r="B1238" s="85" t="str">
        <f>IFERROR(__xludf.DUMMYFUNCTION("""COMPUTED_VALUE"""),"ESGUICHO PARA MANGUEIRA COMBATE A INCENDIO -")</f>
        <v>ESGUICHO PARA MANGUEIRA COMBATE A INCENDIO -</v>
      </c>
      <c r="C1238" s="86">
        <f>IFERROR(__xludf.DUMMYFUNCTION("""COMPUTED_VALUE"""),1.0)</f>
        <v>1</v>
      </c>
      <c r="D1238" s="87" t="str">
        <f>IFERROR(__xludf.DUMMYFUNCTION("""COMPUTED_VALUE"""),"SEÇÃO")</f>
        <v>SEÇÃO</v>
      </c>
      <c r="E1238" s="87" t="str">
        <f>IFERROR(__xludf.DUMMYFUNCTION("""COMPUTED_VALUE"""),"3 - ALMOX. ESTOQUE")</f>
        <v>3 - ALMOX. ESTOQUE</v>
      </c>
      <c r="F1238" s="88" t="str">
        <f>IFERROR(__xludf.DUMMYFUNCTION("""COMPUTED_VALUE"""),"ALMOX. SAO (SEDE)")</f>
        <v>ALMOX. SAO (SEDE)</v>
      </c>
      <c r="G1238" s="89">
        <f>IFERROR(__xludf.DUMMYFUNCTION("""COMPUTED_VALUE"""),7.6904172E7)</f>
        <v>76904172</v>
      </c>
      <c r="H1238" s="87" t="str">
        <f>IFERROR(__xludf.DUMMYFUNCTION("""COMPUTED_VALUE"""),"N.S- 0403-23 ")</f>
        <v>N.S- 0403-23 </v>
      </c>
      <c r="I1238" s="87" t="str">
        <f>IFERROR(__xludf.DUMMYFUNCTION("""COMPUTED_VALUE"""),"Esguicho POK Firefighting equipment ")</f>
        <v>Esguicho POK Firefighting equipment </v>
      </c>
    </row>
    <row r="1239">
      <c r="A1239" s="84">
        <f>IFERROR(__xludf.DUMMYFUNCTION("""COMPUTED_VALUE"""),1239.0)</f>
        <v>1239</v>
      </c>
      <c r="B1239" s="85" t="str">
        <f>IFERROR(__xludf.DUMMYFUNCTION("""COMPUTED_VALUE"""),"ESGUICHO PARA MANGUEIRA COMBATE A INCENDIO -")</f>
        <v>ESGUICHO PARA MANGUEIRA COMBATE A INCENDIO -</v>
      </c>
      <c r="C1239" s="86">
        <f>IFERROR(__xludf.DUMMYFUNCTION("""COMPUTED_VALUE"""),1.0)</f>
        <v>1</v>
      </c>
      <c r="D1239" s="87" t="str">
        <f>IFERROR(__xludf.DUMMYFUNCTION("""COMPUTED_VALUE"""),"VIATURA")</f>
        <v>VIATURA</v>
      </c>
      <c r="E1239" s="87" t="str">
        <f>IFERROR(__xludf.DUMMYFUNCTION("""COMPUTED_VALUE"""),"1 - ABTS5911")</f>
        <v>1 - ABTS5911</v>
      </c>
      <c r="F1239" s="88"/>
      <c r="G1239" s="89">
        <f>IFERROR(__xludf.DUMMYFUNCTION("""COMPUTED_VALUE"""),7.690418E7)</f>
        <v>76904180</v>
      </c>
      <c r="H1239" s="87" t="str">
        <f>IFERROR(__xludf.DUMMYFUNCTION("""COMPUTED_VALUE"""),"N.S- 0352-23 ")</f>
        <v>N.S- 0352-23 </v>
      </c>
      <c r="I1239" s="87" t="str">
        <f>IFERROR(__xludf.DUMMYFUNCTION("""COMPUTED_VALUE"""),"Esguicho POK Firefighting equipment -")</f>
        <v>Esguicho POK Firefighting equipment -</v>
      </c>
    </row>
    <row r="1240">
      <c r="A1240" s="84">
        <f>IFERROR(__xludf.DUMMYFUNCTION("""COMPUTED_VALUE"""),1240.0)</f>
        <v>1240</v>
      </c>
      <c r="B1240" s="85" t="str">
        <f>IFERROR(__xludf.DUMMYFUNCTION("""COMPUTED_VALUE"""),"ESGUICHO PARA MANGUEIRA COMBATE A INCENDIO -")</f>
        <v>ESGUICHO PARA MANGUEIRA COMBATE A INCENDIO -</v>
      </c>
      <c r="C1240" s="86">
        <f>IFERROR(__xludf.DUMMYFUNCTION("""COMPUTED_VALUE"""),1.0)</f>
        <v>1</v>
      </c>
      <c r="D1240" s="87" t="str">
        <f>IFERROR(__xludf.DUMMYFUNCTION("""COMPUTED_VALUE"""),"SEÇÃO")</f>
        <v>SEÇÃO</v>
      </c>
      <c r="E1240" s="87" t="str">
        <f>IFERROR(__xludf.DUMMYFUNCTION("""COMPUTED_VALUE"""),"3 - ALMOX. ESTOQUE")</f>
        <v>3 - ALMOX. ESTOQUE</v>
      </c>
      <c r="F1240" s="88" t="str">
        <f>IFERROR(__xludf.DUMMYFUNCTION("""COMPUTED_VALUE"""),"SAO")</f>
        <v>SAO</v>
      </c>
      <c r="G1240" s="89">
        <f>IFERROR(__xludf.DUMMYFUNCTION("""COMPUTED_VALUE"""),7.6904199E7)</f>
        <v>76904199</v>
      </c>
      <c r="H1240" s="87" t="str">
        <f>IFERROR(__xludf.DUMMYFUNCTION("""COMPUTED_VALUE"""),"N.S- 0523-23 ")</f>
        <v>N.S- 0523-23 </v>
      </c>
      <c r="I1240" s="87" t="str">
        <f>IFERROR(__xludf.DUMMYFUNCTION("""COMPUTED_VALUE"""),"Esguicho POK Firefighting equipment - ")</f>
        <v>Esguicho POK Firefighting equipment - </v>
      </c>
    </row>
    <row r="1241">
      <c r="A1241" s="84">
        <f>IFERROR(__xludf.DUMMYFUNCTION("""COMPUTED_VALUE"""),1241.0)</f>
        <v>1241</v>
      </c>
      <c r="B1241" s="85" t="str">
        <f>IFERROR(__xludf.DUMMYFUNCTION("""COMPUTED_VALUE"""),"ESGUICHO PARA MANGUEIRA COMBATE A INCENDIO -")</f>
        <v>ESGUICHO PARA MANGUEIRA COMBATE A INCENDIO -</v>
      </c>
      <c r="C1241" s="86">
        <f>IFERROR(__xludf.DUMMYFUNCTION("""COMPUTED_VALUE"""),1.0)</f>
        <v>1</v>
      </c>
      <c r="D1241" s="87" t="str">
        <f>IFERROR(__xludf.DUMMYFUNCTION("""COMPUTED_VALUE"""),"SEÇÃO")</f>
        <v>SEÇÃO</v>
      </c>
      <c r="E1241" s="87" t="str">
        <f>IFERROR(__xludf.DUMMYFUNCTION("""COMPUTED_VALUE"""),"3 - ALMOX. ESTOQUE")</f>
        <v>3 - ALMOX. ESTOQUE</v>
      </c>
      <c r="F1241" s="88" t="str">
        <f>IFERROR(__xludf.DUMMYFUNCTION("""COMPUTED_VALUE"""),"ALMOX. SAO (SEDE)")</f>
        <v>ALMOX. SAO (SEDE)</v>
      </c>
      <c r="G1241" s="89">
        <f>IFERROR(__xludf.DUMMYFUNCTION("""COMPUTED_VALUE"""),7.6904202E7)</f>
        <v>76904202</v>
      </c>
      <c r="H1241" s="87" t="str">
        <f>IFERROR(__xludf.DUMMYFUNCTION("""COMPUTED_VALUE"""),"N.S- 0388-23 ")</f>
        <v>N.S- 0388-23 </v>
      </c>
      <c r="I1241" s="87" t="str">
        <f>IFERROR(__xludf.DUMMYFUNCTION("""COMPUTED_VALUE"""),"Esguicho POK Firefighting equipment - ")</f>
        <v>Esguicho POK Firefighting equipment - </v>
      </c>
    </row>
    <row r="1242">
      <c r="A1242" s="84">
        <f>IFERROR(__xludf.DUMMYFUNCTION("""COMPUTED_VALUE"""),1242.0)</f>
        <v>1242</v>
      </c>
      <c r="B1242" s="85" t="str">
        <f>IFERROR(__xludf.DUMMYFUNCTION("""COMPUTED_VALUE"""),"ESGUICHO PARA MANGUEIRA COMBATE A INCENDIO -")</f>
        <v>ESGUICHO PARA MANGUEIRA COMBATE A INCENDIO -</v>
      </c>
      <c r="C1242" s="86">
        <f>IFERROR(__xludf.DUMMYFUNCTION("""COMPUTED_VALUE"""),1.0)</f>
        <v>1</v>
      </c>
      <c r="D1242" s="87" t="str">
        <f>IFERROR(__xludf.DUMMYFUNCTION("""COMPUTED_VALUE"""),"SEÇÃO")</f>
        <v>SEÇÃO</v>
      </c>
      <c r="E1242" s="87" t="str">
        <f>IFERROR(__xludf.DUMMYFUNCTION("""COMPUTED_VALUE"""),"3 - ALMOX. ESTOQUE")</f>
        <v>3 - ALMOX. ESTOQUE</v>
      </c>
      <c r="F1242" s="88" t="str">
        <f>IFERROR(__xludf.DUMMYFUNCTION("""COMPUTED_VALUE"""),"SAO")</f>
        <v>SAO</v>
      </c>
      <c r="G1242" s="89">
        <f>IFERROR(__xludf.DUMMYFUNCTION("""COMPUTED_VALUE"""),7.690234E7)</f>
        <v>76902340</v>
      </c>
      <c r="H1242" s="87" t="str">
        <f>IFERROR(__xludf.DUMMYFUNCTION("""COMPUTED_VALUE"""),"N.S- 0488-23 ")</f>
        <v>N.S- 0488-23 </v>
      </c>
      <c r="I1242" s="87" t="str">
        <f>IFERROR(__xludf.DUMMYFUNCTION("""COMPUTED_VALUE"""),"Esguicho POK Firefighting equipment -")</f>
        <v>Esguicho POK Firefighting equipment -</v>
      </c>
    </row>
    <row r="1243">
      <c r="A1243" s="84">
        <f>IFERROR(__xludf.DUMMYFUNCTION("""COMPUTED_VALUE"""),1243.0)</f>
        <v>1243</v>
      </c>
      <c r="B1243" s="85" t="str">
        <f>IFERROR(__xludf.DUMMYFUNCTION("""COMPUTED_VALUE"""),"ESGUICHO PARA MANGUEIRA COMBATE A INCENDIO -")</f>
        <v>ESGUICHO PARA MANGUEIRA COMBATE A INCENDIO -</v>
      </c>
      <c r="C1243" s="86">
        <f>IFERROR(__xludf.DUMMYFUNCTION("""COMPUTED_VALUE"""),1.0)</f>
        <v>1</v>
      </c>
      <c r="D1243" s="87" t="str">
        <f>IFERROR(__xludf.DUMMYFUNCTION("""COMPUTED_VALUE"""),"SEÇÃO")</f>
        <v>SEÇÃO</v>
      </c>
      <c r="E1243" s="87" t="str">
        <f>IFERROR(__xludf.DUMMYFUNCTION("""COMPUTED_VALUE"""),"3 - ALMOX. ESTOQUE")</f>
        <v>3 - ALMOX. ESTOQUE</v>
      </c>
      <c r="F1243" s="88" t="str">
        <f>IFERROR(__xludf.DUMMYFUNCTION("""COMPUTED_VALUE"""),"SAO")</f>
        <v>SAO</v>
      </c>
      <c r="G1243" s="89">
        <f>IFERROR(__xludf.DUMMYFUNCTION("""COMPUTED_VALUE"""),7.690421E7)</f>
        <v>76904210</v>
      </c>
      <c r="H1243" s="87" t="str">
        <f>IFERROR(__xludf.DUMMYFUNCTION("""COMPUTED_VALUE"""),"N.S- 0545-23 ")</f>
        <v>N.S- 0545-23 </v>
      </c>
      <c r="I1243" s="87" t="str">
        <f>IFERROR(__xludf.DUMMYFUNCTION("""COMPUTED_VALUE"""),"Esguicho POK Firefighting equipment - ")</f>
        <v>Esguicho POK Firefighting equipment - </v>
      </c>
    </row>
    <row r="1244">
      <c r="A1244" s="84">
        <f>IFERROR(__xludf.DUMMYFUNCTION("""COMPUTED_VALUE"""),1244.0)</f>
        <v>1244</v>
      </c>
      <c r="B1244" s="85" t="str">
        <f>IFERROR(__xludf.DUMMYFUNCTION("""COMPUTED_VALUE"""),"COMPUTADOR -")</f>
        <v>COMPUTADOR -</v>
      </c>
      <c r="C1244" s="86">
        <f>IFERROR(__xludf.DUMMYFUNCTION("""COMPUTED_VALUE"""),1.0)</f>
        <v>1</v>
      </c>
      <c r="D1244" s="87" t="str">
        <f>IFERROR(__xludf.DUMMYFUNCTION("""COMPUTED_VALUE"""),"SEÇÃO")</f>
        <v>SEÇÃO</v>
      </c>
      <c r="E1244" s="87" t="str">
        <f>IFERROR(__xludf.DUMMYFUNCTION("""COMPUTED_VALUE"""),"3 - GRD")</f>
        <v>3 - GRD</v>
      </c>
      <c r="F1244" s="88"/>
      <c r="G1244" s="89">
        <f>IFERROR(__xludf.DUMMYFUNCTION("""COMPUTED_VALUE"""),1.01065132E8)</f>
        <v>101065132</v>
      </c>
      <c r="H1244" s="87" t="str">
        <f>IFERROR(__xludf.DUMMYFUNCTION("""COMPUTED_VALUE"""),"N.S. 01044463010002")</f>
        <v>N.S. 01044463010002</v>
      </c>
      <c r="I1244" s="87" t="str">
        <f>IFERROR(__xludf.DUMMYFUNCTION("""COMPUTED_VALUE"""),"DATEN Modelo: DC5A-U-R5 PRO - Sd 2ª Cl Freitas")</f>
        <v>DATEN Modelo: DC5A-U-R5 PRO - Sd 2ª Cl Freitas</v>
      </c>
    </row>
    <row r="1245">
      <c r="A1245" s="84">
        <f>IFERROR(__xludf.DUMMYFUNCTION("""COMPUTED_VALUE"""),1245.0)</f>
        <v>1245</v>
      </c>
      <c r="B1245" s="85" t="str">
        <f>IFERROR(__xludf.DUMMYFUNCTION("""COMPUTED_VALUE"""),"COMPUTADOR -")</f>
        <v>COMPUTADOR -</v>
      </c>
      <c r="C1245" s="86">
        <f>IFERROR(__xludf.DUMMYFUNCTION("""COMPUTED_VALUE"""),1.0)</f>
        <v>1</v>
      </c>
      <c r="D1245" s="87" t="str">
        <f>IFERROR(__xludf.DUMMYFUNCTION("""COMPUTED_VALUE"""),"SEÇÃO")</f>
        <v>SEÇÃO</v>
      </c>
      <c r="E1245" s="87" t="str">
        <f>IFERROR(__xludf.DUMMYFUNCTION("""COMPUTED_VALUE"""),"3 - GRD")</f>
        <v>3 - GRD</v>
      </c>
      <c r="F1245" s="88"/>
      <c r="G1245" s="89">
        <f>IFERROR(__xludf.DUMMYFUNCTION("""COMPUTED_VALUE"""),1.01065175E8)</f>
        <v>101065175</v>
      </c>
      <c r="H1245" s="87" t="str">
        <f>IFERROR(__xludf.DUMMYFUNCTION("""COMPUTED_VALUE"""),"N.S. 01044463010047")</f>
        <v>N.S. 01044463010047</v>
      </c>
      <c r="I1245" s="87" t="str">
        <f>IFERROR(__xludf.DUMMYFUNCTION("""COMPUTED_VALUE"""),"DATEN Modelo: DC5A-U-R5 PRO, PAGO AO TENENTE EDUARDO GRD")</f>
        <v>DATEN Modelo: DC5A-U-R5 PRO, PAGO AO TENENTE EDUARDO GRD</v>
      </c>
    </row>
    <row r="1246">
      <c r="A1246" s="84">
        <f>IFERROR(__xludf.DUMMYFUNCTION("""COMPUTED_VALUE"""),1246.0)</f>
        <v>1246</v>
      </c>
      <c r="B1246" s="85" t="str">
        <f>IFERROR(__xludf.DUMMYFUNCTION("""COMPUTED_VALUE"""),"COMPUTADOR -")</f>
        <v>COMPUTADOR -</v>
      </c>
      <c r="C1246" s="86">
        <f>IFERROR(__xludf.DUMMYFUNCTION("""COMPUTED_VALUE"""),1.0)</f>
        <v>1</v>
      </c>
      <c r="D1246" s="87" t="str">
        <f>IFERROR(__xludf.DUMMYFUNCTION("""COMPUTED_VALUE"""),"SEÇÃO")</f>
        <v>SEÇÃO</v>
      </c>
      <c r="E1246" s="87" t="str">
        <f>IFERROR(__xludf.DUMMYFUNCTION("""COMPUTED_VALUE"""),"3 - SEPLAN")</f>
        <v>3 - SEPLAN</v>
      </c>
      <c r="F1246" s="88"/>
      <c r="G1246" s="89">
        <f>IFERROR(__xludf.DUMMYFUNCTION("""COMPUTED_VALUE"""),1.0106514E8)</f>
        <v>101065140</v>
      </c>
      <c r="H1246" s="87" t="str">
        <f>IFERROR(__xludf.DUMMYFUNCTION("""COMPUTED_VALUE"""),"N.S. 01044463010043")</f>
        <v>N.S. 01044463010043</v>
      </c>
      <c r="I1246" s="87" t="str">
        <f>IFERROR(__xludf.DUMMYFUNCTION("""COMPUTED_VALUE"""),"DATEN Modelo: DC5A-U-R5 PRO ")</f>
        <v>DATEN Modelo: DC5A-U-R5 PRO </v>
      </c>
    </row>
    <row r="1247">
      <c r="A1247" s="84">
        <f>IFERROR(__xludf.DUMMYFUNCTION("""COMPUTED_VALUE"""),1247.0)</f>
        <v>1247</v>
      </c>
      <c r="B1247" s="85" t="str">
        <f>IFERROR(__xludf.DUMMYFUNCTION("""COMPUTED_VALUE"""),"COMPUTADOR -")</f>
        <v>COMPUTADOR -</v>
      </c>
      <c r="C1247" s="86">
        <f>IFERROR(__xludf.DUMMYFUNCTION("""COMPUTED_VALUE"""),1.0)</f>
        <v>1</v>
      </c>
      <c r="D1247" s="87" t="str">
        <f>IFERROR(__xludf.DUMMYFUNCTION("""COMPUTED_VALUE"""),"SEÇÃO")</f>
        <v>SEÇÃO</v>
      </c>
      <c r="E1247" s="87" t="str">
        <f>IFERROR(__xludf.DUMMYFUNCTION("""COMPUTED_VALUE"""),"3 - SOU")</f>
        <v>3 - SOU</v>
      </c>
      <c r="F1247" s="88" t="str">
        <f>IFERROR(__xludf.DUMMYFUNCTION("""COMPUTED_VALUE"""),"RÁDIO OPERADOR")</f>
        <v>RÁDIO OPERADOR</v>
      </c>
      <c r="G1247" s="89">
        <f>IFERROR(__xludf.DUMMYFUNCTION("""COMPUTED_VALUE"""),1.01065124E8)</f>
        <v>101065124</v>
      </c>
      <c r="H1247" s="87" t="str">
        <f>IFERROR(__xludf.DUMMYFUNCTION("""COMPUTED_VALUE"""),"N.S. 01044463010008")</f>
        <v>N.S. 01044463010008</v>
      </c>
      <c r="I1247" s="87" t="str">
        <f>IFERROR(__xludf.DUMMYFUNCTION("""COMPUTED_VALUE"""),"DATEN Modelo: DC5A-U-R5 PRO (SALA DE REDS),02-Monitor, 01 Mouse, 01 Teclado")</f>
        <v>DATEN Modelo: DC5A-U-R5 PRO (SALA DE REDS),02-Monitor, 01 Mouse, 01 Teclado</v>
      </c>
    </row>
    <row r="1248">
      <c r="A1248" s="84">
        <f>IFERROR(__xludf.DUMMYFUNCTION("""COMPUTED_VALUE"""),1248.0)</f>
        <v>1248</v>
      </c>
      <c r="B1248" s="85" t="str">
        <f>IFERROR(__xludf.DUMMYFUNCTION("""COMPUTED_VALUE"""),"CAPACETE PARA COMBATE INCENDIO -")</f>
        <v>CAPACETE PARA COMBATE INCENDIO -</v>
      </c>
      <c r="C1248" s="86">
        <f>IFERROR(__xludf.DUMMYFUNCTION("""COMPUTED_VALUE"""),1.0)</f>
        <v>1</v>
      </c>
      <c r="D1248" s="87" t="str">
        <f>IFERROR(__xludf.DUMMYFUNCTION("""COMPUTED_VALUE"""),"MILITAR")</f>
        <v>MILITAR</v>
      </c>
      <c r="E1248" s="87" t="str">
        <f>IFERROR(__xludf.DUMMYFUNCTION("""COMPUTED_VALUE"""),"2 - SD LETÍCIA FERREIRA SILVEIRA")</f>
        <v>2 - SD LETÍCIA FERREIRA SILVEIRA</v>
      </c>
      <c r="F1248" s="88"/>
      <c r="G1248" s="89">
        <f>IFERROR(__xludf.DUMMYFUNCTION("""COMPUTED_VALUE"""),7.691102E7)</f>
        <v>76911020</v>
      </c>
      <c r="H1248" s="87"/>
      <c r="I1248" s="87" t="str">
        <f>IFERROR(__xludf.DUMMYFUNCTION("""COMPUTED_VALUE"""),"Gallet Helmet F1XF  (Amarelo),pago à Sd Letícia")</f>
        <v>Gallet Helmet F1XF  (Amarelo),pago à Sd Letícia</v>
      </c>
    </row>
    <row r="1249">
      <c r="A1249" s="84">
        <f>IFERROR(__xludf.DUMMYFUNCTION("""COMPUTED_VALUE"""),1249.0)</f>
        <v>1249</v>
      </c>
      <c r="B1249" s="85" t="str">
        <f>IFERROR(__xludf.DUMMYFUNCTION("""COMPUTED_VALUE"""),"QUADRICÍCLO")</f>
        <v>QUADRICÍCLO</v>
      </c>
      <c r="C1249" s="86">
        <f>IFERROR(__xludf.DUMMYFUNCTION("""COMPUTED_VALUE"""),1.0)</f>
        <v>1</v>
      </c>
      <c r="D1249" s="87" t="str">
        <f>IFERROR(__xludf.DUMMYFUNCTION("""COMPUTED_VALUE"""),"SEÇÃO")</f>
        <v>SEÇÃO</v>
      </c>
      <c r="E1249" s="87" t="str">
        <f>IFERROR(__xludf.DUMMYFUNCTION("""COMPUTED_VALUE"""),"3 - ALMOX. ESTOQUE")</f>
        <v>3 - ALMOX. ESTOQUE</v>
      </c>
      <c r="F1249" s="92"/>
      <c r="G1249" s="89">
        <f>IFERROR(__xludf.DUMMYFUNCTION("""COMPUTED_VALUE"""),7.6878236E7)</f>
        <v>76878236</v>
      </c>
      <c r="H1249" s="87" t="str">
        <f>IFERROR(__xludf.DUMMYFUNCTION("""COMPUTED_VALUE"""),"Chaci.LL8AETHW7N0A00106")</f>
        <v>Chaci.LL8AETHW7N0A00106</v>
      </c>
      <c r="I1249" s="87" t="str">
        <f>IFERROR(__xludf.DUMMYFUNCTION("""COMPUTED_VALUE"""),"Chaci - LL8AETHW7N0A00106")</f>
        <v>Chaci - LL8AETHW7N0A00106</v>
      </c>
    </row>
    <row r="1250">
      <c r="A1250" s="84">
        <f>IFERROR(__xludf.DUMMYFUNCTION("""COMPUTED_VALUE"""),1250.0)</f>
        <v>1250</v>
      </c>
      <c r="B1250" s="85" t="str">
        <f>IFERROR(__xludf.DUMMYFUNCTION("""COMPUTED_VALUE"""),"CAPACETE PARA COMBATE INCENDIO -")</f>
        <v>CAPACETE PARA COMBATE INCENDIO -</v>
      </c>
      <c r="C1250" s="86">
        <f>IFERROR(__xludf.DUMMYFUNCTION("""COMPUTED_VALUE"""),1.0)</f>
        <v>1</v>
      </c>
      <c r="D1250" s="87" t="str">
        <f>IFERROR(__xludf.DUMMYFUNCTION("""COMPUTED_VALUE"""),"MILITAR")</f>
        <v>MILITAR</v>
      </c>
      <c r="E1250" s="87" t="str">
        <f>IFERROR(__xludf.DUMMYFUNCTION("""COMPUTED_VALUE"""),"2 - CAP EVANDRO SAMUEL DA VEIGA PIMENTEL")</f>
        <v>2 - CAP EVANDRO SAMUEL DA VEIGA PIMENTEL</v>
      </c>
      <c r="F1250" s="92"/>
      <c r="G1250" s="89">
        <f>IFERROR(__xludf.DUMMYFUNCTION("""COMPUTED_VALUE"""),7.6910997E7)</f>
        <v>76910997</v>
      </c>
      <c r="H1250" s="87" t="str">
        <f>IFERROR(__xludf.DUMMYFUNCTION("""COMPUTED_VALUE"""),"03512053")</f>
        <v>03512053</v>
      </c>
      <c r="I1250" s="87" t="str">
        <f>IFERROR(__xludf.DUMMYFUNCTION("""COMPUTED_VALUE"""),"Gallet Helmet F1XF  (Branco),pago ao Ten Samuel")</f>
        <v>Gallet Helmet F1XF  (Branco),pago ao Ten Samuel</v>
      </c>
    </row>
    <row r="1251">
      <c r="A1251" s="84">
        <f>IFERROR(__xludf.DUMMYFUNCTION("""COMPUTED_VALUE"""),1251.0)</f>
        <v>1251</v>
      </c>
      <c r="B1251" s="85" t="str">
        <f>IFERROR(__xludf.DUMMYFUNCTION("""COMPUTED_VALUE"""),"CAPACETE PARA COMBATE INCENDIO -")</f>
        <v>CAPACETE PARA COMBATE INCENDIO -</v>
      </c>
      <c r="C1251" s="86">
        <f>IFERROR(__xludf.DUMMYFUNCTION("""COMPUTED_VALUE"""),1.0)</f>
        <v>1</v>
      </c>
      <c r="D1251" s="87" t="str">
        <f>IFERROR(__xludf.DUMMYFUNCTION("""COMPUTED_VALUE"""),"MILITAR")</f>
        <v>MILITAR</v>
      </c>
      <c r="E1251" s="87" t="str">
        <f>IFERROR(__xludf.DUMMYFUNCTION("""COMPUTED_VALUE"""),"2 - 1º TEN DOUGLAS WILLIAM ARAÚJO DA SILVA")</f>
        <v>2 - 1º TEN DOUGLAS WILLIAM ARAÚJO DA SILVA</v>
      </c>
      <c r="F1251" s="92"/>
      <c r="G1251" s="89">
        <f>IFERROR(__xludf.DUMMYFUNCTION("""COMPUTED_VALUE"""),7.6911004E7)</f>
        <v>76911004</v>
      </c>
      <c r="H1251" s="87" t="str">
        <f>IFERROR(__xludf.DUMMYFUNCTION("""COMPUTED_VALUE"""),"03512065")</f>
        <v>03512065</v>
      </c>
      <c r="I1251" s="87" t="str">
        <f>IFERROR(__xludf.DUMMYFUNCTION("""COMPUTED_VALUE"""),"Gallet Helmet F1XF  (Branco),pago ao Ten Araújo")</f>
        <v>Gallet Helmet F1XF  (Branco),pago ao Ten Araújo</v>
      </c>
    </row>
    <row r="1252">
      <c r="A1252" s="84">
        <f>IFERROR(__xludf.DUMMYFUNCTION("""COMPUTED_VALUE"""),1252.0)</f>
        <v>1252</v>
      </c>
      <c r="B1252" s="85" t="str">
        <f>IFERROR(__xludf.DUMMYFUNCTION("""COMPUTED_VALUE"""),"CAPACETE PARA COMBATE INCENDIO -")</f>
        <v>CAPACETE PARA COMBATE INCENDIO -</v>
      </c>
      <c r="C1252" s="86">
        <f>IFERROR(__xludf.DUMMYFUNCTION("""COMPUTED_VALUE"""),1.0)</f>
        <v>1</v>
      </c>
      <c r="D1252" s="87" t="str">
        <f>IFERROR(__xludf.DUMMYFUNCTION("""COMPUTED_VALUE"""),"MILITAR")</f>
        <v>MILITAR</v>
      </c>
      <c r="E1252" s="87" t="str">
        <f>IFERROR(__xludf.DUMMYFUNCTION("""COMPUTED_VALUE"""),"2 - 1º TEN DANIEL SOARES MACEDO")</f>
        <v>2 - 1º TEN DANIEL SOARES MACEDO</v>
      </c>
      <c r="F1252" s="92"/>
      <c r="G1252" s="89">
        <f>IFERROR(__xludf.DUMMYFUNCTION("""COMPUTED_VALUE"""),7.6905942E7)</f>
        <v>76905942</v>
      </c>
      <c r="H1252" s="87"/>
      <c r="I1252" s="87" t="str">
        <f>IFERROR(__xludf.DUMMYFUNCTION("""COMPUTED_VALUE"""),"Gallet Helmet F1XF  (Branco),pago ao Ten Daniel")</f>
        <v>Gallet Helmet F1XF  (Branco),pago ao Ten Daniel</v>
      </c>
    </row>
    <row r="1253">
      <c r="A1253" s="84">
        <f>IFERROR(__xludf.DUMMYFUNCTION("""COMPUTED_VALUE"""),1253.0)</f>
        <v>1253</v>
      </c>
      <c r="B1253" s="85" t="str">
        <f>IFERROR(__xludf.DUMMYFUNCTION("""COMPUTED_VALUE"""),"EQUIPAMENTO DE PROTEÇÃO RESPIRATÓRIO, COMPLETO -")</f>
        <v>EQUIPAMENTO DE PROTEÇÃO RESPIRATÓRIO, COMPLETO -</v>
      </c>
      <c r="C1253" s="86">
        <f>IFERROR(__xludf.DUMMYFUNCTION("""COMPUTED_VALUE"""),1.0)</f>
        <v>1</v>
      </c>
      <c r="D1253" s="87" t="str">
        <f>IFERROR(__xludf.DUMMYFUNCTION("""COMPUTED_VALUE"""),"SEÇÃO")</f>
        <v>SEÇÃO</v>
      </c>
      <c r="E1253" s="87" t="str">
        <f>IFERROR(__xludf.DUMMYFUNCTION("""COMPUTED_VALUE"""),"3 - ALMOX. ESTOQUE")</f>
        <v>3 - ALMOX. ESTOQUE</v>
      </c>
      <c r="F1253" s="92" t="str">
        <f>IFERROR(__xludf.DUMMYFUNCTION("""COMPUTED_VALUE"""),"ALMOX. SAO (SEDE)")</f>
        <v>ALMOX. SAO (SEDE)</v>
      </c>
      <c r="G1253" s="89">
        <f>IFERROR(__xludf.DUMMYFUNCTION("""COMPUTED_VALUE"""),7.6905284E7)</f>
        <v>76905284</v>
      </c>
      <c r="H1253" s="87"/>
      <c r="I1253" s="87" t="str">
        <f>IFERROR(__xludf.DUMMYFUNCTION("""COMPUTED_VALUE"""),"EPR MSA COMPLETO, VALVULA DE DEMANDA, ARRIATA, CILINDRO E MÁSCARA")</f>
        <v>EPR MSA COMPLETO, VALVULA DE DEMANDA, ARRIATA, CILINDRO E MÁSCARA</v>
      </c>
    </row>
    <row r="1254">
      <c r="A1254" s="84">
        <f>IFERROR(__xludf.DUMMYFUNCTION("""COMPUTED_VALUE"""),1254.0)</f>
        <v>1254</v>
      </c>
      <c r="B1254" s="85" t="str">
        <f>IFERROR(__xludf.DUMMYFUNCTION("""COMPUTED_VALUE"""),"EQUIPAMENTO DE PROTEÇÃO RESPIRATÓRIO, COMPLETO -")</f>
        <v>EQUIPAMENTO DE PROTEÇÃO RESPIRATÓRIO, COMPLETO -</v>
      </c>
      <c r="C1254" s="86">
        <f>IFERROR(__xludf.DUMMYFUNCTION("""COMPUTED_VALUE"""),1.0)</f>
        <v>1</v>
      </c>
      <c r="D1254" s="87" t="str">
        <f>IFERROR(__xludf.DUMMYFUNCTION("""COMPUTED_VALUE"""),"SEÇÃO")</f>
        <v>SEÇÃO</v>
      </c>
      <c r="E1254" s="87" t="str">
        <f>IFERROR(__xludf.DUMMYFUNCTION("""COMPUTED_VALUE"""),"3 - ALMOX. ESTOQUE")</f>
        <v>3 - ALMOX. ESTOQUE</v>
      </c>
      <c r="F1254" s="92" t="str">
        <f>IFERROR(__xludf.DUMMYFUNCTION("""COMPUTED_VALUE"""),"ALMOX. SAO (SEDE)")</f>
        <v>ALMOX. SAO (SEDE)</v>
      </c>
      <c r="G1254" s="89">
        <f>IFERROR(__xludf.DUMMYFUNCTION("""COMPUTED_VALUE"""),7.6905292E7)</f>
        <v>76905292</v>
      </c>
      <c r="H1254" s="87"/>
      <c r="I1254" s="87" t="str">
        <f>IFERROR(__xludf.DUMMYFUNCTION("""COMPUTED_VALUE"""),"EPR MSA COMPLETO, VALVULA DE DEMANDA, ARRIATA, CILINDRO E MÁSCARA")</f>
        <v>EPR MSA COMPLETO, VALVULA DE DEMANDA, ARRIATA, CILINDRO E MÁSCARA</v>
      </c>
    </row>
    <row r="1255">
      <c r="A1255" s="84">
        <f>IFERROR(__xludf.DUMMYFUNCTION("""COMPUTED_VALUE"""),1255.0)</f>
        <v>1255</v>
      </c>
      <c r="B1255" s="85" t="str">
        <f>IFERROR(__xludf.DUMMYFUNCTION("""COMPUTED_VALUE"""),"EQUIPAMENTO DE PROTEÇÃO RESPIRATÓRIO, COMPLETO -")</f>
        <v>EQUIPAMENTO DE PROTEÇÃO RESPIRATÓRIO, COMPLETO -</v>
      </c>
      <c r="C1255" s="86">
        <f>IFERROR(__xludf.DUMMYFUNCTION("""COMPUTED_VALUE"""),1.0)</f>
        <v>1</v>
      </c>
      <c r="D1255" s="87" t="str">
        <f>IFERROR(__xludf.DUMMYFUNCTION("""COMPUTED_VALUE"""),"SEÇÃO")</f>
        <v>SEÇÃO</v>
      </c>
      <c r="E1255" s="87" t="str">
        <f>IFERROR(__xludf.DUMMYFUNCTION("""COMPUTED_VALUE"""),"3 - CURVELO")</f>
        <v>3 - CURVELO</v>
      </c>
      <c r="F1255" s="92"/>
      <c r="G1255" s="89">
        <f>IFERROR(__xludf.DUMMYFUNCTION("""COMPUTED_VALUE"""),7.6905306E7)</f>
        <v>76905306</v>
      </c>
      <c r="H1255" s="87"/>
      <c r="I1255" s="87" t="str">
        <f>IFERROR(__xludf.DUMMYFUNCTION("""COMPUTED_VALUE"""),"MATERIAL TRANSFERIDO PARA CURVELO")</f>
        <v>MATERIAL TRANSFERIDO PARA CURVELO</v>
      </c>
    </row>
    <row r="1256">
      <c r="A1256" s="84">
        <f>IFERROR(__xludf.DUMMYFUNCTION("""COMPUTED_VALUE"""),1256.0)</f>
        <v>1256</v>
      </c>
      <c r="B1256" s="85" t="str">
        <f>IFERROR(__xludf.DUMMYFUNCTION("""COMPUTED_VALUE"""),"EQUIPAMENTO DE PROTEÇÃO RESPIRATÓRIO, COMPLETO -")</f>
        <v>EQUIPAMENTO DE PROTEÇÃO RESPIRATÓRIO, COMPLETO -</v>
      </c>
      <c r="C1256" s="86">
        <f>IFERROR(__xludf.DUMMYFUNCTION("""COMPUTED_VALUE"""),1.0)</f>
        <v>1</v>
      </c>
      <c r="D1256" s="87" t="str">
        <f>IFERROR(__xludf.DUMMYFUNCTION("""COMPUTED_VALUE"""),"SEÇÃO")</f>
        <v>SEÇÃO</v>
      </c>
      <c r="E1256" s="87" t="str">
        <f>IFERROR(__xludf.DUMMYFUNCTION("""COMPUTED_VALUE"""),"3 - CURVELO")</f>
        <v>3 - CURVELO</v>
      </c>
      <c r="F1256" s="92"/>
      <c r="G1256" s="89">
        <f>IFERROR(__xludf.DUMMYFUNCTION("""COMPUTED_VALUE"""),7.6905314E7)</f>
        <v>76905314</v>
      </c>
      <c r="H1256" s="87"/>
      <c r="I1256" s="87" t="str">
        <f>IFERROR(__xludf.DUMMYFUNCTION("""COMPUTED_VALUE"""),"MATERIAL TRANSFERIDO PARA CURVELO")</f>
        <v>MATERIAL TRANSFERIDO PARA CURVELO</v>
      </c>
    </row>
    <row r="1257">
      <c r="A1257" s="84">
        <f>IFERROR(__xludf.DUMMYFUNCTION("""COMPUTED_VALUE"""),1257.0)</f>
        <v>1257</v>
      </c>
      <c r="B1257" s="85" t="str">
        <f>IFERROR(__xludf.DUMMYFUNCTION("""COMPUTED_VALUE"""),"EQUIPAMENTO DE PROTEÇÃO RESPIRATÓRIO, COMPLETO -")</f>
        <v>EQUIPAMENTO DE PROTEÇÃO RESPIRATÓRIO, COMPLETO -</v>
      </c>
      <c r="C1257" s="86">
        <f>IFERROR(__xludf.DUMMYFUNCTION("""COMPUTED_VALUE"""),1.0)</f>
        <v>1</v>
      </c>
      <c r="D1257" s="87" t="str">
        <f>IFERROR(__xludf.DUMMYFUNCTION("""COMPUTED_VALUE"""),"SEÇÃO")</f>
        <v>SEÇÃO</v>
      </c>
      <c r="E1257" s="87" t="str">
        <f>IFERROR(__xludf.DUMMYFUNCTION("""COMPUTED_VALUE"""),"3 - CURVELO")</f>
        <v>3 - CURVELO</v>
      </c>
      <c r="F1257" s="92"/>
      <c r="G1257" s="89">
        <f>IFERROR(__xludf.DUMMYFUNCTION("""COMPUTED_VALUE"""),7.6905322E7)</f>
        <v>76905322</v>
      </c>
      <c r="H1257" s="87"/>
      <c r="I1257" s="87" t="str">
        <f>IFERROR(__xludf.DUMMYFUNCTION("""COMPUTED_VALUE"""),"MATERIAL TRANSFERIDO PARA CURVELO")</f>
        <v>MATERIAL TRANSFERIDO PARA CURVELO</v>
      </c>
    </row>
    <row r="1258">
      <c r="A1258" s="84">
        <f>IFERROR(__xludf.DUMMYFUNCTION("""COMPUTED_VALUE"""),1258.0)</f>
        <v>1258</v>
      </c>
      <c r="B1258" s="85" t="str">
        <f>IFERROR(__xludf.DUMMYFUNCTION("""COMPUTED_VALUE"""),"IMPRESSORA MULTIFUNCIONAL -")</f>
        <v>IMPRESSORA MULTIFUNCIONAL -</v>
      </c>
      <c r="C1258" s="86">
        <f>IFERROR(__xludf.DUMMYFUNCTION("""COMPUTED_VALUE"""),1.0)</f>
        <v>1</v>
      </c>
      <c r="D1258" s="87" t="str">
        <f>IFERROR(__xludf.DUMMYFUNCTION("""COMPUTED_VALUE"""),"SEÇÃO")</f>
        <v>SEÇÃO</v>
      </c>
      <c r="E1258" s="87" t="str">
        <f>IFERROR(__xludf.DUMMYFUNCTION("""COMPUTED_VALUE"""),"3 - SOU")</f>
        <v>3 - SOU</v>
      </c>
      <c r="F1258" s="92" t="str">
        <f>IFERROR(__xludf.DUMMYFUNCTION("""COMPUTED_VALUE"""),"RÁDIO OPERADOR")</f>
        <v>RÁDIO OPERADOR</v>
      </c>
      <c r="G1258" s="89"/>
      <c r="H1258" s="87" t="str">
        <f>IFERROR(__xludf.DUMMYFUNCTION("""COMPUTED_VALUE"""),"SELB-20XR")</f>
        <v>SELB-20XR</v>
      </c>
      <c r="I1258" s="87" t="str">
        <f>IFERROR(__xludf.DUMMYFUNCTION("""COMPUTED_VALUE"""),"impressora RICOH IM 430F (SELB-11XP)")</f>
        <v>impressora RICOH IM 430F (SELB-11XP)</v>
      </c>
    </row>
    <row r="1259">
      <c r="A1259" s="84">
        <f>IFERROR(__xludf.DUMMYFUNCTION("""COMPUTED_VALUE"""),1259.0)</f>
        <v>1259</v>
      </c>
      <c r="B1259" s="85" t="str">
        <f>IFERROR(__xludf.DUMMYFUNCTION("""COMPUTED_VALUE"""),"CADEIRA")</f>
        <v>CADEIRA</v>
      </c>
      <c r="C1259" s="86">
        <f>IFERROR(__xludf.DUMMYFUNCTION("""COMPUTED_VALUE"""),3.0)</f>
        <v>3</v>
      </c>
      <c r="D1259" s="87" t="str">
        <f>IFERROR(__xludf.DUMMYFUNCTION("""COMPUTED_VALUE"""),"SEÇÃO")</f>
        <v>SEÇÃO</v>
      </c>
      <c r="E1259" s="87" t="str">
        <f>IFERROR(__xludf.DUMMYFUNCTION("""COMPUTED_VALUE"""),"3 - SOU")</f>
        <v>3 - SOU</v>
      </c>
      <c r="F1259" s="92" t="str">
        <f>IFERROR(__xludf.DUMMYFUNCTION("""COMPUTED_VALUE"""),"RÁDIO OPERADOR")</f>
        <v>RÁDIO OPERADOR</v>
      </c>
      <c r="G1259" s="89"/>
      <c r="H1259" s="87"/>
      <c r="I1259" s="87" t="str">
        <f>IFERROR(__xludf.DUMMYFUNCTION("""COMPUTED_VALUE"""),"cadeira gaming marca: MYMAX MXO Sala de REDS")</f>
        <v>cadeira gaming marca: MYMAX MXO Sala de REDS</v>
      </c>
    </row>
    <row r="1260">
      <c r="A1260" s="84">
        <f>IFERROR(__xludf.DUMMYFUNCTION("""COMPUTED_VALUE"""),1260.0)</f>
        <v>1260</v>
      </c>
      <c r="B1260" s="85" t="str">
        <f>IFERROR(__xludf.DUMMYFUNCTION("""COMPUTED_VALUE"""),"MESA DE ESCRITÓRIO ")</f>
        <v>MESA DE ESCRITÓRIO </v>
      </c>
      <c r="C1260" s="86">
        <f>IFERROR(__xludf.DUMMYFUNCTION("""COMPUTED_VALUE"""),2.0)</f>
        <v>2</v>
      </c>
      <c r="D1260" s="87" t="str">
        <f>IFERROR(__xludf.DUMMYFUNCTION("""COMPUTED_VALUE"""),"SEÇÃO")</f>
        <v>SEÇÃO</v>
      </c>
      <c r="E1260" s="87" t="str">
        <f>IFERROR(__xludf.DUMMYFUNCTION("""COMPUTED_VALUE"""),"3 - SOU")</f>
        <v>3 - SOU</v>
      </c>
      <c r="F1260" s="92" t="str">
        <f>IFERROR(__xludf.DUMMYFUNCTION("""COMPUTED_VALUE"""),"RÁDIO OPERADOR")</f>
        <v>RÁDIO OPERADOR</v>
      </c>
      <c r="G1260" s="89"/>
      <c r="H1260" s="87"/>
      <c r="I1260" s="87" t="str">
        <f>IFERROR(__xludf.DUMMYFUNCTION("""COMPUTED_VALUE"""),"mesa de escritório reta  (Azul)")</f>
        <v>mesa de escritório reta  (Azul)</v>
      </c>
    </row>
    <row r="1261">
      <c r="A1261" s="84">
        <f>IFERROR(__xludf.DUMMYFUNCTION("""COMPUTED_VALUE"""),1261.0)</f>
        <v>1261</v>
      </c>
      <c r="B1261" s="85" t="str">
        <f>IFERROR(__xludf.DUMMYFUNCTION("""COMPUTED_VALUE"""),"CARREGADOR PARA FERRAMENTA HOLMATRO")</f>
        <v>CARREGADOR PARA FERRAMENTA HOLMATRO</v>
      </c>
      <c r="C1261" s="86">
        <f>IFERROR(__xludf.DUMMYFUNCTION("""COMPUTED_VALUE"""),1.0)</f>
        <v>1</v>
      </c>
      <c r="D1261" s="87" t="str">
        <f>IFERROR(__xludf.DUMMYFUNCTION("""COMPUTED_VALUE"""),"SEÇÃO")</f>
        <v>SEÇÃO</v>
      </c>
      <c r="E1261" s="87" t="str">
        <f>IFERROR(__xludf.DUMMYFUNCTION("""COMPUTED_VALUE"""),"3 - SOU")</f>
        <v>3 - SOU</v>
      </c>
      <c r="F1261" s="92" t="str">
        <f>IFERROR(__xludf.DUMMYFUNCTION("""COMPUTED_VALUE"""),"RÁDIO OPERADOR")</f>
        <v>RÁDIO OPERADOR</v>
      </c>
      <c r="G1261" s="89"/>
      <c r="H1261" s="87" t="str">
        <f>IFERROR(__xludf.DUMMYFUNCTION("""COMPUTED_VALUE"""),"FA214417-0053-1322C")</f>
        <v>FA214417-0053-1322C</v>
      </c>
      <c r="I1261" s="87" t="str">
        <f>IFERROR(__xludf.DUMMYFUNCTION("""COMPUTED_VALUE"""),"MODELO PBCH1")</f>
        <v>MODELO PBCH1</v>
      </c>
    </row>
    <row r="1262">
      <c r="A1262" s="84">
        <f>IFERROR(__xludf.DUMMYFUNCTION("""COMPUTED_VALUE"""),1262.0)</f>
        <v>1262</v>
      </c>
      <c r="B1262" s="85" t="str">
        <f>IFERROR(__xludf.DUMMYFUNCTION("""COMPUTED_VALUE"""),"CARREGADOR PARA FERRAMENTA HOLMATRO")</f>
        <v>CARREGADOR PARA FERRAMENTA HOLMATRO</v>
      </c>
      <c r="C1262" s="86">
        <f>IFERROR(__xludf.DUMMYFUNCTION("""COMPUTED_VALUE"""),1.0)</f>
        <v>1</v>
      </c>
      <c r="D1262" s="87" t="str">
        <f>IFERROR(__xludf.DUMMYFUNCTION("""COMPUTED_VALUE"""),"SEÇÃO")</f>
        <v>SEÇÃO</v>
      </c>
      <c r="E1262" s="87" t="str">
        <f>IFERROR(__xludf.DUMMYFUNCTION("""COMPUTED_VALUE"""),"3 - SOU")</f>
        <v>3 - SOU</v>
      </c>
      <c r="F1262" s="92" t="str">
        <f>IFERROR(__xludf.DUMMYFUNCTION("""COMPUTED_VALUE"""),"RÁDIO OPERADOR")</f>
        <v>RÁDIO OPERADOR</v>
      </c>
      <c r="G1262" s="89"/>
      <c r="H1262" s="87" t="str">
        <f>IFERROR(__xludf.DUMMYFUNCTION("""COMPUTED_VALUE"""),"FA214419-0082-1722C")</f>
        <v>FA214419-0082-1722C</v>
      </c>
      <c r="I1262" s="87" t="str">
        <f>IFERROR(__xludf.DUMMYFUNCTION("""COMPUTED_VALUE"""),"MODELO PBCH1")</f>
        <v>MODELO PBCH1</v>
      </c>
    </row>
    <row r="1263">
      <c r="A1263" s="84">
        <f>IFERROR(__xludf.DUMMYFUNCTION("""COMPUTED_VALUE"""),1263.0)</f>
        <v>1263</v>
      </c>
      <c r="B1263" s="85" t="str">
        <f>IFERROR(__xludf.DUMMYFUNCTION("""COMPUTED_VALUE"""),"CARREGADOR PARA FERRAMENTA HOLMATRO")</f>
        <v>CARREGADOR PARA FERRAMENTA HOLMATRO</v>
      </c>
      <c r="C1263" s="86">
        <f>IFERROR(__xludf.DUMMYFUNCTION("""COMPUTED_VALUE"""),1.0)</f>
        <v>1</v>
      </c>
      <c r="D1263" s="87" t="str">
        <f>IFERROR(__xludf.DUMMYFUNCTION("""COMPUTED_VALUE"""),"SEÇÃO")</f>
        <v>SEÇÃO</v>
      </c>
      <c r="E1263" s="87" t="str">
        <f>IFERROR(__xludf.DUMMYFUNCTION("""COMPUTED_VALUE"""),"3 - SOU")</f>
        <v>3 - SOU</v>
      </c>
      <c r="F1263" s="92" t="str">
        <f>IFERROR(__xludf.DUMMYFUNCTION("""COMPUTED_VALUE"""),"RÁDIO OPERADOR")</f>
        <v>RÁDIO OPERADOR</v>
      </c>
      <c r="G1263" s="89"/>
      <c r="H1263" s="87" t="str">
        <f>IFERROR(__xludf.DUMMYFUNCTION("""COMPUTED_VALUE"""),"FA214417-0043-1322C")</f>
        <v>FA214417-0043-1322C</v>
      </c>
      <c r="I1263" s="87" t="str">
        <f>IFERROR(__xludf.DUMMYFUNCTION("""COMPUTED_VALUE"""),"MODELO PBCH1")</f>
        <v>MODELO PBCH1</v>
      </c>
    </row>
    <row r="1264">
      <c r="A1264" s="84">
        <f>IFERROR(__xludf.DUMMYFUNCTION("""COMPUTED_VALUE"""),1264.0)</f>
        <v>1264</v>
      </c>
      <c r="B1264" s="85" t="str">
        <f>IFERROR(__xludf.DUMMYFUNCTION("""COMPUTED_VALUE"""),"CARREGADOR PARA FERRAMENTA HOLMATRO")</f>
        <v>CARREGADOR PARA FERRAMENTA HOLMATRO</v>
      </c>
      <c r="C1264" s="86">
        <f>IFERROR(__xludf.DUMMYFUNCTION("""COMPUTED_VALUE"""),1.0)</f>
        <v>1</v>
      </c>
      <c r="D1264" s="87" t="str">
        <f>IFERROR(__xludf.DUMMYFUNCTION("""COMPUTED_VALUE"""),"SEÇÃO")</f>
        <v>SEÇÃO</v>
      </c>
      <c r="E1264" s="87" t="str">
        <f>IFERROR(__xludf.DUMMYFUNCTION("""COMPUTED_VALUE"""),"3 - SOU")</f>
        <v>3 - SOU</v>
      </c>
      <c r="F1264" s="92" t="str">
        <f>IFERROR(__xludf.DUMMYFUNCTION("""COMPUTED_VALUE"""),"RÁDIO OPERADOR")</f>
        <v>RÁDIO OPERADOR</v>
      </c>
      <c r="G1264" s="89"/>
      <c r="H1264" s="87"/>
      <c r="I1264" s="87" t="str">
        <f>IFERROR(__xludf.DUMMYFUNCTION("""COMPUTED_VALUE"""),"MODELO PBCH2")</f>
        <v>MODELO PBCH2</v>
      </c>
    </row>
    <row r="1265">
      <c r="A1265" s="84">
        <f>IFERROR(__xludf.DUMMYFUNCTION("""COMPUTED_VALUE"""),1265.0)</f>
        <v>1265</v>
      </c>
      <c r="B1265" s="85" t="str">
        <f>IFERROR(__xludf.DUMMYFUNCTION("""COMPUTED_VALUE"""),"BATERIA")</f>
        <v>BATERIA</v>
      </c>
      <c r="C1265" s="86">
        <f>IFERROR(__xludf.DUMMYFUNCTION("""COMPUTED_VALUE"""),1.0)</f>
        <v>1</v>
      </c>
      <c r="D1265" s="87" t="str">
        <f>IFERROR(__xludf.DUMMYFUNCTION("""COMPUTED_VALUE"""),"SEÇÃO")</f>
        <v>SEÇÃO</v>
      </c>
      <c r="E1265" s="87" t="str">
        <f>IFERROR(__xludf.DUMMYFUNCTION("""COMPUTED_VALUE"""),"3 - ALMOX. ESTOQUE")</f>
        <v>3 - ALMOX. ESTOQUE</v>
      </c>
      <c r="F1265" s="92"/>
      <c r="G1265" s="89"/>
      <c r="H1265" s="87" t="str">
        <f>IFERROR(__xludf.DUMMYFUNCTION("""COMPUTED_VALUE"""),"N.S.25921232")</f>
        <v>N.S.25921232</v>
      </c>
      <c r="I1265" s="87" t="str">
        <f>IFERROR(__xludf.DUMMYFUNCTION("""COMPUTED_VALUE"""),"Bateria reserva para ht digital T03-00011-CAAA")</f>
        <v>Bateria reserva para ht digital T03-00011-CAAA</v>
      </c>
    </row>
    <row r="1266">
      <c r="A1266" s="84">
        <f>IFERROR(__xludf.DUMMYFUNCTION("""COMPUTED_VALUE"""),1266.0)</f>
        <v>1266</v>
      </c>
      <c r="B1266" s="85" t="str">
        <f>IFERROR(__xludf.DUMMYFUNCTION("""COMPUTED_VALUE"""),"BATERIA")</f>
        <v>BATERIA</v>
      </c>
      <c r="C1266" s="86">
        <f>IFERROR(__xludf.DUMMYFUNCTION("""COMPUTED_VALUE"""),1.0)</f>
        <v>1</v>
      </c>
      <c r="D1266" s="87" t="str">
        <f>IFERROR(__xludf.DUMMYFUNCTION("""COMPUTED_VALUE"""),"SEÇÃO")</f>
        <v>SEÇÃO</v>
      </c>
      <c r="E1266" s="87" t="str">
        <f>IFERROR(__xludf.DUMMYFUNCTION("""COMPUTED_VALUE"""),"3 - ALMOX. ESTOQUE")</f>
        <v>3 - ALMOX. ESTOQUE</v>
      </c>
      <c r="F1266" s="92"/>
      <c r="G1266" s="89"/>
      <c r="H1266" s="87" t="str">
        <f>IFERROR(__xludf.DUMMYFUNCTION("""COMPUTED_VALUE"""),"N.S.25956787")</f>
        <v>N.S.25956787</v>
      </c>
      <c r="I1266" s="87" t="str">
        <f>IFERROR(__xludf.DUMMYFUNCTION("""COMPUTED_VALUE"""),"Bateria reserva para ht digital T03-00011-CAAA")</f>
        <v>Bateria reserva para ht digital T03-00011-CAAA</v>
      </c>
    </row>
    <row r="1267">
      <c r="A1267" s="84">
        <f>IFERROR(__xludf.DUMMYFUNCTION("""COMPUTED_VALUE"""),1267.0)</f>
        <v>1267</v>
      </c>
      <c r="B1267" s="85" t="str">
        <f>IFERROR(__xludf.DUMMYFUNCTION("""COMPUTED_VALUE"""),"BATERIA")</f>
        <v>BATERIA</v>
      </c>
      <c r="C1267" s="86">
        <f>IFERROR(__xludf.DUMMYFUNCTION("""COMPUTED_VALUE"""),1.0)</f>
        <v>1</v>
      </c>
      <c r="D1267" s="87" t="str">
        <f>IFERROR(__xludf.DUMMYFUNCTION("""COMPUTED_VALUE"""),"SEÇÃO")</f>
        <v>SEÇÃO</v>
      </c>
      <c r="E1267" s="87" t="str">
        <f>IFERROR(__xludf.DUMMYFUNCTION("""COMPUTED_VALUE"""),"3 - ALMOX. ESTOQUE")</f>
        <v>3 - ALMOX. ESTOQUE</v>
      </c>
      <c r="F1267" s="92"/>
      <c r="G1267" s="89"/>
      <c r="H1267" s="87" t="str">
        <f>IFERROR(__xludf.DUMMYFUNCTION("""COMPUTED_VALUE"""),"N.S.25923263")</f>
        <v>N.S.25923263</v>
      </c>
      <c r="I1267" s="87" t="str">
        <f>IFERROR(__xludf.DUMMYFUNCTION("""COMPUTED_VALUE"""),"Bateria reserva para ht digital T03-00011-CAAA")</f>
        <v>Bateria reserva para ht digital T03-00011-CAAA</v>
      </c>
    </row>
    <row r="1268">
      <c r="A1268" s="84">
        <f>IFERROR(__xludf.DUMMYFUNCTION("""COMPUTED_VALUE"""),1268.0)</f>
        <v>1268</v>
      </c>
      <c r="B1268" s="85" t="str">
        <f>IFERROR(__xludf.DUMMYFUNCTION("""COMPUTED_VALUE"""),"AMPLIFICADOR DE VOZ - EPR")</f>
        <v>AMPLIFICADOR DE VOZ - EPR</v>
      </c>
      <c r="C1268" s="86">
        <f>IFERROR(__xludf.DUMMYFUNCTION("""COMPUTED_VALUE"""),1.0)</f>
        <v>1</v>
      </c>
      <c r="D1268" s="87" t="str">
        <f>IFERROR(__xludf.DUMMYFUNCTION("""COMPUTED_VALUE"""),"SEÇÃO")</f>
        <v>SEÇÃO</v>
      </c>
      <c r="E1268" s="87" t="str">
        <f>IFERROR(__xludf.DUMMYFUNCTION("""COMPUTED_VALUE"""),"3 - SOU")</f>
        <v>3 - SOU</v>
      </c>
      <c r="F1268" s="92" t="str">
        <f>IFERROR(__xludf.DUMMYFUNCTION("""COMPUTED_VALUE"""),"RÁDIO OPERADOR")</f>
        <v>RÁDIO OPERADOR</v>
      </c>
      <c r="G1268" s="89"/>
      <c r="H1268" s="87" t="str">
        <f>IFERROR(__xludf.DUMMYFUNCTION("""COMPUTED_VALUE"""),"N.S.115A1931011827")</f>
        <v>N.S.115A1931011827</v>
      </c>
      <c r="I1268" s="87" t="str">
        <f>IFERROR(__xludf.DUMMYFUNCTION("""COMPUTED_VALUE"""),"EPIC 3 VOICE AMPLIFIER")</f>
        <v>EPIC 3 VOICE AMPLIFIER</v>
      </c>
    </row>
    <row r="1269">
      <c r="A1269" s="84">
        <f>IFERROR(__xludf.DUMMYFUNCTION("""COMPUTED_VALUE"""),1269.0)</f>
        <v>1269</v>
      </c>
      <c r="B1269" s="85" t="str">
        <f>IFERROR(__xludf.DUMMYFUNCTION("""COMPUTED_VALUE"""),"AMPLIFICADOR DE VOZ - EPR")</f>
        <v>AMPLIFICADOR DE VOZ - EPR</v>
      </c>
      <c r="C1269" s="86">
        <f>IFERROR(__xludf.DUMMYFUNCTION("""COMPUTED_VALUE"""),1.0)</f>
        <v>1</v>
      </c>
      <c r="D1269" s="87" t="str">
        <f>IFERROR(__xludf.DUMMYFUNCTION("""COMPUTED_VALUE"""),"SEÇÃO")</f>
        <v>SEÇÃO</v>
      </c>
      <c r="E1269" s="87" t="str">
        <f>IFERROR(__xludf.DUMMYFUNCTION("""COMPUTED_VALUE"""),"3 - SOU")</f>
        <v>3 - SOU</v>
      </c>
      <c r="F1269" s="92" t="str">
        <f>IFERROR(__xludf.DUMMYFUNCTION("""COMPUTED_VALUE"""),"RÁDIO OPERADOR")</f>
        <v>RÁDIO OPERADOR</v>
      </c>
      <c r="G1269" s="89"/>
      <c r="H1269" s="87" t="str">
        <f>IFERROR(__xludf.DUMMYFUNCTION("""COMPUTED_VALUE"""),"N.S.115A1920006007")</f>
        <v>N.S.115A1920006007</v>
      </c>
      <c r="I1269" s="87" t="str">
        <f>IFERROR(__xludf.DUMMYFUNCTION("""COMPUTED_VALUE"""),"EPIC 3 VOICE AMPLIFIER")</f>
        <v>EPIC 3 VOICE AMPLIFIER</v>
      </c>
    </row>
    <row r="1270">
      <c r="A1270" s="84">
        <f>IFERROR(__xludf.DUMMYFUNCTION("""COMPUTED_VALUE"""),1270.0)</f>
        <v>1270</v>
      </c>
      <c r="B1270" s="85" t="str">
        <f>IFERROR(__xludf.DUMMYFUNCTION("""COMPUTED_VALUE"""),"AMPLIFICADOR DE VOZ - EPR")</f>
        <v>AMPLIFICADOR DE VOZ - EPR</v>
      </c>
      <c r="C1270" s="86">
        <f>IFERROR(__xludf.DUMMYFUNCTION("""COMPUTED_VALUE"""),1.0)</f>
        <v>1</v>
      </c>
      <c r="D1270" s="87" t="str">
        <f>IFERROR(__xludf.DUMMYFUNCTION("""COMPUTED_VALUE"""),"SEÇÃO")</f>
        <v>SEÇÃO</v>
      </c>
      <c r="E1270" s="87" t="str">
        <f>IFERROR(__xludf.DUMMYFUNCTION("""COMPUTED_VALUE"""),"3 - SOU")</f>
        <v>3 - SOU</v>
      </c>
      <c r="F1270" s="92" t="str">
        <f>IFERROR(__xludf.DUMMYFUNCTION("""COMPUTED_VALUE"""),"RÁDIO OPERADOR")</f>
        <v>RÁDIO OPERADOR</v>
      </c>
      <c r="G1270" s="89"/>
      <c r="H1270" s="87" t="str">
        <f>IFERROR(__xludf.DUMMYFUNCTION("""COMPUTED_VALUE"""),"N.S.115A1920006244")</f>
        <v>N.S.115A1920006244</v>
      </c>
      <c r="I1270" s="87" t="str">
        <f>IFERROR(__xludf.DUMMYFUNCTION("""COMPUTED_VALUE"""),"EPIC 3 VOICE AMPLIFIER")</f>
        <v>EPIC 3 VOICE AMPLIFIER</v>
      </c>
    </row>
    <row r="1271">
      <c r="A1271" s="84">
        <f>IFERROR(__xludf.DUMMYFUNCTION("""COMPUTED_VALUE"""),1271.0)</f>
        <v>1271</v>
      </c>
      <c r="B1271" s="85" t="str">
        <f>IFERROR(__xludf.DUMMYFUNCTION("""COMPUTED_VALUE"""),"CARREGADOR PARA SERRA SABRE ")</f>
        <v>CARREGADOR PARA SERRA SABRE </v>
      </c>
      <c r="C1271" s="86">
        <f>IFERROR(__xludf.DUMMYFUNCTION("""COMPUTED_VALUE"""),1.0)</f>
        <v>1</v>
      </c>
      <c r="D1271" s="87" t="str">
        <f>IFERROR(__xludf.DUMMYFUNCTION("""COMPUTED_VALUE"""),"SEÇÃO")</f>
        <v>SEÇÃO</v>
      </c>
      <c r="E1271" s="87" t="str">
        <f>IFERROR(__xludf.DUMMYFUNCTION("""COMPUTED_VALUE"""),"3 - SOU")</f>
        <v>3 - SOU</v>
      </c>
      <c r="F1271" s="92" t="str">
        <f>IFERROR(__xludf.DUMMYFUNCTION("""COMPUTED_VALUE"""),"RÁDIO OPERADOR")</f>
        <v>RÁDIO OPERADOR</v>
      </c>
      <c r="G1271" s="89"/>
      <c r="H1271" s="87" t="str">
        <f>IFERROR(__xludf.DUMMYFUNCTION("""COMPUTED_VALUE"""),"2024 27-QX")</f>
        <v>2024 27-QX</v>
      </c>
      <c r="I1271" s="87" t="str">
        <f>IFERROR(__xludf.DUMMYFUNCTION("""COMPUTED_VALUE"""),"DEWALT DCB1106 12 - 20V")</f>
        <v>DEWALT DCB1106 12 - 20V</v>
      </c>
    </row>
    <row r="1272">
      <c r="A1272" s="84">
        <f>IFERROR(__xludf.DUMMYFUNCTION("""COMPUTED_VALUE"""),1272.0)</f>
        <v>1272</v>
      </c>
      <c r="B1272" s="85" t="str">
        <f>IFERROR(__xludf.DUMMYFUNCTION("""COMPUTED_VALUE"""),"MOTOR DE POPA -")</f>
        <v>MOTOR DE POPA -</v>
      </c>
      <c r="C1272" s="86">
        <f>IFERROR(__xludf.DUMMYFUNCTION("""COMPUTED_VALUE"""),1.0)</f>
        <v>1</v>
      </c>
      <c r="D1272" s="87" t="str">
        <f>IFERROR(__xludf.DUMMYFUNCTION("""COMPUTED_VALUE"""),"SEÇÃO")</f>
        <v>SEÇÃO</v>
      </c>
      <c r="E1272" s="87" t="str">
        <f>IFERROR(__xludf.DUMMYFUNCTION("""COMPUTED_VALUE"""),"3 - SETOR DE MEIOS")</f>
        <v>3 - SETOR DE MEIOS</v>
      </c>
      <c r="F1272" s="92" t="str">
        <f>IFERROR(__xludf.DUMMYFUNCTION("""COMPUTED_VALUE"""),"MATERIAL DE MERGULHO")</f>
        <v>MATERIAL DE MERGULHO</v>
      </c>
      <c r="G1272" s="89">
        <f>IFERROR(__xludf.DUMMYFUNCTION("""COMPUTED_VALUE"""),7.693769E7)</f>
        <v>76937690</v>
      </c>
      <c r="H1272" s="87"/>
      <c r="I1272" s="87"/>
    </row>
    <row r="1273">
      <c r="A1273" s="84">
        <f>IFERROR(__xludf.DUMMYFUNCTION("""COMPUTED_VALUE"""),1273.0)</f>
        <v>1273</v>
      </c>
      <c r="B1273" s="85" t="str">
        <f>IFERROR(__xludf.DUMMYFUNCTION("""COMPUTED_VALUE"""),"MOTOR DE POPA - ")</f>
        <v>MOTOR DE POPA - </v>
      </c>
      <c r="C1273" s="86">
        <f>IFERROR(__xludf.DUMMYFUNCTION("""COMPUTED_VALUE"""),1.0)</f>
        <v>1</v>
      </c>
      <c r="D1273" s="87" t="str">
        <f>IFERROR(__xludf.DUMMYFUNCTION("""COMPUTED_VALUE"""),"SEÇÃO")</f>
        <v>SEÇÃO</v>
      </c>
      <c r="E1273" s="87" t="str">
        <f>IFERROR(__xludf.DUMMYFUNCTION("""COMPUTED_VALUE"""),"3 - ALMOX. ESTOQUE")</f>
        <v>3 - ALMOX. ESTOQUE</v>
      </c>
      <c r="F1273" s="92" t="str">
        <f>IFERROR(__xludf.DUMMYFUNCTION("""COMPUTED_VALUE"""),"ALMOX. SAO (SEDE)")</f>
        <v>ALMOX. SAO (SEDE)</v>
      </c>
      <c r="G1273" s="89">
        <f>IFERROR(__xludf.DUMMYFUNCTION("""COMPUTED_VALUE"""),7.6837556E7)</f>
        <v>76837556</v>
      </c>
      <c r="H1273" s="87" t="str">
        <f>IFERROR(__xludf.DUMMYFUNCTION("""COMPUTED_VALUE"""),"ON421279")</f>
        <v>ON421279</v>
      </c>
      <c r="I1273" s="87" t="str">
        <f>IFERROR(__xludf.DUMMYFUNCTION("""COMPUTED_VALUE"""),"Motor de Popa Mercury 30HP, modelo 1030201EL")</f>
        <v>Motor de Popa Mercury 30HP, modelo 1030201EL</v>
      </c>
    </row>
    <row r="1274">
      <c r="A1274" s="84">
        <f>IFERROR(__xludf.DUMMYFUNCTION("""COMPUTED_VALUE"""),1274.0)</f>
        <v>1274</v>
      </c>
      <c r="B1274" s="85" t="str">
        <f>IFERROR(__xludf.DUMMYFUNCTION("""COMPUTED_VALUE"""),"SOPRADOR")</f>
        <v>SOPRADOR</v>
      </c>
      <c r="C1274" s="86">
        <f>IFERROR(__xludf.DUMMYFUNCTION("""COMPUTED_VALUE"""),1.0)</f>
        <v>1</v>
      </c>
      <c r="D1274" s="87" t="str">
        <f>IFERROR(__xludf.DUMMYFUNCTION("""COMPUTED_VALUE"""),"VIATURA")</f>
        <v>VIATURA</v>
      </c>
      <c r="E1274" s="87" t="str">
        <f>IFERROR(__xludf.DUMMYFUNCTION("""COMPUTED_VALUE"""),"3 - ALMOX. ESTOQUE")</f>
        <v>3 - ALMOX. ESTOQUE</v>
      </c>
      <c r="F1274" s="92" t="str">
        <f>IFERROR(__xludf.DUMMYFUNCTION("""COMPUTED_VALUE"""),"CAMARIM")</f>
        <v>CAMARIM</v>
      </c>
      <c r="G1274" s="89">
        <f>IFERROR(__xludf.DUMMYFUNCTION("""COMPUTED_VALUE"""),7.6902153E7)</f>
        <v>76902153</v>
      </c>
      <c r="H1274" s="87" t="str">
        <f>IFERROR(__xludf.DUMMYFUNCTION("""COMPUTED_VALUE"""),"N.S. 540696994")</f>
        <v>N.S. 540696994</v>
      </c>
      <c r="I1274" s="87"/>
    </row>
    <row r="1275">
      <c r="A1275" s="84">
        <f>IFERROR(__xludf.DUMMYFUNCTION("""COMPUTED_VALUE"""),1275.0)</f>
        <v>1275</v>
      </c>
      <c r="B1275" s="85" t="str">
        <f>IFERROR(__xludf.DUMMYFUNCTION("""COMPUTED_VALUE"""),"SOPRADOR")</f>
        <v>SOPRADOR</v>
      </c>
      <c r="C1275" s="86">
        <f>IFERROR(__xludf.DUMMYFUNCTION("""COMPUTED_VALUE"""),1.0)</f>
        <v>1</v>
      </c>
      <c r="D1275" s="87" t="str">
        <f>IFERROR(__xludf.DUMMYFUNCTION("""COMPUTED_VALUE"""),"VIATURA")</f>
        <v>VIATURA</v>
      </c>
      <c r="E1275" s="87" t="str">
        <f>IFERROR(__xludf.DUMMYFUNCTION("""COMPUTED_VALUE"""),"1 - ABTS5911")</f>
        <v>1 - ABTS5911</v>
      </c>
      <c r="F1275" s="92"/>
      <c r="G1275" s="89">
        <f>IFERROR(__xludf.DUMMYFUNCTION("""COMPUTED_VALUE"""),7.6902161E7)</f>
        <v>76902161</v>
      </c>
      <c r="H1275" s="87" t="str">
        <f>IFERROR(__xludf.DUMMYFUNCTION("""COMPUTED_VALUE"""),"N.S. 540696991")</f>
        <v>N.S. 540696991</v>
      </c>
      <c r="I1275" s="87"/>
    </row>
    <row r="1276">
      <c r="A1276" s="84">
        <f>IFERROR(__xludf.DUMMYFUNCTION("""COMPUTED_VALUE"""),1276.0)</f>
        <v>1276</v>
      </c>
      <c r="B1276" s="85" t="str">
        <f>IFERROR(__xludf.DUMMYFUNCTION("""COMPUTED_VALUE"""),"SOPRADOR")</f>
        <v>SOPRADOR</v>
      </c>
      <c r="C1276" s="86">
        <f>IFERROR(__xludf.DUMMYFUNCTION("""COMPUTED_VALUE"""),1.0)</f>
        <v>1</v>
      </c>
      <c r="D1276" s="87" t="str">
        <f>IFERROR(__xludf.DUMMYFUNCTION("""COMPUTED_VALUE"""),"VIATURA")</f>
        <v>VIATURA</v>
      </c>
      <c r="E1276" s="87" t="str">
        <f>IFERROR(__xludf.DUMMYFUNCTION("""COMPUTED_VALUE"""),"3 - ALMOX. ESTOQUE")</f>
        <v>3 - ALMOX. ESTOQUE</v>
      </c>
      <c r="F1276" s="92" t="str">
        <f>IFERROR(__xludf.DUMMYFUNCTION("""COMPUTED_VALUE"""),"CAMARIM")</f>
        <v>CAMARIM</v>
      </c>
      <c r="G1276" s="89">
        <f>IFERROR(__xludf.DUMMYFUNCTION("""COMPUTED_VALUE"""),7.6940934E7)</f>
        <v>76940934</v>
      </c>
      <c r="H1276" s="87" t="str">
        <f>IFERROR(__xludf.DUMMYFUNCTION("""COMPUTED_VALUE"""),"N.S. 541753460")</f>
        <v>N.S. 541753460</v>
      </c>
      <c r="I1276" s="87"/>
    </row>
    <row r="1277">
      <c r="A1277" s="84">
        <f>IFERROR(__xludf.DUMMYFUNCTION("""COMPUTED_VALUE"""),1277.0)</f>
        <v>1277</v>
      </c>
      <c r="B1277" s="85" t="str">
        <f>IFERROR(__xludf.DUMMYFUNCTION("""COMPUTED_VALUE"""),"CONJUNTO COMBINADO DESENCARCERAMENTO DE VITIMAS -")</f>
        <v>CONJUNTO COMBINADO DESENCARCERAMENTO DE VITIMAS -</v>
      </c>
      <c r="C1277" s="86">
        <f>IFERROR(__xludf.DUMMYFUNCTION("""COMPUTED_VALUE"""),1.0)</f>
        <v>1</v>
      </c>
      <c r="D1277" s="87" t="str">
        <f>IFERROR(__xludf.DUMMYFUNCTION("""COMPUTED_VALUE"""),"SEÇÃO")</f>
        <v>SEÇÃO</v>
      </c>
      <c r="E1277" s="87" t="str">
        <f>IFERROR(__xludf.DUMMYFUNCTION("""COMPUTED_VALUE"""),"3 - CURVELO")</f>
        <v>3 - CURVELO</v>
      </c>
      <c r="F1277" s="92"/>
      <c r="G1277" s="89">
        <f>IFERROR(__xludf.DUMMYFUNCTION("""COMPUTED_VALUE"""),7.6904288E7)</f>
        <v>76904288</v>
      </c>
      <c r="H1277" s="87"/>
      <c r="I1277" s="87" t="str">
        <f>IFERROR(__xludf.DUMMYFUNCTION("""COMPUTED_VALUE"""),"(COMBINADA) - FERRAMENTA PARA DESENCARCERAMENTO - C/ BATERIA")</f>
        <v>(COMBINADA) - FERRAMENTA PARA DESENCARCERAMENTO - C/ BATERIA</v>
      </c>
    </row>
    <row r="1278">
      <c r="A1278" s="84">
        <f>IFERROR(__xludf.DUMMYFUNCTION("""COMPUTED_VALUE"""),1278.0)</f>
        <v>1278</v>
      </c>
      <c r="B1278" s="85" t="str">
        <f>IFERROR(__xludf.DUMMYFUNCTION("""COMPUTED_VALUE"""),"SERRA SABRE -")</f>
        <v>SERRA SABRE -</v>
      </c>
      <c r="C1278" s="86">
        <f>IFERROR(__xludf.DUMMYFUNCTION("""COMPUTED_VALUE"""),1.0)</f>
        <v>1</v>
      </c>
      <c r="D1278" s="87" t="str">
        <f>IFERROR(__xludf.DUMMYFUNCTION("""COMPUTED_VALUE"""),"VIATURA")</f>
        <v>VIATURA</v>
      </c>
      <c r="E1278" s="87" t="str">
        <f>IFERROR(__xludf.DUMMYFUNCTION("""COMPUTED_VALUE"""),"1 - ABTS5911")</f>
        <v>1 - ABTS5911</v>
      </c>
      <c r="F1278" s="92"/>
      <c r="G1278" s="89">
        <f>IFERROR(__xludf.DUMMYFUNCTION("""COMPUTED_VALUE"""),7.6905047E7)</f>
        <v>76905047</v>
      </c>
      <c r="H1278" s="87" t="str">
        <f>IFERROR(__xludf.DUMMYFUNCTION("""COMPUTED_VALUE"""),"N.S. 990182")</f>
        <v>N.S. 990182</v>
      </c>
      <c r="I1278" s="87" t="str">
        <f>IFERROR(__xludf.DUMMYFUNCTION("""COMPUTED_VALUE"""),"DEWALT DCS380-B3 12 - 20V, C/ 02 BATERIAS DCB204, CARREGADOR DCB107 N.S. 202337QX E 05 SERRAS")</f>
        <v>DEWALT DCS380-B3 12 - 20V, C/ 02 BATERIAS DCB204, CARREGADOR DCB107 N.S. 202337QX E 05 SERRAS</v>
      </c>
    </row>
    <row r="1279">
      <c r="A1279" s="84">
        <f>IFERROR(__xludf.DUMMYFUNCTION("""COMPUTED_VALUE"""),1279.0)</f>
        <v>1279</v>
      </c>
      <c r="B1279" s="85" t="str">
        <f>IFERROR(__xludf.DUMMYFUNCTION("""COMPUTED_VALUE"""),"CAPACETE PARA COMBATE INCENDIO -")</f>
        <v>CAPACETE PARA COMBATE INCENDIO -</v>
      </c>
      <c r="C1279" s="86">
        <f>IFERROR(__xludf.DUMMYFUNCTION("""COMPUTED_VALUE"""),1.0)</f>
        <v>1</v>
      </c>
      <c r="D1279" s="87" t="str">
        <f>IFERROR(__xludf.DUMMYFUNCTION("""COMPUTED_VALUE"""),"MILITAR")</f>
        <v>MILITAR</v>
      </c>
      <c r="E1279" s="87" t="str">
        <f>IFERROR(__xludf.DUMMYFUNCTION("""COMPUTED_VALUE"""),"2 - SD BERNARDO LACERDA ASSUNÇÃO")</f>
        <v>2 - SD BERNARDO LACERDA ASSUNÇÃO</v>
      </c>
      <c r="F1279" s="92"/>
      <c r="G1279" s="89">
        <f>IFERROR(__xludf.DUMMYFUNCTION("""COMPUTED_VALUE"""),4.019938E7)</f>
        <v>40199380</v>
      </c>
      <c r="H1279" s="87"/>
      <c r="I1279" s="87"/>
    </row>
    <row r="1280">
      <c r="A1280" s="84">
        <f>IFERROR(__xludf.DUMMYFUNCTION("""COMPUTED_VALUE"""),1280.0)</f>
        <v>1280</v>
      </c>
      <c r="B1280" s="85" t="str">
        <f>IFERROR(__xludf.DUMMYFUNCTION("""COMPUTED_VALUE"""),"CAPACETE PARA COMBATE INCENDIO FLORESTAL")</f>
        <v>CAPACETE PARA COMBATE INCENDIO FLORESTAL</v>
      </c>
      <c r="C1280" s="86">
        <f>IFERROR(__xludf.DUMMYFUNCTION("""COMPUTED_VALUE"""),1.0)</f>
        <v>1</v>
      </c>
      <c r="D1280" s="87" t="str">
        <f>IFERROR(__xludf.DUMMYFUNCTION("""COMPUTED_VALUE"""),"SEÇÃO")</f>
        <v>SEÇÃO</v>
      </c>
      <c r="E1280" s="87" t="str">
        <f>IFERROR(__xludf.DUMMYFUNCTION("""COMPUTED_VALUE"""),"3 - ALMOX. ESTOQUE")</f>
        <v>3 - ALMOX. ESTOQUE</v>
      </c>
      <c r="F1280" s="92" t="str">
        <f>IFERROR(__xludf.DUMMYFUNCTION("""COMPUTED_VALUE"""),"SAO")</f>
        <v>SAO</v>
      </c>
      <c r="G1280" s="89">
        <f>IFERROR(__xludf.DUMMYFUNCTION("""COMPUTED_VALUE"""),3.9951235E7)</f>
        <v>39951235</v>
      </c>
      <c r="H1280" s="87"/>
      <c r="I1280" s="87"/>
    </row>
    <row r="1281">
      <c r="A1281" s="84">
        <f>IFERROR(__xludf.DUMMYFUNCTION("""COMPUTED_VALUE"""),1281.0)</f>
        <v>1281</v>
      </c>
      <c r="B1281" s="85" t="str">
        <f>IFERROR(__xludf.DUMMYFUNCTION("""COMPUTED_VALUE"""),"CAPACETE DE SALVAMENTO E PROTECAO -")</f>
        <v>CAPACETE DE SALVAMENTO E PROTECAO -</v>
      </c>
      <c r="C1281" s="86">
        <f>IFERROR(__xludf.DUMMYFUNCTION("""COMPUTED_VALUE"""),1.0)</f>
        <v>1</v>
      </c>
      <c r="D1281" s="87" t="str">
        <f>IFERROR(__xludf.DUMMYFUNCTION("""COMPUTED_VALUE"""),"MILITAR")</f>
        <v>MILITAR</v>
      </c>
      <c r="E1281" s="87" t="str">
        <f>IFERROR(__xludf.DUMMYFUNCTION("""COMPUTED_VALUE"""),"2 - SD LEONARDO VICTOR SILVA BRUM")</f>
        <v>2 - SD LEONARDO VICTOR SILVA BRUM</v>
      </c>
      <c r="F1281" s="92"/>
      <c r="G1281" s="89">
        <f>IFERROR(__xludf.DUMMYFUNCTION("""COMPUTED_VALUE"""),4.020594E7)</f>
        <v>40205940</v>
      </c>
      <c r="H1281" s="87"/>
      <c r="I1281" s="87"/>
    </row>
    <row r="1282">
      <c r="A1282" s="84">
        <f>IFERROR(__xludf.DUMMYFUNCTION("""COMPUTED_VALUE"""),1282.0)</f>
        <v>1282</v>
      </c>
      <c r="B1282" s="85" t="str">
        <f>IFERROR(__xludf.DUMMYFUNCTION("""COMPUTED_VALUE"""),"CAPACETE PARA COMBATE INCENDIO -")</f>
        <v>CAPACETE PARA COMBATE INCENDIO -</v>
      </c>
      <c r="C1282" s="86">
        <f>IFERROR(__xludf.DUMMYFUNCTION("""COMPUTED_VALUE"""),1.0)</f>
        <v>1</v>
      </c>
      <c r="D1282" s="87" t="str">
        <f>IFERROR(__xludf.DUMMYFUNCTION("""COMPUTED_VALUE"""),"MILITAR")</f>
        <v>MILITAR</v>
      </c>
      <c r="E1282" s="87" t="str">
        <f>IFERROR(__xludf.DUMMYFUNCTION("""COMPUTED_VALUE"""),"2 - SD RODRIGO BARBOSA VIÇOSO")</f>
        <v>2 - SD RODRIGO BARBOSA VIÇOSO</v>
      </c>
      <c r="F1282" s="92"/>
      <c r="G1282" s="89">
        <f>IFERROR(__xludf.DUMMYFUNCTION("""COMPUTED_VALUE"""),4.0234533E7)</f>
        <v>40234533</v>
      </c>
      <c r="H1282" s="87"/>
      <c r="I1282" s="87"/>
    </row>
    <row r="1283">
      <c r="A1283" s="84">
        <f>IFERROR(__xludf.DUMMYFUNCTION("""COMPUTED_VALUE"""),1283.0)</f>
        <v>1283</v>
      </c>
      <c r="B1283" s="85" t="str">
        <f>IFERROR(__xludf.DUMMYFUNCTION("""COMPUTED_VALUE"""),"CAPACETE DE SALVAMENTO E PROTECAO -")</f>
        <v>CAPACETE DE SALVAMENTO E PROTECAO -</v>
      </c>
      <c r="C1283" s="86">
        <f>IFERROR(__xludf.DUMMYFUNCTION("""COMPUTED_VALUE"""),1.0)</f>
        <v>1</v>
      </c>
      <c r="D1283" s="87" t="str">
        <f>IFERROR(__xludf.DUMMYFUNCTION("""COMPUTED_VALUE"""),"MILITAR")</f>
        <v>MILITAR</v>
      </c>
      <c r="E1283" s="87" t="str">
        <f>IFERROR(__xludf.DUMMYFUNCTION("""COMPUTED_VALUE"""),"2 - ASP PAULO VITOR MARTINELLI CUNHA")</f>
        <v>2 - ASP PAULO VITOR MARTINELLI CUNHA</v>
      </c>
      <c r="F1283" s="92"/>
      <c r="G1283" s="89">
        <f>IFERROR(__xludf.DUMMYFUNCTION("""COMPUTED_VALUE"""),7.6670449E7)</f>
        <v>76670449</v>
      </c>
      <c r="H1283" s="87"/>
      <c r="I1283" s="87"/>
    </row>
    <row r="1284">
      <c r="A1284" s="84">
        <f>IFERROR(__xludf.DUMMYFUNCTION("""COMPUTED_VALUE"""),1284.0)</f>
        <v>1284</v>
      </c>
      <c r="B1284" s="85" t="str">
        <f>IFERROR(__xludf.DUMMYFUNCTION("""COMPUTED_VALUE"""),"CAPACETE PARA COMBATE INCENDIO -")</f>
        <v>CAPACETE PARA COMBATE INCENDIO -</v>
      </c>
      <c r="C1284" s="86">
        <f>IFERROR(__xludf.DUMMYFUNCTION("""COMPUTED_VALUE"""),1.0)</f>
        <v>1</v>
      </c>
      <c r="D1284" s="87" t="str">
        <f>IFERROR(__xludf.DUMMYFUNCTION("""COMPUTED_VALUE"""),"MILITAR")</f>
        <v>MILITAR</v>
      </c>
      <c r="E1284" s="87" t="str">
        <f>IFERROR(__xludf.DUMMYFUNCTION("""COMPUTED_VALUE"""),"2 - SD ALONSO RODRIGUES DO CARMO NETO")</f>
        <v>2 - SD ALONSO RODRIGUES DO CARMO NETO</v>
      </c>
      <c r="F1284" s="92"/>
      <c r="G1284" s="89">
        <f>IFERROR(__xludf.DUMMYFUNCTION("""COMPUTED_VALUE"""),7.6798275E7)</f>
        <v>76798275</v>
      </c>
      <c r="H1284" s="87"/>
      <c r="I1284" s="87"/>
    </row>
    <row r="1285">
      <c r="A1285" s="84">
        <f>IFERROR(__xludf.DUMMYFUNCTION("""COMPUTED_VALUE"""),1285.0)</f>
        <v>1285</v>
      </c>
      <c r="B1285" s="85" t="str">
        <f>IFERROR(__xludf.DUMMYFUNCTION("""COMPUTED_VALUE"""),"CAPACETE DE SALVAMENTO E PROTECAO -")</f>
        <v>CAPACETE DE SALVAMENTO E PROTECAO -</v>
      </c>
      <c r="C1285" s="86">
        <f>IFERROR(__xludf.DUMMYFUNCTION("""COMPUTED_VALUE"""),1.0)</f>
        <v>1</v>
      </c>
      <c r="D1285" s="87" t="str">
        <f>IFERROR(__xludf.DUMMYFUNCTION("""COMPUTED_VALUE"""),"MILITAR")</f>
        <v>MILITAR</v>
      </c>
      <c r="E1285" s="87" t="str">
        <f>IFERROR(__xludf.DUMMYFUNCTION("""COMPUTED_VALUE"""),"2 - SD ALONSO RODRIGUES DO CARMO NETO")</f>
        <v>2 - SD ALONSO RODRIGUES DO CARMO NETO</v>
      </c>
      <c r="F1285" s="92"/>
      <c r="G1285" s="89">
        <f>IFERROR(__xludf.DUMMYFUNCTION("""COMPUTED_VALUE"""),4.0242609E7)</f>
        <v>40242609</v>
      </c>
      <c r="H1285" s="87"/>
      <c r="I1285" s="87"/>
    </row>
    <row r="1286">
      <c r="A1286" s="84">
        <f>IFERROR(__xludf.DUMMYFUNCTION("""COMPUTED_VALUE"""),1286.0)</f>
        <v>1286</v>
      </c>
      <c r="B1286" s="85" t="str">
        <f>IFERROR(__xludf.DUMMYFUNCTION("""COMPUTED_VALUE"""),"CAMINHAO -")</f>
        <v>CAMINHAO -</v>
      </c>
      <c r="C1286" s="86">
        <f>IFERROR(__xludf.DUMMYFUNCTION("""COMPUTED_VALUE"""),1.0)</f>
        <v>1</v>
      </c>
      <c r="D1286" s="87" t="str">
        <f>IFERROR(__xludf.DUMMYFUNCTION("""COMPUTED_VALUE"""),"VIATURA")</f>
        <v>VIATURA</v>
      </c>
      <c r="E1286" s="87" t="str">
        <f>IFERROR(__xludf.DUMMYFUNCTION("""COMPUTED_VALUE"""),"3 - FROTA 5ª CIA IND")</f>
        <v>3 - FROTA 5ª CIA IND</v>
      </c>
      <c r="F1286" s="92"/>
      <c r="G1286" s="89">
        <f>IFERROR(__xludf.DUMMYFUNCTION("""COMPUTED_VALUE"""),9.00607076E8)</f>
        <v>900607076</v>
      </c>
      <c r="H1286" s="87" t="str">
        <f>IFERROR(__xludf.DUMMYFUNCTION("""COMPUTED_VALUE"""),"9533G8242GR606389")</f>
        <v>9533G8242GR606389</v>
      </c>
      <c r="I1286" s="87" t="str">
        <f>IFERROR(__xludf.DUMMYFUNCTION("""COMPUTED_VALUE"""),"ABTS1418 - PLACA PUE8483, NÃO CONSTA NA CARGA ATUAL 25/09/24")</f>
        <v>ABTS1418 - PLACA PUE8483, NÃO CONSTA NA CARGA ATUAL 25/09/24</v>
      </c>
    </row>
    <row r="1287">
      <c r="A1287" s="84">
        <f>IFERROR(__xludf.DUMMYFUNCTION("""COMPUTED_VALUE"""),1287.0)</f>
        <v>1287</v>
      </c>
      <c r="B1287" s="85" t="str">
        <f>IFERROR(__xludf.DUMMYFUNCTION("""COMPUTED_VALUE"""),"CAMINHAO -")</f>
        <v>CAMINHAO -</v>
      </c>
      <c r="C1287" s="86">
        <f>IFERROR(__xludf.DUMMYFUNCTION("""COMPUTED_VALUE"""),1.0)</f>
        <v>1</v>
      </c>
      <c r="D1287" s="87" t="str">
        <f>IFERROR(__xludf.DUMMYFUNCTION("""COMPUTED_VALUE"""),"VIATURA")</f>
        <v>VIATURA</v>
      </c>
      <c r="E1287" s="87" t="str">
        <f>IFERROR(__xludf.DUMMYFUNCTION("""COMPUTED_VALUE"""),"3 - FROTA 5ª CIA IND")</f>
        <v>3 - FROTA 5ª CIA IND</v>
      </c>
      <c r="F1287" s="92"/>
      <c r="G1287" s="89">
        <f>IFERROR(__xludf.DUMMYFUNCTION("""COMPUTED_VALUE"""),7.6881377E7)</f>
        <v>76881377</v>
      </c>
      <c r="H1287" s="87" t="str">
        <f>IFERROR(__xludf.DUMMYFUNCTION("""COMPUTED_VALUE"""),"9BSP4X200P4028268")</f>
        <v>9BSP4X200P4028268</v>
      </c>
      <c r="I1287" s="87" t="str">
        <f>IFERROR(__xludf.DUMMYFUNCTION("""COMPUTED_VALUE"""),"ABTS5911 - PLACA  QXW5J11")</f>
        <v>ABTS5911 - PLACA  QXW5J11</v>
      </c>
    </row>
    <row r="1288">
      <c r="A1288" s="84">
        <f>IFERROR(__xludf.DUMMYFUNCTION("""COMPUTED_VALUE"""),1288.0)</f>
        <v>1288</v>
      </c>
      <c r="B1288" s="85" t="str">
        <f>IFERROR(__xludf.DUMMYFUNCTION("""COMPUTED_VALUE"""),"AMBULANCIA -")</f>
        <v>AMBULANCIA -</v>
      </c>
      <c r="C1288" s="86">
        <f>IFERROR(__xludf.DUMMYFUNCTION("""COMPUTED_VALUE"""),1.0)</f>
        <v>1</v>
      </c>
      <c r="D1288" s="87" t="str">
        <f>IFERROR(__xludf.DUMMYFUNCTION("""COMPUTED_VALUE"""),"SEÇÃO")</f>
        <v>SEÇÃO</v>
      </c>
      <c r="E1288" s="87" t="str">
        <f>IFERROR(__xludf.DUMMYFUNCTION("""COMPUTED_VALUE"""),"3 - FROTA 5ª CIA IND")</f>
        <v>3 - FROTA 5ª CIA IND</v>
      </c>
      <c r="F1288" s="92"/>
      <c r="G1288" s="89">
        <f>IFERROR(__xludf.DUMMYFUNCTION("""COMPUTED_VALUE"""),7.6897206E7)</f>
        <v>76897206</v>
      </c>
      <c r="H1288" s="87" t="str">
        <f>IFERROR(__xludf.DUMMYFUNCTION("""COMPUTED_VALUE"""),"93YF62000RJ838203")</f>
        <v>93YF62000RJ838203</v>
      </c>
      <c r="I1288" s="87" t="str">
        <f>IFERROR(__xludf.DUMMYFUNCTION("""COMPUTED_VALUE"""),"UR5508 - PLACA QXW5G08")</f>
        <v>UR5508 - PLACA QXW5G08</v>
      </c>
    </row>
    <row r="1289">
      <c r="A1289" s="84">
        <f>IFERROR(__xludf.DUMMYFUNCTION("""COMPUTED_VALUE"""),1289.0)</f>
        <v>1289</v>
      </c>
      <c r="B1289" s="85" t="str">
        <f>IFERROR(__xludf.DUMMYFUNCTION("""COMPUTED_VALUE"""),"VIATURA CAMINHONETE -")</f>
        <v>VIATURA CAMINHONETE -</v>
      </c>
      <c r="C1289" s="86">
        <f>IFERROR(__xludf.DUMMYFUNCTION("""COMPUTED_VALUE"""),1.0)</f>
        <v>1</v>
      </c>
      <c r="D1289" s="87" t="str">
        <f>IFERROR(__xludf.DUMMYFUNCTION("""COMPUTED_VALUE"""),"VIATURA")</f>
        <v>VIATURA</v>
      </c>
      <c r="E1289" s="87" t="str">
        <f>IFERROR(__xludf.DUMMYFUNCTION("""COMPUTED_VALUE"""),"3 - FROTA 5ª CIA IND")</f>
        <v>3 - FROTA 5ª CIA IND</v>
      </c>
      <c r="F1289" s="92"/>
      <c r="G1289" s="89">
        <f>IFERROR(__xludf.DUMMYFUNCTION("""COMPUTED_VALUE"""),9.0106676E7)</f>
        <v>90106676</v>
      </c>
      <c r="H1289" s="87" t="str">
        <f>IFERROR(__xludf.DUMMYFUNCTION("""COMPUTED_VALUE"""),"8AJDA3CD2R1840348")</f>
        <v>8AJDA3CD2R1840348</v>
      </c>
      <c r="I1289" s="87" t="str">
        <f>IFERROR(__xludf.DUMMYFUNCTION("""COMPUTED_VALUE"""),"ASL2163 - PLACA SYZ2B63 (ALUGADA), NÃO CONSTA NA CARGA ATUAL 25/09/24")</f>
        <v>ASL2163 - PLACA SYZ2B63 (ALUGADA), NÃO CONSTA NA CARGA ATUAL 25/09/24</v>
      </c>
    </row>
    <row r="1290">
      <c r="A1290" s="84">
        <f>IFERROR(__xludf.DUMMYFUNCTION("""COMPUTED_VALUE"""),1290.0)</f>
        <v>1290</v>
      </c>
      <c r="B1290" s="85" t="str">
        <f>IFERROR(__xludf.DUMMYFUNCTION("""COMPUTED_VALUE"""),"FERRAMENTA PARA DESENCARCERAMENTO -")</f>
        <v>FERRAMENTA PARA DESENCARCERAMENTO -</v>
      </c>
      <c r="C1290" s="86">
        <f>IFERROR(__xludf.DUMMYFUNCTION("""COMPUTED_VALUE"""),1.0)</f>
        <v>1</v>
      </c>
      <c r="D1290" s="87" t="str">
        <f>IFERROR(__xludf.DUMMYFUNCTION("""COMPUTED_VALUE"""),"VIATURA")</f>
        <v>VIATURA</v>
      </c>
      <c r="E1290" s="87" t="str">
        <f>IFERROR(__xludf.DUMMYFUNCTION("""COMPUTED_VALUE"""),"1 - ASM3617")</f>
        <v>1 - ASM3617</v>
      </c>
      <c r="F1290" s="92" t="str">
        <f>IFERROR(__xludf.DUMMYFUNCTION("""COMPUTED_VALUE"""),"BOX 01")</f>
        <v>BOX 01</v>
      </c>
      <c r="G1290" s="89">
        <f>IFERROR(__xludf.DUMMYFUNCTION("""COMPUTED_VALUE"""),7.685793E7)</f>
        <v>76857930</v>
      </c>
      <c r="H1290" s="87" t="str">
        <f>IFERROR(__xludf.DUMMYFUNCTION("""COMPUTED_VALUE"""),"1401344HH")</f>
        <v>1401344HH</v>
      </c>
      <c r="I1290" s="87" t="str">
        <f>IFERROR(__xludf.DUMMYFUNCTION("""COMPUTED_VALUE"""),"(ALARGADOR) - HOLMATRO MODELO: PSP40 PENTHEON C/ BATERIA  -  *PERTENCE À VIATURA ABTS5911")</f>
        <v>(ALARGADOR) - HOLMATRO MODELO: PSP40 PENTHEON C/ BATERIA  -  *PERTENCE À VIATURA ABTS5911</v>
      </c>
    </row>
    <row r="1291">
      <c r="A1291" s="84">
        <f>IFERROR(__xludf.DUMMYFUNCTION("""COMPUTED_VALUE"""),1291.0)</f>
        <v>1291</v>
      </c>
      <c r="B1291" s="85" t="str">
        <f>IFERROR(__xludf.DUMMYFUNCTION("""COMPUTED_VALUE"""),"FERRAMENTA PARA DESENCARCERAMENTO -")</f>
        <v>FERRAMENTA PARA DESENCARCERAMENTO -</v>
      </c>
      <c r="C1291" s="86">
        <f>IFERROR(__xludf.DUMMYFUNCTION("""COMPUTED_VALUE"""),1.0)</f>
        <v>1</v>
      </c>
      <c r="D1291" s="87" t="str">
        <f>IFERROR(__xludf.DUMMYFUNCTION("""COMPUTED_VALUE"""),"VIATURA")</f>
        <v>VIATURA</v>
      </c>
      <c r="E1291" s="87" t="str">
        <f>IFERROR(__xludf.DUMMYFUNCTION("""COMPUTED_VALUE"""),"1 - ASM3617")</f>
        <v>1 - ASM3617</v>
      </c>
      <c r="F1291" s="92" t="str">
        <f>IFERROR(__xludf.DUMMYFUNCTION("""COMPUTED_VALUE"""),"BOX 01")</f>
        <v>BOX 01</v>
      </c>
      <c r="G1291" s="89">
        <f>IFERROR(__xludf.DUMMYFUNCTION("""COMPUTED_VALUE"""),7.6857131E7)</f>
        <v>76857131</v>
      </c>
      <c r="H1291" s="87" t="str">
        <f>IFERROR(__xludf.DUMMYFUNCTION("""COMPUTED_VALUE"""),"1401575HH")</f>
        <v>1401575HH</v>
      </c>
      <c r="I1291" s="87" t="str">
        <f>IFERROR(__xludf.DUMMYFUNCTION("""COMPUTED_VALUE"""),"(CORTADOR) - HOLMATRO MODELO:PCU50 - PENTHEON - TESOURA C/ BATERIA")</f>
        <v>(CORTADOR) - HOLMATRO MODELO:PCU50 - PENTHEON - TESOURA C/ BATERIA</v>
      </c>
    </row>
    <row r="1292">
      <c r="A1292" s="84">
        <f>IFERROR(__xludf.DUMMYFUNCTION("""COMPUTED_VALUE"""),1292.0)</f>
        <v>1292</v>
      </c>
      <c r="B1292" s="85" t="str">
        <f>IFERROR(__xludf.DUMMYFUNCTION("""COMPUTED_VALUE"""),"MOTOSSERRA -")</f>
        <v>MOTOSSERRA -</v>
      </c>
      <c r="C1292" s="86">
        <f>IFERROR(__xludf.DUMMYFUNCTION("""COMPUTED_VALUE"""),1.0)</f>
        <v>1</v>
      </c>
      <c r="D1292" s="87" t="str">
        <f>IFERROR(__xludf.DUMMYFUNCTION("""COMPUTED_VALUE"""),"VIATURA")</f>
        <v>VIATURA</v>
      </c>
      <c r="E1292" s="87" t="str">
        <f>IFERROR(__xludf.DUMMYFUNCTION("""COMPUTED_VALUE"""),"1 - ASM3617")</f>
        <v>1 - ASM3617</v>
      </c>
      <c r="F1292" s="92" t="str">
        <f>IFERROR(__xludf.DUMMYFUNCTION("""COMPUTED_VALUE"""),"BOX 04")</f>
        <v>BOX 04</v>
      </c>
      <c r="G1292" s="89">
        <f>IFERROR(__xludf.DUMMYFUNCTION("""COMPUTED_VALUE"""),7.6666484E7)</f>
        <v>76666484</v>
      </c>
      <c r="H1292" s="87"/>
      <c r="I1292" s="87" t="str">
        <f>IFERROR(__xludf.DUMMYFUNCTION("""COMPUTED_VALUE"""),"HUSQVARNA, 288-POTENCIA MOTOR MINIMA DE 4,2KW; ROTACAO MINMA DE 12000; TANQUE DE COMBUSTIVEL MINIMA DE 800ML; TANQUE DE OLEO MINIMA DE 360ML; SABRE DE 16"" A 28"" ")</f>
        <v>HUSQVARNA, 288-POTENCIA MOTOR MINIMA DE 4,2KW; ROTACAO MINMA DE 12000; TANQUE DE COMBUSTIVEL MINIMA DE 800ML; TANQUE DE OLEO MINIMA DE 360ML; SABRE DE 16" A 28" </v>
      </c>
    </row>
    <row r="1293">
      <c r="A1293" s="84">
        <f>IFERROR(__xludf.DUMMYFUNCTION("""COMPUTED_VALUE"""),1293.0)</f>
        <v>1293</v>
      </c>
      <c r="B1293" s="85" t="str">
        <f>IFERROR(__xludf.DUMMYFUNCTION("""COMPUTED_VALUE"""),"SERRA SABRE -")</f>
        <v>SERRA SABRE -</v>
      </c>
      <c r="C1293" s="86">
        <f>IFERROR(__xludf.DUMMYFUNCTION("""COMPUTED_VALUE"""),1.0)</f>
        <v>1</v>
      </c>
      <c r="D1293" s="87" t="str">
        <f>IFERROR(__xludf.DUMMYFUNCTION("""COMPUTED_VALUE"""),"VIATURA")</f>
        <v>VIATURA</v>
      </c>
      <c r="E1293" s="87" t="str">
        <f>IFERROR(__xludf.DUMMYFUNCTION("""COMPUTED_VALUE"""),"1 - ASM3617")</f>
        <v>1 - ASM3617</v>
      </c>
      <c r="F1293" s="92" t="str">
        <f>IFERROR(__xludf.DUMMYFUNCTION("""COMPUTED_VALUE"""),"BOX 01")</f>
        <v>BOX 01</v>
      </c>
      <c r="G1293" s="89"/>
      <c r="H1293" s="87" t="str">
        <f>IFERROR(__xludf.DUMMYFUNCTION("""COMPUTED_VALUE"""),"N.S.992576")</f>
        <v>N.S.992576</v>
      </c>
      <c r="I1293" s="87" t="str">
        <f>IFERROR(__xludf.DUMMYFUNCTION("""COMPUTED_VALUE"""),"MARCA: DEWALT MODELO DCS380-B3  C/ BATERIA 4AH, 05 SERRAS E 01 CASE PARA ARMAZENAMENTO.")</f>
        <v>MARCA: DEWALT MODELO DCS380-B3  C/ BATERIA 4AH, 05 SERRAS E 01 CASE PARA ARMAZENAMENTO.</v>
      </c>
    </row>
    <row r="1294">
      <c r="A1294" s="84">
        <f>IFERROR(__xludf.DUMMYFUNCTION("""COMPUTED_VALUE"""),1294.0)</f>
        <v>1294</v>
      </c>
      <c r="B1294" s="85" t="str">
        <f>IFERROR(__xludf.DUMMYFUNCTION("""COMPUTED_VALUE"""),"CORTADOR MANUAL (HOLMATRO)")</f>
        <v>CORTADOR MANUAL (HOLMATRO)</v>
      </c>
      <c r="C1294" s="86">
        <f>IFERROR(__xludf.DUMMYFUNCTION("""COMPUTED_VALUE"""),1.0)</f>
        <v>1</v>
      </c>
      <c r="D1294" s="87" t="str">
        <f>IFERROR(__xludf.DUMMYFUNCTION("""COMPUTED_VALUE"""),"VIATURA")</f>
        <v>VIATURA</v>
      </c>
      <c r="E1294" s="87" t="str">
        <f>IFERROR(__xludf.DUMMYFUNCTION("""COMPUTED_VALUE"""),"1 - ASL1080")</f>
        <v>1 - ASL1080</v>
      </c>
      <c r="F1294" s="92" t="str">
        <f>IFERROR(__xludf.DUMMYFUNCTION("""COMPUTED_VALUE"""),"CARROCERIA")</f>
        <v>CARROCERIA</v>
      </c>
      <c r="G1294" s="89"/>
      <c r="H1294" s="87"/>
      <c r="I1294" s="87"/>
    </row>
    <row r="1295">
      <c r="A1295" s="84">
        <f>IFERROR(__xludf.DUMMYFUNCTION("""COMPUTED_VALUE"""),1295.0)</f>
        <v>1295</v>
      </c>
      <c r="B1295" s="85" t="str">
        <f>IFERROR(__xludf.DUMMYFUNCTION("""COMPUTED_VALUE"""),"FERRAMENTA PARA DESENCARCERAMENTO -")</f>
        <v>FERRAMENTA PARA DESENCARCERAMENTO -</v>
      </c>
      <c r="C1295" s="86">
        <f>IFERROR(__xludf.DUMMYFUNCTION("""COMPUTED_VALUE"""),1.0)</f>
        <v>1</v>
      </c>
      <c r="D1295" s="87" t="str">
        <f>IFERROR(__xludf.DUMMYFUNCTION("""COMPUTED_VALUE"""),"SEÇÃO")</f>
        <v>SEÇÃO</v>
      </c>
      <c r="E1295" s="87" t="str">
        <f>IFERROR(__xludf.DUMMYFUNCTION("""COMPUTED_VALUE"""),"3 - CSM")</f>
        <v>3 - CSM</v>
      </c>
      <c r="F1295" s="92" t="str">
        <f>IFERROR(__xludf.DUMMYFUNCTION("""COMPUTED_VALUE"""),"BAIXADO")</f>
        <v>BAIXADO</v>
      </c>
      <c r="G1295" s="89">
        <f>IFERROR(__xludf.DUMMYFUNCTION("""COMPUTED_VALUE"""),7.6857387E7)</f>
        <v>76857387</v>
      </c>
      <c r="H1295" s="87" t="str">
        <f>IFERROR(__xludf.DUMMYFUNCTION("""COMPUTED_VALUE"""),"1415970HH")</f>
        <v>1415970HH</v>
      </c>
      <c r="I1295" s="87" t="str">
        <f>IFERROR(__xludf.DUMMYFUNCTION("""COMPUTED_VALUE"""),"(EXTENSOR) - HOLMATRO MODELO:PTR50 - PENTHEON - C/ BATERIA")</f>
        <v>(EXTENSOR) - HOLMATRO MODELO:PTR50 - PENTHEON - C/ BATERIA</v>
      </c>
    </row>
    <row r="1296">
      <c r="A1296" s="84">
        <f>IFERROR(__xludf.DUMMYFUNCTION("""COMPUTED_VALUE"""),1296.0)</f>
        <v>1296</v>
      </c>
      <c r="B1296" s="85" t="str">
        <f>IFERROR(__xludf.DUMMYFUNCTION("""COMPUTED_VALUE"""),"FERRAMENTA PARA DESENCARCERAMENTO -")</f>
        <v>FERRAMENTA PARA DESENCARCERAMENTO -</v>
      </c>
      <c r="C1296" s="86">
        <f>IFERROR(__xludf.DUMMYFUNCTION("""COMPUTED_VALUE"""),1.0)</f>
        <v>1</v>
      </c>
      <c r="D1296" s="87" t="str">
        <f>IFERROR(__xludf.DUMMYFUNCTION("""COMPUTED_VALUE"""),"VIATURA")</f>
        <v>VIATURA</v>
      </c>
      <c r="E1296" s="87" t="str">
        <f>IFERROR(__xludf.DUMMYFUNCTION("""COMPUTED_VALUE"""),"1 - ASL1080")</f>
        <v>1 - ASL1080</v>
      </c>
      <c r="F1296" s="92" t="str">
        <f>IFERROR(__xludf.DUMMYFUNCTION("""COMPUTED_VALUE"""),"CARROCERIA")</f>
        <v>CARROCERIA</v>
      </c>
      <c r="G1296" s="89">
        <f>IFERROR(__xludf.DUMMYFUNCTION("""COMPUTED_VALUE"""),7.670162E7)</f>
        <v>76701620</v>
      </c>
      <c r="H1296" s="87" t="str">
        <f>IFERROR(__xludf.DUMMYFUNCTION("""COMPUTED_VALUE"""),"1346500 HH")</f>
        <v>1346500 HH</v>
      </c>
      <c r="I1296" s="87" t="str">
        <f>IFERROR(__xludf.DUMMYFUNCTION("""COMPUTED_VALUE"""),"(COMBINADA) - HOLMATRO EVO - 3, COM 01 BATERIA")</f>
        <v>(COMBINADA) - HOLMATRO EVO - 3, COM 01 BATERIA</v>
      </c>
    </row>
    <row r="1297">
      <c r="A1297" s="84">
        <f>IFERROR(__xludf.DUMMYFUNCTION("""COMPUTED_VALUE"""),1297.0)</f>
        <v>1297</v>
      </c>
      <c r="B1297" s="85" t="str">
        <f>IFERROR(__xludf.DUMMYFUNCTION("""COMPUTED_VALUE"""),"CAPACETE PARA COMBATE INCENDIO -")</f>
        <v>CAPACETE PARA COMBATE INCENDIO -</v>
      </c>
      <c r="C1297" s="86">
        <f>IFERROR(__xludf.DUMMYFUNCTION("""COMPUTED_VALUE"""),1.0)</f>
        <v>1</v>
      </c>
      <c r="D1297" s="87" t="str">
        <f>IFERROR(__xludf.DUMMYFUNCTION("""COMPUTED_VALUE"""),"MILITAR")</f>
        <v>MILITAR</v>
      </c>
      <c r="E1297" s="87" t="str">
        <f>IFERROR(__xludf.DUMMYFUNCTION("""COMPUTED_VALUE"""),"2 - SD ARTHUR LIMA VIEIRA")</f>
        <v>2 - SD ARTHUR LIMA VIEIRA</v>
      </c>
      <c r="F1297" s="92"/>
      <c r="G1297" s="89">
        <f>IFERROR(__xludf.DUMMYFUNCTION("""COMPUTED_VALUE"""),1.01064322E8)</f>
        <v>101064322</v>
      </c>
      <c r="H1297" s="87" t="str">
        <f>IFERROR(__xludf.DUMMYFUNCTION("""COMPUTED_VALUE"""),"1660667")</f>
        <v>1660667</v>
      </c>
      <c r="I1297" s="87"/>
    </row>
    <row r="1298">
      <c r="A1298" s="84">
        <f>IFERROR(__xludf.DUMMYFUNCTION("""COMPUTED_VALUE"""),1298.0)</f>
        <v>1298</v>
      </c>
      <c r="B1298" s="85" t="str">
        <f>IFERROR(__xludf.DUMMYFUNCTION("""COMPUTED_VALUE"""),"CAPACETE PARA COMBATE INCENDIO -")</f>
        <v>CAPACETE PARA COMBATE INCENDIO -</v>
      </c>
      <c r="C1298" s="86">
        <f>IFERROR(__xludf.DUMMYFUNCTION("""COMPUTED_VALUE"""),1.0)</f>
        <v>1</v>
      </c>
      <c r="D1298" s="87" t="str">
        <f>IFERROR(__xludf.DUMMYFUNCTION("""COMPUTED_VALUE"""),"MILITAR")</f>
        <v>MILITAR</v>
      </c>
      <c r="E1298" s="87" t="str">
        <f>IFERROR(__xludf.DUMMYFUNCTION("""COMPUTED_VALUE"""),"2 - SD OLIVIER MATHEUS MENDES ALVES")</f>
        <v>2 - SD OLIVIER MATHEUS MENDES ALVES</v>
      </c>
      <c r="F1298" s="92"/>
      <c r="G1298" s="89">
        <f>IFERROR(__xludf.DUMMYFUNCTION("""COMPUTED_VALUE"""),1.01064373E8)</f>
        <v>101064373</v>
      </c>
      <c r="H1298" s="87" t="str">
        <f>IFERROR(__xludf.DUMMYFUNCTION("""COMPUTED_VALUE"""),"1660667")</f>
        <v>1660667</v>
      </c>
      <c r="I1298" s="87"/>
    </row>
    <row r="1299">
      <c r="A1299" s="84">
        <f>IFERROR(__xludf.DUMMYFUNCTION("""COMPUTED_VALUE"""),1299.0)</f>
        <v>1299</v>
      </c>
      <c r="B1299" s="85" t="str">
        <f>IFERROR(__xludf.DUMMYFUNCTION("""COMPUTED_VALUE"""),"CAPACETE PARA COMBATE INCENDIO -")</f>
        <v>CAPACETE PARA COMBATE INCENDIO -</v>
      </c>
      <c r="C1299" s="86">
        <f>IFERROR(__xludf.DUMMYFUNCTION("""COMPUTED_VALUE"""),1.0)</f>
        <v>1</v>
      </c>
      <c r="D1299" s="87" t="str">
        <f>IFERROR(__xludf.DUMMYFUNCTION("""COMPUTED_VALUE"""),"MILITAR")</f>
        <v>MILITAR</v>
      </c>
      <c r="E1299" s="87" t="str">
        <f>IFERROR(__xludf.DUMMYFUNCTION("""COMPUTED_VALUE"""),"2 - SD BRUNO HENRIQUES DE CAMARGOS")</f>
        <v>2 - SD BRUNO HENRIQUES DE CAMARGOS</v>
      </c>
      <c r="F1299" s="92"/>
      <c r="G1299" s="89">
        <f>IFERROR(__xludf.DUMMYFUNCTION("""COMPUTED_VALUE"""),4.0188558E7)</f>
        <v>40188558</v>
      </c>
      <c r="H1299" s="87"/>
      <c r="I1299" s="87"/>
    </row>
    <row r="1300">
      <c r="A1300" s="84">
        <f>IFERROR(__xludf.DUMMYFUNCTION("""COMPUTED_VALUE"""),1300.0)</f>
        <v>1300</v>
      </c>
      <c r="B1300" s="85" t="str">
        <f>IFERROR(__xludf.DUMMYFUNCTION("""COMPUTED_VALUE"""),"CAPACETE DE SALVAMENTO E PROTECAO -")</f>
        <v>CAPACETE DE SALVAMENTO E PROTECAO -</v>
      </c>
      <c r="C1300" s="86">
        <f>IFERROR(__xludf.DUMMYFUNCTION("""COMPUTED_VALUE"""),1.0)</f>
        <v>1</v>
      </c>
      <c r="D1300" s="87" t="str">
        <f>IFERROR(__xludf.DUMMYFUNCTION("""COMPUTED_VALUE"""),"MILITAR")</f>
        <v>MILITAR</v>
      </c>
      <c r="E1300" s="87" t="str">
        <f>IFERROR(__xludf.DUMMYFUNCTION("""COMPUTED_VALUE"""),"2 - MAJ LUIZ PAULO BARBOSA ARAÚJO")</f>
        <v>2 - MAJ LUIZ PAULO BARBOSA ARAÚJO</v>
      </c>
      <c r="F1300" s="92"/>
      <c r="G1300" s="89">
        <f>IFERROR(__xludf.DUMMYFUNCTION("""COMPUTED_VALUE"""),5.5964311E7)</f>
        <v>55964311</v>
      </c>
      <c r="H1300" s="87"/>
      <c r="I1300" s="87" t="str">
        <f>IFERROR(__xludf.DUMMYFUNCTION("""COMPUTED_VALUE"""),"patrimônio transferido para o 7ºBBM. dia 04/02/2026.")</f>
        <v>patrimônio transferido para o 7ºBBM. dia 04/02/2026.</v>
      </c>
    </row>
    <row r="1301">
      <c r="A1301" s="84">
        <f>IFERROR(__xludf.DUMMYFUNCTION("""COMPUTED_VALUE"""),1301.0)</f>
        <v>1301</v>
      </c>
      <c r="B1301" s="85" t="str">
        <f>IFERROR(__xludf.DUMMYFUNCTION("""COMPUTED_VALUE"""),"CAPACETE PARA COMBATE INCENDIO -")</f>
        <v>CAPACETE PARA COMBATE INCENDIO -</v>
      </c>
      <c r="C1301" s="86">
        <f>IFERROR(__xludf.DUMMYFUNCTION("""COMPUTED_VALUE"""),1.0)</f>
        <v>1</v>
      </c>
      <c r="D1301" s="87" t="str">
        <f>IFERROR(__xludf.DUMMYFUNCTION("""COMPUTED_VALUE"""),"MILITAR")</f>
        <v>MILITAR</v>
      </c>
      <c r="E1301" s="87" t="str">
        <f>IFERROR(__xludf.DUMMYFUNCTION("""COMPUTED_VALUE"""),"2 - SD ARTHUR HENRIQUE ALVARENGA LAGE")</f>
        <v>2 - SD ARTHUR HENRIQUE ALVARENGA LAGE</v>
      </c>
      <c r="F1301" s="92"/>
      <c r="G1301" s="89">
        <f>IFERROR(__xludf.DUMMYFUNCTION("""COMPUTED_VALUE"""),4.0196275E7)</f>
        <v>40196275</v>
      </c>
      <c r="H1301" s="87"/>
      <c r="I1301" s="87"/>
    </row>
    <row r="1302">
      <c r="A1302" s="84">
        <f>IFERROR(__xludf.DUMMYFUNCTION("""COMPUTED_VALUE"""),1302.0)</f>
        <v>1302</v>
      </c>
      <c r="B1302" s="85" t="str">
        <f>IFERROR(__xludf.DUMMYFUNCTION("""COMPUTED_VALUE"""),"CAPACETE PARA COMBATE INCENDIO -")</f>
        <v>CAPACETE PARA COMBATE INCENDIO -</v>
      </c>
      <c r="C1302" s="86">
        <f>IFERROR(__xludf.DUMMYFUNCTION("""COMPUTED_VALUE"""),1.0)</f>
        <v>1</v>
      </c>
      <c r="D1302" s="87" t="str">
        <f>IFERROR(__xludf.DUMMYFUNCTION("""COMPUTED_VALUE"""),"MILITAR")</f>
        <v>MILITAR</v>
      </c>
      <c r="E1302" s="87" t="str">
        <f>IFERROR(__xludf.DUMMYFUNCTION("""COMPUTED_VALUE"""),"2 - PATRÍCIO SANTOS CHAMONE")</f>
        <v>2 - PATRÍCIO SANTOS CHAMONE</v>
      </c>
      <c r="F1302" s="92"/>
      <c r="G1302" s="89">
        <f>IFERROR(__xludf.DUMMYFUNCTION("""COMPUTED_VALUE"""),7.6802876E7)</f>
        <v>76802876</v>
      </c>
      <c r="H1302" s="87"/>
      <c r="I1302" s="87" t="str">
        <f>IFERROR(__xludf.DUMMYFUNCTION("""COMPUTED_VALUE"""),"NÃO CONSTA NA CARGA ATUAL 25/09/24")</f>
        <v>NÃO CONSTA NA CARGA ATUAL 25/09/24</v>
      </c>
    </row>
    <row r="1303">
      <c r="A1303" s="84">
        <f>IFERROR(__xludf.DUMMYFUNCTION("""COMPUTED_VALUE"""),1303.0)</f>
        <v>1303</v>
      </c>
      <c r="B1303" s="85" t="str">
        <f>IFERROR(__xludf.DUMMYFUNCTION("""COMPUTED_VALUE"""),"CAPACETE PARA COMBATE INCENDIO -")</f>
        <v>CAPACETE PARA COMBATE INCENDIO -</v>
      </c>
      <c r="C1303" s="86">
        <f>IFERROR(__xludf.DUMMYFUNCTION("""COMPUTED_VALUE"""),1.0)</f>
        <v>1</v>
      </c>
      <c r="D1303" s="87" t="str">
        <f>IFERROR(__xludf.DUMMYFUNCTION("""COMPUTED_VALUE"""),"MILITAR")</f>
        <v>MILITAR</v>
      </c>
      <c r="E1303" s="87" t="str">
        <f>IFERROR(__xludf.DUMMYFUNCTION("""COMPUTED_VALUE"""),"2 - ASP PAULO VITOR MARTINELLI CUNHA")</f>
        <v>2 - ASP PAULO VITOR MARTINELLI CUNHA</v>
      </c>
      <c r="F1303" s="92"/>
      <c r="G1303" s="89">
        <f>IFERROR(__xludf.DUMMYFUNCTION("""COMPUTED_VALUE"""),7.6905896E7)</f>
        <v>76905896</v>
      </c>
      <c r="H1303" s="87"/>
      <c r="I1303" s="87"/>
    </row>
    <row r="1304">
      <c r="A1304" s="84">
        <f>IFERROR(__xludf.DUMMYFUNCTION("""COMPUTED_VALUE"""),1304.0)</f>
        <v>1304</v>
      </c>
      <c r="B1304" s="85" t="str">
        <f>IFERROR(__xludf.DUMMYFUNCTION("""COMPUTED_VALUE"""),"CAPACETE PARA COMBATE INCENDIO -")</f>
        <v>CAPACETE PARA COMBATE INCENDIO -</v>
      </c>
      <c r="C1304" s="86">
        <f>IFERROR(__xludf.DUMMYFUNCTION("""COMPUTED_VALUE"""),1.0)</f>
        <v>1</v>
      </c>
      <c r="D1304" s="87" t="str">
        <f>IFERROR(__xludf.DUMMYFUNCTION("""COMPUTED_VALUE"""),"MILITAR")</f>
        <v>MILITAR</v>
      </c>
      <c r="E1304" s="87" t="str">
        <f>IFERROR(__xludf.DUMMYFUNCTION("""COMPUTED_VALUE"""),"2 - SD LUCAS CARVALHO DE ALMEIDA")</f>
        <v>2 - SD LUCAS CARVALHO DE ALMEIDA</v>
      </c>
      <c r="F1304" s="92"/>
      <c r="G1304" s="89">
        <f>IFERROR(__xludf.DUMMYFUNCTION("""COMPUTED_VALUE"""),7.6909417E7)</f>
        <v>76909417</v>
      </c>
      <c r="H1304" s="87"/>
      <c r="I1304" s="87" t="str">
        <f>IFERROR(__xludf.DUMMYFUNCTION("""COMPUTED_VALUE"""),"NÃO CONSTA NA CARGA ATUAL 25/09/24")</f>
        <v>NÃO CONSTA NA CARGA ATUAL 25/09/24</v>
      </c>
    </row>
    <row r="1305">
      <c r="A1305" s="84">
        <f>IFERROR(__xludf.DUMMYFUNCTION("""COMPUTED_VALUE"""),1305.0)</f>
        <v>1305</v>
      </c>
      <c r="B1305" s="85" t="str">
        <f>IFERROR(__xludf.DUMMYFUNCTION("""COMPUTED_VALUE"""),"AMBULANCIA -")</f>
        <v>AMBULANCIA -</v>
      </c>
      <c r="C1305" s="86">
        <f>IFERROR(__xludf.DUMMYFUNCTION("""COMPUTED_VALUE"""),1.0)</f>
        <v>1</v>
      </c>
      <c r="D1305" s="87" t="str">
        <f>IFERROR(__xludf.DUMMYFUNCTION("""COMPUTED_VALUE"""),"VIATURA")</f>
        <v>VIATURA</v>
      </c>
      <c r="E1305" s="87" t="str">
        <f>IFERROR(__xludf.DUMMYFUNCTION("""COMPUTED_VALUE"""),"1 - UR5527")</f>
        <v>1 - UR5527</v>
      </c>
      <c r="F1305" s="92"/>
      <c r="G1305" s="89">
        <f>IFERROR(__xludf.DUMMYFUNCTION("""COMPUTED_VALUE"""),7.6874265E7)</f>
        <v>76874265</v>
      </c>
      <c r="H1305" s="87" t="str">
        <f>IFERROR(__xludf.DUMMYFUNCTION("""COMPUTED_VALUE"""),"93YF62006RJ667375")</f>
        <v>93YF62006RJ667375</v>
      </c>
      <c r="I1305" s="87" t="str">
        <f>IFERROR(__xludf.DUMMYFUNCTION("""COMPUTED_VALUE"""),"URQXW5527 AMBULANCIA - PORTE: GRANDE PORTE, MAXIMO 6000 MM; FINALIDADE: ATENDIMENTO PRE-HOSPITALAR; NUMERO DE MACAS: 01; MOTORIZACAO: MINIMA DE 2100 CC; COR: CONFORME LINHA DE PRODUCAO E DEFINIDA EM EDITAL; COMBUSTIVEL: DIESEL;")</f>
        <v>URQXW5527 AMBULANCIA - PORTE: GRANDE PORTE, MAXIMO 6000 MM; FINALIDADE: ATENDIMENTO PRE-HOSPITALAR; NUMERO DE MACAS: 01; MOTORIZACAO: MINIMA DE 2100 CC; COR: CONFORME LINHA DE PRODUCAO E DEFINIDA EM EDITAL; COMBUSTIVEL: DIESEL;</v>
      </c>
    </row>
    <row r="1306">
      <c r="A1306" s="84">
        <f>IFERROR(__xludf.DUMMYFUNCTION("""COMPUTED_VALUE"""),1306.0)</f>
        <v>1306</v>
      </c>
      <c r="B1306" s="85" t="str">
        <f>IFERROR(__xludf.DUMMYFUNCTION("""COMPUTED_VALUE"""),"SOPRADOR")</f>
        <v>SOPRADOR</v>
      </c>
      <c r="C1306" s="86">
        <f>IFERROR(__xludf.DUMMYFUNCTION("""COMPUTED_VALUE"""),1.0)</f>
        <v>1</v>
      </c>
      <c r="D1306" s="87" t="str">
        <f>IFERROR(__xludf.DUMMYFUNCTION("""COMPUTED_VALUE"""),"SEÇÃO")</f>
        <v>SEÇÃO</v>
      </c>
      <c r="E1306" s="87" t="str">
        <f>IFERROR(__xludf.DUMMYFUNCTION("""COMPUTED_VALUE"""),"3 - CURVELO")</f>
        <v>3 - CURVELO</v>
      </c>
      <c r="F1306" s="92"/>
      <c r="G1306" s="89">
        <f>IFERROR(__xludf.DUMMYFUNCTION("""COMPUTED_VALUE"""),7.6892948E7)</f>
        <v>76892948</v>
      </c>
      <c r="H1306" s="87"/>
      <c r="I1306" s="87" t="str">
        <f>IFERROR(__xludf.DUMMYFUNCTION("""COMPUTED_VALUE"""),"SOPRADOR - TIPO: A GASOLINA; POTENCIA: MINIMA DE 3 KW E 64,8 CILINDRADAS; VAZAO DE AR: MINIMA 1700 M3/H E MAXIMA 1720 M3/H; TEMPERATURA: NAO APLICAVEL; ALIMENTACAO: MOTOR DE 02 TEMPOS A GASOLINA;")</f>
        <v>SOPRADOR - TIPO: A GASOLINA; POTENCIA: MINIMA DE 3 KW E 64,8 CILINDRADAS; VAZAO DE AR: MINIMA 1700 M3/H E MAXIMA 1720 M3/H; TEMPERATURA: NAO APLICAVEL; ALIMENTACAO: MOTOR DE 02 TEMPOS A GASOLINA;</v>
      </c>
    </row>
    <row r="1307">
      <c r="A1307" s="84">
        <f>IFERROR(__xludf.DUMMYFUNCTION("""COMPUTED_VALUE"""),1307.0)</f>
        <v>1307</v>
      </c>
      <c r="B1307" s="85" t="str">
        <f>IFERROR(__xludf.DUMMYFUNCTION("""COMPUTED_VALUE"""),"CAPACETE PARA COMBATE INCENDIO -")</f>
        <v>CAPACETE PARA COMBATE INCENDIO -</v>
      </c>
      <c r="C1307" s="86">
        <f>IFERROR(__xludf.DUMMYFUNCTION("""COMPUTED_VALUE"""),1.0)</f>
        <v>1</v>
      </c>
      <c r="D1307" s="87" t="str">
        <f>IFERROR(__xludf.DUMMYFUNCTION("""COMPUTED_VALUE"""),"MILITAR")</f>
        <v>MILITAR</v>
      </c>
      <c r="E1307" s="87" t="str">
        <f>IFERROR(__xludf.DUMMYFUNCTION("""COMPUTED_VALUE"""),"2 - SUBTEN DAWISON MAIA FERNANDES")</f>
        <v>2 - SUBTEN DAWISON MAIA FERNANDES</v>
      </c>
      <c r="F1307" s="92"/>
      <c r="G1307" s="89">
        <f>IFERROR(__xludf.DUMMYFUNCTION("""COMPUTED_VALUE"""),1.0106389E8)</f>
        <v>101063890</v>
      </c>
      <c r="H1307" s="87"/>
      <c r="I1307" s="87"/>
    </row>
    <row r="1308">
      <c r="A1308" s="84">
        <f>IFERROR(__xludf.DUMMYFUNCTION("""COMPUTED_VALUE"""),1308.0)</f>
        <v>1308</v>
      </c>
      <c r="B1308" s="85" t="str">
        <f>IFERROR(__xludf.DUMMYFUNCTION("""COMPUTED_VALUE"""),"CAPACETE PARA COMBATE INCENDIO -")</f>
        <v>CAPACETE PARA COMBATE INCENDIO -</v>
      </c>
      <c r="C1308" s="86">
        <f>IFERROR(__xludf.DUMMYFUNCTION("""COMPUTED_VALUE"""),1.0)</f>
        <v>1</v>
      </c>
      <c r="D1308" s="87" t="str">
        <f>IFERROR(__xludf.DUMMYFUNCTION("""COMPUTED_VALUE"""),"MILITAR")</f>
        <v>MILITAR</v>
      </c>
      <c r="E1308" s="87" t="str">
        <f>IFERROR(__xludf.DUMMYFUNCTION("""COMPUTED_VALUE"""),"2 - 3º SGT WEISMAN RODRIGUES FERREIRA")</f>
        <v>2 - 3º SGT WEISMAN RODRIGUES FERREIRA</v>
      </c>
      <c r="F1308" s="92"/>
      <c r="G1308" s="89">
        <f>IFERROR(__xludf.DUMMYFUNCTION("""COMPUTED_VALUE"""),1.01063911E8)</f>
        <v>101063911</v>
      </c>
      <c r="H1308" s="87"/>
      <c r="I1308" s="87"/>
    </row>
    <row r="1309">
      <c r="A1309" s="84">
        <f>IFERROR(__xludf.DUMMYFUNCTION("""COMPUTED_VALUE"""),1309.0)</f>
        <v>1309</v>
      </c>
      <c r="B1309" s="85" t="str">
        <f>IFERROR(__xludf.DUMMYFUNCTION("""COMPUTED_VALUE"""),"CAPACETE PARA COMBATE INCENDIO -")</f>
        <v>CAPACETE PARA COMBATE INCENDIO -</v>
      </c>
      <c r="C1309" s="86">
        <f>IFERROR(__xludf.DUMMYFUNCTION("""COMPUTED_VALUE"""),1.0)</f>
        <v>1</v>
      </c>
      <c r="D1309" s="87" t="str">
        <f>IFERROR(__xludf.DUMMYFUNCTION("""COMPUTED_VALUE"""),"MILITAR")</f>
        <v>MILITAR</v>
      </c>
      <c r="E1309" s="87" t="str">
        <f>IFERROR(__xludf.DUMMYFUNCTION("""COMPUTED_VALUE"""),"2 - 3º SGT GEOVANI RODRIGUES SIQUEIRA SOARES")</f>
        <v>2 - 3º SGT GEOVANI RODRIGUES SIQUEIRA SOARES</v>
      </c>
      <c r="F1309" s="92"/>
      <c r="G1309" s="89">
        <f>IFERROR(__xludf.DUMMYFUNCTION("""COMPUTED_VALUE"""),1.01063938E8)</f>
        <v>101063938</v>
      </c>
      <c r="H1309" s="87"/>
      <c r="I1309" s="87"/>
    </row>
    <row r="1310">
      <c r="A1310" s="84">
        <f>IFERROR(__xludf.DUMMYFUNCTION("""COMPUTED_VALUE"""),1310.0)</f>
        <v>1310</v>
      </c>
      <c r="B1310" s="85" t="str">
        <f>IFERROR(__xludf.DUMMYFUNCTION("""COMPUTED_VALUE"""),"CAPACETE PARA COMBATE INCENDIO -")</f>
        <v>CAPACETE PARA COMBATE INCENDIO -</v>
      </c>
      <c r="C1310" s="86">
        <f>IFERROR(__xludf.DUMMYFUNCTION("""COMPUTED_VALUE"""),1.0)</f>
        <v>1</v>
      </c>
      <c r="D1310" s="87" t="str">
        <f>IFERROR(__xludf.DUMMYFUNCTION("""COMPUTED_VALUE"""),"SEÇÃO")</f>
        <v>SEÇÃO</v>
      </c>
      <c r="E1310" s="87" t="str">
        <f>IFERROR(__xludf.DUMMYFUNCTION("""COMPUTED_VALUE"""),"3 - ALMOX. ESTOQUE")</f>
        <v>3 - ALMOX. ESTOQUE</v>
      </c>
      <c r="F1310" s="92" t="str">
        <f>IFERROR(__xludf.DUMMYFUNCTION("""COMPUTED_VALUE"""),"SAO")</f>
        <v>SAO</v>
      </c>
      <c r="G1310" s="89">
        <f>IFERROR(__xludf.DUMMYFUNCTION("""COMPUTED_VALUE"""),1.01063954E8)</f>
        <v>101063954</v>
      </c>
      <c r="H1310" s="87"/>
      <c r="I1310" s="87"/>
    </row>
    <row r="1311">
      <c r="A1311" s="84">
        <f>IFERROR(__xludf.DUMMYFUNCTION("""COMPUTED_VALUE"""),1311.0)</f>
        <v>1311</v>
      </c>
      <c r="B1311" s="85" t="str">
        <f>IFERROR(__xludf.DUMMYFUNCTION("""COMPUTED_VALUE"""),"CAPACETE PARA COMBATE INCENDIO -")</f>
        <v>CAPACETE PARA COMBATE INCENDIO -</v>
      </c>
      <c r="C1311" s="86">
        <f>IFERROR(__xludf.DUMMYFUNCTION("""COMPUTED_VALUE"""),1.0)</f>
        <v>1</v>
      </c>
      <c r="D1311" s="87" t="str">
        <f>IFERROR(__xludf.DUMMYFUNCTION("""COMPUTED_VALUE"""),"SEÇÃO")</f>
        <v>SEÇÃO</v>
      </c>
      <c r="E1311" s="87" t="str">
        <f>IFERROR(__xludf.DUMMYFUNCTION("""COMPUTED_VALUE"""),"3 - ALMOX. ESTOQUE")</f>
        <v>3 - ALMOX. ESTOQUE</v>
      </c>
      <c r="F1311" s="92" t="str">
        <f>IFERROR(__xludf.DUMMYFUNCTION("""COMPUTED_VALUE"""),"SAO")</f>
        <v>SAO</v>
      </c>
      <c r="G1311" s="89">
        <f>IFERROR(__xludf.DUMMYFUNCTION("""COMPUTED_VALUE"""),1.0106397E8)</f>
        <v>101063970</v>
      </c>
      <c r="H1311" s="87"/>
      <c r="I1311" s="87"/>
    </row>
    <row r="1312">
      <c r="A1312" s="84">
        <f>IFERROR(__xludf.DUMMYFUNCTION("""COMPUTED_VALUE"""),1312.0)</f>
        <v>1312</v>
      </c>
      <c r="B1312" s="85" t="str">
        <f>IFERROR(__xludf.DUMMYFUNCTION("""COMPUTED_VALUE"""),"CAPACETE PARA COMBATE INCENDIO -")</f>
        <v>CAPACETE PARA COMBATE INCENDIO -</v>
      </c>
      <c r="C1312" s="86">
        <f>IFERROR(__xludf.DUMMYFUNCTION("""COMPUTED_VALUE"""),1.0)</f>
        <v>1</v>
      </c>
      <c r="D1312" s="87" t="str">
        <f>IFERROR(__xludf.DUMMYFUNCTION("""COMPUTED_VALUE"""),"SEÇÃO")</f>
        <v>SEÇÃO</v>
      </c>
      <c r="E1312" s="87" t="str">
        <f>IFERROR(__xludf.DUMMYFUNCTION("""COMPUTED_VALUE"""),"3 - ALMOX. ESTOQUE")</f>
        <v>3 - ALMOX. ESTOQUE</v>
      </c>
      <c r="F1312" s="92" t="str">
        <f>IFERROR(__xludf.DUMMYFUNCTION("""COMPUTED_VALUE"""),"SAO")</f>
        <v>SAO</v>
      </c>
      <c r="G1312" s="89">
        <f>IFERROR(__xludf.DUMMYFUNCTION("""COMPUTED_VALUE"""),1.01063997E8)</f>
        <v>101063997</v>
      </c>
      <c r="H1312" s="87"/>
      <c r="I1312" s="87"/>
    </row>
    <row r="1313">
      <c r="A1313" s="84">
        <f>IFERROR(__xludf.DUMMYFUNCTION("""COMPUTED_VALUE"""),1313.0)</f>
        <v>1313</v>
      </c>
      <c r="B1313" s="85" t="str">
        <f>IFERROR(__xludf.DUMMYFUNCTION("""COMPUTED_VALUE"""),"CAPACETE PARA COMBATE INCENDIO -")</f>
        <v>CAPACETE PARA COMBATE INCENDIO -</v>
      </c>
      <c r="C1313" s="86">
        <f>IFERROR(__xludf.DUMMYFUNCTION("""COMPUTED_VALUE"""),1.0)</f>
        <v>1</v>
      </c>
      <c r="D1313" s="87" t="str">
        <f>IFERROR(__xludf.DUMMYFUNCTION("""COMPUTED_VALUE"""),"MILITAR")</f>
        <v>MILITAR</v>
      </c>
      <c r="E1313" s="87" t="str">
        <f>IFERROR(__xludf.DUMMYFUNCTION("""COMPUTED_VALUE"""),"2 - 1º TEN MATEUS FONTANA GOMES NEVES")</f>
        <v>2 - 1º TEN MATEUS FONTANA GOMES NEVES</v>
      </c>
      <c r="F1313" s="92"/>
      <c r="G1313" s="89">
        <f>IFERROR(__xludf.DUMMYFUNCTION("""COMPUTED_VALUE"""),7.6911012E7)</f>
        <v>76911012</v>
      </c>
      <c r="H1313" s="87"/>
      <c r="I1313" s="87"/>
    </row>
    <row r="1314">
      <c r="A1314" s="84">
        <f>IFERROR(__xludf.DUMMYFUNCTION("""COMPUTED_VALUE"""),1314.0)</f>
        <v>1314</v>
      </c>
      <c r="B1314" s="85" t="str">
        <f>IFERROR(__xludf.DUMMYFUNCTION("""COMPUTED_VALUE"""),"ESFIGMOMANOMETRO -")</f>
        <v>ESFIGMOMANOMETRO -</v>
      </c>
      <c r="C1314" s="86">
        <f>IFERROR(__xludf.DUMMYFUNCTION("""COMPUTED_VALUE"""),1.0)</f>
        <v>1</v>
      </c>
      <c r="D1314" s="87" t="str">
        <f>IFERROR(__xludf.DUMMYFUNCTION("""COMPUTED_VALUE"""),"SEÇÃO")</f>
        <v>SEÇÃO</v>
      </c>
      <c r="E1314" s="87" t="str">
        <f>IFERROR(__xludf.DUMMYFUNCTION("""COMPUTED_VALUE"""),"3 - ALMOX. ESTOQUE")</f>
        <v>3 - ALMOX. ESTOQUE</v>
      </c>
      <c r="F1314" s="92" t="str">
        <f>IFERROR(__xludf.DUMMYFUNCTION("""COMPUTED_VALUE"""),"ALMOX. APH")</f>
        <v>ALMOX. APH</v>
      </c>
      <c r="G1314" s="89">
        <f>IFERROR(__xludf.DUMMYFUNCTION("""COMPUTED_VALUE"""),7.690189E7)</f>
        <v>76901890</v>
      </c>
      <c r="H1314" s="87" t="str">
        <f>IFERROR(__xludf.DUMMYFUNCTION("""COMPUTED_VALUE"""),"ok")</f>
        <v>ok</v>
      </c>
      <c r="I1314" s="87" t="str">
        <f>IFERROR(__xludf.DUMMYFUNCTION("""COMPUTED_VALUE"""),"EXTRA GRANDE - transferido para o 1º BBM")</f>
        <v>EXTRA GRANDE - transferido para o 1º BBM</v>
      </c>
    </row>
    <row r="1315">
      <c r="A1315" s="84">
        <f>IFERROR(__xludf.DUMMYFUNCTION("""COMPUTED_VALUE"""),1315.0)</f>
        <v>1315</v>
      </c>
      <c r="B1315" s="85" t="str">
        <f>IFERROR(__xludf.DUMMYFUNCTION("""COMPUTED_VALUE"""),"CAMBÃO - CAPTURA DE ANIMAIS ")</f>
        <v>CAMBÃO - CAPTURA DE ANIMAIS </v>
      </c>
      <c r="C1315" s="86">
        <f>IFERROR(__xludf.DUMMYFUNCTION("""COMPUTED_VALUE"""),1.0)</f>
        <v>1</v>
      </c>
      <c r="D1315" s="87" t="str">
        <f>IFERROR(__xludf.DUMMYFUNCTION("""COMPUTED_VALUE"""),"SEÇÃO")</f>
        <v>SEÇÃO</v>
      </c>
      <c r="E1315" s="87" t="str">
        <f>IFERROR(__xludf.DUMMYFUNCTION("""COMPUTED_VALUE"""),"3 - ALMOX. ESTOQUE")</f>
        <v>3 - ALMOX. ESTOQUE</v>
      </c>
      <c r="F1315" s="92" t="str">
        <f>IFERROR(__xludf.DUMMYFUNCTION("""COMPUTED_VALUE"""),"SAO")</f>
        <v>SAO</v>
      </c>
      <c r="G1315" s="89">
        <f>IFERROR(__xludf.DUMMYFUNCTION("""COMPUTED_VALUE"""),7.6904881E7)</f>
        <v>76904881</v>
      </c>
      <c r="H1315" s="87"/>
      <c r="I1315" s="87"/>
    </row>
    <row r="1316">
      <c r="A1316" s="84">
        <f>IFERROR(__xludf.DUMMYFUNCTION("""COMPUTED_VALUE"""),1316.0)</f>
        <v>1316</v>
      </c>
      <c r="B1316" s="85" t="str">
        <f>IFERROR(__xludf.DUMMYFUNCTION("""COMPUTED_VALUE"""),"CAMBÃO - CAPTURA DE ANIMAIS ")</f>
        <v>CAMBÃO - CAPTURA DE ANIMAIS </v>
      </c>
      <c r="C1316" s="86">
        <f>IFERROR(__xludf.DUMMYFUNCTION("""COMPUTED_VALUE"""),1.0)</f>
        <v>1</v>
      </c>
      <c r="D1316" s="87" t="str">
        <f>IFERROR(__xludf.DUMMYFUNCTION("""COMPUTED_VALUE"""),"SEÇÃO")</f>
        <v>SEÇÃO</v>
      </c>
      <c r="E1316" s="87" t="str">
        <f>IFERROR(__xludf.DUMMYFUNCTION("""COMPUTED_VALUE"""),"3 - ALMOX. ESTOQUE")</f>
        <v>3 - ALMOX. ESTOQUE</v>
      </c>
      <c r="F1316" s="92" t="str">
        <f>IFERROR(__xludf.DUMMYFUNCTION("""COMPUTED_VALUE"""),"SAO")</f>
        <v>SAO</v>
      </c>
      <c r="G1316" s="89">
        <f>IFERROR(__xludf.DUMMYFUNCTION("""COMPUTED_VALUE"""),7.6904903E7)</f>
        <v>76904903</v>
      </c>
      <c r="H1316" s="87"/>
      <c r="I1316" s="87"/>
    </row>
    <row r="1317">
      <c r="A1317" s="84">
        <f>IFERROR(__xludf.DUMMYFUNCTION("""COMPUTED_VALUE"""),1317.0)</f>
        <v>1317</v>
      </c>
      <c r="B1317" s="85" t="str">
        <f>IFERROR(__xludf.DUMMYFUNCTION("""COMPUTED_VALUE"""),"MOTOR DE POPA -")</f>
        <v>MOTOR DE POPA -</v>
      </c>
      <c r="C1317" s="86">
        <f>IFERROR(__xludf.DUMMYFUNCTION("""COMPUTED_VALUE"""),1.0)</f>
        <v>1</v>
      </c>
      <c r="D1317" s="87" t="str">
        <f>IFERROR(__xludf.DUMMYFUNCTION("""COMPUTED_VALUE"""),"SEÇÃO")</f>
        <v>SEÇÃO</v>
      </c>
      <c r="E1317" s="87" t="str">
        <f>IFERROR(__xludf.DUMMYFUNCTION("""COMPUTED_VALUE"""),"3 - ALMOX. ESTOQUE")</f>
        <v>3 - ALMOX. ESTOQUE</v>
      </c>
      <c r="F1317" s="92" t="str">
        <f>IFERROR(__xludf.DUMMYFUNCTION("""COMPUTED_VALUE"""),"ALMOX. SAO (SEDE)")</f>
        <v>ALMOX. SAO (SEDE)</v>
      </c>
      <c r="G1317" s="89">
        <f>IFERROR(__xludf.DUMMYFUNCTION("""COMPUTED_VALUE"""),7.6875504E7)</f>
        <v>76875504</v>
      </c>
      <c r="H1317" s="87"/>
      <c r="I1317" s="87" t="str">
        <f>IFERROR(__xludf.DUMMYFUNCTION("""COMPUTED_VALUE"""),"MOTOR DE POPA - POTENCIA: 15 HP; TIPO: 2 TEMPOS; NUMERO DE PISTAO: 2 PISTOES; SISTEMA REFRIGERACAO: A AGUA COM TERMOSTATO; COMBUSTIVEL: GASOLINA;")</f>
        <v>MOTOR DE POPA - POTENCIA: 15 HP; TIPO: 2 TEMPOS; NUMERO DE PISTAO: 2 PISTOES; SISTEMA REFRIGERACAO: A AGUA COM TERMOSTATO; COMBUSTIVEL: GASOLINA;</v>
      </c>
    </row>
    <row r="1318">
      <c r="A1318" s="84">
        <f>IFERROR(__xludf.DUMMYFUNCTION("""COMPUTED_VALUE"""),1318.0)</f>
        <v>1318</v>
      </c>
      <c r="B1318" s="85" t="str">
        <f>IFERROR(__xludf.DUMMYFUNCTION("""COMPUTED_VALUE"""),"OXIMETRO -")</f>
        <v>OXIMETRO -</v>
      </c>
      <c r="C1318" s="86">
        <f>IFERROR(__xludf.DUMMYFUNCTION("""COMPUTED_VALUE"""),1.0)</f>
        <v>1</v>
      </c>
      <c r="D1318" s="87" t="str">
        <f>IFERROR(__xludf.DUMMYFUNCTION("""COMPUTED_VALUE"""),"SEÇÃO")</f>
        <v>SEÇÃO</v>
      </c>
      <c r="E1318" s="87" t="str">
        <f>IFERROR(__xludf.DUMMYFUNCTION("""COMPUTED_VALUE"""),"3 - CURVELO")</f>
        <v>3 - CURVELO</v>
      </c>
      <c r="F1318" s="92" t="str">
        <f>IFERROR(__xludf.DUMMYFUNCTION("""COMPUTED_VALUE"""),"ALMOX. APH")</f>
        <v>ALMOX. APH</v>
      </c>
      <c r="G1318" s="89">
        <f>IFERROR(__xludf.DUMMYFUNCTION("""COMPUTED_VALUE"""),7.6878074E7)</f>
        <v>76878074</v>
      </c>
      <c r="H1318" s="87"/>
      <c r="I1318" s="87" t="str">
        <f>IFERROR(__xludf.DUMMYFUNCTION("""COMPUTED_VALUE"""),"OXIMETRO - MODELO: DEDO; ADULTO E PEDIATRICO; ALIMENTACAO: PILHAS DE USO COMUM;")</f>
        <v>OXIMETRO - MODELO: DEDO; ADULTO E PEDIATRICO; ALIMENTACAO: PILHAS DE USO COMUM;</v>
      </c>
    </row>
    <row r="1319">
      <c r="A1319" s="84">
        <f>IFERROR(__xludf.DUMMYFUNCTION("""COMPUTED_VALUE"""),1319.0)</f>
        <v>1319</v>
      </c>
      <c r="B1319" s="85" t="str">
        <f>IFERROR(__xludf.DUMMYFUNCTION("""COMPUTED_VALUE""")," (KIT GUARANI) CONJ ACOPLAVEL A VEICULO, COMBATE INCENDIO -")</f>
        <v> (KIT GUARANI) CONJ ACOPLAVEL A VEICULO, COMBATE INCENDIO -</v>
      </c>
      <c r="C1319" s="86">
        <f>IFERROR(__xludf.DUMMYFUNCTION("""COMPUTED_VALUE"""),1.0)</f>
        <v>1</v>
      </c>
      <c r="D1319" s="87" t="str">
        <f>IFERROR(__xludf.DUMMYFUNCTION("""COMPUTED_VALUE"""),"VIATURA")</f>
        <v>VIATURA</v>
      </c>
      <c r="E1319" s="87" t="str">
        <f>IFERROR(__xludf.DUMMYFUNCTION("""COMPUTED_VALUE"""),"1 - ASL2285")</f>
        <v>1 - ASL2285</v>
      </c>
      <c r="F1319" s="92" t="str">
        <f>IFERROR(__xludf.DUMMYFUNCTION("""COMPUTED_VALUE"""),"CARROCERIA")</f>
        <v>CARROCERIA</v>
      </c>
      <c r="G1319" s="89">
        <f>IFERROR(__xludf.DUMMYFUNCTION("""COMPUTED_VALUE"""),7.6941493E7)</f>
        <v>76941493</v>
      </c>
      <c r="H1319" s="87" t="str">
        <f>IFERROR(__xludf.DUMMYFUNCTION("""COMPUTED_VALUE"""),"84248990")</f>
        <v>84248990</v>
      </c>
      <c r="I1319" s="87" t="str">
        <f>IFERROR(__xludf.DUMMYFUNCTION("""COMPUTED_VALUE"""),"KIT GUARANY")</f>
        <v>KIT GUARANY</v>
      </c>
    </row>
    <row r="1320">
      <c r="A1320" s="84">
        <f>IFERROR(__xludf.DUMMYFUNCTION("""COMPUTED_VALUE"""),1320.0)</f>
        <v>1320</v>
      </c>
      <c r="B1320" s="85" t="str">
        <f>IFERROR(__xludf.DUMMYFUNCTION("""COMPUTED_VALUE"""),"VIATURA CAMINHONETE -")</f>
        <v>VIATURA CAMINHONETE -</v>
      </c>
      <c r="C1320" s="86">
        <f>IFERROR(__xludf.DUMMYFUNCTION("""COMPUTED_VALUE"""),1.0)</f>
        <v>1</v>
      </c>
      <c r="D1320" s="87" t="str">
        <f>IFERROR(__xludf.DUMMYFUNCTION("""COMPUTED_VALUE"""),"VIATURA")</f>
        <v>VIATURA</v>
      </c>
      <c r="E1320" s="87" t="str">
        <f>IFERROR(__xludf.DUMMYFUNCTION("""COMPUTED_VALUE"""),"1 - ASL2285")</f>
        <v>1 - ASL2285</v>
      </c>
      <c r="F1320" s="92"/>
      <c r="G1320" s="89">
        <f>IFERROR(__xludf.DUMMYFUNCTION("""COMPUTED_VALUE"""),7.6897117E7)</f>
        <v>76897117</v>
      </c>
      <c r="H1320" s="87"/>
      <c r="I1320" s="87" t="str">
        <f>IFERROR(__xludf.DUMMYFUNCTION("""COMPUTED_VALUE"""),"PERTENCE AO PELOTÃO DE CURVELO")</f>
        <v>PERTENCE AO PELOTÃO DE CURVELO</v>
      </c>
    </row>
    <row r="1321">
      <c r="A1321" s="84">
        <f>IFERROR(__xludf.DUMMYFUNCTION("""COMPUTED_VALUE"""),1321.0)</f>
        <v>1321</v>
      </c>
      <c r="B1321" s="85" t="str">
        <f>IFERROR(__xludf.DUMMYFUNCTION("""COMPUTED_VALUE"""),"EQUIPAMENTO DE PROTEÇÃO RESPIRATÓRIO, COMPLETO -")</f>
        <v>EQUIPAMENTO DE PROTEÇÃO RESPIRATÓRIO, COMPLETO -</v>
      </c>
      <c r="C1321" s="86">
        <f>IFERROR(__xludf.DUMMYFUNCTION("""COMPUTED_VALUE"""),1.0)</f>
        <v>1</v>
      </c>
      <c r="D1321" s="87" t="str">
        <f>IFERROR(__xludf.DUMMYFUNCTION("""COMPUTED_VALUE"""),"SEÇÃO")</f>
        <v>SEÇÃO</v>
      </c>
      <c r="E1321" s="87" t="str">
        <f>IFERROR(__xludf.DUMMYFUNCTION("""COMPUTED_VALUE"""),"3 - DESCARGA")</f>
        <v>3 - DESCARGA</v>
      </c>
      <c r="F1321" s="92"/>
      <c r="G1321" s="89">
        <f>IFERROR(__xludf.DUMMYFUNCTION("""COMPUTED_VALUE"""),1.3739654E7)</f>
        <v>13739654</v>
      </c>
      <c r="H1321" s="87" t="str">
        <f>IFERROR(__xludf.DUMMYFUNCTION("""COMPUTED_VALUE"""),"N.S.115S1921027659")</f>
        <v>N.S.115S1921027659</v>
      </c>
      <c r="I1321" s="87" t="str">
        <f>IFERROR(__xludf.DUMMYFUNCTION("""COMPUTED_VALUE"""),"CONJUNTO COMPLETO (BACKPLAT, CILINDRO DE FIBRA, MASCARA, DEMANDA RESERVA.
MATERIAL DESCARREGADO - PROCESSO Nº 1400.01.0026473/2023-01")</f>
        <v>CONJUNTO COMPLETO (BACKPLAT, CILINDRO DE FIBRA, MASCARA, DEMANDA RESERVA.
MATERIAL DESCARREGADO - PROCESSO Nº 1400.01.0026473/2023-01</v>
      </c>
    </row>
    <row r="1322">
      <c r="A1322" s="84">
        <f>IFERROR(__xludf.DUMMYFUNCTION("""COMPUTED_VALUE"""),1322.0)</f>
        <v>1322</v>
      </c>
      <c r="B1322" s="85" t="str">
        <f>IFERROR(__xludf.DUMMYFUNCTION("""COMPUTED_VALUE"""),"EQUIPAMENTO DE PROTEÇÃO RESPIRATÓRIO, COMPLETO -")</f>
        <v>EQUIPAMENTO DE PROTEÇÃO RESPIRATÓRIO, COMPLETO -</v>
      </c>
      <c r="C1322" s="86">
        <f>IFERROR(__xludf.DUMMYFUNCTION("""COMPUTED_VALUE"""),1.0)</f>
        <v>1</v>
      </c>
      <c r="D1322" s="87" t="str">
        <f>IFERROR(__xludf.DUMMYFUNCTION("""COMPUTED_VALUE"""),"SEÇÃO")</f>
        <v>SEÇÃO</v>
      </c>
      <c r="E1322" s="87" t="str">
        <f>IFERROR(__xludf.DUMMYFUNCTION("""COMPUTED_VALUE"""),"3 - DESCARGA")</f>
        <v>3 - DESCARGA</v>
      </c>
      <c r="F1322" s="92"/>
      <c r="G1322" s="89">
        <f>IFERROR(__xludf.DUMMYFUNCTION("""COMPUTED_VALUE"""),1.373967E7)</f>
        <v>13739670</v>
      </c>
      <c r="H1322" s="87"/>
      <c r="I1322" s="87" t="str">
        <f>IFERROR(__xludf.DUMMYFUNCTION("""COMPUTED_VALUE"""),"MATERIAL DESCARREGADO - PROCESSO Nº 1400.01.0026473/2023-04")</f>
        <v>MATERIAL DESCARREGADO - PROCESSO Nº 1400.01.0026473/2023-04</v>
      </c>
    </row>
    <row r="1323">
      <c r="A1323" s="84">
        <f>IFERROR(__xludf.DUMMYFUNCTION("""COMPUTED_VALUE"""),1323.0)</f>
        <v>1323</v>
      </c>
      <c r="B1323" s="85" t="str">
        <f>IFERROR(__xludf.DUMMYFUNCTION("""COMPUTED_VALUE"""),"BEBEDOURO REFRIGERADO -")</f>
        <v>BEBEDOURO REFRIGERADO -</v>
      </c>
      <c r="C1323" s="86">
        <f>IFERROR(__xludf.DUMMYFUNCTION("""COMPUTED_VALUE"""),1.0)</f>
        <v>1</v>
      </c>
      <c r="D1323" s="87" t="str">
        <f>IFERROR(__xludf.DUMMYFUNCTION("""COMPUTED_VALUE"""),"SEÇÃO")</f>
        <v>SEÇÃO</v>
      </c>
      <c r="E1323" s="87" t="str">
        <f>IFERROR(__xludf.DUMMYFUNCTION("""COMPUTED_VALUE"""),"3 - ALMOX. ESTOQUE")</f>
        <v>3 - ALMOX. ESTOQUE</v>
      </c>
      <c r="F1323" s="92" t="str">
        <f>IFERROR(__xludf.DUMMYFUNCTION("""COMPUTED_VALUE"""),"SALA DO FUTEBOL (SEDE)")</f>
        <v>SALA DO FUTEBOL (SEDE)</v>
      </c>
      <c r="G1323" s="89">
        <f>IFERROR(__xludf.DUMMYFUNCTION("""COMPUTED_VALUE"""),1.01074972E8)</f>
        <v>101074972</v>
      </c>
      <c r="H1323" s="87"/>
      <c r="I1323" s="87" t="str">
        <f>IFERROR(__xludf.DUMMYFUNCTION("""COMPUTED_VALUE"""),"BEBEDOURO REFRIGERADO - TIPO: INDUSTRIAL; CAPACIDADE REFRIGERACAO: 50 LITROS;")</f>
        <v>BEBEDOURO REFRIGERADO - TIPO: INDUSTRIAL; CAPACIDADE REFRIGERACAO: 50 LITROS;</v>
      </c>
    </row>
    <row r="1324">
      <c r="A1324" s="84">
        <f>IFERROR(__xludf.DUMMYFUNCTION("""COMPUTED_VALUE"""),1324.0)</f>
        <v>1324</v>
      </c>
      <c r="B1324" s="85" t="str">
        <f>IFERROR(__xludf.DUMMYFUNCTION("""COMPUTED_VALUE"""),"BEBEDOURO REFRIGERADO -")</f>
        <v>BEBEDOURO REFRIGERADO -</v>
      </c>
      <c r="C1324" s="86">
        <f>IFERROR(__xludf.DUMMYFUNCTION("""COMPUTED_VALUE"""),1.0)</f>
        <v>1</v>
      </c>
      <c r="D1324" s="87" t="str">
        <f>IFERROR(__xludf.DUMMYFUNCTION("""COMPUTED_VALUE"""),"SEÇÃO")</f>
        <v>SEÇÃO</v>
      </c>
      <c r="E1324" s="87" t="str">
        <f>IFERROR(__xludf.DUMMYFUNCTION("""COMPUTED_VALUE"""),"3 - CURVELO")</f>
        <v>3 - CURVELO</v>
      </c>
      <c r="F1324" s="92"/>
      <c r="G1324" s="89">
        <f>IFERROR(__xludf.DUMMYFUNCTION("""COMPUTED_VALUE"""),1.0107498E8)</f>
        <v>101074980</v>
      </c>
      <c r="H1324" s="87"/>
      <c r="I1324" s="87" t="str">
        <f>IFERROR(__xludf.DUMMYFUNCTION("""COMPUTED_VALUE"""),"BEBEDOURO REFRIGERADO - TIPO: INDUSTRIAL; CAPACIDADE REFRIGERACAO: 50 LITROS; TRANSFERIR PARA CURVELO")</f>
        <v>BEBEDOURO REFRIGERADO - TIPO: INDUSTRIAL; CAPACIDADE REFRIGERACAO: 50 LITROS; TRANSFERIR PARA CURVELO</v>
      </c>
    </row>
    <row r="1325">
      <c r="A1325" s="84">
        <f>IFERROR(__xludf.DUMMYFUNCTION("""COMPUTED_VALUE"""),1325.0)</f>
        <v>1325</v>
      </c>
      <c r="B1325" s="85" t="str">
        <f>IFERROR(__xludf.DUMMYFUNCTION("""COMPUTED_VALUE"""),"CAPACETE PARA COMBATE INCENDIO -")</f>
        <v>CAPACETE PARA COMBATE INCENDIO -</v>
      </c>
      <c r="C1325" s="86">
        <f>IFERROR(__xludf.DUMMYFUNCTION("""COMPUTED_VALUE"""),1.0)</f>
        <v>1</v>
      </c>
      <c r="D1325" s="87" t="str">
        <f>IFERROR(__xludf.DUMMYFUNCTION("""COMPUTED_VALUE"""),"MILITAR")</f>
        <v>MILITAR</v>
      </c>
      <c r="E1325" s="87" t="str">
        <f>IFERROR(__xludf.DUMMYFUNCTION("""COMPUTED_VALUE"""),"2 - 2º SGT LUIS FERNANDO JOSÉ FERREIRA")</f>
        <v>2 - 2º SGT LUIS FERNANDO JOSÉ FERREIRA</v>
      </c>
      <c r="F1325" s="92"/>
      <c r="G1325" s="89">
        <f>IFERROR(__xludf.DUMMYFUNCTION("""COMPUTED_VALUE"""),1.01063903E8)</f>
        <v>101063903</v>
      </c>
      <c r="H1325" s="87"/>
      <c r="I1325" s="87"/>
    </row>
    <row r="1326">
      <c r="A1326" s="84">
        <f>IFERROR(__xludf.DUMMYFUNCTION("""COMPUTED_VALUE"""),1326.0)</f>
        <v>1326</v>
      </c>
      <c r="B1326" s="85" t="str">
        <f>IFERROR(__xludf.DUMMYFUNCTION("""COMPUTED_VALUE"""),"CAPACETE PARA COMBATE INCENDIO -")</f>
        <v>CAPACETE PARA COMBATE INCENDIO -</v>
      </c>
      <c r="C1326" s="86">
        <f>IFERROR(__xludf.DUMMYFUNCTION("""COMPUTED_VALUE"""),1.0)</f>
        <v>1</v>
      </c>
      <c r="D1326" s="87" t="str">
        <f>IFERROR(__xludf.DUMMYFUNCTION("""COMPUTED_VALUE"""),"MILITAR")</f>
        <v>MILITAR</v>
      </c>
      <c r="E1326" s="87" t="str">
        <f>IFERROR(__xludf.DUMMYFUNCTION("""COMPUTED_VALUE"""),"2 - 3º SGT REGINALDO AVELAR BARBOSA")</f>
        <v>2 - 3º SGT REGINALDO AVELAR BARBOSA</v>
      </c>
      <c r="F1326" s="92"/>
      <c r="G1326" s="89">
        <f>IFERROR(__xludf.DUMMYFUNCTION("""COMPUTED_VALUE"""),1.0106392E8)</f>
        <v>101063920</v>
      </c>
      <c r="H1326" s="87"/>
      <c r="I1326" s="87"/>
    </row>
    <row r="1327">
      <c r="A1327" s="84">
        <f>IFERROR(__xludf.DUMMYFUNCTION("""COMPUTED_VALUE"""),1327.0)</f>
        <v>1327</v>
      </c>
      <c r="B1327" s="85" t="str">
        <f>IFERROR(__xludf.DUMMYFUNCTION("""COMPUTED_VALUE"""),"CAPACETE PARA COMBATE INCENDIO -")</f>
        <v>CAPACETE PARA COMBATE INCENDIO -</v>
      </c>
      <c r="C1327" s="86">
        <f>IFERROR(__xludf.DUMMYFUNCTION("""COMPUTED_VALUE"""),1.0)</f>
        <v>1</v>
      </c>
      <c r="D1327" s="87" t="str">
        <f>IFERROR(__xludf.DUMMYFUNCTION("""COMPUTED_VALUE"""),"SEÇÃO")</f>
        <v>SEÇÃO</v>
      </c>
      <c r="E1327" s="87" t="str">
        <f>IFERROR(__xludf.DUMMYFUNCTION("""COMPUTED_VALUE"""),"3 - ALMOX. ESTOQUE")</f>
        <v>3 - ALMOX. ESTOQUE</v>
      </c>
      <c r="F1327" s="92" t="str">
        <f>IFERROR(__xludf.DUMMYFUNCTION("""COMPUTED_VALUE"""),"SAO")</f>
        <v>SAO</v>
      </c>
      <c r="G1327" s="89">
        <f>IFERROR(__xludf.DUMMYFUNCTION("""COMPUTED_VALUE"""),1.01063946E8)</f>
        <v>101063946</v>
      </c>
      <c r="H1327" s="87"/>
      <c r="I1327" s="87"/>
    </row>
    <row r="1328">
      <c r="A1328" s="84">
        <f>IFERROR(__xludf.DUMMYFUNCTION("""COMPUTED_VALUE"""),1328.0)</f>
        <v>1328</v>
      </c>
      <c r="B1328" s="85" t="str">
        <f>IFERROR(__xludf.DUMMYFUNCTION("""COMPUTED_VALUE"""),"CAPACETE PARA COMBATE INCENDIO -")</f>
        <v>CAPACETE PARA COMBATE INCENDIO -</v>
      </c>
      <c r="C1328" s="86">
        <f>IFERROR(__xludf.DUMMYFUNCTION("""COMPUTED_VALUE"""),1.0)</f>
        <v>1</v>
      </c>
      <c r="D1328" s="87" t="str">
        <f>IFERROR(__xludf.DUMMYFUNCTION("""COMPUTED_VALUE"""),"SEÇÃO")</f>
        <v>SEÇÃO</v>
      </c>
      <c r="E1328" s="87" t="str">
        <f>IFERROR(__xludf.DUMMYFUNCTION("""COMPUTED_VALUE"""),"3 - ALMOX. ESTOQUE")</f>
        <v>3 - ALMOX. ESTOQUE</v>
      </c>
      <c r="F1328" s="92" t="str">
        <f>IFERROR(__xludf.DUMMYFUNCTION("""COMPUTED_VALUE"""),"SAO")</f>
        <v>SAO</v>
      </c>
      <c r="G1328" s="89">
        <f>IFERROR(__xludf.DUMMYFUNCTION("""COMPUTED_VALUE"""),1.01063962E8)</f>
        <v>101063962</v>
      </c>
      <c r="H1328" s="87"/>
      <c r="I1328" s="87"/>
    </row>
    <row r="1329">
      <c r="A1329" s="84">
        <f>IFERROR(__xludf.DUMMYFUNCTION("""COMPUTED_VALUE"""),1329.0)</f>
        <v>1329</v>
      </c>
      <c r="B1329" s="85" t="str">
        <f>IFERROR(__xludf.DUMMYFUNCTION("""COMPUTED_VALUE"""),"CAPACETE PARA COMBATE INCENDIO -")</f>
        <v>CAPACETE PARA COMBATE INCENDIO -</v>
      </c>
      <c r="C1329" s="86">
        <f>IFERROR(__xludf.DUMMYFUNCTION("""COMPUTED_VALUE"""),1.0)</f>
        <v>1</v>
      </c>
      <c r="D1329" s="87" t="str">
        <f>IFERROR(__xludf.DUMMYFUNCTION("""COMPUTED_VALUE"""),"SEÇÃO")</f>
        <v>SEÇÃO</v>
      </c>
      <c r="E1329" s="87" t="str">
        <f>IFERROR(__xludf.DUMMYFUNCTION("""COMPUTED_VALUE"""),"3 - ALMOX. ESTOQUE")</f>
        <v>3 - ALMOX. ESTOQUE</v>
      </c>
      <c r="F1329" s="92" t="str">
        <f>IFERROR(__xludf.DUMMYFUNCTION("""COMPUTED_VALUE"""),"SAO")</f>
        <v>SAO</v>
      </c>
      <c r="G1329" s="89">
        <f>IFERROR(__xludf.DUMMYFUNCTION("""COMPUTED_VALUE"""),1.01063989E8)</f>
        <v>101063989</v>
      </c>
      <c r="H1329" s="87"/>
      <c r="I1329" s="87"/>
    </row>
    <row r="1330">
      <c r="A1330" s="84">
        <f>IFERROR(__xludf.DUMMYFUNCTION("""COMPUTED_VALUE"""),1330.0)</f>
        <v>1330</v>
      </c>
      <c r="B1330" s="85" t="str">
        <f>IFERROR(__xludf.DUMMYFUNCTION("""COMPUTED_VALUE"""),"CAPACETE PARA COMBATE INCENDIO -")</f>
        <v>CAPACETE PARA COMBATE INCENDIO -</v>
      </c>
      <c r="C1330" s="86">
        <f>IFERROR(__xludf.DUMMYFUNCTION("""COMPUTED_VALUE"""),1.0)</f>
        <v>1</v>
      </c>
      <c r="D1330" s="87" t="str">
        <f>IFERROR(__xludf.DUMMYFUNCTION("""COMPUTED_VALUE"""),"SEÇÃO")</f>
        <v>SEÇÃO</v>
      </c>
      <c r="E1330" s="87" t="str">
        <f>IFERROR(__xludf.DUMMYFUNCTION("""COMPUTED_VALUE"""),"3 - ALMOX. ESTOQUE")</f>
        <v>3 - ALMOX. ESTOQUE</v>
      </c>
      <c r="F1330" s="92" t="str">
        <f>IFERROR(__xludf.DUMMYFUNCTION("""COMPUTED_VALUE"""),"SAO")</f>
        <v>SAO</v>
      </c>
      <c r="G1330" s="89">
        <f>IFERROR(__xludf.DUMMYFUNCTION("""COMPUTED_VALUE"""),1.01064004E8)</f>
        <v>101064004</v>
      </c>
      <c r="H1330" s="87"/>
      <c r="I1330" s="87"/>
    </row>
    <row r="1331">
      <c r="A1331" s="84">
        <f>IFERROR(__xludf.DUMMYFUNCTION("""COMPUTED_VALUE"""),1331.0)</f>
        <v>1331</v>
      </c>
      <c r="B1331" s="85" t="str">
        <f>IFERROR(__xludf.DUMMYFUNCTION("""COMPUTED_VALUE"""),"ESCADA PROLONGAVEL PARA ATIVIDADES BOMBEIRO -")</f>
        <v>ESCADA PROLONGAVEL PARA ATIVIDADES BOMBEIRO -</v>
      </c>
      <c r="C1331" s="86">
        <f>IFERROR(__xludf.DUMMYFUNCTION("""COMPUTED_VALUE"""),1.0)</f>
        <v>1</v>
      </c>
      <c r="D1331" s="87" t="str">
        <f>IFERROR(__xludf.DUMMYFUNCTION("""COMPUTED_VALUE"""),"VIATURA")</f>
        <v>VIATURA</v>
      </c>
      <c r="E1331" s="87" t="str">
        <f>IFERROR(__xludf.DUMMYFUNCTION("""COMPUTED_VALUE"""),"1 - ABTS5911")</f>
        <v>1 - ABTS5911</v>
      </c>
      <c r="F1331" s="92"/>
      <c r="G1331" s="89">
        <f>IFERROR(__xludf.DUMMYFUNCTION("""COMPUTED_VALUE"""),7.6878635E7)</f>
        <v>76878635</v>
      </c>
      <c r="H1331" s="87"/>
      <c r="I1331" s="87" t="str">
        <f>IFERROR(__xludf.DUMMYFUNCTION("""COMPUTED_VALUE"""),"FIBRA DE VIDRO; DEGRAU: ALUMINIO, LANCE: 02 LANCES DE 3,5 METROS;")</f>
        <v>FIBRA DE VIDRO; DEGRAU: ALUMINIO, LANCE: 02 LANCES DE 3,5 METROS;</v>
      </c>
    </row>
    <row r="1332">
      <c r="A1332" s="84">
        <f>IFERROR(__xludf.DUMMYFUNCTION("""COMPUTED_VALUE"""),1332.0)</f>
        <v>1332</v>
      </c>
      <c r="B1332" s="85" t="str">
        <f>IFERROR(__xludf.DUMMYFUNCTION("""COMPUTED_VALUE"""),"ESFIGMOMANOMETRO -")</f>
        <v>ESFIGMOMANOMETRO -</v>
      </c>
      <c r="C1332" s="86">
        <f>IFERROR(__xludf.DUMMYFUNCTION("""COMPUTED_VALUE"""),1.0)</f>
        <v>1</v>
      </c>
      <c r="D1332" s="87" t="str">
        <f>IFERROR(__xludf.DUMMYFUNCTION("""COMPUTED_VALUE"""),"SEÇÃO")</f>
        <v>SEÇÃO</v>
      </c>
      <c r="E1332" s="87" t="str">
        <f>IFERROR(__xludf.DUMMYFUNCTION("""COMPUTED_VALUE"""),"3 - ALMOX. ESTOQUE")</f>
        <v>3 - ALMOX. ESTOQUE</v>
      </c>
      <c r="F1332" s="92" t="str">
        <f>IFERROR(__xludf.DUMMYFUNCTION("""COMPUTED_VALUE"""),"ALMOX. APH")</f>
        <v>ALMOX. APH</v>
      </c>
      <c r="G1332" s="89">
        <f>IFERROR(__xludf.DUMMYFUNCTION("""COMPUTED_VALUE"""),7.6901904E7)</f>
        <v>76901904</v>
      </c>
      <c r="H1332" s="87" t="str">
        <f>IFERROR(__xludf.DUMMYFUNCTION("""COMPUTED_VALUE"""),"ok")</f>
        <v>ok</v>
      </c>
      <c r="I1332" s="87" t="str">
        <f>IFERROR(__xludf.DUMMYFUNCTION("""COMPUTED_VALUE"""),"EXTRA GRANDE ")</f>
        <v>EXTRA GRANDE </v>
      </c>
    </row>
    <row r="1333">
      <c r="A1333" s="84">
        <f>IFERROR(__xludf.DUMMYFUNCTION("""COMPUTED_VALUE"""),1333.0)</f>
        <v>1333</v>
      </c>
      <c r="B1333" s="85" t="str">
        <f>IFERROR(__xludf.DUMMYFUNCTION("""COMPUTED_VALUE"""),"CAMBÃO - CAPTURA DE ANIMAIS ")</f>
        <v>CAMBÃO - CAPTURA DE ANIMAIS </v>
      </c>
      <c r="C1333" s="86">
        <f>IFERROR(__xludf.DUMMYFUNCTION("""COMPUTED_VALUE"""),1.0)</f>
        <v>1</v>
      </c>
      <c r="D1333" s="87" t="str">
        <f>IFERROR(__xludf.DUMMYFUNCTION("""COMPUTED_VALUE"""),"SEÇÃO")</f>
        <v>SEÇÃO</v>
      </c>
      <c r="E1333" s="87" t="str">
        <f>IFERROR(__xludf.DUMMYFUNCTION("""COMPUTED_VALUE"""),"3 - ALMOX. ESTOQUE")</f>
        <v>3 - ALMOX. ESTOQUE</v>
      </c>
      <c r="F1333" s="92" t="str">
        <f>IFERROR(__xludf.DUMMYFUNCTION("""COMPUTED_VALUE"""),"ALMOX. SAO (SEDE)")</f>
        <v>ALMOX. SAO (SEDE)</v>
      </c>
      <c r="G1333" s="89">
        <f>IFERROR(__xludf.DUMMYFUNCTION("""COMPUTED_VALUE"""),7.6904873E7)</f>
        <v>76904873</v>
      </c>
      <c r="H1333" s="87"/>
      <c r="I1333" s="87" t="str">
        <f>IFERROR(__xludf.DUMMYFUNCTION("""COMPUTED_VALUE"""),"CONFECCIONADO EM ALUMINIO")</f>
        <v>CONFECCIONADO EM ALUMINIO</v>
      </c>
    </row>
    <row r="1334">
      <c r="A1334" s="84">
        <f>IFERROR(__xludf.DUMMYFUNCTION("""COMPUTED_VALUE"""),1334.0)</f>
        <v>1334</v>
      </c>
      <c r="B1334" s="85" t="str">
        <f>IFERROR(__xludf.DUMMYFUNCTION("""COMPUTED_VALUE"""),"CAMBÃO - CAPTURA DE ANIMAIS ")</f>
        <v>CAMBÃO - CAPTURA DE ANIMAIS </v>
      </c>
      <c r="C1334" s="86">
        <f>IFERROR(__xludf.DUMMYFUNCTION("""COMPUTED_VALUE"""),1.0)</f>
        <v>1</v>
      </c>
      <c r="D1334" s="87" t="str">
        <f>IFERROR(__xludf.DUMMYFUNCTION("""COMPUTED_VALUE"""),"SEÇÃO")</f>
        <v>SEÇÃO</v>
      </c>
      <c r="E1334" s="87" t="str">
        <f>IFERROR(__xludf.DUMMYFUNCTION("""COMPUTED_VALUE"""),"3 - ALMOX. ESTOQUE")</f>
        <v>3 - ALMOX. ESTOQUE</v>
      </c>
      <c r="F1334" s="92" t="str">
        <f>IFERROR(__xludf.DUMMYFUNCTION("""COMPUTED_VALUE"""),"ALMOX. SAO (SEDE)")</f>
        <v>ALMOX. SAO (SEDE)</v>
      </c>
      <c r="G1334" s="89">
        <f>IFERROR(__xludf.DUMMYFUNCTION("""COMPUTED_VALUE"""),7.690489E7)</f>
        <v>76904890</v>
      </c>
      <c r="H1334" s="87"/>
      <c r="I1334" s="87" t="str">
        <f>IFERROR(__xludf.DUMMYFUNCTION("""COMPUTED_VALUE"""),"CONFECCIONADO EM ALUMINIO")</f>
        <v>CONFECCIONADO EM ALUMINIO</v>
      </c>
    </row>
    <row r="1335">
      <c r="A1335" s="84">
        <f>IFERROR(__xludf.DUMMYFUNCTION("""COMPUTED_VALUE"""),1335.0)</f>
        <v>1335</v>
      </c>
      <c r="B1335" s="85" t="str">
        <f>IFERROR(__xludf.DUMMYFUNCTION("""COMPUTED_VALUE"""),"LANTERNA LUZ DE CENA -")</f>
        <v>LANTERNA LUZ DE CENA -</v>
      </c>
      <c r="C1335" s="86">
        <f>IFERROR(__xludf.DUMMYFUNCTION("""COMPUTED_VALUE"""),1.0)</f>
        <v>1</v>
      </c>
      <c r="D1335" s="87" t="str">
        <f>IFERROR(__xludf.DUMMYFUNCTION("""COMPUTED_VALUE"""),"SEÇÃO")</f>
        <v>SEÇÃO</v>
      </c>
      <c r="E1335" s="87" t="str">
        <f>IFERROR(__xludf.DUMMYFUNCTION("""COMPUTED_VALUE"""),"3 - SOU")</f>
        <v>3 - SOU</v>
      </c>
      <c r="F1335" s="92" t="str">
        <f>IFERROR(__xludf.DUMMYFUNCTION("""COMPUTED_VALUE"""),"SALA DE REDS")</f>
        <v>SALA DE REDS</v>
      </c>
      <c r="G1335" s="89">
        <f>IFERROR(__xludf.DUMMYFUNCTION("""COMPUTED_VALUE"""),7.6889629E7)</f>
        <v>76889629</v>
      </c>
      <c r="H1335" s="87"/>
      <c r="I1335" s="87" t="str">
        <f>IFERROR(__xludf.DUMMYFUNCTION("""COMPUTED_VALUE"""),"COR VERMELHA MARCA  MILWAUKEE. foi pago 2 baterias e um carregador")</f>
        <v>COR VERMELHA MARCA  MILWAUKEE. foi pago 2 baterias e um carregador</v>
      </c>
    </row>
    <row r="1336">
      <c r="A1336" s="84">
        <f>IFERROR(__xludf.DUMMYFUNCTION("""COMPUTED_VALUE"""),1336.0)</f>
        <v>1336</v>
      </c>
      <c r="B1336" s="85" t="str">
        <f>IFERROR(__xludf.DUMMYFUNCTION("""COMPUTED_VALUE"""),"PRANCHA DE IMOBILIZACAO E TRANSPORTE -")</f>
        <v>PRANCHA DE IMOBILIZACAO E TRANSPORTE -</v>
      </c>
      <c r="C1336" s="86">
        <f>IFERROR(__xludf.DUMMYFUNCTION("""COMPUTED_VALUE"""),1.0)</f>
        <v>1</v>
      </c>
      <c r="D1336" s="87" t="str">
        <f>IFERROR(__xludf.DUMMYFUNCTION("""COMPUTED_VALUE"""),"SEÇÃO")</f>
        <v>SEÇÃO</v>
      </c>
      <c r="E1336" s="87" t="str">
        <f>IFERROR(__xludf.DUMMYFUNCTION("""COMPUTED_VALUE"""),"3 - ALMOX. ESTOQUE")</f>
        <v>3 - ALMOX. ESTOQUE</v>
      </c>
      <c r="F1336" s="92" t="str">
        <f>IFERROR(__xludf.DUMMYFUNCTION("""COMPUTED_VALUE"""),"ALMOX. SAO (SEDE)")</f>
        <v>ALMOX. SAO (SEDE)</v>
      </c>
      <c r="G1336" s="89">
        <f>IFERROR(__xludf.DUMMYFUNCTION("""COMPUTED_VALUE"""),7.6878694E7)</f>
        <v>76878694</v>
      </c>
      <c r="H1336" s="87"/>
      <c r="I1336" s="87" t="str">
        <f>IFERROR(__xludf.DUMMYFUNCTION("""COMPUTED_VALUE"""),"COLHER, REGULAVEL E DOBRAVEL; MODELO: POLIETILENO E ALUMINIO")</f>
        <v>COLHER, REGULAVEL E DOBRAVEL; MODELO: POLIETILENO E ALUMINIO</v>
      </c>
    </row>
    <row r="1337">
      <c r="A1337" s="84">
        <f>IFERROR(__xludf.DUMMYFUNCTION("""COMPUTED_VALUE"""),1337.0)</f>
        <v>1337</v>
      </c>
      <c r="B1337" s="85" t="str">
        <f>IFERROR(__xludf.DUMMYFUNCTION("""COMPUTED_VALUE"""),"TELA DE PROJECAO -")</f>
        <v>TELA DE PROJECAO -</v>
      </c>
      <c r="C1337" s="86">
        <f>IFERROR(__xludf.DUMMYFUNCTION("""COMPUTED_VALUE"""),1.0)</f>
        <v>1</v>
      </c>
      <c r="D1337" s="87" t="str">
        <f>IFERROR(__xludf.DUMMYFUNCTION("""COMPUTED_VALUE"""),"SEÇÃO")</f>
        <v>SEÇÃO</v>
      </c>
      <c r="E1337" s="87" t="str">
        <f>IFERROR(__xludf.DUMMYFUNCTION("""COMPUTED_VALUE"""),"3 - ALMOX. ESTOQUE")</f>
        <v>3 - ALMOX. ESTOQUE</v>
      </c>
      <c r="F1337" s="92" t="str">
        <f>IFERROR(__xludf.DUMMYFUNCTION("""COMPUTED_VALUE"""),"SAO")</f>
        <v>SAO</v>
      </c>
      <c r="G1337" s="89">
        <f>IFERROR(__xludf.DUMMYFUNCTION("""COMPUTED_VALUE"""),7.6837564E7)</f>
        <v>76837564</v>
      </c>
      <c r="H1337" s="87"/>
      <c r="I1337" s="87" t="str">
        <f>IFERROR(__xludf.DUMMYFUNCTION("""COMPUTED_VALUE"""),"MEDIDAS: 180 X 240CM; 120 POLEGADAS 4:3")</f>
        <v>MEDIDAS: 180 X 240CM; 120 POLEGADAS 4:3</v>
      </c>
    </row>
    <row r="1338">
      <c r="A1338" s="84">
        <f>IFERROR(__xludf.DUMMYFUNCTION("""COMPUTED_VALUE"""),1338.0)</f>
        <v>1338</v>
      </c>
      <c r="B1338" s="85" t="str">
        <f>IFERROR(__xludf.DUMMYFUNCTION("""COMPUTED_VALUE"""),"NOTEBOOK,NETBOOK E/OU ULTRAFINO -")</f>
        <v>NOTEBOOK,NETBOOK E/OU ULTRAFINO -</v>
      </c>
      <c r="C1338" s="86">
        <f>IFERROR(__xludf.DUMMYFUNCTION("""COMPUTED_VALUE"""),1.0)</f>
        <v>1</v>
      </c>
      <c r="D1338" s="87" t="str">
        <f>IFERROR(__xludf.DUMMYFUNCTION("""COMPUTED_VALUE"""),"SEÇÃO")</f>
        <v>SEÇÃO</v>
      </c>
      <c r="E1338" s="87" t="str">
        <f>IFERROR(__xludf.DUMMYFUNCTION("""COMPUTED_VALUE"""),"3 - SUPRIMENTOS")</f>
        <v>3 - SUPRIMENTOS</v>
      </c>
      <c r="F1338" s="92"/>
      <c r="G1338" s="89">
        <f>IFERROR(__xludf.DUMMYFUNCTION("""COMPUTED_VALUE"""),7.6837653E7)</f>
        <v>76837653</v>
      </c>
      <c r="H1338" s="87" t="str">
        <f>IFERROR(__xludf.DUMMYFUNCTION("""COMPUTED_VALUE"""),"N.S PE0AT323")</f>
        <v>N.S PE0AT323</v>
      </c>
      <c r="I1338" s="87" t="str">
        <f>IFERROR(__xludf.DUMMYFUNCTION("""COMPUTED_VALUE"""),"notebook Ideapad 3 15ITL6 N.S PE0AT323 - Le Novo")</f>
        <v>notebook Ideapad 3 15ITL6 N.S PE0AT323 - Le Novo</v>
      </c>
    </row>
    <row r="1339">
      <c r="A1339" s="84">
        <f>IFERROR(__xludf.DUMMYFUNCTION("""COMPUTED_VALUE"""),1339.0)</f>
        <v>1339</v>
      </c>
      <c r="B1339" s="85" t="str">
        <f>IFERROR(__xludf.DUMMYFUNCTION("""COMPUTED_VALUE"""),"CAPACETE PARA COMBATE INCENDIO -")</f>
        <v>CAPACETE PARA COMBATE INCENDIO -</v>
      </c>
      <c r="C1339" s="86">
        <f>IFERROR(__xludf.DUMMYFUNCTION("""COMPUTED_VALUE"""),1.0)</f>
        <v>1</v>
      </c>
      <c r="D1339" s="87" t="str">
        <f>IFERROR(__xludf.DUMMYFUNCTION("""COMPUTED_VALUE"""),"MILITAR")</f>
        <v>MILITAR</v>
      </c>
      <c r="E1339" s="87" t="str">
        <f>IFERROR(__xludf.DUMMYFUNCTION("""COMPUTED_VALUE"""),"2 - SD THIAGO AZEVEDO DE FREITAS COSTA")</f>
        <v>2 - SD THIAGO AZEVEDO DE FREITAS COSTA</v>
      </c>
      <c r="F1339" s="92"/>
      <c r="G1339" s="89">
        <f>IFERROR(__xludf.DUMMYFUNCTION("""COMPUTED_VALUE"""),4.020202E7)</f>
        <v>40202020</v>
      </c>
      <c r="H1339" s="87"/>
      <c r="I1339" s="87"/>
    </row>
    <row r="1340">
      <c r="A1340" s="84">
        <f>IFERROR(__xludf.DUMMYFUNCTION("""COMPUTED_VALUE"""),1340.0)</f>
        <v>1340</v>
      </c>
      <c r="B1340" s="85" t="str">
        <f>IFERROR(__xludf.DUMMYFUNCTION("""COMPUTED_VALUE"""),"ESCADA DE FIBRA COM 02 GANCHOS")</f>
        <v>ESCADA DE FIBRA COM 02 GANCHOS</v>
      </c>
      <c r="C1340" s="86">
        <f>IFERROR(__xludf.DUMMYFUNCTION("""COMPUTED_VALUE"""),1.0)</f>
        <v>1</v>
      </c>
      <c r="D1340" s="87" t="str">
        <f>IFERROR(__xludf.DUMMYFUNCTION("""COMPUTED_VALUE"""),"VIATURA")</f>
        <v>VIATURA</v>
      </c>
      <c r="E1340" s="87" t="str">
        <f>IFERROR(__xludf.DUMMYFUNCTION("""COMPUTED_VALUE"""),"1 - ABTS1418")</f>
        <v>1 - ABTS1418</v>
      </c>
      <c r="F1340" s="92" t="str">
        <f>IFERROR(__xludf.DUMMYFUNCTION("""COMPUTED_VALUE"""),"BOX SUPERIOR 01")</f>
        <v>BOX SUPERIOR 01</v>
      </c>
      <c r="G1340" s="89">
        <f>IFERROR(__xludf.DUMMYFUNCTION("""COMPUTED_VALUE"""),4.0068684E7)</f>
        <v>40068684</v>
      </c>
      <c r="H1340" s="87"/>
      <c r="I1340" s="87"/>
    </row>
    <row r="1341">
      <c r="A1341" s="84">
        <f>IFERROR(__xludf.DUMMYFUNCTION("""COMPUTED_VALUE"""),1341.0)</f>
        <v>1341</v>
      </c>
      <c r="B1341" s="85" t="str">
        <f>IFERROR(__xludf.DUMMYFUNCTION("""COMPUTED_VALUE"""),"CAPACETE PARA COMBATE INCENDIO -")</f>
        <v>CAPACETE PARA COMBATE INCENDIO -</v>
      </c>
      <c r="C1341" s="86">
        <f>IFERROR(__xludf.DUMMYFUNCTION("""COMPUTED_VALUE"""),1.0)</f>
        <v>1</v>
      </c>
      <c r="D1341" s="87" t="str">
        <f>IFERROR(__xludf.DUMMYFUNCTION("""COMPUTED_VALUE"""),"MILITAR")</f>
        <v>MILITAR</v>
      </c>
      <c r="E1341" s="87" t="str">
        <f>IFERROR(__xludf.DUMMYFUNCTION("""COMPUTED_VALUE"""),"2 - 2º SGT DOUGLAS DOS ANJOS CHAGAS")</f>
        <v>2 - 2º SGT DOUGLAS DOS ANJOS CHAGAS</v>
      </c>
      <c r="F1341" s="92"/>
      <c r="G1341" s="89">
        <f>IFERROR(__xludf.DUMMYFUNCTION("""COMPUTED_VALUE"""),4.017811E7)</f>
        <v>40178110</v>
      </c>
      <c r="H1341" s="87"/>
      <c r="I1341" s="87" t="str">
        <f>IFERROR(__xludf.DUMMYFUNCTION("""COMPUTED_VALUE"""),"capacete SICOR, vermelho")</f>
        <v>capacete SICOR, vermelho</v>
      </c>
    </row>
    <row r="1342">
      <c r="A1342" s="84">
        <f>IFERROR(__xludf.DUMMYFUNCTION("""COMPUTED_VALUE"""),1342.0)</f>
        <v>1342</v>
      </c>
      <c r="B1342" s="85" t="str">
        <f>IFERROR(__xludf.DUMMYFUNCTION("""COMPUTED_VALUE"""),"ESFIGMOMANOMETRO -")</f>
        <v>ESFIGMOMANOMETRO -</v>
      </c>
      <c r="C1342" s="86">
        <f>IFERROR(__xludf.DUMMYFUNCTION("""COMPUTED_VALUE"""),1.0)</f>
        <v>1</v>
      </c>
      <c r="D1342" s="87" t="str">
        <f>IFERROR(__xludf.DUMMYFUNCTION("""COMPUTED_VALUE"""),"SEÇÃO")</f>
        <v>SEÇÃO</v>
      </c>
      <c r="E1342" s="87" t="str">
        <f>IFERROR(__xludf.DUMMYFUNCTION("""COMPUTED_VALUE"""),"3 - ALMOX. ESTOQUE")</f>
        <v>3 - ALMOX. ESTOQUE</v>
      </c>
      <c r="F1342" s="92" t="str">
        <f>IFERROR(__xludf.DUMMYFUNCTION("""COMPUTED_VALUE"""),"ALMOX. APH")</f>
        <v>ALMOX. APH</v>
      </c>
      <c r="G1342" s="89">
        <f>IFERROR(__xludf.DUMMYFUNCTION("""COMPUTED_VALUE"""),7.6753166E7)</f>
        <v>76753166</v>
      </c>
      <c r="H1342" s="87" t="str">
        <f>IFERROR(__xludf.DUMMYFUNCTION("""COMPUTED_VALUE"""),"L.032001-N.S.6128134")</f>
        <v>L.032001-N.S.6128134</v>
      </c>
      <c r="I1342" s="87" t="str">
        <f>IFERROR(__xludf.DUMMYFUNCTION("""COMPUTED_VALUE"""),"INFANTIL")</f>
        <v>INFANTIL</v>
      </c>
    </row>
    <row r="1343">
      <c r="A1343" s="84">
        <f>IFERROR(__xludf.DUMMYFUNCTION("""COMPUTED_VALUE"""),1343.0)</f>
        <v>1343</v>
      </c>
      <c r="B1343" s="85" t="str">
        <f>IFERROR(__xludf.DUMMYFUNCTION("""COMPUTED_VALUE"""),"ESFIGMOMANOMETRO -")</f>
        <v>ESFIGMOMANOMETRO -</v>
      </c>
      <c r="C1343" s="86">
        <f>IFERROR(__xludf.DUMMYFUNCTION("""COMPUTED_VALUE"""),1.0)</f>
        <v>1</v>
      </c>
      <c r="D1343" s="87" t="str">
        <f>IFERROR(__xludf.DUMMYFUNCTION("""COMPUTED_VALUE"""),"SEÇÃO")</f>
        <v>SEÇÃO</v>
      </c>
      <c r="E1343" s="87" t="str">
        <f>IFERROR(__xludf.DUMMYFUNCTION("""COMPUTED_VALUE"""),"3 - ALMOX. ESTOQUE")</f>
        <v>3 - ALMOX. ESTOQUE</v>
      </c>
      <c r="F1343" s="92" t="str">
        <f>IFERROR(__xludf.DUMMYFUNCTION("""COMPUTED_VALUE"""),"ALMOX. APH")</f>
        <v>ALMOX. APH</v>
      </c>
      <c r="G1343" s="89">
        <f>IFERROR(__xludf.DUMMYFUNCTION("""COMPUTED_VALUE"""),7.675314E7)</f>
        <v>76753140</v>
      </c>
      <c r="H1343" s="87" t="str">
        <f>IFERROR(__xludf.DUMMYFUNCTION("""COMPUTED_VALUE"""),"N.S.786903")</f>
        <v>N.S.786903</v>
      </c>
      <c r="I1343" s="87" t="str">
        <f>IFERROR(__xludf.DUMMYFUNCTION("""COMPUTED_VALUE"""),"INFANTIL")</f>
        <v>INFANTIL</v>
      </c>
    </row>
    <row r="1344">
      <c r="A1344" s="84">
        <f>IFERROR(__xludf.DUMMYFUNCTION("""COMPUTED_VALUE"""),1344.0)</f>
        <v>1344</v>
      </c>
      <c r="B1344" s="85" t="str">
        <f>IFERROR(__xludf.DUMMYFUNCTION("""COMPUTED_VALUE"""),"TENDA -")</f>
        <v>TENDA -</v>
      </c>
      <c r="C1344" s="86">
        <f>IFERROR(__xludf.DUMMYFUNCTION("""COMPUTED_VALUE"""),1.0)</f>
        <v>1</v>
      </c>
      <c r="D1344" s="87" t="str">
        <f>IFERROR(__xludf.DUMMYFUNCTION("""COMPUTED_VALUE"""),"SEÇÃO")</f>
        <v>SEÇÃO</v>
      </c>
      <c r="E1344" s="87" t="str">
        <f>IFERROR(__xludf.DUMMYFUNCTION("""COMPUTED_VALUE"""),"3 - SETOR DE MEIOS")</f>
        <v>3 - SETOR DE MEIOS</v>
      </c>
      <c r="F1344" s="92" t="str">
        <f>IFERROR(__xludf.DUMMYFUNCTION("""COMPUTED_VALUE"""),"MATERIAL DE MERGULHO")</f>
        <v>MATERIAL DE MERGULHO</v>
      </c>
      <c r="G1344" s="89">
        <f>IFERROR(__xludf.DUMMYFUNCTION("""COMPUTED_VALUE"""),4.0080935E7)</f>
        <v>40080935</v>
      </c>
      <c r="H1344" s="87"/>
      <c r="I1344" s="87"/>
    </row>
    <row r="1345">
      <c r="A1345" s="84">
        <f>IFERROR(__xludf.DUMMYFUNCTION("""COMPUTED_VALUE"""),1345.0)</f>
        <v>1345</v>
      </c>
      <c r="B1345" s="85" t="str">
        <f>IFERROR(__xludf.DUMMYFUNCTION("""COMPUTED_VALUE"""),"RÁDIO MÓVEL -")</f>
        <v>RÁDIO MÓVEL -</v>
      </c>
      <c r="C1345" s="86">
        <f>IFERROR(__xludf.DUMMYFUNCTION("""COMPUTED_VALUE"""),1.0)</f>
        <v>1</v>
      </c>
      <c r="D1345" s="87" t="str">
        <f>IFERROR(__xludf.DUMMYFUNCTION("""COMPUTED_VALUE"""),"SEÇÃO")</f>
        <v>SEÇÃO</v>
      </c>
      <c r="E1345" s="87" t="str">
        <f>IFERROR(__xludf.DUMMYFUNCTION("""COMPUTED_VALUE"""),"3 - GUARDA")</f>
        <v>3 - GUARDA</v>
      </c>
      <c r="F1345" s="92"/>
      <c r="G1345" s="89">
        <f>IFERROR(__xludf.DUMMYFUNCTION("""COMPUTED_VALUE"""),4.0263851E7)</f>
        <v>40263851</v>
      </c>
      <c r="H1345" s="87"/>
      <c r="I1345" s="87"/>
    </row>
    <row r="1346">
      <c r="A1346" s="84">
        <f>IFERROR(__xludf.DUMMYFUNCTION("""COMPUTED_VALUE"""),1346.0)</f>
        <v>1346</v>
      </c>
      <c r="B1346" s="85" t="str">
        <f>IFERROR(__xludf.DUMMYFUNCTION("""COMPUTED_VALUE"""),"RÁDIO PORTÁTIL -")</f>
        <v>RÁDIO PORTÁTIL -</v>
      </c>
      <c r="C1346" s="86">
        <f>IFERROR(__xludf.DUMMYFUNCTION("""COMPUTED_VALUE"""),1.0)</f>
        <v>1</v>
      </c>
      <c r="D1346" s="87" t="str">
        <f>IFERROR(__xludf.DUMMYFUNCTION("""COMPUTED_VALUE"""),"SEÇÃO")</f>
        <v>SEÇÃO</v>
      </c>
      <c r="E1346" s="87" t="str">
        <f>IFERROR(__xludf.DUMMYFUNCTION("""COMPUTED_VALUE"""),"3 - GUARDA")</f>
        <v>3 - GUARDA</v>
      </c>
      <c r="F1346" s="92"/>
      <c r="G1346" s="89">
        <f>IFERROR(__xludf.DUMMYFUNCTION("""COMPUTED_VALUE"""),7.6849775E7)</f>
        <v>76849775</v>
      </c>
      <c r="H1346" s="87" t="str">
        <f>IFERROR(__xludf.DUMMYFUNCTION("""COMPUTED_VALUE"""),"871IYJ0918")</f>
        <v>871IYJ0918</v>
      </c>
      <c r="I1346" s="87" t="str">
        <f>IFERROR(__xludf.DUMMYFUNCTION("""COMPUTED_VALUE"""),"MOTOROLA, Modelo: DGP 8550E, HT portátil")</f>
        <v>MOTOROLA, Modelo: DGP 8550E, HT portátil</v>
      </c>
    </row>
    <row r="1347">
      <c r="A1347" s="84">
        <f>IFERROR(__xludf.DUMMYFUNCTION("""COMPUTED_VALUE"""),1347.0)</f>
        <v>1347</v>
      </c>
      <c r="B1347" s="85" t="str">
        <f>IFERROR(__xludf.DUMMYFUNCTION("""COMPUTED_VALUE"""),"RADIO TRANSCEPTOR -")</f>
        <v>RADIO TRANSCEPTOR -</v>
      </c>
      <c r="C1347" s="86">
        <f>IFERROR(__xludf.DUMMYFUNCTION("""COMPUTED_VALUE"""),1.0)</f>
        <v>1</v>
      </c>
      <c r="D1347" s="87" t="str">
        <f>IFERROR(__xludf.DUMMYFUNCTION("""COMPUTED_VALUE"""),"SEÇÃO")</f>
        <v>SEÇÃO</v>
      </c>
      <c r="E1347" s="87" t="str">
        <f>IFERROR(__xludf.DUMMYFUNCTION("""COMPUTED_VALUE"""),"3 - SOU")</f>
        <v>3 - SOU</v>
      </c>
      <c r="F1347" s="92" t="str">
        <f>IFERROR(__xludf.DUMMYFUNCTION("""COMPUTED_VALUE"""),"SALA DE REDS")</f>
        <v>SALA DE REDS</v>
      </c>
      <c r="G1347" s="89">
        <f>IFERROR(__xludf.DUMMYFUNCTION("""COMPUTED_VALUE"""),7.6849805E7)</f>
        <v>76849805</v>
      </c>
      <c r="H1347" s="87" t="str">
        <f>IFERROR(__xludf.DUMMYFUNCTION("""COMPUTED_VALUE"""),"871IYJ0917")</f>
        <v>871IYJ0917</v>
      </c>
      <c r="I1347" s="87" t="str">
        <f>IFERROR(__xludf.DUMMYFUNCTION("""COMPUTED_VALUE"""),"MOTOROLA, Modelo: DGP 8550E, HT portátil")</f>
        <v>MOTOROLA, Modelo: DGP 8550E, HT portátil</v>
      </c>
    </row>
    <row r="1348">
      <c r="A1348" s="84">
        <f>IFERROR(__xludf.DUMMYFUNCTION("""COMPUTED_VALUE"""),1348.0)</f>
        <v>1348</v>
      </c>
      <c r="B1348" s="85" t="str">
        <f>IFERROR(__xludf.DUMMYFUNCTION("""COMPUTED_VALUE"""),"RADIO TRANSCEPTOR -")</f>
        <v>RADIO TRANSCEPTOR -</v>
      </c>
      <c r="C1348" s="86">
        <f>IFERROR(__xludf.DUMMYFUNCTION("""COMPUTED_VALUE"""),1.0)</f>
        <v>1</v>
      </c>
      <c r="D1348" s="87" t="str">
        <f>IFERROR(__xludf.DUMMYFUNCTION("""COMPUTED_VALUE"""),"SEÇÃO")</f>
        <v>SEÇÃO</v>
      </c>
      <c r="E1348" s="87" t="str">
        <f>IFERROR(__xludf.DUMMYFUNCTION("""COMPUTED_VALUE"""),"3 - SOU")</f>
        <v>3 - SOU</v>
      </c>
      <c r="F1348" s="92" t="str">
        <f>IFERROR(__xludf.DUMMYFUNCTION("""COMPUTED_VALUE"""),"SALA DE REDS")</f>
        <v>SALA DE REDS</v>
      </c>
      <c r="G1348" s="89">
        <f>IFERROR(__xludf.DUMMYFUNCTION("""COMPUTED_VALUE"""),7.684997E7)</f>
        <v>76849970</v>
      </c>
      <c r="H1348" s="87" t="str">
        <f>IFERROR(__xludf.DUMMYFUNCTION("""COMPUTED_VALUE"""),"871IYL3209")</f>
        <v>871IYL3209</v>
      </c>
      <c r="I1348" s="87" t="str">
        <f>IFERROR(__xludf.DUMMYFUNCTION("""COMPUTED_VALUE"""),"MOTOROLA, Modelo: DGP 8550E, HT portátil")</f>
        <v>MOTOROLA, Modelo: DGP 8550E, HT portátil</v>
      </c>
    </row>
    <row r="1349">
      <c r="A1349" s="84">
        <f>IFERROR(__xludf.DUMMYFUNCTION("""COMPUTED_VALUE"""),1349.0)</f>
        <v>1349</v>
      </c>
      <c r="B1349" s="85" t="str">
        <f>IFERROR(__xludf.DUMMYFUNCTION("""COMPUTED_VALUE"""),"RADIO TRANSCEPTOR -")</f>
        <v>RADIO TRANSCEPTOR -</v>
      </c>
      <c r="C1349" s="86">
        <f>IFERROR(__xludf.DUMMYFUNCTION("""COMPUTED_VALUE"""),1.0)</f>
        <v>1</v>
      </c>
      <c r="D1349" s="87" t="str">
        <f>IFERROR(__xludf.DUMMYFUNCTION("""COMPUTED_VALUE"""),"SEÇÃO")</f>
        <v>SEÇÃO</v>
      </c>
      <c r="E1349" s="87" t="str">
        <f>IFERROR(__xludf.DUMMYFUNCTION("""COMPUTED_VALUE"""),"3 - SOU")</f>
        <v>3 - SOU</v>
      </c>
      <c r="F1349" s="92" t="str">
        <f>IFERROR(__xludf.DUMMYFUNCTION("""COMPUTED_VALUE"""),"SALA DE REDS")</f>
        <v>SALA DE REDS</v>
      </c>
      <c r="G1349" s="89">
        <f>IFERROR(__xludf.DUMMYFUNCTION("""COMPUTED_VALUE"""),7.6849929E7)</f>
        <v>76849929</v>
      </c>
      <c r="H1349" s="87" t="str">
        <f>IFERROR(__xludf.DUMMYFUNCTION("""COMPUTED_VALUE"""),"871IYL3213")</f>
        <v>871IYL3213</v>
      </c>
      <c r="I1349" s="87" t="str">
        <f>IFERROR(__xludf.DUMMYFUNCTION("""COMPUTED_VALUE"""),"MOTOROLA, Modelo: DGP 8550E, HT portátil")</f>
        <v>MOTOROLA, Modelo: DGP 8550E, HT portátil</v>
      </c>
    </row>
    <row r="1350">
      <c r="A1350" s="84">
        <f>IFERROR(__xludf.DUMMYFUNCTION("""COMPUTED_VALUE"""),1350.0)</f>
        <v>1350</v>
      </c>
      <c r="B1350" s="85" t="str">
        <f>IFERROR(__xludf.DUMMYFUNCTION("""COMPUTED_VALUE"""),"RADIO TRANSCEPTOR -")</f>
        <v>RADIO TRANSCEPTOR -</v>
      </c>
      <c r="C1350" s="86">
        <f>IFERROR(__xludf.DUMMYFUNCTION("""COMPUTED_VALUE"""),1.0)</f>
        <v>1</v>
      </c>
      <c r="D1350" s="87" t="str">
        <f>IFERROR(__xludf.DUMMYFUNCTION("""COMPUTED_VALUE"""),"SEÇÃO")</f>
        <v>SEÇÃO</v>
      </c>
      <c r="E1350" s="87" t="str">
        <f>IFERROR(__xludf.DUMMYFUNCTION("""COMPUTED_VALUE"""),"3 - SOU")</f>
        <v>3 - SOU</v>
      </c>
      <c r="F1350" s="92" t="str">
        <f>IFERROR(__xludf.DUMMYFUNCTION("""COMPUTED_VALUE"""),"SALA DE REDS")</f>
        <v>SALA DE REDS</v>
      </c>
      <c r="G1350" s="89">
        <f>IFERROR(__xludf.DUMMYFUNCTION("""COMPUTED_VALUE"""),7.6849783E7)</f>
        <v>76849783</v>
      </c>
      <c r="H1350" s="87" t="str">
        <f>IFERROR(__xludf.DUMMYFUNCTION("""COMPUTED_VALUE"""),"871IYJ0823")</f>
        <v>871IYJ0823</v>
      </c>
      <c r="I1350" s="87" t="str">
        <f>IFERROR(__xludf.DUMMYFUNCTION("""COMPUTED_VALUE"""),"MOTOROLA, Modelo: DGP 8550E, HT portátil")</f>
        <v>MOTOROLA, Modelo: DGP 8550E, HT portátil</v>
      </c>
    </row>
    <row r="1351">
      <c r="A1351" s="84">
        <f>IFERROR(__xludf.DUMMYFUNCTION("""COMPUTED_VALUE"""),1351.0)</f>
        <v>1351</v>
      </c>
      <c r="B1351" s="85" t="str">
        <f>IFERROR(__xludf.DUMMYFUNCTION("""COMPUTED_VALUE"""),"RADIO TRANSCEPTOR -")</f>
        <v>RADIO TRANSCEPTOR -</v>
      </c>
      <c r="C1351" s="86">
        <f>IFERROR(__xludf.DUMMYFUNCTION("""COMPUTED_VALUE"""),1.0)</f>
        <v>1</v>
      </c>
      <c r="D1351" s="87" t="str">
        <f>IFERROR(__xludf.DUMMYFUNCTION("""COMPUTED_VALUE"""),"SEÇÃO")</f>
        <v>SEÇÃO</v>
      </c>
      <c r="E1351" s="87" t="str">
        <f>IFERROR(__xludf.DUMMYFUNCTION("""COMPUTED_VALUE"""),"3 - SOU")</f>
        <v>3 - SOU</v>
      </c>
      <c r="F1351" s="92" t="str">
        <f>IFERROR(__xludf.DUMMYFUNCTION("""COMPUTED_VALUE"""),"SALA DE REDS")</f>
        <v>SALA DE REDS</v>
      </c>
      <c r="G1351" s="89">
        <f>IFERROR(__xludf.DUMMYFUNCTION("""COMPUTED_VALUE"""),7.6849759E7)</f>
        <v>76849759</v>
      </c>
      <c r="H1351" s="87" t="str">
        <f>IFERROR(__xludf.DUMMYFUNCTION("""COMPUTED_VALUE"""),"871IYJ0863")</f>
        <v>871IYJ0863</v>
      </c>
      <c r="I1351" s="87" t="str">
        <f>IFERROR(__xludf.DUMMYFUNCTION("""COMPUTED_VALUE"""),"MOTOROLA, Modelo: DGP 8550E, HT portátil")</f>
        <v>MOTOROLA, Modelo: DGP 8550E, HT portátil</v>
      </c>
    </row>
    <row r="1352">
      <c r="A1352" s="84">
        <f>IFERROR(__xludf.DUMMYFUNCTION("""COMPUTED_VALUE"""),1352.0)</f>
        <v>1352</v>
      </c>
      <c r="B1352" s="85" t="str">
        <f>IFERROR(__xludf.DUMMYFUNCTION("""COMPUTED_VALUE"""),"CAPACETE PARA COMBATE INCENDIO -")</f>
        <v>CAPACETE PARA COMBATE INCENDIO -</v>
      </c>
      <c r="C1352" s="86">
        <f>IFERROR(__xludf.DUMMYFUNCTION("""COMPUTED_VALUE"""),1.0)</f>
        <v>1</v>
      </c>
      <c r="D1352" s="87" t="str">
        <f>IFERROR(__xludf.DUMMYFUNCTION("""COMPUTED_VALUE"""),"MILITAR")</f>
        <v>MILITAR</v>
      </c>
      <c r="E1352" s="87" t="str">
        <f>IFERROR(__xludf.DUMMYFUNCTION("""COMPUTED_VALUE"""),"2 - 2º SGT EDNEI ALVES DA SILVA")</f>
        <v>2 - 2º SGT EDNEI ALVES DA SILVA</v>
      </c>
      <c r="F1352" s="92"/>
      <c r="G1352" s="89">
        <f>IFERROR(__xludf.DUMMYFUNCTION("""COMPUTED_VALUE"""),4.0234231E7)</f>
        <v>40234231</v>
      </c>
      <c r="H1352" s="87"/>
      <c r="I1352" s="87" t="str">
        <f>IFERROR(__xludf.DUMMYFUNCTION("""COMPUTED_VALUE"""),"CAPACETE DE CIURB")</f>
        <v>CAPACETE DE CIURB</v>
      </c>
    </row>
    <row r="1353">
      <c r="A1353" s="84">
        <f>IFERROR(__xludf.DUMMYFUNCTION("""COMPUTED_VALUE"""),1353.0)</f>
        <v>1353</v>
      </c>
      <c r="B1353" s="85" t="str">
        <f>IFERROR(__xludf.DUMMYFUNCTION("""COMPUTED_VALUE"""),"LIQUIDIFICADOR")</f>
        <v>LIQUIDIFICADOR</v>
      </c>
      <c r="C1353" s="86">
        <f>IFERROR(__xludf.DUMMYFUNCTION("""COMPUTED_VALUE"""),1.0)</f>
        <v>1</v>
      </c>
      <c r="D1353" s="87" t="str">
        <f>IFERROR(__xludf.DUMMYFUNCTION("""COMPUTED_VALUE"""),"SEÇÃO")</f>
        <v>SEÇÃO</v>
      </c>
      <c r="E1353" s="87" t="str">
        <f>IFERROR(__xludf.DUMMYFUNCTION("""COMPUTED_VALUE"""),"3 - REFEITÓRIO (SEDE)")</f>
        <v>3 - REFEITÓRIO (SEDE)</v>
      </c>
      <c r="F1353" s="92"/>
      <c r="G1353" s="89">
        <f>IFERROR(__xludf.DUMMYFUNCTION("""COMPUTED_VALUE"""),7.6926176E7)</f>
        <v>76926176</v>
      </c>
      <c r="H1353" s="87"/>
      <c r="I1353" s="87" t="str">
        <f>IFERROR(__xludf.DUMMYFUNCTION("""COMPUTED_VALUE"""),"LIQUIDIFICADOR MONDIAL")</f>
        <v>LIQUIDIFICADOR MONDIAL</v>
      </c>
    </row>
    <row r="1354">
      <c r="A1354" s="84">
        <f>IFERROR(__xludf.DUMMYFUNCTION("""COMPUTED_VALUE"""),1354.0)</f>
        <v>1354</v>
      </c>
      <c r="B1354" s="85" t="str">
        <f>IFERROR(__xludf.DUMMYFUNCTION("""COMPUTED_VALUE"""),"LIQUIDIFICADOR")</f>
        <v>LIQUIDIFICADOR</v>
      </c>
      <c r="C1354" s="86">
        <f>IFERROR(__xludf.DUMMYFUNCTION("""COMPUTED_VALUE"""),1.0)</f>
        <v>1</v>
      </c>
      <c r="D1354" s="87" t="str">
        <f>IFERROR(__xludf.DUMMYFUNCTION("""COMPUTED_VALUE"""),"SEÇÃO")</f>
        <v>SEÇÃO</v>
      </c>
      <c r="E1354" s="87" t="str">
        <f>IFERROR(__xludf.DUMMYFUNCTION("""COMPUTED_VALUE"""),"3 - 1ª CIA OP")</f>
        <v>3 - 1ª CIA OP</v>
      </c>
      <c r="F1354" s="92" t="str">
        <f>IFERROR(__xludf.DUMMYFUNCTION("""COMPUTED_VALUE"""),"REFEITÓRIO (CIA OP)")</f>
        <v>REFEITÓRIO (CIA OP)</v>
      </c>
      <c r="G1354" s="89">
        <f>IFERROR(__xludf.DUMMYFUNCTION("""COMPUTED_VALUE"""),7.6926184E7)</f>
        <v>76926184</v>
      </c>
      <c r="H1354" s="87"/>
      <c r="I1354" s="87" t="str">
        <f>IFERROR(__xludf.DUMMYFUNCTION("""COMPUTED_VALUE"""),"LIQUIDIFICADOR MONDIAL")</f>
        <v>LIQUIDIFICADOR MONDIAL</v>
      </c>
    </row>
    <row r="1355">
      <c r="A1355" s="84">
        <f>IFERROR(__xludf.DUMMYFUNCTION("""COMPUTED_VALUE"""),1355.0)</f>
        <v>1355</v>
      </c>
      <c r="B1355" s="85" t="str">
        <f>IFERROR(__xludf.DUMMYFUNCTION("""COMPUTED_VALUE"""),"CADEIRA PARA ESCRITÓRIO TIPO DIRETOR")</f>
        <v>CADEIRA PARA ESCRITÓRIO TIPO DIRETOR</v>
      </c>
      <c r="C1355" s="86">
        <f>IFERROR(__xludf.DUMMYFUNCTION("""COMPUTED_VALUE"""),1.0)</f>
        <v>1</v>
      </c>
      <c r="D1355" s="87" t="str">
        <f>IFERROR(__xludf.DUMMYFUNCTION("""COMPUTED_VALUE"""),"SEÇÃO")</f>
        <v>SEÇÃO</v>
      </c>
      <c r="E1355" s="87" t="str">
        <f>IFERROR(__xludf.DUMMYFUNCTION("""COMPUTED_VALUE"""),"3 - SOU")</f>
        <v>3 - SOU</v>
      </c>
      <c r="F1355" s="92" t="str">
        <f>IFERROR(__xludf.DUMMYFUNCTION("""COMPUTED_VALUE"""),"SALA DE REDS")</f>
        <v>SALA DE REDS</v>
      </c>
      <c r="G1355" s="89">
        <f>IFERROR(__xludf.DUMMYFUNCTION("""COMPUTED_VALUE"""),7.6961494E7)</f>
        <v>76961494</v>
      </c>
      <c r="H1355" s="87"/>
      <c r="I1355" s="87"/>
    </row>
    <row r="1356">
      <c r="A1356" s="84">
        <f>IFERROR(__xludf.DUMMYFUNCTION("""COMPUTED_VALUE"""),1356.0)</f>
        <v>1356</v>
      </c>
      <c r="B1356" s="85" t="str">
        <f>IFERROR(__xludf.DUMMYFUNCTION("""COMPUTED_VALUE"""),"CADEIRA PARA ESCRITÓRIO TIPO DIRETOR")</f>
        <v>CADEIRA PARA ESCRITÓRIO TIPO DIRETOR</v>
      </c>
      <c r="C1356" s="86">
        <f>IFERROR(__xludf.DUMMYFUNCTION("""COMPUTED_VALUE"""),1.0)</f>
        <v>1</v>
      </c>
      <c r="D1356" s="87" t="str">
        <f>IFERROR(__xludf.DUMMYFUNCTION("""COMPUTED_VALUE"""),"SEÇÃO")</f>
        <v>SEÇÃO</v>
      </c>
      <c r="E1356" s="87" t="str">
        <f>IFERROR(__xludf.DUMMYFUNCTION("""COMPUTED_VALUE"""),"3 - SOU")</f>
        <v>3 - SOU</v>
      </c>
      <c r="F1356" s="92" t="str">
        <f>IFERROR(__xludf.DUMMYFUNCTION("""COMPUTED_VALUE"""),"SALA DE REDS")</f>
        <v>SALA DE REDS</v>
      </c>
      <c r="G1356" s="89">
        <f>IFERROR(__xludf.DUMMYFUNCTION("""COMPUTED_VALUE"""),7.6961508E7)</f>
        <v>76961508</v>
      </c>
      <c r="H1356" s="87"/>
      <c r="I1356" s="87"/>
    </row>
    <row r="1357">
      <c r="A1357" s="84">
        <f>IFERROR(__xludf.DUMMYFUNCTION("""COMPUTED_VALUE"""),1357.0)</f>
        <v>1357</v>
      </c>
      <c r="B1357" s="85" t="str">
        <f>IFERROR(__xludf.DUMMYFUNCTION("""COMPUTED_VALUE"""),"CADEIRA PARA ESCRITÓRIO TIPO DIRETOR")</f>
        <v>CADEIRA PARA ESCRITÓRIO TIPO DIRETOR</v>
      </c>
      <c r="C1357" s="86">
        <f>IFERROR(__xludf.DUMMYFUNCTION("""COMPUTED_VALUE"""),1.0)</f>
        <v>1</v>
      </c>
      <c r="D1357" s="87" t="str">
        <f>IFERROR(__xludf.DUMMYFUNCTION("""COMPUTED_VALUE"""),"SEÇÃO")</f>
        <v>SEÇÃO</v>
      </c>
      <c r="E1357" s="87" t="str">
        <f>IFERROR(__xludf.DUMMYFUNCTION("""COMPUTED_VALUE"""),"3 - SOU")</f>
        <v>3 - SOU</v>
      </c>
      <c r="F1357" s="92" t="str">
        <f>IFERROR(__xludf.DUMMYFUNCTION("""COMPUTED_VALUE"""),"SALA DE REDS")</f>
        <v>SALA DE REDS</v>
      </c>
      <c r="G1357" s="89">
        <f>IFERROR(__xludf.DUMMYFUNCTION("""COMPUTED_VALUE"""),7.6961516E7)</f>
        <v>76961516</v>
      </c>
      <c r="H1357" s="87"/>
      <c r="I1357" s="87"/>
    </row>
    <row r="1358">
      <c r="A1358" s="84">
        <f>IFERROR(__xludf.DUMMYFUNCTION("""COMPUTED_VALUE"""),1358.0)</f>
        <v>1358</v>
      </c>
      <c r="B1358" s="85" t="str">
        <f>IFERROR(__xludf.DUMMYFUNCTION("""COMPUTED_VALUE"""),"EQUIPAMENTO DE PROTEÇÃO RESPIRATÓRIO, COMPLETO -")</f>
        <v>EQUIPAMENTO DE PROTEÇÃO RESPIRATÓRIO, COMPLETO -</v>
      </c>
      <c r="C1358" s="86">
        <f>IFERROR(__xludf.DUMMYFUNCTION("""COMPUTED_VALUE"""),1.0)</f>
        <v>1</v>
      </c>
      <c r="D1358" s="87" t="str">
        <f>IFERROR(__xludf.DUMMYFUNCTION("""COMPUTED_VALUE"""),"SEÇÃO")</f>
        <v>SEÇÃO</v>
      </c>
      <c r="E1358" s="87" t="str">
        <f>IFERROR(__xludf.DUMMYFUNCTION("""COMPUTED_VALUE"""),"3 - DESCARGA")</f>
        <v>3 - DESCARGA</v>
      </c>
      <c r="F1358" s="92"/>
      <c r="G1358" s="89">
        <f>IFERROR(__xludf.DUMMYFUNCTION("""COMPUTED_VALUE"""),1.4043963E7)</f>
        <v>14043963</v>
      </c>
      <c r="H1358" s="87"/>
      <c r="I1358" s="87" t="str">
        <f>IFERROR(__xludf.DUMMYFUNCTION("""COMPUTED_VALUE"""),"MATERIAL DESCARREGADO - PROCESSO Nº 1400.01.0026473/2023-04")</f>
        <v>MATERIAL DESCARREGADO - PROCESSO Nº 1400.01.0026473/2023-04</v>
      </c>
    </row>
    <row r="1359">
      <c r="A1359" s="84">
        <f>IFERROR(__xludf.DUMMYFUNCTION("""COMPUTED_VALUE"""),1359.0)</f>
        <v>1359</v>
      </c>
      <c r="B1359" s="85" t="str">
        <f>IFERROR(__xludf.DUMMYFUNCTION("""COMPUTED_VALUE"""),"CAPACETE PARA COMBATE INCENDIO -")</f>
        <v>CAPACETE PARA COMBATE INCENDIO -</v>
      </c>
      <c r="C1359" s="86">
        <f>IFERROR(__xludf.DUMMYFUNCTION("""COMPUTED_VALUE"""),1.0)</f>
        <v>1</v>
      </c>
      <c r="D1359" s="87" t="str">
        <f>IFERROR(__xludf.DUMMYFUNCTION("""COMPUTED_VALUE"""),"MILITAR")</f>
        <v>MILITAR</v>
      </c>
      <c r="E1359" s="87" t="str">
        <f>IFERROR(__xludf.DUMMYFUNCTION("""COMPUTED_VALUE"""),"2 - TEN CEL HEITOR AGUIAR MENDONÇA")</f>
        <v>2 - TEN CEL HEITOR AGUIAR MENDONÇA</v>
      </c>
      <c r="F1359" s="92"/>
      <c r="G1359" s="89">
        <f>IFERROR(__xludf.DUMMYFUNCTION("""COMPUTED_VALUE"""),4.0186334E7)</f>
        <v>40186334</v>
      </c>
      <c r="H1359" s="87"/>
      <c r="I1359" s="87" t="str">
        <f>IFERROR(__xludf.DUMMYFUNCTION("""COMPUTED_VALUE"""),"PATR. Transferido para o BEMAD. ")</f>
        <v>PATR. Transferido para o BEMAD. </v>
      </c>
    </row>
    <row r="1360">
      <c r="A1360" s="84">
        <f>IFERROR(__xludf.DUMMYFUNCTION("""COMPUTED_VALUE"""),1360.0)</f>
        <v>1360</v>
      </c>
      <c r="B1360" s="85" t="str">
        <f>IFERROR(__xludf.DUMMYFUNCTION("""COMPUTED_VALUE"""),"CAMBÃO - CAPTURA DE ANIMAIS ")</f>
        <v>CAMBÃO - CAPTURA DE ANIMAIS </v>
      </c>
      <c r="C1360" s="86">
        <f>IFERROR(__xludf.DUMMYFUNCTION("""COMPUTED_VALUE"""),1.0)</f>
        <v>1</v>
      </c>
      <c r="D1360" s="87" t="str">
        <f>IFERROR(__xludf.DUMMYFUNCTION("""COMPUTED_VALUE"""),"SEÇÃO")</f>
        <v>SEÇÃO</v>
      </c>
      <c r="E1360" s="87" t="str">
        <f>IFERROR(__xludf.DUMMYFUNCTION("""COMPUTED_VALUE"""),"3 - ALMOX. ESTOQUE")</f>
        <v>3 - ALMOX. ESTOQUE</v>
      </c>
      <c r="F1360" s="92" t="str">
        <f>IFERROR(__xludf.DUMMYFUNCTION("""COMPUTED_VALUE"""),"ALMOX. SAO (SEDE)")</f>
        <v>ALMOX. SAO (SEDE)</v>
      </c>
      <c r="G1360" s="89">
        <f>IFERROR(__xludf.DUMMYFUNCTION("""COMPUTED_VALUE"""),7.6901068E7)</f>
        <v>76901068</v>
      </c>
      <c r="H1360" s="87"/>
      <c r="I1360" s="87"/>
    </row>
    <row r="1361">
      <c r="A1361" s="84">
        <f>IFERROR(__xludf.DUMMYFUNCTION("""COMPUTED_VALUE"""),1361.0)</f>
        <v>1361</v>
      </c>
      <c r="B1361" s="85" t="str">
        <f>IFERROR(__xludf.DUMMYFUNCTION("""COMPUTED_VALUE"""),"ESTETOSCOPIO -")</f>
        <v>ESTETOSCOPIO -</v>
      </c>
      <c r="C1361" s="86">
        <f>IFERROR(__xludf.DUMMYFUNCTION("""COMPUTED_VALUE"""),1.0)</f>
        <v>1</v>
      </c>
      <c r="D1361" s="87" t="str">
        <f>IFERROR(__xludf.DUMMYFUNCTION("""COMPUTED_VALUE"""),"SEÇÃO")</f>
        <v>SEÇÃO</v>
      </c>
      <c r="E1361" s="87" t="str">
        <f>IFERROR(__xludf.DUMMYFUNCTION("""COMPUTED_VALUE"""),"3 - ALMOX. ESTOQUE")</f>
        <v>3 - ALMOX. ESTOQUE</v>
      </c>
      <c r="F1361" s="92" t="str">
        <f>IFERROR(__xludf.DUMMYFUNCTION("""COMPUTED_VALUE"""),"ALMOX. APH")</f>
        <v>ALMOX. APH</v>
      </c>
      <c r="G1361" s="89">
        <f>IFERROR(__xludf.DUMMYFUNCTION("""COMPUTED_VALUE"""),7.6731707E7)</f>
        <v>76731707</v>
      </c>
      <c r="H1361" s="87"/>
      <c r="I1361" s="87"/>
    </row>
    <row r="1362">
      <c r="A1362" s="84">
        <f>IFERROR(__xludf.DUMMYFUNCTION("""COMPUTED_VALUE"""),1362.0)</f>
        <v>1362</v>
      </c>
      <c r="B1362" s="85" t="str">
        <f>IFERROR(__xludf.DUMMYFUNCTION("""COMPUTED_VALUE"""),"ESCADA PROLONGAVEL PARA ATIVIDADES BOMBEIRO -")</f>
        <v>ESCADA PROLONGAVEL PARA ATIVIDADES BOMBEIRO -</v>
      </c>
      <c r="C1362" s="86">
        <f>IFERROR(__xludf.DUMMYFUNCTION("""COMPUTED_VALUE"""),1.0)</f>
        <v>1</v>
      </c>
      <c r="D1362" s="87" t="str">
        <f>IFERROR(__xludf.DUMMYFUNCTION("""COMPUTED_VALUE"""),"SEÇÃO")</f>
        <v>SEÇÃO</v>
      </c>
      <c r="E1362" s="87" t="str">
        <f>IFERROR(__xludf.DUMMYFUNCTION("""COMPUTED_VALUE"""),"3 - ALMOX. ESTOQUE")</f>
        <v>3 - ALMOX. ESTOQUE</v>
      </c>
      <c r="F1362" s="92" t="str">
        <f>IFERROR(__xludf.DUMMYFUNCTION("""COMPUTED_VALUE"""),"ALMOX. SAO (SEDE)")</f>
        <v>ALMOX. SAO (SEDE)</v>
      </c>
      <c r="G1362" s="89">
        <f>IFERROR(__xludf.DUMMYFUNCTION("""COMPUTED_VALUE"""),7.6878635E7)</f>
        <v>76878635</v>
      </c>
      <c r="H1362" s="87"/>
      <c r="I1362" s="87" t="str">
        <f>IFERROR(__xludf.DUMMYFUNCTION("""COMPUTED_VALUE"""),"FIBRA DE VIDRO; DEGRAU: ALUMINIO, LANCE: 02 LANCES DE 3,5 METROS;")</f>
        <v>FIBRA DE VIDRO; DEGRAU: ALUMINIO, LANCE: 02 LANCES DE 3,5 METROS;</v>
      </c>
    </row>
    <row r="1363">
      <c r="A1363" s="84">
        <f>IFERROR(__xludf.DUMMYFUNCTION("""COMPUTED_VALUE"""),1363.0)</f>
        <v>1363</v>
      </c>
      <c r="B1363" s="85" t="str">
        <f>IFERROR(__xludf.DUMMYFUNCTION("""COMPUTED_VALUE"""),"EQUIPAMENTO GERADOR DE ESPUMA")</f>
        <v>EQUIPAMENTO GERADOR DE ESPUMA</v>
      </c>
      <c r="C1363" s="86">
        <f>IFERROR(__xludf.DUMMYFUNCTION("""COMPUTED_VALUE"""),1.0)</f>
        <v>1</v>
      </c>
      <c r="D1363" s="87" t="str">
        <f>IFERROR(__xludf.DUMMYFUNCTION("""COMPUTED_VALUE"""),"SEÇÃO")</f>
        <v>SEÇÃO</v>
      </c>
      <c r="E1363" s="87" t="str">
        <f>IFERROR(__xludf.DUMMYFUNCTION("""COMPUTED_VALUE"""),"3 - ALMOX. ESTOQUE")</f>
        <v>3 - ALMOX. ESTOQUE</v>
      </c>
      <c r="F1363" s="92" t="str">
        <f>IFERROR(__xludf.DUMMYFUNCTION("""COMPUTED_VALUE"""),"ALMOX. SAO (SEDE)")</f>
        <v>ALMOX. SAO (SEDE)</v>
      </c>
      <c r="G1363" s="89">
        <f>IFERROR(__xludf.DUMMYFUNCTION("""COMPUTED_VALUE"""),7.6904415E7)</f>
        <v>76904415</v>
      </c>
      <c r="H1363" s="87"/>
      <c r="I1363" s="87"/>
    </row>
    <row r="1364">
      <c r="A1364" s="84">
        <f>IFERROR(__xludf.DUMMYFUNCTION("""COMPUTED_VALUE"""),1364.0)</f>
        <v>1364</v>
      </c>
      <c r="B1364" s="85" t="str">
        <f>IFERROR(__xludf.DUMMYFUNCTION("""COMPUTED_VALUE"""),"COMPRESSOR DE AR RESPIRAVEL -")</f>
        <v>COMPRESSOR DE AR RESPIRAVEL -</v>
      </c>
      <c r="C1364" s="86">
        <f>IFERROR(__xludf.DUMMYFUNCTION("""COMPUTED_VALUE"""),1.0)</f>
        <v>1</v>
      </c>
      <c r="D1364" s="87" t="str">
        <f>IFERROR(__xludf.DUMMYFUNCTION("""COMPUTED_VALUE"""),"SEÇÃO")</f>
        <v>SEÇÃO</v>
      </c>
      <c r="E1364" s="87" t="str">
        <f>IFERROR(__xludf.DUMMYFUNCTION("""COMPUTED_VALUE"""),"3 - 1ª CIA OP")</f>
        <v>3 - 1ª CIA OP</v>
      </c>
      <c r="F1364" s="92" t="str">
        <f>IFERROR(__xludf.DUMMYFUNCTION("""COMPUTED_VALUE"""),"SALA DE MERGULHO")</f>
        <v>SALA DE MERGULHO</v>
      </c>
      <c r="G1364" s="89">
        <f>IFERROR(__xludf.DUMMYFUNCTION("""COMPUTED_VALUE"""),7.6898733E7)</f>
        <v>76898733</v>
      </c>
      <c r="H1364" s="87"/>
      <c r="I1364" s="87" t="str">
        <f>IFERROR(__xludf.DUMMYFUNCTION("""COMPUTED_VALUE"""),"LUXON - GMC300/ET")</f>
        <v>LUXON - GMC300/ET</v>
      </c>
    </row>
    <row r="1365">
      <c r="A1365" s="84">
        <f>IFERROR(__xludf.DUMMYFUNCTION("""COMPUTED_VALUE"""),1365.0)</f>
        <v>1365</v>
      </c>
      <c r="B1365" s="85" t="str">
        <f>IFERROR(__xludf.DUMMYFUNCTION("""COMPUTED_VALUE"""),"RADIO TRANSCEPTOR -")</f>
        <v>RADIO TRANSCEPTOR -</v>
      </c>
      <c r="C1365" s="86">
        <f>IFERROR(__xludf.DUMMYFUNCTION("""COMPUTED_VALUE"""),1.0)</f>
        <v>1</v>
      </c>
      <c r="D1365" s="87" t="str">
        <f>IFERROR(__xludf.DUMMYFUNCTION("""COMPUTED_VALUE"""),"VIATURA")</f>
        <v>VIATURA</v>
      </c>
      <c r="E1365" s="87" t="str">
        <f>IFERROR(__xludf.DUMMYFUNCTION("""COMPUTED_VALUE"""),"1 - ASF2163")</f>
        <v>1 - ASF2163</v>
      </c>
      <c r="F1365" s="92"/>
      <c r="G1365" s="89">
        <f>IFERROR(__xludf.DUMMYFUNCTION("""COMPUTED_VALUE"""),4.0364054E7)</f>
        <v>40364054</v>
      </c>
      <c r="H1365" s="87"/>
      <c r="I1365" s="87"/>
    </row>
    <row r="1366">
      <c r="A1366" s="84">
        <f>IFERROR(__xludf.DUMMYFUNCTION("""COMPUTED_VALUE"""),1366.0)</f>
        <v>1366</v>
      </c>
      <c r="B1366" s="85" t="str">
        <f>IFERROR(__xludf.DUMMYFUNCTION("""COMPUTED_VALUE"""),"EQUIPAMENTO DE PROTEÇÃO RESPIRATÓRIO, COMPLETO -")</f>
        <v>EQUIPAMENTO DE PROTEÇÃO RESPIRATÓRIO, COMPLETO -</v>
      </c>
      <c r="C1366" s="86">
        <f>IFERROR(__xludf.DUMMYFUNCTION("""COMPUTED_VALUE"""),1.0)</f>
        <v>1</v>
      </c>
      <c r="D1366" s="87" t="str">
        <f>IFERROR(__xludf.DUMMYFUNCTION("""COMPUTED_VALUE"""),"SEÇÃO")</f>
        <v>SEÇÃO</v>
      </c>
      <c r="E1366" s="87" t="str">
        <f>IFERROR(__xludf.DUMMYFUNCTION("""COMPUTED_VALUE"""),"3 - DESCARGA")</f>
        <v>3 - DESCARGA</v>
      </c>
      <c r="F1366" s="92"/>
      <c r="G1366" s="89">
        <f>IFERROR(__xludf.DUMMYFUNCTION("""COMPUTED_VALUE"""),1.3739646E7)</f>
        <v>13739646</v>
      </c>
      <c r="H1366" s="87"/>
      <c r="I1366" s="87" t="str">
        <f>IFERROR(__xludf.DUMMYFUNCTION("""COMPUTED_VALUE"""),"MATERIAL DESCARREGADO - PROCESSO Nº 1400.01.0026473/2023-04")</f>
        <v>MATERIAL DESCARREGADO - PROCESSO Nº 1400.01.0026473/2023-04</v>
      </c>
    </row>
    <row r="1367">
      <c r="A1367" s="84">
        <f>IFERROR(__xludf.DUMMYFUNCTION("""COMPUTED_VALUE"""),1367.0)</f>
        <v>1367</v>
      </c>
      <c r="B1367" s="85" t="str">
        <f>IFERROR(__xludf.DUMMYFUNCTION("""COMPUTED_VALUE"""),"EQUIPAMENTO DE PROTEÇÃO RESPIRATÓRIO, COMPLETO -")</f>
        <v>EQUIPAMENTO DE PROTEÇÃO RESPIRATÓRIO, COMPLETO -</v>
      </c>
      <c r="C1367" s="86">
        <f>IFERROR(__xludf.DUMMYFUNCTION("""COMPUTED_VALUE"""),1.0)</f>
        <v>1</v>
      </c>
      <c r="D1367" s="87" t="str">
        <f>IFERROR(__xludf.DUMMYFUNCTION("""COMPUTED_VALUE"""),"SEÇÃO")</f>
        <v>SEÇÃO</v>
      </c>
      <c r="E1367" s="87" t="str">
        <f>IFERROR(__xludf.DUMMYFUNCTION("""COMPUTED_VALUE"""),"3 - DESCARGA")</f>
        <v>3 - DESCARGA</v>
      </c>
      <c r="F1367" s="92"/>
      <c r="G1367" s="89">
        <f>IFERROR(__xludf.DUMMYFUNCTION("""COMPUTED_VALUE"""),1.3739662E7)</f>
        <v>13739662</v>
      </c>
      <c r="H1367" s="87"/>
      <c r="I1367" s="87" t="str">
        <f>IFERROR(__xludf.DUMMYFUNCTION("""COMPUTED_VALUE"""),"MATERIAL DESCARREGADO - PROCESSO Nº 1400.01.0026473/2023-04")</f>
        <v>MATERIAL DESCARREGADO - PROCESSO Nº 1400.01.0026473/2023-04</v>
      </c>
    </row>
    <row r="1368">
      <c r="A1368" s="84">
        <f>IFERROR(__xludf.DUMMYFUNCTION("""COMPUTED_VALUE"""),1368.0)</f>
        <v>1368</v>
      </c>
      <c r="B1368" s="85" t="str">
        <f>IFERROR(__xludf.DUMMYFUNCTION("""COMPUTED_VALUE"""),"ANILHA PARA GINASTICA -")</f>
        <v>ANILHA PARA GINASTICA -</v>
      </c>
      <c r="C1368" s="86">
        <f>IFERROR(__xludf.DUMMYFUNCTION("""COMPUTED_VALUE"""),1.0)</f>
        <v>1</v>
      </c>
      <c r="D1368" s="87" t="str">
        <f>IFERROR(__xludf.DUMMYFUNCTION("""COMPUTED_VALUE"""),"SEÇÃO")</f>
        <v>SEÇÃO</v>
      </c>
      <c r="E1368" s="87" t="str">
        <f>IFERROR(__xludf.DUMMYFUNCTION("""COMPUTED_VALUE"""),"3 - ALMOX. ESTOQUE")</f>
        <v>3 - ALMOX. ESTOQUE</v>
      </c>
      <c r="F1368" s="92" t="str">
        <f>IFERROR(__xludf.DUMMYFUNCTION("""COMPUTED_VALUE"""),"CAMARIM")</f>
        <v>CAMARIM</v>
      </c>
      <c r="G1368" s="89">
        <f>IFERROR(__xludf.DUMMYFUNCTION("""COMPUTED_VALUE"""),7.691732E7)</f>
        <v>76917320</v>
      </c>
      <c r="H1368" s="87"/>
      <c r="I1368" s="87"/>
    </row>
    <row r="1369">
      <c r="A1369" s="84">
        <f>IFERROR(__xludf.DUMMYFUNCTION("""COMPUTED_VALUE"""),1369.0)</f>
        <v>1369</v>
      </c>
      <c r="B1369" s="85" t="str">
        <f>IFERROR(__xludf.DUMMYFUNCTION("""COMPUTED_VALUE"""),"ANILHA PARA GINASTICA -")</f>
        <v>ANILHA PARA GINASTICA -</v>
      </c>
      <c r="C1369" s="86">
        <f>IFERROR(__xludf.DUMMYFUNCTION("""COMPUTED_VALUE"""),1.0)</f>
        <v>1</v>
      </c>
      <c r="D1369" s="87" t="str">
        <f>IFERROR(__xludf.DUMMYFUNCTION("""COMPUTED_VALUE"""),"SEÇÃO")</f>
        <v>SEÇÃO</v>
      </c>
      <c r="E1369" s="87" t="str">
        <f>IFERROR(__xludf.DUMMYFUNCTION("""COMPUTED_VALUE"""),"3 - ALMOX. ESTOQUE")</f>
        <v>3 - ALMOX. ESTOQUE</v>
      </c>
      <c r="F1369" s="92" t="str">
        <f>IFERROR(__xludf.DUMMYFUNCTION("""COMPUTED_VALUE"""),"CAMARIM")</f>
        <v>CAMARIM</v>
      </c>
      <c r="G1369" s="89">
        <f>IFERROR(__xludf.DUMMYFUNCTION("""COMPUTED_VALUE"""),7.6917339E7)</f>
        <v>76917339</v>
      </c>
      <c r="H1369" s="87"/>
      <c r="I1369" s="87"/>
    </row>
    <row r="1370">
      <c r="A1370" s="84">
        <f>IFERROR(__xludf.DUMMYFUNCTION("""COMPUTED_VALUE"""),1370.0)</f>
        <v>1370</v>
      </c>
      <c r="B1370" s="85" t="str">
        <f>IFERROR(__xludf.DUMMYFUNCTION("""COMPUTED_VALUE"""),"ANILHA PARA GINASTICA -")</f>
        <v>ANILHA PARA GINASTICA -</v>
      </c>
      <c r="C1370" s="86">
        <f>IFERROR(__xludf.DUMMYFUNCTION("""COMPUTED_VALUE"""),1.0)</f>
        <v>1</v>
      </c>
      <c r="D1370" s="87" t="str">
        <f>IFERROR(__xludf.DUMMYFUNCTION("""COMPUTED_VALUE"""),"SEÇÃO")</f>
        <v>SEÇÃO</v>
      </c>
      <c r="E1370" s="87" t="str">
        <f>IFERROR(__xludf.DUMMYFUNCTION("""COMPUTED_VALUE"""),"3 - ALMOX. ESTOQUE")</f>
        <v>3 - ALMOX. ESTOQUE</v>
      </c>
      <c r="F1370" s="92" t="str">
        <f>IFERROR(__xludf.DUMMYFUNCTION("""COMPUTED_VALUE"""),"CAMARIM")</f>
        <v>CAMARIM</v>
      </c>
      <c r="G1370" s="89">
        <f>IFERROR(__xludf.DUMMYFUNCTION("""COMPUTED_VALUE"""),7.6917347E7)</f>
        <v>76917347</v>
      </c>
      <c r="H1370" s="87"/>
      <c r="I1370" s="87"/>
    </row>
    <row r="1371">
      <c r="A1371" s="84">
        <f>IFERROR(__xludf.DUMMYFUNCTION("""COMPUTED_VALUE"""),1371.0)</f>
        <v>1371</v>
      </c>
      <c r="B1371" s="85" t="str">
        <f>IFERROR(__xludf.DUMMYFUNCTION("""COMPUTED_VALUE"""),"ANILHA PARA GINASTICA -")</f>
        <v>ANILHA PARA GINASTICA -</v>
      </c>
      <c r="C1371" s="86">
        <f>IFERROR(__xludf.DUMMYFUNCTION("""COMPUTED_VALUE"""),1.0)</f>
        <v>1</v>
      </c>
      <c r="D1371" s="87" t="str">
        <f>IFERROR(__xludf.DUMMYFUNCTION("""COMPUTED_VALUE"""),"SEÇÃO")</f>
        <v>SEÇÃO</v>
      </c>
      <c r="E1371" s="87" t="str">
        <f>IFERROR(__xludf.DUMMYFUNCTION("""COMPUTED_VALUE"""),"3 - ALMOX. ESTOQUE")</f>
        <v>3 - ALMOX. ESTOQUE</v>
      </c>
      <c r="F1371" s="92" t="str">
        <f>IFERROR(__xludf.DUMMYFUNCTION("""COMPUTED_VALUE"""),"CAMARIM")</f>
        <v>CAMARIM</v>
      </c>
      <c r="G1371" s="89">
        <f>IFERROR(__xludf.DUMMYFUNCTION("""COMPUTED_VALUE"""),7.6917355E7)</f>
        <v>76917355</v>
      </c>
      <c r="H1371" s="87"/>
      <c r="I1371" s="87"/>
    </row>
    <row r="1372">
      <c r="A1372" s="84">
        <f>IFERROR(__xludf.DUMMYFUNCTION("""COMPUTED_VALUE"""),1372.0)</f>
        <v>1372</v>
      </c>
      <c r="B1372" s="85" t="str">
        <f>IFERROR(__xludf.DUMMYFUNCTION("""COMPUTED_VALUE"""),"ANILHA PARA GINASTICA -")</f>
        <v>ANILHA PARA GINASTICA -</v>
      </c>
      <c r="C1372" s="86">
        <f>IFERROR(__xludf.DUMMYFUNCTION("""COMPUTED_VALUE"""),1.0)</f>
        <v>1</v>
      </c>
      <c r="D1372" s="87" t="str">
        <f>IFERROR(__xludf.DUMMYFUNCTION("""COMPUTED_VALUE"""),"SEÇÃO")</f>
        <v>SEÇÃO</v>
      </c>
      <c r="E1372" s="87" t="str">
        <f>IFERROR(__xludf.DUMMYFUNCTION("""COMPUTED_VALUE"""),"3 - ALMOX. ESTOQUE")</f>
        <v>3 - ALMOX. ESTOQUE</v>
      </c>
      <c r="F1372" s="92" t="str">
        <f>IFERROR(__xludf.DUMMYFUNCTION("""COMPUTED_VALUE"""),"CAMARIM")</f>
        <v>CAMARIM</v>
      </c>
      <c r="G1372" s="89">
        <f>IFERROR(__xludf.DUMMYFUNCTION("""COMPUTED_VALUE"""),7.6917363E7)</f>
        <v>76917363</v>
      </c>
      <c r="H1372" s="87"/>
      <c r="I1372" s="87"/>
    </row>
    <row r="1373">
      <c r="A1373" s="84">
        <f>IFERROR(__xludf.DUMMYFUNCTION("""COMPUTED_VALUE"""),1373.0)</f>
        <v>1373</v>
      </c>
      <c r="B1373" s="85" t="str">
        <f>IFERROR(__xludf.DUMMYFUNCTION("""COMPUTED_VALUE"""),"ANILHA PARA GINASTICA -")</f>
        <v>ANILHA PARA GINASTICA -</v>
      </c>
      <c r="C1373" s="86">
        <f>IFERROR(__xludf.DUMMYFUNCTION("""COMPUTED_VALUE"""),1.0)</f>
        <v>1</v>
      </c>
      <c r="D1373" s="87" t="str">
        <f>IFERROR(__xludf.DUMMYFUNCTION("""COMPUTED_VALUE"""),"SEÇÃO")</f>
        <v>SEÇÃO</v>
      </c>
      <c r="E1373" s="87" t="str">
        <f>IFERROR(__xludf.DUMMYFUNCTION("""COMPUTED_VALUE"""),"3 - ALMOX. ESTOQUE")</f>
        <v>3 - ALMOX. ESTOQUE</v>
      </c>
      <c r="F1373" s="92" t="str">
        <f>IFERROR(__xludf.DUMMYFUNCTION("""COMPUTED_VALUE"""),"CAMARIM")</f>
        <v>CAMARIM</v>
      </c>
      <c r="G1373" s="89">
        <f>IFERROR(__xludf.DUMMYFUNCTION("""COMPUTED_VALUE"""),7.6917371E7)</f>
        <v>76917371</v>
      </c>
      <c r="H1373" s="87"/>
      <c r="I1373" s="87"/>
    </row>
    <row r="1374">
      <c r="A1374" s="84">
        <f>IFERROR(__xludf.DUMMYFUNCTION("""COMPUTED_VALUE"""),1374.0)</f>
        <v>1374</v>
      </c>
      <c r="B1374" s="85" t="str">
        <f>IFERROR(__xludf.DUMMYFUNCTION("""COMPUTED_VALUE"""),"ANILHA PARA GINASTICA -")</f>
        <v>ANILHA PARA GINASTICA -</v>
      </c>
      <c r="C1374" s="86">
        <f>IFERROR(__xludf.DUMMYFUNCTION("""COMPUTED_VALUE"""),1.0)</f>
        <v>1</v>
      </c>
      <c r="D1374" s="87" t="str">
        <f>IFERROR(__xludf.DUMMYFUNCTION("""COMPUTED_VALUE"""),"SEÇÃO")</f>
        <v>SEÇÃO</v>
      </c>
      <c r="E1374" s="87" t="str">
        <f>IFERROR(__xludf.DUMMYFUNCTION("""COMPUTED_VALUE"""),"3 - ALMOX. ESTOQUE")</f>
        <v>3 - ALMOX. ESTOQUE</v>
      </c>
      <c r="F1374" s="92" t="str">
        <f>IFERROR(__xludf.DUMMYFUNCTION("""COMPUTED_VALUE"""),"CAMARIM")</f>
        <v>CAMARIM</v>
      </c>
      <c r="G1374" s="89">
        <f>IFERROR(__xludf.DUMMYFUNCTION("""COMPUTED_VALUE"""),7.691738E7)</f>
        <v>76917380</v>
      </c>
      <c r="H1374" s="87"/>
      <c r="I1374" s="87"/>
    </row>
    <row r="1375">
      <c r="A1375" s="84">
        <f>IFERROR(__xludf.DUMMYFUNCTION("""COMPUTED_VALUE"""),1375.0)</f>
        <v>1375</v>
      </c>
      <c r="B1375" s="85" t="str">
        <f>IFERROR(__xludf.DUMMYFUNCTION("""COMPUTED_VALUE"""),"ANILHA PARA GINASTICA -")</f>
        <v>ANILHA PARA GINASTICA -</v>
      </c>
      <c r="C1375" s="86">
        <f>IFERROR(__xludf.DUMMYFUNCTION("""COMPUTED_VALUE"""),1.0)</f>
        <v>1</v>
      </c>
      <c r="D1375" s="87" t="str">
        <f>IFERROR(__xludf.DUMMYFUNCTION("""COMPUTED_VALUE"""),"SEÇÃO")</f>
        <v>SEÇÃO</v>
      </c>
      <c r="E1375" s="87" t="str">
        <f>IFERROR(__xludf.DUMMYFUNCTION("""COMPUTED_VALUE"""),"3 - ALMOX. ESTOQUE")</f>
        <v>3 - ALMOX. ESTOQUE</v>
      </c>
      <c r="F1375" s="92" t="str">
        <f>IFERROR(__xludf.DUMMYFUNCTION("""COMPUTED_VALUE"""),"CAMARIM")</f>
        <v>CAMARIM</v>
      </c>
      <c r="G1375" s="89">
        <f>IFERROR(__xludf.DUMMYFUNCTION("""COMPUTED_VALUE"""),7.6917398E7)</f>
        <v>76917398</v>
      </c>
      <c r="H1375" s="87"/>
      <c r="I1375" s="87"/>
    </row>
    <row r="1376">
      <c r="A1376" s="84">
        <f>IFERROR(__xludf.DUMMYFUNCTION("""COMPUTED_VALUE"""),1376.0)</f>
        <v>1376</v>
      </c>
      <c r="B1376" s="85" t="str">
        <f>IFERROR(__xludf.DUMMYFUNCTION("""COMPUTED_VALUE"""),"ANILHA PARA GINASTICA -")</f>
        <v>ANILHA PARA GINASTICA -</v>
      </c>
      <c r="C1376" s="86">
        <f>IFERROR(__xludf.DUMMYFUNCTION("""COMPUTED_VALUE"""),1.0)</f>
        <v>1</v>
      </c>
      <c r="D1376" s="87" t="str">
        <f>IFERROR(__xludf.DUMMYFUNCTION("""COMPUTED_VALUE"""),"SEÇÃO")</f>
        <v>SEÇÃO</v>
      </c>
      <c r="E1376" s="87" t="str">
        <f>IFERROR(__xludf.DUMMYFUNCTION("""COMPUTED_VALUE"""),"3 - ALMOX. ESTOQUE")</f>
        <v>3 - ALMOX. ESTOQUE</v>
      </c>
      <c r="F1376" s="92" t="str">
        <f>IFERROR(__xludf.DUMMYFUNCTION("""COMPUTED_VALUE"""),"CAMARIM")</f>
        <v>CAMARIM</v>
      </c>
      <c r="G1376" s="89">
        <f>IFERROR(__xludf.DUMMYFUNCTION("""COMPUTED_VALUE"""),7.6917401E7)</f>
        <v>76917401</v>
      </c>
      <c r="H1376" s="87"/>
      <c r="I1376" s="87"/>
    </row>
    <row r="1377">
      <c r="A1377" s="84">
        <f>IFERROR(__xludf.DUMMYFUNCTION("""COMPUTED_VALUE"""),1377.0)</f>
        <v>1377</v>
      </c>
      <c r="B1377" s="85" t="str">
        <f>IFERROR(__xludf.DUMMYFUNCTION("""COMPUTED_VALUE"""),"ANILHA PARA GINASTICA -")</f>
        <v>ANILHA PARA GINASTICA -</v>
      </c>
      <c r="C1377" s="86">
        <f>IFERROR(__xludf.DUMMYFUNCTION("""COMPUTED_VALUE"""),1.0)</f>
        <v>1</v>
      </c>
      <c r="D1377" s="87" t="str">
        <f>IFERROR(__xludf.DUMMYFUNCTION("""COMPUTED_VALUE"""),"SEÇÃO")</f>
        <v>SEÇÃO</v>
      </c>
      <c r="E1377" s="87" t="str">
        <f>IFERROR(__xludf.DUMMYFUNCTION("""COMPUTED_VALUE"""),"3 - ALMOX. ESTOQUE")</f>
        <v>3 - ALMOX. ESTOQUE</v>
      </c>
      <c r="F1377" s="92" t="str">
        <f>IFERROR(__xludf.DUMMYFUNCTION("""COMPUTED_VALUE"""),"CAMARIM")</f>
        <v>CAMARIM</v>
      </c>
      <c r="G1377" s="89">
        <f>IFERROR(__xludf.DUMMYFUNCTION("""COMPUTED_VALUE"""),7.691741E7)</f>
        <v>76917410</v>
      </c>
      <c r="H1377" s="87"/>
      <c r="I1377" s="87"/>
    </row>
    <row r="1378">
      <c r="A1378" s="84">
        <f>IFERROR(__xludf.DUMMYFUNCTION("""COMPUTED_VALUE"""),1378.0)</f>
        <v>1378</v>
      </c>
      <c r="B1378" s="85" t="str">
        <f>IFERROR(__xludf.DUMMYFUNCTION("""COMPUTED_VALUE"""),"ANILHA PARA GINASTICA -")</f>
        <v>ANILHA PARA GINASTICA -</v>
      </c>
      <c r="C1378" s="86">
        <f>IFERROR(__xludf.DUMMYFUNCTION("""COMPUTED_VALUE"""),1.0)</f>
        <v>1</v>
      </c>
      <c r="D1378" s="87" t="str">
        <f>IFERROR(__xludf.DUMMYFUNCTION("""COMPUTED_VALUE"""),"SEÇÃO")</f>
        <v>SEÇÃO</v>
      </c>
      <c r="E1378" s="87" t="str">
        <f>IFERROR(__xludf.DUMMYFUNCTION("""COMPUTED_VALUE"""),"3 - ALMOX. ESTOQUE")</f>
        <v>3 - ALMOX. ESTOQUE</v>
      </c>
      <c r="F1378" s="92" t="str">
        <f>IFERROR(__xludf.DUMMYFUNCTION("""COMPUTED_VALUE"""),"CAMARIM")</f>
        <v>CAMARIM</v>
      </c>
      <c r="G1378" s="89">
        <f>IFERROR(__xludf.DUMMYFUNCTION("""COMPUTED_VALUE"""),7.6917428E7)</f>
        <v>76917428</v>
      </c>
      <c r="H1378" s="87"/>
      <c r="I1378" s="87"/>
    </row>
    <row r="1379">
      <c r="A1379" s="84">
        <f>IFERROR(__xludf.DUMMYFUNCTION("""COMPUTED_VALUE"""),1379.0)</f>
        <v>1379</v>
      </c>
      <c r="B1379" s="85" t="str">
        <f>IFERROR(__xludf.DUMMYFUNCTION("""COMPUTED_VALUE"""),"ANILHA PARA GINASTICA -")</f>
        <v>ANILHA PARA GINASTICA -</v>
      </c>
      <c r="C1379" s="86">
        <f>IFERROR(__xludf.DUMMYFUNCTION("""COMPUTED_VALUE"""),1.0)</f>
        <v>1</v>
      </c>
      <c r="D1379" s="87" t="str">
        <f>IFERROR(__xludf.DUMMYFUNCTION("""COMPUTED_VALUE"""),"SEÇÃO")</f>
        <v>SEÇÃO</v>
      </c>
      <c r="E1379" s="87" t="str">
        <f>IFERROR(__xludf.DUMMYFUNCTION("""COMPUTED_VALUE"""),"3 - ALMOX. ESTOQUE")</f>
        <v>3 - ALMOX. ESTOQUE</v>
      </c>
      <c r="F1379" s="92" t="str">
        <f>IFERROR(__xludf.DUMMYFUNCTION("""COMPUTED_VALUE"""),"CAMARIM")</f>
        <v>CAMARIM</v>
      </c>
      <c r="G1379" s="89">
        <f>IFERROR(__xludf.DUMMYFUNCTION("""COMPUTED_VALUE"""),7.6917436E7)</f>
        <v>76917436</v>
      </c>
      <c r="H1379" s="87"/>
      <c r="I1379" s="87"/>
    </row>
    <row r="1380">
      <c r="A1380" s="84">
        <f>IFERROR(__xludf.DUMMYFUNCTION("""COMPUTED_VALUE"""),1380.0)</f>
        <v>1380</v>
      </c>
      <c r="B1380" s="85" t="str">
        <f>IFERROR(__xludf.DUMMYFUNCTION("""COMPUTED_VALUE"""),"ANILHA PARA GINASTICA -")</f>
        <v>ANILHA PARA GINASTICA -</v>
      </c>
      <c r="C1380" s="86">
        <f>IFERROR(__xludf.DUMMYFUNCTION("""COMPUTED_VALUE"""),1.0)</f>
        <v>1</v>
      </c>
      <c r="D1380" s="87" t="str">
        <f>IFERROR(__xludf.DUMMYFUNCTION("""COMPUTED_VALUE"""),"SEÇÃO")</f>
        <v>SEÇÃO</v>
      </c>
      <c r="E1380" s="87" t="str">
        <f>IFERROR(__xludf.DUMMYFUNCTION("""COMPUTED_VALUE"""),"3 - ALMOX. ESTOQUE")</f>
        <v>3 - ALMOX. ESTOQUE</v>
      </c>
      <c r="F1380" s="92" t="str">
        <f>IFERROR(__xludf.DUMMYFUNCTION("""COMPUTED_VALUE"""),"CAMARIM")</f>
        <v>CAMARIM</v>
      </c>
      <c r="G1380" s="89">
        <f>IFERROR(__xludf.DUMMYFUNCTION("""COMPUTED_VALUE"""),7.6917444E7)</f>
        <v>76917444</v>
      </c>
      <c r="H1380" s="87"/>
      <c r="I1380" s="87"/>
    </row>
    <row r="1381">
      <c r="A1381" s="84">
        <f>IFERROR(__xludf.DUMMYFUNCTION("""COMPUTED_VALUE"""),1381.0)</f>
        <v>1381</v>
      </c>
      <c r="B1381" s="85" t="str">
        <f>IFERROR(__xludf.DUMMYFUNCTION("""COMPUTED_VALUE"""),"ANILHA PARA GINASTICA -")</f>
        <v>ANILHA PARA GINASTICA -</v>
      </c>
      <c r="C1381" s="86">
        <f>IFERROR(__xludf.DUMMYFUNCTION("""COMPUTED_VALUE"""),1.0)</f>
        <v>1</v>
      </c>
      <c r="D1381" s="87" t="str">
        <f>IFERROR(__xludf.DUMMYFUNCTION("""COMPUTED_VALUE"""),"SEÇÃO")</f>
        <v>SEÇÃO</v>
      </c>
      <c r="E1381" s="87" t="str">
        <f>IFERROR(__xludf.DUMMYFUNCTION("""COMPUTED_VALUE"""),"3 - ALMOX. ESTOQUE")</f>
        <v>3 - ALMOX. ESTOQUE</v>
      </c>
      <c r="F1381" s="92" t="str">
        <f>IFERROR(__xludf.DUMMYFUNCTION("""COMPUTED_VALUE"""),"CAMARIM")</f>
        <v>CAMARIM</v>
      </c>
      <c r="G1381" s="89">
        <f>IFERROR(__xludf.DUMMYFUNCTION("""COMPUTED_VALUE"""),7.6917452E7)</f>
        <v>76917452</v>
      </c>
      <c r="H1381" s="87"/>
      <c r="I1381" s="87"/>
    </row>
    <row r="1382">
      <c r="A1382" s="84">
        <f>IFERROR(__xludf.DUMMYFUNCTION("""COMPUTED_VALUE"""),1382.0)</f>
        <v>1382</v>
      </c>
      <c r="B1382" s="85" t="str">
        <f>IFERROR(__xludf.DUMMYFUNCTION("""COMPUTED_VALUE"""),"ANILHA PARA GINASTICA -")</f>
        <v>ANILHA PARA GINASTICA -</v>
      </c>
      <c r="C1382" s="86">
        <f>IFERROR(__xludf.DUMMYFUNCTION("""COMPUTED_VALUE"""),1.0)</f>
        <v>1</v>
      </c>
      <c r="D1382" s="87" t="str">
        <f>IFERROR(__xludf.DUMMYFUNCTION("""COMPUTED_VALUE"""),"SEÇÃO")</f>
        <v>SEÇÃO</v>
      </c>
      <c r="E1382" s="87" t="str">
        <f>IFERROR(__xludf.DUMMYFUNCTION("""COMPUTED_VALUE"""),"3 - ALMOX. ESTOQUE")</f>
        <v>3 - ALMOX. ESTOQUE</v>
      </c>
      <c r="F1382" s="92" t="str">
        <f>IFERROR(__xludf.DUMMYFUNCTION("""COMPUTED_VALUE"""),"CAMARIM")</f>
        <v>CAMARIM</v>
      </c>
      <c r="G1382" s="89">
        <f>IFERROR(__xludf.DUMMYFUNCTION("""COMPUTED_VALUE"""),7.691746E7)</f>
        <v>76917460</v>
      </c>
      <c r="H1382" s="87"/>
      <c r="I1382" s="87"/>
    </row>
    <row r="1383">
      <c r="A1383" s="84">
        <f>IFERROR(__xludf.DUMMYFUNCTION("""COMPUTED_VALUE"""),1383.0)</f>
        <v>1383</v>
      </c>
      <c r="B1383" s="85" t="str">
        <f>IFERROR(__xludf.DUMMYFUNCTION("""COMPUTED_VALUE"""),"ANILHA PARA GINASTICA -")</f>
        <v>ANILHA PARA GINASTICA -</v>
      </c>
      <c r="C1383" s="86">
        <f>IFERROR(__xludf.DUMMYFUNCTION("""COMPUTED_VALUE"""),1.0)</f>
        <v>1</v>
      </c>
      <c r="D1383" s="87" t="str">
        <f>IFERROR(__xludf.DUMMYFUNCTION("""COMPUTED_VALUE"""),"SEÇÃO")</f>
        <v>SEÇÃO</v>
      </c>
      <c r="E1383" s="87" t="str">
        <f>IFERROR(__xludf.DUMMYFUNCTION("""COMPUTED_VALUE"""),"3 - ALMOX. ESTOQUE")</f>
        <v>3 - ALMOX. ESTOQUE</v>
      </c>
      <c r="F1383" s="92" t="str">
        <f>IFERROR(__xludf.DUMMYFUNCTION("""COMPUTED_VALUE"""),"CAMARIM")</f>
        <v>CAMARIM</v>
      </c>
      <c r="G1383" s="89">
        <f>IFERROR(__xludf.DUMMYFUNCTION("""COMPUTED_VALUE"""),7.6917479E7)</f>
        <v>76917479</v>
      </c>
      <c r="H1383" s="87"/>
      <c r="I1383" s="87"/>
    </row>
    <row r="1384">
      <c r="A1384" s="84">
        <f>IFERROR(__xludf.DUMMYFUNCTION("""COMPUTED_VALUE"""),1384.0)</f>
        <v>1384</v>
      </c>
      <c r="B1384" s="85" t="str">
        <f>IFERROR(__xludf.DUMMYFUNCTION("""COMPUTED_VALUE"""),"ANILHA PARA GINASTICA -")</f>
        <v>ANILHA PARA GINASTICA -</v>
      </c>
      <c r="C1384" s="86">
        <f>IFERROR(__xludf.DUMMYFUNCTION("""COMPUTED_VALUE"""),1.0)</f>
        <v>1</v>
      </c>
      <c r="D1384" s="87" t="str">
        <f>IFERROR(__xludf.DUMMYFUNCTION("""COMPUTED_VALUE"""),"SEÇÃO")</f>
        <v>SEÇÃO</v>
      </c>
      <c r="E1384" s="87" t="str">
        <f>IFERROR(__xludf.DUMMYFUNCTION("""COMPUTED_VALUE"""),"3 - ALMOX. ESTOQUE")</f>
        <v>3 - ALMOX. ESTOQUE</v>
      </c>
      <c r="F1384" s="92" t="str">
        <f>IFERROR(__xludf.DUMMYFUNCTION("""COMPUTED_VALUE"""),"CAMARIM")</f>
        <v>CAMARIM</v>
      </c>
      <c r="G1384" s="89">
        <f>IFERROR(__xludf.DUMMYFUNCTION("""COMPUTED_VALUE"""),7.6917487E7)</f>
        <v>76917487</v>
      </c>
      <c r="H1384" s="87"/>
      <c r="I1384" s="87"/>
    </row>
    <row r="1385">
      <c r="A1385" s="84">
        <f>IFERROR(__xludf.DUMMYFUNCTION("""COMPUTED_VALUE"""),1385.0)</f>
        <v>1385</v>
      </c>
      <c r="B1385" s="85" t="str">
        <f>IFERROR(__xludf.DUMMYFUNCTION("""COMPUTED_VALUE"""),"ANILHA PARA GINASTICA -")</f>
        <v>ANILHA PARA GINASTICA -</v>
      </c>
      <c r="C1385" s="86">
        <f>IFERROR(__xludf.DUMMYFUNCTION("""COMPUTED_VALUE"""),1.0)</f>
        <v>1</v>
      </c>
      <c r="D1385" s="87" t="str">
        <f>IFERROR(__xludf.DUMMYFUNCTION("""COMPUTED_VALUE"""),"SEÇÃO")</f>
        <v>SEÇÃO</v>
      </c>
      <c r="E1385" s="87" t="str">
        <f>IFERROR(__xludf.DUMMYFUNCTION("""COMPUTED_VALUE"""),"3 - ALMOX. ESTOQUE")</f>
        <v>3 - ALMOX. ESTOQUE</v>
      </c>
      <c r="F1385" s="92" t="str">
        <f>IFERROR(__xludf.DUMMYFUNCTION("""COMPUTED_VALUE"""),"CAMARIM")</f>
        <v>CAMARIM</v>
      </c>
      <c r="G1385" s="89">
        <f>IFERROR(__xludf.DUMMYFUNCTION("""COMPUTED_VALUE"""),7.6917495E7)</f>
        <v>76917495</v>
      </c>
      <c r="H1385" s="87"/>
      <c r="I1385" s="87"/>
    </row>
    <row r="1386">
      <c r="A1386" s="84">
        <f>IFERROR(__xludf.DUMMYFUNCTION("""COMPUTED_VALUE"""),1386.0)</f>
        <v>1386</v>
      </c>
      <c r="B1386" s="85" t="str">
        <f>IFERROR(__xludf.DUMMYFUNCTION("""COMPUTED_VALUE"""),"ANILHA PARA GINASTICA -")</f>
        <v>ANILHA PARA GINASTICA -</v>
      </c>
      <c r="C1386" s="86">
        <f>IFERROR(__xludf.DUMMYFUNCTION("""COMPUTED_VALUE"""),1.0)</f>
        <v>1</v>
      </c>
      <c r="D1386" s="87" t="str">
        <f>IFERROR(__xludf.DUMMYFUNCTION("""COMPUTED_VALUE"""),"SEÇÃO")</f>
        <v>SEÇÃO</v>
      </c>
      <c r="E1386" s="87" t="str">
        <f>IFERROR(__xludf.DUMMYFUNCTION("""COMPUTED_VALUE"""),"3 - ALMOX. ESTOQUE")</f>
        <v>3 - ALMOX. ESTOQUE</v>
      </c>
      <c r="F1386" s="92" t="str">
        <f>IFERROR(__xludf.DUMMYFUNCTION("""COMPUTED_VALUE"""),"CAMARIM")</f>
        <v>CAMARIM</v>
      </c>
      <c r="G1386" s="89">
        <f>IFERROR(__xludf.DUMMYFUNCTION("""COMPUTED_VALUE"""),7.6917509E7)</f>
        <v>76917509</v>
      </c>
      <c r="H1386" s="87"/>
      <c r="I1386" s="87"/>
    </row>
    <row r="1387">
      <c r="A1387" s="84">
        <f>IFERROR(__xludf.DUMMYFUNCTION("""COMPUTED_VALUE"""),1387.0)</f>
        <v>1387</v>
      </c>
      <c r="B1387" s="85" t="str">
        <f>IFERROR(__xludf.DUMMYFUNCTION("""COMPUTED_VALUE"""),"ANILHA PARA GINASTICA -")</f>
        <v>ANILHA PARA GINASTICA -</v>
      </c>
      <c r="C1387" s="86">
        <f>IFERROR(__xludf.DUMMYFUNCTION("""COMPUTED_VALUE"""),1.0)</f>
        <v>1</v>
      </c>
      <c r="D1387" s="87" t="str">
        <f>IFERROR(__xludf.DUMMYFUNCTION("""COMPUTED_VALUE"""),"SEÇÃO")</f>
        <v>SEÇÃO</v>
      </c>
      <c r="E1387" s="87" t="str">
        <f>IFERROR(__xludf.DUMMYFUNCTION("""COMPUTED_VALUE"""),"3 - ALMOX. ESTOQUE")</f>
        <v>3 - ALMOX. ESTOQUE</v>
      </c>
      <c r="F1387" s="92" t="str">
        <f>IFERROR(__xludf.DUMMYFUNCTION("""COMPUTED_VALUE"""),"CAMARIM")</f>
        <v>CAMARIM</v>
      </c>
      <c r="G1387" s="89">
        <f>IFERROR(__xludf.DUMMYFUNCTION("""COMPUTED_VALUE"""),7.6917517E7)</f>
        <v>76917517</v>
      </c>
      <c r="H1387" s="87"/>
      <c r="I1387" s="87"/>
    </row>
    <row r="1388">
      <c r="A1388" s="84">
        <f>IFERROR(__xludf.DUMMYFUNCTION("""COMPUTED_VALUE"""),1388.0)</f>
        <v>1388</v>
      </c>
      <c r="B1388" s="85" t="str">
        <f>IFERROR(__xludf.DUMMYFUNCTION("""COMPUTED_VALUE"""),"ANILHA PARA GINASTICA -")</f>
        <v>ANILHA PARA GINASTICA -</v>
      </c>
      <c r="C1388" s="86">
        <f>IFERROR(__xludf.DUMMYFUNCTION("""COMPUTED_VALUE"""),1.0)</f>
        <v>1</v>
      </c>
      <c r="D1388" s="87" t="str">
        <f>IFERROR(__xludf.DUMMYFUNCTION("""COMPUTED_VALUE"""),"SEÇÃO")</f>
        <v>SEÇÃO</v>
      </c>
      <c r="E1388" s="87" t="str">
        <f>IFERROR(__xludf.DUMMYFUNCTION("""COMPUTED_VALUE"""),"3 - ALMOX. ESTOQUE")</f>
        <v>3 - ALMOX. ESTOQUE</v>
      </c>
      <c r="F1388" s="92" t="str">
        <f>IFERROR(__xludf.DUMMYFUNCTION("""COMPUTED_VALUE"""),"CAMARIM")</f>
        <v>CAMARIM</v>
      </c>
      <c r="G1388" s="89">
        <f>IFERROR(__xludf.DUMMYFUNCTION("""COMPUTED_VALUE"""),7.6917525E7)</f>
        <v>76917525</v>
      </c>
      <c r="H1388" s="87"/>
      <c r="I1388" s="87"/>
    </row>
    <row r="1389">
      <c r="A1389" s="84">
        <f>IFERROR(__xludf.DUMMYFUNCTION("""COMPUTED_VALUE"""),1389.0)</f>
        <v>1389</v>
      </c>
      <c r="B1389" s="85" t="str">
        <f>IFERROR(__xludf.DUMMYFUNCTION("""COMPUTED_VALUE"""),"ANILHA PARA GINASTICA -")</f>
        <v>ANILHA PARA GINASTICA -</v>
      </c>
      <c r="C1389" s="86">
        <f>IFERROR(__xludf.DUMMYFUNCTION("""COMPUTED_VALUE"""),1.0)</f>
        <v>1</v>
      </c>
      <c r="D1389" s="87" t="str">
        <f>IFERROR(__xludf.DUMMYFUNCTION("""COMPUTED_VALUE"""),"SEÇÃO")</f>
        <v>SEÇÃO</v>
      </c>
      <c r="E1389" s="87" t="str">
        <f>IFERROR(__xludf.DUMMYFUNCTION("""COMPUTED_VALUE"""),"3 - ALMOX. ESTOQUE")</f>
        <v>3 - ALMOX. ESTOQUE</v>
      </c>
      <c r="F1389" s="92" t="str">
        <f>IFERROR(__xludf.DUMMYFUNCTION("""COMPUTED_VALUE"""),"CAMARIM")</f>
        <v>CAMARIM</v>
      </c>
      <c r="G1389" s="89">
        <f>IFERROR(__xludf.DUMMYFUNCTION("""COMPUTED_VALUE"""),7.6917533E7)</f>
        <v>76917533</v>
      </c>
      <c r="H1389" s="87"/>
      <c r="I1389" s="87"/>
    </row>
    <row r="1390">
      <c r="A1390" s="84">
        <f>IFERROR(__xludf.DUMMYFUNCTION("""COMPUTED_VALUE"""),1390.0)</f>
        <v>1390</v>
      </c>
      <c r="B1390" s="85" t="str">
        <f>IFERROR(__xludf.DUMMYFUNCTION("""COMPUTED_VALUE"""),"ANILHA PARA GINASTICA -")</f>
        <v>ANILHA PARA GINASTICA -</v>
      </c>
      <c r="C1390" s="86">
        <f>IFERROR(__xludf.DUMMYFUNCTION("""COMPUTED_VALUE"""),1.0)</f>
        <v>1</v>
      </c>
      <c r="D1390" s="87" t="str">
        <f>IFERROR(__xludf.DUMMYFUNCTION("""COMPUTED_VALUE"""),"SEÇÃO")</f>
        <v>SEÇÃO</v>
      </c>
      <c r="E1390" s="87" t="str">
        <f>IFERROR(__xludf.DUMMYFUNCTION("""COMPUTED_VALUE"""),"3 - ALMOX. ESTOQUE")</f>
        <v>3 - ALMOX. ESTOQUE</v>
      </c>
      <c r="F1390" s="92" t="str">
        <f>IFERROR(__xludf.DUMMYFUNCTION("""COMPUTED_VALUE"""),"CAMARIM")</f>
        <v>CAMARIM</v>
      </c>
      <c r="G1390" s="89">
        <f>IFERROR(__xludf.DUMMYFUNCTION("""COMPUTED_VALUE"""),7.6917541E7)</f>
        <v>76917541</v>
      </c>
      <c r="H1390" s="87"/>
      <c r="I1390" s="87"/>
    </row>
    <row r="1391">
      <c r="A1391" s="84">
        <f>IFERROR(__xludf.DUMMYFUNCTION("""COMPUTED_VALUE"""),1391.0)</f>
        <v>1391</v>
      </c>
      <c r="B1391" s="85" t="str">
        <f>IFERROR(__xludf.DUMMYFUNCTION("""COMPUTED_VALUE"""),"ANILHA PARA GINASTICA -")</f>
        <v>ANILHA PARA GINASTICA -</v>
      </c>
      <c r="C1391" s="86">
        <f>IFERROR(__xludf.DUMMYFUNCTION("""COMPUTED_VALUE"""),1.0)</f>
        <v>1</v>
      </c>
      <c r="D1391" s="87" t="str">
        <f>IFERROR(__xludf.DUMMYFUNCTION("""COMPUTED_VALUE"""),"SEÇÃO")</f>
        <v>SEÇÃO</v>
      </c>
      <c r="E1391" s="87" t="str">
        <f>IFERROR(__xludf.DUMMYFUNCTION("""COMPUTED_VALUE"""),"3 - ALMOX. ESTOQUE")</f>
        <v>3 - ALMOX. ESTOQUE</v>
      </c>
      <c r="F1391" s="92" t="str">
        <f>IFERROR(__xludf.DUMMYFUNCTION("""COMPUTED_VALUE"""),"CAMARIM")</f>
        <v>CAMARIM</v>
      </c>
      <c r="G1391" s="89">
        <f>IFERROR(__xludf.DUMMYFUNCTION("""COMPUTED_VALUE"""),7.691755E7)</f>
        <v>76917550</v>
      </c>
      <c r="H1391" s="87"/>
      <c r="I1391" s="87"/>
    </row>
    <row r="1392">
      <c r="A1392" s="84">
        <f>IFERROR(__xludf.DUMMYFUNCTION("""COMPUTED_VALUE"""),1392.0)</f>
        <v>1392</v>
      </c>
      <c r="B1392" s="85" t="str">
        <f>IFERROR(__xludf.DUMMYFUNCTION("""COMPUTED_VALUE"""),"ANILHA PARA GINASTICA -")</f>
        <v>ANILHA PARA GINASTICA -</v>
      </c>
      <c r="C1392" s="86">
        <f>IFERROR(__xludf.DUMMYFUNCTION("""COMPUTED_VALUE"""),1.0)</f>
        <v>1</v>
      </c>
      <c r="D1392" s="87" t="str">
        <f>IFERROR(__xludf.DUMMYFUNCTION("""COMPUTED_VALUE"""),"SEÇÃO")</f>
        <v>SEÇÃO</v>
      </c>
      <c r="E1392" s="87" t="str">
        <f>IFERROR(__xludf.DUMMYFUNCTION("""COMPUTED_VALUE"""),"3 - ALMOX. ESTOQUE")</f>
        <v>3 - ALMOX. ESTOQUE</v>
      </c>
      <c r="F1392" s="92" t="str">
        <f>IFERROR(__xludf.DUMMYFUNCTION("""COMPUTED_VALUE"""),"CAMARIM")</f>
        <v>CAMARIM</v>
      </c>
      <c r="G1392" s="89">
        <f>IFERROR(__xludf.DUMMYFUNCTION("""COMPUTED_VALUE"""),7.6917568E7)</f>
        <v>76917568</v>
      </c>
      <c r="H1392" s="87"/>
      <c r="I1392" s="87"/>
    </row>
    <row r="1393">
      <c r="A1393" s="84">
        <f>IFERROR(__xludf.DUMMYFUNCTION("""COMPUTED_VALUE"""),1393.0)</f>
        <v>1393</v>
      </c>
      <c r="B1393" s="85" t="str">
        <f>IFERROR(__xludf.DUMMYFUNCTION("""COMPUTED_VALUE"""),"ANILHA PARA GINASTICA -")</f>
        <v>ANILHA PARA GINASTICA -</v>
      </c>
      <c r="C1393" s="86">
        <f>IFERROR(__xludf.DUMMYFUNCTION("""COMPUTED_VALUE"""),1.0)</f>
        <v>1</v>
      </c>
      <c r="D1393" s="87" t="str">
        <f>IFERROR(__xludf.DUMMYFUNCTION("""COMPUTED_VALUE"""),"SEÇÃO")</f>
        <v>SEÇÃO</v>
      </c>
      <c r="E1393" s="87" t="str">
        <f>IFERROR(__xludf.DUMMYFUNCTION("""COMPUTED_VALUE"""),"3 - ALMOX. ESTOQUE")</f>
        <v>3 - ALMOX. ESTOQUE</v>
      </c>
      <c r="F1393" s="92" t="str">
        <f>IFERROR(__xludf.DUMMYFUNCTION("""COMPUTED_VALUE"""),"CAMARIM")</f>
        <v>CAMARIM</v>
      </c>
      <c r="G1393" s="89">
        <f>IFERROR(__xludf.DUMMYFUNCTION("""COMPUTED_VALUE"""),7.6917576E7)</f>
        <v>76917576</v>
      </c>
      <c r="H1393" s="87"/>
      <c r="I1393" s="87"/>
    </row>
    <row r="1394">
      <c r="A1394" s="84">
        <f>IFERROR(__xludf.DUMMYFUNCTION("""COMPUTED_VALUE"""),1394.0)</f>
        <v>1394</v>
      </c>
      <c r="B1394" s="85" t="str">
        <f>IFERROR(__xludf.DUMMYFUNCTION("""COMPUTED_VALUE"""),"ANILHA PARA GINASTICA -")</f>
        <v>ANILHA PARA GINASTICA -</v>
      </c>
      <c r="C1394" s="86">
        <f>IFERROR(__xludf.DUMMYFUNCTION("""COMPUTED_VALUE"""),1.0)</f>
        <v>1</v>
      </c>
      <c r="D1394" s="87" t="str">
        <f>IFERROR(__xludf.DUMMYFUNCTION("""COMPUTED_VALUE"""),"SEÇÃO")</f>
        <v>SEÇÃO</v>
      </c>
      <c r="E1394" s="87" t="str">
        <f>IFERROR(__xludf.DUMMYFUNCTION("""COMPUTED_VALUE"""),"3 - ALMOX. ESTOQUE")</f>
        <v>3 - ALMOX. ESTOQUE</v>
      </c>
      <c r="F1394" s="92" t="str">
        <f>IFERROR(__xludf.DUMMYFUNCTION("""COMPUTED_VALUE"""),"CAMARIM")</f>
        <v>CAMARIM</v>
      </c>
      <c r="G1394" s="89">
        <f>IFERROR(__xludf.DUMMYFUNCTION("""COMPUTED_VALUE"""),7.6917584E7)</f>
        <v>76917584</v>
      </c>
      <c r="H1394" s="87"/>
      <c r="I1394" s="87"/>
    </row>
    <row r="1395">
      <c r="A1395" s="84">
        <f>IFERROR(__xludf.DUMMYFUNCTION("""COMPUTED_VALUE"""),1395.0)</f>
        <v>1395</v>
      </c>
      <c r="B1395" s="85" t="str">
        <f>IFERROR(__xludf.DUMMYFUNCTION("""COMPUTED_VALUE"""),"ANILHA PARA GINASTICA -")</f>
        <v>ANILHA PARA GINASTICA -</v>
      </c>
      <c r="C1395" s="86">
        <f>IFERROR(__xludf.DUMMYFUNCTION("""COMPUTED_VALUE"""),1.0)</f>
        <v>1</v>
      </c>
      <c r="D1395" s="87" t="str">
        <f>IFERROR(__xludf.DUMMYFUNCTION("""COMPUTED_VALUE"""),"SEÇÃO")</f>
        <v>SEÇÃO</v>
      </c>
      <c r="E1395" s="87" t="str">
        <f>IFERROR(__xludf.DUMMYFUNCTION("""COMPUTED_VALUE"""),"3 - ALMOX. ESTOQUE")</f>
        <v>3 - ALMOX. ESTOQUE</v>
      </c>
      <c r="F1395" s="92" t="str">
        <f>IFERROR(__xludf.DUMMYFUNCTION("""COMPUTED_VALUE"""),"CAMARIM")</f>
        <v>CAMARIM</v>
      </c>
      <c r="G1395" s="89">
        <f>IFERROR(__xludf.DUMMYFUNCTION("""COMPUTED_VALUE"""),7.6917592E7)</f>
        <v>76917592</v>
      </c>
      <c r="H1395" s="87"/>
      <c r="I1395" s="87"/>
    </row>
    <row r="1396">
      <c r="A1396" s="84">
        <f>IFERROR(__xludf.DUMMYFUNCTION("""COMPUTED_VALUE"""),1396.0)</f>
        <v>1396</v>
      </c>
      <c r="B1396" s="85" t="str">
        <f>IFERROR(__xludf.DUMMYFUNCTION("""COMPUTED_VALUE"""),"ANILHA PARA GINASTICA -")</f>
        <v>ANILHA PARA GINASTICA -</v>
      </c>
      <c r="C1396" s="86">
        <f>IFERROR(__xludf.DUMMYFUNCTION("""COMPUTED_VALUE"""),1.0)</f>
        <v>1</v>
      </c>
      <c r="D1396" s="87" t="str">
        <f>IFERROR(__xludf.DUMMYFUNCTION("""COMPUTED_VALUE"""),"SEÇÃO")</f>
        <v>SEÇÃO</v>
      </c>
      <c r="E1396" s="87" t="str">
        <f>IFERROR(__xludf.DUMMYFUNCTION("""COMPUTED_VALUE"""),"3 - ALMOX. ESTOQUE")</f>
        <v>3 - ALMOX. ESTOQUE</v>
      </c>
      <c r="F1396" s="92" t="str">
        <f>IFERROR(__xludf.DUMMYFUNCTION("""COMPUTED_VALUE"""),"CAMARIM")</f>
        <v>CAMARIM</v>
      </c>
      <c r="G1396" s="89">
        <f>IFERROR(__xludf.DUMMYFUNCTION("""COMPUTED_VALUE"""),7.6917606E7)</f>
        <v>76917606</v>
      </c>
      <c r="H1396" s="87"/>
      <c r="I1396" s="87"/>
    </row>
    <row r="1397">
      <c r="A1397" s="84">
        <f>IFERROR(__xludf.DUMMYFUNCTION("""COMPUTED_VALUE"""),1397.0)</f>
        <v>1397</v>
      </c>
      <c r="B1397" s="85" t="str">
        <f>IFERROR(__xludf.DUMMYFUNCTION("""COMPUTED_VALUE"""),"ANILHA PARA GINASTICA -")</f>
        <v>ANILHA PARA GINASTICA -</v>
      </c>
      <c r="C1397" s="86">
        <f>IFERROR(__xludf.DUMMYFUNCTION("""COMPUTED_VALUE"""),1.0)</f>
        <v>1</v>
      </c>
      <c r="D1397" s="87" t="str">
        <f>IFERROR(__xludf.DUMMYFUNCTION("""COMPUTED_VALUE"""),"SEÇÃO")</f>
        <v>SEÇÃO</v>
      </c>
      <c r="E1397" s="87" t="str">
        <f>IFERROR(__xludf.DUMMYFUNCTION("""COMPUTED_VALUE"""),"3 - ALMOX. ESTOQUE")</f>
        <v>3 - ALMOX. ESTOQUE</v>
      </c>
      <c r="F1397" s="92" t="str">
        <f>IFERROR(__xludf.DUMMYFUNCTION("""COMPUTED_VALUE"""),"CAMARIM")</f>
        <v>CAMARIM</v>
      </c>
      <c r="G1397" s="89">
        <f>IFERROR(__xludf.DUMMYFUNCTION("""COMPUTED_VALUE"""),7.6917614E7)</f>
        <v>76917614</v>
      </c>
      <c r="H1397" s="87"/>
      <c r="I1397" s="87"/>
    </row>
    <row r="1398">
      <c r="A1398" s="84">
        <f>IFERROR(__xludf.DUMMYFUNCTION("""COMPUTED_VALUE"""),1398.0)</f>
        <v>1398</v>
      </c>
      <c r="B1398" s="85" t="str">
        <f>IFERROR(__xludf.DUMMYFUNCTION("""COMPUTED_VALUE"""),"ANILHA PARA GINASTICA -")</f>
        <v>ANILHA PARA GINASTICA -</v>
      </c>
      <c r="C1398" s="86">
        <f>IFERROR(__xludf.DUMMYFUNCTION("""COMPUTED_VALUE"""),1.0)</f>
        <v>1</v>
      </c>
      <c r="D1398" s="87" t="str">
        <f>IFERROR(__xludf.DUMMYFUNCTION("""COMPUTED_VALUE"""),"SEÇÃO")</f>
        <v>SEÇÃO</v>
      </c>
      <c r="E1398" s="87" t="str">
        <f>IFERROR(__xludf.DUMMYFUNCTION("""COMPUTED_VALUE"""),"3 - ALMOX. ESTOQUE")</f>
        <v>3 - ALMOX. ESTOQUE</v>
      </c>
      <c r="F1398" s="92" t="str">
        <f>IFERROR(__xludf.DUMMYFUNCTION("""COMPUTED_VALUE"""),"CAMARIM")</f>
        <v>CAMARIM</v>
      </c>
      <c r="G1398" s="89">
        <f>IFERROR(__xludf.DUMMYFUNCTION("""COMPUTED_VALUE"""),7.6917622E7)</f>
        <v>76917622</v>
      </c>
      <c r="H1398" s="87"/>
      <c r="I1398" s="87"/>
    </row>
    <row r="1399">
      <c r="A1399" s="84">
        <f>IFERROR(__xludf.DUMMYFUNCTION("""COMPUTED_VALUE"""),1399.0)</f>
        <v>1399</v>
      </c>
      <c r="B1399" s="85" t="str">
        <f>IFERROR(__xludf.DUMMYFUNCTION("""COMPUTED_VALUE"""),"ANILHA PARA GINASTICA -")</f>
        <v>ANILHA PARA GINASTICA -</v>
      </c>
      <c r="C1399" s="86">
        <f>IFERROR(__xludf.DUMMYFUNCTION("""COMPUTED_VALUE"""),1.0)</f>
        <v>1</v>
      </c>
      <c r="D1399" s="87" t="str">
        <f>IFERROR(__xludf.DUMMYFUNCTION("""COMPUTED_VALUE"""),"SEÇÃO")</f>
        <v>SEÇÃO</v>
      </c>
      <c r="E1399" s="87" t="str">
        <f>IFERROR(__xludf.DUMMYFUNCTION("""COMPUTED_VALUE"""),"3 - ALMOX. ESTOQUE")</f>
        <v>3 - ALMOX. ESTOQUE</v>
      </c>
      <c r="F1399" s="92" t="str">
        <f>IFERROR(__xludf.DUMMYFUNCTION("""COMPUTED_VALUE"""),"CAMARIM")</f>
        <v>CAMARIM</v>
      </c>
      <c r="G1399" s="89">
        <f>IFERROR(__xludf.DUMMYFUNCTION("""COMPUTED_VALUE"""),7.691763E7)</f>
        <v>76917630</v>
      </c>
      <c r="H1399" s="87"/>
      <c r="I1399" s="87"/>
    </row>
    <row r="1400">
      <c r="A1400" s="84">
        <f>IFERROR(__xludf.DUMMYFUNCTION("""COMPUTED_VALUE"""),1400.0)</f>
        <v>1400</v>
      </c>
      <c r="B1400" s="85" t="str">
        <f>IFERROR(__xludf.DUMMYFUNCTION("""COMPUTED_VALUE"""),"ANILHA PARA GINASTICA -")</f>
        <v>ANILHA PARA GINASTICA -</v>
      </c>
      <c r="C1400" s="86">
        <f>IFERROR(__xludf.DUMMYFUNCTION("""COMPUTED_VALUE"""),1.0)</f>
        <v>1</v>
      </c>
      <c r="D1400" s="87" t="str">
        <f>IFERROR(__xludf.DUMMYFUNCTION("""COMPUTED_VALUE"""),"SEÇÃO")</f>
        <v>SEÇÃO</v>
      </c>
      <c r="E1400" s="87" t="str">
        <f>IFERROR(__xludf.DUMMYFUNCTION("""COMPUTED_VALUE"""),"3 - ALMOX. ESTOQUE")</f>
        <v>3 - ALMOX. ESTOQUE</v>
      </c>
      <c r="F1400" s="92" t="str">
        <f>IFERROR(__xludf.DUMMYFUNCTION("""COMPUTED_VALUE"""),"CAMARIM")</f>
        <v>CAMARIM</v>
      </c>
      <c r="G1400" s="89">
        <f>IFERROR(__xludf.DUMMYFUNCTION("""COMPUTED_VALUE"""),7.6917649E7)</f>
        <v>76917649</v>
      </c>
      <c r="H1400" s="87"/>
      <c r="I1400" s="87"/>
    </row>
    <row r="1401">
      <c r="A1401" s="84">
        <f>IFERROR(__xludf.DUMMYFUNCTION("""COMPUTED_VALUE"""),1401.0)</f>
        <v>1401</v>
      </c>
      <c r="B1401" s="85" t="str">
        <f>IFERROR(__xludf.DUMMYFUNCTION("""COMPUTED_VALUE"""),"ANILHA PARA GINASTICA -")</f>
        <v>ANILHA PARA GINASTICA -</v>
      </c>
      <c r="C1401" s="86">
        <f>IFERROR(__xludf.DUMMYFUNCTION("""COMPUTED_VALUE"""),1.0)</f>
        <v>1</v>
      </c>
      <c r="D1401" s="87" t="str">
        <f>IFERROR(__xludf.DUMMYFUNCTION("""COMPUTED_VALUE"""),"SEÇÃO")</f>
        <v>SEÇÃO</v>
      </c>
      <c r="E1401" s="87" t="str">
        <f>IFERROR(__xludf.DUMMYFUNCTION("""COMPUTED_VALUE"""),"3 - ALMOX. ESTOQUE")</f>
        <v>3 - ALMOX. ESTOQUE</v>
      </c>
      <c r="F1401" s="92" t="str">
        <f>IFERROR(__xludf.DUMMYFUNCTION("""COMPUTED_VALUE"""),"CAMARIM")</f>
        <v>CAMARIM</v>
      </c>
      <c r="G1401" s="89">
        <f>IFERROR(__xludf.DUMMYFUNCTION("""COMPUTED_VALUE"""),7.6917657E7)</f>
        <v>76917657</v>
      </c>
      <c r="H1401" s="87"/>
      <c r="I1401" s="87"/>
    </row>
    <row r="1402">
      <c r="A1402" s="84">
        <f>IFERROR(__xludf.DUMMYFUNCTION("""COMPUTED_VALUE"""),1402.0)</f>
        <v>1402</v>
      </c>
      <c r="B1402" s="85" t="str">
        <f>IFERROR(__xludf.DUMMYFUNCTION("""COMPUTED_VALUE"""),"ANILHA PARA GINASTICA -")</f>
        <v>ANILHA PARA GINASTICA -</v>
      </c>
      <c r="C1402" s="86">
        <f>IFERROR(__xludf.DUMMYFUNCTION("""COMPUTED_VALUE"""),1.0)</f>
        <v>1</v>
      </c>
      <c r="D1402" s="87" t="str">
        <f>IFERROR(__xludf.DUMMYFUNCTION("""COMPUTED_VALUE"""),"SEÇÃO")</f>
        <v>SEÇÃO</v>
      </c>
      <c r="E1402" s="87" t="str">
        <f>IFERROR(__xludf.DUMMYFUNCTION("""COMPUTED_VALUE"""),"3 - ALMOX. ESTOQUE")</f>
        <v>3 - ALMOX. ESTOQUE</v>
      </c>
      <c r="F1402" s="92" t="str">
        <f>IFERROR(__xludf.DUMMYFUNCTION("""COMPUTED_VALUE"""),"CAMARIM")</f>
        <v>CAMARIM</v>
      </c>
      <c r="G1402" s="89">
        <f>IFERROR(__xludf.DUMMYFUNCTION("""COMPUTED_VALUE"""),7.6917665E7)</f>
        <v>76917665</v>
      </c>
      <c r="H1402" s="87"/>
      <c r="I1402" s="87"/>
    </row>
    <row r="1403">
      <c r="A1403" s="84">
        <f>IFERROR(__xludf.DUMMYFUNCTION("""COMPUTED_VALUE"""),1403.0)</f>
        <v>1403</v>
      </c>
      <c r="B1403" s="85" t="str">
        <f>IFERROR(__xludf.DUMMYFUNCTION("""COMPUTED_VALUE"""),"ANILHA PARA GINASTICA -")</f>
        <v>ANILHA PARA GINASTICA -</v>
      </c>
      <c r="C1403" s="86">
        <f>IFERROR(__xludf.DUMMYFUNCTION("""COMPUTED_VALUE"""),1.0)</f>
        <v>1</v>
      </c>
      <c r="D1403" s="87" t="str">
        <f>IFERROR(__xludf.DUMMYFUNCTION("""COMPUTED_VALUE"""),"SEÇÃO")</f>
        <v>SEÇÃO</v>
      </c>
      <c r="E1403" s="87" t="str">
        <f>IFERROR(__xludf.DUMMYFUNCTION("""COMPUTED_VALUE"""),"3 - ALMOX. ESTOQUE")</f>
        <v>3 - ALMOX. ESTOQUE</v>
      </c>
      <c r="F1403" s="92" t="str">
        <f>IFERROR(__xludf.DUMMYFUNCTION("""COMPUTED_VALUE"""),"CAMARIM")</f>
        <v>CAMARIM</v>
      </c>
      <c r="G1403" s="89">
        <f>IFERROR(__xludf.DUMMYFUNCTION("""COMPUTED_VALUE"""),7.6917673E7)</f>
        <v>76917673</v>
      </c>
      <c r="H1403" s="87"/>
      <c r="I1403" s="87"/>
    </row>
    <row r="1404">
      <c r="A1404" s="84">
        <f>IFERROR(__xludf.DUMMYFUNCTION("""COMPUTED_VALUE"""),1404.0)</f>
        <v>1404</v>
      </c>
      <c r="B1404" s="85" t="str">
        <f>IFERROR(__xludf.DUMMYFUNCTION("""COMPUTED_VALUE"""),"ANILHA PARA GINASTICA -")</f>
        <v>ANILHA PARA GINASTICA -</v>
      </c>
      <c r="C1404" s="86">
        <f>IFERROR(__xludf.DUMMYFUNCTION("""COMPUTED_VALUE"""),1.0)</f>
        <v>1</v>
      </c>
      <c r="D1404" s="87" t="str">
        <f>IFERROR(__xludf.DUMMYFUNCTION("""COMPUTED_VALUE"""),"SEÇÃO")</f>
        <v>SEÇÃO</v>
      </c>
      <c r="E1404" s="87" t="str">
        <f>IFERROR(__xludf.DUMMYFUNCTION("""COMPUTED_VALUE"""),"3 - ALMOX. ESTOQUE")</f>
        <v>3 - ALMOX. ESTOQUE</v>
      </c>
      <c r="F1404" s="92" t="str">
        <f>IFERROR(__xludf.DUMMYFUNCTION("""COMPUTED_VALUE"""),"CAMARIM")</f>
        <v>CAMARIM</v>
      </c>
      <c r="G1404" s="89">
        <f>IFERROR(__xludf.DUMMYFUNCTION("""COMPUTED_VALUE"""),7.6917681E7)</f>
        <v>76917681</v>
      </c>
      <c r="H1404" s="87"/>
      <c r="I1404" s="87"/>
    </row>
    <row r="1405">
      <c r="A1405" s="84">
        <f>IFERROR(__xludf.DUMMYFUNCTION("""COMPUTED_VALUE"""),1405.0)</f>
        <v>1405</v>
      </c>
      <c r="B1405" s="85" t="str">
        <f>IFERROR(__xludf.DUMMYFUNCTION("""COMPUTED_VALUE"""),"ANILHA PARA GINASTICA -")</f>
        <v>ANILHA PARA GINASTICA -</v>
      </c>
      <c r="C1405" s="86">
        <f>IFERROR(__xludf.DUMMYFUNCTION("""COMPUTED_VALUE"""),1.0)</f>
        <v>1</v>
      </c>
      <c r="D1405" s="87" t="str">
        <f>IFERROR(__xludf.DUMMYFUNCTION("""COMPUTED_VALUE"""),"SEÇÃO")</f>
        <v>SEÇÃO</v>
      </c>
      <c r="E1405" s="87" t="str">
        <f>IFERROR(__xludf.DUMMYFUNCTION("""COMPUTED_VALUE"""),"3 - ALMOX. ESTOQUE")</f>
        <v>3 - ALMOX. ESTOQUE</v>
      </c>
      <c r="F1405" s="92" t="str">
        <f>IFERROR(__xludf.DUMMYFUNCTION("""COMPUTED_VALUE"""),"CAMARIM")</f>
        <v>CAMARIM</v>
      </c>
      <c r="G1405" s="89">
        <f>IFERROR(__xludf.DUMMYFUNCTION("""COMPUTED_VALUE"""),7.691769E7)</f>
        <v>76917690</v>
      </c>
      <c r="H1405" s="87"/>
      <c r="I1405" s="87"/>
    </row>
    <row r="1406">
      <c r="A1406" s="84">
        <f>IFERROR(__xludf.DUMMYFUNCTION("""COMPUTED_VALUE"""),1406.0)</f>
        <v>1406</v>
      </c>
      <c r="B1406" s="85" t="str">
        <f>IFERROR(__xludf.DUMMYFUNCTION("""COMPUTED_VALUE"""),"ANILHA PARA GINASTICA -")</f>
        <v>ANILHA PARA GINASTICA -</v>
      </c>
      <c r="C1406" s="86">
        <f>IFERROR(__xludf.DUMMYFUNCTION("""COMPUTED_VALUE"""),1.0)</f>
        <v>1</v>
      </c>
      <c r="D1406" s="87" t="str">
        <f>IFERROR(__xludf.DUMMYFUNCTION("""COMPUTED_VALUE"""),"SEÇÃO")</f>
        <v>SEÇÃO</v>
      </c>
      <c r="E1406" s="87" t="str">
        <f>IFERROR(__xludf.DUMMYFUNCTION("""COMPUTED_VALUE"""),"3 - ALMOX. ESTOQUE")</f>
        <v>3 - ALMOX. ESTOQUE</v>
      </c>
      <c r="F1406" s="92" t="str">
        <f>IFERROR(__xludf.DUMMYFUNCTION("""COMPUTED_VALUE"""),"CAMARIM")</f>
        <v>CAMARIM</v>
      </c>
      <c r="G1406" s="89">
        <f>IFERROR(__xludf.DUMMYFUNCTION("""COMPUTED_VALUE"""),7.6917703E7)</f>
        <v>76917703</v>
      </c>
      <c r="H1406" s="87"/>
      <c r="I1406" s="87"/>
    </row>
    <row r="1407">
      <c r="A1407" s="84">
        <f>IFERROR(__xludf.DUMMYFUNCTION("""COMPUTED_VALUE"""),1407.0)</f>
        <v>1407</v>
      </c>
      <c r="B1407" s="85" t="str">
        <f>IFERROR(__xludf.DUMMYFUNCTION("""COMPUTED_VALUE"""),"ANILHA PARA GINASTICA -")</f>
        <v>ANILHA PARA GINASTICA -</v>
      </c>
      <c r="C1407" s="86">
        <f>IFERROR(__xludf.DUMMYFUNCTION("""COMPUTED_VALUE"""),1.0)</f>
        <v>1</v>
      </c>
      <c r="D1407" s="87" t="str">
        <f>IFERROR(__xludf.DUMMYFUNCTION("""COMPUTED_VALUE"""),"SEÇÃO")</f>
        <v>SEÇÃO</v>
      </c>
      <c r="E1407" s="87" t="str">
        <f>IFERROR(__xludf.DUMMYFUNCTION("""COMPUTED_VALUE"""),"3 - ALMOX. ESTOQUE")</f>
        <v>3 - ALMOX. ESTOQUE</v>
      </c>
      <c r="F1407" s="92" t="str">
        <f>IFERROR(__xludf.DUMMYFUNCTION("""COMPUTED_VALUE"""),"CAMARIM")</f>
        <v>CAMARIM</v>
      </c>
      <c r="G1407" s="89">
        <f>IFERROR(__xludf.DUMMYFUNCTION("""COMPUTED_VALUE"""),7.6917711E7)</f>
        <v>76917711</v>
      </c>
      <c r="H1407" s="87"/>
      <c r="I1407" s="87"/>
    </row>
    <row r="1408">
      <c r="A1408" s="84">
        <f>IFERROR(__xludf.DUMMYFUNCTION("""COMPUTED_VALUE"""),1408.0)</f>
        <v>1408</v>
      </c>
      <c r="B1408" s="85" t="str">
        <f>IFERROR(__xludf.DUMMYFUNCTION("""COMPUTED_VALUE"""),"ANILHA PARA GINASTICA -")</f>
        <v>ANILHA PARA GINASTICA -</v>
      </c>
      <c r="C1408" s="86">
        <f>IFERROR(__xludf.DUMMYFUNCTION("""COMPUTED_VALUE"""),1.0)</f>
        <v>1</v>
      </c>
      <c r="D1408" s="87" t="str">
        <f>IFERROR(__xludf.DUMMYFUNCTION("""COMPUTED_VALUE"""),"SEÇÃO")</f>
        <v>SEÇÃO</v>
      </c>
      <c r="E1408" s="87" t="str">
        <f>IFERROR(__xludf.DUMMYFUNCTION("""COMPUTED_VALUE"""),"3 - ALMOX. ESTOQUE")</f>
        <v>3 - ALMOX. ESTOQUE</v>
      </c>
      <c r="F1408" s="92" t="str">
        <f>IFERROR(__xludf.DUMMYFUNCTION("""COMPUTED_VALUE"""),"CAMARIM")</f>
        <v>CAMARIM</v>
      </c>
      <c r="G1408" s="89">
        <f>IFERROR(__xludf.DUMMYFUNCTION("""COMPUTED_VALUE"""),7.691772E7)</f>
        <v>76917720</v>
      </c>
      <c r="H1408" s="87"/>
      <c r="I1408" s="87"/>
    </row>
    <row r="1409">
      <c r="A1409" s="84">
        <f>IFERROR(__xludf.DUMMYFUNCTION("""COMPUTED_VALUE"""),1409.0)</f>
        <v>1409</v>
      </c>
      <c r="B1409" s="85" t="str">
        <f>IFERROR(__xludf.DUMMYFUNCTION("""COMPUTED_VALUE"""),"ANILHA PARA GINASTICA -")</f>
        <v>ANILHA PARA GINASTICA -</v>
      </c>
      <c r="C1409" s="86">
        <f>IFERROR(__xludf.DUMMYFUNCTION("""COMPUTED_VALUE"""),1.0)</f>
        <v>1</v>
      </c>
      <c r="D1409" s="87" t="str">
        <f>IFERROR(__xludf.DUMMYFUNCTION("""COMPUTED_VALUE"""),"SEÇÃO")</f>
        <v>SEÇÃO</v>
      </c>
      <c r="E1409" s="87" t="str">
        <f>IFERROR(__xludf.DUMMYFUNCTION("""COMPUTED_VALUE"""),"3 - ALMOX. ESTOQUE")</f>
        <v>3 - ALMOX. ESTOQUE</v>
      </c>
      <c r="F1409" s="92" t="str">
        <f>IFERROR(__xludf.DUMMYFUNCTION("""COMPUTED_VALUE"""),"CAMARIM")</f>
        <v>CAMARIM</v>
      </c>
      <c r="G1409" s="89">
        <f>IFERROR(__xludf.DUMMYFUNCTION("""COMPUTED_VALUE"""),7.6917738E7)</f>
        <v>76917738</v>
      </c>
      <c r="H1409" s="87"/>
      <c r="I1409" s="87"/>
    </row>
    <row r="1410">
      <c r="A1410" s="84">
        <f>IFERROR(__xludf.DUMMYFUNCTION("""COMPUTED_VALUE"""),1410.0)</f>
        <v>1410</v>
      </c>
      <c r="B1410" s="85" t="str">
        <f>IFERROR(__xludf.DUMMYFUNCTION("""COMPUTED_VALUE"""),"ANILHA PARA GINASTICA -")</f>
        <v>ANILHA PARA GINASTICA -</v>
      </c>
      <c r="C1410" s="86">
        <f>IFERROR(__xludf.DUMMYFUNCTION("""COMPUTED_VALUE"""),1.0)</f>
        <v>1</v>
      </c>
      <c r="D1410" s="87" t="str">
        <f>IFERROR(__xludf.DUMMYFUNCTION("""COMPUTED_VALUE"""),"SEÇÃO")</f>
        <v>SEÇÃO</v>
      </c>
      <c r="E1410" s="87" t="str">
        <f>IFERROR(__xludf.DUMMYFUNCTION("""COMPUTED_VALUE"""),"3 - ALMOX. ESTOQUE")</f>
        <v>3 - ALMOX. ESTOQUE</v>
      </c>
      <c r="F1410" s="92" t="str">
        <f>IFERROR(__xludf.DUMMYFUNCTION("""COMPUTED_VALUE"""),"CAMARIM")</f>
        <v>CAMARIM</v>
      </c>
      <c r="G1410" s="89">
        <f>IFERROR(__xludf.DUMMYFUNCTION("""COMPUTED_VALUE"""),7.6917746E7)</f>
        <v>76917746</v>
      </c>
      <c r="H1410" s="87"/>
      <c r="I1410" s="87"/>
    </row>
    <row r="1411">
      <c r="A1411" s="84">
        <f>IFERROR(__xludf.DUMMYFUNCTION("""COMPUTED_VALUE"""),1411.0)</f>
        <v>1411</v>
      </c>
      <c r="B1411" s="85" t="str">
        <f>IFERROR(__xludf.DUMMYFUNCTION("""COMPUTED_VALUE"""),"ANILHA PARA GINASTICA -")</f>
        <v>ANILHA PARA GINASTICA -</v>
      </c>
      <c r="C1411" s="86">
        <f>IFERROR(__xludf.DUMMYFUNCTION("""COMPUTED_VALUE"""),1.0)</f>
        <v>1</v>
      </c>
      <c r="D1411" s="87" t="str">
        <f>IFERROR(__xludf.DUMMYFUNCTION("""COMPUTED_VALUE"""),"SEÇÃO")</f>
        <v>SEÇÃO</v>
      </c>
      <c r="E1411" s="87" t="str">
        <f>IFERROR(__xludf.DUMMYFUNCTION("""COMPUTED_VALUE"""),"3 - ALMOX. ESTOQUE")</f>
        <v>3 - ALMOX. ESTOQUE</v>
      </c>
      <c r="F1411" s="92" t="str">
        <f>IFERROR(__xludf.DUMMYFUNCTION("""COMPUTED_VALUE"""),"CAMARIM")</f>
        <v>CAMARIM</v>
      </c>
      <c r="G1411" s="89">
        <f>IFERROR(__xludf.DUMMYFUNCTION("""COMPUTED_VALUE"""),7.6917754E7)</f>
        <v>76917754</v>
      </c>
      <c r="H1411" s="87"/>
      <c r="I1411" s="87"/>
    </row>
    <row r="1412">
      <c r="A1412" s="84">
        <f>IFERROR(__xludf.DUMMYFUNCTION("""COMPUTED_VALUE"""),1412.0)</f>
        <v>1412</v>
      </c>
      <c r="B1412" s="85" t="str">
        <f>IFERROR(__xludf.DUMMYFUNCTION("""COMPUTED_VALUE"""),"ANILHA PARA GINASTICA -")</f>
        <v>ANILHA PARA GINASTICA -</v>
      </c>
      <c r="C1412" s="86">
        <f>IFERROR(__xludf.DUMMYFUNCTION("""COMPUTED_VALUE"""),1.0)</f>
        <v>1</v>
      </c>
      <c r="D1412" s="87" t="str">
        <f>IFERROR(__xludf.DUMMYFUNCTION("""COMPUTED_VALUE"""),"SEÇÃO")</f>
        <v>SEÇÃO</v>
      </c>
      <c r="E1412" s="87" t="str">
        <f>IFERROR(__xludf.DUMMYFUNCTION("""COMPUTED_VALUE"""),"3 - ALMOX. ESTOQUE")</f>
        <v>3 - ALMOX. ESTOQUE</v>
      </c>
      <c r="F1412" s="92" t="str">
        <f>IFERROR(__xludf.DUMMYFUNCTION("""COMPUTED_VALUE"""),"CAMARIM")</f>
        <v>CAMARIM</v>
      </c>
      <c r="G1412" s="89">
        <f>IFERROR(__xludf.DUMMYFUNCTION("""COMPUTED_VALUE"""),7.6917762E7)</f>
        <v>76917762</v>
      </c>
      <c r="H1412" s="87"/>
      <c r="I1412" s="87"/>
    </row>
    <row r="1413">
      <c r="A1413" s="84">
        <f>IFERROR(__xludf.DUMMYFUNCTION("""COMPUTED_VALUE"""),1413.0)</f>
        <v>1413</v>
      </c>
      <c r="B1413" s="85" t="str">
        <f>IFERROR(__xludf.DUMMYFUNCTION("""COMPUTED_VALUE"""),"ANILHA PARA GINASTICA -")</f>
        <v>ANILHA PARA GINASTICA -</v>
      </c>
      <c r="C1413" s="86">
        <f>IFERROR(__xludf.DUMMYFUNCTION("""COMPUTED_VALUE"""),1.0)</f>
        <v>1</v>
      </c>
      <c r="D1413" s="87" t="str">
        <f>IFERROR(__xludf.DUMMYFUNCTION("""COMPUTED_VALUE"""),"SEÇÃO")</f>
        <v>SEÇÃO</v>
      </c>
      <c r="E1413" s="87" t="str">
        <f>IFERROR(__xludf.DUMMYFUNCTION("""COMPUTED_VALUE"""),"3 - ALMOX. ESTOQUE")</f>
        <v>3 - ALMOX. ESTOQUE</v>
      </c>
      <c r="F1413" s="92" t="str">
        <f>IFERROR(__xludf.DUMMYFUNCTION("""COMPUTED_VALUE"""),"CAMARIM")</f>
        <v>CAMARIM</v>
      </c>
      <c r="G1413" s="89">
        <f>IFERROR(__xludf.DUMMYFUNCTION("""COMPUTED_VALUE"""),7.691777E7)</f>
        <v>76917770</v>
      </c>
      <c r="H1413" s="87"/>
      <c r="I1413" s="87"/>
    </row>
    <row r="1414">
      <c r="A1414" s="84">
        <f>IFERROR(__xludf.DUMMYFUNCTION("""COMPUTED_VALUE"""),1414.0)</f>
        <v>1414</v>
      </c>
      <c r="B1414" s="85" t="str">
        <f>IFERROR(__xludf.DUMMYFUNCTION("""COMPUTED_VALUE"""),"ANILHA PARA GINASTICA -")</f>
        <v>ANILHA PARA GINASTICA -</v>
      </c>
      <c r="C1414" s="86">
        <f>IFERROR(__xludf.DUMMYFUNCTION("""COMPUTED_VALUE"""),1.0)</f>
        <v>1</v>
      </c>
      <c r="D1414" s="87" t="str">
        <f>IFERROR(__xludf.DUMMYFUNCTION("""COMPUTED_VALUE"""),"SEÇÃO")</f>
        <v>SEÇÃO</v>
      </c>
      <c r="E1414" s="87" t="str">
        <f>IFERROR(__xludf.DUMMYFUNCTION("""COMPUTED_VALUE"""),"3 - ALMOX. ESTOQUE")</f>
        <v>3 - ALMOX. ESTOQUE</v>
      </c>
      <c r="F1414" s="92" t="str">
        <f>IFERROR(__xludf.DUMMYFUNCTION("""COMPUTED_VALUE"""),"CAMARIM")</f>
        <v>CAMARIM</v>
      </c>
      <c r="G1414" s="89">
        <f>IFERROR(__xludf.DUMMYFUNCTION("""COMPUTED_VALUE"""),7.6917789E7)</f>
        <v>76917789</v>
      </c>
      <c r="H1414" s="87"/>
      <c r="I1414" s="87"/>
    </row>
    <row r="1415">
      <c r="A1415" s="84">
        <f>IFERROR(__xludf.DUMMYFUNCTION("""COMPUTED_VALUE"""),1415.0)</f>
        <v>1415</v>
      </c>
      <c r="B1415" s="85" t="str">
        <f>IFERROR(__xludf.DUMMYFUNCTION("""COMPUTED_VALUE"""),"ANILHA PARA GINASTICA -")</f>
        <v>ANILHA PARA GINASTICA -</v>
      </c>
      <c r="C1415" s="86">
        <f>IFERROR(__xludf.DUMMYFUNCTION("""COMPUTED_VALUE"""),1.0)</f>
        <v>1</v>
      </c>
      <c r="D1415" s="87" t="str">
        <f>IFERROR(__xludf.DUMMYFUNCTION("""COMPUTED_VALUE"""),"SEÇÃO")</f>
        <v>SEÇÃO</v>
      </c>
      <c r="E1415" s="87" t="str">
        <f>IFERROR(__xludf.DUMMYFUNCTION("""COMPUTED_VALUE"""),"3 - ALMOX. ESTOQUE")</f>
        <v>3 - ALMOX. ESTOQUE</v>
      </c>
      <c r="F1415" s="92" t="str">
        <f>IFERROR(__xludf.DUMMYFUNCTION("""COMPUTED_VALUE"""),"CAMARIM")</f>
        <v>CAMARIM</v>
      </c>
      <c r="G1415" s="89">
        <f>IFERROR(__xludf.DUMMYFUNCTION("""COMPUTED_VALUE"""),7.6917797E7)</f>
        <v>76917797</v>
      </c>
      <c r="H1415" s="87"/>
      <c r="I1415" s="87"/>
    </row>
    <row r="1416">
      <c r="A1416" s="84">
        <f>IFERROR(__xludf.DUMMYFUNCTION("""COMPUTED_VALUE"""),1416.0)</f>
        <v>1416</v>
      </c>
      <c r="B1416" s="85" t="str">
        <f>IFERROR(__xludf.DUMMYFUNCTION("""COMPUTED_VALUE"""),"ANILHA PARA GINASTICA -")</f>
        <v>ANILHA PARA GINASTICA -</v>
      </c>
      <c r="C1416" s="86">
        <f>IFERROR(__xludf.DUMMYFUNCTION("""COMPUTED_VALUE"""),1.0)</f>
        <v>1</v>
      </c>
      <c r="D1416" s="87" t="str">
        <f>IFERROR(__xludf.DUMMYFUNCTION("""COMPUTED_VALUE"""),"SEÇÃO")</f>
        <v>SEÇÃO</v>
      </c>
      <c r="E1416" s="87" t="str">
        <f>IFERROR(__xludf.DUMMYFUNCTION("""COMPUTED_VALUE"""),"3 - ALMOX. ESTOQUE")</f>
        <v>3 - ALMOX. ESTOQUE</v>
      </c>
      <c r="F1416" s="92" t="str">
        <f>IFERROR(__xludf.DUMMYFUNCTION("""COMPUTED_VALUE"""),"CAMARIM")</f>
        <v>CAMARIM</v>
      </c>
      <c r="G1416" s="89">
        <f>IFERROR(__xludf.DUMMYFUNCTION("""COMPUTED_VALUE"""),7.69178E7)</f>
        <v>76917800</v>
      </c>
      <c r="H1416" s="87"/>
      <c r="I1416" s="87"/>
    </row>
    <row r="1417">
      <c r="A1417" s="84">
        <f>IFERROR(__xludf.DUMMYFUNCTION("""COMPUTED_VALUE"""),1417.0)</f>
        <v>1417</v>
      </c>
      <c r="B1417" s="85" t="str">
        <f>IFERROR(__xludf.DUMMYFUNCTION("""COMPUTED_VALUE"""),"ANILHA PARA GINASTICA -")</f>
        <v>ANILHA PARA GINASTICA -</v>
      </c>
      <c r="C1417" s="86">
        <f>IFERROR(__xludf.DUMMYFUNCTION("""COMPUTED_VALUE"""),1.0)</f>
        <v>1</v>
      </c>
      <c r="D1417" s="87" t="str">
        <f>IFERROR(__xludf.DUMMYFUNCTION("""COMPUTED_VALUE"""),"SEÇÃO")</f>
        <v>SEÇÃO</v>
      </c>
      <c r="E1417" s="87" t="str">
        <f>IFERROR(__xludf.DUMMYFUNCTION("""COMPUTED_VALUE"""),"3 - ALMOX. ESTOQUE")</f>
        <v>3 - ALMOX. ESTOQUE</v>
      </c>
      <c r="F1417" s="92" t="str">
        <f>IFERROR(__xludf.DUMMYFUNCTION("""COMPUTED_VALUE"""),"CAMARIM")</f>
        <v>CAMARIM</v>
      </c>
      <c r="G1417" s="89">
        <f>IFERROR(__xludf.DUMMYFUNCTION("""COMPUTED_VALUE"""),7.6917819E7)</f>
        <v>76917819</v>
      </c>
      <c r="H1417" s="87"/>
      <c r="I1417" s="87"/>
    </row>
    <row r="1418">
      <c r="A1418" s="84">
        <f>IFERROR(__xludf.DUMMYFUNCTION("""COMPUTED_VALUE"""),1418.0)</f>
        <v>1418</v>
      </c>
      <c r="B1418" s="85" t="str">
        <f>IFERROR(__xludf.DUMMYFUNCTION("""COMPUTED_VALUE"""),"ANILHA PARA GINASTICA -")</f>
        <v>ANILHA PARA GINASTICA -</v>
      </c>
      <c r="C1418" s="86">
        <f>IFERROR(__xludf.DUMMYFUNCTION("""COMPUTED_VALUE"""),1.0)</f>
        <v>1</v>
      </c>
      <c r="D1418" s="87" t="str">
        <f>IFERROR(__xludf.DUMMYFUNCTION("""COMPUTED_VALUE"""),"SEÇÃO")</f>
        <v>SEÇÃO</v>
      </c>
      <c r="E1418" s="87" t="str">
        <f>IFERROR(__xludf.DUMMYFUNCTION("""COMPUTED_VALUE"""),"3 - ALMOX. ESTOQUE")</f>
        <v>3 - ALMOX. ESTOQUE</v>
      </c>
      <c r="F1418" s="92" t="str">
        <f>IFERROR(__xludf.DUMMYFUNCTION("""COMPUTED_VALUE"""),"CAMARIM")</f>
        <v>CAMARIM</v>
      </c>
      <c r="G1418" s="89">
        <f>IFERROR(__xludf.DUMMYFUNCTION("""COMPUTED_VALUE"""),7.6917827E7)</f>
        <v>76917827</v>
      </c>
      <c r="H1418" s="87"/>
      <c r="I1418" s="87"/>
    </row>
    <row r="1419">
      <c r="A1419" s="84">
        <f>IFERROR(__xludf.DUMMYFUNCTION("""COMPUTED_VALUE"""),1419.0)</f>
        <v>1419</v>
      </c>
      <c r="B1419" s="85" t="str">
        <f>IFERROR(__xludf.DUMMYFUNCTION("""COMPUTED_VALUE"""),"ANILHA PARA GINASTICA -")</f>
        <v>ANILHA PARA GINASTICA -</v>
      </c>
      <c r="C1419" s="86">
        <f>IFERROR(__xludf.DUMMYFUNCTION("""COMPUTED_VALUE"""),1.0)</f>
        <v>1</v>
      </c>
      <c r="D1419" s="87" t="str">
        <f>IFERROR(__xludf.DUMMYFUNCTION("""COMPUTED_VALUE"""),"SEÇÃO")</f>
        <v>SEÇÃO</v>
      </c>
      <c r="E1419" s="87" t="str">
        <f>IFERROR(__xludf.DUMMYFUNCTION("""COMPUTED_VALUE"""),"3 - ALMOX. ESTOQUE")</f>
        <v>3 - ALMOX. ESTOQUE</v>
      </c>
      <c r="F1419" s="92" t="str">
        <f>IFERROR(__xludf.DUMMYFUNCTION("""COMPUTED_VALUE"""),"CAMARIM")</f>
        <v>CAMARIM</v>
      </c>
      <c r="G1419" s="89">
        <f>IFERROR(__xludf.DUMMYFUNCTION("""COMPUTED_VALUE"""),7.6917835E7)</f>
        <v>76917835</v>
      </c>
      <c r="H1419" s="87"/>
      <c r="I1419" s="87"/>
    </row>
    <row r="1420">
      <c r="A1420" s="84">
        <f>IFERROR(__xludf.DUMMYFUNCTION("""COMPUTED_VALUE"""),1420.0)</f>
        <v>1420</v>
      </c>
      <c r="B1420" s="85" t="str">
        <f>IFERROR(__xludf.DUMMYFUNCTION("""COMPUTED_VALUE"""),"ANILHA PARA GINASTICA -")</f>
        <v>ANILHA PARA GINASTICA -</v>
      </c>
      <c r="C1420" s="86">
        <f>IFERROR(__xludf.DUMMYFUNCTION("""COMPUTED_VALUE"""),1.0)</f>
        <v>1</v>
      </c>
      <c r="D1420" s="87" t="str">
        <f>IFERROR(__xludf.DUMMYFUNCTION("""COMPUTED_VALUE"""),"SEÇÃO")</f>
        <v>SEÇÃO</v>
      </c>
      <c r="E1420" s="87" t="str">
        <f>IFERROR(__xludf.DUMMYFUNCTION("""COMPUTED_VALUE"""),"3 - ALMOX. ESTOQUE")</f>
        <v>3 - ALMOX. ESTOQUE</v>
      </c>
      <c r="F1420" s="92" t="str">
        <f>IFERROR(__xludf.DUMMYFUNCTION("""COMPUTED_VALUE"""),"CAMARIM")</f>
        <v>CAMARIM</v>
      </c>
      <c r="G1420" s="89">
        <f>IFERROR(__xludf.DUMMYFUNCTION("""COMPUTED_VALUE"""),7.6917843E7)</f>
        <v>76917843</v>
      </c>
      <c r="H1420" s="87"/>
      <c r="I1420" s="87"/>
    </row>
    <row r="1421">
      <c r="A1421" s="84">
        <f>IFERROR(__xludf.DUMMYFUNCTION("""COMPUTED_VALUE"""),1421.0)</f>
        <v>1421</v>
      </c>
      <c r="B1421" s="85" t="str">
        <f>IFERROR(__xludf.DUMMYFUNCTION("""COMPUTED_VALUE"""),"ANILHA PARA GINASTICA -")</f>
        <v>ANILHA PARA GINASTICA -</v>
      </c>
      <c r="C1421" s="86">
        <f>IFERROR(__xludf.DUMMYFUNCTION("""COMPUTED_VALUE"""),1.0)</f>
        <v>1</v>
      </c>
      <c r="D1421" s="87" t="str">
        <f>IFERROR(__xludf.DUMMYFUNCTION("""COMPUTED_VALUE"""),"SEÇÃO")</f>
        <v>SEÇÃO</v>
      </c>
      <c r="E1421" s="87" t="str">
        <f>IFERROR(__xludf.DUMMYFUNCTION("""COMPUTED_VALUE"""),"3 - ALMOX. ESTOQUE")</f>
        <v>3 - ALMOX. ESTOQUE</v>
      </c>
      <c r="F1421" s="92" t="str">
        <f>IFERROR(__xludf.DUMMYFUNCTION("""COMPUTED_VALUE"""),"CAMARIM")</f>
        <v>CAMARIM</v>
      </c>
      <c r="G1421" s="89">
        <f>IFERROR(__xludf.DUMMYFUNCTION("""COMPUTED_VALUE"""),7.6917851E7)</f>
        <v>76917851</v>
      </c>
      <c r="H1421" s="87"/>
      <c r="I1421" s="87"/>
    </row>
    <row r="1422">
      <c r="A1422" s="84">
        <f>IFERROR(__xludf.DUMMYFUNCTION("""COMPUTED_VALUE"""),1422.0)</f>
        <v>1422</v>
      </c>
      <c r="B1422" s="85" t="str">
        <f>IFERROR(__xludf.DUMMYFUNCTION("""COMPUTED_VALUE"""),"ANILHA PARA GINASTICA -")</f>
        <v>ANILHA PARA GINASTICA -</v>
      </c>
      <c r="C1422" s="86">
        <f>IFERROR(__xludf.DUMMYFUNCTION("""COMPUTED_VALUE"""),1.0)</f>
        <v>1</v>
      </c>
      <c r="D1422" s="87" t="str">
        <f>IFERROR(__xludf.DUMMYFUNCTION("""COMPUTED_VALUE"""),"SEÇÃO")</f>
        <v>SEÇÃO</v>
      </c>
      <c r="E1422" s="87" t="str">
        <f>IFERROR(__xludf.DUMMYFUNCTION("""COMPUTED_VALUE"""),"3 - ALMOX. ESTOQUE")</f>
        <v>3 - ALMOX. ESTOQUE</v>
      </c>
      <c r="F1422" s="92" t="str">
        <f>IFERROR(__xludf.DUMMYFUNCTION("""COMPUTED_VALUE"""),"CAMARIM")</f>
        <v>CAMARIM</v>
      </c>
      <c r="G1422" s="89">
        <f>IFERROR(__xludf.DUMMYFUNCTION("""COMPUTED_VALUE"""),7.691786E7)</f>
        <v>76917860</v>
      </c>
      <c r="H1422" s="87"/>
      <c r="I1422" s="87"/>
    </row>
    <row r="1423">
      <c r="A1423" s="84">
        <f>IFERROR(__xludf.DUMMYFUNCTION("""COMPUTED_VALUE"""),1423.0)</f>
        <v>1423</v>
      </c>
      <c r="B1423" s="85" t="str">
        <f>IFERROR(__xludf.DUMMYFUNCTION("""COMPUTED_VALUE"""),"ANILHA PARA GINASTICA -")</f>
        <v>ANILHA PARA GINASTICA -</v>
      </c>
      <c r="C1423" s="86">
        <f>IFERROR(__xludf.DUMMYFUNCTION("""COMPUTED_VALUE"""),1.0)</f>
        <v>1</v>
      </c>
      <c r="D1423" s="87" t="str">
        <f>IFERROR(__xludf.DUMMYFUNCTION("""COMPUTED_VALUE"""),"SEÇÃO")</f>
        <v>SEÇÃO</v>
      </c>
      <c r="E1423" s="87" t="str">
        <f>IFERROR(__xludf.DUMMYFUNCTION("""COMPUTED_VALUE"""),"3 - ALMOX. ESTOQUE")</f>
        <v>3 - ALMOX. ESTOQUE</v>
      </c>
      <c r="F1423" s="92" t="str">
        <f>IFERROR(__xludf.DUMMYFUNCTION("""COMPUTED_VALUE"""),"CAMARIM")</f>
        <v>CAMARIM</v>
      </c>
      <c r="G1423" s="89">
        <f>IFERROR(__xludf.DUMMYFUNCTION("""COMPUTED_VALUE"""),7.6917878E7)</f>
        <v>76917878</v>
      </c>
      <c r="H1423" s="87"/>
      <c r="I1423" s="87"/>
    </row>
    <row r="1424">
      <c r="A1424" s="84">
        <f>IFERROR(__xludf.DUMMYFUNCTION("""COMPUTED_VALUE"""),1424.0)</f>
        <v>1424</v>
      </c>
      <c r="B1424" s="85" t="str">
        <f>IFERROR(__xludf.DUMMYFUNCTION("""COMPUTED_VALUE"""),"ANILHA PARA GINASTICA -")</f>
        <v>ANILHA PARA GINASTICA -</v>
      </c>
      <c r="C1424" s="86">
        <f>IFERROR(__xludf.DUMMYFUNCTION("""COMPUTED_VALUE"""),1.0)</f>
        <v>1</v>
      </c>
      <c r="D1424" s="87" t="str">
        <f>IFERROR(__xludf.DUMMYFUNCTION("""COMPUTED_VALUE"""),"SEÇÃO")</f>
        <v>SEÇÃO</v>
      </c>
      <c r="E1424" s="87" t="str">
        <f>IFERROR(__xludf.DUMMYFUNCTION("""COMPUTED_VALUE"""),"3 - ALMOX. ESTOQUE")</f>
        <v>3 - ALMOX. ESTOQUE</v>
      </c>
      <c r="F1424" s="92" t="str">
        <f>IFERROR(__xludf.DUMMYFUNCTION("""COMPUTED_VALUE"""),"CAMARIM")</f>
        <v>CAMARIM</v>
      </c>
      <c r="G1424" s="89">
        <f>IFERROR(__xludf.DUMMYFUNCTION("""COMPUTED_VALUE"""),7.6917886E7)</f>
        <v>76917886</v>
      </c>
      <c r="H1424" s="87"/>
      <c r="I1424" s="87"/>
    </row>
    <row r="1425">
      <c r="A1425" s="84">
        <f>IFERROR(__xludf.DUMMYFUNCTION("""COMPUTED_VALUE"""),1425.0)</f>
        <v>1425</v>
      </c>
      <c r="B1425" s="85" t="str">
        <f>IFERROR(__xludf.DUMMYFUNCTION("""COMPUTED_VALUE"""),"ANILHA PARA GINASTICA -")</f>
        <v>ANILHA PARA GINASTICA -</v>
      </c>
      <c r="C1425" s="86">
        <f>IFERROR(__xludf.DUMMYFUNCTION("""COMPUTED_VALUE"""),1.0)</f>
        <v>1</v>
      </c>
      <c r="D1425" s="87" t="str">
        <f>IFERROR(__xludf.DUMMYFUNCTION("""COMPUTED_VALUE"""),"SEÇÃO")</f>
        <v>SEÇÃO</v>
      </c>
      <c r="E1425" s="87" t="str">
        <f>IFERROR(__xludf.DUMMYFUNCTION("""COMPUTED_VALUE"""),"3 - ALMOX. ESTOQUE")</f>
        <v>3 - ALMOX. ESTOQUE</v>
      </c>
      <c r="F1425" s="92" t="str">
        <f>IFERROR(__xludf.DUMMYFUNCTION("""COMPUTED_VALUE"""),"CAMARIM")</f>
        <v>CAMARIM</v>
      </c>
      <c r="G1425" s="89">
        <f>IFERROR(__xludf.DUMMYFUNCTION("""COMPUTED_VALUE"""),7.6917894E7)</f>
        <v>76917894</v>
      </c>
      <c r="H1425" s="87"/>
      <c r="I1425" s="87"/>
    </row>
    <row r="1426">
      <c r="A1426" s="84">
        <f>IFERROR(__xludf.DUMMYFUNCTION("""COMPUTED_VALUE"""),1426.0)</f>
        <v>1426</v>
      </c>
      <c r="B1426" s="85" t="str">
        <f>IFERROR(__xludf.DUMMYFUNCTION("""COMPUTED_VALUE"""),"ANILHA PARA GINASTICA -")</f>
        <v>ANILHA PARA GINASTICA -</v>
      </c>
      <c r="C1426" s="86">
        <f>IFERROR(__xludf.DUMMYFUNCTION("""COMPUTED_VALUE"""),1.0)</f>
        <v>1</v>
      </c>
      <c r="D1426" s="87" t="str">
        <f>IFERROR(__xludf.DUMMYFUNCTION("""COMPUTED_VALUE"""),"SEÇÃO")</f>
        <v>SEÇÃO</v>
      </c>
      <c r="E1426" s="87" t="str">
        <f>IFERROR(__xludf.DUMMYFUNCTION("""COMPUTED_VALUE"""),"3 - ALMOX. ESTOQUE")</f>
        <v>3 - ALMOX. ESTOQUE</v>
      </c>
      <c r="F1426" s="92" t="str">
        <f>IFERROR(__xludf.DUMMYFUNCTION("""COMPUTED_VALUE"""),"CAMARIM")</f>
        <v>CAMARIM</v>
      </c>
      <c r="G1426" s="89">
        <f>IFERROR(__xludf.DUMMYFUNCTION("""COMPUTED_VALUE"""),7.6917908E7)</f>
        <v>76917908</v>
      </c>
      <c r="H1426" s="87"/>
      <c r="I1426" s="87"/>
    </row>
    <row r="1427">
      <c r="A1427" s="84">
        <f>IFERROR(__xludf.DUMMYFUNCTION("""COMPUTED_VALUE"""),1427.0)</f>
        <v>1427</v>
      </c>
      <c r="B1427" s="85" t="str">
        <f>IFERROR(__xludf.DUMMYFUNCTION("""COMPUTED_VALUE"""),"ANILHA PARA GINASTICA -")</f>
        <v>ANILHA PARA GINASTICA -</v>
      </c>
      <c r="C1427" s="86">
        <f>IFERROR(__xludf.DUMMYFUNCTION("""COMPUTED_VALUE"""),1.0)</f>
        <v>1</v>
      </c>
      <c r="D1427" s="87" t="str">
        <f>IFERROR(__xludf.DUMMYFUNCTION("""COMPUTED_VALUE"""),"SEÇÃO")</f>
        <v>SEÇÃO</v>
      </c>
      <c r="E1427" s="87" t="str">
        <f>IFERROR(__xludf.DUMMYFUNCTION("""COMPUTED_VALUE"""),"3 - ALMOX. ESTOQUE")</f>
        <v>3 - ALMOX. ESTOQUE</v>
      </c>
      <c r="F1427" s="92" t="str">
        <f>IFERROR(__xludf.DUMMYFUNCTION("""COMPUTED_VALUE"""),"CAMARIM")</f>
        <v>CAMARIM</v>
      </c>
      <c r="G1427" s="89">
        <f>IFERROR(__xludf.DUMMYFUNCTION("""COMPUTED_VALUE"""),7.6917916E7)</f>
        <v>76917916</v>
      </c>
      <c r="H1427" s="87"/>
      <c r="I1427" s="87"/>
    </row>
    <row r="1428">
      <c r="A1428" s="84">
        <f>IFERROR(__xludf.DUMMYFUNCTION("""COMPUTED_VALUE"""),1428.0)</f>
        <v>1428</v>
      </c>
      <c r="B1428" s="85" t="str">
        <f>IFERROR(__xludf.DUMMYFUNCTION("""COMPUTED_VALUE"""),"ANILHA PARA GINASTICA -")</f>
        <v>ANILHA PARA GINASTICA -</v>
      </c>
      <c r="C1428" s="86">
        <f>IFERROR(__xludf.DUMMYFUNCTION("""COMPUTED_VALUE"""),1.0)</f>
        <v>1</v>
      </c>
      <c r="D1428" s="87" t="str">
        <f>IFERROR(__xludf.DUMMYFUNCTION("""COMPUTED_VALUE"""),"SEÇÃO")</f>
        <v>SEÇÃO</v>
      </c>
      <c r="E1428" s="87" t="str">
        <f>IFERROR(__xludf.DUMMYFUNCTION("""COMPUTED_VALUE"""),"3 - ALMOX. ESTOQUE")</f>
        <v>3 - ALMOX. ESTOQUE</v>
      </c>
      <c r="F1428" s="92" t="str">
        <f>IFERROR(__xludf.DUMMYFUNCTION("""COMPUTED_VALUE"""),"CAMARIM")</f>
        <v>CAMARIM</v>
      </c>
      <c r="G1428" s="89">
        <f>IFERROR(__xludf.DUMMYFUNCTION("""COMPUTED_VALUE"""),7.6917924E7)</f>
        <v>76917924</v>
      </c>
      <c r="H1428" s="87"/>
      <c r="I1428" s="87"/>
    </row>
    <row r="1429">
      <c r="A1429" s="84">
        <f>IFERROR(__xludf.DUMMYFUNCTION("""COMPUTED_VALUE"""),1429.0)</f>
        <v>1429</v>
      </c>
      <c r="B1429" s="85" t="str">
        <f>IFERROR(__xludf.DUMMYFUNCTION("""COMPUTED_VALUE"""),"ANILHA PARA GINASTICA -")</f>
        <v>ANILHA PARA GINASTICA -</v>
      </c>
      <c r="C1429" s="86">
        <f>IFERROR(__xludf.DUMMYFUNCTION("""COMPUTED_VALUE"""),1.0)</f>
        <v>1</v>
      </c>
      <c r="D1429" s="87" t="str">
        <f>IFERROR(__xludf.DUMMYFUNCTION("""COMPUTED_VALUE"""),"SEÇÃO")</f>
        <v>SEÇÃO</v>
      </c>
      <c r="E1429" s="87" t="str">
        <f>IFERROR(__xludf.DUMMYFUNCTION("""COMPUTED_VALUE"""),"3 - ALMOX. ESTOQUE")</f>
        <v>3 - ALMOX. ESTOQUE</v>
      </c>
      <c r="F1429" s="92" t="str">
        <f>IFERROR(__xludf.DUMMYFUNCTION("""COMPUTED_VALUE"""),"CAMARIM")</f>
        <v>CAMARIM</v>
      </c>
      <c r="G1429" s="89">
        <f>IFERROR(__xludf.DUMMYFUNCTION("""COMPUTED_VALUE"""),7.6917932E7)</f>
        <v>76917932</v>
      </c>
      <c r="H1429" s="87"/>
      <c r="I1429" s="87"/>
    </row>
    <row r="1430">
      <c r="A1430" s="84">
        <f>IFERROR(__xludf.DUMMYFUNCTION("""COMPUTED_VALUE"""),1430.0)</f>
        <v>1430</v>
      </c>
      <c r="B1430" s="85" t="str">
        <f>IFERROR(__xludf.DUMMYFUNCTION("""COMPUTED_VALUE"""),"ANILHA PARA GINASTICA -")</f>
        <v>ANILHA PARA GINASTICA -</v>
      </c>
      <c r="C1430" s="86">
        <f>IFERROR(__xludf.DUMMYFUNCTION("""COMPUTED_VALUE"""),1.0)</f>
        <v>1</v>
      </c>
      <c r="D1430" s="87" t="str">
        <f>IFERROR(__xludf.DUMMYFUNCTION("""COMPUTED_VALUE"""),"SEÇÃO")</f>
        <v>SEÇÃO</v>
      </c>
      <c r="E1430" s="87" t="str">
        <f>IFERROR(__xludf.DUMMYFUNCTION("""COMPUTED_VALUE"""),"3 - ALMOX. ESTOQUE")</f>
        <v>3 - ALMOX. ESTOQUE</v>
      </c>
      <c r="F1430" s="92" t="str">
        <f>IFERROR(__xludf.DUMMYFUNCTION("""COMPUTED_VALUE"""),"CAMARIM")</f>
        <v>CAMARIM</v>
      </c>
      <c r="G1430" s="89">
        <f>IFERROR(__xludf.DUMMYFUNCTION("""COMPUTED_VALUE"""),7.691794E7)</f>
        <v>76917940</v>
      </c>
      <c r="H1430" s="87"/>
      <c r="I1430" s="87"/>
    </row>
    <row r="1431">
      <c r="A1431" s="84">
        <f>IFERROR(__xludf.DUMMYFUNCTION("""COMPUTED_VALUE"""),1431.0)</f>
        <v>1431</v>
      </c>
      <c r="B1431" s="85" t="str">
        <f>IFERROR(__xludf.DUMMYFUNCTION("""COMPUTED_VALUE"""),"ANILHA PARA GINASTICA -")</f>
        <v>ANILHA PARA GINASTICA -</v>
      </c>
      <c r="C1431" s="86">
        <f>IFERROR(__xludf.DUMMYFUNCTION("""COMPUTED_VALUE"""),1.0)</f>
        <v>1</v>
      </c>
      <c r="D1431" s="87" t="str">
        <f>IFERROR(__xludf.DUMMYFUNCTION("""COMPUTED_VALUE"""),"SEÇÃO")</f>
        <v>SEÇÃO</v>
      </c>
      <c r="E1431" s="87" t="str">
        <f>IFERROR(__xludf.DUMMYFUNCTION("""COMPUTED_VALUE"""),"3 - ALMOX. ESTOQUE")</f>
        <v>3 - ALMOX. ESTOQUE</v>
      </c>
      <c r="F1431" s="92" t="str">
        <f>IFERROR(__xludf.DUMMYFUNCTION("""COMPUTED_VALUE"""),"CAMARIM")</f>
        <v>CAMARIM</v>
      </c>
      <c r="G1431" s="89">
        <f>IFERROR(__xludf.DUMMYFUNCTION("""COMPUTED_VALUE"""),7.6917959E7)</f>
        <v>76917959</v>
      </c>
      <c r="H1431" s="87"/>
      <c r="I1431" s="87"/>
    </row>
    <row r="1432">
      <c r="A1432" s="84">
        <f>IFERROR(__xludf.DUMMYFUNCTION("""COMPUTED_VALUE"""),1432.0)</f>
        <v>1432</v>
      </c>
      <c r="B1432" s="85" t="str">
        <f>IFERROR(__xludf.DUMMYFUNCTION("""COMPUTED_VALUE"""),"ANILHA PARA GINASTICA -")</f>
        <v>ANILHA PARA GINASTICA -</v>
      </c>
      <c r="C1432" s="86">
        <f>IFERROR(__xludf.DUMMYFUNCTION("""COMPUTED_VALUE"""),1.0)</f>
        <v>1</v>
      </c>
      <c r="D1432" s="87" t="str">
        <f>IFERROR(__xludf.DUMMYFUNCTION("""COMPUTED_VALUE"""),"SEÇÃO")</f>
        <v>SEÇÃO</v>
      </c>
      <c r="E1432" s="87" t="str">
        <f>IFERROR(__xludf.DUMMYFUNCTION("""COMPUTED_VALUE"""),"3 - ALMOX. ESTOQUE")</f>
        <v>3 - ALMOX. ESTOQUE</v>
      </c>
      <c r="F1432" s="92" t="str">
        <f>IFERROR(__xludf.DUMMYFUNCTION("""COMPUTED_VALUE"""),"CAMARIM")</f>
        <v>CAMARIM</v>
      </c>
      <c r="G1432" s="89">
        <f>IFERROR(__xludf.DUMMYFUNCTION("""COMPUTED_VALUE"""),7.6917967E7)</f>
        <v>76917967</v>
      </c>
      <c r="H1432" s="87"/>
      <c r="I1432" s="87"/>
    </row>
    <row r="1433">
      <c r="A1433" s="84">
        <f>IFERROR(__xludf.DUMMYFUNCTION("""COMPUTED_VALUE"""),1433.0)</f>
        <v>1433</v>
      </c>
      <c r="B1433" s="85" t="str">
        <f>IFERROR(__xludf.DUMMYFUNCTION("""COMPUTED_VALUE"""),"ANILHA PARA GINASTICA -")</f>
        <v>ANILHA PARA GINASTICA -</v>
      </c>
      <c r="C1433" s="86">
        <f>IFERROR(__xludf.DUMMYFUNCTION("""COMPUTED_VALUE"""),1.0)</f>
        <v>1</v>
      </c>
      <c r="D1433" s="87" t="str">
        <f>IFERROR(__xludf.DUMMYFUNCTION("""COMPUTED_VALUE"""),"SEÇÃO")</f>
        <v>SEÇÃO</v>
      </c>
      <c r="E1433" s="87" t="str">
        <f>IFERROR(__xludf.DUMMYFUNCTION("""COMPUTED_VALUE"""),"3 - ALMOX. ESTOQUE")</f>
        <v>3 - ALMOX. ESTOQUE</v>
      </c>
      <c r="F1433" s="92" t="str">
        <f>IFERROR(__xludf.DUMMYFUNCTION("""COMPUTED_VALUE"""),"CAMARIM")</f>
        <v>CAMARIM</v>
      </c>
      <c r="G1433" s="89">
        <f>IFERROR(__xludf.DUMMYFUNCTION("""COMPUTED_VALUE"""),7.6917975E7)</f>
        <v>76917975</v>
      </c>
      <c r="H1433" s="87"/>
      <c r="I1433" s="87"/>
    </row>
    <row r="1434">
      <c r="A1434" s="84">
        <f>IFERROR(__xludf.DUMMYFUNCTION("""COMPUTED_VALUE"""),1434.0)</f>
        <v>1434</v>
      </c>
      <c r="B1434" s="85" t="str">
        <f>IFERROR(__xludf.DUMMYFUNCTION("""COMPUTED_VALUE"""),"ANILHA PARA GINASTICA -")</f>
        <v>ANILHA PARA GINASTICA -</v>
      </c>
      <c r="C1434" s="86">
        <f>IFERROR(__xludf.DUMMYFUNCTION("""COMPUTED_VALUE"""),1.0)</f>
        <v>1</v>
      </c>
      <c r="D1434" s="87" t="str">
        <f>IFERROR(__xludf.DUMMYFUNCTION("""COMPUTED_VALUE"""),"SEÇÃO")</f>
        <v>SEÇÃO</v>
      </c>
      <c r="E1434" s="87" t="str">
        <f>IFERROR(__xludf.DUMMYFUNCTION("""COMPUTED_VALUE"""),"3 - ALMOX. ESTOQUE")</f>
        <v>3 - ALMOX. ESTOQUE</v>
      </c>
      <c r="F1434" s="92" t="str">
        <f>IFERROR(__xludf.DUMMYFUNCTION("""COMPUTED_VALUE"""),"CAMARIM")</f>
        <v>CAMARIM</v>
      </c>
      <c r="G1434" s="89">
        <f>IFERROR(__xludf.DUMMYFUNCTION("""COMPUTED_VALUE"""),7.6917983E7)</f>
        <v>76917983</v>
      </c>
      <c r="H1434" s="87"/>
      <c r="I1434" s="87"/>
    </row>
    <row r="1435">
      <c r="A1435" s="84">
        <f>IFERROR(__xludf.DUMMYFUNCTION("""COMPUTED_VALUE"""),1435.0)</f>
        <v>1435</v>
      </c>
      <c r="B1435" s="85" t="str">
        <f>IFERROR(__xludf.DUMMYFUNCTION("""COMPUTED_VALUE"""),"ANILHA PARA GINASTICA -")</f>
        <v>ANILHA PARA GINASTICA -</v>
      </c>
      <c r="C1435" s="86">
        <f>IFERROR(__xludf.DUMMYFUNCTION("""COMPUTED_VALUE"""),1.0)</f>
        <v>1</v>
      </c>
      <c r="D1435" s="87" t="str">
        <f>IFERROR(__xludf.DUMMYFUNCTION("""COMPUTED_VALUE"""),"SEÇÃO")</f>
        <v>SEÇÃO</v>
      </c>
      <c r="E1435" s="87" t="str">
        <f>IFERROR(__xludf.DUMMYFUNCTION("""COMPUTED_VALUE"""),"3 - ALMOX. ESTOQUE")</f>
        <v>3 - ALMOX. ESTOQUE</v>
      </c>
      <c r="F1435" s="92" t="str">
        <f>IFERROR(__xludf.DUMMYFUNCTION("""COMPUTED_VALUE"""),"CAMARIM")</f>
        <v>CAMARIM</v>
      </c>
      <c r="G1435" s="89">
        <f>IFERROR(__xludf.DUMMYFUNCTION("""COMPUTED_VALUE"""),7.6917991E7)</f>
        <v>76917991</v>
      </c>
      <c r="H1435" s="87"/>
      <c r="I1435" s="87"/>
    </row>
    <row r="1436">
      <c r="A1436" s="84">
        <f>IFERROR(__xludf.DUMMYFUNCTION("""COMPUTED_VALUE"""),1436.0)</f>
        <v>1436</v>
      </c>
      <c r="B1436" s="85" t="str">
        <f>IFERROR(__xludf.DUMMYFUNCTION("""COMPUTED_VALUE"""),"ANILHA PARA GINASTICA -")</f>
        <v>ANILHA PARA GINASTICA -</v>
      </c>
      <c r="C1436" s="86">
        <f>IFERROR(__xludf.DUMMYFUNCTION("""COMPUTED_VALUE"""),1.0)</f>
        <v>1</v>
      </c>
      <c r="D1436" s="87" t="str">
        <f>IFERROR(__xludf.DUMMYFUNCTION("""COMPUTED_VALUE"""),"SEÇÃO")</f>
        <v>SEÇÃO</v>
      </c>
      <c r="E1436" s="87" t="str">
        <f>IFERROR(__xludf.DUMMYFUNCTION("""COMPUTED_VALUE"""),"3 - ALMOX. ESTOQUE")</f>
        <v>3 - ALMOX. ESTOQUE</v>
      </c>
      <c r="F1436" s="92" t="str">
        <f>IFERROR(__xludf.DUMMYFUNCTION("""COMPUTED_VALUE"""),"CAMARIM")</f>
        <v>CAMARIM</v>
      </c>
      <c r="G1436" s="89">
        <f>IFERROR(__xludf.DUMMYFUNCTION("""COMPUTED_VALUE"""),7.6918009E7)</f>
        <v>76918009</v>
      </c>
      <c r="H1436" s="87"/>
      <c r="I1436" s="87"/>
    </row>
    <row r="1437">
      <c r="A1437" s="84">
        <f>IFERROR(__xludf.DUMMYFUNCTION("""COMPUTED_VALUE"""),1437.0)</f>
        <v>1437</v>
      </c>
      <c r="B1437" s="85" t="str">
        <f>IFERROR(__xludf.DUMMYFUNCTION("""COMPUTED_VALUE"""),"ANILHA PARA GINASTICA -")</f>
        <v>ANILHA PARA GINASTICA -</v>
      </c>
      <c r="C1437" s="86">
        <f>IFERROR(__xludf.DUMMYFUNCTION("""COMPUTED_VALUE"""),1.0)</f>
        <v>1</v>
      </c>
      <c r="D1437" s="87" t="str">
        <f>IFERROR(__xludf.DUMMYFUNCTION("""COMPUTED_VALUE"""),"SEÇÃO")</f>
        <v>SEÇÃO</v>
      </c>
      <c r="E1437" s="87" t="str">
        <f>IFERROR(__xludf.DUMMYFUNCTION("""COMPUTED_VALUE"""),"3 - ALMOX. ESTOQUE")</f>
        <v>3 - ALMOX. ESTOQUE</v>
      </c>
      <c r="F1437" s="92" t="str">
        <f>IFERROR(__xludf.DUMMYFUNCTION("""COMPUTED_VALUE"""),"CAMARIM")</f>
        <v>CAMARIM</v>
      </c>
      <c r="G1437" s="89">
        <f>IFERROR(__xludf.DUMMYFUNCTION("""COMPUTED_VALUE"""),7.6918017E7)</f>
        <v>76918017</v>
      </c>
      <c r="H1437" s="87"/>
      <c r="I1437" s="87"/>
    </row>
    <row r="1438">
      <c r="A1438" s="84">
        <f>IFERROR(__xludf.DUMMYFUNCTION("""COMPUTED_VALUE"""),1438.0)</f>
        <v>1438</v>
      </c>
      <c r="B1438" s="85" t="str">
        <f>IFERROR(__xludf.DUMMYFUNCTION("""COMPUTED_VALUE"""),"ANILHA PARA GINASTICA -")</f>
        <v>ANILHA PARA GINASTICA -</v>
      </c>
      <c r="C1438" s="86">
        <f>IFERROR(__xludf.DUMMYFUNCTION("""COMPUTED_VALUE"""),1.0)</f>
        <v>1</v>
      </c>
      <c r="D1438" s="87" t="str">
        <f>IFERROR(__xludf.DUMMYFUNCTION("""COMPUTED_VALUE"""),"SEÇÃO")</f>
        <v>SEÇÃO</v>
      </c>
      <c r="E1438" s="87" t="str">
        <f>IFERROR(__xludf.DUMMYFUNCTION("""COMPUTED_VALUE"""),"3 - ALMOX. ESTOQUE")</f>
        <v>3 - ALMOX. ESTOQUE</v>
      </c>
      <c r="F1438" s="92" t="str">
        <f>IFERROR(__xludf.DUMMYFUNCTION("""COMPUTED_VALUE"""),"CAMARIM")</f>
        <v>CAMARIM</v>
      </c>
      <c r="G1438" s="89">
        <f>IFERROR(__xludf.DUMMYFUNCTION("""COMPUTED_VALUE"""),7.6918025E7)</f>
        <v>76918025</v>
      </c>
      <c r="H1438" s="87"/>
      <c r="I1438" s="87"/>
    </row>
    <row r="1439">
      <c r="A1439" s="84">
        <f>IFERROR(__xludf.DUMMYFUNCTION("""COMPUTED_VALUE"""),1439.0)</f>
        <v>1439</v>
      </c>
      <c r="B1439" s="85" t="str">
        <f>IFERROR(__xludf.DUMMYFUNCTION("""COMPUTED_VALUE"""),"ANILHA PARA GINASTICA -")</f>
        <v>ANILHA PARA GINASTICA -</v>
      </c>
      <c r="C1439" s="86">
        <f>IFERROR(__xludf.DUMMYFUNCTION("""COMPUTED_VALUE"""),1.0)</f>
        <v>1</v>
      </c>
      <c r="D1439" s="87" t="str">
        <f>IFERROR(__xludf.DUMMYFUNCTION("""COMPUTED_VALUE"""),"SEÇÃO")</f>
        <v>SEÇÃO</v>
      </c>
      <c r="E1439" s="87" t="str">
        <f>IFERROR(__xludf.DUMMYFUNCTION("""COMPUTED_VALUE"""),"3 - ALMOX. ESTOQUE")</f>
        <v>3 - ALMOX. ESTOQUE</v>
      </c>
      <c r="F1439" s="92" t="str">
        <f>IFERROR(__xludf.DUMMYFUNCTION("""COMPUTED_VALUE"""),"CAMARIM")</f>
        <v>CAMARIM</v>
      </c>
      <c r="G1439" s="89">
        <f>IFERROR(__xludf.DUMMYFUNCTION("""COMPUTED_VALUE"""),7.6918033E7)</f>
        <v>76918033</v>
      </c>
      <c r="H1439" s="87"/>
      <c r="I1439" s="87"/>
    </row>
    <row r="1440">
      <c r="A1440" s="84">
        <f>IFERROR(__xludf.DUMMYFUNCTION("""COMPUTED_VALUE"""),1440.0)</f>
        <v>1440</v>
      </c>
      <c r="B1440" s="85" t="str">
        <f>IFERROR(__xludf.DUMMYFUNCTION("""COMPUTED_VALUE"""),"ANILHA PARA GINASTICA -")</f>
        <v>ANILHA PARA GINASTICA -</v>
      </c>
      <c r="C1440" s="86">
        <f>IFERROR(__xludf.DUMMYFUNCTION("""COMPUTED_VALUE"""),1.0)</f>
        <v>1</v>
      </c>
      <c r="D1440" s="87" t="str">
        <f>IFERROR(__xludf.DUMMYFUNCTION("""COMPUTED_VALUE"""),"SEÇÃO")</f>
        <v>SEÇÃO</v>
      </c>
      <c r="E1440" s="87" t="str">
        <f>IFERROR(__xludf.DUMMYFUNCTION("""COMPUTED_VALUE"""),"3 - ALMOX. ESTOQUE")</f>
        <v>3 - ALMOX. ESTOQUE</v>
      </c>
      <c r="F1440" s="92" t="str">
        <f>IFERROR(__xludf.DUMMYFUNCTION("""COMPUTED_VALUE"""),"CAMARIM")</f>
        <v>CAMARIM</v>
      </c>
      <c r="G1440" s="89">
        <f>IFERROR(__xludf.DUMMYFUNCTION("""COMPUTED_VALUE"""),7.6918041E7)</f>
        <v>76918041</v>
      </c>
      <c r="H1440" s="87"/>
      <c r="I1440" s="87"/>
    </row>
    <row r="1441">
      <c r="A1441" s="84">
        <f>IFERROR(__xludf.DUMMYFUNCTION("""COMPUTED_VALUE"""),1441.0)</f>
        <v>1441</v>
      </c>
      <c r="B1441" s="85" t="str">
        <f>IFERROR(__xludf.DUMMYFUNCTION("""COMPUTED_VALUE"""),"ANILHA PARA GINASTICA -")</f>
        <v>ANILHA PARA GINASTICA -</v>
      </c>
      <c r="C1441" s="86">
        <f>IFERROR(__xludf.DUMMYFUNCTION("""COMPUTED_VALUE"""),1.0)</f>
        <v>1</v>
      </c>
      <c r="D1441" s="87" t="str">
        <f>IFERROR(__xludf.DUMMYFUNCTION("""COMPUTED_VALUE"""),"SEÇÃO")</f>
        <v>SEÇÃO</v>
      </c>
      <c r="E1441" s="87" t="str">
        <f>IFERROR(__xludf.DUMMYFUNCTION("""COMPUTED_VALUE"""),"3 - ALMOX. ESTOQUE")</f>
        <v>3 - ALMOX. ESTOQUE</v>
      </c>
      <c r="F1441" s="92" t="str">
        <f>IFERROR(__xludf.DUMMYFUNCTION("""COMPUTED_VALUE"""),"CAMARIM")</f>
        <v>CAMARIM</v>
      </c>
      <c r="G1441" s="89">
        <f>IFERROR(__xludf.DUMMYFUNCTION("""COMPUTED_VALUE"""),7.691805E7)</f>
        <v>76918050</v>
      </c>
      <c r="H1441" s="87"/>
      <c r="I1441" s="87"/>
    </row>
    <row r="1442">
      <c r="A1442" s="84">
        <f>IFERROR(__xludf.DUMMYFUNCTION("""COMPUTED_VALUE"""),1442.0)</f>
        <v>1442</v>
      </c>
      <c r="B1442" s="85" t="str">
        <f>IFERROR(__xludf.DUMMYFUNCTION("""COMPUTED_VALUE"""),"ANILHA PARA GINASTICA -")</f>
        <v>ANILHA PARA GINASTICA -</v>
      </c>
      <c r="C1442" s="86">
        <f>IFERROR(__xludf.DUMMYFUNCTION("""COMPUTED_VALUE"""),1.0)</f>
        <v>1</v>
      </c>
      <c r="D1442" s="87" t="str">
        <f>IFERROR(__xludf.DUMMYFUNCTION("""COMPUTED_VALUE"""),"SEÇÃO")</f>
        <v>SEÇÃO</v>
      </c>
      <c r="E1442" s="87" t="str">
        <f>IFERROR(__xludf.DUMMYFUNCTION("""COMPUTED_VALUE"""),"3 - ALMOX. ESTOQUE")</f>
        <v>3 - ALMOX. ESTOQUE</v>
      </c>
      <c r="F1442" s="92" t="str">
        <f>IFERROR(__xludf.DUMMYFUNCTION("""COMPUTED_VALUE"""),"CAMARIM")</f>
        <v>CAMARIM</v>
      </c>
      <c r="G1442" s="89">
        <f>IFERROR(__xludf.DUMMYFUNCTION("""COMPUTED_VALUE"""),7.6918068E7)</f>
        <v>76918068</v>
      </c>
      <c r="H1442" s="87"/>
      <c r="I1442" s="87"/>
    </row>
    <row r="1443">
      <c r="A1443" s="84">
        <f>IFERROR(__xludf.DUMMYFUNCTION("""COMPUTED_VALUE"""),1443.0)</f>
        <v>1443</v>
      </c>
      <c r="B1443" s="85" t="str">
        <f>IFERROR(__xludf.DUMMYFUNCTION("""COMPUTED_VALUE"""),"ANILHA PARA GINASTICA -")</f>
        <v>ANILHA PARA GINASTICA -</v>
      </c>
      <c r="C1443" s="86">
        <f>IFERROR(__xludf.DUMMYFUNCTION("""COMPUTED_VALUE"""),1.0)</f>
        <v>1</v>
      </c>
      <c r="D1443" s="87" t="str">
        <f>IFERROR(__xludf.DUMMYFUNCTION("""COMPUTED_VALUE"""),"SEÇÃO")</f>
        <v>SEÇÃO</v>
      </c>
      <c r="E1443" s="87" t="str">
        <f>IFERROR(__xludf.DUMMYFUNCTION("""COMPUTED_VALUE"""),"3 - ALMOX. ESTOQUE")</f>
        <v>3 - ALMOX. ESTOQUE</v>
      </c>
      <c r="F1443" s="92" t="str">
        <f>IFERROR(__xludf.DUMMYFUNCTION("""COMPUTED_VALUE"""),"CAMARIM")</f>
        <v>CAMARIM</v>
      </c>
      <c r="G1443" s="89">
        <f>IFERROR(__xludf.DUMMYFUNCTION("""COMPUTED_VALUE"""),7.6918076E7)</f>
        <v>76918076</v>
      </c>
      <c r="H1443" s="87"/>
      <c r="I1443" s="87"/>
    </row>
    <row r="1444">
      <c r="A1444" s="84">
        <f>IFERROR(__xludf.DUMMYFUNCTION("""COMPUTED_VALUE"""),1444.0)</f>
        <v>1444</v>
      </c>
      <c r="B1444" s="85" t="str">
        <f>IFERROR(__xludf.DUMMYFUNCTION("""COMPUTED_VALUE"""),"ANILHA PARA GINASTICA -")</f>
        <v>ANILHA PARA GINASTICA -</v>
      </c>
      <c r="C1444" s="86">
        <f>IFERROR(__xludf.DUMMYFUNCTION("""COMPUTED_VALUE"""),1.0)</f>
        <v>1</v>
      </c>
      <c r="D1444" s="87" t="str">
        <f>IFERROR(__xludf.DUMMYFUNCTION("""COMPUTED_VALUE"""),"SEÇÃO")</f>
        <v>SEÇÃO</v>
      </c>
      <c r="E1444" s="87" t="str">
        <f>IFERROR(__xludf.DUMMYFUNCTION("""COMPUTED_VALUE"""),"3 - ALMOX. ESTOQUE")</f>
        <v>3 - ALMOX. ESTOQUE</v>
      </c>
      <c r="F1444" s="92" t="str">
        <f>IFERROR(__xludf.DUMMYFUNCTION("""COMPUTED_VALUE"""),"CAMARIM")</f>
        <v>CAMARIM</v>
      </c>
      <c r="G1444" s="89">
        <f>IFERROR(__xludf.DUMMYFUNCTION("""COMPUTED_VALUE"""),7.6918084E7)</f>
        <v>76918084</v>
      </c>
      <c r="H1444" s="87"/>
      <c r="I1444" s="87"/>
    </row>
    <row r="1445">
      <c r="A1445" s="84">
        <f>IFERROR(__xludf.DUMMYFUNCTION("""COMPUTED_VALUE"""),1445.0)</f>
        <v>1445</v>
      </c>
      <c r="B1445" s="85" t="str">
        <f>IFERROR(__xludf.DUMMYFUNCTION("""COMPUTED_VALUE"""),"ANILHA PARA GINASTICA -")</f>
        <v>ANILHA PARA GINASTICA -</v>
      </c>
      <c r="C1445" s="86">
        <f>IFERROR(__xludf.DUMMYFUNCTION("""COMPUTED_VALUE"""),1.0)</f>
        <v>1</v>
      </c>
      <c r="D1445" s="87" t="str">
        <f>IFERROR(__xludf.DUMMYFUNCTION("""COMPUTED_VALUE"""),"SEÇÃO")</f>
        <v>SEÇÃO</v>
      </c>
      <c r="E1445" s="87" t="str">
        <f>IFERROR(__xludf.DUMMYFUNCTION("""COMPUTED_VALUE"""),"3 - ALMOX. ESTOQUE")</f>
        <v>3 - ALMOX. ESTOQUE</v>
      </c>
      <c r="F1445" s="92" t="str">
        <f>IFERROR(__xludf.DUMMYFUNCTION("""COMPUTED_VALUE"""),"CAMARIM")</f>
        <v>CAMARIM</v>
      </c>
      <c r="G1445" s="89">
        <f>IFERROR(__xludf.DUMMYFUNCTION("""COMPUTED_VALUE"""),7.6918092E7)</f>
        <v>76918092</v>
      </c>
      <c r="H1445" s="87"/>
      <c r="I1445" s="87"/>
    </row>
    <row r="1446">
      <c r="A1446" s="84">
        <f>IFERROR(__xludf.DUMMYFUNCTION("""COMPUTED_VALUE"""),1446.0)</f>
        <v>1446</v>
      </c>
      <c r="B1446" s="85" t="str">
        <f>IFERROR(__xludf.DUMMYFUNCTION("""COMPUTED_VALUE"""),"ASPIRADOR DE PO E/OU LIQUIDOS -")</f>
        <v>ASPIRADOR DE PO E/OU LIQUIDOS -</v>
      </c>
      <c r="C1446" s="86">
        <f>IFERROR(__xludf.DUMMYFUNCTION("""COMPUTED_VALUE"""),1.0)</f>
        <v>1</v>
      </c>
      <c r="D1446" s="87" t="str">
        <f>IFERROR(__xludf.DUMMYFUNCTION("""COMPUTED_VALUE"""),"SEÇÃO")</f>
        <v>SEÇÃO</v>
      </c>
      <c r="E1446" s="87" t="str">
        <f>IFERROR(__xludf.DUMMYFUNCTION("""COMPUTED_VALUE"""),"3 - ALMOX. ESTOQUE")</f>
        <v>3 - ALMOX. ESTOQUE</v>
      </c>
      <c r="F1446" s="92" t="str">
        <f>IFERROR(__xludf.DUMMYFUNCTION("""COMPUTED_VALUE"""),"ALMOX. SAO (SEDE)")</f>
        <v>ALMOX. SAO (SEDE)</v>
      </c>
      <c r="G1446" s="89">
        <f>IFERROR(__xludf.DUMMYFUNCTION("""COMPUTED_VALUE"""),7.6926192E7)</f>
        <v>76926192</v>
      </c>
      <c r="H1446" s="87"/>
      <c r="I1446" s="87"/>
    </row>
    <row r="1447">
      <c r="A1447" s="84">
        <f>IFERROR(__xludf.DUMMYFUNCTION("""COMPUTED_VALUE"""),1447.0)</f>
        <v>1447</v>
      </c>
      <c r="B1447" s="85" t="str">
        <f>IFERROR(__xludf.DUMMYFUNCTION("""COMPUTED_VALUE"""),"BARRA PARA ENCAIXE DE ANILHAS -")</f>
        <v>BARRA PARA ENCAIXE DE ANILHAS -</v>
      </c>
      <c r="C1447" s="86">
        <f>IFERROR(__xludf.DUMMYFUNCTION("""COMPUTED_VALUE"""),1.0)</f>
        <v>1</v>
      </c>
      <c r="D1447" s="87" t="str">
        <f>IFERROR(__xludf.DUMMYFUNCTION("""COMPUTED_VALUE"""),"SEÇÃO")</f>
        <v>SEÇÃO</v>
      </c>
      <c r="E1447" s="87" t="str">
        <f>IFERROR(__xludf.DUMMYFUNCTION("""COMPUTED_VALUE"""),"3 - ALMOX. ESTOQUE")</f>
        <v>3 - ALMOX. ESTOQUE</v>
      </c>
      <c r="F1447" s="92" t="str">
        <f>IFERROR(__xludf.DUMMYFUNCTION("""COMPUTED_VALUE"""),"CAMARIM")</f>
        <v>CAMARIM</v>
      </c>
      <c r="G1447" s="89">
        <f>IFERROR(__xludf.DUMMYFUNCTION("""COMPUTED_VALUE"""),7.691715E7)</f>
        <v>76917150</v>
      </c>
      <c r="H1447" s="87"/>
      <c r="I1447" s="87"/>
    </row>
    <row r="1448">
      <c r="A1448" s="84">
        <f>IFERROR(__xludf.DUMMYFUNCTION("""COMPUTED_VALUE"""),1448.0)</f>
        <v>1448</v>
      </c>
      <c r="B1448" s="85" t="str">
        <f>IFERROR(__xludf.DUMMYFUNCTION("""COMPUTED_VALUE"""),"BARRA PARA ENCAIXE DE ANILHAS -")</f>
        <v>BARRA PARA ENCAIXE DE ANILHAS -</v>
      </c>
      <c r="C1448" s="86">
        <f>IFERROR(__xludf.DUMMYFUNCTION("""COMPUTED_VALUE"""),1.0)</f>
        <v>1</v>
      </c>
      <c r="D1448" s="87" t="str">
        <f>IFERROR(__xludf.DUMMYFUNCTION("""COMPUTED_VALUE"""),"SEÇÃO")</f>
        <v>SEÇÃO</v>
      </c>
      <c r="E1448" s="87" t="str">
        <f>IFERROR(__xludf.DUMMYFUNCTION("""COMPUTED_VALUE"""),"3 - ALMOX. ESTOQUE")</f>
        <v>3 - ALMOX. ESTOQUE</v>
      </c>
      <c r="F1448" s="92" t="str">
        <f>IFERROR(__xludf.DUMMYFUNCTION("""COMPUTED_VALUE"""),"CAMARIM")</f>
        <v>CAMARIM</v>
      </c>
      <c r="G1448" s="89">
        <f>IFERROR(__xludf.DUMMYFUNCTION("""COMPUTED_VALUE"""),7.6917169E7)</f>
        <v>76917169</v>
      </c>
      <c r="H1448" s="87"/>
      <c r="I1448" s="87"/>
    </row>
    <row r="1449">
      <c r="A1449" s="84">
        <f>IFERROR(__xludf.DUMMYFUNCTION("""COMPUTED_VALUE"""),1449.0)</f>
        <v>1449</v>
      </c>
      <c r="B1449" s="85" t="str">
        <f>IFERROR(__xludf.DUMMYFUNCTION("""COMPUTED_VALUE"""),"BARRA PARA ENCAIXE DE ANILHAS -")</f>
        <v>BARRA PARA ENCAIXE DE ANILHAS -</v>
      </c>
      <c r="C1449" s="86">
        <f>IFERROR(__xludf.DUMMYFUNCTION("""COMPUTED_VALUE"""),1.0)</f>
        <v>1</v>
      </c>
      <c r="D1449" s="87" t="str">
        <f>IFERROR(__xludf.DUMMYFUNCTION("""COMPUTED_VALUE"""),"SEÇÃO")</f>
        <v>SEÇÃO</v>
      </c>
      <c r="E1449" s="87" t="str">
        <f>IFERROR(__xludf.DUMMYFUNCTION("""COMPUTED_VALUE"""),"3 - ALMOX. ESTOQUE")</f>
        <v>3 - ALMOX. ESTOQUE</v>
      </c>
      <c r="F1449" s="92" t="str">
        <f>IFERROR(__xludf.DUMMYFUNCTION("""COMPUTED_VALUE"""),"CAMARIM")</f>
        <v>CAMARIM</v>
      </c>
      <c r="G1449" s="89">
        <f>IFERROR(__xludf.DUMMYFUNCTION("""COMPUTED_VALUE"""),7.6917177E7)</f>
        <v>76917177</v>
      </c>
      <c r="H1449" s="87"/>
      <c r="I1449" s="87"/>
    </row>
    <row r="1450">
      <c r="A1450" s="84">
        <f>IFERROR(__xludf.DUMMYFUNCTION("""COMPUTED_VALUE"""),1450.0)</f>
        <v>1450</v>
      </c>
      <c r="B1450" s="85" t="str">
        <f>IFERROR(__xludf.DUMMYFUNCTION("""COMPUTED_VALUE"""),"BARRA PARA ENCAIXE DE ANILHAS -")</f>
        <v>BARRA PARA ENCAIXE DE ANILHAS -</v>
      </c>
      <c r="C1450" s="86">
        <f>IFERROR(__xludf.DUMMYFUNCTION("""COMPUTED_VALUE"""),1.0)</f>
        <v>1</v>
      </c>
      <c r="D1450" s="87" t="str">
        <f>IFERROR(__xludf.DUMMYFUNCTION("""COMPUTED_VALUE"""),"SEÇÃO")</f>
        <v>SEÇÃO</v>
      </c>
      <c r="E1450" s="87" t="str">
        <f>IFERROR(__xludf.DUMMYFUNCTION("""COMPUTED_VALUE"""),"3 - ALMOX. ESTOQUE")</f>
        <v>3 - ALMOX. ESTOQUE</v>
      </c>
      <c r="F1450" s="92" t="str">
        <f>IFERROR(__xludf.DUMMYFUNCTION("""COMPUTED_VALUE"""),"CAMARIM")</f>
        <v>CAMARIM</v>
      </c>
      <c r="G1450" s="89">
        <f>IFERROR(__xludf.DUMMYFUNCTION("""COMPUTED_VALUE"""),7.6917207E7)</f>
        <v>76917207</v>
      </c>
      <c r="H1450" s="87"/>
      <c r="I1450" s="87"/>
    </row>
    <row r="1451">
      <c r="A1451" s="84">
        <f>IFERROR(__xludf.DUMMYFUNCTION("""COMPUTED_VALUE"""),1451.0)</f>
        <v>1451</v>
      </c>
      <c r="B1451" s="85" t="str">
        <f>IFERROR(__xludf.DUMMYFUNCTION("""COMPUTED_VALUE"""),"CADEIRA PARA ESCRITORIO -")</f>
        <v>CADEIRA PARA ESCRITORIO -</v>
      </c>
      <c r="C1451" s="86">
        <f>IFERROR(__xludf.DUMMYFUNCTION("""COMPUTED_VALUE"""),1.0)</f>
        <v>1</v>
      </c>
      <c r="D1451" s="87" t="str">
        <f>IFERROR(__xludf.DUMMYFUNCTION("""COMPUTED_VALUE"""),"SEÇÃO")</f>
        <v>SEÇÃO</v>
      </c>
      <c r="E1451" s="87" t="str">
        <f>IFERROR(__xludf.DUMMYFUNCTION("""COMPUTED_VALUE"""),"3 - DESCARGA")</f>
        <v>3 - DESCARGA</v>
      </c>
      <c r="F1451" s="92"/>
      <c r="G1451" s="89">
        <f>IFERROR(__xludf.DUMMYFUNCTION("""COMPUTED_VALUE"""),1.4094002E7)</f>
        <v>14094002</v>
      </c>
      <c r="H1451" s="87"/>
      <c r="I1451" s="87" t="str">
        <f>IFERROR(__xludf.DUMMYFUNCTION("""COMPUTED_VALUE"""),"MATERIAL DESCARREGADO - PROCESSO Nº 1400.01.0026473/2023-03")</f>
        <v>MATERIAL DESCARREGADO - PROCESSO Nº 1400.01.0026473/2023-03</v>
      </c>
    </row>
    <row r="1452">
      <c r="A1452" s="84">
        <f>IFERROR(__xludf.DUMMYFUNCTION("""COMPUTED_VALUE"""),1452.0)</f>
        <v>1452</v>
      </c>
      <c r="B1452" s="85" t="str">
        <f>IFERROR(__xludf.DUMMYFUNCTION("""COMPUTED_VALUE"""),"CADEIRA PARA ESCRITORIO -")</f>
        <v>CADEIRA PARA ESCRITORIO -</v>
      </c>
      <c r="C1452" s="86">
        <f>IFERROR(__xludf.DUMMYFUNCTION("""COMPUTED_VALUE"""),1.0)</f>
        <v>1</v>
      </c>
      <c r="D1452" s="87" t="str">
        <f>IFERROR(__xludf.DUMMYFUNCTION("""COMPUTED_VALUE"""),"SEÇÃO")</f>
        <v>SEÇÃO</v>
      </c>
      <c r="E1452" s="87" t="str">
        <f>IFERROR(__xludf.DUMMYFUNCTION("""COMPUTED_VALUE"""),"3 - DESCARGA")</f>
        <v>3 - DESCARGA</v>
      </c>
      <c r="F1452" s="92"/>
      <c r="G1452" s="89">
        <f>IFERROR(__xludf.DUMMYFUNCTION("""COMPUTED_VALUE"""),1.409401E7)</f>
        <v>14094010</v>
      </c>
      <c r="H1452" s="87"/>
      <c r="I1452" s="87" t="str">
        <f>IFERROR(__xludf.DUMMYFUNCTION("""COMPUTED_VALUE"""),"MATERIAL DESCARREGADO - PROCESSO Nº 1400.01.0026473/2023-04")</f>
        <v>MATERIAL DESCARREGADO - PROCESSO Nº 1400.01.0026473/2023-04</v>
      </c>
    </row>
    <row r="1453">
      <c r="A1453" s="84">
        <f>IFERROR(__xludf.DUMMYFUNCTION("""COMPUTED_VALUE"""),1453.0)</f>
        <v>1453</v>
      </c>
      <c r="B1453" s="85" t="str">
        <f>IFERROR(__xludf.DUMMYFUNCTION("""COMPUTED_VALUE"""),"CADEIRA PARA ESCRITORIO -")</f>
        <v>CADEIRA PARA ESCRITORIO -</v>
      </c>
      <c r="C1453" s="86">
        <f>IFERROR(__xludf.DUMMYFUNCTION("""COMPUTED_VALUE"""),1.0)</f>
        <v>1</v>
      </c>
      <c r="D1453" s="87" t="str">
        <f>IFERROR(__xludf.DUMMYFUNCTION("""COMPUTED_VALUE"""),"SEÇÃO")</f>
        <v>SEÇÃO</v>
      </c>
      <c r="E1453" s="87" t="str">
        <f>IFERROR(__xludf.DUMMYFUNCTION("""COMPUTED_VALUE"""),"3 - DESCARGA")</f>
        <v>3 - DESCARGA</v>
      </c>
      <c r="F1453" s="92"/>
      <c r="G1453" s="89">
        <f>IFERROR(__xludf.DUMMYFUNCTION("""COMPUTED_VALUE"""),1.4113465E7)</f>
        <v>14113465</v>
      </c>
      <c r="H1453" s="87"/>
      <c r="I1453" s="87" t="str">
        <f>IFERROR(__xludf.DUMMYFUNCTION("""COMPUTED_VALUE"""),"MATERIAL DESCARREGADO - PROCESSO Nº 1400.01.0026473/2023-04")</f>
        <v>MATERIAL DESCARREGADO - PROCESSO Nº 1400.01.0026473/2023-04</v>
      </c>
    </row>
    <row r="1454">
      <c r="A1454" s="84">
        <f>IFERROR(__xludf.DUMMYFUNCTION("""COMPUTED_VALUE"""),1454.0)</f>
        <v>1454</v>
      </c>
      <c r="B1454" s="85" t="str">
        <f>IFERROR(__xludf.DUMMYFUNCTION("""COMPUTED_VALUE"""),"CADEIRA PARA ESCRITORIO -")</f>
        <v>CADEIRA PARA ESCRITORIO -</v>
      </c>
      <c r="C1454" s="86">
        <f>IFERROR(__xludf.DUMMYFUNCTION("""COMPUTED_VALUE"""),1.0)</f>
        <v>1</v>
      </c>
      <c r="D1454" s="87" t="str">
        <f>IFERROR(__xludf.DUMMYFUNCTION("""COMPUTED_VALUE"""),"SEÇÃO")</f>
        <v>SEÇÃO</v>
      </c>
      <c r="E1454" s="87" t="str">
        <f>IFERROR(__xludf.DUMMYFUNCTION("""COMPUTED_VALUE"""),"3 - DESCARGA")</f>
        <v>3 - DESCARGA</v>
      </c>
      <c r="F1454" s="92"/>
      <c r="G1454" s="89">
        <f>IFERROR(__xludf.DUMMYFUNCTION("""COMPUTED_VALUE"""),4.014827E7)</f>
        <v>40148270</v>
      </c>
      <c r="H1454" s="87"/>
      <c r="I1454" s="87" t="str">
        <f>IFERROR(__xludf.DUMMYFUNCTION("""COMPUTED_VALUE"""),"MATERIAL DESCARREGADO - PROCESSO Nº 1400.01.0026473/2023-05")</f>
        <v>MATERIAL DESCARREGADO - PROCESSO Nº 1400.01.0026473/2023-05</v>
      </c>
    </row>
    <row r="1455">
      <c r="A1455" s="84">
        <f>IFERROR(__xludf.DUMMYFUNCTION("""COMPUTED_VALUE"""),1455.0)</f>
        <v>1455</v>
      </c>
      <c r="B1455" s="85" t="str">
        <f>IFERROR(__xludf.DUMMYFUNCTION("""COMPUTED_VALUE"""),"ESCADA PROLONGAVEL PARA ATIVIDADES BOMBEIRO -")</f>
        <v>ESCADA PROLONGAVEL PARA ATIVIDADES BOMBEIRO -</v>
      </c>
      <c r="C1455" s="86">
        <f>IFERROR(__xludf.DUMMYFUNCTION("""COMPUTED_VALUE"""),1.0)</f>
        <v>1</v>
      </c>
      <c r="D1455" s="87" t="str">
        <f>IFERROR(__xludf.DUMMYFUNCTION("""COMPUTED_VALUE"""),"SEÇÃO")</f>
        <v>SEÇÃO</v>
      </c>
      <c r="E1455" s="87" t="str">
        <f>IFERROR(__xludf.DUMMYFUNCTION("""COMPUTED_VALUE"""),"3 - ALMOX. ESTOQUE")</f>
        <v>3 - ALMOX. ESTOQUE</v>
      </c>
      <c r="F1455" s="92" t="str">
        <f>IFERROR(__xludf.DUMMYFUNCTION("""COMPUTED_VALUE"""),"CAMARIM")</f>
        <v>CAMARIM</v>
      </c>
      <c r="G1455" s="89">
        <f>IFERROR(__xludf.DUMMYFUNCTION("""COMPUTED_VALUE"""),7.693599E7)</f>
        <v>76935990</v>
      </c>
      <c r="H1455" s="87"/>
      <c r="I1455" s="87"/>
    </row>
    <row r="1456">
      <c r="A1456" s="84">
        <f>IFERROR(__xludf.DUMMYFUNCTION("""COMPUTED_VALUE"""),1456.0)</f>
        <v>1456</v>
      </c>
      <c r="B1456" s="85" t="str">
        <f>IFERROR(__xludf.DUMMYFUNCTION("""COMPUTED_VALUE"""),"ESPALDAR PARA GINASTICA -")</f>
        <v>ESPALDAR PARA GINASTICA -</v>
      </c>
      <c r="C1456" s="86">
        <f>IFERROR(__xludf.DUMMYFUNCTION("""COMPUTED_VALUE"""),1.0)</f>
        <v>1</v>
      </c>
      <c r="D1456" s="87" t="str">
        <f>IFERROR(__xludf.DUMMYFUNCTION("""COMPUTED_VALUE"""),"SEÇÃO")</f>
        <v>SEÇÃO</v>
      </c>
      <c r="E1456" s="87" t="str">
        <f>IFERROR(__xludf.DUMMYFUNCTION("""COMPUTED_VALUE"""),"3 - ALMOX. ESTOQUE")</f>
        <v>3 - ALMOX. ESTOQUE</v>
      </c>
      <c r="F1456" s="92" t="str">
        <f>IFERROR(__xludf.DUMMYFUNCTION("""COMPUTED_VALUE"""),"CAMARIM")</f>
        <v>CAMARIM</v>
      </c>
      <c r="G1456" s="89">
        <f>IFERROR(__xludf.DUMMYFUNCTION("""COMPUTED_VALUE"""),7.6917142E7)</f>
        <v>76917142</v>
      </c>
      <c r="H1456" s="87"/>
      <c r="I1456" s="87"/>
    </row>
    <row r="1457">
      <c r="A1457" s="84">
        <f>IFERROR(__xludf.DUMMYFUNCTION("""COMPUTED_VALUE"""),1457.0)</f>
        <v>1457</v>
      </c>
      <c r="B1457" s="85" t="str">
        <f>IFERROR(__xludf.DUMMYFUNCTION("""COMPUTED_VALUE"""),"ESTACAO DE TRABALHO -")</f>
        <v>ESTACAO DE TRABALHO -</v>
      </c>
      <c r="C1457" s="86">
        <f>IFERROR(__xludf.DUMMYFUNCTION("""COMPUTED_VALUE"""),1.0)</f>
        <v>1</v>
      </c>
      <c r="D1457" s="87" t="str">
        <f>IFERROR(__xludf.DUMMYFUNCTION("""COMPUTED_VALUE"""),"SEÇÃO")</f>
        <v>SEÇÃO</v>
      </c>
      <c r="E1457" s="87" t="str">
        <f>IFERROR(__xludf.DUMMYFUNCTION("""COMPUTED_VALUE"""),"3 - DESCARGA")</f>
        <v>3 - DESCARGA</v>
      </c>
      <c r="F1457" s="92"/>
      <c r="G1457" s="89">
        <f>IFERROR(__xludf.DUMMYFUNCTION("""COMPUTED_VALUE"""),1.3962647E7)</f>
        <v>13962647</v>
      </c>
      <c r="H1457" s="87"/>
      <c r="I1457" s="87" t="str">
        <f>IFERROR(__xludf.DUMMYFUNCTION("""COMPUTED_VALUE"""),"MATERIAL DESCARREGADO - PROCESSO Nº 1400.01.0026473/2023-04")</f>
        <v>MATERIAL DESCARREGADO - PROCESSO Nº 1400.01.0026473/2023-04</v>
      </c>
    </row>
    <row r="1458">
      <c r="A1458" s="84">
        <f>IFERROR(__xludf.DUMMYFUNCTION("""COMPUTED_VALUE"""),1458.0)</f>
        <v>1458</v>
      </c>
      <c r="B1458" s="85" t="str">
        <f>IFERROR(__xludf.DUMMYFUNCTION("""COMPUTED_VALUE"""),"ESTETOSCOPIO -")</f>
        <v>ESTETOSCOPIO -</v>
      </c>
      <c r="C1458" s="86">
        <f>IFERROR(__xludf.DUMMYFUNCTION("""COMPUTED_VALUE"""),1.0)</f>
        <v>1</v>
      </c>
      <c r="D1458" s="87" t="str">
        <f>IFERROR(__xludf.DUMMYFUNCTION("""COMPUTED_VALUE"""),"SEÇÃO")</f>
        <v>SEÇÃO</v>
      </c>
      <c r="E1458" s="87" t="str">
        <f>IFERROR(__xludf.DUMMYFUNCTION("""COMPUTED_VALUE"""),"3 - ALMOX. ESTOQUE")</f>
        <v>3 - ALMOX. ESTOQUE</v>
      </c>
      <c r="F1458" s="92" t="str">
        <f>IFERROR(__xludf.DUMMYFUNCTION("""COMPUTED_VALUE"""),"ALMOX. APH")</f>
        <v>ALMOX. APH</v>
      </c>
      <c r="G1458" s="89">
        <f>IFERROR(__xludf.DUMMYFUNCTION("""COMPUTED_VALUE"""),1.3962647E7)</f>
        <v>13962647</v>
      </c>
      <c r="H1458" s="87"/>
      <c r="I1458" s="87" t="str">
        <f>IFERROR(__xludf.DUMMYFUNCTION("""COMPUTED_VALUE"""),"está constando no SIAD como estação de trabalho.")</f>
        <v>está constando no SIAD como estação de trabalho.</v>
      </c>
    </row>
    <row r="1459">
      <c r="A1459" s="84">
        <f>IFERROR(__xludf.DUMMYFUNCTION("""COMPUTED_VALUE"""),1459.0)</f>
        <v>1459</v>
      </c>
      <c r="B1459" s="85" t="str">
        <f>IFERROR(__xludf.DUMMYFUNCTION("""COMPUTED_VALUE"""),"FORNO -")</f>
        <v>FORNO -</v>
      </c>
      <c r="C1459" s="86">
        <f>IFERROR(__xludf.DUMMYFUNCTION("""COMPUTED_VALUE"""),1.0)</f>
        <v>1</v>
      </c>
      <c r="D1459" s="87" t="str">
        <f>IFERROR(__xludf.DUMMYFUNCTION("""COMPUTED_VALUE"""),"SEÇÃO")</f>
        <v>SEÇÃO</v>
      </c>
      <c r="E1459" s="87" t="str">
        <f>IFERROR(__xludf.DUMMYFUNCTION("""COMPUTED_VALUE"""),"3 - ALMOX. ESTOQUE")</f>
        <v>3 - ALMOX. ESTOQUE</v>
      </c>
      <c r="F1459" s="92" t="str">
        <f>IFERROR(__xludf.DUMMYFUNCTION("""COMPUTED_VALUE"""),"ALMOX. SAO (SEDE)")</f>
        <v>ALMOX. SAO (SEDE)</v>
      </c>
      <c r="G1459" s="89">
        <f>IFERROR(__xludf.DUMMYFUNCTION("""COMPUTED_VALUE"""),7.691813E7)</f>
        <v>76918130</v>
      </c>
      <c r="H1459" s="87"/>
      <c r="I1459" s="87"/>
    </row>
    <row r="1460">
      <c r="A1460" s="84">
        <f>IFERROR(__xludf.DUMMYFUNCTION("""COMPUTED_VALUE"""),1460.0)</f>
        <v>1460</v>
      </c>
      <c r="B1460" s="85" t="str">
        <f>IFERROR(__xludf.DUMMYFUNCTION("""COMPUTED_VALUE"""),"OXIMETRO -")</f>
        <v>OXIMETRO -</v>
      </c>
      <c r="C1460" s="86">
        <f>IFERROR(__xludf.DUMMYFUNCTION("""COMPUTED_VALUE"""),1.0)</f>
        <v>1</v>
      </c>
      <c r="D1460" s="87" t="str">
        <f>IFERROR(__xludf.DUMMYFUNCTION("""COMPUTED_VALUE"""),"SEÇÃO")</f>
        <v>SEÇÃO</v>
      </c>
      <c r="E1460" s="87" t="str">
        <f>IFERROR(__xludf.DUMMYFUNCTION("""COMPUTED_VALUE"""),"3 - ALMOX. ESTOQUE")</f>
        <v>3 - ALMOX. ESTOQUE</v>
      </c>
      <c r="F1460" s="92" t="str">
        <f>IFERROR(__xludf.DUMMYFUNCTION("""COMPUTED_VALUE"""),"ALMOX. APH")</f>
        <v>ALMOX. APH</v>
      </c>
      <c r="G1460" s="89">
        <f>IFERROR(__xludf.DUMMYFUNCTION("""COMPUTED_VALUE"""),7.6880095E7)</f>
        <v>76880095</v>
      </c>
      <c r="H1460" s="87"/>
      <c r="I1460" s="87"/>
    </row>
    <row r="1461">
      <c r="A1461" s="84">
        <f>IFERROR(__xludf.DUMMYFUNCTION("""COMPUTED_VALUE"""),1461.0)</f>
        <v>1461</v>
      </c>
      <c r="B1461" s="85" t="str">
        <f>IFERROR(__xludf.DUMMYFUNCTION("""COMPUTED_VALUE"""),"OXIMETRO -")</f>
        <v>OXIMETRO -</v>
      </c>
      <c r="C1461" s="86">
        <f>IFERROR(__xludf.DUMMYFUNCTION("""COMPUTED_VALUE"""),1.0)</f>
        <v>1</v>
      </c>
      <c r="D1461" s="87" t="str">
        <f>IFERROR(__xludf.DUMMYFUNCTION("""COMPUTED_VALUE"""),"SEÇÃO")</f>
        <v>SEÇÃO</v>
      </c>
      <c r="E1461" s="87" t="str">
        <f>IFERROR(__xludf.DUMMYFUNCTION("""COMPUTED_VALUE"""),"3 - SALA DE INSTRUÇÃO")</f>
        <v>3 - SALA DE INSTRUÇÃO</v>
      </c>
      <c r="F1461" s="92" t="str">
        <f>IFERROR(__xludf.DUMMYFUNCTION("""COMPUTED_VALUE"""),"BOLSA DE RESGATE")</f>
        <v>BOLSA DE RESGATE</v>
      </c>
      <c r="G1461" s="89">
        <f>IFERROR(__xludf.DUMMYFUNCTION("""COMPUTED_VALUE"""),7.6880109E7)</f>
        <v>76880109</v>
      </c>
      <c r="H1461" s="87"/>
      <c r="I1461" s="87"/>
    </row>
    <row r="1462">
      <c r="A1462" s="84">
        <f>IFERROR(__xludf.DUMMYFUNCTION("""COMPUTED_VALUE"""),1462.0)</f>
        <v>1462</v>
      </c>
      <c r="B1462" s="85" t="str">
        <f>IFERROR(__xludf.DUMMYFUNCTION("""COMPUTED_VALUE"""),"OXIMETRO -")</f>
        <v>OXIMETRO -</v>
      </c>
      <c r="C1462" s="86">
        <f>IFERROR(__xludf.DUMMYFUNCTION("""COMPUTED_VALUE"""),1.0)</f>
        <v>1</v>
      </c>
      <c r="D1462" s="87" t="str">
        <f>IFERROR(__xludf.DUMMYFUNCTION("""COMPUTED_VALUE"""),"SEÇÃO")</f>
        <v>SEÇÃO</v>
      </c>
      <c r="E1462" s="87" t="str">
        <f>IFERROR(__xludf.DUMMYFUNCTION("""COMPUTED_VALUE"""),"3 - ALMOX. ESTOQUE")</f>
        <v>3 - ALMOX. ESTOQUE</v>
      </c>
      <c r="F1462" s="92" t="str">
        <f>IFERROR(__xludf.DUMMYFUNCTION("""COMPUTED_VALUE"""),"ALMOX. APH")</f>
        <v>ALMOX. APH</v>
      </c>
      <c r="G1462" s="89">
        <f>IFERROR(__xludf.DUMMYFUNCTION("""COMPUTED_VALUE"""),7.6880117E7)</f>
        <v>76880117</v>
      </c>
      <c r="H1462" s="87"/>
      <c r="I1462" s="87"/>
    </row>
    <row r="1463">
      <c r="A1463" s="84">
        <f>IFERROR(__xludf.DUMMYFUNCTION("""COMPUTED_VALUE"""),1463.0)</f>
        <v>1463</v>
      </c>
      <c r="B1463" s="85" t="str">
        <f>IFERROR(__xludf.DUMMYFUNCTION("""COMPUTED_VALUE"""),"PUXADOR PARA GINASTICA -")</f>
        <v>PUXADOR PARA GINASTICA -</v>
      </c>
      <c r="C1463" s="86">
        <f>IFERROR(__xludf.DUMMYFUNCTION("""COMPUTED_VALUE"""),1.0)</f>
        <v>1</v>
      </c>
      <c r="D1463" s="87" t="str">
        <f>IFERROR(__xludf.DUMMYFUNCTION("""COMPUTED_VALUE"""),"SEÇÃO")</f>
        <v>SEÇÃO</v>
      </c>
      <c r="E1463" s="87" t="str">
        <f>IFERROR(__xludf.DUMMYFUNCTION("""COMPUTED_VALUE"""),"3 - ALMOX. ESTOQUE")</f>
        <v>3 - ALMOX. ESTOQUE</v>
      </c>
      <c r="F1463" s="92" t="str">
        <f>IFERROR(__xludf.DUMMYFUNCTION("""COMPUTED_VALUE"""),"CAMARIM")</f>
        <v>CAMARIM</v>
      </c>
      <c r="G1463" s="89">
        <f>IFERROR(__xludf.DUMMYFUNCTION("""COMPUTED_VALUE"""),7.6918106E7)</f>
        <v>76918106</v>
      </c>
      <c r="H1463" s="87"/>
      <c r="I1463" s="87"/>
    </row>
    <row r="1464">
      <c r="A1464" s="84">
        <f>IFERROR(__xludf.DUMMYFUNCTION("""COMPUTED_VALUE"""),1464.0)</f>
        <v>1464</v>
      </c>
      <c r="B1464" s="85" t="str">
        <f>IFERROR(__xludf.DUMMYFUNCTION("""COMPUTED_VALUE"""),"PUXADOR PARA GINASTICA -")</f>
        <v>PUXADOR PARA GINASTICA -</v>
      </c>
      <c r="C1464" s="86">
        <f>IFERROR(__xludf.DUMMYFUNCTION("""COMPUTED_VALUE"""),1.0)</f>
        <v>1</v>
      </c>
      <c r="D1464" s="87" t="str">
        <f>IFERROR(__xludf.DUMMYFUNCTION("""COMPUTED_VALUE"""),"SEÇÃO")</f>
        <v>SEÇÃO</v>
      </c>
      <c r="E1464" s="87" t="str">
        <f>IFERROR(__xludf.DUMMYFUNCTION("""COMPUTED_VALUE"""),"3 - ALMOX. ESTOQUE")</f>
        <v>3 - ALMOX. ESTOQUE</v>
      </c>
      <c r="F1464" s="92" t="str">
        <f>IFERROR(__xludf.DUMMYFUNCTION("""COMPUTED_VALUE"""),"CAMARIM")</f>
        <v>CAMARIM</v>
      </c>
      <c r="G1464" s="89">
        <f>IFERROR(__xludf.DUMMYFUNCTION("""COMPUTED_VALUE"""),7.6918114E7)</f>
        <v>76918114</v>
      </c>
      <c r="H1464" s="87"/>
      <c r="I1464" s="87"/>
    </row>
    <row r="1465">
      <c r="A1465" s="84">
        <f>IFERROR(__xludf.DUMMYFUNCTION("""COMPUTED_VALUE"""),1465.0)</f>
        <v>1465</v>
      </c>
      <c r="B1465" s="85" t="str">
        <f>IFERROR(__xludf.DUMMYFUNCTION("""COMPUTED_VALUE"""),"PUXADOR PARA GINASTICA -")</f>
        <v>PUXADOR PARA GINASTICA -</v>
      </c>
      <c r="C1465" s="86">
        <f>IFERROR(__xludf.DUMMYFUNCTION("""COMPUTED_VALUE"""),1.0)</f>
        <v>1</v>
      </c>
      <c r="D1465" s="87" t="str">
        <f>IFERROR(__xludf.DUMMYFUNCTION("""COMPUTED_VALUE"""),"SEÇÃO")</f>
        <v>SEÇÃO</v>
      </c>
      <c r="E1465" s="87" t="str">
        <f>IFERROR(__xludf.DUMMYFUNCTION("""COMPUTED_VALUE"""),"3 - ALMOX. ESTOQUE")</f>
        <v>3 - ALMOX. ESTOQUE</v>
      </c>
      <c r="F1465" s="92" t="str">
        <f>IFERROR(__xludf.DUMMYFUNCTION("""COMPUTED_VALUE"""),"CAMARIM")</f>
        <v>CAMARIM</v>
      </c>
      <c r="G1465" s="89">
        <f>IFERROR(__xludf.DUMMYFUNCTION("""COMPUTED_VALUE"""),7.6918122E7)</f>
        <v>76918122</v>
      </c>
      <c r="H1465" s="87"/>
      <c r="I1465" s="87"/>
    </row>
    <row r="1466">
      <c r="A1466" s="84">
        <f>IFERROR(__xludf.DUMMYFUNCTION("""COMPUTED_VALUE"""),1466.0)</f>
        <v>1466</v>
      </c>
      <c r="B1466" s="85" t="str">
        <f>IFERROR(__xludf.DUMMYFUNCTION("""COMPUTED_VALUE"""),"ESTETOSCOPIO -")</f>
        <v>ESTETOSCOPIO -</v>
      </c>
      <c r="C1466" s="86">
        <f>IFERROR(__xludf.DUMMYFUNCTION("""COMPUTED_VALUE"""),1.0)</f>
        <v>1</v>
      </c>
      <c r="D1466" s="87" t="str">
        <f>IFERROR(__xludf.DUMMYFUNCTION("""COMPUTED_VALUE"""),"SEÇÃO")</f>
        <v>SEÇÃO</v>
      </c>
      <c r="E1466" s="87" t="str">
        <f>IFERROR(__xludf.DUMMYFUNCTION("""COMPUTED_VALUE"""),"3 - ALMOX. ESTOQUE")</f>
        <v>3 - ALMOX. ESTOQUE</v>
      </c>
      <c r="F1466" s="92" t="str">
        <f>IFERROR(__xludf.DUMMYFUNCTION("""COMPUTED_VALUE"""),"ALMOX. APH")</f>
        <v>ALMOX. APH</v>
      </c>
      <c r="G1466" s="89">
        <f>IFERROR(__xludf.DUMMYFUNCTION("""COMPUTED_VALUE"""),7.6935779E7)</f>
        <v>76935779</v>
      </c>
      <c r="H1466" s="87"/>
      <c r="I1466" s="87"/>
    </row>
    <row r="1467">
      <c r="A1467" s="84">
        <f>IFERROR(__xludf.DUMMYFUNCTION("""COMPUTED_VALUE"""),1467.0)</f>
        <v>1467</v>
      </c>
      <c r="B1467" s="85" t="str">
        <f>IFERROR(__xludf.DUMMYFUNCTION("""COMPUTED_VALUE"""),"ARQUIVO PARA ESCRITORIO -")</f>
        <v>ARQUIVO PARA ESCRITORIO -</v>
      </c>
      <c r="C1467" s="86">
        <f>IFERROR(__xludf.DUMMYFUNCTION("""COMPUTED_VALUE"""),1.0)</f>
        <v>1</v>
      </c>
      <c r="D1467" s="87" t="str">
        <f>IFERROR(__xludf.DUMMYFUNCTION("""COMPUTED_VALUE"""),"SEÇÃO")</f>
        <v>SEÇÃO</v>
      </c>
      <c r="E1467" s="87" t="str">
        <f>IFERROR(__xludf.DUMMYFUNCTION("""COMPUTED_VALUE"""),"3 - PPV")</f>
        <v>3 - PPV</v>
      </c>
      <c r="F1467" s="92" t="str">
        <f>IFERROR(__xludf.DUMMYFUNCTION("""COMPUTED_VALUE"""),"ARQUIVO")</f>
        <v>ARQUIVO</v>
      </c>
      <c r="G1467" s="89">
        <f>IFERROR(__xludf.DUMMYFUNCTION("""COMPUTED_VALUE"""),2.3122331E7)</f>
        <v>23122331</v>
      </c>
      <c r="H1467" s="87"/>
      <c r="I1467" s="87"/>
    </row>
    <row r="1468">
      <c r="A1468" s="84">
        <f>IFERROR(__xludf.DUMMYFUNCTION("""COMPUTED_VALUE"""),1468.0)</f>
        <v>1468</v>
      </c>
      <c r="B1468" s="85" t="str">
        <f>IFERROR(__xludf.DUMMYFUNCTION("""COMPUTED_VALUE"""),"ARQUIVO PARA ESCRITORIO -")</f>
        <v>ARQUIVO PARA ESCRITORIO -</v>
      </c>
      <c r="C1468" s="86">
        <f>IFERROR(__xludf.DUMMYFUNCTION("""COMPUTED_VALUE"""),1.0)</f>
        <v>1</v>
      </c>
      <c r="D1468" s="87" t="str">
        <f>IFERROR(__xludf.DUMMYFUNCTION("""COMPUTED_VALUE"""),"SEÇÃO")</f>
        <v>SEÇÃO</v>
      </c>
      <c r="E1468" s="87" t="str">
        <f>IFERROR(__xludf.DUMMYFUNCTION("""COMPUTED_VALUE"""),"3 - PPV")</f>
        <v>3 - PPV</v>
      </c>
      <c r="F1468" s="92" t="str">
        <f>IFERROR(__xludf.DUMMYFUNCTION("""COMPUTED_VALUE"""),"ARQUIVO")</f>
        <v>ARQUIVO</v>
      </c>
      <c r="G1468" s="89">
        <f>IFERROR(__xludf.DUMMYFUNCTION("""COMPUTED_VALUE"""),2.3252774E7)</f>
        <v>23252774</v>
      </c>
      <c r="H1468" s="87"/>
      <c r="I1468" s="87"/>
    </row>
    <row r="1469">
      <c r="A1469" s="84">
        <f>IFERROR(__xludf.DUMMYFUNCTION("""COMPUTED_VALUE"""),1469.0)</f>
        <v>1469</v>
      </c>
      <c r="B1469" s="85" t="str">
        <f>IFERROR(__xludf.DUMMYFUNCTION("""COMPUTED_VALUE"""),"FORNO -")</f>
        <v>FORNO -</v>
      </c>
      <c r="C1469" s="86">
        <f>IFERROR(__xludf.DUMMYFUNCTION("""COMPUTED_VALUE"""),1.0)</f>
        <v>1</v>
      </c>
      <c r="D1469" s="87" t="str">
        <f>IFERROR(__xludf.DUMMYFUNCTION("""COMPUTED_VALUE"""),"SEÇÃO")</f>
        <v>SEÇÃO</v>
      </c>
      <c r="E1469" s="87" t="str">
        <f>IFERROR(__xludf.DUMMYFUNCTION("""COMPUTED_VALUE"""),"3 - CURVELO")</f>
        <v>3 - CURVELO</v>
      </c>
      <c r="F1469" s="92"/>
      <c r="G1469" s="89">
        <f>IFERROR(__xludf.DUMMYFUNCTION("""COMPUTED_VALUE"""),7.6918521E7)</f>
        <v>76918521</v>
      </c>
      <c r="H1469" s="87"/>
      <c r="I1469" s="87"/>
    </row>
    <row r="1470">
      <c r="A1470" s="84">
        <f>IFERROR(__xludf.DUMMYFUNCTION("""COMPUTED_VALUE"""),1470.0)</f>
        <v>1470</v>
      </c>
      <c r="B1470" s="85" t="str">
        <f>IFERROR(__xludf.DUMMYFUNCTION("""COMPUTED_VALUE"""),"CAMBÃO - CAPTURA DE ANIMAIS ")</f>
        <v>CAMBÃO - CAPTURA DE ANIMAIS </v>
      </c>
      <c r="C1470" s="86">
        <f>IFERROR(__xludf.DUMMYFUNCTION("""COMPUTED_VALUE"""),1.0)</f>
        <v>1</v>
      </c>
      <c r="D1470" s="87" t="str">
        <f>IFERROR(__xludf.DUMMYFUNCTION("""COMPUTED_VALUE"""),"VIATURA")</f>
        <v>VIATURA</v>
      </c>
      <c r="E1470" s="87" t="str">
        <f>IFERROR(__xludf.DUMMYFUNCTION("""COMPUTED_VALUE"""),"1 - ASL1080")</f>
        <v>1 - ASL1080</v>
      </c>
      <c r="F1470" s="92" t="str">
        <f>IFERROR(__xludf.DUMMYFUNCTION("""COMPUTED_VALUE"""),"CARROCERIA")</f>
        <v>CARROCERIA</v>
      </c>
      <c r="G1470" s="89">
        <f>IFERROR(__xludf.DUMMYFUNCTION("""COMPUTED_VALUE"""),7.6947009E7)</f>
        <v>76947009</v>
      </c>
      <c r="H1470" s="87"/>
      <c r="I1470" s="87"/>
    </row>
    <row r="1471">
      <c r="A1471" s="84">
        <f>IFERROR(__xludf.DUMMYFUNCTION("""COMPUTED_VALUE"""),1471.0)</f>
        <v>1471</v>
      </c>
      <c r="B1471" s="85" t="str">
        <f>IFERROR(__xludf.DUMMYFUNCTION("""COMPUTED_VALUE"""),"CADEIRA REFEITÓRIO - ")</f>
        <v>CADEIRA REFEITÓRIO - </v>
      </c>
      <c r="C1471" s="86">
        <f>IFERROR(__xludf.DUMMYFUNCTION("""COMPUTED_VALUE"""),1.0)</f>
        <v>1</v>
      </c>
      <c r="D1471" s="87" t="str">
        <f>IFERROR(__xludf.DUMMYFUNCTION("""COMPUTED_VALUE"""),"SEÇÃO")</f>
        <v>SEÇÃO</v>
      </c>
      <c r="E1471" s="87" t="str">
        <f>IFERROR(__xludf.DUMMYFUNCTION("""COMPUTED_VALUE"""),"3 - 1ª CIA OP")</f>
        <v>3 - 1ª CIA OP</v>
      </c>
      <c r="F1471" s="92" t="str">
        <f>IFERROR(__xludf.DUMMYFUNCTION("""COMPUTED_VALUE"""),"REFEITÓRIO (CIA OP)")</f>
        <v>REFEITÓRIO (CIA OP)</v>
      </c>
      <c r="G1471" s="89">
        <f>IFERROR(__xludf.DUMMYFUNCTION("""COMPUTED_VALUE"""),7.6982319E7)</f>
        <v>76982319</v>
      </c>
      <c r="H1471" s="87"/>
      <c r="I1471" s="87"/>
    </row>
    <row r="1472">
      <c r="A1472" s="84">
        <f>IFERROR(__xludf.DUMMYFUNCTION("""COMPUTED_VALUE"""),1472.0)</f>
        <v>1472</v>
      </c>
      <c r="B1472" s="85" t="str">
        <f>IFERROR(__xludf.DUMMYFUNCTION("""COMPUTED_VALUE"""),"CADEIRA REFEITÓRIO - ")</f>
        <v>CADEIRA REFEITÓRIO - </v>
      </c>
      <c r="C1472" s="86">
        <f>IFERROR(__xludf.DUMMYFUNCTION("""COMPUTED_VALUE"""),1.0)</f>
        <v>1</v>
      </c>
      <c r="D1472" s="87" t="str">
        <f>IFERROR(__xludf.DUMMYFUNCTION("""COMPUTED_VALUE"""),"SEÇÃO")</f>
        <v>SEÇÃO</v>
      </c>
      <c r="E1472" s="87" t="str">
        <f>IFERROR(__xludf.DUMMYFUNCTION("""COMPUTED_VALUE"""),"3 - 1ª CIA OP")</f>
        <v>3 - 1ª CIA OP</v>
      </c>
      <c r="F1472" s="92" t="str">
        <f>IFERROR(__xludf.DUMMYFUNCTION("""COMPUTED_VALUE"""),"REFEITÓRIO (CIA OP)")</f>
        <v>REFEITÓRIO (CIA OP)</v>
      </c>
      <c r="G1472" s="89">
        <f>IFERROR(__xludf.DUMMYFUNCTION("""COMPUTED_VALUE"""),7.6982327E7)</f>
        <v>76982327</v>
      </c>
      <c r="H1472" s="87"/>
      <c r="I1472" s="87"/>
    </row>
    <row r="1473">
      <c r="A1473" s="84">
        <f>IFERROR(__xludf.DUMMYFUNCTION("""COMPUTED_VALUE"""),1473.0)</f>
        <v>1473</v>
      </c>
      <c r="B1473" s="85" t="str">
        <f>IFERROR(__xludf.DUMMYFUNCTION("""COMPUTED_VALUE"""),"CADEIRA REFEITÓRIO - ")</f>
        <v>CADEIRA REFEITÓRIO - </v>
      </c>
      <c r="C1473" s="86">
        <f>IFERROR(__xludf.DUMMYFUNCTION("""COMPUTED_VALUE"""),1.0)</f>
        <v>1</v>
      </c>
      <c r="D1473" s="87" t="str">
        <f>IFERROR(__xludf.DUMMYFUNCTION("""COMPUTED_VALUE"""),"SEÇÃO")</f>
        <v>SEÇÃO</v>
      </c>
      <c r="E1473" s="87" t="str">
        <f>IFERROR(__xludf.DUMMYFUNCTION("""COMPUTED_VALUE"""),"3 - 1ª CIA OP")</f>
        <v>3 - 1ª CIA OP</v>
      </c>
      <c r="F1473" s="92" t="str">
        <f>IFERROR(__xludf.DUMMYFUNCTION("""COMPUTED_VALUE"""),"REFEITÓRIO (CIA OP)")</f>
        <v>REFEITÓRIO (CIA OP)</v>
      </c>
      <c r="G1473" s="89">
        <f>IFERROR(__xludf.DUMMYFUNCTION("""COMPUTED_VALUE"""),7.6982335E7)</f>
        <v>76982335</v>
      </c>
      <c r="H1473" s="87"/>
      <c r="I1473" s="87"/>
    </row>
    <row r="1474">
      <c r="A1474" s="84">
        <f>IFERROR(__xludf.DUMMYFUNCTION("""COMPUTED_VALUE"""),1474.0)</f>
        <v>1474</v>
      </c>
      <c r="B1474" s="85" t="str">
        <f>IFERROR(__xludf.DUMMYFUNCTION("""COMPUTED_VALUE"""),"CADEIRA REFEITÓRIO - ")</f>
        <v>CADEIRA REFEITÓRIO - </v>
      </c>
      <c r="C1474" s="86">
        <f>IFERROR(__xludf.DUMMYFUNCTION("""COMPUTED_VALUE"""),1.0)</f>
        <v>1</v>
      </c>
      <c r="D1474" s="87" t="str">
        <f>IFERROR(__xludf.DUMMYFUNCTION("""COMPUTED_VALUE"""),"SEÇÃO")</f>
        <v>SEÇÃO</v>
      </c>
      <c r="E1474" s="87" t="str">
        <f>IFERROR(__xludf.DUMMYFUNCTION("""COMPUTED_VALUE"""),"3 - 1ª CIA OP")</f>
        <v>3 - 1ª CIA OP</v>
      </c>
      <c r="F1474" s="92" t="str">
        <f>IFERROR(__xludf.DUMMYFUNCTION("""COMPUTED_VALUE"""),"REFEITÓRIO (CIA OP)")</f>
        <v>REFEITÓRIO (CIA OP)</v>
      </c>
      <c r="G1474" s="89">
        <f>IFERROR(__xludf.DUMMYFUNCTION("""COMPUTED_VALUE"""),7.6982343E7)</f>
        <v>76982343</v>
      </c>
      <c r="H1474" s="87"/>
      <c r="I1474" s="87"/>
    </row>
    <row r="1475">
      <c r="A1475" s="84">
        <f>IFERROR(__xludf.DUMMYFUNCTION("""COMPUTED_VALUE"""),1475.0)</f>
        <v>1475</v>
      </c>
      <c r="B1475" s="85" t="str">
        <f>IFERROR(__xludf.DUMMYFUNCTION("""COMPUTED_VALUE"""),"CADEIRA REFEITÓRIO - ")</f>
        <v>CADEIRA REFEITÓRIO - </v>
      </c>
      <c r="C1475" s="86">
        <f>IFERROR(__xludf.DUMMYFUNCTION("""COMPUTED_VALUE"""),1.0)</f>
        <v>1</v>
      </c>
      <c r="D1475" s="87" t="str">
        <f>IFERROR(__xludf.DUMMYFUNCTION("""COMPUTED_VALUE"""),"SEÇÃO")</f>
        <v>SEÇÃO</v>
      </c>
      <c r="E1475" s="87" t="str">
        <f>IFERROR(__xludf.DUMMYFUNCTION("""COMPUTED_VALUE"""),"3 - 1ª CIA OP")</f>
        <v>3 - 1ª CIA OP</v>
      </c>
      <c r="F1475" s="92" t="str">
        <f>IFERROR(__xludf.DUMMYFUNCTION("""COMPUTED_VALUE"""),"REFEITÓRIO (CIA OP)")</f>
        <v>REFEITÓRIO (CIA OP)</v>
      </c>
      <c r="G1475" s="89">
        <f>IFERROR(__xludf.DUMMYFUNCTION("""COMPUTED_VALUE"""),7.698244E7)</f>
        <v>76982440</v>
      </c>
      <c r="H1475" s="87"/>
      <c r="I1475" s="87"/>
    </row>
    <row r="1476">
      <c r="A1476" s="84">
        <f>IFERROR(__xludf.DUMMYFUNCTION("""COMPUTED_VALUE"""),1476.0)</f>
        <v>1476</v>
      </c>
      <c r="B1476" s="85" t="str">
        <f>IFERROR(__xludf.DUMMYFUNCTION("""COMPUTED_VALUE"""),"CADEIRA REFEITÓRIO - ")</f>
        <v>CADEIRA REFEITÓRIO - </v>
      </c>
      <c r="C1476" s="86">
        <f>IFERROR(__xludf.DUMMYFUNCTION("""COMPUTED_VALUE"""),1.0)</f>
        <v>1</v>
      </c>
      <c r="D1476" s="87" t="str">
        <f>IFERROR(__xludf.DUMMYFUNCTION("""COMPUTED_VALUE"""),"SEÇÃO")</f>
        <v>SEÇÃO</v>
      </c>
      <c r="E1476" s="87" t="str">
        <f>IFERROR(__xludf.DUMMYFUNCTION("""COMPUTED_VALUE"""),"3 - 1ª CIA OP")</f>
        <v>3 - 1ª CIA OP</v>
      </c>
      <c r="F1476" s="92" t="str">
        <f>IFERROR(__xludf.DUMMYFUNCTION("""COMPUTED_VALUE"""),"REFEITÓRIO (CIA OP)")</f>
        <v>REFEITÓRIO (CIA OP)</v>
      </c>
      <c r="G1476" s="89">
        <f>IFERROR(__xludf.DUMMYFUNCTION("""COMPUTED_VALUE"""),7.6982351E7)</f>
        <v>76982351</v>
      </c>
      <c r="H1476" s="87"/>
      <c r="I1476" s="87"/>
    </row>
    <row r="1477">
      <c r="A1477" s="84">
        <f>IFERROR(__xludf.DUMMYFUNCTION("""COMPUTED_VALUE"""),1477.0)</f>
        <v>1477</v>
      </c>
      <c r="B1477" s="85" t="str">
        <f>IFERROR(__xludf.DUMMYFUNCTION("""COMPUTED_VALUE"""),"CADEIRA REFEITÓRIO - ")</f>
        <v>CADEIRA REFEITÓRIO - </v>
      </c>
      <c r="C1477" s="86">
        <f>IFERROR(__xludf.DUMMYFUNCTION("""COMPUTED_VALUE"""),1.0)</f>
        <v>1</v>
      </c>
      <c r="D1477" s="87" t="str">
        <f>IFERROR(__xludf.DUMMYFUNCTION("""COMPUTED_VALUE"""),"SEÇÃO")</f>
        <v>SEÇÃO</v>
      </c>
      <c r="E1477" s="87" t="str">
        <f>IFERROR(__xludf.DUMMYFUNCTION("""COMPUTED_VALUE"""),"3 - 1ª CIA OP")</f>
        <v>3 - 1ª CIA OP</v>
      </c>
      <c r="F1477" s="92" t="str">
        <f>IFERROR(__xludf.DUMMYFUNCTION("""COMPUTED_VALUE"""),"REFEITÓRIO (CIA OP)")</f>
        <v>REFEITÓRIO (CIA OP)</v>
      </c>
      <c r="G1477" s="89">
        <f>IFERROR(__xludf.DUMMYFUNCTION("""COMPUTED_VALUE"""),7.698236E7)</f>
        <v>76982360</v>
      </c>
      <c r="H1477" s="87"/>
      <c r="I1477" s="87"/>
    </row>
    <row r="1478">
      <c r="A1478" s="84">
        <f>IFERROR(__xludf.DUMMYFUNCTION("""COMPUTED_VALUE"""),1478.0)</f>
        <v>1478</v>
      </c>
      <c r="B1478" s="85" t="str">
        <f>IFERROR(__xludf.DUMMYFUNCTION("""COMPUTED_VALUE"""),"CADEIRA REFEITÓRIO - ")</f>
        <v>CADEIRA REFEITÓRIO - </v>
      </c>
      <c r="C1478" s="86">
        <f>IFERROR(__xludf.DUMMYFUNCTION("""COMPUTED_VALUE"""),1.0)</f>
        <v>1</v>
      </c>
      <c r="D1478" s="87" t="str">
        <f>IFERROR(__xludf.DUMMYFUNCTION("""COMPUTED_VALUE"""),"SEÇÃO")</f>
        <v>SEÇÃO</v>
      </c>
      <c r="E1478" s="87" t="str">
        <f>IFERROR(__xludf.DUMMYFUNCTION("""COMPUTED_VALUE"""),"3 - 1ª CIA OP")</f>
        <v>3 - 1ª CIA OP</v>
      </c>
      <c r="F1478" s="92" t="str">
        <f>IFERROR(__xludf.DUMMYFUNCTION("""COMPUTED_VALUE"""),"REFEITÓRIO (CIA OP)")</f>
        <v>REFEITÓRIO (CIA OP)</v>
      </c>
      <c r="G1478" s="89">
        <f>IFERROR(__xludf.DUMMYFUNCTION("""COMPUTED_VALUE"""),7.6982378E7)</f>
        <v>76982378</v>
      </c>
      <c r="H1478" s="87"/>
      <c r="I1478" s="87"/>
    </row>
    <row r="1479">
      <c r="A1479" s="84">
        <f>IFERROR(__xludf.DUMMYFUNCTION("""COMPUTED_VALUE"""),1479.0)</f>
        <v>1479</v>
      </c>
      <c r="B1479" s="85" t="str">
        <f>IFERROR(__xludf.DUMMYFUNCTION("""COMPUTED_VALUE"""),"CADEIRA REFEITÓRIO - ")</f>
        <v>CADEIRA REFEITÓRIO - </v>
      </c>
      <c r="C1479" s="86">
        <f>IFERROR(__xludf.DUMMYFUNCTION("""COMPUTED_VALUE"""),1.0)</f>
        <v>1</v>
      </c>
      <c r="D1479" s="87" t="str">
        <f>IFERROR(__xludf.DUMMYFUNCTION("""COMPUTED_VALUE"""),"SEÇÃO")</f>
        <v>SEÇÃO</v>
      </c>
      <c r="E1479" s="87" t="str">
        <f>IFERROR(__xludf.DUMMYFUNCTION("""COMPUTED_VALUE"""),"3 - 1ª CIA OP")</f>
        <v>3 - 1ª CIA OP</v>
      </c>
      <c r="F1479" s="92" t="str">
        <f>IFERROR(__xludf.DUMMYFUNCTION("""COMPUTED_VALUE"""),"REFEITÓRIO (CIA OP)")</f>
        <v>REFEITÓRIO (CIA OP)</v>
      </c>
      <c r="G1479" s="89">
        <f>IFERROR(__xludf.DUMMYFUNCTION("""COMPUTED_VALUE"""),7.6982386E7)</f>
        <v>76982386</v>
      </c>
      <c r="H1479" s="87"/>
      <c r="I1479" s="87"/>
    </row>
    <row r="1480">
      <c r="A1480" s="84">
        <f>IFERROR(__xludf.DUMMYFUNCTION("""COMPUTED_VALUE"""),1480.0)</f>
        <v>1480</v>
      </c>
      <c r="B1480" s="85" t="str">
        <f>IFERROR(__xludf.DUMMYFUNCTION("""COMPUTED_VALUE"""),"CADEIRA REFEITÓRIO - ")</f>
        <v>CADEIRA REFEITÓRIO - </v>
      </c>
      <c r="C1480" s="86">
        <f>IFERROR(__xludf.DUMMYFUNCTION("""COMPUTED_VALUE"""),1.0)</f>
        <v>1</v>
      </c>
      <c r="D1480" s="87" t="str">
        <f>IFERROR(__xludf.DUMMYFUNCTION("""COMPUTED_VALUE"""),"SEÇÃO")</f>
        <v>SEÇÃO</v>
      </c>
      <c r="E1480" s="87" t="str">
        <f>IFERROR(__xludf.DUMMYFUNCTION("""COMPUTED_VALUE"""),"3 - 1ª CIA OP")</f>
        <v>3 - 1ª CIA OP</v>
      </c>
      <c r="F1480" s="92" t="str">
        <f>IFERROR(__xludf.DUMMYFUNCTION("""COMPUTED_VALUE"""),"REFEITÓRIO (CIA OP)")</f>
        <v>REFEITÓRIO (CIA OP)</v>
      </c>
      <c r="G1480" s="89">
        <f>IFERROR(__xludf.DUMMYFUNCTION("""COMPUTED_VALUE"""),7.6982394E7)</f>
        <v>76982394</v>
      </c>
      <c r="H1480" s="87"/>
      <c r="I1480" s="87"/>
    </row>
    <row r="1481">
      <c r="A1481" s="84">
        <f>IFERROR(__xludf.DUMMYFUNCTION("""COMPUTED_VALUE"""),1481.0)</f>
        <v>1481</v>
      </c>
      <c r="B1481" s="85" t="str">
        <f>IFERROR(__xludf.DUMMYFUNCTION("""COMPUTED_VALUE"""),"CADEIRA REFEITÓRIO - ")</f>
        <v>CADEIRA REFEITÓRIO - </v>
      </c>
      <c r="C1481" s="86">
        <f>IFERROR(__xludf.DUMMYFUNCTION("""COMPUTED_VALUE"""),1.0)</f>
        <v>1</v>
      </c>
      <c r="D1481" s="87" t="str">
        <f>IFERROR(__xludf.DUMMYFUNCTION("""COMPUTED_VALUE"""),"SEÇÃO")</f>
        <v>SEÇÃO</v>
      </c>
      <c r="E1481" s="87" t="str">
        <f>IFERROR(__xludf.DUMMYFUNCTION("""COMPUTED_VALUE"""),"3 - 1ª CIA OP")</f>
        <v>3 - 1ª CIA OP</v>
      </c>
      <c r="F1481" s="92" t="str">
        <f>IFERROR(__xludf.DUMMYFUNCTION("""COMPUTED_VALUE"""),"REFEITÓRIO (CIA OP)")</f>
        <v>REFEITÓRIO (CIA OP)</v>
      </c>
      <c r="G1481" s="89">
        <f>IFERROR(__xludf.DUMMYFUNCTION("""COMPUTED_VALUE"""),7.6982408E7)</f>
        <v>76982408</v>
      </c>
      <c r="H1481" s="87"/>
      <c r="I1481" s="87"/>
    </row>
    <row r="1482">
      <c r="A1482" s="84">
        <f>IFERROR(__xludf.DUMMYFUNCTION("""COMPUTED_VALUE"""),1482.0)</f>
        <v>1482</v>
      </c>
      <c r="B1482" s="85" t="str">
        <f>IFERROR(__xludf.DUMMYFUNCTION("""COMPUTED_VALUE"""),"CADEIRA REFEITÓRIO - ")</f>
        <v>CADEIRA REFEITÓRIO - </v>
      </c>
      <c r="C1482" s="86">
        <f>IFERROR(__xludf.DUMMYFUNCTION("""COMPUTED_VALUE"""),1.0)</f>
        <v>1</v>
      </c>
      <c r="D1482" s="87" t="str">
        <f>IFERROR(__xludf.DUMMYFUNCTION("""COMPUTED_VALUE"""),"SEÇÃO")</f>
        <v>SEÇÃO</v>
      </c>
      <c r="E1482" s="87" t="str">
        <f>IFERROR(__xludf.DUMMYFUNCTION("""COMPUTED_VALUE"""),"3 - 1ª CIA OP")</f>
        <v>3 - 1ª CIA OP</v>
      </c>
      <c r="F1482" s="92" t="str">
        <f>IFERROR(__xludf.DUMMYFUNCTION("""COMPUTED_VALUE"""),"REFEITÓRIO (CIA OP)")</f>
        <v>REFEITÓRIO (CIA OP)</v>
      </c>
      <c r="G1482" s="89">
        <f>IFERROR(__xludf.DUMMYFUNCTION("""COMPUTED_VALUE"""),7.6982416E7)</f>
        <v>76982416</v>
      </c>
      <c r="H1482" s="87"/>
      <c r="I1482" s="87"/>
    </row>
    <row r="1483">
      <c r="A1483" s="84">
        <f>IFERROR(__xludf.DUMMYFUNCTION("""COMPUTED_VALUE"""),1483.0)</f>
        <v>1483</v>
      </c>
      <c r="B1483" s="85" t="str">
        <f>IFERROR(__xludf.DUMMYFUNCTION("""COMPUTED_VALUE"""),"CADEIRA REFEITÓRIO - ")</f>
        <v>CADEIRA REFEITÓRIO - </v>
      </c>
      <c r="C1483" s="86">
        <f>IFERROR(__xludf.DUMMYFUNCTION("""COMPUTED_VALUE"""),1.0)</f>
        <v>1</v>
      </c>
      <c r="D1483" s="87" t="str">
        <f>IFERROR(__xludf.DUMMYFUNCTION("""COMPUTED_VALUE"""),"SEÇÃO")</f>
        <v>SEÇÃO</v>
      </c>
      <c r="E1483" s="87" t="str">
        <f>IFERROR(__xludf.DUMMYFUNCTION("""COMPUTED_VALUE"""),"3 - 1ª CIA OP")</f>
        <v>3 - 1ª CIA OP</v>
      </c>
      <c r="F1483" s="92" t="str">
        <f>IFERROR(__xludf.DUMMYFUNCTION("""COMPUTED_VALUE"""),"REFEITÓRIO (CIA OP)")</f>
        <v>REFEITÓRIO (CIA OP)</v>
      </c>
      <c r="G1483" s="89">
        <f>IFERROR(__xludf.DUMMYFUNCTION("""COMPUTED_VALUE"""),7.6982424E7)</f>
        <v>76982424</v>
      </c>
      <c r="H1483" s="87"/>
      <c r="I1483" s="87"/>
    </row>
    <row r="1484">
      <c r="A1484" s="84">
        <f>IFERROR(__xludf.DUMMYFUNCTION("""COMPUTED_VALUE"""),1484.0)</f>
        <v>1484</v>
      </c>
      <c r="B1484" s="85" t="str">
        <f>IFERROR(__xludf.DUMMYFUNCTION("""COMPUTED_VALUE"""),"CADEIRA REFEITÓRIO - ")</f>
        <v>CADEIRA REFEITÓRIO - </v>
      </c>
      <c r="C1484" s="86">
        <f>IFERROR(__xludf.DUMMYFUNCTION("""COMPUTED_VALUE"""),1.0)</f>
        <v>1</v>
      </c>
      <c r="D1484" s="87" t="str">
        <f>IFERROR(__xludf.DUMMYFUNCTION("""COMPUTED_VALUE"""),"SEÇÃO")</f>
        <v>SEÇÃO</v>
      </c>
      <c r="E1484" s="87" t="str">
        <f>IFERROR(__xludf.DUMMYFUNCTION("""COMPUTED_VALUE"""),"3 - 1ª CIA OP")</f>
        <v>3 - 1ª CIA OP</v>
      </c>
      <c r="F1484" s="92" t="str">
        <f>IFERROR(__xludf.DUMMYFUNCTION("""COMPUTED_VALUE"""),"REFEITÓRIO (CIA OP)")</f>
        <v>REFEITÓRIO (CIA OP)</v>
      </c>
      <c r="G1484" s="89">
        <f>IFERROR(__xludf.DUMMYFUNCTION("""COMPUTED_VALUE"""),7.6982432E7)</f>
        <v>76982432</v>
      </c>
      <c r="H1484" s="87"/>
      <c r="I1484" s="87"/>
    </row>
    <row r="1485">
      <c r="A1485" s="84">
        <f>IFERROR(__xludf.DUMMYFUNCTION("""COMPUTED_VALUE"""),1485.0)</f>
        <v>1485</v>
      </c>
      <c r="B1485" s="85" t="str">
        <f>IFERROR(__xludf.DUMMYFUNCTION("""COMPUTED_VALUE"""),"CADEIRA REFEITÓRIO - ")</f>
        <v>CADEIRA REFEITÓRIO - </v>
      </c>
      <c r="C1485" s="86">
        <f>IFERROR(__xludf.DUMMYFUNCTION("""COMPUTED_VALUE"""),1.0)</f>
        <v>1</v>
      </c>
      <c r="D1485" s="87" t="str">
        <f>IFERROR(__xludf.DUMMYFUNCTION("""COMPUTED_VALUE"""),"SEÇÃO")</f>
        <v>SEÇÃO</v>
      </c>
      <c r="E1485" s="87" t="str">
        <f>IFERROR(__xludf.DUMMYFUNCTION("""COMPUTED_VALUE"""),"3 - 1ª CIA OP")</f>
        <v>3 - 1ª CIA OP</v>
      </c>
      <c r="F1485" s="92" t="str">
        <f>IFERROR(__xludf.DUMMYFUNCTION("""COMPUTED_VALUE"""),"REFEITÓRIO (CIA OP)")</f>
        <v>REFEITÓRIO (CIA OP)</v>
      </c>
      <c r="G1485" s="89">
        <f>IFERROR(__xludf.DUMMYFUNCTION("""COMPUTED_VALUE"""),7.6982459E7)</f>
        <v>76982459</v>
      </c>
      <c r="H1485" s="87"/>
      <c r="I1485" s="87"/>
    </row>
    <row r="1486">
      <c r="A1486" s="84">
        <f>IFERROR(__xludf.DUMMYFUNCTION("""COMPUTED_VALUE"""),1486.0)</f>
        <v>1486</v>
      </c>
      <c r="B1486" s="85" t="str">
        <f>IFERROR(__xludf.DUMMYFUNCTION("""COMPUTED_VALUE"""),"CADEIRA REFEITÓRIO - ")</f>
        <v>CADEIRA REFEITÓRIO - </v>
      </c>
      <c r="C1486" s="86">
        <f>IFERROR(__xludf.DUMMYFUNCTION("""COMPUTED_VALUE"""),1.0)</f>
        <v>1</v>
      </c>
      <c r="D1486" s="87" t="str">
        <f>IFERROR(__xludf.DUMMYFUNCTION("""COMPUTED_VALUE"""),"SEÇÃO")</f>
        <v>SEÇÃO</v>
      </c>
      <c r="E1486" s="87" t="str">
        <f>IFERROR(__xludf.DUMMYFUNCTION("""COMPUTED_VALUE"""),"3 - 1ª CIA OP")</f>
        <v>3 - 1ª CIA OP</v>
      </c>
      <c r="F1486" s="92" t="str">
        <f>IFERROR(__xludf.DUMMYFUNCTION("""COMPUTED_VALUE"""),"REFEITÓRIO (CIA OP)")</f>
        <v>REFEITÓRIO (CIA OP)</v>
      </c>
      <c r="G1486" s="89">
        <f>IFERROR(__xludf.DUMMYFUNCTION("""COMPUTED_VALUE"""),7.69823E7)</f>
        <v>76982300</v>
      </c>
      <c r="H1486" s="87"/>
      <c r="I1486" s="87"/>
    </row>
    <row r="1487">
      <c r="A1487" s="84">
        <f>IFERROR(__xludf.DUMMYFUNCTION("""COMPUTED_VALUE"""),1487.0)</f>
        <v>1487</v>
      </c>
      <c r="B1487" s="85" t="str">
        <f>IFERROR(__xludf.DUMMYFUNCTION("""COMPUTED_VALUE"""),"CADEIRA REFEITÓRIO - ")</f>
        <v>CADEIRA REFEITÓRIO - </v>
      </c>
      <c r="C1487" s="86">
        <f>IFERROR(__xludf.DUMMYFUNCTION("""COMPUTED_VALUE"""),1.0)</f>
        <v>1</v>
      </c>
      <c r="D1487" s="87" t="str">
        <f>IFERROR(__xludf.DUMMYFUNCTION("""COMPUTED_VALUE"""),"SEÇÃO")</f>
        <v>SEÇÃO</v>
      </c>
      <c r="E1487" s="87" t="str">
        <f>IFERROR(__xludf.DUMMYFUNCTION("""COMPUTED_VALUE"""),"3 - 1ª CIA OP")</f>
        <v>3 - 1ª CIA OP</v>
      </c>
      <c r="F1487" s="92" t="str">
        <f>IFERROR(__xludf.DUMMYFUNCTION("""COMPUTED_VALUE"""),"REFEITÓRIO (CIA OP)")</f>
        <v>REFEITÓRIO (CIA OP)</v>
      </c>
      <c r="G1487" s="89">
        <f>IFERROR(__xludf.DUMMYFUNCTION("""COMPUTED_VALUE"""),7.6982467E7)</f>
        <v>76982467</v>
      </c>
      <c r="H1487" s="87"/>
      <c r="I1487" s="87"/>
    </row>
    <row r="1488">
      <c r="A1488" s="84">
        <f>IFERROR(__xludf.DUMMYFUNCTION("""COMPUTED_VALUE"""),1488.0)</f>
        <v>1488</v>
      </c>
      <c r="B1488" s="85" t="str">
        <f>IFERROR(__xludf.DUMMYFUNCTION("""COMPUTED_VALUE"""),"CADEIRA REFEITÓRIO - ")</f>
        <v>CADEIRA REFEITÓRIO - </v>
      </c>
      <c r="C1488" s="86">
        <f>IFERROR(__xludf.DUMMYFUNCTION("""COMPUTED_VALUE"""),1.0)</f>
        <v>1</v>
      </c>
      <c r="D1488" s="87" t="str">
        <f>IFERROR(__xludf.DUMMYFUNCTION("""COMPUTED_VALUE"""),"SEÇÃO")</f>
        <v>SEÇÃO</v>
      </c>
      <c r="E1488" s="87" t="str">
        <f>IFERROR(__xludf.DUMMYFUNCTION("""COMPUTED_VALUE"""),"3 - 1ª CIA OP")</f>
        <v>3 - 1ª CIA OP</v>
      </c>
      <c r="F1488" s="92" t="str">
        <f>IFERROR(__xludf.DUMMYFUNCTION("""COMPUTED_VALUE"""),"REFEITÓRIO (CIA OP)")</f>
        <v>REFEITÓRIO (CIA OP)</v>
      </c>
      <c r="G1488" s="89">
        <f>IFERROR(__xludf.DUMMYFUNCTION("""COMPUTED_VALUE"""),7.6982475E7)</f>
        <v>76982475</v>
      </c>
      <c r="H1488" s="87"/>
      <c r="I1488" s="87"/>
    </row>
    <row r="1489">
      <c r="A1489" s="84">
        <f>IFERROR(__xludf.DUMMYFUNCTION("""COMPUTED_VALUE"""),1489.0)</f>
        <v>1489</v>
      </c>
      <c r="B1489" s="85" t="str">
        <f>IFERROR(__xludf.DUMMYFUNCTION("""COMPUTED_VALUE"""),"CADEIRA REFEITÓRIO - ")</f>
        <v>CADEIRA REFEITÓRIO - </v>
      </c>
      <c r="C1489" s="86">
        <f>IFERROR(__xludf.DUMMYFUNCTION("""COMPUTED_VALUE"""),1.0)</f>
        <v>1</v>
      </c>
      <c r="D1489" s="87" t="str">
        <f>IFERROR(__xludf.DUMMYFUNCTION("""COMPUTED_VALUE"""),"SEÇÃO")</f>
        <v>SEÇÃO</v>
      </c>
      <c r="E1489" s="87" t="str">
        <f>IFERROR(__xludf.DUMMYFUNCTION("""COMPUTED_VALUE"""),"3 - 1ª CIA OP")</f>
        <v>3 - 1ª CIA OP</v>
      </c>
      <c r="F1489" s="92" t="str">
        <f>IFERROR(__xludf.DUMMYFUNCTION("""COMPUTED_VALUE"""),"REFEITÓRIO (CIA OP)")</f>
        <v>REFEITÓRIO (CIA OP)</v>
      </c>
      <c r="G1489" s="89">
        <f>IFERROR(__xludf.DUMMYFUNCTION("""COMPUTED_VALUE"""),7.6982483E7)</f>
        <v>76982483</v>
      </c>
      <c r="H1489" s="87"/>
      <c r="I1489" s="87"/>
    </row>
    <row r="1490">
      <c r="A1490" s="84">
        <f>IFERROR(__xludf.DUMMYFUNCTION("""COMPUTED_VALUE"""),1490.0)</f>
        <v>1490</v>
      </c>
      <c r="B1490" s="85" t="str">
        <f>IFERROR(__xludf.DUMMYFUNCTION("""COMPUTED_VALUE"""),"CADEIRA REFEITÓRIO - ")</f>
        <v>CADEIRA REFEITÓRIO - </v>
      </c>
      <c r="C1490" s="86">
        <f>IFERROR(__xludf.DUMMYFUNCTION("""COMPUTED_VALUE"""),1.0)</f>
        <v>1</v>
      </c>
      <c r="D1490" s="87" t="str">
        <f>IFERROR(__xludf.DUMMYFUNCTION("""COMPUTED_VALUE"""),"SEÇÃO")</f>
        <v>SEÇÃO</v>
      </c>
      <c r="E1490" s="87" t="str">
        <f>IFERROR(__xludf.DUMMYFUNCTION("""COMPUTED_VALUE"""),"3 - 1ª CIA OP")</f>
        <v>3 - 1ª CIA OP</v>
      </c>
      <c r="F1490" s="92" t="str">
        <f>IFERROR(__xludf.DUMMYFUNCTION("""COMPUTED_VALUE"""),"REFEITÓRIO (CIA OP)")</f>
        <v>REFEITÓRIO (CIA OP)</v>
      </c>
      <c r="G1490" s="89">
        <f>IFERROR(__xludf.DUMMYFUNCTION("""COMPUTED_VALUE"""),7.6982491E7)</f>
        <v>76982491</v>
      </c>
      <c r="H1490" s="87"/>
      <c r="I1490" s="87"/>
    </row>
    <row r="1491">
      <c r="A1491" s="84">
        <f>IFERROR(__xludf.DUMMYFUNCTION("""COMPUTED_VALUE"""),1491.0)</f>
        <v>1491</v>
      </c>
      <c r="B1491" s="85" t="str">
        <f>IFERROR(__xludf.DUMMYFUNCTION("""COMPUTED_VALUE"""),"MAQUINA DE LAVAR ROUPA - ")</f>
        <v>MAQUINA DE LAVAR ROUPA - </v>
      </c>
      <c r="C1491" s="86">
        <f>IFERROR(__xludf.DUMMYFUNCTION("""COMPUTED_VALUE"""),1.0)</f>
        <v>1</v>
      </c>
      <c r="D1491" s="87" t="str">
        <f>IFERROR(__xludf.DUMMYFUNCTION("""COMPUTED_VALUE"""),"SEÇÃO")</f>
        <v>SEÇÃO</v>
      </c>
      <c r="E1491" s="87" t="str">
        <f>IFERROR(__xludf.DUMMYFUNCTION("""COMPUTED_VALUE"""),"3 - 1ª CIA OP")</f>
        <v>3 - 1ª CIA OP</v>
      </c>
      <c r="F1491" s="92" t="str">
        <f>IFERROR(__xludf.DUMMYFUNCTION("""COMPUTED_VALUE"""),"OFICINA")</f>
        <v>OFICINA</v>
      </c>
      <c r="G1491" s="89">
        <f>IFERROR(__xludf.DUMMYFUNCTION("""COMPUTED_VALUE"""),7.6987051E7)</f>
        <v>76987051</v>
      </c>
      <c r="H1491" s="87"/>
      <c r="I1491" s="87"/>
    </row>
    <row r="1492">
      <c r="A1492" s="84">
        <f>IFERROR(__xludf.DUMMYFUNCTION("""COMPUTED_VALUE"""),1492.0)</f>
        <v>1492</v>
      </c>
      <c r="B1492" s="85" t="str">
        <f>IFERROR(__xludf.DUMMYFUNCTION("""COMPUTED_VALUE"""),"MICRO RETIFICA -")</f>
        <v>MICRO RETIFICA -</v>
      </c>
      <c r="C1492" s="86">
        <f>IFERROR(__xludf.DUMMYFUNCTION("""COMPUTED_VALUE"""),1.0)</f>
        <v>1</v>
      </c>
      <c r="D1492" s="87" t="str">
        <f>IFERROR(__xludf.DUMMYFUNCTION("""COMPUTED_VALUE"""),"SEÇÃO")</f>
        <v>SEÇÃO</v>
      </c>
      <c r="E1492" s="87" t="str">
        <f>IFERROR(__xludf.DUMMYFUNCTION("""COMPUTED_VALUE"""),"3 - ALMOX. ESTOQUE")</f>
        <v>3 - ALMOX. ESTOQUE</v>
      </c>
      <c r="F1492" s="92" t="str">
        <f>IFERROR(__xludf.DUMMYFUNCTION("""COMPUTED_VALUE"""),"SAO")</f>
        <v>SAO</v>
      </c>
      <c r="G1492" s="89">
        <f>IFERROR(__xludf.DUMMYFUNCTION("""COMPUTED_VALUE"""),7.6973646E7)</f>
        <v>76973646</v>
      </c>
      <c r="H1492" s="87"/>
      <c r="I1492" s="87"/>
    </row>
    <row r="1493">
      <c r="A1493" s="84">
        <f>IFERROR(__xludf.DUMMYFUNCTION("""COMPUTED_VALUE"""),1493.0)</f>
        <v>1493</v>
      </c>
      <c r="B1493" s="85" t="str">
        <f>IFERROR(__xludf.DUMMYFUNCTION("""COMPUTED_VALUE"""),"MICRO RETIFICA -")</f>
        <v>MICRO RETIFICA -</v>
      </c>
      <c r="C1493" s="86">
        <f>IFERROR(__xludf.DUMMYFUNCTION("""COMPUTED_VALUE"""),1.0)</f>
        <v>1</v>
      </c>
      <c r="D1493" s="87" t="str">
        <f>IFERROR(__xludf.DUMMYFUNCTION("""COMPUTED_VALUE"""),"SEÇÃO")</f>
        <v>SEÇÃO</v>
      </c>
      <c r="E1493" s="87" t="str">
        <f>IFERROR(__xludf.DUMMYFUNCTION("""COMPUTED_VALUE"""),"3 - ALMOX. ESTOQUE")</f>
        <v>3 - ALMOX. ESTOQUE</v>
      </c>
      <c r="F1493" s="92" t="str">
        <f>IFERROR(__xludf.DUMMYFUNCTION("""COMPUTED_VALUE"""),"SAO")</f>
        <v>SAO</v>
      </c>
      <c r="G1493" s="89">
        <f>IFERROR(__xludf.DUMMYFUNCTION("""COMPUTED_VALUE"""),7.6973654E7)</f>
        <v>76973654</v>
      </c>
      <c r="H1493" s="87"/>
      <c r="I1493" s="87"/>
    </row>
    <row r="1494">
      <c r="A1494" s="84">
        <f>IFERROR(__xludf.DUMMYFUNCTION("""COMPUTED_VALUE"""),1494.0)</f>
        <v>1494</v>
      </c>
      <c r="B1494" s="85" t="str">
        <f>IFERROR(__xludf.DUMMYFUNCTION("""COMPUTED_VALUE"""),"MICRO RETIFICA -")</f>
        <v>MICRO RETIFICA -</v>
      </c>
      <c r="C1494" s="86">
        <f>IFERROR(__xludf.DUMMYFUNCTION("""COMPUTED_VALUE"""),1.0)</f>
        <v>1</v>
      </c>
      <c r="D1494" s="87" t="str">
        <f>IFERROR(__xludf.DUMMYFUNCTION("""COMPUTED_VALUE"""),"SEÇÃO")</f>
        <v>SEÇÃO</v>
      </c>
      <c r="E1494" s="87" t="str">
        <f>IFERROR(__xludf.DUMMYFUNCTION("""COMPUTED_VALUE"""),"3 - GUARDA")</f>
        <v>3 - GUARDA</v>
      </c>
      <c r="F1494" s="92"/>
      <c r="G1494" s="89">
        <f>IFERROR(__xludf.DUMMYFUNCTION("""COMPUTED_VALUE"""),7.6973662E7)</f>
        <v>76973662</v>
      </c>
      <c r="H1494" s="87"/>
      <c r="I1494" s="87"/>
    </row>
    <row r="1495">
      <c r="A1495" s="84">
        <f>IFERROR(__xludf.DUMMYFUNCTION("""COMPUTED_VALUE"""),1495.0)</f>
        <v>1495</v>
      </c>
      <c r="B1495" s="85" t="str">
        <f>IFERROR(__xludf.DUMMYFUNCTION("""COMPUTED_VALUE"""),"EQUIPAMENTO PARA DETECCAO DE GASES -")</f>
        <v>EQUIPAMENTO PARA DETECCAO DE GASES -</v>
      </c>
      <c r="C1495" s="86">
        <f>IFERROR(__xludf.DUMMYFUNCTION("""COMPUTED_VALUE"""),1.0)</f>
        <v>1</v>
      </c>
      <c r="D1495" s="87" t="str">
        <f>IFERROR(__xludf.DUMMYFUNCTION("""COMPUTED_VALUE"""),"SEÇÃO")</f>
        <v>SEÇÃO</v>
      </c>
      <c r="E1495" s="87" t="str">
        <f>IFERROR(__xludf.DUMMYFUNCTION("""COMPUTED_VALUE"""),"3 - SOU")</f>
        <v>3 - SOU</v>
      </c>
      <c r="F1495" s="92" t="str">
        <f>IFERROR(__xludf.DUMMYFUNCTION("""COMPUTED_VALUE"""),"CPD")</f>
        <v>CPD</v>
      </c>
      <c r="G1495" s="89">
        <f>IFERROR(__xludf.DUMMYFUNCTION("""COMPUTED_VALUE"""),7.6975614E7)</f>
        <v>76975614</v>
      </c>
      <c r="H1495" s="87"/>
      <c r="I1495" s="87" t="str">
        <f>IFERROR(__xludf.DUMMYFUNCTION("""COMPUTED_VALUE"""),"COMPONENTES CONFORME SEI 118109804")</f>
        <v>COMPONENTES CONFORME SEI 118109804</v>
      </c>
    </row>
    <row r="1496">
      <c r="A1496" s="84">
        <f>IFERROR(__xludf.DUMMYFUNCTION("""COMPUTED_VALUE"""),1496.0)</f>
        <v>1496</v>
      </c>
      <c r="B1496" s="85" t="str">
        <f>IFERROR(__xludf.DUMMYFUNCTION("""COMPUTED_VALUE"""),"KIT CALIBRACAO PARA GAS EXPLOSIVO -")</f>
        <v>KIT CALIBRACAO PARA GAS EXPLOSIVO -</v>
      </c>
      <c r="C1496" s="86">
        <f>IFERROR(__xludf.DUMMYFUNCTION("""COMPUTED_VALUE"""),1.0)</f>
        <v>1</v>
      </c>
      <c r="D1496" s="87" t="str">
        <f>IFERROR(__xludf.DUMMYFUNCTION("""COMPUTED_VALUE"""),"SEÇÃO")</f>
        <v>SEÇÃO</v>
      </c>
      <c r="E1496" s="87" t="str">
        <f>IFERROR(__xludf.DUMMYFUNCTION("""COMPUTED_VALUE"""),"3 - SOU")</f>
        <v>3 - SOU</v>
      </c>
      <c r="F1496" s="92" t="str">
        <f>IFERROR(__xludf.DUMMYFUNCTION("""COMPUTED_VALUE"""),"CPD")</f>
        <v>CPD</v>
      </c>
      <c r="G1496" s="89">
        <f>IFERROR(__xludf.DUMMYFUNCTION("""COMPUTED_VALUE"""),7.697546E7)</f>
        <v>76975460</v>
      </c>
      <c r="H1496" s="87"/>
      <c r="I1496" s="87" t="str">
        <f>IFERROR(__xludf.DUMMYFUNCTION("""COMPUTED_VALUE"""),"COMPONENTES CONFORME SEI 118109805")</f>
        <v>COMPONENTES CONFORME SEI 118109805</v>
      </c>
    </row>
    <row r="1497">
      <c r="A1497" s="84">
        <f>IFERROR(__xludf.DUMMYFUNCTION("""COMPUTED_VALUE"""),1497.0)</f>
        <v>1497</v>
      </c>
      <c r="B1497" s="85" t="str">
        <f>IFERROR(__xludf.DUMMYFUNCTION("""COMPUTED_VALUE"""),"PROFUNDIMETRO -")</f>
        <v>PROFUNDIMETRO -</v>
      </c>
      <c r="C1497" s="86">
        <f>IFERROR(__xludf.DUMMYFUNCTION("""COMPUTED_VALUE"""),1.0)</f>
        <v>1</v>
      </c>
      <c r="D1497" s="87" t="str">
        <f>IFERROR(__xludf.DUMMYFUNCTION("""COMPUTED_VALUE"""),"SEÇÃO")</f>
        <v>SEÇÃO</v>
      </c>
      <c r="E1497" s="87" t="str">
        <f>IFERROR(__xludf.DUMMYFUNCTION("""COMPUTED_VALUE"""),"3 - SALA DE MERGULHO (SEDE)")</f>
        <v>3 - SALA DE MERGULHO (SEDE)</v>
      </c>
      <c r="F1497" s="92"/>
      <c r="G1497" s="89">
        <f>IFERROR(__xludf.DUMMYFUNCTION("""COMPUTED_VALUE"""),7.6837602E7)</f>
        <v>76837602</v>
      </c>
      <c r="H1497" s="87"/>
      <c r="I1497" s="87"/>
    </row>
    <row r="1498">
      <c r="A1498" s="84">
        <f>IFERROR(__xludf.DUMMYFUNCTION("""COMPUTED_VALUE"""),1498.0)</f>
        <v>1498</v>
      </c>
      <c r="B1498" s="85" t="str">
        <f>IFERROR(__xludf.DUMMYFUNCTION("""COMPUTED_VALUE"""),"PROFUNDIMETRO -")</f>
        <v>PROFUNDIMETRO -</v>
      </c>
      <c r="C1498" s="86">
        <f>IFERROR(__xludf.DUMMYFUNCTION("""COMPUTED_VALUE"""),1.0)</f>
        <v>1</v>
      </c>
      <c r="D1498" s="87" t="str">
        <f>IFERROR(__xludf.DUMMYFUNCTION("""COMPUTED_VALUE"""),"SEÇÃO")</f>
        <v>SEÇÃO</v>
      </c>
      <c r="E1498" s="87" t="str">
        <f>IFERROR(__xludf.DUMMYFUNCTION("""COMPUTED_VALUE"""),"3 - SALA DE MERGULHO (SEDE)")</f>
        <v>3 - SALA DE MERGULHO (SEDE)</v>
      </c>
      <c r="F1498" s="92"/>
      <c r="G1498" s="89">
        <f>IFERROR(__xludf.DUMMYFUNCTION("""COMPUTED_VALUE"""),7.683761E7)</f>
        <v>76837610</v>
      </c>
      <c r="H1498" s="87"/>
      <c r="I1498" s="87"/>
    </row>
    <row r="1499">
      <c r="A1499" s="84">
        <f>IFERROR(__xludf.DUMMYFUNCTION("""COMPUTED_VALUE"""),1499.0)</f>
        <v>1499</v>
      </c>
      <c r="B1499" s="85" t="str">
        <f>IFERROR(__xludf.DUMMYFUNCTION("""COMPUTED_VALUE"""),"PROFUNDIMETRO -")</f>
        <v>PROFUNDIMETRO -</v>
      </c>
      <c r="C1499" s="86">
        <f>IFERROR(__xludf.DUMMYFUNCTION("""COMPUTED_VALUE"""),1.0)</f>
        <v>1</v>
      </c>
      <c r="D1499" s="87" t="str">
        <f>IFERROR(__xludf.DUMMYFUNCTION("""COMPUTED_VALUE"""),"SEÇÃO")</f>
        <v>SEÇÃO</v>
      </c>
      <c r="E1499" s="87" t="str">
        <f>IFERROR(__xludf.DUMMYFUNCTION("""COMPUTED_VALUE"""),"3 - SALA DE MERGULHO (SEDE)")</f>
        <v>3 - SALA DE MERGULHO (SEDE)</v>
      </c>
      <c r="F1499" s="92"/>
      <c r="G1499" s="89">
        <f>IFERROR(__xludf.DUMMYFUNCTION("""COMPUTED_VALUE"""),7.6837629E7)</f>
        <v>76837629</v>
      </c>
      <c r="H1499" s="87"/>
      <c r="I1499" s="87"/>
    </row>
    <row r="1500">
      <c r="A1500" s="84">
        <f>IFERROR(__xludf.DUMMYFUNCTION("""COMPUTED_VALUE"""),1500.0)</f>
        <v>1500</v>
      </c>
      <c r="B1500" s="85" t="str">
        <f>IFERROR(__xludf.DUMMYFUNCTION("""COMPUTED_VALUE"""),"MANOMETRO -")</f>
        <v>MANOMETRO -</v>
      </c>
      <c r="C1500" s="86">
        <f>IFERROR(__xludf.DUMMYFUNCTION("""COMPUTED_VALUE"""),1.0)</f>
        <v>1</v>
      </c>
      <c r="D1500" s="87" t="str">
        <f>IFERROR(__xludf.DUMMYFUNCTION("""COMPUTED_VALUE"""),"SEÇÃO")</f>
        <v>SEÇÃO</v>
      </c>
      <c r="E1500" s="87" t="str">
        <f>IFERROR(__xludf.DUMMYFUNCTION("""COMPUTED_VALUE"""),"3 - SALA DE MERGULHO (SEDE)")</f>
        <v>3 - SALA DE MERGULHO (SEDE)</v>
      </c>
      <c r="F1500" s="92"/>
      <c r="G1500" s="89">
        <f>IFERROR(__xludf.DUMMYFUNCTION("""COMPUTED_VALUE"""),7.6837572E7)</f>
        <v>76837572</v>
      </c>
      <c r="H1500" s="87"/>
      <c r="I1500" s="87"/>
    </row>
    <row r="1501">
      <c r="A1501" s="84">
        <f>IFERROR(__xludf.DUMMYFUNCTION("""COMPUTED_VALUE"""),1501.0)</f>
        <v>1501</v>
      </c>
      <c r="B1501" s="85" t="str">
        <f>IFERROR(__xludf.DUMMYFUNCTION("""COMPUTED_VALUE"""),"MANOMETRO -")</f>
        <v>MANOMETRO -</v>
      </c>
      <c r="C1501" s="86">
        <f>IFERROR(__xludf.DUMMYFUNCTION("""COMPUTED_VALUE"""),1.0)</f>
        <v>1</v>
      </c>
      <c r="D1501" s="87" t="str">
        <f>IFERROR(__xludf.DUMMYFUNCTION("""COMPUTED_VALUE"""),"SEÇÃO")</f>
        <v>SEÇÃO</v>
      </c>
      <c r="E1501" s="87" t="str">
        <f>IFERROR(__xludf.DUMMYFUNCTION("""COMPUTED_VALUE"""),"3 - SALA DE MERGULHO (SEDE)")</f>
        <v>3 - SALA DE MERGULHO (SEDE)</v>
      </c>
      <c r="F1501" s="92"/>
      <c r="G1501" s="89">
        <f>IFERROR(__xludf.DUMMYFUNCTION("""COMPUTED_VALUE"""),7.6837599E7)</f>
        <v>76837599</v>
      </c>
      <c r="H1501" s="87"/>
      <c r="I1501" s="87"/>
    </row>
    <row r="1502">
      <c r="A1502" s="84">
        <f>IFERROR(__xludf.DUMMYFUNCTION("""COMPUTED_VALUE"""),1502.0)</f>
        <v>1502</v>
      </c>
      <c r="B1502" s="85" t="str">
        <f>IFERROR(__xludf.DUMMYFUNCTION("""COMPUTED_VALUE"""),"MANOMETRO -")</f>
        <v>MANOMETRO -</v>
      </c>
      <c r="C1502" s="86">
        <f>IFERROR(__xludf.DUMMYFUNCTION("""COMPUTED_VALUE"""),1.0)</f>
        <v>1</v>
      </c>
      <c r="D1502" s="87" t="str">
        <f>IFERROR(__xludf.DUMMYFUNCTION("""COMPUTED_VALUE"""),"SEÇÃO")</f>
        <v>SEÇÃO</v>
      </c>
      <c r="E1502" s="87" t="str">
        <f>IFERROR(__xludf.DUMMYFUNCTION("""COMPUTED_VALUE"""),"3 - SALA DE MERGULHO (SEDE)")</f>
        <v>3 - SALA DE MERGULHO (SEDE)</v>
      </c>
      <c r="F1502" s="92"/>
      <c r="G1502" s="89">
        <f>IFERROR(__xludf.DUMMYFUNCTION("""COMPUTED_VALUE"""),7.683758E7)</f>
        <v>76837580</v>
      </c>
      <c r="H1502" s="87"/>
      <c r="I1502" s="87"/>
    </row>
    <row r="1503">
      <c r="A1503" s="84">
        <f>IFERROR(__xludf.DUMMYFUNCTION("""COMPUTED_VALUE"""),1503.0)</f>
        <v>1503</v>
      </c>
      <c r="B1503" s="85" t="str">
        <f>IFERROR(__xludf.DUMMYFUNCTION("""COMPUTED_VALUE"""),"FERRAMENTA PARA DESENCARCERAMENTO -")</f>
        <v>FERRAMENTA PARA DESENCARCERAMENTO -</v>
      </c>
      <c r="C1503" s="86">
        <f>IFERROR(__xludf.DUMMYFUNCTION("""COMPUTED_VALUE"""),1.0)</f>
        <v>1</v>
      </c>
      <c r="D1503" s="87" t="str">
        <f>IFERROR(__xludf.DUMMYFUNCTION("""COMPUTED_VALUE"""),"SEÇÃO")</f>
        <v>SEÇÃO</v>
      </c>
      <c r="E1503" s="87" t="str">
        <f>IFERROR(__xludf.DUMMYFUNCTION("""COMPUTED_VALUE"""),"3 - ALMOX. ESTOQUE")</f>
        <v>3 - ALMOX. ESTOQUE</v>
      </c>
      <c r="F1503" s="92" t="str">
        <f>IFERROR(__xludf.DUMMYFUNCTION("""COMPUTED_VALUE"""),"ALMOX. SAO (SEDE)")</f>
        <v>ALMOX. SAO (SEDE)</v>
      </c>
      <c r="G1503" s="89">
        <f>IFERROR(__xludf.DUMMYFUNCTION("""COMPUTED_VALUE"""),7.6950867E7)</f>
        <v>76950867</v>
      </c>
      <c r="H1503" s="87"/>
      <c r="I1503" s="87"/>
    </row>
    <row r="1504">
      <c r="A1504" s="84">
        <f>IFERROR(__xludf.DUMMYFUNCTION("""COMPUTED_VALUE"""),1504.0)</f>
        <v>1504</v>
      </c>
      <c r="B1504" s="85" t="str">
        <f>IFERROR(__xludf.DUMMYFUNCTION("""COMPUTED_VALUE"""),"FERRAMENTA PARA DESENCARCERAMENTO -")</f>
        <v>FERRAMENTA PARA DESENCARCERAMENTO -</v>
      </c>
      <c r="C1504" s="86">
        <f>IFERROR(__xludf.DUMMYFUNCTION("""COMPUTED_VALUE"""),1.0)</f>
        <v>1</v>
      </c>
      <c r="D1504" s="87" t="str">
        <f>IFERROR(__xludf.DUMMYFUNCTION("""COMPUTED_VALUE"""),"SEÇÃO")</f>
        <v>SEÇÃO</v>
      </c>
      <c r="E1504" s="87" t="str">
        <f>IFERROR(__xludf.DUMMYFUNCTION("""COMPUTED_VALUE"""),"3 - ALMOX. ESTOQUE")</f>
        <v>3 - ALMOX. ESTOQUE</v>
      </c>
      <c r="F1504" s="92" t="str">
        <f>IFERROR(__xludf.DUMMYFUNCTION("""COMPUTED_VALUE"""),"ALMOX. SAO (SEDE)")</f>
        <v>ALMOX. SAO (SEDE)</v>
      </c>
      <c r="G1504" s="89">
        <f>IFERROR(__xludf.DUMMYFUNCTION("""COMPUTED_VALUE"""),7.6950891E7)</f>
        <v>76950891</v>
      </c>
      <c r="H1504" s="87"/>
      <c r="I1504" s="87"/>
    </row>
    <row r="1505">
      <c r="A1505" s="84">
        <f>IFERROR(__xludf.DUMMYFUNCTION("""COMPUTED_VALUE"""),1505.0)</f>
        <v>1505</v>
      </c>
      <c r="B1505" s="85" t="str">
        <f>IFERROR(__xludf.DUMMYFUNCTION("""COMPUTED_VALUE"""),"IMPRESSORA MULTIFUNCIONAL -")</f>
        <v>IMPRESSORA MULTIFUNCIONAL -</v>
      </c>
      <c r="C1505" s="86">
        <f>IFERROR(__xludf.DUMMYFUNCTION("""COMPUTED_VALUE"""),1.0)</f>
        <v>1</v>
      </c>
      <c r="D1505" s="87" t="str">
        <f>IFERROR(__xludf.DUMMYFUNCTION("""COMPUTED_VALUE"""),"SEÇÃO")</f>
        <v>SEÇÃO</v>
      </c>
      <c r="E1505" s="87" t="str">
        <f>IFERROR(__xludf.DUMMYFUNCTION("""COMPUTED_VALUE"""),"3 - SALA DE INSTRUÇÃO")</f>
        <v>3 - SALA DE INSTRUÇÃO</v>
      </c>
      <c r="F1505" s="92"/>
      <c r="G1505" s="89">
        <f>IFERROR(__xludf.DUMMYFUNCTION("""COMPUTED_VALUE"""),7.6837637E7)</f>
        <v>76837637</v>
      </c>
      <c r="H1505" s="87"/>
      <c r="I1505" s="87"/>
    </row>
    <row r="1506">
      <c r="A1506" s="84">
        <f>IFERROR(__xludf.DUMMYFUNCTION("""COMPUTED_VALUE"""),1506.0)</f>
        <v>1506</v>
      </c>
      <c r="B1506" s="85" t="str">
        <f>IFERROR(__xludf.DUMMYFUNCTION("""COMPUTED_VALUE"""),"NOTEBOOK,NETBOOK E/OU ULTRAFINO -")</f>
        <v>NOTEBOOK,NETBOOK E/OU ULTRAFINO -</v>
      </c>
      <c r="C1506" s="86">
        <f>IFERROR(__xludf.DUMMYFUNCTION("""COMPUTED_VALUE"""),1.0)</f>
        <v>1</v>
      </c>
      <c r="D1506" s="87" t="str">
        <f>IFERROR(__xludf.DUMMYFUNCTION("""COMPUTED_VALUE"""),"SEÇÃO")</f>
        <v>SEÇÃO</v>
      </c>
      <c r="E1506" s="87" t="str">
        <f>IFERROR(__xludf.DUMMYFUNCTION("""COMPUTED_VALUE"""),"3 - SALA DE INSTRUÇÃO")</f>
        <v>3 - SALA DE INSTRUÇÃO</v>
      </c>
      <c r="F1506" s="92"/>
      <c r="G1506" s="89">
        <f>IFERROR(__xludf.DUMMYFUNCTION("""COMPUTED_VALUE"""),7.6837645E7)</f>
        <v>76837645</v>
      </c>
      <c r="H1506" s="87"/>
      <c r="I1506" s="87" t="str">
        <f>IFERROR(__xludf.DUMMYFUNCTION("""COMPUTED_VALUE"""),"notebook Ideapad 3 15ITL6 LAP TOP-1IJUU0QK - Le Novo")</f>
        <v>notebook Ideapad 3 15ITL6 LAP TOP-1IJUU0QK - Le Novo</v>
      </c>
    </row>
    <row r="1507">
      <c r="A1507" s="84">
        <f>IFERROR(__xludf.DUMMYFUNCTION("""COMPUTED_VALUE"""),1507.0)</f>
        <v>1507</v>
      </c>
      <c r="B1507" s="85" t="str">
        <f>IFERROR(__xludf.DUMMYFUNCTION("""COMPUTED_VALUE"""),"SUPORTE DE TETO PARA PROJETOR -")</f>
        <v>SUPORTE DE TETO PARA PROJETOR -</v>
      </c>
      <c r="C1507" s="86">
        <f>IFERROR(__xludf.DUMMYFUNCTION("""COMPUTED_VALUE"""),1.0)</f>
        <v>1</v>
      </c>
      <c r="D1507" s="87" t="str">
        <f>IFERROR(__xludf.DUMMYFUNCTION("""COMPUTED_VALUE"""),"SEÇÃO")</f>
        <v>SEÇÃO</v>
      </c>
      <c r="E1507" s="87" t="str">
        <f>IFERROR(__xludf.DUMMYFUNCTION("""COMPUTED_VALUE"""),"3 - SALA DE INSTRUÇÃO")</f>
        <v>3 - SALA DE INSTRUÇÃO</v>
      </c>
      <c r="F1507" s="92"/>
      <c r="G1507" s="89">
        <f>IFERROR(__xludf.DUMMYFUNCTION("""COMPUTED_VALUE"""),7.6837661E7)</f>
        <v>76837661</v>
      </c>
      <c r="H1507" s="87"/>
      <c r="I1507" s="87"/>
    </row>
    <row r="1508">
      <c r="A1508" s="84">
        <f>IFERROR(__xludf.DUMMYFUNCTION("""COMPUTED_VALUE"""),1508.0)</f>
        <v>1508</v>
      </c>
      <c r="B1508" s="85" t="str">
        <f>IFERROR(__xludf.DUMMYFUNCTION("""COMPUTED_VALUE"""),"PROJETOR MULTIMIDIA -")</f>
        <v>PROJETOR MULTIMIDIA -</v>
      </c>
      <c r="C1508" s="86">
        <f>IFERROR(__xludf.DUMMYFUNCTION("""COMPUTED_VALUE"""),1.0)</f>
        <v>1</v>
      </c>
      <c r="D1508" s="87" t="str">
        <f>IFERROR(__xludf.DUMMYFUNCTION("""COMPUTED_VALUE"""),"SEÇÃO")</f>
        <v>SEÇÃO</v>
      </c>
      <c r="E1508" s="87" t="str">
        <f>IFERROR(__xludf.DUMMYFUNCTION("""COMPUTED_VALUE"""),"3 - SALA DE INSTRUÇÃO")</f>
        <v>3 - SALA DE INSTRUÇÃO</v>
      </c>
      <c r="F1508" s="92"/>
      <c r="G1508" s="89">
        <f>IFERROR(__xludf.DUMMYFUNCTION("""COMPUTED_VALUE"""),7.683767E7)</f>
        <v>76837670</v>
      </c>
      <c r="H1508" s="87"/>
      <c r="I1508" s="87"/>
    </row>
    <row r="1509">
      <c r="A1509" s="84">
        <f>IFERROR(__xludf.DUMMYFUNCTION("""COMPUTED_VALUE"""),1509.0)</f>
        <v>1509</v>
      </c>
      <c r="B1509" s="85" t="str">
        <f>IFERROR(__xludf.DUMMYFUNCTION("""COMPUTED_VALUE"""),"TELA DE PROJECAO -")</f>
        <v>TELA DE PROJECAO -</v>
      </c>
      <c r="C1509" s="86">
        <f>IFERROR(__xludf.DUMMYFUNCTION("""COMPUTED_VALUE"""),1.0)</f>
        <v>1</v>
      </c>
      <c r="D1509" s="87" t="str">
        <f>IFERROR(__xludf.DUMMYFUNCTION("""COMPUTED_VALUE"""),"SEÇÃO")</f>
        <v>SEÇÃO</v>
      </c>
      <c r="E1509" s="87" t="str">
        <f>IFERROR(__xludf.DUMMYFUNCTION("""COMPUTED_VALUE"""),"3 - SALA DE INSTRUÇÃO")</f>
        <v>3 - SALA DE INSTRUÇÃO</v>
      </c>
      <c r="F1509" s="92"/>
      <c r="G1509" s="89">
        <f>IFERROR(__xludf.DUMMYFUNCTION("""COMPUTED_VALUE"""),7.6837688E7)</f>
        <v>76837688</v>
      </c>
      <c r="H1509" s="87"/>
      <c r="I1509" s="87"/>
    </row>
    <row r="1510">
      <c r="A1510" s="84">
        <f>IFERROR(__xludf.DUMMYFUNCTION("""COMPUTED_VALUE"""),1510.0)</f>
        <v>1510</v>
      </c>
      <c r="B1510" s="85" t="str">
        <f>IFERROR(__xludf.DUMMYFUNCTION("""COMPUTED_VALUE"""),"MESA PARA ESCRITORIO -")</f>
        <v>MESA PARA ESCRITORIO -</v>
      </c>
      <c r="C1510" s="86">
        <f>IFERROR(__xludf.DUMMYFUNCTION("""COMPUTED_VALUE"""),1.0)</f>
        <v>1</v>
      </c>
      <c r="D1510" s="87" t="str">
        <f>IFERROR(__xludf.DUMMYFUNCTION("""COMPUTED_VALUE"""),"SEÇÃO")</f>
        <v>SEÇÃO</v>
      </c>
      <c r="E1510" s="87" t="str">
        <f>IFERROR(__xludf.DUMMYFUNCTION("""COMPUTED_VALUE"""),"3 - SALA DE INSTRUÇÃO")</f>
        <v>3 - SALA DE INSTRUÇÃO</v>
      </c>
      <c r="F1510" s="92"/>
      <c r="G1510" s="89">
        <f>IFERROR(__xludf.DUMMYFUNCTION("""COMPUTED_VALUE"""),7.6837696E7)</f>
        <v>76837696</v>
      </c>
      <c r="H1510" s="87"/>
      <c r="I1510" s="87"/>
    </row>
    <row r="1511">
      <c r="A1511" s="84">
        <f>IFERROR(__xludf.DUMMYFUNCTION("""COMPUTED_VALUE"""),1511.0)</f>
        <v>1511</v>
      </c>
      <c r="B1511" s="85" t="str">
        <f>IFERROR(__xludf.DUMMYFUNCTION("""COMPUTED_VALUE"""),"MESA PARA ESCRITORIO -")</f>
        <v>MESA PARA ESCRITORIO -</v>
      </c>
      <c r="C1511" s="86">
        <f>IFERROR(__xludf.DUMMYFUNCTION("""COMPUTED_VALUE"""),1.0)</f>
        <v>1</v>
      </c>
      <c r="D1511" s="87" t="str">
        <f>IFERROR(__xludf.DUMMYFUNCTION("""COMPUTED_VALUE"""),"SEÇÃO")</f>
        <v>SEÇÃO</v>
      </c>
      <c r="E1511" s="87" t="str">
        <f>IFERROR(__xludf.DUMMYFUNCTION("""COMPUTED_VALUE"""),"3 - SALA DE INSTRUÇÃO")</f>
        <v>3 - SALA DE INSTRUÇÃO</v>
      </c>
      <c r="F1511" s="92"/>
      <c r="G1511" s="89">
        <f>IFERROR(__xludf.DUMMYFUNCTION("""COMPUTED_VALUE"""),7.68377E7)</f>
        <v>76837700</v>
      </c>
      <c r="H1511" s="87"/>
      <c r="I1511" s="87"/>
    </row>
    <row r="1512">
      <c r="A1512" s="84">
        <f>IFERROR(__xludf.DUMMYFUNCTION("""COMPUTED_VALUE"""),1512.0)</f>
        <v>1512</v>
      </c>
      <c r="B1512" s="85" t="str">
        <f>IFERROR(__xludf.DUMMYFUNCTION("""COMPUTED_VALUE"""),"MESA PARA REUNIAO -")</f>
        <v>MESA PARA REUNIAO -</v>
      </c>
      <c r="C1512" s="86">
        <f>IFERROR(__xludf.DUMMYFUNCTION("""COMPUTED_VALUE"""),1.0)</f>
        <v>1</v>
      </c>
      <c r="D1512" s="87" t="str">
        <f>IFERROR(__xludf.DUMMYFUNCTION("""COMPUTED_VALUE"""),"SEÇÃO")</f>
        <v>SEÇÃO</v>
      </c>
      <c r="E1512" s="87" t="str">
        <f>IFERROR(__xludf.DUMMYFUNCTION("""COMPUTED_VALUE"""),"3 - SALA DE INSTRUÇÃO")</f>
        <v>3 - SALA DE INSTRUÇÃO</v>
      </c>
      <c r="F1512" s="92"/>
      <c r="G1512" s="89">
        <f>IFERROR(__xludf.DUMMYFUNCTION("""COMPUTED_VALUE"""),7.6837718E7)</f>
        <v>76837718</v>
      </c>
      <c r="H1512" s="87"/>
      <c r="I1512" s="87"/>
    </row>
    <row r="1513">
      <c r="A1513" s="84">
        <f>IFERROR(__xludf.DUMMYFUNCTION("""COMPUTED_VALUE"""),1513.0)</f>
        <v>1513</v>
      </c>
      <c r="B1513" s="85" t="str">
        <f>IFERROR(__xludf.DUMMYFUNCTION("""COMPUTED_VALUE"""),"SIMULADOR DE ARRITMIAS CARDIACAS -")</f>
        <v>SIMULADOR DE ARRITMIAS CARDIACAS -</v>
      </c>
      <c r="C1513" s="86">
        <f>IFERROR(__xludf.DUMMYFUNCTION("""COMPUTED_VALUE"""),1.0)</f>
        <v>1</v>
      </c>
      <c r="D1513" s="87" t="str">
        <f>IFERROR(__xludf.DUMMYFUNCTION("""COMPUTED_VALUE"""),"SEÇÃO")</f>
        <v>SEÇÃO</v>
      </c>
      <c r="E1513" s="87" t="str">
        <f>IFERROR(__xludf.DUMMYFUNCTION("""COMPUTED_VALUE"""),"3 - SALA DE INSTRUÇÃO")</f>
        <v>3 - SALA DE INSTRUÇÃO</v>
      </c>
      <c r="F1513" s="92"/>
      <c r="G1513" s="89">
        <f>IFERROR(__xludf.DUMMYFUNCTION("""COMPUTED_VALUE"""),7.6837726E7)</f>
        <v>76837726</v>
      </c>
      <c r="H1513" s="87"/>
      <c r="I1513" s="87"/>
    </row>
    <row r="1514">
      <c r="A1514" s="84">
        <f>IFERROR(__xludf.DUMMYFUNCTION("""COMPUTED_VALUE"""),1514.0)</f>
        <v>1514</v>
      </c>
      <c r="B1514" s="85" t="str">
        <f>IFERROR(__xludf.DUMMYFUNCTION("""COMPUTED_VALUE"""),"SIMULADOR DE ARRITMIAS CARDIACAS -")</f>
        <v>SIMULADOR DE ARRITMIAS CARDIACAS -</v>
      </c>
      <c r="C1514" s="86">
        <f>IFERROR(__xludf.DUMMYFUNCTION("""COMPUTED_VALUE"""),1.0)</f>
        <v>1</v>
      </c>
      <c r="D1514" s="87" t="str">
        <f>IFERROR(__xludf.DUMMYFUNCTION("""COMPUTED_VALUE"""),"SEÇÃO")</f>
        <v>SEÇÃO</v>
      </c>
      <c r="E1514" s="87" t="str">
        <f>IFERROR(__xludf.DUMMYFUNCTION("""COMPUTED_VALUE"""),"3 - SALA DE INSTRUÇÃO")</f>
        <v>3 - SALA DE INSTRUÇÃO</v>
      </c>
      <c r="F1514" s="92"/>
      <c r="G1514" s="89">
        <f>IFERROR(__xludf.DUMMYFUNCTION("""COMPUTED_VALUE"""),7.6837734E7)</f>
        <v>76837734</v>
      </c>
      <c r="H1514" s="87"/>
      <c r="I1514" s="87"/>
    </row>
    <row r="1515">
      <c r="A1515" s="84">
        <f>IFERROR(__xludf.DUMMYFUNCTION("""COMPUTED_VALUE"""),1515.0)</f>
        <v>1515</v>
      </c>
      <c r="B1515" s="85" t="str">
        <f>IFERROR(__xludf.DUMMYFUNCTION("""COMPUTED_VALUE"""),"MANEQUIM - SIMULADOR AVANCADO -")</f>
        <v>MANEQUIM - SIMULADOR AVANCADO -</v>
      </c>
      <c r="C1515" s="86">
        <f>IFERROR(__xludf.DUMMYFUNCTION("""COMPUTED_VALUE"""),1.0)</f>
        <v>1</v>
      </c>
      <c r="D1515" s="87" t="str">
        <f>IFERROR(__xludf.DUMMYFUNCTION("""COMPUTED_VALUE"""),"SEÇÃO")</f>
        <v>SEÇÃO</v>
      </c>
      <c r="E1515" s="87" t="str">
        <f>IFERROR(__xludf.DUMMYFUNCTION("""COMPUTED_VALUE"""),"3 - SALA DE INSTRUÇÃO")</f>
        <v>3 - SALA DE INSTRUÇÃO</v>
      </c>
      <c r="F1515" s="92"/>
      <c r="G1515" s="89">
        <f>IFERROR(__xludf.DUMMYFUNCTION("""COMPUTED_VALUE"""),7.6837742E7)</f>
        <v>76837742</v>
      </c>
      <c r="H1515" s="87"/>
      <c r="I1515" s="87"/>
    </row>
    <row r="1516">
      <c r="A1516" s="84">
        <f>IFERROR(__xludf.DUMMYFUNCTION("""COMPUTED_VALUE"""),1516.0)</f>
        <v>1516</v>
      </c>
      <c r="B1516" s="85" t="str">
        <f>IFERROR(__xludf.DUMMYFUNCTION("""COMPUTED_VALUE"""),"MANEQUIM - SIMULADOR AVANCADO -")</f>
        <v>MANEQUIM - SIMULADOR AVANCADO -</v>
      </c>
      <c r="C1516" s="86">
        <f>IFERROR(__xludf.DUMMYFUNCTION("""COMPUTED_VALUE"""),1.0)</f>
        <v>1</v>
      </c>
      <c r="D1516" s="87" t="str">
        <f>IFERROR(__xludf.DUMMYFUNCTION("""COMPUTED_VALUE"""),"SEÇÃO")</f>
        <v>SEÇÃO</v>
      </c>
      <c r="E1516" s="87" t="str">
        <f>IFERROR(__xludf.DUMMYFUNCTION("""COMPUTED_VALUE"""),"3 - SALA DE INSTRUÇÃO")</f>
        <v>3 - SALA DE INSTRUÇÃO</v>
      </c>
      <c r="F1516" s="92"/>
      <c r="G1516" s="89">
        <f>IFERROR(__xludf.DUMMYFUNCTION("""COMPUTED_VALUE"""),7.683775E7)</f>
        <v>76837750</v>
      </c>
      <c r="H1516" s="87"/>
      <c r="I1516" s="87"/>
    </row>
    <row r="1517">
      <c r="A1517" s="84">
        <f>IFERROR(__xludf.DUMMYFUNCTION("""COMPUTED_VALUE"""),1517.0)</f>
        <v>1517</v>
      </c>
      <c r="B1517" s="85" t="str">
        <f>IFERROR(__xludf.DUMMYFUNCTION("""COMPUTED_VALUE"""),"MANEQUIM - SIMULADOR AVANCADO -")</f>
        <v>MANEQUIM - SIMULADOR AVANCADO -</v>
      </c>
      <c r="C1517" s="86">
        <f>IFERROR(__xludf.DUMMYFUNCTION("""COMPUTED_VALUE"""),1.0)</f>
        <v>1</v>
      </c>
      <c r="D1517" s="87" t="str">
        <f>IFERROR(__xludf.DUMMYFUNCTION("""COMPUTED_VALUE"""),"SEÇÃO")</f>
        <v>SEÇÃO</v>
      </c>
      <c r="E1517" s="87" t="str">
        <f>IFERROR(__xludf.DUMMYFUNCTION("""COMPUTED_VALUE"""),"3 - SALA DE INSTRUÇÃO")</f>
        <v>3 - SALA DE INSTRUÇÃO</v>
      </c>
      <c r="F1517" s="92"/>
      <c r="G1517" s="89">
        <f>IFERROR(__xludf.DUMMYFUNCTION("""COMPUTED_VALUE"""),7.6837769E7)</f>
        <v>76837769</v>
      </c>
      <c r="H1517" s="87"/>
      <c r="I1517" s="87"/>
    </row>
    <row r="1518">
      <c r="A1518" s="84">
        <f>IFERROR(__xludf.DUMMYFUNCTION("""COMPUTED_VALUE"""),1518.0)</f>
        <v>1518</v>
      </c>
      <c r="B1518" s="85" t="str">
        <f>IFERROR(__xludf.DUMMYFUNCTION("""COMPUTED_VALUE"""),"MANEQUIM - SIMULADOR AVANCADO -")</f>
        <v>MANEQUIM - SIMULADOR AVANCADO -</v>
      </c>
      <c r="C1518" s="86">
        <f>IFERROR(__xludf.DUMMYFUNCTION("""COMPUTED_VALUE"""),1.0)</f>
        <v>1</v>
      </c>
      <c r="D1518" s="87" t="str">
        <f>IFERROR(__xludf.DUMMYFUNCTION("""COMPUTED_VALUE"""),"SEÇÃO")</f>
        <v>SEÇÃO</v>
      </c>
      <c r="E1518" s="87" t="str">
        <f>IFERROR(__xludf.DUMMYFUNCTION("""COMPUTED_VALUE"""),"3 - SALA DE INSTRUÇÃO")</f>
        <v>3 - SALA DE INSTRUÇÃO</v>
      </c>
      <c r="F1518" s="92"/>
      <c r="G1518" s="89">
        <f>IFERROR(__xludf.DUMMYFUNCTION("""COMPUTED_VALUE"""),7.6837777E7)</f>
        <v>76837777</v>
      </c>
      <c r="H1518" s="87"/>
      <c r="I1518" s="87"/>
    </row>
    <row r="1519">
      <c r="A1519" s="84">
        <f>IFERROR(__xludf.DUMMYFUNCTION("""COMPUTED_VALUE"""),1519.0)</f>
        <v>1519</v>
      </c>
      <c r="B1519" s="85" t="str">
        <f>IFERROR(__xludf.DUMMYFUNCTION("""COMPUTED_VALUE"""),"MANEQUIM - SIMULADOR AVANCADO -")</f>
        <v>MANEQUIM - SIMULADOR AVANCADO -</v>
      </c>
      <c r="C1519" s="86">
        <f>IFERROR(__xludf.DUMMYFUNCTION("""COMPUTED_VALUE"""),1.0)</f>
        <v>1</v>
      </c>
      <c r="D1519" s="87" t="str">
        <f>IFERROR(__xludf.DUMMYFUNCTION("""COMPUTED_VALUE"""),"SEÇÃO")</f>
        <v>SEÇÃO</v>
      </c>
      <c r="E1519" s="87" t="str">
        <f>IFERROR(__xludf.DUMMYFUNCTION("""COMPUTED_VALUE"""),"3 - SALA DE INSTRUÇÃO")</f>
        <v>3 - SALA DE INSTRUÇÃO</v>
      </c>
      <c r="F1519" s="92"/>
      <c r="G1519" s="89">
        <f>IFERROR(__xludf.DUMMYFUNCTION("""COMPUTED_VALUE"""),7.6837785E7)</f>
        <v>76837785</v>
      </c>
      <c r="H1519" s="87"/>
      <c r="I1519" s="87"/>
    </row>
    <row r="1520">
      <c r="A1520" s="84">
        <f>IFERROR(__xludf.DUMMYFUNCTION("""COMPUTED_VALUE"""),1520.0)</f>
        <v>1520</v>
      </c>
      <c r="B1520" s="85" t="str">
        <f>IFERROR(__xludf.DUMMYFUNCTION("""COMPUTED_VALUE"""),"MESA PARA ESCRITORIO -")</f>
        <v>MESA PARA ESCRITORIO -</v>
      </c>
      <c r="C1520" s="86">
        <f>IFERROR(__xludf.DUMMYFUNCTION("""COMPUTED_VALUE"""),1.0)</f>
        <v>1</v>
      </c>
      <c r="D1520" s="87" t="str">
        <f>IFERROR(__xludf.DUMMYFUNCTION("""COMPUTED_VALUE"""),"SEÇÃO")</f>
        <v>SEÇÃO</v>
      </c>
      <c r="E1520" s="87" t="str">
        <f>IFERROR(__xludf.DUMMYFUNCTION("""COMPUTED_VALUE"""),"3 - SALA DE INSTRUÇÃO")</f>
        <v>3 - SALA DE INSTRUÇÃO</v>
      </c>
      <c r="F1520" s="92"/>
      <c r="G1520" s="89">
        <f>IFERROR(__xludf.DUMMYFUNCTION("""COMPUTED_VALUE"""),7.683784E7)</f>
        <v>76837840</v>
      </c>
      <c r="H1520" s="87"/>
      <c r="I1520" s="87"/>
    </row>
    <row r="1521">
      <c r="A1521" s="84">
        <f>IFERROR(__xludf.DUMMYFUNCTION("""COMPUTED_VALUE"""),1521.0)</f>
        <v>1521</v>
      </c>
      <c r="B1521" s="85" t="str">
        <f>IFERROR(__xludf.DUMMYFUNCTION("""COMPUTED_VALUE"""),"CAIXA ACUSTICA - FINALIDADE SONORIZACAO")</f>
        <v>CAIXA ACUSTICA - FINALIDADE SONORIZACAO</v>
      </c>
      <c r="C1521" s="86">
        <f>IFERROR(__xludf.DUMMYFUNCTION("""COMPUTED_VALUE"""),1.0)</f>
        <v>1</v>
      </c>
      <c r="D1521" s="87" t="str">
        <f>IFERROR(__xludf.DUMMYFUNCTION("""COMPUTED_VALUE"""),"SEÇÃO")</f>
        <v>SEÇÃO</v>
      </c>
      <c r="E1521" s="87" t="str">
        <f>IFERROR(__xludf.DUMMYFUNCTION("""COMPUTED_VALUE"""),"3 - SALA DE INSTRUÇÃO")</f>
        <v>3 - SALA DE INSTRUÇÃO</v>
      </c>
      <c r="F1521" s="92"/>
      <c r="G1521" s="89">
        <f>IFERROR(__xludf.DUMMYFUNCTION("""COMPUTED_VALUE"""),7.6837858E7)</f>
        <v>76837858</v>
      </c>
      <c r="H1521" s="87"/>
      <c r="I1521" s="87" t="str">
        <f>IFERROR(__xludf.DUMMYFUNCTION("""COMPUTED_VALUE"""),"Caixa amplificada Mondial mod. cm-400 cod. 0685-03")</f>
        <v>Caixa amplificada Mondial mod. cm-400 cod. 0685-03</v>
      </c>
    </row>
    <row r="1522">
      <c r="A1522" s="84">
        <f>IFERROR(__xludf.DUMMYFUNCTION("""COMPUTED_VALUE"""),1522.0)</f>
        <v>1522</v>
      </c>
      <c r="B1522" s="85" t="str">
        <f>IFERROR(__xludf.DUMMYFUNCTION("""COMPUTED_VALUE"""),"CAIXA ACUSTICA - FINALIDADE SOM AMBIENTE")</f>
        <v>CAIXA ACUSTICA - FINALIDADE SOM AMBIENTE</v>
      </c>
      <c r="C1522" s="86">
        <f>IFERROR(__xludf.DUMMYFUNCTION("""COMPUTED_VALUE"""),1.0)</f>
        <v>1</v>
      </c>
      <c r="D1522" s="87" t="str">
        <f>IFERROR(__xludf.DUMMYFUNCTION("""COMPUTED_VALUE"""),"SEÇÃO")</f>
        <v>SEÇÃO</v>
      </c>
      <c r="E1522" s="87" t="str">
        <f>IFERROR(__xludf.DUMMYFUNCTION("""COMPUTED_VALUE"""),"3 - SALA DE INSTRUÇÃO")</f>
        <v>3 - SALA DE INSTRUÇÃO</v>
      </c>
      <c r="F1522" s="92"/>
      <c r="G1522" s="89">
        <f>IFERROR(__xludf.DUMMYFUNCTION("""COMPUTED_VALUE"""),7.6931137E7)</f>
        <v>76931137</v>
      </c>
      <c r="H1522" s="87"/>
      <c r="I1522" s="87" t="str">
        <f>IFERROR(__xludf.DUMMYFUNCTION("""COMPUTED_VALUE"""),"Caixa de som Bluetooth Edifier M206bt n.s. 01541-21-09439")</f>
        <v>Caixa de som Bluetooth Edifier M206bt n.s. 01541-21-09439</v>
      </c>
    </row>
    <row r="1523">
      <c r="A1523" s="84">
        <f>IFERROR(__xludf.DUMMYFUNCTION("""COMPUTED_VALUE"""),1523.0)</f>
        <v>1523</v>
      </c>
      <c r="B1523" s="85" t="str">
        <f>IFERROR(__xludf.DUMMYFUNCTION("""COMPUTED_VALUE"""),"TELA DE PROJECAO -")</f>
        <v>TELA DE PROJECAO -</v>
      </c>
      <c r="C1523" s="86">
        <f>IFERROR(__xludf.DUMMYFUNCTION("""COMPUTED_VALUE"""),1.0)</f>
        <v>1</v>
      </c>
      <c r="D1523" s="87" t="str">
        <f>IFERROR(__xludf.DUMMYFUNCTION("""COMPUTED_VALUE"""),"SEÇÃO")</f>
        <v>SEÇÃO</v>
      </c>
      <c r="E1523" s="87" t="str">
        <f>IFERROR(__xludf.DUMMYFUNCTION("""COMPUTED_VALUE"""),"3 - SALA DE INSTRUÇÃO")</f>
        <v>3 - SALA DE INSTRUÇÃO</v>
      </c>
      <c r="F1523" s="92"/>
      <c r="G1523" s="89">
        <f>IFERROR(__xludf.DUMMYFUNCTION("""COMPUTED_VALUE"""),7.6931145E7)</f>
        <v>76931145</v>
      </c>
      <c r="H1523" s="87"/>
      <c r="I1523" s="87"/>
    </row>
    <row r="1524">
      <c r="A1524" s="84">
        <f>IFERROR(__xludf.DUMMYFUNCTION("""COMPUTED_VALUE"""),1524.0)</f>
        <v>1524</v>
      </c>
      <c r="B1524" s="85" t="str">
        <f>IFERROR(__xludf.DUMMYFUNCTION("""COMPUTED_VALUE"""),"AR CONDICIONADO - CAPACIDADE 12000 BTU")</f>
        <v>AR CONDICIONADO - CAPACIDADE 12000 BTU</v>
      </c>
      <c r="C1524" s="86">
        <f>IFERROR(__xludf.DUMMYFUNCTION("""COMPUTED_VALUE"""),1.0)</f>
        <v>1</v>
      </c>
      <c r="D1524" s="87" t="str">
        <f>IFERROR(__xludf.DUMMYFUNCTION("""COMPUTED_VALUE"""),"SEÇÃO")</f>
        <v>SEÇÃO</v>
      </c>
      <c r="E1524" s="87" t="str">
        <f>IFERROR(__xludf.DUMMYFUNCTION("""COMPUTED_VALUE"""),"3 - SALA DE INSTRUÇÃO")</f>
        <v>3 - SALA DE INSTRUÇÃO</v>
      </c>
      <c r="F1524" s="92"/>
      <c r="G1524" s="89">
        <f>IFERROR(__xludf.DUMMYFUNCTION("""COMPUTED_VALUE"""),7.6931153E7)</f>
        <v>76931153</v>
      </c>
      <c r="H1524" s="87"/>
      <c r="I1524" s="87"/>
    </row>
    <row r="1525">
      <c r="A1525" s="84">
        <f>IFERROR(__xludf.DUMMYFUNCTION("""COMPUTED_VALUE"""),1525.0)</f>
        <v>1525</v>
      </c>
      <c r="B1525" s="85" t="str">
        <f>IFERROR(__xludf.DUMMYFUNCTION("""COMPUTED_VALUE"""),"AR CONDICIONADO - CAPACIDADE 48000 BTU")</f>
        <v>AR CONDICIONADO - CAPACIDADE 48000 BTU</v>
      </c>
      <c r="C1525" s="86">
        <f>IFERROR(__xludf.DUMMYFUNCTION("""COMPUTED_VALUE"""),1.0)</f>
        <v>1</v>
      </c>
      <c r="D1525" s="87" t="str">
        <f>IFERROR(__xludf.DUMMYFUNCTION("""COMPUTED_VALUE"""),"SEÇÃO")</f>
        <v>SEÇÃO</v>
      </c>
      <c r="E1525" s="87" t="str">
        <f>IFERROR(__xludf.DUMMYFUNCTION("""COMPUTED_VALUE"""),"3 - SALA DE INSTRUÇÃO")</f>
        <v>3 - SALA DE INSTRUÇÃO</v>
      </c>
      <c r="F1525" s="92"/>
      <c r="G1525" s="89">
        <f>IFERROR(__xludf.DUMMYFUNCTION("""COMPUTED_VALUE"""),7.6931161E7)</f>
        <v>76931161</v>
      </c>
      <c r="H1525" s="87"/>
      <c r="I1525" s="87" t="str">
        <f>IFERROR(__xludf.DUMMYFUNCTION("""COMPUTED_VALUE"""),"ar condicionado LG 47.000 BTU's n.s 205AZWS9W209")</f>
        <v>ar condicionado LG 47.000 BTU's n.s 205AZWS9W209</v>
      </c>
    </row>
    <row r="1526">
      <c r="A1526" s="84">
        <f>IFERROR(__xludf.DUMMYFUNCTION("""COMPUTED_VALUE"""),1526.0)</f>
        <v>1526</v>
      </c>
      <c r="B1526" s="85" t="str">
        <f>IFERROR(__xludf.DUMMYFUNCTION("""COMPUTED_VALUE"""),"AERONAVE REMOTAMENTE PILOTADA RPA ( DRONE )")</f>
        <v>AERONAVE REMOTAMENTE PILOTADA RPA ( DRONE )</v>
      </c>
      <c r="C1526" s="86">
        <f>IFERROR(__xludf.DUMMYFUNCTION("""COMPUTED_VALUE"""),1.0)</f>
        <v>1</v>
      </c>
      <c r="D1526" s="87" t="str">
        <f>IFERROR(__xludf.DUMMYFUNCTION("""COMPUTED_VALUE"""),"SEÇÃO")</f>
        <v>SEÇÃO</v>
      </c>
      <c r="E1526" s="87" t="str">
        <f>IFERROR(__xludf.DUMMYFUNCTION("""COMPUTED_VALUE"""),"3 - SOU")</f>
        <v>3 - SOU</v>
      </c>
      <c r="F1526" s="92" t="str">
        <f>IFERROR(__xludf.DUMMYFUNCTION("""COMPUTED_VALUE"""),"CPD")</f>
        <v>CPD</v>
      </c>
      <c r="G1526" s="89">
        <f>IFERROR(__xludf.DUMMYFUNCTION("""COMPUTED_VALUE"""),7.693117E7)</f>
        <v>76931170</v>
      </c>
      <c r="H1526" s="87"/>
      <c r="I1526" s="87" t="str">
        <f>IFERROR(__xludf.DUMMYFUNCTION("""COMPUTED_VALUE"""),"Matrice 210 RTK Zenmuse XT com cartão de memória 16 GB")</f>
        <v>Matrice 210 RTK Zenmuse XT com cartão de memória 16 GB</v>
      </c>
    </row>
    <row r="1527">
      <c r="A1527" s="84">
        <f>IFERROR(__xludf.DUMMYFUNCTION("""COMPUTED_VALUE"""),1527.0)</f>
        <v>1527</v>
      </c>
      <c r="B1527" s="85" t="str">
        <f>IFERROR(__xludf.DUMMYFUNCTION("""COMPUTED_VALUE"""),"CAMERA P/ AERONAVE REMOTAMENTE PILOTADA (DRONE)")</f>
        <v>CAMERA P/ AERONAVE REMOTAMENTE PILOTADA (DRONE)</v>
      </c>
      <c r="C1527" s="86">
        <f>IFERROR(__xludf.DUMMYFUNCTION("""COMPUTED_VALUE"""),1.0)</f>
        <v>1</v>
      </c>
      <c r="D1527" s="87" t="str">
        <f>IFERROR(__xludf.DUMMYFUNCTION("""COMPUTED_VALUE"""),"SEÇÃO")</f>
        <v>SEÇÃO</v>
      </c>
      <c r="E1527" s="87" t="str">
        <f>IFERROR(__xludf.DUMMYFUNCTION("""COMPUTED_VALUE"""),"3 - SOU")</f>
        <v>3 - SOU</v>
      </c>
      <c r="F1527" s="92" t="str">
        <f>IFERROR(__xludf.DUMMYFUNCTION("""COMPUTED_VALUE"""),"CPD")</f>
        <v>CPD</v>
      </c>
      <c r="G1527" s="89">
        <f>IFERROR(__xludf.DUMMYFUNCTION("""COMPUTED_VALUE"""),7.6931188E7)</f>
        <v>76931188</v>
      </c>
      <c r="H1527" s="87"/>
      <c r="I1527" s="87" t="str">
        <f>IFERROR(__xludf.DUMMYFUNCTION("""COMPUTED_VALUE"""),"Câmera de Zoom 30x Zenmuse Z30 com cartão de memória 16 GB")</f>
        <v>Câmera de Zoom 30x Zenmuse Z30 com cartão de memória 16 GB</v>
      </c>
    </row>
    <row r="1528">
      <c r="A1528" s="84">
        <f>IFERROR(__xludf.DUMMYFUNCTION("""COMPUTED_VALUE"""),1528.0)</f>
        <v>1528</v>
      </c>
      <c r="B1528" s="85" t="str">
        <f>IFERROR(__xludf.DUMMYFUNCTION("""COMPUTED_VALUE"""),"CAMERA P/ AERONAVE REMOTAMENTE PILOTADA (DRONE)")</f>
        <v>CAMERA P/ AERONAVE REMOTAMENTE PILOTADA (DRONE)</v>
      </c>
      <c r="C1528" s="86">
        <f>IFERROR(__xludf.DUMMYFUNCTION("""COMPUTED_VALUE"""),1.0)</f>
        <v>1</v>
      </c>
      <c r="D1528" s="87" t="str">
        <f>IFERROR(__xludf.DUMMYFUNCTION("""COMPUTED_VALUE"""),"SEÇÃO")</f>
        <v>SEÇÃO</v>
      </c>
      <c r="E1528" s="87" t="str">
        <f>IFERROR(__xludf.DUMMYFUNCTION("""COMPUTED_VALUE"""),"3 - SOU")</f>
        <v>3 - SOU</v>
      </c>
      <c r="F1528" s="92" t="str">
        <f>IFERROR(__xludf.DUMMYFUNCTION("""COMPUTED_VALUE"""),"CPD")</f>
        <v>CPD</v>
      </c>
      <c r="G1528" s="89">
        <f>IFERROR(__xludf.DUMMYFUNCTION("""COMPUTED_VALUE"""),7.6931196E7)</f>
        <v>76931196</v>
      </c>
      <c r="H1528" s="87"/>
      <c r="I1528" s="87" t="str">
        <f>IFERROR(__xludf.DUMMYFUNCTION("""COMPUTED_VALUE"""),"Câmera Termográfica Zenmuse XT com cartão de memória 16 GB")</f>
        <v>Câmera Termográfica Zenmuse XT com cartão de memória 16 GB</v>
      </c>
    </row>
    <row r="1529">
      <c r="A1529" s="84">
        <f>IFERROR(__xludf.DUMMYFUNCTION("""COMPUTED_VALUE"""),1529.0)</f>
        <v>1529</v>
      </c>
      <c r="B1529" s="85" t="str">
        <f>IFERROR(__xludf.DUMMYFUNCTION("""COMPUTED_VALUE"""),"TABLET PC -")</f>
        <v>TABLET PC -</v>
      </c>
      <c r="C1529" s="86">
        <f>IFERROR(__xludf.DUMMYFUNCTION("""COMPUTED_VALUE"""),1.0)</f>
        <v>1</v>
      </c>
      <c r="D1529" s="87" t="str">
        <f>IFERROR(__xludf.DUMMYFUNCTION("""COMPUTED_VALUE"""),"SEÇÃO")</f>
        <v>SEÇÃO</v>
      </c>
      <c r="E1529" s="87" t="str">
        <f>IFERROR(__xludf.DUMMYFUNCTION("""COMPUTED_VALUE"""),"3 - SUPRIMENTOS")</f>
        <v>3 - SUPRIMENTOS</v>
      </c>
      <c r="F1529" s="92"/>
      <c r="G1529" s="89"/>
      <c r="H1529" s="87" t="str">
        <f>IFERROR(__xludf.DUMMYFUNCTION("""COMPUTED_VALUE"""),"DMPY3PSJF8D")</f>
        <v>DMPY3PSJF8D</v>
      </c>
      <c r="I1529" s="87" t="str">
        <f>IFERROR(__xludf.DUMMYFUNCTION("""COMPUTED_VALUE"""),"IPAD (6ª Geração) nº modelo: MR6P2BZ/A CHIP: 89550237001018043787")</f>
        <v>IPAD (6ª Geração) nº modelo: MR6P2BZ/A CHIP: 89550237001018043787</v>
      </c>
    </row>
    <row r="1530">
      <c r="A1530" s="84">
        <f>IFERROR(__xludf.DUMMYFUNCTION("""COMPUTED_VALUE"""),1530.0)</f>
        <v>1530</v>
      </c>
      <c r="B1530" s="85" t="str">
        <f>IFERROR(__xludf.DUMMYFUNCTION("""COMPUTED_VALUE"""),"TELEVISAO -")</f>
        <v>TELEVISAO -</v>
      </c>
      <c r="C1530" s="86">
        <f>IFERROR(__xludf.DUMMYFUNCTION("""COMPUTED_VALUE"""),1.0)</f>
        <v>1</v>
      </c>
      <c r="D1530" s="87" t="str">
        <f>IFERROR(__xludf.DUMMYFUNCTION("""COMPUTED_VALUE"""),"SEÇÃO")</f>
        <v>SEÇÃO</v>
      </c>
      <c r="E1530" s="87" t="str">
        <f>IFERROR(__xludf.DUMMYFUNCTION("""COMPUTED_VALUE"""),"3 - CURVELO")</f>
        <v>3 - CURVELO</v>
      </c>
      <c r="F1530" s="92"/>
      <c r="G1530" s="89">
        <f>IFERROR(__xludf.DUMMYFUNCTION("""COMPUTED_VALUE"""),7.6990524E7)</f>
        <v>76990524</v>
      </c>
      <c r="H1530" s="87"/>
      <c r="I1530" s="87" t="str">
        <f>IFERROR(__xludf.DUMMYFUNCTION("""COMPUTED_VALUE"""),"SMART TV FULL HD; 55; LED; CONVERSOR DIGITAL INTEGRADO; 115-220VCA / 60HZ (BIVOLT); CONTROLE REMOTO MULTIFUN.")</f>
        <v>SMART TV FULL HD; 55; LED; CONVERSOR DIGITAL INTEGRADO; 115-220VCA / 60HZ (BIVOLT); CONTROLE REMOTO MULTIFUN.</v>
      </c>
    </row>
    <row r="1531">
      <c r="A1531" s="84">
        <f>IFERROR(__xludf.DUMMYFUNCTION("""COMPUTED_VALUE"""),1531.0)</f>
        <v>1531</v>
      </c>
      <c r="B1531" s="85" t="str">
        <f>IFERROR(__xludf.DUMMYFUNCTION("""COMPUTED_VALUE"""),"CARRINHO DE MAO TIPO TRANSPORTE DE BAGAGEM -")</f>
        <v>CARRINHO DE MAO TIPO TRANSPORTE DE BAGAGEM -</v>
      </c>
      <c r="C1531" s="86">
        <f>IFERROR(__xludf.DUMMYFUNCTION("""COMPUTED_VALUE"""),1.0)</f>
        <v>1</v>
      </c>
      <c r="D1531" s="87" t="str">
        <f>IFERROR(__xludf.DUMMYFUNCTION("""COMPUTED_VALUE"""),"SEÇÃO")</f>
        <v>SEÇÃO</v>
      </c>
      <c r="E1531" s="87" t="str">
        <f>IFERROR(__xludf.DUMMYFUNCTION("""COMPUTED_VALUE"""),"3 - ALMOX. ESTOQUE")</f>
        <v>3 - ALMOX. ESTOQUE</v>
      </c>
      <c r="F1531" s="92" t="str">
        <f>IFERROR(__xludf.DUMMYFUNCTION("""COMPUTED_VALUE"""),"ALMOX. SAO (SEDE)")</f>
        <v>ALMOX. SAO (SEDE)</v>
      </c>
      <c r="G1531" s="89">
        <f>IFERROR(__xludf.DUMMYFUNCTION("""COMPUTED_VALUE"""),7.6990486E7)</f>
        <v>76990486</v>
      </c>
      <c r="H1531" s="87"/>
      <c r="I1531" s="87"/>
    </row>
    <row r="1532">
      <c r="A1532" s="84">
        <f>IFERROR(__xludf.DUMMYFUNCTION("""COMPUTED_VALUE"""),1532.0)</f>
        <v>1532</v>
      </c>
      <c r="B1532" s="85" t="str">
        <f>IFERROR(__xludf.DUMMYFUNCTION("""COMPUTED_VALUE"""),"CARRINHO DE MAO TIPO TRANSPORTE DE BAGAGEM -")</f>
        <v>CARRINHO DE MAO TIPO TRANSPORTE DE BAGAGEM -</v>
      </c>
      <c r="C1532" s="86">
        <f>IFERROR(__xludf.DUMMYFUNCTION("""COMPUTED_VALUE"""),1.0)</f>
        <v>1</v>
      </c>
      <c r="D1532" s="87" t="str">
        <f>IFERROR(__xludf.DUMMYFUNCTION("""COMPUTED_VALUE"""),"SEÇÃO")</f>
        <v>SEÇÃO</v>
      </c>
      <c r="E1532" s="87" t="str">
        <f>IFERROR(__xludf.DUMMYFUNCTION("""COMPUTED_VALUE"""),"3 - 1ª CIA OP")</f>
        <v>3 - 1ª CIA OP</v>
      </c>
      <c r="F1532" s="92" t="str">
        <f>IFERROR(__xludf.DUMMYFUNCTION("""COMPUTED_VALUE"""),"OFICINA")</f>
        <v>OFICINA</v>
      </c>
      <c r="G1532" s="89">
        <f>IFERROR(__xludf.DUMMYFUNCTION("""COMPUTED_VALUE"""),7.6990494E7)</f>
        <v>76990494</v>
      </c>
      <c r="H1532" s="87"/>
      <c r="I1532" s="87"/>
    </row>
    <row r="1533">
      <c r="A1533" s="84">
        <f>IFERROR(__xludf.DUMMYFUNCTION("""COMPUTED_VALUE"""),1533.0)</f>
        <v>1533</v>
      </c>
      <c r="B1533" s="85" t="str">
        <f>IFERROR(__xludf.DUMMYFUNCTION("""COMPUTED_VALUE"""),"VIATURA BASICA -")</f>
        <v>VIATURA BASICA -</v>
      </c>
      <c r="C1533" s="86">
        <f>IFERROR(__xludf.DUMMYFUNCTION("""COMPUTED_VALUE"""),1.0)</f>
        <v>1</v>
      </c>
      <c r="D1533" s="87" t="str">
        <f>IFERROR(__xludf.DUMMYFUNCTION("""COMPUTED_VALUE"""),"VIATURA")</f>
        <v>VIATURA</v>
      </c>
      <c r="E1533" s="87" t="str">
        <f>IFERROR(__xludf.DUMMYFUNCTION("""COMPUTED_VALUE"""),"3 - CURVELO")</f>
        <v>3 - CURVELO</v>
      </c>
      <c r="F1533" s="92"/>
      <c r="G1533" s="89">
        <f>IFERROR(__xludf.DUMMYFUNCTION("""COMPUTED_VALUE"""),7.6989763E7)</f>
        <v>76989763</v>
      </c>
      <c r="H1533" s="87" t="str">
        <f>IFERROR(__xludf.DUMMYFUNCTION("""COMPUTED_VALUE"""),"SSM6C38")</f>
        <v>SSM6C38</v>
      </c>
      <c r="I1533" s="87" t="str">
        <f>IFERROR(__xludf.DUMMYFUNCTION("""COMPUTED_VALUE"""),"YARIS")</f>
        <v>YARIS</v>
      </c>
    </row>
    <row r="1534">
      <c r="A1534" s="84">
        <f>IFERROR(__xludf.DUMMYFUNCTION("""COMPUTED_VALUE"""),1534.0)</f>
        <v>1534</v>
      </c>
      <c r="B1534" s="85" t="str">
        <f>IFERROR(__xludf.DUMMYFUNCTION("""COMPUTED_VALUE"""),"VIATURA CAMINHONETE -")</f>
        <v>VIATURA CAMINHONETE -</v>
      </c>
      <c r="C1534" s="86">
        <f>IFERROR(__xludf.DUMMYFUNCTION("""COMPUTED_VALUE"""),1.0)</f>
        <v>1</v>
      </c>
      <c r="D1534" s="87" t="str">
        <f>IFERROR(__xludf.DUMMYFUNCTION("""COMPUTED_VALUE"""),"VIATURA")</f>
        <v>VIATURA</v>
      </c>
      <c r="E1534" s="87" t="str">
        <f>IFERROR(__xludf.DUMMYFUNCTION("""COMPUTED_VALUE"""),"3 - CURVELO")</f>
        <v>3 - CURVELO</v>
      </c>
      <c r="F1534" s="92"/>
      <c r="G1534" s="89">
        <f>IFERROR(__xludf.DUMMYFUNCTION("""COMPUTED_VALUE"""),7.6990605E7)</f>
        <v>76990605</v>
      </c>
      <c r="H1534" s="87" t="str">
        <f>IFERROR(__xludf.DUMMYFUNCTION("""COMPUTED_VALUE"""),"SYZ1A79")</f>
        <v>SYZ1A79</v>
      </c>
      <c r="I1534" s="87" t="str">
        <f>IFERROR(__xludf.DUMMYFUNCTION("""COMPUTED_VALUE"""),"CAMINHONETE L200")</f>
        <v>CAMINHONETE L200</v>
      </c>
    </row>
    <row r="1535">
      <c r="A1535" s="84">
        <f>IFERROR(__xludf.DUMMYFUNCTION("""COMPUTED_VALUE"""),1535.0)</f>
        <v>1535</v>
      </c>
      <c r="B1535" s="85" t="str">
        <f>IFERROR(__xludf.DUMMYFUNCTION("""COMPUTED_VALUE"""),"VIATURA CAMINHONETE -")</f>
        <v>VIATURA CAMINHONETE -</v>
      </c>
      <c r="C1535" s="86">
        <f>IFERROR(__xludf.DUMMYFUNCTION("""COMPUTED_VALUE"""),1.0)</f>
        <v>1</v>
      </c>
      <c r="D1535" s="87" t="str">
        <f>IFERROR(__xludf.DUMMYFUNCTION("""COMPUTED_VALUE"""),"VIATURA")</f>
        <v>VIATURA</v>
      </c>
      <c r="E1535" s="87" t="str">
        <f>IFERROR(__xludf.DUMMYFUNCTION("""COMPUTED_VALUE"""),"3 - CURVELO")</f>
        <v>3 - CURVELO</v>
      </c>
      <c r="F1535" s="92"/>
      <c r="G1535" s="89">
        <f>IFERROR(__xludf.DUMMYFUNCTION("""COMPUTED_VALUE"""),7.6990613E7)</f>
        <v>76990613</v>
      </c>
      <c r="H1535" s="87" t="str">
        <f>IFERROR(__xludf.DUMMYFUNCTION("""COMPUTED_VALUE"""),"SYZ1A80")</f>
        <v>SYZ1A80</v>
      </c>
      <c r="I1535" s="87" t="str">
        <f>IFERROR(__xludf.DUMMYFUNCTION("""COMPUTED_VALUE"""),"CAMINHONETE L200")</f>
        <v>CAMINHONETE L200</v>
      </c>
    </row>
    <row r="1536">
      <c r="A1536" s="84">
        <f>IFERROR(__xludf.DUMMYFUNCTION("""COMPUTED_VALUE"""),1536.0)</f>
        <v>1536</v>
      </c>
      <c r="B1536" s="85" t="str">
        <f>IFERROR(__xludf.DUMMYFUNCTION("""COMPUTED_VALUE"""),"ESTETOSCOPIO -")</f>
        <v>ESTETOSCOPIO -</v>
      </c>
      <c r="C1536" s="86">
        <f>IFERROR(__xludf.DUMMYFUNCTION("""COMPUTED_VALUE"""),1.0)</f>
        <v>1</v>
      </c>
      <c r="D1536" s="87" t="str">
        <f>IFERROR(__xludf.DUMMYFUNCTION("""COMPUTED_VALUE"""),"SEÇÃO")</f>
        <v>SEÇÃO</v>
      </c>
      <c r="E1536" s="87" t="str">
        <f>IFERROR(__xludf.DUMMYFUNCTION("""COMPUTED_VALUE"""),"3 - ALMOX. ESTOQUE")</f>
        <v>3 - ALMOX. ESTOQUE</v>
      </c>
      <c r="F1536" s="92" t="str">
        <f>IFERROR(__xludf.DUMMYFUNCTION("""COMPUTED_VALUE"""),"ALMOX. APH")</f>
        <v>ALMOX. APH</v>
      </c>
      <c r="G1536" s="89">
        <f>IFERROR(__xludf.DUMMYFUNCTION("""COMPUTED_VALUE"""),7.6946762E7)</f>
        <v>76946762</v>
      </c>
      <c r="H1536" s="87"/>
      <c r="I1536" s="87"/>
    </row>
    <row r="1537">
      <c r="A1537" s="84">
        <f>IFERROR(__xludf.DUMMYFUNCTION("""COMPUTED_VALUE"""),1537.0)</f>
        <v>1537</v>
      </c>
      <c r="B1537" s="85" t="str">
        <f>IFERROR(__xludf.DUMMYFUNCTION("""COMPUTED_VALUE"""),"ESTETOSCOPIO -")</f>
        <v>ESTETOSCOPIO -</v>
      </c>
      <c r="C1537" s="86">
        <f>IFERROR(__xludf.DUMMYFUNCTION("""COMPUTED_VALUE"""),1.0)</f>
        <v>1</v>
      </c>
      <c r="D1537" s="87" t="str">
        <f>IFERROR(__xludf.DUMMYFUNCTION("""COMPUTED_VALUE"""),"SEÇÃO")</f>
        <v>SEÇÃO</v>
      </c>
      <c r="E1537" s="87" t="str">
        <f>IFERROR(__xludf.DUMMYFUNCTION("""COMPUTED_VALUE"""),"3 - ALMOX. ESTOQUE")</f>
        <v>3 - ALMOX. ESTOQUE</v>
      </c>
      <c r="F1537" s="92" t="str">
        <f>IFERROR(__xludf.DUMMYFUNCTION("""COMPUTED_VALUE"""),"ALMOX. APH")</f>
        <v>ALMOX. APH</v>
      </c>
      <c r="G1537" s="89">
        <f>IFERROR(__xludf.DUMMYFUNCTION("""COMPUTED_VALUE"""),7.694677E7)</f>
        <v>76946770</v>
      </c>
      <c r="H1537" s="87"/>
      <c r="I1537" s="87"/>
    </row>
    <row r="1538">
      <c r="A1538" s="84">
        <f>IFERROR(__xludf.DUMMYFUNCTION("""COMPUTED_VALUE"""),1538.0)</f>
        <v>1538</v>
      </c>
      <c r="B1538" s="85" t="str">
        <f>IFERROR(__xludf.DUMMYFUNCTION("""COMPUTED_VALUE"""),"CONJUNTO DE BLOCOS E CALCOS -")</f>
        <v>CONJUNTO DE BLOCOS E CALCOS -</v>
      </c>
      <c r="C1538" s="86">
        <f>IFERROR(__xludf.DUMMYFUNCTION("""COMPUTED_VALUE"""),1.0)</f>
        <v>1</v>
      </c>
      <c r="D1538" s="87" t="str">
        <f>IFERROR(__xludf.DUMMYFUNCTION("""COMPUTED_VALUE"""),"SEÇÃO")</f>
        <v>SEÇÃO</v>
      </c>
      <c r="E1538" s="87" t="str">
        <f>IFERROR(__xludf.DUMMYFUNCTION("""COMPUTED_VALUE"""),"1 - ABTS5911")</f>
        <v>1 - ABTS5911</v>
      </c>
      <c r="F1538" s="92" t="str">
        <f>IFERROR(__xludf.DUMMYFUNCTION("""COMPUTED_VALUE"""),"BOX 01")</f>
        <v>BOX 01</v>
      </c>
      <c r="G1538" s="89">
        <f>IFERROR(__xludf.DUMMYFUNCTION("""COMPUTED_VALUE"""),7.6950727E7)</f>
        <v>76950727</v>
      </c>
      <c r="H1538" s="87"/>
      <c r="I1538" s="87" t="str">
        <f>IFERROR(__xludf.DUMMYFUNCTION("""COMPUTED_VALUE"""),"Holmatro - 08 calços em cunha, 06 calços quadrados, 02 calços escalonados grandes")</f>
        <v>Holmatro - 08 calços em cunha, 06 calços quadrados, 02 calços escalonados grandes</v>
      </c>
    </row>
    <row r="1539">
      <c r="A1539" s="84">
        <f>IFERROR(__xludf.DUMMYFUNCTION("""COMPUTED_VALUE"""),1539.0)</f>
        <v>1539</v>
      </c>
      <c r="B1539" s="85" t="str">
        <f>IFERROR(__xludf.DUMMYFUNCTION("""COMPUTED_VALUE"""),"CONJUNTO DE BLOCOS E CALCOS -")</f>
        <v>CONJUNTO DE BLOCOS E CALCOS -</v>
      </c>
      <c r="C1539" s="86">
        <f>IFERROR(__xludf.DUMMYFUNCTION("""COMPUTED_VALUE"""),1.0)</f>
        <v>1</v>
      </c>
      <c r="D1539" s="87" t="str">
        <f>IFERROR(__xludf.DUMMYFUNCTION("""COMPUTED_VALUE"""),"SEÇÃO")</f>
        <v>SEÇÃO</v>
      </c>
      <c r="E1539" s="87" t="str">
        <f>IFERROR(__xludf.DUMMYFUNCTION("""COMPUTED_VALUE"""),"3 - CURVELO")</f>
        <v>3 - CURVELO</v>
      </c>
      <c r="F1539" s="92" t="str">
        <f>IFERROR(__xludf.DUMMYFUNCTION("""COMPUTED_VALUE"""),"ALMOX. SAO (SEDE)")</f>
        <v>ALMOX. SAO (SEDE)</v>
      </c>
      <c r="G1539" s="89">
        <f>IFERROR(__xludf.DUMMYFUNCTION("""COMPUTED_VALUE"""),7.6950735E7)</f>
        <v>76950735</v>
      </c>
      <c r="H1539" s="87"/>
      <c r="I1539" s="87"/>
    </row>
    <row r="1540">
      <c r="A1540" s="84">
        <f>IFERROR(__xludf.DUMMYFUNCTION("""COMPUTED_VALUE"""),1540.0)</f>
        <v>1540</v>
      </c>
      <c r="B1540" s="85" t="str">
        <f>IFERROR(__xludf.DUMMYFUNCTION("""COMPUTED_VALUE"""),"TERMOVISOR -")</f>
        <v>TERMOVISOR -</v>
      </c>
      <c r="C1540" s="86">
        <f>IFERROR(__xludf.DUMMYFUNCTION("""COMPUTED_VALUE"""),1.0)</f>
        <v>1</v>
      </c>
      <c r="D1540" s="87" t="str">
        <f>IFERROR(__xludf.DUMMYFUNCTION("""COMPUTED_VALUE"""),"SEÇÃO")</f>
        <v>SEÇÃO</v>
      </c>
      <c r="E1540" s="87" t="str">
        <f>IFERROR(__xludf.DUMMYFUNCTION("""COMPUTED_VALUE"""),"3 - CURVELO")</f>
        <v>3 - CURVELO</v>
      </c>
      <c r="F1540" s="92"/>
      <c r="G1540" s="89">
        <f>IFERROR(__xludf.DUMMYFUNCTION("""COMPUTED_VALUE"""),7.6974782E7)</f>
        <v>76974782</v>
      </c>
      <c r="H1540" s="87"/>
      <c r="I1540" s="87" t="str">
        <f>IFERROR(__xludf.DUMMYFUNCTION("""COMPUTED_VALUE"""),"Câmera Térmica")</f>
        <v>Câmera Térmica</v>
      </c>
    </row>
    <row r="1541">
      <c r="A1541" s="84">
        <f>IFERROR(__xludf.DUMMYFUNCTION("""COMPUTED_VALUE"""),1541.0)</f>
        <v>1541</v>
      </c>
      <c r="B1541" s="85" t="str">
        <f>IFERROR(__xludf.DUMMYFUNCTION("""COMPUTED_VALUE"""),"MANEQUIM - SIMULADOR AVANCADO -")</f>
        <v>MANEQUIM - SIMULADOR AVANCADO -</v>
      </c>
      <c r="C1541" s="86">
        <f>IFERROR(__xludf.DUMMYFUNCTION("""COMPUTED_VALUE"""),1.0)</f>
        <v>1</v>
      </c>
      <c r="D1541" s="87" t="str">
        <f>IFERROR(__xludf.DUMMYFUNCTION("""COMPUTED_VALUE"""),"SEÇÃO")</f>
        <v>SEÇÃO</v>
      </c>
      <c r="E1541" s="87" t="str">
        <f>IFERROR(__xludf.DUMMYFUNCTION("""COMPUTED_VALUE"""),"3 - SALA DE INSTRUÇÃO")</f>
        <v>3 - SALA DE INSTRUÇÃO</v>
      </c>
      <c r="F1541" s="92"/>
      <c r="G1541" s="89">
        <f>IFERROR(__xludf.DUMMYFUNCTION("""COMPUTED_VALUE"""),7.693903E7)</f>
        <v>76939030</v>
      </c>
      <c r="H1541" s="87"/>
      <c r="I1541" s="87" t="str">
        <f>IFERROR(__xludf.DUMMYFUNCTION("""COMPUTED_VALUE"""),"MANEQUIM - SIMULADOR AVANCADO -")</f>
        <v>MANEQUIM - SIMULADOR AVANCADO -</v>
      </c>
    </row>
    <row r="1542">
      <c r="A1542" s="84">
        <f>IFERROR(__xludf.DUMMYFUNCTION("""COMPUTED_VALUE"""),1542.0)</f>
        <v>1542</v>
      </c>
      <c r="B1542" s="85" t="str">
        <f>IFERROR(__xludf.DUMMYFUNCTION("""COMPUTED_VALUE"""),"RÁDIO MÓVEL -")</f>
        <v>RÁDIO MÓVEL -</v>
      </c>
      <c r="C1542" s="86">
        <f>IFERROR(__xludf.DUMMYFUNCTION("""COMPUTED_VALUE"""),1.0)</f>
        <v>1</v>
      </c>
      <c r="D1542" s="87" t="str">
        <f>IFERROR(__xludf.DUMMYFUNCTION("""COMPUTED_VALUE"""),"VIATURA")</f>
        <v>VIATURA</v>
      </c>
      <c r="E1542" s="87" t="str">
        <f>IFERROR(__xludf.DUMMYFUNCTION("""COMPUTED_VALUE"""),"1 - ACIF5790")</f>
        <v>1 - ACIF5790</v>
      </c>
      <c r="F1542" s="92" t="str">
        <f>IFERROR(__xludf.DUMMYFUNCTION("""COMPUTED_VALUE"""),"CABINE")</f>
        <v>CABINE</v>
      </c>
      <c r="G1542" s="89">
        <f>IFERROR(__xludf.DUMMYFUNCTION("""COMPUTED_VALUE"""),5.5961134E7)</f>
        <v>55961134</v>
      </c>
      <c r="H1542" s="87"/>
      <c r="I1542" s="87"/>
    </row>
    <row r="1543">
      <c r="A1543" s="84">
        <f>IFERROR(__xludf.DUMMYFUNCTION("""COMPUTED_VALUE"""),1543.0)</f>
        <v>1543</v>
      </c>
      <c r="B1543" s="85" t="str">
        <f>IFERROR(__xludf.DUMMYFUNCTION("""COMPUTED_VALUE"""),"MANEQUIM - SIMULADOR AVANCADO -")</f>
        <v>MANEQUIM - SIMULADOR AVANCADO -</v>
      </c>
      <c r="C1543" s="86">
        <f>IFERROR(__xludf.DUMMYFUNCTION("""COMPUTED_VALUE"""),1.0)</f>
        <v>1</v>
      </c>
      <c r="D1543" s="87" t="str">
        <f>IFERROR(__xludf.DUMMYFUNCTION("""COMPUTED_VALUE"""),"SEÇÃO")</f>
        <v>SEÇÃO</v>
      </c>
      <c r="E1543" s="87" t="str">
        <f>IFERROR(__xludf.DUMMYFUNCTION("""COMPUTED_VALUE"""),"3 - SALA DE INSTRUÇÃO")</f>
        <v>3 - SALA DE INSTRUÇÃO</v>
      </c>
      <c r="F1543" s="92" t="str">
        <f>IFERROR(__xludf.DUMMYFUNCTION("""COMPUTED_VALUE"""),"ALMOX. APH")</f>
        <v>ALMOX. APH</v>
      </c>
      <c r="G1543" s="89">
        <f>IFERROR(__xludf.DUMMYFUNCTION("""COMPUTED_VALUE"""),7.6939049E7)</f>
        <v>76939049</v>
      </c>
      <c r="H1543" s="87"/>
      <c r="I1543" s="87" t="str">
        <f>IFERROR(__xludf.DUMMYFUNCTION("""COMPUTED_VALUE"""),"MANEQUIM - SIMULADOR AVANCADO -")</f>
        <v>MANEQUIM - SIMULADOR AVANCADO -</v>
      </c>
    </row>
    <row r="1544">
      <c r="A1544" s="84">
        <f>IFERROR(__xludf.DUMMYFUNCTION("""COMPUTED_VALUE"""),1544.0)</f>
        <v>1544</v>
      </c>
      <c r="B1544" s="85" t="str">
        <f>IFERROR(__xludf.DUMMYFUNCTION("""COMPUTED_VALUE"""),"CAPACETE PARA COMBATE INCENDIO -")</f>
        <v>CAPACETE PARA COMBATE INCENDIO -</v>
      </c>
      <c r="C1544" s="86">
        <f>IFERROR(__xludf.DUMMYFUNCTION("""COMPUTED_VALUE"""),1.0)</f>
        <v>1</v>
      </c>
      <c r="D1544" s="87" t="str">
        <f>IFERROR(__xludf.DUMMYFUNCTION("""COMPUTED_VALUE"""),"MILITAR")</f>
        <v>MILITAR</v>
      </c>
      <c r="E1544" s="87" t="str">
        <f>IFERROR(__xludf.DUMMYFUNCTION("""COMPUTED_VALUE"""),"2 - SD JOSÉ OLYMPIO SOUZA CARDOSO DAMASCENO")</f>
        <v>2 - SD JOSÉ OLYMPIO SOUZA CARDOSO DAMASCENO</v>
      </c>
      <c r="F1544" s="92"/>
      <c r="G1544" s="89">
        <f>IFERROR(__xludf.DUMMYFUNCTION("""COMPUTED_VALUE"""),7.6802299E7)</f>
        <v>76802299</v>
      </c>
      <c r="H1544" s="87"/>
      <c r="I1544" s="87" t="str">
        <f>IFERROR(__xludf.DUMMYFUNCTION("""COMPUTED_VALUE"""),"CAPACETE CIURB SD JOSÉ OLYMPIO SOUZA CARDOSO DAMASCENO")</f>
        <v>CAPACETE CIURB SD JOSÉ OLYMPIO SOUZA CARDOSO DAMASCENO</v>
      </c>
    </row>
    <row r="1545">
      <c r="A1545" s="84">
        <f>IFERROR(__xludf.DUMMYFUNCTION("""COMPUTED_VALUE"""),1545.0)</f>
        <v>1545</v>
      </c>
      <c r="B1545" s="85" t="str">
        <f>IFERROR(__xludf.DUMMYFUNCTION("""COMPUTED_VALUE""")," (KIT GUARANI) CONJ ACOPLAVEL A VEICULO, COMBATE INCENDIO -")</f>
        <v> (KIT GUARANI) CONJ ACOPLAVEL A VEICULO, COMBATE INCENDIO -</v>
      </c>
      <c r="C1545" s="86">
        <f>IFERROR(__xludf.DUMMYFUNCTION("""COMPUTED_VALUE"""),1.0)</f>
        <v>1</v>
      </c>
      <c r="D1545" s="87" t="str">
        <f>IFERROR(__xludf.DUMMYFUNCTION("""COMPUTED_VALUE"""),"VIATURA")</f>
        <v>VIATURA</v>
      </c>
      <c r="E1545" s="87" t="str">
        <f>IFERROR(__xludf.DUMMYFUNCTION("""COMPUTED_VALUE"""),"1 - ASF2163")</f>
        <v>1 - ASF2163</v>
      </c>
      <c r="F1545" s="92" t="str">
        <f>IFERROR(__xludf.DUMMYFUNCTION("""COMPUTED_VALUE"""),"CARROCERIA")</f>
        <v>CARROCERIA</v>
      </c>
      <c r="G1545" s="89">
        <f>IFERROR(__xludf.DUMMYFUNCTION("""COMPUTED_VALUE"""),7.69312E7)</f>
        <v>76931200</v>
      </c>
      <c r="H1545" s="87"/>
      <c r="I1545" s="87" t="str">
        <f>IFERROR(__xludf.DUMMYFUNCTION("""COMPUTED_VALUE"""),"CONJ. DE COMBATE PICKUP TR C/ MANGUEIRA RESERVA (LARANJADA) + ESGUICHO 2 ESTÁGIOS + MANGUEIRA P/ ESCORVA AZUL.. ")</f>
        <v>CONJ. DE COMBATE PICKUP TR C/ MANGUEIRA RESERVA (LARANJADA) + ESGUICHO 2 ESTÁGIOS + MANGUEIRA P/ ESCORVA AZUL.. </v>
      </c>
    </row>
    <row r="1546">
      <c r="A1546" s="84">
        <f>IFERROR(__xludf.DUMMYFUNCTION("""COMPUTED_VALUE"""),1546.0)</f>
        <v>1546</v>
      </c>
      <c r="B1546" s="85" t="str">
        <f>IFERROR(__xludf.DUMMYFUNCTION("""COMPUTED_VALUE"""),"MANEQUIM - SIMULADOR AVANCADO - IDENTIFICACAO BEBE")</f>
        <v>MANEQUIM - SIMULADOR AVANCADO - IDENTIFICACAO BEBE</v>
      </c>
      <c r="C1546" s="86">
        <f>IFERROR(__xludf.DUMMYFUNCTION("""COMPUTED_VALUE"""),1.0)</f>
        <v>1</v>
      </c>
      <c r="D1546" s="87" t="str">
        <f>IFERROR(__xludf.DUMMYFUNCTION("""COMPUTED_VALUE"""),"SEÇÃO")</f>
        <v>SEÇÃO</v>
      </c>
      <c r="E1546" s="87" t="str">
        <f>IFERROR(__xludf.DUMMYFUNCTION("""COMPUTED_VALUE"""),"3 - SALA DE INSTRUÇÃO")</f>
        <v>3 - SALA DE INSTRUÇÃO</v>
      </c>
      <c r="F1546" s="92"/>
      <c r="G1546" s="89">
        <f>IFERROR(__xludf.DUMMYFUNCTION("""COMPUTED_VALUE"""),7.6837793E7)</f>
        <v>76837793</v>
      </c>
      <c r="H1546" s="87"/>
      <c r="I1546" s="87" t="str">
        <f>IFERROR(__xludf.DUMMYFUNCTION("""COMPUTED_VALUE"""),"LAERDAL, LITTLE BABY QCPR")</f>
        <v>LAERDAL, LITTLE BABY QCPR</v>
      </c>
    </row>
    <row r="1547">
      <c r="A1547" s="84">
        <f>IFERROR(__xludf.DUMMYFUNCTION("""COMPUTED_VALUE"""),1547.0)</f>
        <v>1547</v>
      </c>
      <c r="B1547" s="85" t="str">
        <f>IFERROR(__xludf.DUMMYFUNCTION("""COMPUTED_VALUE"""),"MANEQUIM - SIMULADOR AVANCADO - IDENTIFICACAO BEBE")</f>
        <v>MANEQUIM - SIMULADOR AVANCADO - IDENTIFICACAO BEBE</v>
      </c>
      <c r="C1547" s="86">
        <f>IFERROR(__xludf.DUMMYFUNCTION("""COMPUTED_VALUE"""),1.0)</f>
        <v>1</v>
      </c>
      <c r="D1547" s="87" t="str">
        <f>IFERROR(__xludf.DUMMYFUNCTION("""COMPUTED_VALUE"""),"SEÇÃO")</f>
        <v>SEÇÃO</v>
      </c>
      <c r="E1547" s="87" t="str">
        <f>IFERROR(__xludf.DUMMYFUNCTION("""COMPUTED_VALUE"""),"3 - SALA DE INSTRUÇÃO")</f>
        <v>3 - SALA DE INSTRUÇÃO</v>
      </c>
      <c r="F1547" s="92"/>
      <c r="G1547" s="89">
        <f>IFERROR(__xludf.DUMMYFUNCTION("""COMPUTED_VALUE"""),7.6837807E7)</f>
        <v>76837807</v>
      </c>
      <c r="H1547" s="87"/>
      <c r="I1547" s="87" t="str">
        <f>IFERROR(__xludf.DUMMYFUNCTION("""COMPUTED_VALUE"""),"LAERDAL, LITTLE BABY QCPR")</f>
        <v>LAERDAL, LITTLE BABY QCPR</v>
      </c>
    </row>
    <row r="1548">
      <c r="A1548" s="84">
        <f>IFERROR(__xludf.DUMMYFUNCTION("""COMPUTED_VALUE"""),1548.0)</f>
        <v>1548</v>
      </c>
      <c r="B1548" s="85" t="str">
        <f>IFERROR(__xludf.DUMMYFUNCTION("""COMPUTED_VALUE"""),"MANEQUIM - SIMULADOR AVANCADO - IDENTIFICACAO BEBE")</f>
        <v>MANEQUIM - SIMULADOR AVANCADO - IDENTIFICACAO BEBE</v>
      </c>
      <c r="C1548" s="86">
        <f>IFERROR(__xludf.DUMMYFUNCTION("""COMPUTED_VALUE"""),1.0)</f>
        <v>1</v>
      </c>
      <c r="D1548" s="87" t="str">
        <f>IFERROR(__xludf.DUMMYFUNCTION("""COMPUTED_VALUE"""),"SEÇÃO")</f>
        <v>SEÇÃO</v>
      </c>
      <c r="E1548" s="87" t="str">
        <f>IFERROR(__xludf.DUMMYFUNCTION("""COMPUTED_VALUE"""),"3 - SALA DE INSTRUÇÃO")</f>
        <v>3 - SALA DE INSTRUÇÃO</v>
      </c>
      <c r="F1548" s="92"/>
      <c r="G1548" s="89">
        <f>IFERROR(__xludf.DUMMYFUNCTION("""COMPUTED_VALUE"""),7.6837815E7)</f>
        <v>76837815</v>
      </c>
      <c r="H1548" s="87"/>
      <c r="I1548" s="87" t="str">
        <f>IFERROR(__xludf.DUMMYFUNCTION("""COMPUTED_VALUE"""),"LAERDAL, LITTLE BABY QCPR")</f>
        <v>LAERDAL, LITTLE BABY QCPR</v>
      </c>
    </row>
    <row r="1549">
      <c r="A1549" s="84">
        <f>IFERROR(__xludf.DUMMYFUNCTION("""COMPUTED_VALUE"""),1549.0)</f>
        <v>1549</v>
      </c>
      <c r="B1549" s="85" t="str">
        <f>IFERROR(__xludf.DUMMYFUNCTION("""COMPUTED_VALUE"""),"MANEQUIM - SIMULADOR AVANCADO - IDENTIFICACAO BEBE")</f>
        <v>MANEQUIM - SIMULADOR AVANCADO - IDENTIFICACAO BEBE</v>
      </c>
      <c r="C1549" s="86">
        <f>IFERROR(__xludf.DUMMYFUNCTION("""COMPUTED_VALUE"""),1.0)</f>
        <v>1</v>
      </c>
      <c r="D1549" s="87" t="str">
        <f>IFERROR(__xludf.DUMMYFUNCTION("""COMPUTED_VALUE"""),"SEÇÃO")</f>
        <v>SEÇÃO</v>
      </c>
      <c r="E1549" s="87" t="str">
        <f>IFERROR(__xludf.DUMMYFUNCTION("""COMPUTED_VALUE"""),"3 - SALA DE INSTRUÇÃO")</f>
        <v>3 - SALA DE INSTRUÇÃO</v>
      </c>
      <c r="F1549" s="92"/>
      <c r="G1549" s="89">
        <f>IFERROR(__xludf.DUMMYFUNCTION("""COMPUTED_VALUE"""),7.6837823E7)</f>
        <v>76837823</v>
      </c>
      <c r="H1549" s="87"/>
      <c r="I1549" s="87" t="str">
        <f>IFERROR(__xludf.DUMMYFUNCTION("""COMPUTED_VALUE"""),"LAERDAL, LITTLE BABY QCPR")</f>
        <v>LAERDAL, LITTLE BABY QCPR</v>
      </c>
    </row>
    <row r="1550">
      <c r="A1550" s="84">
        <f>IFERROR(__xludf.DUMMYFUNCTION("""COMPUTED_VALUE"""),1550.0)</f>
        <v>1550</v>
      </c>
      <c r="B1550" s="85" t="str">
        <f>IFERROR(__xludf.DUMMYFUNCTION("""COMPUTED_VALUE"""),"MANEQUIM - SIMULADOR AVANCADO - IDENTIFICACAO BEBE")</f>
        <v>MANEQUIM - SIMULADOR AVANCADO - IDENTIFICACAO BEBE</v>
      </c>
      <c r="C1550" s="86">
        <f>IFERROR(__xludf.DUMMYFUNCTION("""COMPUTED_VALUE"""),1.0)</f>
        <v>1</v>
      </c>
      <c r="D1550" s="87" t="str">
        <f>IFERROR(__xludf.DUMMYFUNCTION("""COMPUTED_VALUE"""),"SEÇÃO")</f>
        <v>SEÇÃO</v>
      </c>
      <c r="E1550" s="87" t="str">
        <f>IFERROR(__xludf.DUMMYFUNCTION("""COMPUTED_VALUE"""),"3 - SALA DE INSTRUÇÃO")</f>
        <v>3 - SALA DE INSTRUÇÃO</v>
      </c>
      <c r="F1550" s="92"/>
      <c r="G1550" s="89">
        <f>IFERROR(__xludf.DUMMYFUNCTION("""COMPUTED_VALUE"""),7.6837831E7)</f>
        <v>76837831</v>
      </c>
      <c r="H1550" s="87"/>
      <c r="I1550" s="87" t="str">
        <f>IFERROR(__xludf.DUMMYFUNCTION("""COMPUTED_VALUE"""),"LAERDAL, LITTLE BABY QCPR")</f>
        <v>LAERDAL, LITTLE BABY QCPR</v>
      </c>
    </row>
    <row r="1551">
      <c r="A1551" s="84">
        <f>IFERROR(__xludf.DUMMYFUNCTION("""COMPUTED_VALUE"""),1551.0)</f>
        <v>1551</v>
      </c>
      <c r="B1551" s="85" t="str">
        <f>IFERROR(__xludf.DUMMYFUNCTION("""COMPUTED_VALUE"""),"CADEIRA PARA ESCRITORIO -")</f>
        <v>CADEIRA PARA ESCRITORIO -</v>
      </c>
      <c r="C1551" s="86">
        <f>IFERROR(__xludf.DUMMYFUNCTION("""COMPUTED_VALUE"""),1.0)</f>
        <v>1</v>
      </c>
      <c r="D1551" s="87"/>
      <c r="E1551" s="87" t="str">
        <f>IFERROR(__xludf.DUMMYFUNCTION("""COMPUTED_VALUE"""),"3 - CURVELO")</f>
        <v>3 - CURVELO</v>
      </c>
      <c r="F1551" s="92"/>
      <c r="G1551" s="89">
        <f>IFERROR(__xludf.DUMMYFUNCTION("""COMPUTED_VALUE"""),1.00679579E8)</f>
        <v>100679579</v>
      </c>
      <c r="H1551" s="87"/>
      <c r="I1551" s="87"/>
    </row>
    <row r="1552">
      <c r="A1552" s="84">
        <f>IFERROR(__xludf.DUMMYFUNCTION("""COMPUTED_VALUE"""),1552.0)</f>
        <v>1552</v>
      </c>
      <c r="B1552" s="85" t="str">
        <f>IFERROR(__xludf.DUMMYFUNCTION("""COMPUTED_VALUE"""),"CADEIRA PARA ESCRITORIO -")</f>
        <v>CADEIRA PARA ESCRITORIO -</v>
      </c>
      <c r="C1552" s="86">
        <f>IFERROR(__xludf.DUMMYFUNCTION("""COMPUTED_VALUE"""),1.0)</f>
        <v>1</v>
      </c>
      <c r="D1552" s="87" t="str">
        <f>IFERROR(__xludf.DUMMYFUNCTION("""COMPUTED_VALUE"""),"SEÇÃO")</f>
        <v>SEÇÃO</v>
      </c>
      <c r="E1552" s="87" t="str">
        <f>IFERROR(__xludf.DUMMYFUNCTION("""COMPUTED_VALUE"""),"3 - CARTÓRIO")</f>
        <v>3 - CARTÓRIO</v>
      </c>
      <c r="F1552" s="92"/>
      <c r="G1552" s="89">
        <f>IFERROR(__xludf.DUMMYFUNCTION("""COMPUTED_VALUE"""),5.4155894E7)</f>
        <v>54155894</v>
      </c>
      <c r="H1552" s="87"/>
      <c r="I1552" s="87"/>
    </row>
    <row r="1553">
      <c r="A1553" s="84">
        <f>IFERROR(__xludf.DUMMYFUNCTION("""COMPUTED_VALUE"""),1553.0)</f>
        <v>1553</v>
      </c>
      <c r="B1553" s="85" t="str">
        <f>IFERROR(__xludf.DUMMYFUNCTION("""COMPUTED_VALUE"""),"CADEIRA PARA ESCRITORIO -")</f>
        <v>CADEIRA PARA ESCRITORIO -</v>
      </c>
      <c r="C1553" s="86">
        <f>IFERROR(__xludf.DUMMYFUNCTION("""COMPUTED_VALUE"""),1.0)</f>
        <v>1</v>
      </c>
      <c r="D1553" s="87" t="str">
        <f>IFERROR(__xludf.DUMMYFUNCTION("""COMPUTED_VALUE"""),"SEÇÃO")</f>
        <v>SEÇÃO</v>
      </c>
      <c r="E1553" s="87" t="str">
        <f>IFERROR(__xludf.DUMMYFUNCTION("""COMPUTED_VALUE"""),"3 - CARTÓRIO")</f>
        <v>3 - CARTÓRIO</v>
      </c>
      <c r="F1553" s="92"/>
      <c r="G1553" s="89">
        <f>IFERROR(__xludf.DUMMYFUNCTION("""COMPUTED_VALUE"""),6.2060805E7)</f>
        <v>62060805</v>
      </c>
      <c r="H1553" s="87"/>
      <c r="I1553" s="87"/>
    </row>
    <row r="1554">
      <c r="A1554" s="84">
        <f>IFERROR(__xludf.DUMMYFUNCTION("""COMPUTED_VALUE"""),1554.0)</f>
        <v>1554</v>
      </c>
      <c r="B1554" s="85" t="str">
        <f>IFERROR(__xludf.DUMMYFUNCTION("""COMPUTED_VALUE"""),"CADEIRA PARA ESCRITORIO -")</f>
        <v>CADEIRA PARA ESCRITORIO -</v>
      </c>
      <c r="C1554" s="86">
        <f>IFERROR(__xludf.DUMMYFUNCTION("""COMPUTED_VALUE"""),1.0)</f>
        <v>1</v>
      </c>
      <c r="D1554" s="87" t="str">
        <f>IFERROR(__xludf.DUMMYFUNCTION("""COMPUTED_VALUE"""),"SEÇÃO")</f>
        <v>SEÇÃO</v>
      </c>
      <c r="E1554" s="87" t="str">
        <f>IFERROR(__xludf.DUMMYFUNCTION("""COMPUTED_VALUE"""),"3 - SUPRIMENTOS")</f>
        <v>3 - SUPRIMENTOS</v>
      </c>
      <c r="F1554" s="92"/>
      <c r="G1554" s="89">
        <f>IFERROR(__xludf.DUMMYFUNCTION("""COMPUTED_VALUE"""),6.2061097E7)</f>
        <v>62061097</v>
      </c>
      <c r="H1554" s="87"/>
      <c r="I1554" s="87"/>
    </row>
    <row r="1555">
      <c r="A1555" s="84">
        <f>IFERROR(__xludf.DUMMYFUNCTION("""COMPUTED_VALUE"""),1555.0)</f>
        <v>1555</v>
      </c>
      <c r="B1555" s="85" t="str">
        <f>IFERROR(__xludf.DUMMYFUNCTION("""COMPUTED_VALUE"""),"CADEIRA PARA ESCRITORIO -")</f>
        <v>CADEIRA PARA ESCRITORIO -</v>
      </c>
      <c r="C1555" s="86">
        <f>IFERROR(__xludf.DUMMYFUNCTION("""COMPUTED_VALUE"""),1.0)</f>
        <v>1</v>
      </c>
      <c r="D1555" s="87"/>
      <c r="E1555" s="87" t="str">
        <f>IFERROR(__xludf.DUMMYFUNCTION("""COMPUTED_VALUE"""),"3 - CURVELO")</f>
        <v>3 - CURVELO</v>
      </c>
      <c r="F1555" s="92"/>
      <c r="G1555" s="89">
        <f>IFERROR(__xludf.DUMMYFUNCTION("""COMPUTED_VALUE"""),1.00687857E8)</f>
        <v>100687857</v>
      </c>
      <c r="H1555" s="87"/>
      <c r="I1555" s="87"/>
    </row>
    <row r="1556">
      <c r="A1556" s="84">
        <f>IFERROR(__xludf.DUMMYFUNCTION("""COMPUTED_VALUE"""),1556.0)</f>
        <v>1556</v>
      </c>
      <c r="B1556" s="85" t="str">
        <f>IFERROR(__xludf.DUMMYFUNCTION("""COMPUTED_VALUE"""),"CADEIRA PARA ESCRITORIO -")</f>
        <v>CADEIRA PARA ESCRITORIO -</v>
      </c>
      <c r="C1556" s="86">
        <f>IFERROR(__xludf.DUMMYFUNCTION("""COMPUTED_VALUE"""),1.0)</f>
        <v>1</v>
      </c>
      <c r="D1556" s="87" t="str">
        <f>IFERROR(__xludf.DUMMYFUNCTION("""COMPUTED_VALUE"""),"SEÇÃO")</f>
        <v>SEÇÃO</v>
      </c>
      <c r="E1556" s="87" t="str">
        <f>IFERROR(__xludf.DUMMYFUNCTION("""COMPUTED_VALUE"""),"3 - SUPRIMENTOS")</f>
        <v>3 - SUPRIMENTOS</v>
      </c>
      <c r="F1556" s="92"/>
      <c r="G1556" s="89">
        <f>IFERROR(__xludf.DUMMYFUNCTION("""COMPUTED_VALUE"""),1.00687865E8)</f>
        <v>100687865</v>
      </c>
      <c r="H1556" s="87"/>
      <c r="I1556" s="87"/>
    </row>
    <row r="1557">
      <c r="A1557" s="84">
        <f>IFERROR(__xludf.DUMMYFUNCTION("""COMPUTED_VALUE"""),1557.0)</f>
        <v>1557</v>
      </c>
      <c r="B1557" s="85" t="str">
        <f>IFERROR(__xludf.DUMMYFUNCTION("""COMPUTED_VALUE"""),"POLTRONA PARA ESCRITORIO - ")</f>
        <v>POLTRONA PARA ESCRITORIO - </v>
      </c>
      <c r="C1557" s="86">
        <f>IFERROR(__xludf.DUMMYFUNCTION("""COMPUTED_VALUE"""),1.0)</f>
        <v>1</v>
      </c>
      <c r="D1557" s="87" t="str">
        <f>IFERROR(__xludf.DUMMYFUNCTION("""COMPUTED_VALUE"""),"SEÇÃO")</f>
        <v>SEÇÃO</v>
      </c>
      <c r="E1557" s="87" t="str">
        <f>IFERROR(__xludf.DUMMYFUNCTION("""COMPUTED_VALUE"""),"3 - SEPLAN")</f>
        <v>3 - SEPLAN</v>
      </c>
      <c r="F1557" s="92"/>
      <c r="G1557" s="89">
        <f>IFERROR(__xludf.DUMMYFUNCTION("""COMPUTED_VALUE"""),1.2912454E8)</f>
        <v>129124540</v>
      </c>
      <c r="H1557" s="87"/>
      <c r="I1557" s="87"/>
    </row>
    <row r="1558">
      <c r="A1558" s="84">
        <f>IFERROR(__xludf.DUMMYFUNCTION("""COMPUTED_VALUE"""),1558.0)</f>
        <v>1558</v>
      </c>
      <c r="B1558" s="85" t="str">
        <f>IFERROR(__xludf.DUMMYFUNCTION("""COMPUTED_VALUE"""),"ESTANTE DE AÇO - ")</f>
        <v>ESTANTE DE AÇO - </v>
      </c>
      <c r="C1558" s="86">
        <f>IFERROR(__xludf.DUMMYFUNCTION("""COMPUTED_VALUE"""),1.0)</f>
        <v>1</v>
      </c>
      <c r="D1558" s="87"/>
      <c r="E1558" s="87" t="str">
        <f>IFERROR(__xludf.DUMMYFUNCTION("""COMPUTED_VALUE"""),"3 - CURVELO")</f>
        <v>3 - CURVELO</v>
      </c>
      <c r="F1558" s="92"/>
      <c r="G1558" s="89">
        <f>IFERROR(__xludf.DUMMYFUNCTION("""COMPUTED_VALUE"""),1.2912373E7)</f>
        <v>12912373</v>
      </c>
      <c r="H1558" s="87"/>
      <c r="I1558" s="87" t="str">
        <f>IFERROR(__xludf.DUMMYFUNCTION("""COMPUTED_VALUE"""),"nº de patrimônio não existe no SIAD")</f>
        <v>nº de patrimônio não existe no SIAD</v>
      </c>
    </row>
    <row r="1559">
      <c r="A1559" s="84">
        <f>IFERROR(__xludf.DUMMYFUNCTION("""COMPUTED_VALUE"""),1559.0)</f>
        <v>1559</v>
      </c>
      <c r="B1559" s="85" t="str">
        <f>IFERROR(__xludf.DUMMYFUNCTION("""COMPUTED_VALUE"""),"ESTANTE DE AÇO - ")</f>
        <v>ESTANTE DE AÇO - </v>
      </c>
      <c r="C1559" s="86">
        <f>IFERROR(__xludf.DUMMYFUNCTION("""COMPUTED_VALUE"""),1.0)</f>
        <v>1</v>
      </c>
      <c r="D1559" s="87"/>
      <c r="E1559" s="87" t="str">
        <f>IFERROR(__xludf.DUMMYFUNCTION("""COMPUTED_VALUE"""),"3 - CURVELO")</f>
        <v>3 - CURVELO</v>
      </c>
      <c r="F1559" s="92"/>
      <c r="G1559" s="89">
        <f>IFERROR(__xludf.DUMMYFUNCTION("""COMPUTED_VALUE"""),1.29123749E8)</f>
        <v>129123749</v>
      </c>
      <c r="H1559" s="87"/>
      <c r="I1559" s="87"/>
    </row>
    <row r="1560">
      <c r="A1560" s="84">
        <f>IFERROR(__xludf.DUMMYFUNCTION("""COMPUTED_VALUE"""),1560.0)</f>
        <v>1560</v>
      </c>
      <c r="B1560" s="85" t="str">
        <f>IFERROR(__xludf.DUMMYFUNCTION("""COMPUTED_VALUE"""),"ESTANTE DE AÇO - ")</f>
        <v>ESTANTE DE AÇO - </v>
      </c>
      <c r="C1560" s="86">
        <f>IFERROR(__xludf.DUMMYFUNCTION("""COMPUTED_VALUE"""),1.0)</f>
        <v>1</v>
      </c>
      <c r="D1560" s="87"/>
      <c r="E1560" s="87" t="str">
        <f>IFERROR(__xludf.DUMMYFUNCTION("""COMPUTED_VALUE"""),"3 - CURVELO")</f>
        <v>3 - CURVELO</v>
      </c>
      <c r="F1560" s="92"/>
      <c r="G1560" s="89">
        <f>IFERROR(__xludf.DUMMYFUNCTION("""COMPUTED_VALUE"""),1.29123757E8)</f>
        <v>129123757</v>
      </c>
      <c r="H1560" s="87"/>
      <c r="I1560" s="87"/>
    </row>
    <row r="1561">
      <c r="A1561" s="84">
        <f>IFERROR(__xludf.DUMMYFUNCTION("""COMPUTED_VALUE"""),1561.0)</f>
        <v>1561</v>
      </c>
      <c r="B1561" s="85" t="str">
        <f>IFERROR(__xludf.DUMMYFUNCTION("""COMPUTED_VALUE"""),"ESTANTE DE AÇO - ")</f>
        <v>ESTANTE DE AÇO - </v>
      </c>
      <c r="C1561" s="86">
        <f>IFERROR(__xludf.DUMMYFUNCTION("""COMPUTED_VALUE"""),1.0)</f>
        <v>1</v>
      </c>
      <c r="D1561" s="87"/>
      <c r="E1561" s="87" t="str">
        <f>IFERROR(__xludf.DUMMYFUNCTION("""COMPUTED_VALUE"""),"3 - CURVELO")</f>
        <v>3 - CURVELO</v>
      </c>
      <c r="F1561" s="92"/>
      <c r="G1561" s="89">
        <f>IFERROR(__xludf.DUMMYFUNCTION("""COMPUTED_VALUE"""),1.29123765E8)</f>
        <v>129123765</v>
      </c>
      <c r="H1561" s="87"/>
      <c r="I1561" s="87"/>
    </row>
    <row r="1562">
      <c r="A1562" s="84">
        <f>IFERROR(__xludf.DUMMYFUNCTION("""COMPUTED_VALUE"""),1562.0)</f>
        <v>1562</v>
      </c>
      <c r="B1562" s="85" t="str">
        <f>IFERROR(__xludf.DUMMYFUNCTION("""COMPUTED_VALUE"""),"CAPACETE PARA COMBATE INCENDIO -")</f>
        <v>CAPACETE PARA COMBATE INCENDIO -</v>
      </c>
      <c r="C1562" s="86">
        <f>IFERROR(__xludf.DUMMYFUNCTION("""COMPUTED_VALUE"""),1.0)</f>
        <v>1</v>
      </c>
      <c r="D1562" s="87" t="str">
        <f>IFERROR(__xludf.DUMMYFUNCTION("""COMPUTED_VALUE"""),"MILITAR")</f>
        <v>MILITAR</v>
      </c>
      <c r="E1562" s="87" t="str">
        <f>IFERROR(__xludf.DUMMYFUNCTION("""COMPUTED_VALUE"""),"2 - SD ALEX JUNIOR BASTOS MARTINS")</f>
        <v>2 - SD ALEX JUNIOR BASTOS MARTINS</v>
      </c>
      <c r="F1562" s="92"/>
      <c r="G1562" s="89">
        <f>IFERROR(__xludf.DUMMYFUNCTION("""COMPUTED_VALUE"""),7.6912019E7)</f>
        <v>76912019</v>
      </c>
      <c r="H1562" s="87"/>
      <c r="I1562" s="87" t="str">
        <f>IFERROR(__xludf.DUMMYFUNCTION("""COMPUTED_VALUE"""),"Pedir para transferir para a 5ª CIa Ind, encontra-se na 6ª Cia Ind")</f>
        <v>Pedir para transferir para a 5ª CIa Ind, encontra-se na 6ª Cia Ind</v>
      </c>
    </row>
    <row r="1563">
      <c r="A1563" s="84">
        <f>IFERROR(__xludf.DUMMYFUNCTION("""COMPUTED_VALUE"""),1563.0)</f>
        <v>1563</v>
      </c>
      <c r="B1563" s="85" t="str">
        <f>IFERROR(__xludf.DUMMYFUNCTION("""COMPUTED_VALUE"""),"SANDUICHEIRA -")</f>
        <v>SANDUICHEIRA -</v>
      </c>
      <c r="C1563" s="86">
        <f>IFERROR(__xludf.DUMMYFUNCTION("""COMPUTED_VALUE"""),1.0)</f>
        <v>1</v>
      </c>
      <c r="D1563" s="87" t="str">
        <f>IFERROR(__xludf.DUMMYFUNCTION("""COMPUTED_VALUE"""),"SEÇÃO")</f>
        <v>SEÇÃO</v>
      </c>
      <c r="E1563" s="87" t="str">
        <f>IFERROR(__xludf.DUMMYFUNCTION("""COMPUTED_VALUE"""),"3 - 1ª CIA OP")</f>
        <v>3 - 1ª CIA OP</v>
      </c>
      <c r="F1563" s="92"/>
      <c r="G1563" s="89">
        <f>IFERROR(__xludf.DUMMYFUNCTION("""COMPUTED_VALUE"""),7.7005651E7)</f>
        <v>77005651</v>
      </c>
      <c r="H1563" s="87"/>
      <c r="I1563" s="87"/>
    </row>
    <row r="1564">
      <c r="A1564" s="84">
        <f>IFERROR(__xludf.DUMMYFUNCTION("""COMPUTED_VALUE"""),1564.0)</f>
        <v>1564</v>
      </c>
      <c r="B1564" s="85" t="str">
        <f>IFERROR(__xludf.DUMMYFUNCTION("""COMPUTED_VALUE"""),"SANDUICHEIRA -")</f>
        <v>SANDUICHEIRA -</v>
      </c>
      <c r="C1564" s="86">
        <f>IFERROR(__xludf.DUMMYFUNCTION("""COMPUTED_VALUE"""),1.0)</f>
        <v>1</v>
      </c>
      <c r="D1564" s="87" t="str">
        <f>IFERROR(__xludf.DUMMYFUNCTION("""COMPUTED_VALUE"""),"SEÇÃO")</f>
        <v>SEÇÃO</v>
      </c>
      <c r="E1564" s="87" t="str">
        <f>IFERROR(__xludf.DUMMYFUNCTION("""COMPUTED_VALUE"""),"3 - 1ª CIA OP")</f>
        <v>3 - 1ª CIA OP</v>
      </c>
      <c r="F1564" s="92"/>
      <c r="G1564" s="89">
        <f>IFERROR(__xludf.DUMMYFUNCTION("""COMPUTED_VALUE"""),7.7005643E7)</f>
        <v>77005643</v>
      </c>
      <c r="H1564" s="87"/>
      <c r="I1564" s="87"/>
    </row>
    <row r="1565">
      <c r="A1565" s="84">
        <f>IFERROR(__xludf.DUMMYFUNCTION("""COMPUTED_VALUE"""),1565.0)</f>
        <v>1565</v>
      </c>
      <c r="B1565" s="85" t="str">
        <f>IFERROR(__xludf.DUMMYFUNCTION("""COMPUTED_VALUE"""),"EXTINTOR DE INCENDIO -")</f>
        <v>EXTINTOR DE INCENDIO -</v>
      </c>
      <c r="C1565" s="86">
        <f>IFERROR(__xludf.DUMMYFUNCTION("""COMPUTED_VALUE"""),1.0)</f>
        <v>1</v>
      </c>
      <c r="D1565" s="87"/>
      <c r="E1565" s="87" t="str">
        <f>IFERROR(__xludf.DUMMYFUNCTION("""COMPUTED_VALUE"""),"3 - CURVELO")</f>
        <v>3 - CURVELO</v>
      </c>
      <c r="F1565" s="92"/>
      <c r="G1565" s="89">
        <f>IFERROR(__xludf.DUMMYFUNCTION("""COMPUTED_VALUE"""),7.6999106E7)</f>
        <v>76999106</v>
      </c>
      <c r="H1565" s="87"/>
      <c r="I1565" s="87"/>
    </row>
    <row r="1566">
      <c r="A1566" s="84">
        <f>IFERROR(__xludf.DUMMYFUNCTION("""COMPUTED_VALUE"""),1566.0)</f>
        <v>1566</v>
      </c>
      <c r="B1566" s="85" t="str">
        <f>IFERROR(__xludf.DUMMYFUNCTION("""COMPUTED_VALUE"""),"EXTINTOR DE INCENDIO -")</f>
        <v>EXTINTOR DE INCENDIO -</v>
      </c>
      <c r="C1566" s="86">
        <f>IFERROR(__xludf.DUMMYFUNCTION("""COMPUTED_VALUE"""),1.0)</f>
        <v>1</v>
      </c>
      <c r="D1566" s="87"/>
      <c r="E1566" s="87" t="str">
        <f>IFERROR(__xludf.DUMMYFUNCTION("""COMPUTED_VALUE"""),"3 - CURVELO")</f>
        <v>3 - CURVELO</v>
      </c>
      <c r="F1566" s="92"/>
      <c r="G1566" s="89">
        <f>IFERROR(__xludf.DUMMYFUNCTION("""COMPUTED_VALUE"""),7.6999114E7)</f>
        <v>76999114</v>
      </c>
      <c r="H1566" s="87"/>
      <c r="I1566" s="87"/>
    </row>
    <row r="1567">
      <c r="A1567" s="84">
        <f>IFERROR(__xludf.DUMMYFUNCTION("""COMPUTED_VALUE"""),1567.0)</f>
        <v>1567</v>
      </c>
      <c r="B1567" s="85" t="str">
        <f>IFERROR(__xludf.DUMMYFUNCTION("""COMPUTED_VALUE"""),"EXTINTOR DE INCENDIO -")</f>
        <v>EXTINTOR DE INCENDIO -</v>
      </c>
      <c r="C1567" s="86">
        <f>IFERROR(__xludf.DUMMYFUNCTION("""COMPUTED_VALUE"""),1.0)</f>
        <v>1</v>
      </c>
      <c r="D1567" s="87"/>
      <c r="E1567" s="87" t="str">
        <f>IFERROR(__xludf.DUMMYFUNCTION("""COMPUTED_VALUE"""),"3 - CURVELO")</f>
        <v>3 - CURVELO</v>
      </c>
      <c r="F1567" s="92"/>
      <c r="G1567" s="89">
        <f>IFERROR(__xludf.DUMMYFUNCTION("""COMPUTED_VALUE"""),7.6999122E7)</f>
        <v>76999122</v>
      </c>
      <c r="H1567" s="87"/>
      <c r="I1567" s="87"/>
    </row>
    <row r="1568">
      <c r="A1568" s="84">
        <f>IFERROR(__xludf.DUMMYFUNCTION("""COMPUTED_VALUE"""),1568.0)</f>
        <v>1568</v>
      </c>
      <c r="B1568" s="85" t="str">
        <f>IFERROR(__xludf.DUMMYFUNCTION("""COMPUTED_VALUE"""),"EXTINTOR DE INCENDIO -")</f>
        <v>EXTINTOR DE INCENDIO -</v>
      </c>
      <c r="C1568" s="86">
        <f>IFERROR(__xludf.DUMMYFUNCTION("""COMPUTED_VALUE"""),1.0)</f>
        <v>1</v>
      </c>
      <c r="D1568" s="87"/>
      <c r="E1568" s="87" t="str">
        <f>IFERROR(__xludf.DUMMYFUNCTION("""COMPUTED_VALUE"""),"3 - CURVELO")</f>
        <v>3 - CURVELO</v>
      </c>
      <c r="F1568" s="92"/>
      <c r="G1568" s="89">
        <f>IFERROR(__xludf.DUMMYFUNCTION("""COMPUTED_VALUE"""),7.699913E7)</f>
        <v>76999130</v>
      </c>
      <c r="H1568" s="87"/>
      <c r="I1568" s="87"/>
    </row>
    <row r="1569">
      <c r="A1569" s="84">
        <f>IFERROR(__xludf.DUMMYFUNCTION("""COMPUTED_VALUE"""),1569.0)</f>
        <v>1569</v>
      </c>
      <c r="B1569" s="85" t="str">
        <f>IFERROR(__xludf.DUMMYFUNCTION("""COMPUTED_VALUE"""),"EXTINTOR DE INCENDIO -")</f>
        <v>EXTINTOR DE INCENDIO -</v>
      </c>
      <c r="C1569" s="86">
        <f>IFERROR(__xludf.DUMMYFUNCTION("""COMPUTED_VALUE"""),1.0)</f>
        <v>1</v>
      </c>
      <c r="D1569" s="87"/>
      <c r="E1569" s="87" t="str">
        <f>IFERROR(__xludf.DUMMYFUNCTION("""COMPUTED_VALUE"""),"3 - CURVELO")</f>
        <v>3 - CURVELO</v>
      </c>
      <c r="F1569" s="92"/>
      <c r="G1569" s="89">
        <f>IFERROR(__xludf.DUMMYFUNCTION("""COMPUTED_VALUE"""),7.6999149E7)</f>
        <v>76999149</v>
      </c>
      <c r="H1569" s="87"/>
      <c r="I1569" s="87"/>
    </row>
    <row r="1570">
      <c r="A1570" s="84">
        <f>IFERROR(__xludf.DUMMYFUNCTION("""COMPUTED_VALUE"""),1570.0)</f>
        <v>1570</v>
      </c>
      <c r="B1570" s="85" t="str">
        <f>IFERROR(__xludf.DUMMYFUNCTION("""COMPUTED_VALUE"""),"EXTINTOR DE INCENDIO -")</f>
        <v>EXTINTOR DE INCENDIO -</v>
      </c>
      <c r="C1570" s="86">
        <f>IFERROR(__xludf.DUMMYFUNCTION("""COMPUTED_VALUE"""),1.0)</f>
        <v>1</v>
      </c>
      <c r="D1570" s="87"/>
      <c r="E1570" s="87" t="str">
        <f>IFERROR(__xludf.DUMMYFUNCTION("""COMPUTED_VALUE"""),"3 - CURVELO")</f>
        <v>3 - CURVELO</v>
      </c>
      <c r="F1570" s="92"/>
      <c r="G1570" s="89">
        <f>IFERROR(__xludf.DUMMYFUNCTION("""COMPUTED_VALUE"""),7.6999157E7)</f>
        <v>76999157</v>
      </c>
      <c r="H1570" s="87"/>
      <c r="I1570" s="87"/>
    </row>
    <row r="1571">
      <c r="A1571" s="84">
        <f>IFERROR(__xludf.DUMMYFUNCTION("""COMPUTED_VALUE"""),1571.0)</f>
        <v>1571</v>
      </c>
      <c r="B1571" s="85" t="str">
        <f>IFERROR(__xludf.DUMMYFUNCTION("""COMPUTED_VALUE"""),"EXTINTOR DE INCENDIO -")</f>
        <v>EXTINTOR DE INCENDIO -</v>
      </c>
      <c r="C1571" s="86">
        <f>IFERROR(__xludf.DUMMYFUNCTION("""COMPUTED_VALUE"""),1.0)</f>
        <v>1</v>
      </c>
      <c r="D1571" s="87"/>
      <c r="E1571" s="87" t="str">
        <f>IFERROR(__xludf.DUMMYFUNCTION("""COMPUTED_VALUE"""),"3 - CURVELO")</f>
        <v>3 - CURVELO</v>
      </c>
      <c r="F1571" s="92"/>
      <c r="G1571" s="89">
        <f>IFERROR(__xludf.DUMMYFUNCTION("""COMPUTED_VALUE"""),7.6999165E7)</f>
        <v>76999165</v>
      </c>
      <c r="H1571" s="87"/>
      <c r="I1571" s="87"/>
    </row>
    <row r="1572">
      <c r="A1572" s="84">
        <f>IFERROR(__xludf.DUMMYFUNCTION("""COMPUTED_VALUE"""),1572.0)</f>
        <v>1572</v>
      </c>
      <c r="B1572" s="85" t="str">
        <f>IFERROR(__xludf.DUMMYFUNCTION("""COMPUTED_VALUE"""),"FRITADEIRA SEM OLEO (AIR FRYER) -")</f>
        <v>FRITADEIRA SEM OLEO (AIR FRYER) -</v>
      </c>
      <c r="C1572" s="86">
        <f>IFERROR(__xludf.DUMMYFUNCTION("""COMPUTED_VALUE"""),1.0)</f>
        <v>1</v>
      </c>
      <c r="D1572" s="87"/>
      <c r="E1572" s="87" t="str">
        <f>IFERROR(__xludf.DUMMYFUNCTION("""COMPUTED_VALUE"""),"3 - CURVELO")</f>
        <v>3 - CURVELO</v>
      </c>
      <c r="F1572" s="92"/>
      <c r="G1572" s="89">
        <f>IFERROR(__xludf.DUMMYFUNCTION("""COMPUTED_VALUE"""),7.7003357E7)</f>
        <v>77003357</v>
      </c>
      <c r="H1572" s="87"/>
      <c r="I1572" s="87"/>
    </row>
    <row r="1573">
      <c r="A1573" s="84">
        <f>IFERROR(__xludf.DUMMYFUNCTION("""COMPUTED_VALUE"""),1573.0)</f>
        <v>1573</v>
      </c>
      <c r="B1573" s="85" t="str">
        <f>IFERROR(__xludf.DUMMYFUNCTION("""COMPUTED_VALUE"""),"FRITADEIRA SEM OLEO (AIR FRYER) -")</f>
        <v>FRITADEIRA SEM OLEO (AIR FRYER) -</v>
      </c>
      <c r="C1573" s="86">
        <f>IFERROR(__xludf.DUMMYFUNCTION("""COMPUTED_VALUE"""),1.0)</f>
        <v>1</v>
      </c>
      <c r="D1573" s="87"/>
      <c r="E1573" s="87" t="str">
        <f>IFERROR(__xludf.DUMMYFUNCTION("""COMPUTED_VALUE"""),"3 - CURVELO")</f>
        <v>3 - CURVELO</v>
      </c>
      <c r="F1573" s="92"/>
      <c r="G1573" s="89">
        <f>IFERROR(__xludf.DUMMYFUNCTION("""COMPUTED_VALUE"""),7.7003365E7)</f>
        <v>77003365</v>
      </c>
      <c r="H1573" s="87"/>
      <c r="I1573" s="87"/>
    </row>
    <row r="1574">
      <c r="A1574" s="84">
        <f>IFERROR(__xludf.DUMMYFUNCTION("""COMPUTED_VALUE"""),1574.0)</f>
        <v>1574</v>
      </c>
      <c r="B1574" s="85" t="str">
        <f>IFERROR(__xludf.DUMMYFUNCTION("""COMPUTED_VALUE"""),"LANTERNA LUZ DE CENA  -")</f>
        <v>LANTERNA LUZ DE CENA  -</v>
      </c>
      <c r="C1574" s="86">
        <f>IFERROR(__xludf.DUMMYFUNCTION("""COMPUTED_VALUE"""),1.0)</f>
        <v>1</v>
      </c>
      <c r="D1574" s="87" t="str">
        <f>IFERROR(__xludf.DUMMYFUNCTION("""COMPUTED_VALUE"""),"SEÇÃO")</f>
        <v>SEÇÃO</v>
      </c>
      <c r="E1574" s="87" t="str">
        <f>IFERROR(__xludf.DUMMYFUNCTION("""COMPUTED_VALUE"""),"3 - ALMOX. ESTOQUE")</f>
        <v>3 - ALMOX. ESTOQUE</v>
      </c>
      <c r="F1574" s="92" t="str">
        <f>IFERROR(__xludf.DUMMYFUNCTION("""COMPUTED_VALUE"""),"ALMOX. SAO (SEDE)")</f>
        <v>ALMOX. SAO (SEDE)</v>
      </c>
      <c r="G1574" s="89">
        <f>IFERROR(__xludf.DUMMYFUNCTION("""COMPUTED_VALUE"""),7.6950166E7)</f>
        <v>76950166</v>
      </c>
      <c r="H1574" s="87"/>
      <c r="I1574" s="87"/>
    </row>
    <row r="1575">
      <c r="A1575" s="84">
        <f>IFERROR(__xludf.DUMMYFUNCTION("""COMPUTED_VALUE"""),1575.0)</f>
        <v>1575</v>
      </c>
      <c r="B1575" s="85" t="str">
        <f>IFERROR(__xludf.DUMMYFUNCTION("""COMPUTED_VALUE"""),"LANTERNA LUZ DE CENA  -")</f>
        <v>LANTERNA LUZ DE CENA  -</v>
      </c>
      <c r="C1575" s="86">
        <f>IFERROR(__xludf.DUMMYFUNCTION("""COMPUTED_VALUE"""),1.0)</f>
        <v>1</v>
      </c>
      <c r="D1575" s="87" t="str">
        <f>IFERROR(__xludf.DUMMYFUNCTION("""COMPUTED_VALUE"""),"SEÇÃO")</f>
        <v>SEÇÃO</v>
      </c>
      <c r="E1575" s="87" t="str">
        <f>IFERROR(__xludf.DUMMYFUNCTION("""COMPUTED_VALUE"""),"3 - ALMOX. ESTOQUE")</f>
        <v>3 - ALMOX. ESTOQUE</v>
      </c>
      <c r="F1575" s="92" t="str">
        <f>IFERROR(__xludf.DUMMYFUNCTION("""COMPUTED_VALUE"""),"ALMOX. SAO (SEDE)")</f>
        <v>ALMOX. SAO (SEDE)</v>
      </c>
      <c r="G1575" s="89">
        <f>IFERROR(__xludf.DUMMYFUNCTION("""COMPUTED_VALUE"""),7.6950174E7)</f>
        <v>76950174</v>
      </c>
      <c r="H1575" s="87"/>
      <c r="I1575" s="87"/>
    </row>
    <row r="1576">
      <c r="A1576" s="84">
        <f>IFERROR(__xludf.DUMMYFUNCTION("""COMPUTED_VALUE"""),1576.0)</f>
        <v>1576</v>
      </c>
      <c r="B1576" s="85" t="str">
        <f>IFERROR(__xludf.DUMMYFUNCTION("""COMPUTED_VALUE"""),"LANTERNA LUZ DE CENA  -")</f>
        <v>LANTERNA LUZ DE CENA  -</v>
      </c>
      <c r="C1576" s="86">
        <f>IFERROR(__xludf.DUMMYFUNCTION("""COMPUTED_VALUE"""),1.0)</f>
        <v>1</v>
      </c>
      <c r="D1576" s="87" t="str">
        <f>IFERROR(__xludf.DUMMYFUNCTION("""COMPUTED_VALUE"""),"SEÇÃO")</f>
        <v>SEÇÃO</v>
      </c>
      <c r="E1576" s="87" t="str">
        <f>IFERROR(__xludf.DUMMYFUNCTION("""COMPUTED_VALUE"""),"3 - ALMOX. ESTOQUE")</f>
        <v>3 - ALMOX. ESTOQUE</v>
      </c>
      <c r="F1576" s="92" t="str">
        <f>IFERROR(__xludf.DUMMYFUNCTION("""COMPUTED_VALUE"""),"ALMOX. SAO (SEDE)")</f>
        <v>ALMOX. SAO (SEDE)</v>
      </c>
      <c r="G1576" s="89">
        <f>IFERROR(__xludf.DUMMYFUNCTION("""COMPUTED_VALUE"""),7.6950484E7)</f>
        <v>76950484</v>
      </c>
      <c r="H1576" s="87"/>
      <c r="I1576" s="87"/>
    </row>
    <row r="1577">
      <c r="A1577" s="84">
        <f>IFERROR(__xludf.DUMMYFUNCTION("""COMPUTED_VALUE"""),1577.0)</f>
        <v>1577</v>
      </c>
      <c r="B1577" s="85" t="str">
        <f>IFERROR(__xludf.DUMMYFUNCTION("""COMPUTED_VALUE"""),"RADIO TRANSCEPTOR -")</f>
        <v>RADIO TRANSCEPTOR -</v>
      </c>
      <c r="C1577" s="86">
        <f>IFERROR(__xludf.DUMMYFUNCTION("""COMPUTED_VALUE"""),1.0)</f>
        <v>1</v>
      </c>
      <c r="D1577" s="87"/>
      <c r="E1577" s="87" t="str">
        <f>IFERROR(__xludf.DUMMYFUNCTION("""COMPUTED_VALUE"""),"3 - CURVELO")</f>
        <v>3 - CURVELO</v>
      </c>
      <c r="F1577" s="92"/>
      <c r="G1577" s="89">
        <f>IFERROR(__xludf.DUMMYFUNCTION("""COMPUTED_VALUE"""),4.035337E7)</f>
        <v>40353370</v>
      </c>
      <c r="H1577" s="87"/>
      <c r="I1577" s="87"/>
    </row>
    <row r="1578">
      <c r="A1578" s="84">
        <f>IFERROR(__xludf.DUMMYFUNCTION("""COMPUTED_VALUE"""),1578.0)</f>
        <v>1578</v>
      </c>
      <c r="B1578" s="85" t="str">
        <f>IFERROR(__xludf.DUMMYFUNCTION("""COMPUTED_VALUE"""),"ROUPEIRO PARA VESTIARIO -")</f>
        <v>ROUPEIRO PARA VESTIARIO -</v>
      </c>
      <c r="C1578" s="86">
        <f>IFERROR(__xludf.DUMMYFUNCTION("""COMPUTED_VALUE"""),1.0)</f>
        <v>1</v>
      </c>
      <c r="D1578" s="87"/>
      <c r="E1578" s="87" t="str">
        <f>IFERROR(__xludf.DUMMYFUNCTION("""COMPUTED_VALUE"""),"3 - CURVELO")</f>
        <v>3 - CURVELO</v>
      </c>
      <c r="F1578" s="92"/>
      <c r="G1578" s="89">
        <f>IFERROR(__xludf.DUMMYFUNCTION("""COMPUTED_VALUE"""),7.698924E7)</f>
        <v>76989240</v>
      </c>
      <c r="H1578" s="87"/>
      <c r="I1578" s="87"/>
    </row>
    <row r="1579">
      <c r="A1579" s="84">
        <f>IFERROR(__xludf.DUMMYFUNCTION("""COMPUTED_VALUE"""),1579.0)</f>
        <v>1579</v>
      </c>
      <c r="B1579" s="85" t="str">
        <f>IFERROR(__xludf.DUMMYFUNCTION("""COMPUTED_VALUE"""),"ROUPEIRO PARA VESTIARIO -")</f>
        <v>ROUPEIRO PARA VESTIARIO -</v>
      </c>
      <c r="C1579" s="86">
        <f>IFERROR(__xludf.DUMMYFUNCTION("""COMPUTED_VALUE"""),1.0)</f>
        <v>1</v>
      </c>
      <c r="D1579" s="87"/>
      <c r="E1579" s="87" t="str">
        <f>IFERROR(__xludf.DUMMYFUNCTION("""COMPUTED_VALUE"""),"3 - CURVELO")</f>
        <v>3 - CURVELO</v>
      </c>
      <c r="F1579" s="92"/>
      <c r="G1579" s="89">
        <f>IFERROR(__xludf.DUMMYFUNCTION("""COMPUTED_VALUE"""),7.6989259E7)</f>
        <v>76989259</v>
      </c>
      <c r="H1579" s="87"/>
      <c r="I1579" s="87"/>
    </row>
    <row r="1580">
      <c r="A1580" s="84">
        <f>IFERROR(__xludf.DUMMYFUNCTION("""COMPUTED_VALUE"""),1580.0)</f>
        <v>1580</v>
      </c>
      <c r="B1580" s="85" t="str">
        <f>IFERROR(__xludf.DUMMYFUNCTION("""COMPUTED_VALUE"""),"SERRA SABRE -")</f>
        <v>SERRA SABRE -</v>
      </c>
      <c r="C1580" s="86">
        <f>IFERROR(__xludf.DUMMYFUNCTION("""COMPUTED_VALUE"""),1.0)</f>
        <v>1</v>
      </c>
      <c r="D1580" s="87" t="str">
        <f>IFERROR(__xludf.DUMMYFUNCTION("""COMPUTED_VALUE"""),"SEÇÃO")</f>
        <v>SEÇÃO</v>
      </c>
      <c r="E1580" s="87" t="str">
        <f>IFERROR(__xludf.DUMMYFUNCTION("""COMPUTED_VALUE"""),"3 - ALMOX. ESTOQUE")</f>
        <v>3 - ALMOX. ESTOQUE</v>
      </c>
      <c r="F1580" s="92" t="str">
        <f>IFERROR(__xludf.DUMMYFUNCTION("""COMPUTED_VALUE"""),"SAO")</f>
        <v>SAO</v>
      </c>
      <c r="G1580" s="89">
        <f>IFERROR(__xludf.DUMMYFUNCTION("""COMPUTED_VALUE"""),7.6978656E7)</f>
        <v>76978656</v>
      </c>
      <c r="H1580" s="87"/>
      <c r="I1580" s="87"/>
    </row>
    <row r="1581">
      <c r="A1581" s="84">
        <f>IFERROR(__xludf.DUMMYFUNCTION("""COMPUTED_VALUE"""),1581.0)</f>
        <v>1581</v>
      </c>
      <c r="B1581" s="85" t="str">
        <f>IFERROR(__xludf.DUMMYFUNCTION("""COMPUTED_VALUE"""),"SERRA SABRE -")</f>
        <v>SERRA SABRE -</v>
      </c>
      <c r="C1581" s="86">
        <f>IFERROR(__xludf.DUMMYFUNCTION("""COMPUTED_VALUE"""),1.0)</f>
        <v>1</v>
      </c>
      <c r="D1581" s="87" t="str">
        <f>IFERROR(__xludf.DUMMYFUNCTION("""COMPUTED_VALUE"""),"SEÇÃO")</f>
        <v>SEÇÃO</v>
      </c>
      <c r="E1581" s="87" t="str">
        <f>IFERROR(__xludf.DUMMYFUNCTION("""COMPUTED_VALUE"""),"3 - ALMOX. ESTOQUE")</f>
        <v>3 - ALMOX. ESTOQUE</v>
      </c>
      <c r="F1581" s="92" t="str">
        <f>IFERROR(__xludf.DUMMYFUNCTION("""COMPUTED_VALUE"""),"SAO")</f>
        <v>SAO</v>
      </c>
      <c r="G1581" s="89">
        <f>IFERROR(__xludf.DUMMYFUNCTION("""COMPUTED_VALUE"""),7.6978664E7)</f>
        <v>76978664</v>
      </c>
      <c r="H1581" s="87"/>
      <c r="I1581" s="87"/>
    </row>
    <row r="1582">
      <c r="A1582" s="84">
        <f>IFERROR(__xludf.DUMMYFUNCTION("""COMPUTED_VALUE"""),1582.0)</f>
        <v>1582</v>
      </c>
      <c r="B1582" s="85" t="str">
        <f>IFERROR(__xludf.DUMMYFUNCTION("""COMPUTED_VALUE"""),"SERRA SABRE -")</f>
        <v>SERRA SABRE -</v>
      </c>
      <c r="C1582" s="86">
        <f>IFERROR(__xludf.DUMMYFUNCTION("""COMPUTED_VALUE"""),1.0)</f>
        <v>1</v>
      </c>
      <c r="D1582" s="87" t="str">
        <f>IFERROR(__xludf.DUMMYFUNCTION("""COMPUTED_VALUE"""),"SEÇÃO")</f>
        <v>SEÇÃO</v>
      </c>
      <c r="E1582" s="87" t="str">
        <f>IFERROR(__xludf.DUMMYFUNCTION("""COMPUTED_VALUE"""),"3 - ALMOX. ESTOQUE")</f>
        <v>3 - ALMOX. ESTOQUE</v>
      </c>
      <c r="F1582" s="92" t="str">
        <f>IFERROR(__xludf.DUMMYFUNCTION("""COMPUTED_VALUE"""),"SAO")</f>
        <v>SAO</v>
      </c>
      <c r="G1582" s="89">
        <f>IFERROR(__xludf.DUMMYFUNCTION("""COMPUTED_VALUE"""),7.6978672E7)</f>
        <v>76978672</v>
      </c>
      <c r="H1582" s="87"/>
      <c r="I1582" s="87"/>
    </row>
    <row r="1583">
      <c r="A1583" s="84">
        <f>IFERROR(__xludf.DUMMYFUNCTION("""COMPUTED_VALUE"""),1583.0)</f>
        <v>1583</v>
      </c>
      <c r="B1583" s="85" t="str">
        <f>IFERROR(__xludf.DUMMYFUNCTION("""COMPUTED_VALUE"""),"SERRA SABRE -")</f>
        <v>SERRA SABRE -</v>
      </c>
      <c r="C1583" s="86">
        <f>IFERROR(__xludf.DUMMYFUNCTION("""COMPUTED_VALUE"""),1.0)</f>
        <v>1</v>
      </c>
      <c r="D1583" s="87" t="str">
        <f>IFERROR(__xludf.DUMMYFUNCTION("""COMPUTED_VALUE"""),"SEÇÃO")</f>
        <v>SEÇÃO</v>
      </c>
      <c r="E1583" s="87" t="str">
        <f>IFERROR(__xludf.DUMMYFUNCTION("""COMPUTED_VALUE"""),"3 - ALMOX. ESTOQUE")</f>
        <v>3 - ALMOX. ESTOQUE</v>
      </c>
      <c r="F1583" s="92" t="str">
        <f>IFERROR(__xludf.DUMMYFUNCTION("""COMPUTED_VALUE"""),"SAO")</f>
        <v>SAO</v>
      </c>
      <c r="G1583" s="89">
        <f>IFERROR(__xludf.DUMMYFUNCTION("""COMPUTED_VALUE"""),7.697868E7)</f>
        <v>76978680</v>
      </c>
      <c r="H1583" s="87"/>
      <c r="I1583" s="87"/>
    </row>
    <row r="1584">
      <c r="A1584" s="84">
        <f>IFERROR(__xludf.DUMMYFUNCTION("""COMPUTED_VALUE"""),1584.0)</f>
        <v>1584</v>
      </c>
      <c r="B1584" s="85" t="str">
        <f>IFERROR(__xludf.DUMMYFUNCTION("""COMPUTED_VALUE"""),"VENTILADOR, NAO INDUSTRIAL -")</f>
        <v>VENTILADOR, NAO INDUSTRIAL -</v>
      </c>
      <c r="C1584" s="86">
        <f>IFERROR(__xludf.DUMMYFUNCTION("""COMPUTED_VALUE"""),1.0)</f>
        <v>1</v>
      </c>
      <c r="D1584" s="87" t="str">
        <f>IFERROR(__xludf.DUMMYFUNCTION("""COMPUTED_VALUE"""),"SEÇÃO")</f>
        <v>SEÇÃO</v>
      </c>
      <c r="E1584" s="87" t="str">
        <f>IFERROR(__xludf.DUMMYFUNCTION("""COMPUTED_VALUE"""),"3 - GUARDA")</f>
        <v>3 - GUARDA</v>
      </c>
      <c r="F1584" s="92" t="str">
        <f>IFERROR(__xludf.DUMMYFUNCTION("""COMPUTED_VALUE"""),"ALOJAMENTO DA GUARDA")</f>
        <v>ALOJAMENTO DA GUARDA</v>
      </c>
      <c r="G1584" s="89">
        <f>IFERROR(__xludf.DUMMYFUNCTION("""COMPUTED_VALUE"""),7.6988716E7)</f>
        <v>76988716</v>
      </c>
      <c r="H1584" s="87"/>
      <c r="I1584" s="87"/>
    </row>
    <row r="1585">
      <c r="A1585" s="84">
        <f>IFERROR(__xludf.DUMMYFUNCTION("""COMPUTED_VALUE"""),1585.0)</f>
        <v>1585</v>
      </c>
      <c r="B1585" s="85" t="str">
        <f>IFERROR(__xludf.DUMMYFUNCTION("""COMPUTED_VALUE"""),"CADEIRA PARA ESCRITORIO -")</f>
        <v>CADEIRA PARA ESCRITORIO -</v>
      </c>
      <c r="C1585" s="86">
        <f>IFERROR(__xludf.DUMMYFUNCTION("""COMPUTED_VALUE"""),1.0)</f>
        <v>1</v>
      </c>
      <c r="D1585" s="87"/>
      <c r="E1585" s="87" t="str">
        <f>IFERROR(__xludf.DUMMYFUNCTION("""COMPUTED_VALUE"""),"3 - CURVELO")</f>
        <v>3 - CURVELO</v>
      </c>
      <c r="F1585" s="92"/>
      <c r="G1585" s="89">
        <f>IFERROR(__xludf.DUMMYFUNCTION("""COMPUTED_VALUE"""),7.6918637E7)</f>
        <v>76918637</v>
      </c>
      <c r="H1585" s="87"/>
      <c r="I1585" s="87"/>
    </row>
    <row r="1586">
      <c r="A1586" s="84">
        <f>IFERROR(__xludf.DUMMYFUNCTION("""COMPUTED_VALUE"""),1586.0)</f>
        <v>1586</v>
      </c>
      <c r="B1586" s="85" t="str">
        <f>IFERROR(__xludf.DUMMYFUNCTION("""COMPUTED_VALUE"""),"CROSS OVER (APARELHO DE MUSCULACAO)-")</f>
        <v>CROSS OVER (APARELHO DE MUSCULACAO)-</v>
      </c>
      <c r="C1586" s="86">
        <f>IFERROR(__xludf.DUMMYFUNCTION("""COMPUTED_VALUE"""),1.0)</f>
        <v>1</v>
      </c>
      <c r="D1586" s="87" t="str">
        <f>IFERROR(__xludf.DUMMYFUNCTION("""COMPUTED_VALUE"""),"SEÇÃO")</f>
        <v>SEÇÃO</v>
      </c>
      <c r="E1586" s="87" t="str">
        <f>IFERROR(__xludf.DUMMYFUNCTION("""COMPUTED_VALUE"""),"3 - ALMOX. ESTOQUE")</f>
        <v>3 - ALMOX. ESTOQUE</v>
      </c>
      <c r="F1586" s="92"/>
      <c r="G1586" s="89">
        <f>IFERROR(__xludf.DUMMYFUNCTION("""COMPUTED_VALUE"""),7.6917185E7)</f>
        <v>76917185</v>
      </c>
      <c r="H1586" s="87"/>
      <c r="I1586" s="87"/>
    </row>
    <row r="1587">
      <c r="A1587" s="84">
        <f>IFERROR(__xludf.DUMMYFUNCTION("""COMPUTED_VALUE"""),1587.0)</f>
        <v>1587</v>
      </c>
      <c r="B1587" s="85" t="str">
        <f>IFERROR(__xludf.DUMMYFUNCTION("""COMPUTED_VALUE"""),"CROSS OVER (APARELHO DE MUSCULACAO)-")</f>
        <v>CROSS OVER (APARELHO DE MUSCULACAO)-</v>
      </c>
      <c r="C1587" s="86">
        <f>IFERROR(__xludf.DUMMYFUNCTION("""COMPUTED_VALUE"""),1.0)</f>
        <v>1</v>
      </c>
      <c r="D1587" s="87" t="str">
        <f>IFERROR(__xludf.DUMMYFUNCTION("""COMPUTED_VALUE"""),"SEÇÃO")</f>
        <v>SEÇÃO</v>
      </c>
      <c r="E1587" s="87" t="str">
        <f>IFERROR(__xludf.DUMMYFUNCTION("""COMPUTED_VALUE"""),"3 - ALMOX. ESTOQUE")</f>
        <v>3 - ALMOX. ESTOQUE</v>
      </c>
      <c r="F1587" s="92"/>
      <c r="G1587" s="89">
        <f>IFERROR(__xludf.DUMMYFUNCTION("""COMPUTED_VALUE"""),7.6917193E7)</f>
        <v>76917193</v>
      </c>
      <c r="H1587" s="87"/>
      <c r="I1587" s="87"/>
    </row>
    <row r="1588">
      <c r="A1588" s="84">
        <f>IFERROR(__xludf.DUMMYFUNCTION("""COMPUTED_VALUE"""),1588.0)</f>
        <v>1588</v>
      </c>
      <c r="B1588" s="85" t="str">
        <f>IFERROR(__xludf.DUMMYFUNCTION("""COMPUTED_VALUE"""),"VIATURA BASICA -")</f>
        <v>VIATURA BASICA -</v>
      </c>
      <c r="C1588" s="86">
        <f>IFERROR(__xludf.DUMMYFUNCTION("""COMPUTED_VALUE"""),1.0)</f>
        <v>1</v>
      </c>
      <c r="D1588" s="87"/>
      <c r="E1588" s="87" t="str">
        <f>IFERROR(__xludf.DUMMYFUNCTION("""COMPUTED_VALUE"""),"3 - CURVELO")</f>
        <v>3 - CURVELO</v>
      </c>
      <c r="F1588" s="92"/>
      <c r="G1588" s="89">
        <f>IFERROR(__xludf.DUMMYFUNCTION("""COMPUTED_VALUE"""),7.6916731E7)</f>
        <v>76916731</v>
      </c>
      <c r="H1588" s="87"/>
      <c r="I1588" s="87"/>
    </row>
    <row r="1589">
      <c r="A1589" s="84">
        <f>IFERROR(__xludf.DUMMYFUNCTION("""COMPUTED_VALUE"""),1589.0)</f>
        <v>1589</v>
      </c>
      <c r="B1589" s="85" t="str">
        <f>IFERROR(__xludf.DUMMYFUNCTION("""COMPUTED_VALUE"""),"VIATURA CAMINHAO -")</f>
        <v>VIATURA CAMINHAO -</v>
      </c>
      <c r="C1589" s="86">
        <f>IFERROR(__xludf.DUMMYFUNCTION("""COMPUTED_VALUE"""),1.0)</f>
        <v>1</v>
      </c>
      <c r="D1589" s="87"/>
      <c r="E1589" s="87" t="str">
        <f>IFERROR(__xludf.DUMMYFUNCTION("""COMPUTED_VALUE"""),"3 - CURVELO")</f>
        <v>3 - CURVELO</v>
      </c>
      <c r="F1589" s="92"/>
      <c r="G1589" s="89">
        <f>IFERROR(__xludf.DUMMYFUNCTION("""COMPUTED_VALUE"""),7.6916812E7)</f>
        <v>76916812</v>
      </c>
      <c r="H1589" s="87"/>
      <c r="I1589" s="87"/>
    </row>
    <row r="1590">
      <c r="A1590" s="84">
        <f>IFERROR(__xludf.DUMMYFUNCTION("""COMPUTED_VALUE"""),1590.0)</f>
        <v>1590</v>
      </c>
      <c r="B1590" s="85" t="str">
        <f>IFERROR(__xludf.DUMMYFUNCTION("""COMPUTED_VALUE"""),"VIATURA CAMINHAO -")</f>
        <v>VIATURA CAMINHAO -</v>
      </c>
      <c r="C1590" s="86">
        <f>IFERROR(__xludf.DUMMYFUNCTION("""COMPUTED_VALUE"""),1.0)</f>
        <v>1</v>
      </c>
      <c r="D1590" s="87"/>
      <c r="E1590" s="87" t="str">
        <f>IFERROR(__xludf.DUMMYFUNCTION("""COMPUTED_VALUE"""),"3 - CURVELO")</f>
        <v>3 - CURVELO</v>
      </c>
      <c r="F1590" s="92"/>
      <c r="G1590" s="89">
        <f>IFERROR(__xludf.DUMMYFUNCTION("""COMPUTED_VALUE"""),1.011102E8)</f>
        <v>101110200</v>
      </c>
      <c r="H1590" s="87"/>
      <c r="I1590" s="87"/>
    </row>
    <row r="1591">
      <c r="A1591" s="84">
        <f>IFERROR(__xludf.DUMMYFUNCTION("""COMPUTED_VALUE"""),1591.0)</f>
        <v>1591</v>
      </c>
      <c r="B1591" s="85" t="str">
        <f>IFERROR(__xludf.DUMMYFUNCTION("""COMPUTED_VALUE"""),"CADEIRA UNIVERSITARIA -")</f>
        <v>CADEIRA UNIVERSITARIA -</v>
      </c>
      <c r="C1591" s="86">
        <f>IFERROR(__xludf.DUMMYFUNCTION("""COMPUTED_VALUE"""),1.0)</f>
        <v>1</v>
      </c>
      <c r="D1591" s="87" t="str">
        <f>IFERROR(__xludf.DUMMYFUNCTION("""COMPUTED_VALUE"""),"SEÇÃO")</f>
        <v>SEÇÃO</v>
      </c>
      <c r="E1591" s="87" t="str">
        <f>IFERROR(__xludf.DUMMYFUNCTION("""COMPUTED_VALUE"""),"3 - CURVELO")</f>
        <v>3 - CURVELO</v>
      </c>
      <c r="F1591" s="92"/>
      <c r="G1591" s="89">
        <f>IFERROR(__xludf.DUMMYFUNCTION("""COMPUTED_VALUE"""),3.5589329E7)</f>
        <v>35589329</v>
      </c>
      <c r="H1591" s="87"/>
      <c r="I1591" s="87"/>
    </row>
    <row r="1592">
      <c r="A1592" s="84">
        <f>IFERROR(__xludf.DUMMYFUNCTION("""COMPUTED_VALUE"""),1592.0)</f>
        <v>1592</v>
      </c>
      <c r="B1592" s="85" t="str">
        <f>IFERROR(__xludf.DUMMYFUNCTION("""COMPUTED_VALUE"""),"CADEIRA UNIVERSITARIA -")</f>
        <v>CADEIRA UNIVERSITARIA -</v>
      </c>
      <c r="C1592" s="86">
        <f>IFERROR(__xludf.DUMMYFUNCTION("""COMPUTED_VALUE"""),1.0)</f>
        <v>1</v>
      </c>
      <c r="D1592" s="87" t="str">
        <f>IFERROR(__xludf.DUMMYFUNCTION("""COMPUTED_VALUE"""),"SEÇÃO")</f>
        <v>SEÇÃO</v>
      </c>
      <c r="E1592" s="87" t="str">
        <f>IFERROR(__xludf.DUMMYFUNCTION("""COMPUTED_VALUE"""),"3 - CURVELO")</f>
        <v>3 - CURVELO</v>
      </c>
      <c r="F1592" s="92"/>
      <c r="G1592" s="89">
        <f>IFERROR(__xludf.DUMMYFUNCTION("""COMPUTED_VALUE"""),3.5589434E7)</f>
        <v>35589434</v>
      </c>
      <c r="H1592" s="87"/>
      <c r="I1592" s="87"/>
    </row>
    <row r="1593">
      <c r="A1593" s="84">
        <f>IFERROR(__xludf.DUMMYFUNCTION("""COMPUTED_VALUE"""),1593.0)</f>
        <v>1593</v>
      </c>
      <c r="B1593" s="85" t="str">
        <f>IFERROR(__xludf.DUMMYFUNCTION("""COMPUTED_VALUE"""),"CADEIRA UNIVERSITARIA -")</f>
        <v>CADEIRA UNIVERSITARIA -</v>
      </c>
      <c r="C1593" s="86">
        <f>IFERROR(__xludf.DUMMYFUNCTION("""COMPUTED_VALUE"""),1.0)</f>
        <v>1</v>
      </c>
      <c r="D1593" s="87" t="str">
        <f>IFERROR(__xludf.DUMMYFUNCTION("""COMPUTED_VALUE"""),"SEÇÃO")</f>
        <v>SEÇÃO</v>
      </c>
      <c r="E1593" s="87" t="str">
        <f>IFERROR(__xludf.DUMMYFUNCTION("""COMPUTED_VALUE"""),"3 - CURVELO")</f>
        <v>3 - CURVELO</v>
      </c>
      <c r="F1593" s="92"/>
      <c r="G1593" s="89">
        <f>IFERROR(__xludf.DUMMYFUNCTION("""COMPUTED_VALUE"""),3.558945E7)</f>
        <v>35589450</v>
      </c>
      <c r="H1593" s="87"/>
      <c r="I1593" s="87"/>
    </row>
    <row r="1594">
      <c r="A1594" s="84">
        <f>IFERROR(__xludf.DUMMYFUNCTION("""COMPUTED_VALUE"""),1594.0)</f>
        <v>1594</v>
      </c>
      <c r="B1594" s="85" t="str">
        <f>IFERROR(__xludf.DUMMYFUNCTION("""COMPUTED_VALUE"""),"CADEIRA UNIVERSITARIA -")</f>
        <v>CADEIRA UNIVERSITARIA -</v>
      </c>
      <c r="C1594" s="86">
        <f>IFERROR(__xludf.DUMMYFUNCTION("""COMPUTED_VALUE"""),1.0)</f>
        <v>1</v>
      </c>
      <c r="D1594" s="87" t="str">
        <f>IFERROR(__xludf.DUMMYFUNCTION("""COMPUTED_VALUE"""),"SEÇÃO")</f>
        <v>SEÇÃO</v>
      </c>
      <c r="E1594" s="87" t="str">
        <f>IFERROR(__xludf.DUMMYFUNCTION("""COMPUTED_VALUE"""),"3 - CURVELO")</f>
        <v>3 - CURVELO</v>
      </c>
      <c r="F1594" s="92"/>
      <c r="G1594" s="89">
        <f>IFERROR(__xludf.DUMMYFUNCTION("""COMPUTED_VALUE"""),3.558976E7)</f>
        <v>35589760</v>
      </c>
      <c r="H1594" s="87"/>
      <c r="I1594" s="87"/>
    </row>
    <row r="1595">
      <c r="A1595" s="84">
        <f>IFERROR(__xludf.DUMMYFUNCTION("""COMPUTED_VALUE"""),1595.0)</f>
        <v>1595</v>
      </c>
      <c r="B1595" s="85" t="str">
        <f>IFERROR(__xludf.DUMMYFUNCTION("""COMPUTED_VALUE"""),"CADEIRA UNIVERSITARIA -")</f>
        <v>CADEIRA UNIVERSITARIA -</v>
      </c>
      <c r="C1595" s="86">
        <f>IFERROR(__xludf.DUMMYFUNCTION("""COMPUTED_VALUE"""),1.0)</f>
        <v>1</v>
      </c>
      <c r="D1595" s="87" t="str">
        <f>IFERROR(__xludf.DUMMYFUNCTION("""COMPUTED_VALUE"""),"SEÇÃO")</f>
        <v>SEÇÃO</v>
      </c>
      <c r="E1595" s="87" t="str">
        <f>IFERROR(__xludf.DUMMYFUNCTION("""COMPUTED_VALUE"""),"3 - CURVELO")</f>
        <v>3 - CURVELO</v>
      </c>
      <c r="F1595" s="92"/>
      <c r="G1595" s="89">
        <f>IFERROR(__xludf.DUMMYFUNCTION("""COMPUTED_VALUE"""),3.5589876E7)</f>
        <v>35589876</v>
      </c>
      <c r="H1595" s="87"/>
      <c r="I1595" s="87"/>
    </row>
    <row r="1596">
      <c r="A1596" s="84">
        <f>IFERROR(__xludf.DUMMYFUNCTION("""COMPUTED_VALUE"""),1596.0)</f>
        <v>1596</v>
      </c>
      <c r="B1596" s="85" t="str">
        <f>IFERROR(__xludf.DUMMYFUNCTION("""COMPUTED_VALUE"""),"CADEIRA UNIVERSITARIA -")</f>
        <v>CADEIRA UNIVERSITARIA -</v>
      </c>
      <c r="C1596" s="86">
        <f>IFERROR(__xludf.DUMMYFUNCTION("""COMPUTED_VALUE"""),1.0)</f>
        <v>1</v>
      </c>
      <c r="D1596" s="87" t="str">
        <f>IFERROR(__xludf.DUMMYFUNCTION("""COMPUTED_VALUE"""),"SEÇÃO")</f>
        <v>SEÇÃO</v>
      </c>
      <c r="E1596" s="87" t="str">
        <f>IFERROR(__xludf.DUMMYFUNCTION("""COMPUTED_VALUE"""),"3 - CURVELO")</f>
        <v>3 - CURVELO</v>
      </c>
      <c r="F1596" s="92"/>
      <c r="G1596" s="89">
        <f>IFERROR(__xludf.DUMMYFUNCTION("""COMPUTED_VALUE"""),3.558999E7)</f>
        <v>35589990</v>
      </c>
      <c r="H1596" s="87"/>
      <c r="I1596" s="87"/>
    </row>
    <row r="1597">
      <c r="A1597" s="84">
        <f>IFERROR(__xludf.DUMMYFUNCTION("""COMPUTED_VALUE"""),1597.0)</f>
        <v>1597</v>
      </c>
      <c r="B1597" s="85" t="str">
        <f>IFERROR(__xludf.DUMMYFUNCTION("""COMPUTED_VALUE"""),"CADEIRA UNIVERSITARIA -")</f>
        <v>CADEIRA UNIVERSITARIA -</v>
      </c>
      <c r="C1597" s="86">
        <f>IFERROR(__xludf.DUMMYFUNCTION("""COMPUTED_VALUE"""),1.0)</f>
        <v>1</v>
      </c>
      <c r="D1597" s="87" t="str">
        <f>IFERROR(__xludf.DUMMYFUNCTION("""COMPUTED_VALUE"""),"SEÇÃO")</f>
        <v>SEÇÃO</v>
      </c>
      <c r="E1597" s="87" t="str">
        <f>IFERROR(__xludf.DUMMYFUNCTION("""COMPUTED_VALUE"""),"3 - CURVELO")</f>
        <v>3 - CURVELO</v>
      </c>
      <c r="F1597" s="92"/>
      <c r="G1597" s="89">
        <f>IFERROR(__xludf.DUMMYFUNCTION("""COMPUTED_VALUE"""),3.5590025E7)</f>
        <v>35590025</v>
      </c>
      <c r="H1597" s="87"/>
      <c r="I1597" s="87"/>
    </row>
    <row r="1598">
      <c r="A1598" s="84">
        <f>IFERROR(__xludf.DUMMYFUNCTION("""COMPUTED_VALUE"""),1598.0)</f>
        <v>1598</v>
      </c>
      <c r="B1598" s="85" t="str">
        <f>IFERROR(__xludf.DUMMYFUNCTION("""COMPUTED_VALUE"""),"CADEIRA UNIVERSITARIA -")</f>
        <v>CADEIRA UNIVERSITARIA -</v>
      </c>
      <c r="C1598" s="86">
        <f>IFERROR(__xludf.DUMMYFUNCTION("""COMPUTED_VALUE"""),1.0)</f>
        <v>1</v>
      </c>
      <c r="D1598" s="87" t="str">
        <f>IFERROR(__xludf.DUMMYFUNCTION("""COMPUTED_VALUE"""),"SEÇÃO")</f>
        <v>SEÇÃO</v>
      </c>
      <c r="E1598" s="87" t="str">
        <f>IFERROR(__xludf.DUMMYFUNCTION("""COMPUTED_VALUE"""),"3 - CURVELO")</f>
        <v>3 - CURVELO</v>
      </c>
      <c r="F1598" s="92"/>
      <c r="G1598" s="89">
        <f>IFERROR(__xludf.DUMMYFUNCTION("""COMPUTED_VALUE"""),3.559013E7)</f>
        <v>35590130</v>
      </c>
      <c r="H1598" s="87"/>
      <c r="I1598" s="87"/>
    </row>
    <row r="1599">
      <c r="A1599" s="84">
        <f>IFERROR(__xludf.DUMMYFUNCTION("""COMPUTED_VALUE"""),1599.0)</f>
        <v>1599</v>
      </c>
      <c r="B1599" s="85" t="str">
        <f>IFERROR(__xludf.DUMMYFUNCTION("""COMPUTED_VALUE"""),"CADEIRA UNIVERSITARIA -")</f>
        <v>CADEIRA UNIVERSITARIA -</v>
      </c>
      <c r="C1599" s="86">
        <f>IFERROR(__xludf.DUMMYFUNCTION("""COMPUTED_VALUE"""),1.0)</f>
        <v>1</v>
      </c>
      <c r="D1599" s="87" t="str">
        <f>IFERROR(__xludf.DUMMYFUNCTION("""COMPUTED_VALUE"""),"SEÇÃO")</f>
        <v>SEÇÃO</v>
      </c>
      <c r="E1599" s="87" t="str">
        <f>IFERROR(__xludf.DUMMYFUNCTION("""COMPUTED_VALUE"""),"3 - CURVELO")</f>
        <v>3 - CURVELO</v>
      </c>
      <c r="F1599" s="92"/>
      <c r="G1599" s="89">
        <f>IFERROR(__xludf.DUMMYFUNCTION("""COMPUTED_VALUE"""),3.55903E7)</f>
        <v>35590300</v>
      </c>
      <c r="H1599" s="87"/>
      <c r="I1599" s="87"/>
    </row>
    <row r="1600">
      <c r="A1600" s="84">
        <f>IFERROR(__xludf.DUMMYFUNCTION("""COMPUTED_VALUE"""),1600.0)</f>
        <v>1600</v>
      </c>
      <c r="B1600" s="85" t="str">
        <f>IFERROR(__xludf.DUMMYFUNCTION("""COMPUTED_VALUE"""),"CADEIRA UNIVERSITARIA -")</f>
        <v>CADEIRA UNIVERSITARIA -</v>
      </c>
      <c r="C1600" s="86">
        <f>IFERROR(__xludf.DUMMYFUNCTION("""COMPUTED_VALUE"""),1.0)</f>
        <v>1</v>
      </c>
      <c r="D1600" s="87" t="str">
        <f>IFERROR(__xludf.DUMMYFUNCTION("""COMPUTED_VALUE"""),"SEÇÃO")</f>
        <v>SEÇÃO</v>
      </c>
      <c r="E1600" s="87" t="str">
        <f>IFERROR(__xludf.DUMMYFUNCTION("""COMPUTED_VALUE"""),"3 - CURVELO")</f>
        <v>3 - CURVELO</v>
      </c>
      <c r="F1600" s="92"/>
      <c r="G1600" s="89">
        <f>IFERROR(__xludf.DUMMYFUNCTION("""COMPUTED_VALUE"""),3.5590416E7)</f>
        <v>35590416</v>
      </c>
      <c r="H1600" s="87"/>
      <c r="I1600" s="87"/>
    </row>
    <row r="1601">
      <c r="A1601" s="84">
        <f>IFERROR(__xludf.DUMMYFUNCTION("""COMPUTED_VALUE"""),1601.0)</f>
        <v>1601</v>
      </c>
      <c r="B1601" s="85" t="str">
        <f>IFERROR(__xludf.DUMMYFUNCTION("""COMPUTED_VALUE"""),"CADEIRA UNIVERSITARIA -")</f>
        <v>CADEIRA UNIVERSITARIA -</v>
      </c>
      <c r="C1601" s="86">
        <f>IFERROR(__xludf.DUMMYFUNCTION("""COMPUTED_VALUE"""),1.0)</f>
        <v>1</v>
      </c>
      <c r="D1601" s="87" t="str">
        <f>IFERROR(__xludf.DUMMYFUNCTION("""COMPUTED_VALUE"""),"SEÇÃO")</f>
        <v>SEÇÃO</v>
      </c>
      <c r="E1601" s="87" t="str">
        <f>IFERROR(__xludf.DUMMYFUNCTION("""COMPUTED_VALUE"""),"3 - CURVELO")</f>
        <v>3 - CURVELO</v>
      </c>
      <c r="F1601" s="92"/>
      <c r="G1601" s="89">
        <f>IFERROR(__xludf.DUMMYFUNCTION("""COMPUTED_VALUE"""),3.559053E7)</f>
        <v>35590530</v>
      </c>
      <c r="H1601" s="87"/>
      <c r="I1601" s="87"/>
    </row>
    <row r="1602">
      <c r="A1602" s="84">
        <f>IFERROR(__xludf.DUMMYFUNCTION("""COMPUTED_VALUE"""),1602.0)</f>
        <v>1602</v>
      </c>
      <c r="B1602" s="85" t="str">
        <f>IFERROR(__xludf.DUMMYFUNCTION("""COMPUTED_VALUE"""),"CADEIRA UNIVERSITARIA -")</f>
        <v>CADEIRA UNIVERSITARIA -</v>
      </c>
      <c r="C1602" s="86">
        <f>IFERROR(__xludf.DUMMYFUNCTION("""COMPUTED_VALUE"""),1.0)</f>
        <v>1</v>
      </c>
      <c r="D1602" s="87" t="str">
        <f>IFERROR(__xludf.DUMMYFUNCTION("""COMPUTED_VALUE"""),"SEÇÃO")</f>
        <v>SEÇÃO</v>
      </c>
      <c r="E1602" s="87" t="str">
        <f>IFERROR(__xludf.DUMMYFUNCTION("""COMPUTED_VALUE"""),"3 - CURVELO")</f>
        <v>3 - CURVELO</v>
      </c>
      <c r="F1602" s="92"/>
      <c r="G1602" s="89">
        <f>IFERROR(__xludf.DUMMYFUNCTION("""COMPUTED_VALUE"""),3.5590637E7)</f>
        <v>35590637</v>
      </c>
      <c r="H1602" s="87"/>
      <c r="I1602" s="87"/>
    </row>
    <row r="1603">
      <c r="A1603" s="84">
        <f>IFERROR(__xludf.DUMMYFUNCTION("""COMPUTED_VALUE"""),1603.0)</f>
        <v>1603</v>
      </c>
      <c r="B1603" s="85" t="str">
        <f>IFERROR(__xludf.DUMMYFUNCTION("""COMPUTED_VALUE"""),"CADEIRA UNIVERSITARIA -")</f>
        <v>CADEIRA UNIVERSITARIA -</v>
      </c>
      <c r="C1603" s="86">
        <f>IFERROR(__xludf.DUMMYFUNCTION("""COMPUTED_VALUE"""),1.0)</f>
        <v>1</v>
      </c>
      <c r="D1603" s="87" t="str">
        <f>IFERROR(__xludf.DUMMYFUNCTION("""COMPUTED_VALUE"""),"SEÇÃO")</f>
        <v>SEÇÃO</v>
      </c>
      <c r="E1603" s="87" t="str">
        <f>IFERROR(__xludf.DUMMYFUNCTION("""COMPUTED_VALUE"""),"3 - CURVELO")</f>
        <v>3 - CURVELO</v>
      </c>
      <c r="F1603" s="92"/>
      <c r="G1603" s="89">
        <f>IFERROR(__xludf.DUMMYFUNCTION("""COMPUTED_VALUE"""),3.55907E7)</f>
        <v>35590700</v>
      </c>
      <c r="H1603" s="87"/>
      <c r="I1603" s="87"/>
    </row>
    <row r="1604">
      <c r="A1604" s="84">
        <f>IFERROR(__xludf.DUMMYFUNCTION("""COMPUTED_VALUE"""),1604.0)</f>
        <v>1604</v>
      </c>
      <c r="B1604" s="85" t="str">
        <f>IFERROR(__xludf.DUMMYFUNCTION("""COMPUTED_VALUE"""),"CADEIRA UNIVERSITARIA -")</f>
        <v>CADEIRA UNIVERSITARIA -</v>
      </c>
      <c r="C1604" s="86">
        <f>IFERROR(__xludf.DUMMYFUNCTION("""COMPUTED_VALUE"""),1.0)</f>
        <v>1</v>
      </c>
      <c r="D1604" s="87" t="str">
        <f>IFERROR(__xludf.DUMMYFUNCTION("""COMPUTED_VALUE"""),"SEÇÃO")</f>
        <v>SEÇÃO</v>
      </c>
      <c r="E1604" s="87" t="str">
        <f>IFERROR(__xludf.DUMMYFUNCTION("""COMPUTED_VALUE"""),"3 - CURVELO")</f>
        <v>3 - CURVELO</v>
      </c>
      <c r="F1604" s="92"/>
      <c r="G1604" s="89">
        <f>IFERROR(__xludf.DUMMYFUNCTION("""COMPUTED_VALUE"""),3.5590718E7)</f>
        <v>35590718</v>
      </c>
      <c r="H1604" s="87"/>
      <c r="I1604" s="87"/>
    </row>
    <row r="1605">
      <c r="A1605" s="84">
        <f>IFERROR(__xludf.DUMMYFUNCTION("""COMPUTED_VALUE"""),1605.0)</f>
        <v>1605</v>
      </c>
      <c r="B1605" s="85" t="str">
        <f>IFERROR(__xludf.DUMMYFUNCTION("""COMPUTED_VALUE"""),"CADEIRA UNIVERSITARIA -")</f>
        <v>CADEIRA UNIVERSITARIA -</v>
      </c>
      <c r="C1605" s="86">
        <f>IFERROR(__xludf.DUMMYFUNCTION("""COMPUTED_VALUE"""),1.0)</f>
        <v>1</v>
      </c>
      <c r="D1605" s="87" t="str">
        <f>IFERROR(__xludf.DUMMYFUNCTION("""COMPUTED_VALUE"""),"SEÇÃO")</f>
        <v>SEÇÃO</v>
      </c>
      <c r="E1605" s="87" t="str">
        <f>IFERROR(__xludf.DUMMYFUNCTION("""COMPUTED_VALUE"""),"3 - CURVELO")</f>
        <v>3 - CURVELO</v>
      </c>
      <c r="F1605" s="92"/>
      <c r="G1605" s="89">
        <f>IFERROR(__xludf.DUMMYFUNCTION("""COMPUTED_VALUE"""),3.5590734E7)</f>
        <v>35590734</v>
      </c>
      <c r="H1605" s="87"/>
      <c r="I1605" s="87"/>
    </row>
    <row r="1606">
      <c r="A1606" s="84">
        <f>IFERROR(__xludf.DUMMYFUNCTION("""COMPUTED_VALUE"""),1606.0)</f>
        <v>1606</v>
      </c>
      <c r="B1606" s="85" t="str">
        <f>IFERROR(__xludf.DUMMYFUNCTION("""COMPUTED_VALUE"""),"CADEIRA UNIVERSITARIA -")</f>
        <v>CADEIRA UNIVERSITARIA -</v>
      </c>
      <c r="C1606" s="86">
        <f>IFERROR(__xludf.DUMMYFUNCTION("""COMPUTED_VALUE"""),1.0)</f>
        <v>1</v>
      </c>
      <c r="D1606" s="87" t="str">
        <f>IFERROR(__xludf.DUMMYFUNCTION("""COMPUTED_VALUE"""),"SEÇÃO")</f>
        <v>SEÇÃO</v>
      </c>
      <c r="E1606" s="87" t="str">
        <f>IFERROR(__xludf.DUMMYFUNCTION("""COMPUTED_VALUE"""),"3 - CURVELO")</f>
        <v>3 - CURVELO</v>
      </c>
      <c r="F1606" s="92"/>
      <c r="G1606" s="89">
        <f>IFERROR(__xludf.DUMMYFUNCTION("""COMPUTED_VALUE"""),3.5590742E7)</f>
        <v>35590742</v>
      </c>
      <c r="H1606" s="87"/>
      <c r="I1606" s="87"/>
    </row>
    <row r="1607">
      <c r="A1607" s="84">
        <f>IFERROR(__xludf.DUMMYFUNCTION("""COMPUTED_VALUE"""),1607.0)</f>
        <v>1607</v>
      </c>
      <c r="B1607" s="85" t="str">
        <f>IFERROR(__xludf.DUMMYFUNCTION("""COMPUTED_VALUE"""),"CADEIRA UNIVERSITARIA -")</f>
        <v>CADEIRA UNIVERSITARIA -</v>
      </c>
      <c r="C1607" s="86">
        <f>IFERROR(__xludf.DUMMYFUNCTION("""COMPUTED_VALUE"""),1.0)</f>
        <v>1</v>
      </c>
      <c r="D1607" s="87" t="str">
        <f>IFERROR(__xludf.DUMMYFUNCTION("""COMPUTED_VALUE"""),"SEÇÃO")</f>
        <v>SEÇÃO</v>
      </c>
      <c r="E1607" s="87" t="str">
        <f>IFERROR(__xludf.DUMMYFUNCTION("""COMPUTED_VALUE"""),"3 - CURVELO")</f>
        <v>3 - CURVELO</v>
      </c>
      <c r="F1607" s="92"/>
      <c r="G1607" s="89">
        <f>IFERROR(__xludf.DUMMYFUNCTION("""COMPUTED_VALUE"""),3.5590769E7)</f>
        <v>35590769</v>
      </c>
      <c r="H1607" s="87"/>
      <c r="I1607" s="87"/>
    </row>
    <row r="1608">
      <c r="A1608" s="84">
        <f>IFERROR(__xludf.DUMMYFUNCTION("""COMPUTED_VALUE"""),1608.0)</f>
        <v>1608</v>
      </c>
      <c r="B1608" s="85" t="str">
        <f>IFERROR(__xludf.DUMMYFUNCTION("""COMPUTED_VALUE"""),"CADEIRA UNIVERSITARIA -")</f>
        <v>CADEIRA UNIVERSITARIA -</v>
      </c>
      <c r="C1608" s="86">
        <f>IFERROR(__xludf.DUMMYFUNCTION("""COMPUTED_VALUE"""),1.0)</f>
        <v>1</v>
      </c>
      <c r="D1608" s="87" t="str">
        <f>IFERROR(__xludf.DUMMYFUNCTION("""COMPUTED_VALUE"""),"SEÇÃO")</f>
        <v>SEÇÃO</v>
      </c>
      <c r="E1608" s="87" t="str">
        <f>IFERROR(__xludf.DUMMYFUNCTION("""COMPUTED_VALUE"""),"3 - CURVELO")</f>
        <v>3 - CURVELO</v>
      </c>
      <c r="F1608" s="92"/>
      <c r="G1608" s="89">
        <f>IFERROR(__xludf.DUMMYFUNCTION("""COMPUTED_VALUE"""),3.5590777E7)</f>
        <v>35590777</v>
      </c>
      <c r="H1608" s="87"/>
      <c r="I1608" s="87"/>
    </row>
    <row r="1609">
      <c r="A1609" s="84">
        <f>IFERROR(__xludf.DUMMYFUNCTION("""COMPUTED_VALUE"""),1609.0)</f>
        <v>1609</v>
      </c>
      <c r="B1609" s="85" t="str">
        <f>IFERROR(__xludf.DUMMYFUNCTION("""COMPUTED_VALUE"""),"CADEIRA UNIVERSITARIA -")</f>
        <v>CADEIRA UNIVERSITARIA -</v>
      </c>
      <c r="C1609" s="86">
        <f>IFERROR(__xludf.DUMMYFUNCTION("""COMPUTED_VALUE"""),1.0)</f>
        <v>1</v>
      </c>
      <c r="D1609" s="87" t="str">
        <f>IFERROR(__xludf.DUMMYFUNCTION("""COMPUTED_VALUE"""),"SEÇÃO")</f>
        <v>SEÇÃO</v>
      </c>
      <c r="E1609" s="87" t="str">
        <f>IFERROR(__xludf.DUMMYFUNCTION("""COMPUTED_VALUE"""),"3 - CURVELO")</f>
        <v>3 - CURVELO</v>
      </c>
      <c r="F1609" s="92"/>
      <c r="G1609" s="89">
        <f>IFERROR(__xludf.DUMMYFUNCTION("""COMPUTED_VALUE"""),3.5590793E7)</f>
        <v>35590793</v>
      </c>
      <c r="H1609" s="87"/>
      <c r="I1609" s="87"/>
    </row>
    <row r="1610">
      <c r="A1610" s="84">
        <f>IFERROR(__xludf.DUMMYFUNCTION("""COMPUTED_VALUE"""),1610.0)</f>
        <v>1610</v>
      </c>
      <c r="B1610" s="85" t="str">
        <f>IFERROR(__xludf.DUMMYFUNCTION("""COMPUTED_VALUE"""),"CADEIRA UNIVERSITARIA -")</f>
        <v>CADEIRA UNIVERSITARIA -</v>
      </c>
      <c r="C1610" s="86">
        <f>IFERROR(__xludf.DUMMYFUNCTION("""COMPUTED_VALUE"""),1.0)</f>
        <v>1</v>
      </c>
      <c r="D1610" s="87" t="str">
        <f>IFERROR(__xludf.DUMMYFUNCTION("""COMPUTED_VALUE"""),"SEÇÃO")</f>
        <v>SEÇÃO</v>
      </c>
      <c r="E1610" s="87" t="str">
        <f>IFERROR(__xludf.DUMMYFUNCTION("""COMPUTED_VALUE"""),"3 - CURVELO")</f>
        <v>3 - CURVELO</v>
      </c>
      <c r="F1610" s="92"/>
      <c r="G1610" s="89">
        <f>IFERROR(__xludf.DUMMYFUNCTION("""COMPUTED_VALUE"""),3.5590823E7)</f>
        <v>35590823</v>
      </c>
      <c r="H1610" s="87"/>
      <c r="I1610" s="87"/>
    </row>
    <row r="1611">
      <c r="A1611" s="84">
        <f>IFERROR(__xludf.DUMMYFUNCTION("""COMPUTED_VALUE"""),1611.0)</f>
        <v>1611</v>
      </c>
      <c r="B1611" s="85" t="str">
        <f>IFERROR(__xludf.DUMMYFUNCTION("""COMPUTED_VALUE"""),"CADEIRA UNIVERSITARIA -")</f>
        <v>CADEIRA UNIVERSITARIA -</v>
      </c>
      <c r="C1611" s="86">
        <f>IFERROR(__xludf.DUMMYFUNCTION("""COMPUTED_VALUE"""),1.0)</f>
        <v>1</v>
      </c>
      <c r="D1611" s="87" t="str">
        <f>IFERROR(__xludf.DUMMYFUNCTION("""COMPUTED_VALUE"""),"SEÇÃO")</f>
        <v>SEÇÃO</v>
      </c>
      <c r="E1611" s="87" t="str">
        <f>IFERROR(__xludf.DUMMYFUNCTION("""COMPUTED_VALUE"""),"3 - CURVELO")</f>
        <v>3 - CURVELO</v>
      </c>
      <c r="F1611" s="92"/>
      <c r="G1611" s="89">
        <f>IFERROR(__xludf.DUMMYFUNCTION("""COMPUTED_VALUE"""),3.5590831E7)</f>
        <v>35590831</v>
      </c>
      <c r="H1611" s="87"/>
      <c r="I1611" s="87"/>
    </row>
    <row r="1612">
      <c r="A1612" s="84">
        <f>IFERROR(__xludf.DUMMYFUNCTION("""COMPUTED_VALUE"""),1612.0)</f>
        <v>1612</v>
      </c>
      <c r="B1612" s="85" t="str">
        <f>IFERROR(__xludf.DUMMYFUNCTION("""COMPUTED_VALUE"""),"CADEIRA UNIVERSITARIA -")</f>
        <v>CADEIRA UNIVERSITARIA -</v>
      </c>
      <c r="C1612" s="86">
        <f>IFERROR(__xludf.DUMMYFUNCTION("""COMPUTED_VALUE"""),1.0)</f>
        <v>1</v>
      </c>
      <c r="D1612" s="87" t="str">
        <f>IFERROR(__xludf.DUMMYFUNCTION("""COMPUTED_VALUE"""),"SEÇÃO")</f>
        <v>SEÇÃO</v>
      </c>
      <c r="E1612" s="87" t="str">
        <f>IFERROR(__xludf.DUMMYFUNCTION("""COMPUTED_VALUE"""),"3 - CURVELO")</f>
        <v>3 - CURVELO</v>
      </c>
      <c r="F1612" s="92"/>
      <c r="G1612" s="89">
        <f>IFERROR(__xludf.DUMMYFUNCTION("""COMPUTED_VALUE"""),3.5590858E7)</f>
        <v>35590858</v>
      </c>
      <c r="H1612" s="87"/>
      <c r="I1612" s="87"/>
    </row>
    <row r="1613">
      <c r="A1613" s="84">
        <f>IFERROR(__xludf.DUMMYFUNCTION("""COMPUTED_VALUE"""),1613.0)</f>
        <v>1613</v>
      </c>
      <c r="B1613" s="85" t="str">
        <f>IFERROR(__xludf.DUMMYFUNCTION("""COMPUTED_VALUE"""),"CADEIRA UNIVERSITARIA -")</f>
        <v>CADEIRA UNIVERSITARIA -</v>
      </c>
      <c r="C1613" s="86">
        <f>IFERROR(__xludf.DUMMYFUNCTION("""COMPUTED_VALUE"""),1.0)</f>
        <v>1</v>
      </c>
      <c r="D1613" s="87" t="str">
        <f>IFERROR(__xludf.DUMMYFUNCTION("""COMPUTED_VALUE"""),"SEÇÃO")</f>
        <v>SEÇÃO</v>
      </c>
      <c r="E1613" s="87" t="str">
        <f>IFERROR(__xludf.DUMMYFUNCTION("""COMPUTED_VALUE"""),"3 - CURVELO")</f>
        <v>3 - CURVELO</v>
      </c>
      <c r="F1613" s="92"/>
      <c r="G1613" s="89">
        <f>IFERROR(__xludf.DUMMYFUNCTION("""COMPUTED_VALUE"""),3.559098E7)</f>
        <v>35590980</v>
      </c>
      <c r="H1613" s="87"/>
      <c r="I1613" s="87"/>
    </row>
    <row r="1614">
      <c r="A1614" s="84">
        <f>IFERROR(__xludf.DUMMYFUNCTION("""COMPUTED_VALUE"""),1614.0)</f>
        <v>1614</v>
      </c>
      <c r="B1614" s="85" t="str">
        <f>IFERROR(__xludf.DUMMYFUNCTION("""COMPUTED_VALUE"""),"CADEIRA UNIVERSITARIA -")</f>
        <v>CADEIRA UNIVERSITARIA -</v>
      </c>
      <c r="C1614" s="86">
        <f>IFERROR(__xludf.DUMMYFUNCTION("""COMPUTED_VALUE"""),1.0)</f>
        <v>1</v>
      </c>
      <c r="D1614" s="87" t="str">
        <f>IFERROR(__xludf.DUMMYFUNCTION("""COMPUTED_VALUE"""),"SEÇÃO")</f>
        <v>SEÇÃO</v>
      </c>
      <c r="E1614" s="87" t="str">
        <f>IFERROR(__xludf.DUMMYFUNCTION("""COMPUTED_VALUE"""),"3 - CURVELO")</f>
        <v>3 - CURVELO</v>
      </c>
      <c r="F1614" s="92"/>
      <c r="G1614" s="89">
        <f>IFERROR(__xludf.DUMMYFUNCTION("""COMPUTED_VALUE"""),3.5591013E7)</f>
        <v>35591013</v>
      </c>
      <c r="H1614" s="87"/>
      <c r="I1614" s="87"/>
    </row>
    <row r="1615">
      <c r="A1615" s="84">
        <f>IFERROR(__xludf.DUMMYFUNCTION("""COMPUTED_VALUE"""),1615.0)</f>
        <v>1615</v>
      </c>
      <c r="B1615" s="85" t="str">
        <f>IFERROR(__xludf.DUMMYFUNCTION("""COMPUTED_VALUE"""),"CADEIRA UNIVERSITARIA -")</f>
        <v>CADEIRA UNIVERSITARIA -</v>
      </c>
      <c r="C1615" s="86">
        <f>IFERROR(__xludf.DUMMYFUNCTION("""COMPUTED_VALUE"""),1.0)</f>
        <v>1</v>
      </c>
      <c r="D1615" s="87" t="str">
        <f>IFERROR(__xludf.DUMMYFUNCTION("""COMPUTED_VALUE"""),"SEÇÃO")</f>
        <v>SEÇÃO</v>
      </c>
      <c r="E1615" s="87" t="str">
        <f>IFERROR(__xludf.DUMMYFUNCTION("""COMPUTED_VALUE"""),"3 - CURVELO")</f>
        <v>3 - CURVELO</v>
      </c>
      <c r="F1615" s="92"/>
      <c r="G1615" s="89">
        <f>IFERROR(__xludf.DUMMYFUNCTION("""COMPUTED_VALUE"""),3.5591277E7)</f>
        <v>35591277</v>
      </c>
      <c r="H1615" s="87"/>
      <c r="I1615" s="87"/>
    </row>
    <row r="1616">
      <c r="A1616" s="84">
        <f>IFERROR(__xludf.DUMMYFUNCTION("""COMPUTED_VALUE"""),1616.0)</f>
        <v>1616</v>
      </c>
      <c r="B1616" s="85" t="str">
        <f>IFERROR(__xludf.DUMMYFUNCTION("""COMPUTED_VALUE"""),"CADEIRA UNIVERSITARIA -")</f>
        <v>CADEIRA UNIVERSITARIA -</v>
      </c>
      <c r="C1616" s="86">
        <f>IFERROR(__xludf.DUMMYFUNCTION("""COMPUTED_VALUE"""),1.0)</f>
        <v>1</v>
      </c>
      <c r="D1616" s="87" t="str">
        <f>IFERROR(__xludf.DUMMYFUNCTION("""COMPUTED_VALUE"""),"SEÇÃO")</f>
        <v>SEÇÃO</v>
      </c>
      <c r="E1616" s="87" t="str">
        <f>IFERROR(__xludf.DUMMYFUNCTION("""COMPUTED_VALUE"""),"3 - CURVELO")</f>
        <v>3 - CURVELO</v>
      </c>
      <c r="F1616" s="92"/>
      <c r="G1616" s="89">
        <f>IFERROR(__xludf.DUMMYFUNCTION("""COMPUTED_VALUE"""),3.5591439E7)</f>
        <v>35591439</v>
      </c>
      <c r="H1616" s="87"/>
      <c r="I1616" s="87"/>
    </row>
    <row r="1617">
      <c r="A1617" s="84">
        <f>IFERROR(__xludf.DUMMYFUNCTION("""COMPUTED_VALUE"""),1617.0)</f>
        <v>1617</v>
      </c>
      <c r="B1617" s="85" t="str">
        <f>IFERROR(__xludf.DUMMYFUNCTION("""COMPUTED_VALUE"""),"CADEIRA UNIVERSITARIA -")</f>
        <v>CADEIRA UNIVERSITARIA -</v>
      </c>
      <c r="C1617" s="86">
        <f>IFERROR(__xludf.DUMMYFUNCTION("""COMPUTED_VALUE"""),1.0)</f>
        <v>1</v>
      </c>
      <c r="D1617" s="87" t="str">
        <f>IFERROR(__xludf.DUMMYFUNCTION("""COMPUTED_VALUE"""),"SEÇÃO")</f>
        <v>SEÇÃO</v>
      </c>
      <c r="E1617" s="87" t="str">
        <f>IFERROR(__xludf.DUMMYFUNCTION("""COMPUTED_VALUE"""),"3 - CURVELO")</f>
        <v>3 - CURVELO</v>
      </c>
      <c r="F1617" s="92"/>
      <c r="G1617" s="89">
        <f>IFERROR(__xludf.DUMMYFUNCTION("""COMPUTED_VALUE"""),3.5591498E7)</f>
        <v>35591498</v>
      </c>
      <c r="H1617" s="87"/>
      <c r="I1617" s="87"/>
    </row>
    <row r="1618">
      <c r="A1618" s="84">
        <f>IFERROR(__xludf.DUMMYFUNCTION("""COMPUTED_VALUE"""),1618.0)</f>
        <v>1618</v>
      </c>
      <c r="B1618" s="85" t="str">
        <f>IFERROR(__xludf.DUMMYFUNCTION("""COMPUTED_VALUE"""),"CADEIRA UNIVERSITARIA -")</f>
        <v>CADEIRA UNIVERSITARIA -</v>
      </c>
      <c r="C1618" s="86">
        <f>IFERROR(__xludf.DUMMYFUNCTION("""COMPUTED_VALUE"""),1.0)</f>
        <v>1</v>
      </c>
      <c r="D1618" s="87" t="str">
        <f>IFERROR(__xludf.DUMMYFUNCTION("""COMPUTED_VALUE"""),"SEÇÃO")</f>
        <v>SEÇÃO</v>
      </c>
      <c r="E1618" s="87" t="str">
        <f>IFERROR(__xludf.DUMMYFUNCTION("""COMPUTED_VALUE"""),"3 - CURVELO")</f>
        <v>3 - CURVELO</v>
      </c>
      <c r="F1618" s="92"/>
      <c r="G1618" s="89">
        <f>IFERROR(__xludf.DUMMYFUNCTION("""COMPUTED_VALUE"""),3.5591552E7)</f>
        <v>35591552</v>
      </c>
      <c r="H1618" s="87"/>
      <c r="I1618" s="87"/>
    </row>
    <row r="1619">
      <c r="A1619" s="84">
        <f>IFERROR(__xludf.DUMMYFUNCTION("""COMPUTED_VALUE"""),1619.0)</f>
        <v>1619</v>
      </c>
      <c r="B1619" s="85" t="str">
        <f>IFERROR(__xludf.DUMMYFUNCTION("""COMPUTED_VALUE"""),"CADEIRA UNIVERSITARIA -")</f>
        <v>CADEIRA UNIVERSITARIA -</v>
      </c>
      <c r="C1619" s="86">
        <f>IFERROR(__xludf.DUMMYFUNCTION("""COMPUTED_VALUE"""),1.0)</f>
        <v>1</v>
      </c>
      <c r="D1619" s="87" t="str">
        <f>IFERROR(__xludf.DUMMYFUNCTION("""COMPUTED_VALUE"""),"SEÇÃO")</f>
        <v>SEÇÃO</v>
      </c>
      <c r="E1619" s="87" t="str">
        <f>IFERROR(__xludf.DUMMYFUNCTION("""COMPUTED_VALUE"""),"3 - CURVELO")</f>
        <v>3 - CURVELO</v>
      </c>
      <c r="F1619" s="92"/>
      <c r="G1619" s="89">
        <f>IFERROR(__xludf.DUMMYFUNCTION("""COMPUTED_VALUE"""),3.5591587E7)</f>
        <v>35591587</v>
      </c>
      <c r="H1619" s="87"/>
      <c r="I1619" s="87"/>
    </row>
    <row r="1620">
      <c r="A1620" s="84">
        <f>IFERROR(__xludf.DUMMYFUNCTION("""COMPUTED_VALUE"""),1620.0)</f>
        <v>1620</v>
      </c>
      <c r="B1620" s="85" t="str">
        <f>IFERROR(__xludf.DUMMYFUNCTION("""COMPUTED_VALUE"""),"CADEIRA UNIVERSITARIA -")</f>
        <v>CADEIRA UNIVERSITARIA -</v>
      </c>
      <c r="C1620" s="86">
        <f>IFERROR(__xludf.DUMMYFUNCTION("""COMPUTED_VALUE"""),1.0)</f>
        <v>1</v>
      </c>
      <c r="D1620" s="87" t="str">
        <f>IFERROR(__xludf.DUMMYFUNCTION("""COMPUTED_VALUE"""),"SEÇÃO")</f>
        <v>SEÇÃO</v>
      </c>
      <c r="E1620" s="87" t="str">
        <f>IFERROR(__xludf.DUMMYFUNCTION("""COMPUTED_VALUE"""),"3 - CURVELO")</f>
        <v>3 - CURVELO</v>
      </c>
      <c r="F1620" s="92"/>
      <c r="G1620" s="89">
        <f>IFERROR(__xludf.DUMMYFUNCTION("""COMPUTED_VALUE"""),3.559165E7)</f>
        <v>35591650</v>
      </c>
      <c r="H1620" s="87"/>
      <c r="I1620" s="87"/>
    </row>
    <row r="1621">
      <c r="A1621" s="84">
        <f>IFERROR(__xludf.DUMMYFUNCTION("""COMPUTED_VALUE"""),1621.0)</f>
        <v>1621</v>
      </c>
      <c r="B1621" s="85" t="str">
        <f>IFERROR(__xludf.DUMMYFUNCTION("""COMPUTED_VALUE"""),"CADEIRA UNIVERSITARIA -")</f>
        <v>CADEIRA UNIVERSITARIA -</v>
      </c>
      <c r="C1621" s="86">
        <f>IFERROR(__xludf.DUMMYFUNCTION("""COMPUTED_VALUE"""),1.0)</f>
        <v>1</v>
      </c>
      <c r="D1621" s="87" t="str">
        <f>IFERROR(__xludf.DUMMYFUNCTION("""COMPUTED_VALUE"""),"SEÇÃO")</f>
        <v>SEÇÃO</v>
      </c>
      <c r="E1621" s="87" t="str">
        <f>IFERROR(__xludf.DUMMYFUNCTION("""COMPUTED_VALUE"""),"3 - CURVELO")</f>
        <v>3 - CURVELO</v>
      </c>
      <c r="F1621" s="92"/>
      <c r="G1621" s="89">
        <f>IFERROR(__xludf.DUMMYFUNCTION("""COMPUTED_VALUE"""),3.5591692E7)</f>
        <v>35591692</v>
      </c>
      <c r="H1621" s="87"/>
      <c r="I1621" s="87"/>
    </row>
    <row r="1622">
      <c r="A1622" s="84">
        <f>IFERROR(__xludf.DUMMYFUNCTION("""COMPUTED_VALUE"""),1622.0)</f>
        <v>1622</v>
      </c>
      <c r="B1622" s="85" t="str">
        <f>IFERROR(__xludf.DUMMYFUNCTION("""COMPUTED_VALUE"""),"CADEIRA UNIVERSITARIA -")</f>
        <v>CADEIRA UNIVERSITARIA -</v>
      </c>
      <c r="C1622" s="86">
        <f>IFERROR(__xludf.DUMMYFUNCTION("""COMPUTED_VALUE"""),1.0)</f>
        <v>1</v>
      </c>
      <c r="D1622" s="87" t="str">
        <f>IFERROR(__xludf.DUMMYFUNCTION("""COMPUTED_VALUE"""),"SEÇÃO")</f>
        <v>SEÇÃO</v>
      </c>
      <c r="E1622" s="87" t="str">
        <f>IFERROR(__xludf.DUMMYFUNCTION("""COMPUTED_VALUE"""),"3 - CURVELO")</f>
        <v>3 - CURVELO</v>
      </c>
      <c r="F1622" s="92"/>
      <c r="G1622" s="89">
        <f>IFERROR(__xludf.DUMMYFUNCTION("""COMPUTED_VALUE"""),3.5591811E7)</f>
        <v>35591811</v>
      </c>
      <c r="H1622" s="87"/>
      <c r="I1622" s="87"/>
    </row>
    <row r="1623">
      <c r="A1623" s="84">
        <f>IFERROR(__xludf.DUMMYFUNCTION("""COMPUTED_VALUE"""),1623.0)</f>
        <v>1623</v>
      </c>
      <c r="B1623" s="85" t="str">
        <f>IFERROR(__xludf.DUMMYFUNCTION("""COMPUTED_VALUE"""),"CADEIRA UNIVERSITARIA -")</f>
        <v>CADEIRA UNIVERSITARIA -</v>
      </c>
      <c r="C1623" s="86">
        <f>IFERROR(__xludf.DUMMYFUNCTION("""COMPUTED_VALUE"""),1.0)</f>
        <v>1</v>
      </c>
      <c r="D1623" s="87" t="str">
        <f>IFERROR(__xludf.DUMMYFUNCTION("""COMPUTED_VALUE"""),"SEÇÃO")</f>
        <v>SEÇÃO</v>
      </c>
      <c r="E1623" s="87" t="str">
        <f>IFERROR(__xludf.DUMMYFUNCTION("""COMPUTED_VALUE"""),"3 - CURVELO")</f>
        <v>3 - CURVELO</v>
      </c>
      <c r="F1623" s="92"/>
      <c r="G1623" s="89">
        <f>IFERROR(__xludf.DUMMYFUNCTION("""COMPUTED_VALUE"""),3.5592036E7)</f>
        <v>35592036</v>
      </c>
      <c r="H1623" s="87"/>
      <c r="I1623" s="87"/>
    </row>
    <row r="1624">
      <c r="A1624" s="84">
        <f>IFERROR(__xludf.DUMMYFUNCTION("""COMPUTED_VALUE"""),1624.0)</f>
        <v>1624</v>
      </c>
      <c r="B1624" s="85" t="str">
        <f>IFERROR(__xludf.DUMMYFUNCTION("""COMPUTED_VALUE"""),"CADEIRA UNIVERSITARIA -")</f>
        <v>CADEIRA UNIVERSITARIA -</v>
      </c>
      <c r="C1624" s="86">
        <f>IFERROR(__xludf.DUMMYFUNCTION("""COMPUTED_VALUE"""),1.0)</f>
        <v>1</v>
      </c>
      <c r="D1624" s="87" t="str">
        <f>IFERROR(__xludf.DUMMYFUNCTION("""COMPUTED_VALUE"""),"SEÇÃO")</f>
        <v>SEÇÃO</v>
      </c>
      <c r="E1624" s="87" t="str">
        <f>IFERROR(__xludf.DUMMYFUNCTION("""COMPUTED_VALUE"""),"3 - CURVELO")</f>
        <v>3 - CURVELO</v>
      </c>
      <c r="F1624" s="92"/>
      <c r="G1624" s="89">
        <f>IFERROR(__xludf.DUMMYFUNCTION("""COMPUTED_VALUE"""),3.5592494E7)</f>
        <v>35592494</v>
      </c>
      <c r="H1624" s="87"/>
      <c r="I1624" s="87"/>
    </row>
    <row r="1625">
      <c r="A1625" s="84">
        <f>IFERROR(__xludf.DUMMYFUNCTION("""COMPUTED_VALUE"""),1625.0)</f>
        <v>1625</v>
      </c>
      <c r="B1625" s="85" t="str">
        <f>IFERROR(__xludf.DUMMYFUNCTION("""COMPUTED_VALUE"""),"CADEIRA UNIVERSITARIA -")</f>
        <v>CADEIRA UNIVERSITARIA -</v>
      </c>
      <c r="C1625" s="86">
        <f>IFERROR(__xludf.DUMMYFUNCTION("""COMPUTED_VALUE"""),1.0)</f>
        <v>1</v>
      </c>
      <c r="D1625" s="87" t="str">
        <f>IFERROR(__xludf.DUMMYFUNCTION("""COMPUTED_VALUE"""),"SEÇÃO")</f>
        <v>SEÇÃO</v>
      </c>
      <c r="E1625" s="87" t="str">
        <f>IFERROR(__xludf.DUMMYFUNCTION("""COMPUTED_VALUE"""),"3 - CURVELO")</f>
        <v>3 - CURVELO</v>
      </c>
      <c r="F1625" s="92"/>
      <c r="G1625" s="89">
        <f>IFERROR(__xludf.DUMMYFUNCTION("""COMPUTED_VALUE"""),3.559263E7)</f>
        <v>35592630</v>
      </c>
      <c r="H1625" s="87"/>
      <c r="I1625" s="87"/>
    </row>
    <row r="1626">
      <c r="A1626" s="84">
        <f>IFERROR(__xludf.DUMMYFUNCTION("""COMPUTED_VALUE"""),1626.0)</f>
        <v>1626</v>
      </c>
      <c r="B1626" s="85" t="str">
        <f>IFERROR(__xludf.DUMMYFUNCTION("""COMPUTED_VALUE"""),"CADEIRA UNIVERSITARIA -")</f>
        <v>CADEIRA UNIVERSITARIA -</v>
      </c>
      <c r="C1626" s="86">
        <f>IFERROR(__xludf.DUMMYFUNCTION("""COMPUTED_VALUE"""),1.0)</f>
        <v>1</v>
      </c>
      <c r="D1626" s="87" t="str">
        <f>IFERROR(__xludf.DUMMYFUNCTION("""COMPUTED_VALUE"""),"SEÇÃO")</f>
        <v>SEÇÃO</v>
      </c>
      <c r="E1626" s="87" t="str">
        <f>IFERROR(__xludf.DUMMYFUNCTION("""COMPUTED_VALUE"""),"3 - CURVELO")</f>
        <v>3 - CURVELO</v>
      </c>
      <c r="F1626" s="92"/>
      <c r="G1626" s="89">
        <f>IFERROR(__xludf.DUMMYFUNCTION("""COMPUTED_VALUE"""),3.5592974E7)</f>
        <v>35592974</v>
      </c>
      <c r="H1626" s="87"/>
      <c r="I1626" s="87"/>
    </row>
    <row r="1627">
      <c r="A1627" s="84">
        <f>IFERROR(__xludf.DUMMYFUNCTION("""COMPUTED_VALUE"""),1627.0)</f>
        <v>1627</v>
      </c>
      <c r="B1627" s="85" t="str">
        <f>IFERROR(__xludf.DUMMYFUNCTION("""COMPUTED_VALUE"""),"CADEIRA UNIVERSITARIA -")</f>
        <v>CADEIRA UNIVERSITARIA -</v>
      </c>
      <c r="C1627" s="86">
        <f>IFERROR(__xludf.DUMMYFUNCTION("""COMPUTED_VALUE"""),1.0)</f>
        <v>1</v>
      </c>
      <c r="D1627" s="87" t="str">
        <f>IFERROR(__xludf.DUMMYFUNCTION("""COMPUTED_VALUE"""),"SEÇÃO")</f>
        <v>SEÇÃO</v>
      </c>
      <c r="E1627" s="87" t="str">
        <f>IFERROR(__xludf.DUMMYFUNCTION("""COMPUTED_VALUE"""),"3 - CURVELO")</f>
        <v>3 - CURVELO</v>
      </c>
      <c r="F1627" s="92"/>
      <c r="G1627" s="89">
        <f>IFERROR(__xludf.DUMMYFUNCTION("""COMPUTED_VALUE"""),3.5593164E7)</f>
        <v>35593164</v>
      </c>
      <c r="H1627" s="87"/>
      <c r="I1627" s="87"/>
    </row>
    <row r="1628">
      <c r="A1628" s="84">
        <f>IFERROR(__xludf.DUMMYFUNCTION("""COMPUTED_VALUE"""),1628.0)</f>
        <v>1628</v>
      </c>
      <c r="B1628" s="85" t="str">
        <f>IFERROR(__xludf.DUMMYFUNCTION("""COMPUTED_VALUE"""),"CADEIRA UNIVERSITARIA -")</f>
        <v>CADEIRA UNIVERSITARIA -</v>
      </c>
      <c r="C1628" s="86">
        <f>IFERROR(__xludf.DUMMYFUNCTION("""COMPUTED_VALUE"""),1.0)</f>
        <v>1</v>
      </c>
      <c r="D1628" s="87" t="str">
        <f>IFERROR(__xludf.DUMMYFUNCTION("""COMPUTED_VALUE"""),"SEÇÃO")</f>
        <v>SEÇÃO</v>
      </c>
      <c r="E1628" s="87" t="str">
        <f>IFERROR(__xludf.DUMMYFUNCTION("""COMPUTED_VALUE"""),"3 - CURVELO")</f>
        <v>3 - CURVELO</v>
      </c>
      <c r="F1628" s="92"/>
      <c r="G1628" s="89">
        <f>IFERROR(__xludf.DUMMYFUNCTION("""COMPUTED_VALUE"""),3.5593423E7)</f>
        <v>35593423</v>
      </c>
      <c r="H1628" s="87"/>
      <c r="I1628" s="87"/>
    </row>
    <row r="1629">
      <c r="A1629" s="84">
        <f>IFERROR(__xludf.DUMMYFUNCTION("""COMPUTED_VALUE"""),1629.0)</f>
        <v>1629</v>
      </c>
      <c r="B1629" s="85" t="str">
        <f>IFERROR(__xludf.DUMMYFUNCTION("""COMPUTED_VALUE"""),"CADEIRA UNIVERSITARIA -")</f>
        <v>CADEIRA UNIVERSITARIA -</v>
      </c>
      <c r="C1629" s="86">
        <f>IFERROR(__xludf.DUMMYFUNCTION("""COMPUTED_VALUE"""),1.0)</f>
        <v>1</v>
      </c>
      <c r="D1629" s="87" t="str">
        <f>IFERROR(__xludf.DUMMYFUNCTION("""COMPUTED_VALUE"""),"SEÇÃO")</f>
        <v>SEÇÃO</v>
      </c>
      <c r="E1629" s="87" t="str">
        <f>IFERROR(__xludf.DUMMYFUNCTION("""COMPUTED_VALUE"""),"3 - CURVELO")</f>
        <v>3 - CURVELO</v>
      </c>
      <c r="F1629" s="92"/>
      <c r="G1629" s="89">
        <f>IFERROR(__xludf.DUMMYFUNCTION("""COMPUTED_VALUE"""),3.559392E7)</f>
        <v>35593920</v>
      </c>
      <c r="H1629" s="87"/>
      <c r="I1629" s="87"/>
    </row>
    <row r="1630">
      <c r="A1630" s="84">
        <f>IFERROR(__xludf.DUMMYFUNCTION("""COMPUTED_VALUE"""),1630.0)</f>
        <v>1630</v>
      </c>
      <c r="B1630" s="85" t="str">
        <f>IFERROR(__xludf.DUMMYFUNCTION("""COMPUTED_VALUE"""),"CADEIRA UNIVERSITARIA -")</f>
        <v>CADEIRA UNIVERSITARIA -</v>
      </c>
      <c r="C1630" s="86">
        <f>IFERROR(__xludf.DUMMYFUNCTION("""COMPUTED_VALUE"""),1.0)</f>
        <v>1</v>
      </c>
      <c r="D1630" s="87" t="str">
        <f>IFERROR(__xludf.DUMMYFUNCTION("""COMPUTED_VALUE"""),"SEÇÃO")</f>
        <v>SEÇÃO</v>
      </c>
      <c r="E1630" s="87" t="str">
        <f>IFERROR(__xludf.DUMMYFUNCTION("""COMPUTED_VALUE"""),"3 - CURVELO")</f>
        <v>3 - CURVELO</v>
      </c>
      <c r="F1630" s="92"/>
      <c r="G1630" s="89">
        <f>IFERROR(__xludf.DUMMYFUNCTION("""COMPUTED_VALUE"""),3.559411E7)</f>
        <v>35594110</v>
      </c>
      <c r="H1630" s="87"/>
      <c r="I1630" s="87"/>
    </row>
    <row r="1631">
      <c r="A1631" s="84">
        <f>IFERROR(__xludf.DUMMYFUNCTION("""COMPUTED_VALUE"""),1631.0)</f>
        <v>1631</v>
      </c>
      <c r="B1631" s="85" t="str">
        <f>IFERROR(__xludf.DUMMYFUNCTION("""COMPUTED_VALUE"""),"CAMA -")</f>
        <v>CAMA -</v>
      </c>
      <c r="C1631" s="86">
        <f>IFERROR(__xludf.DUMMYFUNCTION("""COMPUTED_VALUE"""),1.0)</f>
        <v>1</v>
      </c>
      <c r="D1631" s="87" t="str">
        <f>IFERROR(__xludf.DUMMYFUNCTION("""COMPUTED_VALUE"""),"SEÇÃO")</f>
        <v>SEÇÃO</v>
      </c>
      <c r="E1631" s="87" t="str">
        <f>IFERROR(__xludf.DUMMYFUNCTION("""COMPUTED_VALUE"""),"3 - CURVELO")</f>
        <v>3 - CURVELO</v>
      </c>
      <c r="F1631" s="92"/>
      <c r="G1631" s="89">
        <f>IFERROR(__xludf.DUMMYFUNCTION("""COMPUTED_VALUE"""),7.6990273E7)</f>
        <v>76990273</v>
      </c>
      <c r="H1631" s="87"/>
      <c r="I1631" s="87"/>
    </row>
    <row r="1632">
      <c r="A1632" s="84">
        <f>IFERROR(__xludf.DUMMYFUNCTION("""COMPUTED_VALUE"""),1632.0)</f>
        <v>1632</v>
      </c>
      <c r="B1632" s="85" t="str">
        <f>IFERROR(__xludf.DUMMYFUNCTION("""COMPUTED_VALUE"""),"ROUPEIRO PARA VESTIARIO -")</f>
        <v>ROUPEIRO PARA VESTIARIO -</v>
      </c>
      <c r="C1632" s="86">
        <f>IFERROR(__xludf.DUMMYFUNCTION("""COMPUTED_VALUE"""),1.0)</f>
        <v>1</v>
      </c>
      <c r="D1632" s="87" t="str">
        <f>IFERROR(__xludf.DUMMYFUNCTION("""COMPUTED_VALUE"""),"SEÇÃO")</f>
        <v>SEÇÃO</v>
      </c>
      <c r="E1632" s="87" t="str">
        <f>IFERROR(__xludf.DUMMYFUNCTION("""COMPUTED_VALUE"""),"3 - CURVELO")</f>
        <v>3 - CURVELO</v>
      </c>
      <c r="F1632" s="92"/>
      <c r="G1632" s="89">
        <f>IFERROR(__xludf.DUMMYFUNCTION("""COMPUTED_VALUE"""),7.6989267E7)</f>
        <v>76989267</v>
      </c>
      <c r="H1632" s="87"/>
      <c r="I1632" s="87"/>
    </row>
    <row r="1633">
      <c r="A1633" s="84">
        <f>IFERROR(__xludf.DUMMYFUNCTION("""COMPUTED_VALUE"""),1633.0)</f>
        <v>1633</v>
      </c>
      <c r="B1633" s="85" t="str">
        <f>IFERROR(__xludf.DUMMYFUNCTION("""COMPUTED_VALUE"""),"ROUPEIRO PARA VESTIARIO -")</f>
        <v>ROUPEIRO PARA VESTIARIO -</v>
      </c>
      <c r="C1633" s="86">
        <f>IFERROR(__xludf.DUMMYFUNCTION("""COMPUTED_VALUE"""),1.0)</f>
        <v>1</v>
      </c>
      <c r="D1633" s="87" t="str">
        <f>IFERROR(__xludf.DUMMYFUNCTION("""COMPUTED_VALUE"""),"SEÇÃO")</f>
        <v>SEÇÃO</v>
      </c>
      <c r="E1633" s="87" t="str">
        <f>IFERROR(__xludf.DUMMYFUNCTION("""COMPUTED_VALUE"""),"3 - CURVELO")</f>
        <v>3 - CURVELO</v>
      </c>
      <c r="F1633" s="92"/>
      <c r="G1633" s="89">
        <f>IFERROR(__xludf.DUMMYFUNCTION("""COMPUTED_VALUE"""),7.6989275E7)</f>
        <v>76989275</v>
      </c>
      <c r="H1633" s="87"/>
      <c r="I1633" s="87"/>
    </row>
    <row r="1634">
      <c r="A1634" s="84">
        <f>IFERROR(__xludf.DUMMYFUNCTION("""COMPUTED_VALUE"""),1634.0)</f>
        <v>1634</v>
      </c>
      <c r="B1634" s="85" t="str">
        <f>IFERROR(__xludf.DUMMYFUNCTION("""COMPUTED_VALUE"""),"ROUPEIRO PARA VESTIARIO -")</f>
        <v>ROUPEIRO PARA VESTIARIO -</v>
      </c>
      <c r="C1634" s="86">
        <f>IFERROR(__xludf.DUMMYFUNCTION("""COMPUTED_VALUE"""),1.0)</f>
        <v>1</v>
      </c>
      <c r="D1634" s="87" t="str">
        <f>IFERROR(__xludf.DUMMYFUNCTION("""COMPUTED_VALUE"""),"SEÇÃO")</f>
        <v>SEÇÃO</v>
      </c>
      <c r="E1634" s="87" t="str">
        <f>IFERROR(__xludf.DUMMYFUNCTION("""COMPUTED_VALUE"""),"3 - CURVELO")</f>
        <v>3 - CURVELO</v>
      </c>
      <c r="F1634" s="92"/>
      <c r="G1634" s="89">
        <f>IFERROR(__xludf.DUMMYFUNCTION("""COMPUTED_VALUE"""),7.6989283E7)</f>
        <v>76989283</v>
      </c>
      <c r="H1634" s="87"/>
      <c r="I1634" s="87"/>
    </row>
    <row r="1635">
      <c r="A1635" s="84">
        <f>IFERROR(__xludf.DUMMYFUNCTION("""COMPUTED_VALUE"""),1635.0)</f>
        <v>1635</v>
      </c>
      <c r="B1635" s="85" t="str">
        <f>IFERROR(__xludf.DUMMYFUNCTION("""COMPUTED_VALUE"""),"ROUPEIRO PARA VESTIARIO -")</f>
        <v>ROUPEIRO PARA VESTIARIO -</v>
      </c>
      <c r="C1635" s="86">
        <f>IFERROR(__xludf.DUMMYFUNCTION("""COMPUTED_VALUE"""),1.0)</f>
        <v>1</v>
      </c>
      <c r="D1635" s="87" t="str">
        <f>IFERROR(__xludf.DUMMYFUNCTION("""COMPUTED_VALUE"""),"SEÇÃO")</f>
        <v>SEÇÃO</v>
      </c>
      <c r="E1635" s="87" t="str">
        <f>IFERROR(__xludf.DUMMYFUNCTION("""COMPUTED_VALUE"""),"3 - CURVELO")</f>
        <v>3 - CURVELO</v>
      </c>
      <c r="F1635" s="92"/>
      <c r="G1635" s="89">
        <f>IFERROR(__xludf.DUMMYFUNCTION("""COMPUTED_VALUE"""),7.6989291E7)</f>
        <v>76989291</v>
      </c>
      <c r="H1635" s="87"/>
      <c r="I1635" s="87"/>
    </row>
    <row r="1636">
      <c r="A1636" s="84">
        <f>IFERROR(__xludf.DUMMYFUNCTION("""COMPUTED_VALUE"""),1636.0)</f>
        <v>1636</v>
      </c>
      <c r="B1636" s="85" t="str">
        <f>IFERROR(__xludf.DUMMYFUNCTION("""COMPUTED_VALUE"""),"ROUPEIRO PARA VESTIARIO -")</f>
        <v>ROUPEIRO PARA VESTIARIO -</v>
      </c>
      <c r="C1636" s="86">
        <f>IFERROR(__xludf.DUMMYFUNCTION("""COMPUTED_VALUE"""),1.0)</f>
        <v>1</v>
      </c>
      <c r="D1636" s="87" t="str">
        <f>IFERROR(__xludf.DUMMYFUNCTION("""COMPUTED_VALUE"""),"SEÇÃO")</f>
        <v>SEÇÃO</v>
      </c>
      <c r="E1636" s="87" t="str">
        <f>IFERROR(__xludf.DUMMYFUNCTION("""COMPUTED_VALUE"""),"3 - CURVELO")</f>
        <v>3 - CURVELO</v>
      </c>
      <c r="F1636" s="92"/>
      <c r="G1636" s="89">
        <f>IFERROR(__xludf.DUMMYFUNCTION("""COMPUTED_VALUE"""),7.6989305E7)</f>
        <v>76989305</v>
      </c>
      <c r="H1636" s="87"/>
      <c r="I1636" s="87"/>
    </row>
    <row r="1637">
      <c r="A1637" s="84">
        <f>IFERROR(__xludf.DUMMYFUNCTION("""COMPUTED_VALUE"""),1637.0)</f>
        <v>1637</v>
      </c>
      <c r="B1637" s="85" t="str">
        <f>IFERROR(__xludf.DUMMYFUNCTION("""COMPUTED_VALUE"""),"ROUPEIRO PARA VESTIARIO -")</f>
        <v>ROUPEIRO PARA VESTIARIO -</v>
      </c>
      <c r="C1637" s="86">
        <f>IFERROR(__xludf.DUMMYFUNCTION("""COMPUTED_VALUE"""),1.0)</f>
        <v>1</v>
      </c>
      <c r="D1637" s="87" t="str">
        <f>IFERROR(__xludf.DUMMYFUNCTION("""COMPUTED_VALUE"""),"SEÇÃO")</f>
        <v>SEÇÃO</v>
      </c>
      <c r="E1637" s="87" t="str">
        <f>IFERROR(__xludf.DUMMYFUNCTION("""COMPUTED_VALUE"""),"3 - CURVELO")</f>
        <v>3 - CURVELO</v>
      </c>
      <c r="F1637" s="92"/>
      <c r="G1637" s="89">
        <f>IFERROR(__xludf.DUMMYFUNCTION("""COMPUTED_VALUE"""),7.6989313E7)</f>
        <v>76989313</v>
      </c>
      <c r="H1637" s="87"/>
      <c r="I1637" s="87"/>
    </row>
    <row r="1638">
      <c r="A1638" s="84">
        <f>IFERROR(__xludf.DUMMYFUNCTION("""COMPUTED_VALUE"""),1638.0)</f>
        <v>1638</v>
      </c>
      <c r="B1638" s="85" t="str">
        <f>IFERROR(__xludf.DUMMYFUNCTION("""COMPUTED_VALUE"""),"ROUPEIRO PARA VESTIARIO -")</f>
        <v>ROUPEIRO PARA VESTIARIO -</v>
      </c>
      <c r="C1638" s="86">
        <f>IFERROR(__xludf.DUMMYFUNCTION("""COMPUTED_VALUE"""),1.0)</f>
        <v>1</v>
      </c>
      <c r="D1638" s="87" t="str">
        <f>IFERROR(__xludf.DUMMYFUNCTION("""COMPUTED_VALUE"""),"SEÇÃO")</f>
        <v>SEÇÃO</v>
      </c>
      <c r="E1638" s="87" t="str">
        <f>IFERROR(__xludf.DUMMYFUNCTION("""COMPUTED_VALUE"""),"3 - CURVELO")</f>
        <v>3 - CURVELO</v>
      </c>
      <c r="F1638" s="92"/>
      <c r="G1638" s="89">
        <f>IFERROR(__xludf.DUMMYFUNCTION("""COMPUTED_VALUE"""),7.6989321E7)</f>
        <v>76989321</v>
      </c>
      <c r="H1638" s="87"/>
      <c r="I1638" s="87"/>
    </row>
    <row r="1639">
      <c r="A1639" s="84">
        <f>IFERROR(__xludf.DUMMYFUNCTION("""COMPUTED_VALUE"""),1639.0)</f>
        <v>1639</v>
      </c>
      <c r="B1639" s="85" t="str">
        <f>IFERROR(__xludf.DUMMYFUNCTION("""COMPUTED_VALUE"""),"ROUPEIRO PARA VESTIARIO -")</f>
        <v>ROUPEIRO PARA VESTIARIO -</v>
      </c>
      <c r="C1639" s="86">
        <f>IFERROR(__xludf.DUMMYFUNCTION("""COMPUTED_VALUE"""),1.0)</f>
        <v>1</v>
      </c>
      <c r="D1639" s="87" t="str">
        <f>IFERROR(__xludf.DUMMYFUNCTION("""COMPUTED_VALUE"""),"SEÇÃO")</f>
        <v>SEÇÃO</v>
      </c>
      <c r="E1639" s="87" t="str">
        <f>IFERROR(__xludf.DUMMYFUNCTION("""COMPUTED_VALUE"""),"3 - CURVELO")</f>
        <v>3 - CURVELO</v>
      </c>
      <c r="F1639" s="92"/>
      <c r="G1639" s="89">
        <f>IFERROR(__xludf.DUMMYFUNCTION("""COMPUTED_VALUE"""),7.698933E7)</f>
        <v>76989330</v>
      </c>
      <c r="H1639" s="87"/>
      <c r="I1639" s="87"/>
    </row>
    <row r="1640">
      <c r="A1640" s="84">
        <f>IFERROR(__xludf.DUMMYFUNCTION("""COMPUTED_VALUE"""),1640.0)</f>
        <v>1640</v>
      </c>
      <c r="B1640" s="85" t="str">
        <f>IFERROR(__xludf.DUMMYFUNCTION("""COMPUTED_VALUE"""),"ROUPEIRO PARA VESTIARIO -")</f>
        <v>ROUPEIRO PARA VESTIARIO -</v>
      </c>
      <c r="C1640" s="86">
        <f>IFERROR(__xludf.DUMMYFUNCTION("""COMPUTED_VALUE"""),1.0)</f>
        <v>1</v>
      </c>
      <c r="D1640" s="87" t="str">
        <f>IFERROR(__xludf.DUMMYFUNCTION("""COMPUTED_VALUE"""),"SEÇÃO")</f>
        <v>SEÇÃO</v>
      </c>
      <c r="E1640" s="87" t="str">
        <f>IFERROR(__xludf.DUMMYFUNCTION("""COMPUTED_VALUE"""),"3 - CURVELO")</f>
        <v>3 - CURVELO</v>
      </c>
      <c r="F1640" s="92"/>
      <c r="G1640" s="89">
        <f>IFERROR(__xludf.DUMMYFUNCTION("""COMPUTED_VALUE"""),7.6989348E7)</f>
        <v>76989348</v>
      </c>
      <c r="H1640" s="87"/>
      <c r="I1640" s="87"/>
    </row>
    <row r="1641">
      <c r="A1641" s="84">
        <f>IFERROR(__xludf.DUMMYFUNCTION("""COMPUTED_VALUE"""),1641.0)</f>
        <v>1641</v>
      </c>
      <c r="B1641" s="85" t="str">
        <f>IFERROR(__xludf.DUMMYFUNCTION("""COMPUTED_VALUE"""),"ROUPEIRO PARA VESTIARIO -")</f>
        <v>ROUPEIRO PARA VESTIARIO -</v>
      </c>
      <c r="C1641" s="86">
        <f>IFERROR(__xludf.DUMMYFUNCTION("""COMPUTED_VALUE"""),1.0)</f>
        <v>1</v>
      </c>
      <c r="D1641" s="87" t="str">
        <f>IFERROR(__xludf.DUMMYFUNCTION("""COMPUTED_VALUE"""),"SEÇÃO")</f>
        <v>SEÇÃO</v>
      </c>
      <c r="E1641" s="87" t="str">
        <f>IFERROR(__xludf.DUMMYFUNCTION("""COMPUTED_VALUE"""),"3 - CURVELO")</f>
        <v>3 - CURVELO</v>
      </c>
      <c r="F1641" s="92"/>
      <c r="G1641" s="89">
        <f>IFERROR(__xludf.DUMMYFUNCTION("""COMPUTED_VALUE"""),7.6989356E7)</f>
        <v>76989356</v>
      </c>
      <c r="H1641" s="87"/>
      <c r="I1641" s="87"/>
    </row>
    <row r="1642">
      <c r="A1642" s="84">
        <f>IFERROR(__xludf.DUMMYFUNCTION("""COMPUTED_VALUE"""),1642.0)</f>
        <v>1642</v>
      </c>
      <c r="B1642" s="85" t="str">
        <f>IFERROR(__xludf.DUMMYFUNCTION("""COMPUTED_VALUE"""),"ROUPEIRO PARA VESTIARIO -")</f>
        <v>ROUPEIRO PARA VESTIARIO -</v>
      </c>
      <c r="C1642" s="86">
        <f>IFERROR(__xludf.DUMMYFUNCTION("""COMPUTED_VALUE"""),1.0)</f>
        <v>1</v>
      </c>
      <c r="D1642" s="87" t="str">
        <f>IFERROR(__xludf.DUMMYFUNCTION("""COMPUTED_VALUE"""),"SEÇÃO")</f>
        <v>SEÇÃO</v>
      </c>
      <c r="E1642" s="87" t="str">
        <f>IFERROR(__xludf.DUMMYFUNCTION("""COMPUTED_VALUE"""),"3 - CURVELO")</f>
        <v>3 - CURVELO</v>
      </c>
      <c r="F1642" s="92"/>
      <c r="G1642" s="89">
        <f>IFERROR(__xludf.DUMMYFUNCTION("""COMPUTED_VALUE"""),7.6989364E7)</f>
        <v>76989364</v>
      </c>
      <c r="H1642" s="87"/>
      <c r="I1642" s="87"/>
    </row>
    <row r="1643">
      <c r="A1643" s="84">
        <f>IFERROR(__xludf.DUMMYFUNCTION("""COMPUTED_VALUE"""),1643.0)</f>
        <v>1643</v>
      </c>
      <c r="B1643" s="85" t="str">
        <f>IFERROR(__xludf.DUMMYFUNCTION("""COMPUTED_VALUE"""),"ROUPEIRO PARA VESTIARIO -")</f>
        <v>ROUPEIRO PARA VESTIARIO -</v>
      </c>
      <c r="C1643" s="86">
        <f>IFERROR(__xludf.DUMMYFUNCTION("""COMPUTED_VALUE"""),1.0)</f>
        <v>1</v>
      </c>
      <c r="D1643" s="87" t="str">
        <f>IFERROR(__xludf.DUMMYFUNCTION("""COMPUTED_VALUE"""),"SEÇÃO")</f>
        <v>SEÇÃO</v>
      </c>
      <c r="E1643" s="87" t="str">
        <f>IFERROR(__xludf.DUMMYFUNCTION("""COMPUTED_VALUE"""),"3 - CURVELO")</f>
        <v>3 - CURVELO</v>
      </c>
      <c r="F1643" s="92"/>
      <c r="G1643" s="89">
        <f>IFERROR(__xludf.DUMMYFUNCTION("""COMPUTED_VALUE"""),7.6989372E7)</f>
        <v>76989372</v>
      </c>
      <c r="H1643" s="87"/>
      <c r="I1643" s="87"/>
    </row>
    <row r="1644">
      <c r="A1644" s="84">
        <f>IFERROR(__xludf.DUMMYFUNCTION("""COMPUTED_VALUE"""),1644.0)</f>
        <v>1644</v>
      </c>
      <c r="B1644" s="85" t="str">
        <f>IFERROR(__xludf.DUMMYFUNCTION("""COMPUTED_VALUE"""),"ROUPEIRO PARA VESTIARIO -")</f>
        <v>ROUPEIRO PARA VESTIARIO -</v>
      </c>
      <c r="C1644" s="86">
        <f>IFERROR(__xludf.DUMMYFUNCTION("""COMPUTED_VALUE"""),1.0)</f>
        <v>1</v>
      </c>
      <c r="D1644" s="87" t="str">
        <f>IFERROR(__xludf.DUMMYFUNCTION("""COMPUTED_VALUE"""),"SEÇÃO")</f>
        <v>SEÇÃO</v>
      </c>
      <c r="E1644" s="87" t="str">
        <f>IFERROR(__xludf.DUMMYFUNCTION("""COMPUTED_VALUE"""),"3 - CURVELO")</f>
        <v>3 - CURVELO</v>
      </c>
      <c r="F1644" s="92"/>
      <c r="G1644" s="89">
        <f>IFERROR(__xludf.DUMMYFUNCTION("""COMPUTED_VALUE"""),7.698938E7)</f>
        <v>76989380</v>
      </c>
      <c r="H1644" s="87"/>
      <c r="I1644" s="87"/>
    </row>
    <row r="1645">
      <c r="A1645" s="84">
        <f>IFERROR(__xludf.DUMMYFUNCTION("""COMPUTED_VALUE"""),1645.0)</f>
        <v>1645</v>
      </c>
      <c r="B1645" s="85" t="str">
        <f>IFERROR(__xludf.DUMMYFUNCTION("""COMPUTED_VALUE"""),"ROUPEIRO PARA VESTIARIO -")</f>
        <v>ROUPEIRO PARA VESTIARIO -</v>
      </c>
      <c r="C1645" s="86">
        <f>IFERROR(__xludf.DUMMYFUNCTION("""COMPUTED_VALUE"""),1.0)</f>
        <v>1</v>
      </c>
      <c r="D1645" s="87" t="str">
        <f>IFERROR(__xludf.DUMMYFUNCTION("""COMPUTED_VALUE"""),"SEÇÃO")</f>
        <v>SEÇÃO</v>
      </c>
      <c r="E1645" s="87" t="str">
        <f>IFERROR(__xludf.DUMMYFUNCTION("""COMPUTED_VALUE"""),"3 - CURVELO")</f>
        <v>3 - CURVELO</v>
      </c>
      <c r="F1645" s="92"/>
      <c r="G1645" s="89">
        <f>IFERROR(__xludf.DUMMYFUNCTION("""COMPUTED_VALUE"""),7.6989399E7)</f>
        <v>76989399</v>
      </c>
      <c r="H1645" s="87"/>
      <c r="I1645" s="87"/>
    </row>
    <row r="1646">
      <c r="A1646" s="84">
        <f>IFERROR(__xludf.DUMMYFUNCTION("""COMPUTED_VALUE"""),1646.0)</f>
        <v>1646</v>
      </c>
      <c r="B1646" s="85" t="str">
        <f>IFERROR(__xludf.DUMMYFUNCTION("""COMPUTED_VALUE"""),"ROUPEIRO PARA VESTIARIO -")</f>
        <v>ROUPEIRO PARA VESTIARIO -</v>
      </c>
      <c r="C1646" s="86">
        <f>IFERROR(__xludf.DUMMYFUNCTION("""COMPUTED_VALUE"""),1.0)</f>
        <v>1</v>
      </c>
      <c r="D1646" s="87" t="str">
        <f>IFERROR(__xludf.DUMMYFUNCTION("""COMPUTED_VALUE"""),"SEÇÃO")</f>
        <v>SEÇÃO</v>
      </c>
      <c r="E1646" s="87" t="str">
        <f>IFERROR(__xludf.DUMMYFUNCTION("""COMPUTED_VALUE"""),"3 - CURVELO")</f>
        <v>3 - CURVELO</v>
      </c>
      <c r="F1646" s="92"/>
      <c r="G1646" s="89">
        <f>IFERROR(__xludf.DUMMYFUNCTION("""COMPUTED_VALUE"""),7.6989402E7)</f>
        <v>76989402</v>
      </c>
      <c r="H1646" s="87"/>
      <c r="I1646" s="87"/>
    </row>
    <row r="1647">
      <c r="A1647" s="84">
        <f>IFERROR(__xludf.DUMMYFUNCTION("""COMPUTED_VALUE"""),1647.0)</f>
        <v>1647</v>
      </c>
      <c r="B1647" s="85" t="str">
        <f>IFERROR(__xludf.DUMMYFUNCTION("""COMPUTED_VALUE"""),"ROUPEIRO PARA VESTIARIO -")</f>
        <v>ROUPEIRO PARA VESTIARIO -</v>
      </c>
      <c r="C1647" s="86">
        <f>IFERROR(__xludf.DUMMYFUNCTION("""COMPUTED_VALUE"""),1.0)</f>
        <v>1</v>
      </c>
      <c r="D1647" s="87" t="str">
        <f>IFERROR(__xludf.DUMMYFUNCTION("""COMPUTED_VALUE"""),"SEÇÃO")</f>
        <v>SEÇÃO</v>
      </c>
      <c r="E1647" s="87" t="str">
        <f>IFERROR(__xludf.DUMMYFUNCTION("""COMPUTED_VALUE"""),"3 - CURVELO")</f>
        <v>3 - CURVELO</v>
      </c>
      <c r="F1647" s="92"/>
      <c r="G1647" s="89">
        <f>IFERROR(__xludf.DUMMYFUNCTION("""COMPUTED_VALUE"""),7.698941E7)</f>
        <v>76989410</v>
      </c>
      <c r="H1647" s="87"/>
      <c r="I1647" s="87"/>
    </row>
    <row r="1648">
      <c r="A1648" s="84">
        <f>IFERROR(__xludf.DUMMYFUNCTION("""COMPUTED_VALUE"""),1648.0)</f>
        <v>1648</v>
      </c>
      <c r="B1648" s="85" t="str">
        <f>IFERROR(__xludf.DUMMYFUNCTION("""COMPUTED_VALUE"""),"ROUPEIRO PARA VESTIARIO -")</f>
        <v>ROUPEIRO PARA VESTIARIO -</v>
      </c>
      <c r="C1648" s="86">
        <f>IFERROR(__xludf.DUMMYFUNCTION("""COMPUTED_VALUE"""),1.0)</f>
        <v>1</v>
      </c>
      <c r="D1648" s="87" t="str">
        <f>IFERROR(__xludf.DUMMYFUNCTION("""COMPUTED_VALUE"""),"SEÇÃO")</f>
        <v>SEÇÃO</v>
      </c>
      <c r="E1648" s="87" t="str">
        <f>IFERROR(__xludf.DUMMYFUNCTION("""COMPUTED_VALUE"""),"3 - CURVELO")</f>
        <v>3 - CURVELO</v>
      </c>
      <c r="F1648" s="92"/>
      <c r="G1648" s="89">
        <f>IFERROR(__xludf.DUMMYFUNCTION("""COMPUTED_VALUE"""),7.6989429E7)</f>
        <v>76989429</v>
      </c>
      <c r="H1648" s="87"/>
      <c r="I1648" s="87"/>
    </row>
    <row r="1649">
      <c r="A1649" s="84">
        <f>IFERROR(__xludf.DUMMYFUNCTION("""COMPUTED_VALUE"""),1649.0)</f>
        <v>1649</v>
      </c>
      <c r="B1649" s="85" t="str">
        <f>IFERROR(__xludf.DUMMYFUNCTION("""COMPUTED_VALUE"""),"ESTACAO DE TRABALHO -")</f>
        <v>ESTACAO DE TRABALHO -</v>
      </c>
      <c r="C1649" s="86">
        <f>IFERROR(__xludf.DUMMYFUNCTION("""COMPUTED_VALUE"""),1.0)</f>
        <v>1</v>
      </c>
      <c r="D1649" s="87" t="str">
        <f>IFERROR(__xludf.DUMMYFUNCTION("""COMPUTED_VALUE"""),"SEÇÃO")</f>
        <v>SEÇÃO</v>
      </c>
      <c r="E1649" s="87" t="str">
        <f>IFERROR(__xludf.DUMMYFUNCTION("""COMPUTED_VALUE"""),"3 - CURVELO")</f>
        <v>3 - CURVELO</v>
      </c>
      <c r="F1649" s="92"/>
      <c r="G1649" s="89">
        <f>IFERROR(__xludf.DUMMYFUNCTION("""COMPUTED_VALUE"""),3.0852153E7)</f>
        <v>30852153</v>
      </c>
      <c r="H1649" s="87"/>
      <c r="I1649" s="87"/>
    </row>
    <row r="1650">
      <c r="A1650" s="84">
        <f>IFERROR(__xludf.DUMMYFUNCTION("""COMPUTED_VALUE"""),1650.0)</f>
        <v>1650</v>
      </c>
      <c r="B1650" s="85" t="str">
        <f>IFERROR(__xludf.DUMMYFUNCTION("""COMPUTED_VALUE"""),"BARRA PARA ENCAIXE DE ANILHAS -")</f>
        <v>BARRA PARA ENCAIXE DE ANILHAS -</v>
      </c>
      <c r="C1650" s="86">
        <f>IFERROR(__xludf.DUMMYFUNCTION("""COMPUTED_VALUE"""),1.0)</f>
        <v>1</v>
      </c>
      <c r="D1650" s="87" t="str">
        <f>IFERROR(__xludf.DUMMYFUNCTION("""COMPUTED_VALUE"""),"SEÇÃO")</f>
        <v>SEÇÃO</v>
      </c>
      <c r="E1650" s="87" t="str">
        <f>IFERROR(__xludf.DUMMYFUNCTION("""COMPUTED_VALUE"""),"3 - ALMOX. ESTOQUE")</f>
        <v>3 - ALMOX. ESTOQUE</v>
      </c>
      <c r="F1650" s="92"/>
      <c r="G1650" s="89">
        <f>IFERROR(__xludf.DUMMYFUNCTION("""COMPUTED_VALUE"""),7.6917215E7)</f>
        <v>76917215</v>
      </c>
      <c r="H1650" s="87"/>
      <c r="I1650" s="87"/>
    </row>
    <row r="1651">
      <c r="A1651" s="84">
        <f>IFERROR(__xludf.DUMMYFUNCTION("""COMPUTED_VALUE"""),1651.0)</f>
        <v>1651</v>
      </c>
      <c r="B1651" s="85" t="str">
        <f>IFERROR(__xludf.DUMMYFUNCTION("""COMPUTED_VALUE"""),"BARRA PARA PULLEY -")</f>
        <v>BARRA PARA PULLEY -</v>
      </c>
      <c r="C1651" s="86">
        <f>IFERROR(__xludf.DUMMYFUNCTION("""COMPUTED_VALUE"""),1.0)</f>
        <v>1</v>
      </c>
      <c r="D1651" s="87" t="str">
        <f>IFERROR(__xludf.DUMMYFUNCTION("""COMPUTED_VALUE"""),"SEÇÃO")</f>
        <v>SEÇÃO</v>
      </c>
      <c r="E1651" s="87" t="str">
        <f>IFERROR(__xludf.DUMMYFUNCTION("""COMPUTED_VALUE"""),"3 - ALMOX. ESTOQUE")</f>
        <v>3 - ALMOX. ESTOQUE</v>
      </c>
      <c r="F1651" s="92"/>
      <c r="G1651" s="89">
        <f>IFERROR(__xludf.DUMMYFUNCTION("""COMPUTED_VALUE"""),7.6917223E7)</f>
        <v>76917223</v>
      </c>
      <c r="H1651" s="87"/>
      <c r="I1651" s="87"/>
    </row>
    <row r="1652">
      <c r="A1652" s="84">
        <f>IFERROR(__xludf.DUMMYFUNCTION("""COMPUTED_VALUE"""),1652.0)</f>
        <v>1652</v>
      </c>
      <c r="B1652" s="85" t="str">
        <f>IFERROR(__xludf.DUMMYFUNCTION("""COMPUTED_VALUE"""),"BARRA PARA PULLEY -")</f>
        <v>BARRA PARA PULLEY -</v>
      </c>
      <c r="C1652" s="86">
        <f>IFERROR(__xludf.DUMMYFUNCTION("""COMPUTED_VALUE"""),1.0)</f>
        <v>1</v>
      </c>
      <c r="D1652" s="87" t="str">
        <f>IFERROR(__xludf.DUMMYFUNCTION("""COMPUTED_VALUE"""),"SEÇÃO")</f>
        <v>SEÇÃO</v>
      </c>
      <c r="E1652" s="87" t="str">
        <f>IFERROR(__xludf.DUMMYFUNCTION("""COMPUTED_VALUE"""),"3 - ALMOX. ESTOQUE")</f>
        <v>3 - ALMOX. ESTOQUE</v>
      </c>
      <c r="F1652" s="92"/>
      <c r="G1652" s="89">
        <f>IFERROR(__xludf.DUMMYFUNCTION("""COMPUTED_VALUE"""),7.6917231E7)</f>
        <v>76917231</v>
      </c>
      <c r="H1652" s="87"/>
      <c r="I1652" s="87"/>
    </row>
    <row r="1653">
      <c r="A1653" s="84">
        <f>IFERROR(__xludf.DUMMYFUNCTION("""COMPUTED_VALUE"""),1653.0)</f>
        <v>1653</v>
      </c>
      <c r="B1653" s="85" t="str">
        <f>IFERROR(__xludf.DUMMYFUNCTION("""COMPUTED_VALUE"""),"BARRA PARA PULLEY -")</f>
        <v>BARRA PARA PULLEY -</v>
      </c>
      <c r="C1653" s="86">
        <f>IFERROR(__xludf.DUMMYFUNCTION("""COMPUTED_VALUE"""),1.0)</f>
        <v>1</v>
      </c>
      <c r="D1653" s="87" t="str">
        <f>IFERROR(__xludf.DUMMYFUNCTION("""COMPUTED_VALUE"""),"SEÇÃO")</f>
        <v>SEÇÃO</v>
      </c>
      <c r="E1653" s="87" t="str">
        <f>IFERROR(__xludf.DUMMYFUNCTION("""COMPUTED_VALUE"""),"3 - ALMOX. ESTOQUE")</f>
        <v>3 - ALMOX. ESTOQUE</v>
      </c>
      <c r="F1653" s="92"/>
      <c r="G1653" s="89">
        <f>IFERROR(__xludf.DUMMYFUNCTION("""COMPUTED_VALUE"""),7.691724E7)</f>
        <v>76917240</v>
      </c>
      <c r="H1653" s="87"/>
      <c r="I1653" s="87"/>
    </row>
    <row r="1654">
      <c r="A1654" s="84">
        <f>IFERROR(__xludf.DUMMYFUNCTION("""COMPUTED_VALUE"""),1654.0)</f>
        <v>1654</v>
      </c>
      <c r="B1654" s="85" t="str">
        <f>IFERROR(__xludf.DUMMYFUNCTION("""COMPUTED_VALUE"""),"CAPACETE PARA COMBATE INCENDIO -")</f>
        <v>CAPACETE PARA COMBATE INCENDIO -</v>
      </c>
      <c r="C1654" s="86">
        <f>IFERROR(__xludf.DUMMYFUNCTION("""COMPUTED_VALUE"""),1.0)</f>
        <v>1</v>
      </c>
      <c r="D1654" s="87" t="str">
        <f>IFERROR(__xludf.DUMMYFUNCTION("""COMPUTED_VALUE"""),"SEÇÃO")</f>
        <v>SEÇÃO</v>
      </c>
      <c r="E1654" s="87" t="str">
        <f>IFERROR(__xludf.DUMMYFUNCTION("""COMPUTED_VALUE"""),"3 - ALMOX. ESTOQUE")</f>
        <v>3 - ALMOX. ESTOQUE</v>
      </c>
      <c r="F1654" s="92" t="str">
        <f>IFERROR(__xludf.DUMMYFUNCTION("""COMPUTED_VALUE"""),"SAO")</f>
        <v>SAO</v>
      </c>
      <c r="G1654" s="89">
        <f>IFERROR(__xludf.DUMMYFUNCTION("""COMPUTED_VALUE"""),7.6906205E7)</f>
        <v>76906205</v>
      </c>
      <c r="H1654" s="87"/>
      <c r="I1654" s="87"/>
    </row>
    <row r="1655">
      <c r="A1655" s="84">
        <f>IFERROR(__xludf.DUMMYFUNCTION("""COMPUTED_VALUE"""),1655.0)</f>
        <v>1655</v>
      </c>
      <c r="B1655" s="85" t="str">
        <f>IFERROR(__xludf.DUMMYFUNCTION("""COMPUTED_VALUE"""),"ESTANTE PARA ALMOXARIFADO -")</f>
        <v>ESTANTE PARA ALMOXARIFADO -</v>
      </c>
      <c r="C1655" s="86">
        <f>IFERROR(__xludf.DUMMYFUNCTION("""COMPUTED_VALUE"""),1.0)</f>
        <v>1</v>
      </c>
      <c r="D1655" s="87" t="str">
        <f>IFERROR(__xludf.DUMMYFUNCTION("""COMPUTED_VALUE"""),"SEÇÃO")</f>
        <v>SEÇÃO</v>
      </c>
      <c r="E1655" s="87" t="str">
        <f>IFERROR(__xludf.DUMMYFUNCTION("""COMPUTED_VALUE"""),"3 - ALMOX. ESTOQUE")</f>
        <v>3 - ALMOX. ESTOQUE</v>
      </c>
      <c r="F1655" s="92"/>
      <c r="G1655" s="89">
        <f>IFERROR(__xludf.DUMMYFUNCTION("""COMPUTED_VALUE"""),1.2912373E8)</f>
        <v>129123730</v>
      </c>
      <c r="H1655" s="87"/>
      <c r="I1655" s="87"/>
    </row>
    <row r="1656">
      <c r="A1656" s="84">
        <f>IFERROR(__xludf.DUMMYFUNCTION("""COMPUTED_VALUE"""),1656.0)</f>
        <v>1656</v>
      </c>
      <c r="B1656" s="85" t="str">
        <f>IFERROR(__xludf.DUMMYFUNCTION("""COMPUTED_VALUE"""),"AR CONDICIONADO SPLIT -")</f>
        <v>AR CONDICIONADO SPLIT -</v>
      </c>
      <c r="C1656" s="86">
        <f>IFERROR(__xludf.DUMMYFUNCTION("""COMPUTED_VALUE"""),1.0)</f>
        <v>1</v>
      </c>
      <c r="D1656" s="87" t="str">
        <f>IFERROR(__xludf.DUMMYFUNCTION("""COMPUTED_VALUE"""),"SEÇÃO")</f>
        <v>SEÇÃO</v>
      </c>
      <c r="E1656" s="87" t="str">
        <f>IFERROR(__xludf.DUMMYFUNCTION("""COMPUTED_VALUE"""),"3 - CURVELO")</f>
        <v>3 - CURVELO</v>
      </c>
      <c r="F1656" s="92"/>
      <c r="G1656" s="89">
        <f>IFERROR(__xludf.DUMMYFUNCTION("""COMPUTED_VALUE"""),7.700171E7)</f>
        <v>77001710</v>
      </c>
      <c r="H1656" s="87"/>
      <c r="I1656" s="87"/>
    </row>
    <row r="1657">
      <c r="A1657" s="84">
        <f>IFERROR(__xludf.DUMMYFUNCTION("""COMPUTED_VALUE"""),1657.0)</f>
        <v>1657</v>
      </c>
      <c r="B1657" s="85" t="str">
        <f>IFERROR(__xludf.DUMMYFUNCTION("""COMPUTED_VALUE"""),"AR CONDICIONADO SPLIT -")</f>
        <v>AR CONDICIONADO SPLIT -</v>
      </c>
      <c r="C1657" s="86">
        <f>IFERROR(__xludf.DUMMYFUNCTION("""COMPUTED_VALUE"""),1.0)</f>
        <v>1</v>
      </c>
      <c r="D1657" s="87" t="str">
        <f>IFERROR(__xludf.DUMMYFUNCTION("""COMPUTED_VALUE"""),"SEÇÃO")</f>
        <v>SEÇÃO</v>
      </c>
      <c r="E1657" s="87" t="str">
        <f>IFERROR(__xludf.DUMMYFUNCTION("""COMPUTED_VALUE"""),"3 - CURVELO")</f>
        <v>3 - CURVELO</v>
      </c>
      <c r="F1657" s="92"/>
      <c r="G1657" s="89">
        <f>IFERROR(__xludf.DUMMYFUNCTION("""COMPUTED_VALUE"""),7.7001729E7)</f>
        <v>77001729</v>
      </c>
      <c r="H1657" s="87"/>
      <c r="I1657" s="87"/>
    </row>
    <row r="1658">
      <c r="A1658" s="84">
        <f>IFERROR(__xludf.DUMMYFUNCTION("""COMPUTED_VALUE"""),1658.0)</f>
        <v>1658</v>
      </c>
      <c r="B1658" s="85" t="str">
        <f>IFERROR(__xludf.DUMMYFUNCTION("""COMPUTED_VALUE"""),"ASPIRADOR DE PO E/OU LIQUIDOS -")</f>
        <v>ASPIRADOR DE PO E/OU LIQUIDOS -</v>
      </c>
      <c r="C1658" s="86">
        <f>IFERROR(__xludf.DUMMYFUNCTION("""COMPUTED_VALUE"""),1.0)</f>
        <v>1</v>
      </c>
      <c r="D1658" s="87" t="str">
        <f>IFERROR(__xludf.DUMMYFUNCTION("""COMPUTED_VALUE"""),"SEÇÃO")</f>
        <v>SEÇÃO</v>
      </c>
      <c r="E1658" s="87" t="str">
        <f>IFERROR(__xludf.DUMMYFUNCTION("""COMPUTED_VALUE"""),"3 - CURVELO")</f>
        <v>3 - CURVELO</v>
      </c>
      <c r="F1658" s="92"/>
      <c r="G1658" s="89">
        <f>IFERROR(__xludf.DUMMYFUNCTION("""COMPUTED_VALUE"""),7.6918165E7)</f>
        <v>76918165</v>
      </c>
      <c r="H1658" s="87"/>
      <c r="I1658" s="87"/>
    </row>
    <row r="1659">
      <c r="A1659" s="84">
        <f>IFERROR(__xludf.DUMMYFUNCTION("""COMPUTED_VALUE"""),1659.0)</f>
        <v>1659</v>
      </c>
      <c r="B1659" s="85" t="str">
        <f>IFERROR(__xludf.DUMMYFUNCTION("""COMPUTED_VALUE"""),"CADEIRA PARA ESCRITORIO -")</f>
        <v>CADEIRA PARA ESCRITORIO -</v>
      </c>
      <c r="C1659" s="86">
        <f>IFERROR(__xludf.DUMMYFUNCTION("""COMPUTED_VALUE"""),1.0)</f>
        <v>1</v>
      </c>
      <c r="D1659" s="87" t="str">
        <f>IFERROR(__xludf.DUMMYFUNCTION("""COMPUTED_VALUE"""),"SEÇÃO")</f>
        <v>SEÇÃO</v>
      </c>
      <c r="E1659" s="87" t="str">
        <f>IFERROR(__xludf.DUMMYFUNCTION("""COMPUTED_VALUE"""),"3 - CURVELO")</f>
        <v>3 - CURVELO</v>
      </c>
      <c r="F1659" s="92"/>
      <c r="G1659" s="89">
        <f>IFERROR(__xludf.DUMMYFUNCTION("""COMPUTED_VALUE"""),7.6918645E7)</f>
        <v>76918645</v>
      </c>
      <c r="H1659" s="87"/>
      <c r="I1659" s="87"/>
    </row>
    <row r="1660">
      <c r="A1660" s="84">
        <f>IFERROR(__xludf.DUMMYFUNCTION("""COMPUTED_VALUE"""),1660.0)</f>
        <v>1660</v>
      </c>
      <c r="B1660" s="85" t="str">
        <f>IFERROR(__xludf.DUMMYFUNCTION("""COMPUTED_VALUE"""),"CADEIRA PARA ESCRITORIO -")</f>
        <v>CADEIRA PARA ESCRITORIO -</v>
      </c>
      <c r="C1660" s="86">
        <f>IFERROR(__xludf.DUMMYFUNCTION("""COMPUTED_VALUE"""),1.0)</f>
        <v>1</v>
      </c>
      <c r="D1660" s="87" t="str">
        <f>IFERROR(__xludf.DUMMYFUNCTION("""COMPUTED_VALUE"""),"SEÇÃO")</f>
        <v>SEÇÃO</v>
      </c>
      <c r="E1660" s="87" t="str">
        <f>IFERROR(__xludf.DUMMYFUNCTION("""COMPUTED_VALUE"""),"3 - CURVELO")</f>
        <v>3 - CURVELO</v>
      </c>
      <c r="F1660" s="92"/>
      <c r="G1660" s="89">
        <f>IFERROR(__xludf.DUMMYFUNCTION("""COMPUTED_VALUE"""),7.6918653E7)</f>
        <v>76918653</v>
      </c>
      <c r="H1660" s="87"/>
      <c r="I1660" s="87"/>
    </row>
    <row r="1661">
      <c r="A1661" s="84">
        <f>IFERROR(__xludf.DUMMYFUNCTION("""COMPUTED_VALUE"""),1661.0)</f>
        <v>1661</v>
      </c>
      <c r="B1661" s="85" t="str">
        <f>IFERROR(__xludf.DUMMYFUNCTION("""COMPUTED_VALUE"""),"CADEIRA PARA ESCRITORIO -")</f>
        <v>CADEIRA PARA ESCRITORIO -</v>
      </c>
      <c r="C1661" s="86">
        <f>IFERROR(__xludf.DUMMYFUNCTION("""COMPUTED_VALUE"""),1.0)</f>
        <v>1</v>
      </c>
      <c r="D1661" s="87" t="str">
        <f>IFERROR(__xludf.DUMMYFUNCTION("""COMPUTED_VALUE"""),"SEÇÃO")</f>
        <v>SEÇÃO</v>
      </c>
      <c r="E1661" s="87" t="str">
        <f>IFERROR(__xludf.DUMMYFUNCTION("""COMPUTED_VALUE"""),"3 - CURVELO")</f>
        <v>3 - CURVELO</v>
      </c>
      <c r="F1661" s="92"/>
      <c r="G1661" s="89">
        <f>IFERROR(__xludf.DUMMYFUNCTION("""COMPUTED_VALUE"""),7.6918661E7)</f>
        <v>76918661</v>
      </c>
      <c r="H1661" s="87"/>
      <c r="I1661" s="87"/>
    </row>
    <row r="1662">
      <c r="A1662" s="84">
        <f>IFERROR(__xludf.DUMMYFUNCTION("""COMPUTED_VALUE"""),1662.0)</f>
        <v>1662</v>
      </c>
      <c r="B1662" s="85" t="str">
        <f>IFERROR(__xludf.DUMMYFUNCTION("""COMPUTED_VALUE"""),"CADEIRA PARA ESCRITORIO -")</f>
        <v>CADEIRA PARA ESCRITORIO -</v>
      </c>
      <c r="C1662" s="86">
        <f>IFERROR(__xludf.DUMMYFUNCTION("""COMPUTED_VALUE"""),1.0)</f>
        <v>1</v>
      </c>
      <c r="D1662" s="87" t="str">
        <f>IFERROR(__xludf.DUMMYFUNCTION("""COMPUTED_VALUE"""),"SEÇÃO")</f>
        <v>SEÇÃO</v>
      </c>
      <c r="E1662" s="87" t="str">
        <f>IFERROR(__xludf.DUMMYFUNCTION("""COMPUTED_VALUE"""),"3 - CURVELO")</f>
        <v>3 - CURVELO</v>
      </c>
      <c r="F1662" s="92"/>
      <c r="G1662" s="89">
        <f>IFERROR(__xludf.DUMMYFUNCTION("""COMPUTED_VALUE"""),7.691867E7)</f>
        <v>76918670</v>
      </c>
      <c r="H1662" s="87"/>
      <c r="I1662" s="87"/>
    </row>
    <row r="1663">
      <c r="A1663" s="84">
        <f>IFERROR(__xludf.DUMMYFUNCTION("""COMPUTED_VALUE"""),1663.0)</f>
        <v>1663</v>
      </c>
      <c r="B1663" s="85" t="str">
        <f>IFERROR(__xludf.DUMMYFUNCTION("""COMPUTED_VALUE"""),"CADEIRA PARA ESCRITORIO -")</f>
        <v>CADEIRA PARA ESCRITORIO -</v>
      </c>
      <c r="C1663" s="86">
        <f>IFERROR(__xludf.DUMMYFUNCTION("""COMPUTED_VALUE"""),1.0)</f>
        <v>1</v>
      </c>
      <c r="D1663" s="87" t="str">
        <f>IFERROR(__xludf.DUMMYFUNCTION("""COMPUTED_VALUE"""),"SEÇÃO")</f>
        <v>SEÇÃO</v>
      </c>
      <c r="E1663" s="87" t="str">
        <f>IFERROR(__xludf.DUMMYFUNCTION("""COMPUTED_VALUE"""),"3 - CURVELO")</f>
        <v>3 - CURVELO</v>
      </c>
      <c r="F1663" s="92"/>
      <c r="G1663" s="89">
        <f>IFERROR(__xludf.DUMMYFUNCTION("""COMPUTED_VALUE"""),7.6918688E7)</f>
        <v>76918688</v>
      </c>
      <c r="H1663" s="87"/>
      <c r="I1663" s="87"/>
    </row>
    <row r="1664">
      <c r="A1664" s="84">
        <f>IFERROR(__xludf.DUMMYFUNCTION("""COMPUTED_VALUE"""),1664.0)</f>
        <v>1664</v>
      </c>
      <c r="B1664" s="85" t="str">
        <f>IFERROR(__xludf.DUMMYFUNCTION("""COMPUTED_VALUE"""),"CADEIRA PARA ESCRITORIO -")</f>
        <v>CADEIRA PARA ESCRITORIO -</v>
      </c>
      <c r="C1664" s="86">
        <f>IFERROR(__xludf.DUMMYFUNCTION("""COMPUTED_VALUE"""),1.0)</f>
        <v>1</v>
      </c>
      <c r="D1664" s="87" t="str">
        <f>IFERROR(__xludf.DUMMYFUNCTION("""COMPUTED_VALUE"""),"SEÇÃO")</f>
        <v>SEÇÃO</v>
      </c>
      <c r="E1664" s="87" t="str">
        <f>IFERROR(__xludf.DUMMYFUNCTION("""COMPUTED_VALUE"""),"3 - CURVELO")</f>
        <v>3 - CURVELO</v>
      </c>
      <c r="F1664" s="92"/>
      <c r="G1664" s="89">
        <f>IFERROR(__xludf.DUMMYFUNCTION("""COMPUTED_VALUE"""),7.6918696E7)</f>
        <v>76918696</v>
      </c>
      <c r="H1664" s="87"/>
      <c r="I1664" s="87"/>
    </row>
    <row r="1665">
      <c r="A1665" s="84">
        <f>IFERROR(__xludf.DUMMYFUNCTION("""COMPUTED_VALUE"""),1665.0)</f>
        <v>1665</v>
      </c>
      <c r="B1665" s="85" t="str">
        <f>IFERROR(__xludf.DUMMYFUNCTION("""COMPUTED_VALUE"""),"CADEIRA PARA ESCRITORIO -")</f>
        <v>CADEIRA PARA ESCRITORIO -</v>
      </c>
      <c r="C1665" s="86">
        <f>IFERROR(__xludf.DUMMYFUNCTION("""COMPUTED_VALUE"""),1.0)</f>
        <v>1</v>
      </c>
      <c r="D1665" s="87" t="str">
        <f>IFERROR(__xludf.DUMMYFUNCTION("""COMPUTED_VALUE"""),"SEÇÃO")</f>
        <v>SEÇÃO</v>
      </c>
      <c r="E1665" s="87" t="str">
        <f>IFERROR(__xludf.DUMMYFUNCTION("""COMPUTED_VALUE"""),"3 - CURVELO")</f>
        <v>3 - CURVELO</v>
      </c>
      <c r="F1665" s="92"/>
      <c r="G1665" s="89">
        <f>IFERROR(__xludf.DUMMYFUNCTION("""COMPUTED_VALUE"""),7.69187E7)</f>
        <v>76918700</v>
      </c>
      <c r="H1665" s="87"/>
      <c r="I1665" s="87"/>
    </row>
    <row r="1666">
      <c r="A1666" s="84">
        <f>IFERROR(__xludf.DUMMYFUNCTION("""COMPUTED_VALUE"""),1666.0)</f>
        <v>1666</v>
      </c>
      <c r="B1666" s="85" t="str">
        <f>IFERROR(__xludf.DUMMYFUNCTION("""COMPUTED_VALUE"""),"CAMA -")</f>
        <v>CAMA -</v>
      </c>
      <c r="C1666" s="86">
        <f>IFERROR(__xludf.DUMMYFUNCTION("""COMPUTED_VALUE"""),1.0)</f>
        <v>1</v>
      </c>
      <c r="D1666" s="87" t="str">
        <f>IFERROR(__xludf.DUMMYFUNCTION("""COMPUTED_VALUE"""),"SEÇÃO")</f>
        <v>SEÇÃO</v>
      </c>
      <c r="E1666" s="87" t="str">
        <f>IFERROR(__xludf.DUMMYFUNCTION("""COMPUTED_VALUE"""),"3 - CURVELO")</f>
        <v>3 - CURVELO</v>
      </c>
      <c r="F1666" s="92"/>
      <c r="G1666" s="89">
        <f>IFERROR(__xludf.DUMMYFUNCTION("""COMPUTED_VALUE"""),7.6990184E7)</f>
        <v>76990184</v>
      </c>
      <c r="H1666" s="87"/>
      <c r="I1666" s="87"/>
    </row>
    <row r="1667">
      <c r="A1667" s="84">
        <f>IFERROR(__xludf.DUMMYFUNCTION("""COMPUTED_VALUE"""),1667.0)</f>
        <v>1667</v>
      </c>
      <c r="B1667" s="85" t="str">
        <f>IFERROR(__xludf.DUMMYFUNCTION("""COMPUTED_VALUE"""),"CAMA -")</f>
        <v>CAMA -</v>
      </c>
      <c r="C1667" s="86">
        <f>IFERROR(__xludf.DUMMYFUNCTION("""COMPUTED_VALUE"""),1.0)</f>
        <v>1</v>
      </c>
      <c r="D1667" s="87" t="str">
        <f>IFERROR(__xludf.DUMMYFUNCTION("""COMPUTED_VALUE"""),"SEÇÃO")</f>
        <v>SEÇÃO</v>
      </c>
      <c r="E1667" s="87" t="str">
        <f>IFERROR(__xludf.DUMMYFUNCTION("""COMPUTED_VALUE"""),"3 - CURVELO")</f>
        <v>3 - CURVELO</v>
      </c>
      <c r="F1667" s="92"/>
      <c r="G1667" s="89">
        <f>IFERROR(__xludf.DUMMYFUNCTION("""COMPUTED_VALUE"""),7.6990192E7)</f>
        <v>76990192</v>
      </c>
      <c r="H1667" s="87"/>
      <c r="I1667" s="87"/>
    </row>
    <row r="1668">
      <c r="A1668" s="84">
        <f>IFERROR(__xludf.DUMMYFUNCTION("""COMPUTED_VALUE"""),1668.0)</f>
        <v>1668</v>
      </c>
      <c r="B1668" s="85" t="str">
        <f>IFERROR(__xludf.DUMMYFUNCTION("""COMPUTED_VALUE"""),"CAMA -")</f>
        <v>CAMA -</v>
      </c>
      <c r="C1668" s="86">
        <f>IFERROR(__xludf.DUMMYFUNCTION("""COMPUTED_VALUE"""),1.0)</f>
        <v>1</v>
      </c>
      <c r="D1668" s="87" t="str">
        <f>IFERROR(__xludf.DUMMYFUNCTION("""COMPUTED_VALUE"""),"SEÇÃO")</f>
        <v>SEÇÃO</v>
      </c>
      <c r="E1668" s="87" t="str">
        <f>IFERROR(__xludf.DUMMYFUNCTION("""COMPUTED_VALUE"""),"3 - CURVELO")</f>
        <v>3 - CURVELO</v>
      </c>
      <c r="F1668" s="92"/>
      <c r="G1668" s="89">
        <f>IFERROR(__xludf.DUMMYFUNCTION("""COMPUTED_VALUE"""),7.6990206E7)</f>
        <v>76990206</v>
      </c>
      <c r="H1668" s="87"/>
      <c r="I1668" s="87"/>
    </row>
    <row r="1669">
      <c r="A1669" s="84">
        <f>IFERROR(__xludf.DUMMYFUNCTION("""COMPUTED_VALUE"""),1669.0)</f>
        <v>1669</v>
      </c>
      <c r="B1669" s="85" t="str">
        <f>IFERROR(__xludf.DUMMYFUNCTION("""COMPUTED_VALUE"""),"CAMA -")</f>
        <v>CAMA -</v>
      </c>
      <c r="C1669" s="86">
        <f>IFERROR(__xludf.DUMMYFUNCTION("""COMPUTED_VALUE"""),1.0)</f>
        <v>1</v>
      </c>
      <c r="D1669" s="87" t="str">
        <f>IFERROR(__xludf.DUMMYFUNCTION("""COMPUTED_VALUE"""),"SEÇÃO")</f>
        <v>SEÇÃO</v>
      </c>
      <c r="E1669" s="87" t="str">
        <f>IFERROR(__xludf.DUMMYFUNCTION("""COMPUTED_VALUE"""),"3 - CURVELO")</f>
        <v>3 - CURVELO</v>
      </c>
      <c r="F1669" s="92"/>
      <c r="G1669" s="89">
        <f>IFERROR(__xludf.DUMMYFUNCTION("""COMPUTED_VALUE"""),7.6990214E7)</f>
        <v>76990214</v>
      </c>
      <c r="H1669" s="87"/>
      <c r="I1669" s="87"/>
    </row>
    <row r="1670">
      <c r="A1670" s="84">
        <f>IFERROR(__xludf.DUMMYFUNCTION("""COMPUTED_VALUE"""),1670.0)</f>
        <v>1670</v>
      </c>
      <c r="B1670" s="85" t="str">
        <f>IFERROR(__xludf.DUMMYFUNCTION("""COMPUTED_VALUE"""),"CAMA -")</f>
        <v>CAMA -</v>
      </c>
      <c r="C1670" s="86">
        <f>IFERROR(__xludf.DUMMYFUNCTION("""COMPUTED_VALUE"""),1.0)</f>
        <v>1</v>
      </c>
      <c r="D1670" s="87" t="str">
        <f>IFERROR(__xludf.DUMMYFUNCTION("""COMPUTED_VALUE"""),"SEÇÃO")</f>
        <v>SEÇÃO</v>
      </c>
      <c r="E1670" s="87" t="str">
        <f>IFERROR(__xludf.DUMMYFUNCTION("""COMPUTED_VALUE"""),"3 - CURVELO")</f>
        <v>3 - CURVELO</v>
      </c>
      <c r="F1670" s="92"/>
      <c r="G1670" s="89">
        <f>IFERROR(__xludf.DUMMYFUNCTION("""COMPUTED_VALUE"""),7.6990222E7)</f>
        <v>76990222</v>
      </c>
      <c r="H1670" s="87"/>
      <c r="I1670" s="87"/>
    </row>
    <row r="1671">
      <c r="A1671" s="84">
        <f>IFERROR(__xludf.DUMMYFUNCTION("""COMPUTED_VALUE"""),1671.0)</f>
        <v>1671</v>
      </c>
      <c r="B1671" s="85" t="str">
        <f>IFERROR(__xludf.DUMMYFUNCTION("""COMPUTED_VALUE"""),"CAMA -")</f>
        <v>CAMA -</v>
      </c>
      <c r="C1671" s="86">
        <f>IFERROR(__xludf.DUMMYFUNCTION("""COMPUTED_VALUE"""),1.0)</f>
        <v>1</v>
      </c>
      <c r="D1671" s="87" t="str">
        <f>IFERROR(__xludf.DUMMYFUNCTION("""COMPUTED_VALUE"""),"SEÇÃO")</f>
        <v>SEÇÃO</v>
      </c>
      <c r="E1671" s="87" t="str">
        <f>IFERROR(__xludf.DUMMYFUNCTION("""COMPUTED_VALUE"""),"3 - CURVELO")</f>
        <v>3 - CURVELO</v>
      </c>
      <c r="F1671" s="92"/>
      <c r="G1671" s="89">
        <f>IFERROR(__xludf.DUMMYFUNCTION("""COMPUTED_VALUE"""),7.699023E7)</f>
        <v>76990230</v>
      </c>
      <c r="H1671" s="87"/>
      <c r="I1671" s="87"/>
    </row>
    <row r="1672">
      <c r="A1672" s="84">
        <f>IFERROR(__xludf.DUMMYFUNCTION("""COMPUTED_VALUE"""),1672.0)</f>
        <v>1672</v>
      </c>
      <c r="B1672" s="85" t="str">
        <f>IFERROR(__xludf.DUMMYFUNCTION("""COMPUTED_VALUE"""),"CAMA -")</f>
        <v>CAMA -</v>
      </c>
      <c r="C1672" s="86">
        <f>IFERROR(__xludf.DUMMYFUNCTION("""COMPUTED_VALUE"""),1.0)</f>
        <v>1</v>
      </c>
      <c r="D1672" s="87" t="str">
        <f>IFERROR(__xludf.DUMMYFUNCTION("""COMPUTED_VALUE"""),"SEÇÃO")</f>
        <v>SEÇÃO</v>
      </c>
      <c r="E1672" s="87" t="str">
        <f>IFERROR(__xludf.DUMMYFUNCTION("""COMPUTED_VALUE"""),"3 - CURVELO")</f>
        <v>3 - CURVELO</v>
      </c>
      <c r="F1672" s="92"/>
      <c r="G1672" s="89">
        <f>IFERROR(__xludf.DUMMYFUNCTION("""COMPUTED_VALUE"""),7.6990249E7)</f>
        <v>76990249</v>
      </c>
      <c r="H1672" s="87"/>
      <c r="I1672" s="87"/>
    </row>
    <row r="1673">
      <c r="A1673" s="84">
        <f>IFERROR(__xludf.DUMMYFUNCTION("""COMPUTED_VALUE"""),1673.0)</f>
        <v>1673</v>
      </c>
      <c r="B1673" s="85" t="str">
        <f>IFERROR(__xludf.DUMMYFUNCTION("""COMPUTED_VALUE"""),"CAMA -")</f>
        <v>CAMA -</v>
      </c>
      <c r="C1673" s="86">
        <f>IFERROR(__xludf.DUMMYFUNCTION("""COMPUTED_VALUE"""),1.0)</f>
        <v>1</v>
      </c>
      <c r="D1673" s="87" t="str">
        <f>IFERROR(__xludf.DUMMYFUNCTION("""COMPUTED_VALUE"""),"SEÇÃO")</f>
        <v>SEÇÃO</v>
      </c>
      <c r="E1673" s="87" t="str">
        <f>IFERROR(__xludf.DUMMYFUNCTION("""COMPUTED_VALUE"""),"3 - CURVELO")</f>
        <v>3 - CURVELO</v>
      </c>
      <c r="F1673" s="92"/>
      <c r="G1673" s="89">
        <f>IFERROR(__xludf.DUMMYFUNCTION("""COMPUTED_VALUE"""),7.6990257E7)</f>
        <v>76990257</v>
      </c>
      <c r="H1673" s="87"/>
      <c r="I1673" s="87"/>
    </row>
    <row r="1674">
      <c r="A1674" s="84">
        <f>IFERROR(__xludf.DUMMYFUNCTION("""COMPUTED_VALUE"""),1674.0)</f>
        <v>1674</v>
      </c>
      <c r="B1674" s="85" t="str">
        <f>IFERROR(__xludf.DUMMYFUNCTION("""COMPUTED_VALUE"""),"CAMA -")</f>
        <v>CAMA -</v>
      </c>
      <c r="C1674" s="86">
        <f>IFERROR(__xludf.DUMMYFUNCTION("""COMPUTED_VALUE"""),1.0)</f>
        <v>1</v>
      </c>
      <c r="D1674" s="87" t="str">
        <f>IFERROR(__xludf.DUMMYFUNCTION("""COMPUTED_VALUE"""),"SEÇÃO")</f>
        <v>SEÇÃO</v>
      </c>
      <c r="E1674" s="87" t="str">
        <f>IFERROR(__xludf.DUMMYFUNCTION("""COMPUTED_VALUE"""),"3 - CURVELO")</f>
        <v>3 - CURVELO</v>
      </c>
      <c r="F1674" s="92"/>
      <c r="G1674" s="89">
        <f>IFERROR(__xludf.DUMMYFUNCTION("""COMPUTED_VALUE"""),7.6990265E7)</f>
        <v>76990265</v>
      </c>
      <c r="H1674" s="87"/>
      <c r="I1674" s="87"/>
    </row>
    <row r="1675">
      <c r="A1675" s="84">
        <f>IFERROR(__xludf.DUMMYFUNCTION("""COMPUTED_VALUE"""),1675.0)</f>
        <v>1675</v>
      </c>
      <c r="B1675" s="85" t="str">
        <f>IFERROR(__xludf.DUMMYFUNCTION("""COMPUTED_VALUE"""),"FORNO -")</f>
        <v>FORNO -</v>
      </c>
      <c r="C1675" s="86">
        <f>IFERROR(__xludf.DUMMYFUNCTION("""COMPUTED_VALUE"""),1.0)</f>
        <v>1</v>
      </c>
      <c r="D1675" s="87" t="str">
        <f>IFERROR(__xludf.DUMMYFUNCTION("""COMPUTED_VALUE"""),"SEÇÃO")</f>
        <v>SEÇÃO</v>
      </c>
      <c r="E1675" s="87" t="str">
        <f>IFERROR(__xludf.DUMMYFUNCTION("""COMPUTED_VALUE"""),"3 - CURVELO")</f>
        <v>3 - CURVELO</v>
      </c>
      <c r="F1675" s="92"/>
      <c r="G1675" s="89">
        <f>IFERROR(__xludf.DUMMYFUNCTION("""COMPUTED_VALUE"""),7.7033604E7)</f>
        <v>77033604</v>
      </c>
      <c r="H1675" s="87"/>
      <c r="I1675" s="87"/>
    </row>
    <row r="1676">
      <c r="A1676" s="84">
        <f>IFERROR(__xludf.DUMMYFUNCTION("""COMPUTED_VALUE"""),1676.0)</f>
        <v>1676</v>
      </c>
      <c r="B1676" s="85" t="str">
        <f>IFERROR(__xludf.DUMMYFUNCTION("""COMPUTED_VALUE"""),"FORNO -")</f>
        <v>FORNO -</v>
      </c>
      <c r="C1676" s="86">
        <f>IFERROR(__xludf.DUMMYFUNCTION("""COMPUTED_VALUE"""),1.0)</f>
        <v>1</v>
      </c>
      <c r="D1676" s="87" t="str">
        <f>IFERROR(__xludf.DUMMYFUNCTION("""COMPUTED_VALUE"""),"SEÇÃO")</f>
        <v>SEÇÃO</v>
      </c>
      <c r="E1676" s="87" t="str">
        <f>IFERROR(__xludf.DUMMYFUNCTION("""COMPUTED_VALUE"""),"3 - CURVELO")</f>
        <v>3 - CURVELO</v>
      </c>
      <c r="F1676" s="92"/>
      <c r="G1676" s="89">
        <f>IFERROR(__xludf.DUMMYFUNCTION("""COMPUTED_VALUE"""),7.7004418E7)</f>
        <v>77004418</v>
      </c>
      <c r="H1676" s="87"/>
      <c r="I1676" s="87"/>
    </row>
    <row r="1677">
      <c r="A1677" s="84">
        <f>IFERROR(__xludf.DUMMYFUNCTION("""COMPUTED_VALUE"""),1677.0)</f>
        <v>1677</v>
      </c>
      <c r="B1677" s="85" t="str">
        <f>IFERROR(__xludf.DUMMYFUNCTION("""COMPUTED_VALUE"""),"LIQUIDIFICADOR -")</f>
        <v>LIQUIDIFICADOR -</v>
      </c>
      <c r="C1677" s="86">
        <f>IFERROR(__xludf.DUMMYFUNCTION("""COMPUTED_VALUE"""),1.0)</f>
        <v>1</v>
      </c>
      <c r="D1677" s="87" t="str">
        <f>IFERROR(__xludf.DUMMYFUNCTION("""COMPUTED_VALUE"""),"SEÇÃO")</f>
        <v>SEÇÃO</v>
      </c>
      <c r="E1677" s="87" t="str">
        <f>IFERROR(__xludf.DUMMYFUNCTION("""COMPUTED_VALUE"""),"3 - CURVELO")</f>
        <v>3 - CURVELO</v>
      </c>
      <c r="F1677" s="92"/>
      <c r="G1677" s="89">
        <f>IFERROR(__xludf.DUMMYFUNCTION("""COMPUTED_VALUE"""),7.6918149E7)</f>
        <v>76918149</v>
      </c>
      <c r="H1677" s="87"/>
      <c r="I1677" s="87"/>
    </row>
    <row r="1678">
      <c r="A1678" s="84">
        <f>IFERROR(__xludf.DUMMYFUNCTION("""COMPUTED_VALUE"""),1678.0)</f>
        <v>1678</v>
      </c>
      <c r="B1678" s="85" t="str">
        <f>IFERROR(__xludf.DUMMYFUNCTION("""COMPUTED_VALUE"""),"LIQUIDIFICADOR -")</f>
        <v>LIQUIDIFICADOR -</v>
      </c>
      <c r="C1678" s="86">
        <f>IFERROR(__xludf.DUMMYFUNCTION("""COMPUTED_VALUE"""),1.0)</f>
        <v>1</v>
      </c>
      <c r="D1678" s="87" t="str">
        <f>IFERROR(__xludf.DUMMYFUNCTION("""COMPUTED_VALUE"""),"SEÇÃO")</f>
        <v>SEÇÃO</v>
      </c>
      <c r="E1678" s="87" t="str">
        <f>IFERROR(__xludf.DUMMYFUNCTION("""COMPUTED_VALUE"""),"3 - CURVELO")</f>
        <v>3 - CURVELO</v>
      </c>
      <c r="F1678" s="92"/>
      <c r="G1678" s="89">
        <f>IFERROR(__xludf.DUMMYFUNCTION("""COMPUTED_VALUE"""),7.6918157E7)</f>
        <v>76918157</v>
      </c>
      <c r="H1678" s="87"/>
      <c r="I1678" s="87"/>
    </row>
    <row r="1679">
      <c r="A1679" s="84">
        <f>IFERROR(__xludf.DUMMYFUNCTION("""COMPUTED_VALUE"""),1679.0)</f>
        <v>1679</v>
      </c>
      <c r="B1679" s="85" t="str">
        <f>IFERROR(__xludf.DUMMYFUNCTION("""COMPUTED_VALUE"""),"MAQUINA DE LAVAR ROUPA, TIPO DOMESTICA -")</f>
        <v>MAQUINA DE LAVAR ROUPA, TIPO DOMESTICA -</v>
      </c>
      <c r="C1679" s="86">
        <f>IFERROR(__xludf.DUMMYFUNCTION("""COMPUTED_VALUE"""),1.0)</f>
        <v>1</v>
      </c>
      <c r="D1679" s="87" t="str">
        <f>IFERROR(__xludf.DUMMYFUNCTION("""COMPUTED_VALUE"""),"SEÇÃO")</f>
        <v>SEÇÃO</v>
      </c>
      <c r="E1679" s="87" t="str">
        <f>IFERROR(__xludf.DUMMYFUNCTION("""COMPUTED_VALUE"""),"3 - CURVELO")</f>
        <v>3 - CURVELO</v>
      </c>
      <c r="F1679" s="92"/>
      <c r="G1679" s="89">
        <f>IFERROR(__xludf.DUMMYFUNCTION("""COMPUTED_VALUE"""),7.6988252E7)</f>
        <v>76988252</v>
      </c>
      <c r="H1679" s="87"/>
      <c r="I1679" s="87"/>
    </row>
    <row r="1680">
      <c r="A1680" s="84">
        <f>IFERROR(__xludf.DUMMYFUNCTION("""COMPUTED_VALUE"""),1680.0)</f>
        <v>1680</v>
      </c>
      <c r="B1680" s="85" t="str">
        <f>IFERROR(__xludf.DUMMYFUNCTION("""COMPUTED_VALUE"""),"MESA PARA REUNIAO -")</f>
        <v>MESA PARA REUNIAO -</v>
      </c>
      <c r="C1680" s="86">
        <f>IFERROR(__xludf.DUMMYFUNCTION("""COMPUTED_VALUE"""),1.0)</f>
        <v>1</v>
      </c>
      <c r="D1680" s="87" t="str">
        <f>IFERROR(__xludf.DUMMYFUNCTION("""COMPUTED_VALUE"""),"SEÇÃO")</f>
        <v>SEÇÃO</v>
      </c>
      <c r="E1680" s="87" t="str">
        <f>IFERROR(__xludf.DUMMYFUNCTION("""COMPUTED_VALUE"""),"3 - CURVELO")</f>
        <v>3 - CURVELO</v>
      </c>
      <c r="F1680" s="92"/>
      <c r="G1680" s="89">
        <f>IFERROR(__xludf.DUMMYFUNCTION("""COMPUTED_VALUE"""),7.698558E7)</f>
        <v>76985580</v>
      </c>
      <c r="H1680" s="87"/>
      <c r="I1680" s="87"/>
    </row>
    <row r="1681">
      <c r="A1681" s="84">
        <f>IFERROR(__xludf.DUMMYFUNCTION("""COMPUTED_VALUE"""),1681.0)</f>
        <v>1681</v>
      </c>
      <c r="B1681" s="85" t="str">
        <f>IFERROR(__xludf.DUMMYFUNCTION("""COMPUTED_VALUE"""),"MESA PARA REUNIAO -")</f>
        <v>MESA PARA REUNIAO -</v>
      </c>
      <c r="C1681" s="86">
        <f>IFERROR(__xludf.DUMMYFUNCTION("""COMPUTED_VALUE"""),1.0)</f>
        <v>1</v>
      </c>
      <c r="D1681" s="87" t="str">
        <f>IFERROR(__xludf.DUMMYFUNCTION("""COMPUTED_VALUE"""),"SEÇÃO")</f>
        <v>SEÇÃO</v>
      </c>
      <c r="E1681" s="87" t="str">
        <f>IFERROR(__xludf.DUMMYFUNCTION("""COMPUTED_VALUE"""),"3 - CURVELO")</f>
        <v>3 - CURVELO</v>
      </c>
      <c r="F1681" s="92"/>
      <c r="G1681" s="89">
        <f>IFERROR(__xludf.DUMMYFUNCTION("""COMPUTED_VALUE"""),7.6999696E7)</f>
        <v>76999696</v>
      </c>
      <c r="H1681" s="87"/>
      <c r="I1681" s="87"/>
    </row>
    <row r="1682">
      <c r="A1682" s="84">
        <f>IFERROR(__xludf.DUMMYFUNCTION("""COMPUTED_VALUE"""),1682.0)</f>
        <v>1682</v>
      </c>
      <c r="B1682" s="85" t="str">
        <f>IFERROR(__xludf.DUMMYFUNCTION("""COMPUTED_VALUE"""),"MOTOR DE POPA -")</f>
        <v>MOTOR DE POPA -</v>
      </c>
      <c r="C1682" s="86">
        <f>IFERROR(__xludf.DUMMYFUNCTION("""COMPUTED_VALUE"""),1.0)</f>
        <v>1</v>
      </c>
      <c r="D1682" s="87" t="str">
        <f>IFERROR(__xludf.DUMMYFUNCTION("""COMPUTED_VALUE"""),"SEÇÃO")</f>
        <v>SEÇÃO</v>
      </c>
      <c r="E1682" s="87" t="str">
        <f>IFERROR(__xludf.DUMMYFUNCTION("""COMPUTED_VALUE"""),"3 - CURVELO")</f>
        <v>3 - CURVELO</v>
      </c>
      <c r="F1682" s="92"/>
      <c r="G1682" s="89">
        <f>IFERROR(__xludf.DUMMYFUNCTION("""COMPUTED_VALUE"""),7.6937704E7)</f>
        <v>76937704</v>
      </c>
      <c r="H1682" s="87"/>
      <c r="I1682" s="87"/>
    </row>
    <row r="1683">
      <c r="A1683" s="84">
        <f>IFERROR(__xludf.DUMMYFUNCTION("""COMPUTED_VALUE"""),1683.0)</f>
        <v>1683</v>
      </c>
      <c r="B1683" s="85" t="str">
        <f>IFERROR(__xludf.DUMMYFUNCTION("""COMPUTED_VALUE"""),"ROUPEIRO PARA VESTIARIO -")</f>
        <v>ROUPEIRO PARA VESTIARIO -</v>
      </c>
      <c r="C1683" s="86">
        <f>IFERROR(__xludf.DUMMYFUNCTION("""COMPUTED_VALUE"""),1.0)</f>
        <v>1</v>
      </c>
      <c r="D1683" s="87" t="str">
        <f>IFERROR(__xludf.DUMMYFUNCTION("""COMPUTED_VALUE"""),"SEÇÃO")</f>
        <v>SEÇÃO</v>
      </c>
      <c r="E1683" s="87" t="str">
        <f>IFERROR(__xludf.DUMMYFUNCTION("""COMPUTED_VALUE"""),"3 - CURVELO")</f>
        <v>3 - CURVELO</v>
      </c>
      <c r="F1683" s="92"/>
      <c r="G1683" s="89">
        <f>IFERROR(__xludf.DUMMYFUNCTION("""COMPUTED_VALUE"""),7.6989216E7)</f>
        <v>76989216</v>
      </c>
      <c r="H1683" s="87"/>
      <c r="I1683" s="87"/>
    </row>
    <row r="1684">
      <c r="A1684" s="84">
        <f>IFERROR(__xludf.DUMMYFUNCTION("""COMPUTED_VALUE"""),1684.0)</f>
        <v>1684</v>
      </c>
      <c r="B1684" s="85" t="str">
        <f>IFERROR(__xludf.DUMMYFUNCTION("""COMPUTED_VALUE"""),"ROUPEIRO PARA VESTIARIO -")</f>
        <v>ROUPEIRO PARA VESTIARIO -</v>
      </c>
      <c r="C1684" s="86">
        <f>IFERROR(__xludf.DUMMYFUNCTION("""COMPUTED_VALUE"""),1.0)</f>
        <v>1</v>
      </c>
      <c r="D1684" s="87" t="str">
        <f>IFERROR(__xludf.DUMMYFUNCTION("""COMPUTED_VALUE"""),"SEÇÃO")</f>
        <v>SEÇÃO</v>
      </c>
      <c r="E1684" s="87" t="str">
        <f>IFERROR(__xludf.DUMMYFUNCTION("""COMPUTED_VALUE"""),"3 - CURVELO")</f>
        <v>3 - CURVELO</v>
      </c>
      <c r="F1684" s="92"/>
      <c r="G1684" s="89">
        <f>IFERROR(__xludf.DUMMYFUNCTION("""COMPUTED_VALUE"""),7.6989224E7)</f>
        <v>76989224</v>
      </c>
      <c r="H1684" s="87"/>
      <c r="I1684" s="87"/>
    </row>
    <row r="1685">
      <c r="A1685" s="84">
        <f>IFERROR(__xludf.DUMMYFUNCTION("""COMPUTED_VALUE"""),1685.0)</f>
        <v>1685</v>
      </c>
      <c r="B1685" s="85" t="str">
        <f>IFERROR(__xludf.DUMMYFUNCTION("""COMPUTED_VALUE"""),"ROUPEIRO PARA VESTIARIO -")</f>
        <v>ROUPEIRO PARA VESTIARIO -</v>
      </c>
      <c r="C1685" s="86">
        <f>IFERROR(__xludf.DUMMYFUNCTION("""COMPUTED_VALUE"""),1.0)</f>
        <v>1</v>
      </c>
      <c r="D1685" s="87" t="str">
        <f>IFERROR(__xludf.DUMMYFUNCTION("""COMPUTED_VALUE"""),"SEÇÃO")</f>
        <v>SEÇÃO</v>
      </c>
      <c r="E1685" s="87" t="str">
        <f>IFERROR(__xludf.DUMMYFUNCTION("""COMPUTED_VALUE"""),"3 - CURVELO")</f>
        <v>3 - CURVELO</v>
      </c>
      <c r="F1685" s="92"/>
      <c r="G1685" s="89">
        <f>IFERROR(__xludf.DUMMYFUNCTION("""COMPUTED_VALUE"""),7.6989232E7)</f>
        <v>76989232</v>
      </c>
      <c r="H1685" s="87"/>
      <c r="I1685" s="87"/>
    </row>
    <row r="1686">
      <c r="A1686" s="84">
        <f>IFERROR(__xludf.DUMMYFUNCTION("""COMPUTED_VALUE"""),1686.0)</f>
        <v>1686</v>
      </c>
      <c r="B1686" s="85" t="str">
        <f>IFERROR(__xludf.DUMMYFUNCTION("""COMPUTED_VALUE"""),"TELEVISAO -")</f>
        <v>TELEVISAO -</v>
      </c>
      <c r="C1686" s="86">
        <f>IFERROR(__xludf.DUMMYFUNCTION("""COMPUTED_VALUE"""),1.0)</f>
        <v>1</v>
      </c>
      <c r="D1686" s="87" t="str">
        <f>IFERROR(__xludf.DUMMYFUNCTION("""COMPUTED_VALUE"""),"SEÇÃO")</f>
        <v>SEÇÃO</v>
      </c>
      <c r="E1686" s="87" t="str">
        <f>IFERROR(__xludf.DUMMYFUNCTION("""COMPUTED_VALUE"""),"3 - CURVELO")</f>
        <v>3 - CURVELO</v>
      </c>
      <c r="F1686" s="92"/>
      <c r="G1686" s="89">
        <f>IFERROR(__xludf.DUMMYFUNCTION("""COMPUTED_VALUE"""),7.7032187E7)</f>
        <v>77032187</v>
      </c>
      <c r="H1686" s="87"/>
      <c r="I1686" s="87"/>
    </row>
    <row r="1687">
      <c r="A1687" s="84">
        <f>IFERROR(__xludf.DUMMYFUNCTION("""COMPUTED_VALUE"""),1687.0)</f>
        <v>1687</v>
      </c>
      <c r="B1687" s="85" t="str">
        <f>IFERROR(__xludf.DUMMYFUNCTION("""COMPUTED_VALUE"""),"GRAVADOR PARA EQUIPAMENTO DE COMUNICACAO -")</f>
        <v>GRAVADOR PARA EQUIPAMENTO DE COMUNICACAO -</v>
      </c>
      <c r="C1687" s="86">
        <f>IFERROR(__xludf.DUMMYFUNCTION("""COMPUTED_VALUE"""),1.0)</f>
        <v>1</v>
      </c>
      <c r="D1687" s="87" t="str">
        <f>IFERROR(__xludf.DUMMYFUNCTION("""COMPUTED_VALUE"""),"SEÇÃO")</f>
        <v>SEÇÃO</v>
      </c>
      <c r="E1687" s="87" t="str">
        <f>IFERROR(__xludf.DUMMYFUNCTION("""COMPUTED_VALUE"""),"3 - CURVELO")</f>
        <v>3 - CURVELO</v>
      </c>
      <c r="F1687" s="92"/>
      <c r="G1687" s="89">
        <f>IFERROR(__xludf.DUMMYFUNCTION("""COMPUTED_VALUE"""),4.0304426E7)</f>
        <v>40304426</v>
      </c>
      <c r="H1687" s="87"/>
      <c r="I1687" s="87"/>
    </row>
    <row r="1688">
      <c r="A1688" s="84">
        <f>IFERROR(__xludf.DUMMYFUNCTION("""COMPUTED_VALUE"""),1688.0)</f>
        <v>1688</v>
      </c>
      <c r="B1688" s="85" t="str">
        <f>IFERROR(__xludf.DUMMYFUNCTION("""COMPUTED_VALUE"""),"RADIO TRANSCEPTOR -")</f>
        <v>RADIO TRANSCEPTOR -</v>
      </c>
      <c r="C1688" s="86">
        <f>IFERROR(__xludf.DUMMYFUNCTION("""COMPUTED_VALUE"""),1.0)</f>
        <v>1</v>
      </c>
      <c r="D1688" s="87" t="str">
        <f>IFERROR(__xludf.DUMMYFUNCTION("""COMPUTED_VALUE"""),"MILITAR")</f>
        <v>MILITAR</v>
      </c>
      <c r="E1688" s="87" t="str">
        <f>IFERROR(__xludf.DUMMYFUNCTION("""COMPUTED_VALUE"""),"2 - 1º SGT DAVIDSON GATTI")</f>
        <v>2 - 1º SGT DAVIDSON GATTI</v>
      </c>
      <c r="F1688" s="92"/>
      <c r="G1688" s="89">
        <f>IFERROR(__xludf.DUMMYFUNCTION("""COMPUTED_VALUE"""),7.6716511E7)</f>
        <v>76716511</v>
      </c>
      <c r="H1688" s="87"/>
      <c r="I1688" s="87" t="str">
        <f>IFERROR(__xludf.DUMMYFUNCTION("""COMPUTED_VALUE"""),"Acautelado na ficha de recebimento do Suprimentos no dia 13/04/2026")</f>
        <v>Acautelado na ficha de recebimento do Suprimentos no dia 13/04/2026</v>
      </c>
    </row>
    <row r="1689">
      <c r="A1689" s="84">
        <f>IFERROR(__xludf.DUMMYFUNCTION("""COMPUTED_VALUE"""),1689.0)</f>
        <v>1689</v>
      </c>
      <c r="B1689" s="85" t="str">
        <f>IFERROR(__xludf.DUMMYFUNCTION("""COMPUTED_VALUE"""),"RADIO TRANSCEPTOR -")</f>
        <v>RADIO TRANSCEPTOR -</v>
      </c>
      <c r="C1689" s="86">
        <f>IFERROR(__xludf.DUMMYFUNCTION("""COMPUTED_VALUE"""),1.0)</f>
        <v>1</v>
      </c>
      <c r="D1689" s="87" t="str">
        <f>IFERROR(__xludf.DUMMYFUNCTION("""COMPUTED_VALUE"""),"SEÇÃO")</f>
        <v>SEÇÃO</v>
      </c>
      <c r="E1689" s="87" t="str">
        <f>IFERROR(__xludf.DUMMYFUNCTION("""COMPUTED_VALUE"""),"3 - SAO")</f>
        <v>3 - SAO</v>
      </c>
      <c r="F1689" s="92"/>
      <c r="G1689" s="89">
        <f>IFERROR(__xludf.DUMMYFUNCTION("""COMPUTED_VALUE"""),7.6716546E7)</f>
        <v>76716546</v>
      </c>
      <c r="H1689" s="87"/>
      <c r="I1689" s="87"/>
    </row>
    <row r="1690">
      <c r="A1690" s="84">
        <f>IFERROR(__xludf.DUMMYFUNCTION("""COMPUTED_VALUE"""),1690.0)</f>
        <v>1690</v>
      </c>
      <c r="B1690" s="85" t="str">
        <f>IFERROR(__xludf.DUMMYFUNCTION("""COMPUTED_VALUE"""),"RADIO TRANSCEPTOR -")</f>
        <v>RADIO TRANSCEPTOR -</v>
      </c>
      <c r="C1690" s="86">
        <f>IFERROR(__xludf.DUMMYFUNCTION("""COMPUTED_VALUE"""),1.0)</f>
        <v>1</v>
      </c>
      <c r="D1690" s="87" t="str">
        <f>IFERROR(__xludf.DUMMYFUNCTION("""COMPUTED_VALUE"""),"SEÇÃO")</f>
        <v>SEÇÃO</v>
      </c>
      <c r="E1690" s="87" t="str">
        <f>IFERROR(__xludf.DUMMYFUNCTION("""COMPUTED_VALUE"""),"3 - SAO")</f>
        <v>3 - SAO</v>
      </c>
      <c r="F1690" s="92"/>
      <c r="G1690" s="89">
        <f>IFERROR(__xludf.DUMMYFUNCTION("""COMPUTED_VALUE"""),7.671666E7)</f>
        <v>76716660</v>
      </c>
      <c r="H1690" s="87"/>
      <c r="I1690" s="87"/>
    </row>
    <row r="1691">
      <c r="A1691" s="84">
        <f>IFERROR(__xludf.DUMMYFUNCTION("""COMPUTED_VALUE"""),1691.0)</f>
        <v>1691</v>
      </c>
      <c r="B1691" s="85" t="str">
        <f>IFERROR(__xludf.DUMMYFUNCTION("""COMPUTED_VALUE"""),"RADIO TRANSCEPTOR -")</f>
        <v>RADIO TRANSCEPTOR -</v>
      </c>
      <c r="C1691" s="86">
        <f>IFERROR(__xludf.DUMMYFUNCTION("""COMPUTED_VALUE"""),1.0)</f>
        <v>1</v>
      </c>
      <c r="D1691" s="87" t="str">
        <f>IFERROR(__xludf.DUMMYFUNCTION("""COMPUTED_VALUE"""),"SEÇÃO")</f>
        <v>SEÇÃO</v>
      </c>
      <c r="E1691" s="87" t="str">
        <f>IFERROR(__xludf.DUMMYFUNCTION("""COMPUTED_VALUE"""),"3 - SAO")</f>
        <v>3 - SAO</v>
      </c>
      <c r="F1691" s="92"/>
      <c r="G1691" s="89">
        <f>IFERROR(__xludf.DUMMYFUNCTION("""COMPUTED_VALUE"""),7.671697E7)</f>
        <v>76716970</v>
      </c>
      <c r="H1691" s="87"/>
      <c r="I1691" s="87"/>
    </row>
    <row r="1692">
      <c r="A1692" s="84">
        <f>IFERROR(__xludf.DUMMYFUNCTION("""COMPUTED_VALUE"""),1692.0)</f>
        <v>1692</v>
      </c>
      <c r="B1692" s="85" t="str">
        <f>IFERROR(__xludf.DUMMYFUNCTION("""COMPUTED_VALUE"""),"RADIO TRANSCEPTOR -")</f>
        <v>RADIO TRANSCEPTOR -</v>
      </c>
      <c r="C1692" s="86">
        <f>IFERROR(__xludf.DUMMYFUNCTION("""COMPUTED_VALUE"""),1.0)</f>
        <v>1</v>
      </c>
      <c r="D1692" s="87" t="str">
        <f>IFERROR(__xludf.DUMMYFUNCTION("""COMPUTED_VALUE"""),"SEÇÃO")</f>
        <v>SEÇÃO</v>
      </c>
      <c r="E1692" s="87" t="str">
        <f>IFERROR(__xludf.DUMMYFUNCTION("""COMPUTED_VALUE"""),"3 - SAO")</f>
        <v>3 - SAO</v>
      </c>
      <c r="F1692" s="92"/>
      <c r="G1692" s="89">
        <f>IFERROR(__xludf.DUMMYFUNCTION("""COMPUTED_VALUE"""),7.671778E7)</f>
        <v>76717780</v>
      </c>
      <c r="H1692" s="87"/>
      <c r="I1692" s="87"/>
    </row>
    <row r="1693">
      <c r="A1693" s="84">
        <f>IFERROR(__xludf.DUMMYFUNCTION("""COMPUTED_VALUE"""),1693.0)</f>
        <v>1693</v>
      </c>
      <c r="B1693" s="85" t="str">
        <f>IFERROR(__xludf.DUMMYFUNCTION("""COMPUTED_VALUE"""),"RADIO TRANSCEPTOR -")</f>
        <v>RADIO TRANSCEPTOR -</v>
      </c>
      <c r="C1693" s="86">
        <f>IFERROR(__xludf.DUMMYFUNCTION("""COMPUTED_VALUE"""),1.0)</f>
        <v>1</v>
      </c>
      <c r="D1693" s="87" t="str">
        <f>IFERROR(__xludf.DUMMYFUNCTION("""COMPUTED_VALUE"""),"SEÇÃO")</f>
        <v>SEÇÃO</v>
      </c>
      <c r="E1693" s="87" t="str">
        <f>IFERROR(__xludf.DUMMYFUNCTION("""COMPUTED_VALUE"""),"3 - SAO")</f>
        <v>3 - SAO</v>
      </c>
      <c r="F1693" s="92"/>
      <c r="G1693" s="89">
        <f>IFERROR(__xludf.DUMMYFUNCTION("""COMPUTED_VALUE"""),7.6718077E7)</f>
        <v>76718077</v>
      </c>
      <c r="H1693" s="87"/>
      <c r="I1693" s="87"/>
    </row>
    <row r="1694">
      <c r="A1694" s="84">
        <f>IFERROR(__xludf.DUMMYFUNCTION("""COMPUTED_VALUE"""),1694.0)</f>
        <v>1694</v>
      </c>
      <c r="B1694" s="85" t="str">
        <f>IFERROR(__xludf.DUMMYFUNCTION("""COMPUTED_VALUE"""),"TERMOVISOR -")</f>
        <v>TERMOVISOR -</v>
      </c>
      <c r="C1694" s="86">
        <f>IFERROR(__xludf.DUMMYFUNCTION("""COMPUTED_VALUE"""),1.0)</f>
        <v>1</v>
      </c>
      <c r="D1694" s="87" t="str">
        <f>IFERROR(__xludf.DUMMYFUNCTION("""COMPUTED_VALUE"""),"SEÇÃO")</f>
        <v>SEÇÃO</v>
      </c>
      <c r="E1694" s="87" t="str">
        <f>IFERROR(__xludf.DUMMYFUNCTION("""COMPUTED_VALUE"""),"3 - 1ª CIA OP")</f>
        <v>3 - 1ª CIA OP</v>
      </c>
      <c r="F1694" s="92" t="str">
        <f>IFERROR(__xludf.DUMMYFUNCTION("""COMPUTED_VALUE"""),"CPD")</f>
        <v>CPD</v>
      </c>
      <c r="G1694" s="89">
        <f>IFERROR(__xludf.DUMMYFUNCTION("""COMPUTED_VALUE"""),7.697711E7)</f>
        <v>76977110</v>
      </c>
      <c r="H1694" s="87"/>
      <c r="I1694" s="87"/>
    </row>
    <row r="1695">
      <c r="A1695" s="84">
        <f>IFERROR(__xludf.DUMMYFUNCTION("""COMPUTED_VALUE"""),1695.0)</f>
        <v>1695</v>
      </c>
      <c r="B1695" s="85" t="str">
        <f>IFERROR(__xludf.DUMMYFUNCTION("""COMPUTED_VALUE"""),"BOMBA COSTAL PARA COMBATE A INCENDIO -")</f>
        <v>BOMBA COSTAL PARA COMBATE A INCENDIO -</v>
      </c>
      <c r="C1695" s="86">
        <f>IFERROR(__xludf.DUMMYFUNCTION("""COMPUTED_VALUE"""),1.0)</f>
        <v>1</v>
      </c>
      <c r="D1695" s="87" t="str">
        <f>IFERROR(__xludf.DUMMYFUNCTION("""COMPUTED_VALUE"""),"SEÇÃO")</f>
        <v>SEÇÃO</v>
      </c>
      <c r="E1695" s="87" t="str">
        <f>IFERROR(__xludf.DUMMYFUNCTION("""COMPUTED_VALUE"""),"3 - CURVELO")</f>
        <v>3 - CURVELO</v>
      </c>
      <c r="F1695" s="92"/>
      <c r="G1695" s="89">
        <f>IFERROR(__xludf.DUMMYFUNCTION("""COMPUTED_VALUE"""),7.7015924E7)</f>
        <v>77015924</v>
      </c>
      <c r="H1695" s="87"/>
      <c r="I1695" s="87"/>
    </row>
    <row r="1696">
      <c r="A1696" s="84">
        <f>IFERROR(__xludf.DUMMYFUNCTION("""COMPUTED_VALUE"""),1696.0)</f>
        <v>1696</v>
      </c>
      <c r="B1696" s="85" t="str">
        <f>IFERROR(__xludf.DUMMYFUNCTION("""COMPUTED_VALUE"""),"SOPRADOR -")</f>
        <v>SOPRADOR -</v>
      </c>
      <c r="C1696" s="86">
        <f>IFERROR(__xludf.DUMMYFUNCTION("""COMPUTED_VALUE"""),1.0)</f>
        <v>1</v>
      </c>
      <c r="D1696" s="87" t="str">
        <f>IFERROR(__xludf.DUMMYFUNCTION("""COMPUTED_VALUE"""),"SEÇÃO")</f>
        <v>SEÇÃO</v>
      </c>
      <c r="E1696" s="87" t="str">
        <f>IFERROR(__xludf.DUMMYFUNCTION("""COMPUTED_VALUE"""),"3 - CURVELO")</f>
        <v>3 - CURVELO</v>
      </c>
      <c r="F1696" s="92"/>
      <c r="G1696" s="89">
        <f>IFERROR(__xludf.DUMMYFUNCTION("""COMPUTED_VALUE"""),7.6979172E7)</f>
        <v>76979172</v>
      </c>
      <c r="H1696" s="87"/>
      <c r="I1696" s="87"/>
    </row>
    <row r="1697">
      <c r="A1697" s="84">
        <f>IFERROR(__xludf.DUMMYFUNCTION("""COMPUTED_VALUE"""),1697.0)</f>
        <v>1697</v>
      </c>
      <c r="B1697" s="85" t="str">
        <f>IFERROR(__xludf.DUMMYFUNCTION("""COMPUTED_VALUE"""),"SOPRADOR -")</f>
        <v>SOPRADOR -</v>
      </c>
      <c r="C1697" s="86">
        <f>IFERROR(__xludf.DUMMYFUNCTION("""COMPUTED_VALUE"""),1.0)</f>
        <v>1</v>
      </c>
      <c r="D1697" s="87" t="str">
        <f>IFERROR(__xludf.DUMMYFUNCTION("""COMPUTED_VALUE"""),"SEÇÃO")</f>
        <v>SEÇÃO</v>
      </c>
      <c r="E1697" s="87" t="str">
        <f>IFERROR(__xludf.DUMMYFUNCTION("""COMPUTED_VALUE"""),"3 - CURVELO")</f>
        <v>3 - CURVELO</v>
      </c>
      <c r="F1697" s="92"/>
      <c r="G1697" s="89">
        <f>IFERROR(__xludf.DUMMYFUNCTION("""COMPUTED_VALUE"""),7.697918E7)</f>
        <v>76979180</v>
      </c>
      <c r="H1697" s="87"/>
      <c r="I1697" s="87"/>
    </row>
    <row r="1698">
      <c r="A1698" s="84">
        <f>IFERROR(__xludf.DUMMYFUNCTION("""COMPUTED_VALUE"""),1698.0)</f>
        <v>1698</v>
      </c>
      <c r="B1698" s="85" t="str">
        <f>IFERROR(__xludf.DUMMYFUNCTION("""COMPUTED_VALUE"""),"SOPRADOR -")</f>
        <v>SOPRADOR -</v>
      </c>
      <c r="C1698" s="86">
        <f>IFERROR(__xludf.DUMMYFUNCTION("""COMPUTED_VALUE"""),1.0)</f>
        <v>1</v>
      </c>
      <c r="D1698" s="87" t="str">
        <f>IFERROR(__xludf.DUMMYFUNCTION("""COMPUTED_VALUE"""),"SEÇÃO")</f>
        <v>SEÇÃO</v>
      </c>
      <c r="E1698" s="87" t="str">
        <f>IFERROR(__xludf.DUMMYFUNCTION("""COMPUTED_VALUE"""),"3 - CURVELO")</f>
        <v>3 - CURVELO</v>
      </c>
      <c r="F1698" s="92"/>
      <c r="G1698" s="89">
        <f>IFERROR(__xludf.DUMMYFUNCTION("""COMPUTED_VALUE"""),7.6979199E7)</f>
        <v>76979199</v>
      </c>
      <c r="H1698" s="87"/>
      <c r="I1698" s="87"/>
    </row>
    <row r="1699">
      <c r="A1699" s="84">
        <f>IFERROR(__xludf.DUMMYFUNCTION("""COMPUTED_VALUE"""),1699.0)</f>
        <v>1699</v>
      </c>
      <c r="B1699" s="85" t="str">
        <f>IFERROR(__xludf.DUMMYFUNCTION("""COMPUTED_VALUE"""),"VENTILADOR DE PRESSAO POSITIVA -")</f>
        <v>VENTILADOR DE PRESSAO POSITIVA -</v>
      </c>
      <c r="C1699" s="86">
        <f>IFERROR(__xludf.DUMMYFUNCTION("""COMPUTED_VALUE"""),1.0)</f>
        <v>1</v>
      </c>
      <c r="D1699" s="87" t="str">
        <f>IFERROR(__xludf.DUMMYFUNCTION("""COMPUTED_VALUE"""),"SEÇÃO")</f>
        <v>SEÇÃO</v>
      </c>
      <c r="E1699" s="87" t="str">
        <f>IFERROR(__xludf.DUMMYFUNCTION("""COMPUTED_VALUE"""),"3 - CURVELO")</f>
        <v>3 - CURVELO</v>
      </c>
      <c r="F1699" s="92"/>
      <c r="G1699" s="89">
        <f>IFERROR(__xludf.DUMMYFUNCTION("""COMPUTED_VALUE"""),7.701739E7)</f>
        <v>77017390</v>
      </c>
      <c r="H1699" s="87"/>
      <c r="I1699" s="87"/>
    </row>
    <row r="1700">
      <c r="A1700" s="84">
        <f>IFERROR(__xludf.DUMMYFUNCTION("""COMPUTED_VALUE"""),1700.0)</f>
        <v>1700</v>
      </c>
      <c r="B1700" s="85" t="str">
        <f>IFERROR(__xludf.DUMMYFUNCTION("""COMPUTED_VALUE"""),"BOMBA COSTAL PARA COMBATE A INCENDIO -")</f>
        <v>BOMBA COSTAL PARA COMBATE A INCENDIO -</v>
      </c>
      <c r="C1700" s="86">
        <f>IFERROR(__xludf.DUMMYFUNCTION("""COMPUTED_VALUE"""),1.0)</f>
        <v>1</v>
      </c>
      <c r="D1700" s="87" t="str">
        <f>IFERROR(__xludf.DUMMYFUNCTION("""COMPUTED_VALUE"""),"SEÇÃO")</f>
        <v>SEÇÃO</v>
      </c>
      <c r="E1700" s="87" t="str">
        <f>IFERROR(__xludf.DUMMYFUNCTION("""COMPUTED_VALUE"""),"3 - ALMOX. ESTOQUE")</f>
        <v>3 - ALMOX. ESTOQUE</v>
      </c>
      <c r="F1700" s="92" t="str">
        <f>IFERROR(__xludf.DUMMYFUNCTION("""COMPUTED_VALUE"""),"ALMOX. SAO (SEDE)")</f>
        <v>ALMOX. SAO (SEDE)</v>
      </c>
      <c r="G1700" s="89">
        <f>IFERROR(__xludf.DUMMYFUNCTION("""COMPUTED_VALUE"""),7.7015932E7)</f>
        <v>77015932</v>
      </c>
      <c r="H1700" s="87"/>
      <c r="I1700" s="87"/>
    </row>
    <row r="1701">
      <c r="A1701" s="84">
        <f>IFERROR(__xludf.DUMMYFUNCTION("""COMPUTED_VALUE"""),1701.0)</f>
        <v>1701</v>
      </c>
      <c r="B1701" s="85" t="str">
        <f>IFERROR(__xludf.DUMMYFUNCTION("""COMPUTED_VALUE"""),"SOPRADOR -")</f>
        <v>SOPRADOR -</v>
      </c>
      <c r="C1701" s="86">
        <f>IFERROR(__xludf.DUMMYFUNCTION("""COMPUTED_VALUE"""),1.0)</f>
        <v>1</v>
      </c>
      <c r="D1701" s="87" t="str">
        <f>IFERROR(__xludf.DUMMYFUNCTION("""COMPUTED_VALUE"""),"SEÇÃO")</f>
        <v>SEÇÃO</v>
      </c>
      <c r="E1701" s="87" t="str">
        <f>IFERROR(__xludf.DUMMYFUNCTION("""COMPUTED_VALUE"""),"3 - ALMOX. ESTOQUE")</f>
        <v>3 - ALMOX. ESTOQUE</v>
      </c>
      <c r="F1701" s="92" t="str">
        <f>IFERROR(__xludf.DUMMYFUNCTION("""COMPUTED_VALUE"""),"SAO")</f>
        <v>SAO</v>
      </c>
      <c r="G1701" s="89">
        <f>IFERROR(__xludf.DUMMYFUNCTION("""COMPUTED_VALUE"""),7.6979202E7)</f>
        <v>76979202</v>
      </c>
      <c r="H1701" s="87"/>
      <c r="I1701" s="87"/>
    </row>
    <row r="1702">
      <c r="A1702" s="84">
        <f>IFERROR(__xludf.DUMMYFUNCTION("""COMPUTED_VALUE"""),1702.0)</f>
        <v>1702</v>
      </c>
      <c r="B1702" s="85" t="str">
        <f>IFERROR(__xludf.DUMMYFUNCTION("""COMPUTED_VALUE"""),"SOPRADOR -")</f>
        <v>SOPRADOR -</v>
      </c>
      <c r="C1702" s="86">
        <f>IFERROR(__xludf.DUMMYFUNCTION("""COMPUTED_VALUE"""),1.0)</f>
        <v>1</v>
      </c>
      <c r="D1702" s="87" t="str">
        <f>IFERROR(__xludf.DUMMYFUNCTION("""COMPUTED_VALUE"""),"SEÇÃO")</f>
        <v>SEÇÃO</v>
      </c>
      <c r="E1702" s="87" t="str">
        <f>IFERROR(__xludf.DUMMYFUNCTION("""COMPUTED_VALUE"""),"3 - ALMOX. ESTOQUE")</f>
        <v>3 - ALMOX. ESTOQUE</v>
      </c>
      <c r="F1702" s="92" t="str">
        <f>IFERROR(__xludf.DUMMYFUNCTION("""COMPUTED_VALUE"""),"SAO")</f>
        <v>SAO</v>
      </c>
      <c r="G1702" s="89">
        <f>IFERROR(__xludf.DUMMYFUNCTION("""COMPUTED_VALUE"""),7.697921E7)</f>
        <v>76979210</v>
      </c>
      <c r="H1702" s="87"/>
      <c r="I1702" s="87"/>
    </row>
    <row r="1703">
      <c r="A1703" s="84">
        <f>IFERROR(__xludf.DUMMYFUNCTION("""COMPUTED_VALUE"""),1703.0)</f>
        <v>1703</v>
      </c>
      <c r="B1703" s="85" t="str">
        <f>IFERROR(__xludf.DUMMYFUNCTION("""COMPUTED_VALUE"""),"SOPRADOR -")</f>
        <v>SOPRADOR -</v>
      </c>
      <c r="C1703" s="86">
        <f>IFERROR(__xludf.DUMMYFUNCTION("""COMPUTED_VALUE"""),1.0)</f>
        <v>1</v>
      </c>
      <c r="D1703" s="87" t="str">
        <f>IFERROR(__xludf.DUMMYFUNCTION("""COMPUTED_VALUE"""),"SEÇÃO")</f>
        <v>SEÇÃO</v>
      </c>
      <c r="E1703" s="87" t="str">
        <f>IFERROR(__xludf.DUMMYFUNCTION("""COMPUTED_VALUE"""),"3 - ALMOX. ESTOQUE")</f>
        <v>3 - ALMOX. ESTOQUE</v>
      </c>
      <c r="F1703" s="92" t="str">
        <f>IFERROR(__xludf.DUMMYFUNCTION("""COMPUTED_VALUE"""),"SAO")</f>
        <v>SAO</v>
      </c>
      <c r="G1703" s="89">
        <f>IFERROR(__xludf.DUMMYFUNCTION("""COMPUTED_VALUE"""),7.6979229E7)</f>
        <v>76979229</v>
      </c>
      <c r="H1703" s="87"/>
      <c r="I1703" s="87"/>
    </row>
    <row r="1704">
      <c r="A1704" s="84">
        <f>IFERROR(__xludf.DUMMYFUNCTION("""COMPUTED_VALUE"""),1704.0)</f>
        <v>1704</v>
      </c>
      <c r="B1704" s="85" t="str">
        <f>IFERROR(__xludf.DUMMYFUNCTION("""COMPUTED_VALUE"""),"VENTILADOR DE PRESSAO POSITIVA -")</f>
        <v>VENTILADOR DE PRESSAO POSITIVA -</v>
      </c>
      <c r="C1704" s="86">
        <f>IFERROR(__xludf.DUMMYFUNCTION("""COMPUTED_VALUE"""),1.0)</f>
        <v>1</v>
      </c>
      <c r="D1704" s="87" t="str">
        <f>IFERROR(__xludf.DUMMYFUNCTION("""COMPUTED_VALUE"""),"SEÇÃO")</f>
        <v>SEÇÃO</v>
      </c>
      <c r="E1704" s="87" t="str">
        <f>IFERROR(__xludf.DUMMYFUNCTION("""COMPUTED_VALUE"""),"3 - SETOR DE MEIOS")</f>
        <v>3 - SETOR DE MEIOS</v>
      </c>
      <c r="F1704" s="92"/>
      <c r="G1704" s="89">
        <f>IFERROR(__xludf.DUMMYFUNCTION("""COMPUTED_VALUE"""),7.7017498E7)</f>
        <v>77017498</v>
      </c>
      <c r="H1704" s="87"/>
      <c r="I1704" s="87"/>
    </row>
    <row r="1705">
      <c r="A1705" s="84">
        <f>IFERROR(__xludf.DUMMYFUNCTION("""COMPUTED_VALUE"""),1705.0)</f>
        <v>1705</v>
      </c>
      <c r="B1705" s="85" t="str">
        <f>IFERROR(__xludf.DUMMYFUNCTION("""COMPUTED_VALUE"""),"CAPACETE PARA COMBATE INCENDIO -")</f>
        <v>CAPACETE PARA COMBATE INCENDIO -</v>
      </c>
      <c r="C1705" s="86">
        <f>IFERROR(__xludf.DUMMYFUNCTION("""COMPUTED_VALUE"""),1.0)</f>
        <v>1</v>
      </c>
      <c r="D1705" s="87" t="str">
        <f>IFERROR(__xludf.DUMMYFUNCTION("""COMPUTED_VALUE"""),"MILITAR")</f>
        <v>MILITAR</v>
      </c>
      <c r="E1705" s="87" t="str">
        <f>IFERROR(__xludf.DUMMYFUNCTION("""COMPUTED_VALUE"""),"2 - KENNEDY LUCAS XAVIER COLEN")</f>
        <v>2 - KENNEDY LUCAS XAVIER COLEN</v>
      </c>
      <c r="F1705" s="92"/>
      <c r="G1705" s="89">
        <f>IFERROR(__xludf.DUMMYFUNCTION("""COMPUTED_VALUE"""),4.016884E7)</f>
        <v>40168840</v>
      </c>
      <c r="H1705" s="87"/>
      <c r="I1705" s="87"/>
    </row>
    <row r="1706">
      <c r="A1706" s="84">
        <f>IFERROR(__xludf.DUMMYFUNCTION("""COMPUTED_VALUE"""),1706.0)</f>
        <v>1706</v>
      </c>
      <c r="B1706" s="85" t="str">
        <f>IFERROR(__xludf.DUMMYFUNCTION("""COMPUTED_VALUE"""),"CAPACETE MULTIMISSAO - TIPO III")</f>
        <v>CAPACETE MULTIMISSAO - TIPO III</v>
      </c>
      <c r="C1706" s="86">
        <f>IFERROR(__xludf.DUMMYFUNCTION("""COMPUTED_VALUE"""),1.0)</f>
        <v>1</v>
      </c>
      <c r="D1706" s="87" t="str">
        <f>IFERROR(__xludf.DUMMYFUNCTION("""COMPUTED_VALUE"""),"MILITAR")</f>
        <v>MILITAR</v>
      </c>
      <c r="E1706" s="87" t="str">
        <f>IFERROR(__xludf.DUMMYFUNCTION("""COMPUTED_VALUE"""),"2 - KENNEDY LUCAS XAVIER COLEN")</f>
        <v>2 - KENNEDY LUCAS XAVIER COLEN</v>
      </c>
      <c r="F1706" s="92"/>
      <c r="G1706" s="89">
        <f>IFERROR(__xludf.DUMMYFUNCTION("""COMPUTED_VALUE"""),7.6977692E7)</f>
        <v>76977692</v>
      </c>
      <c r="H1706" s="87"/>
      <c r="I1706" s="87"/>
    </row>
    <row r="1707">
      <c r="A1707" s="84">
        <f>IFERROR(__xludf.DUMMYFUNCTION("""COMPUTED_VALUE"""),1707.0)</f>
        <v>1707</v>
      </c>
      <c r="B1707" s="85" t="str">
        <f>IFERROR(__xludf.DUMMYFUNCTION("""COMPUTED_VALUE"""),"CADEIRA PARA ESCRITORIO -")</f>
        <v>CADEIRA PARA ESCRITORIO -</v>
      </c>
      <c r="C1707" s="86">
        <f>IFERROR(__xludf.DUMMYFUNCTION("""COMPUTED_VALUE"""),1.0)</f>
        <v>1</v>
      </c>
      <c r="D1707" s="87" t="str">
        <f>IFERROR(__xludf.DUMMYFUNCTION("""COMPUTED_VALUE"""),"SEÇÃO")</f>
        <v>SEÇÃO</v>
      </c>
      <c r="E1707" s="87" t="str">
        <f>IFERROR(__xludf.DUMMYFUNCTION("""COMPUTED_VALUE"""),"3 - CARTÓRIO")</f>
        <v>3 - CARTÓRIO</v>
      </c>
      <c r="F1707" s="92"/>
      <c r="G1707" s="89">
        <f>IFERROR(__xludf.DUMMYFUNCTION("""COMPUTED_VALUE"""),6.2060805E7)</f>
        <v>62060805</v>
      </c>
      <c r="H1707" s="87"/>
      <c r="I1707" s="87" t="str">
        <f>IFERROR(__xludf.DUMMYFUNCTION("""COMPUTED_VALUE"""),"SALA DO CARTÓRIO")</f>
        <v>SALA DO CARTÓRIO</v>
      </c>
    </row>
    <row r="1708">
      <c r="A1708" s="84">
        <f>IFERROR(__xludf.DUMMYFUNCTION("""COMPUTED_VALUE"""),1708.0)</f>
        <v>1708</v>
      </c>
      <c r="B1708" s="85" t="str">
        <f>IFERROR(__xludf.DUMMYFUNCTION("""COMPUTED_VALUE"""),"CADEIRA PARA ESCRITORIO -")</f>
        <v>CADEIRA PARA ESCRITORIO -</v>
      </c>
      <c r="C1708" s="86">
        <f>IFERROR(__xludf.DUMMYFUNCTION("""COMPUTED_VALUE"""),1.0)</f>
        <v>1</v>
      </c>
      <c r="D1708" s="87" t="str">
        <f>IFERROR(__xludf.DUMMYFUNCTION("""COMPUTED_VALUE"""),"SEÇÃO")</f>
        <v>SEÇÃO</v>
      </c>
      <c r="E1708" s="87" t="str">
        <f>IFERROR(__xludf.DUMMYFUNCTION("""COMPUTED_VALUE"""),"3 - CARTÓRIO")</f>
        <v>3 - CARTÓRIO</v>
      </c>
      <c r="F1708" s="92"/>
      <c r="G1708" s="89">
        <f>IFERROR(__xludf.DUMMYFUNCTION("""COMPUTED_VALUE"""),7.671576E7)</f>
        <v>76715760</v>
      </c>
      <c r="H1708" s="87"/>
      <c r="I1708" s="87" t="str">
        <f>IFERROR(__xludf.DUMMYFUNCTION("""COMPUTED_VALUE"""),"SALA DO CARTÓRIO")</f>
        <v>SALA DO CARTÓRIO</v>
      </c>
    </row>
    <row r="1709">
      <c r="A1709" s="84">
        <f>IFERROR(__xludf.DUMMYFUNCTION("""COMPUTED_VALUE"""),1709.0)</f>
        <v>1709</v>
      </c>
      <c r="B1709" s="85" t="str">
        <f>IFERROR(__xludf.DUMMYFUNCTION("""COMPUTED_VALUE"""),"CADEIRA PARA ESCRITORIO -")</f>
        <v>CADEIRA PARA ESCRITORIO -</v>
      </c>
      <c r="C1709" s="86">
        <f>IFERROR(__xludf.DUMMYFUNCTION("""COMPUTED_VALUE"""),1.0)</f>
        <v>1</v>
      </c>
      <c r="D1709" s="87" t="str">
        <f>IFERROR(__xludf.DUMMYFUNCTION("""COMPUTED_VALUE"""),"SEÇÃO")</f>
        <v>SEÇÃO</v>
      </c>
      <c r="E1709" s="87" t="str">
        <f>IFERROR(__xludf.DUMMYFUNCTION("""COMPUTED_VALUE"""),"3 - CARTÓRIO")</f>
        <v>3 - CARTÓRIO</v>
      </c>
      <c r="F1709" s="92"/>
      <c r="G1709" s="89">
        <f>IFERROR(__xludf.DUMMYFUNCTION("""COMPUTED_VALUE"""),7.6014703E7)</f>
        <v>76014703</v>
      </c>
      <c r="H1709" s="87"/>
      <c r="I1709" s="87" t="str">
        <f>IFERROR(__xludf.DUMMYFUNCTION("""COMPUTED_VALUE"""),"ANTESSALA DO CARTÓRIO (CEDMU)")</f>
        <v>ANTESSALA DO CARTÓRIO (CEDMU)</v>
      </c>
    </row>
    <row r="1710">
      <c r="A1710" s="84">
        <f>IFERROR(__xludf.DUMMYFUNCTION("""COMPUTED_VALUE"""),1710.0)</f>
        <v>1710</v>
      </c>
      <c r="B1710" s="85" t="str">
        <f>IFERROR(__xludf.DUMMYFUNCTION("""COMPUTED_VALUE"""),"CADEIRA PARA ESCRITORIO -")</f>
        <v>CADEIRA PARA ESCRITORIO -</v>
      </c>
      <c r="C1710" s="86">
        <f>IFERROR(__xludf.DUMMYFUNCTION("""COMPUTED_VALUE"""),1.0)</f>
        <v>1</v>
      </c>
      <c r="D1710" s="87" t="str">
        <f>IFERROR(__xludf.DUMMYFUNCTION("""COMPUTED_VALUE"""),"SEÇÃO")</f>
        <v>SEÇÃO</v>
      </c>
      <c r="E1710" s="87" t="str">
        <f>IFERROR(__xludf.DUMMYFUNCTION("""COMPUTED_VALUE"""),"3 - CARTÓRIO")</f>
        <v>3 - CARTÓRIO</v>
      </c>
      <c r="F1710" s="92"/>
      <c r="G1710" s="89">
        <f>IFERROR(__xludf.DUMMYFUNCTION("""COMPUTED_VALUE"""),5.4155894E7)</f>
        <v>54155894</v>
      </c>
      <c r="H1710" s="87"/>
      <c r="I1710" s="87" t="str">
        <f>IFERROR(__xludf.DUMMYFUNCTION("""COMPUTED_VALUE"""),"SALA DO CARTÓRIO")</f>
        <v>SALA DO CARTÓRIO</v>
      </c>
    </row>
    <row r="1711">
      <c r="A1711" s="84">
        <f>IFERROR(__xludf.DUMMYFUNCTION("""COMPUTED_VALUE"""),1711.0)</f>
        <v>1711</v>
      </c>
      <c r="B1711" s="85" t="str">
        <f>IFERROR(__xludf.DUMMYFUNCTION("""COMPUTED_VALUE"""),"CADEIRA PARA ESCRITORIO -")</f>
        <v>CADEIRA PARA ESCRITORIO -</v>
      </c>
      <c r="C1711" s="86">
        <f>IFERROR(__xludf.DUMMYFUNCTION("""COMPUTED_VALUE"""),1.0)</f>
        <v>1</v>
      </c>
      <c r="D1711" s="87" t="str">
        <f>IFERROR(__xludf.DUMMYFUNCTION("""COMPUTED_VALUE"""),"SEÇÃO")</f>
        <v>SEÇÃO</v>
      </c>
      <c r="E1711" s="87" t="str">
        <f>IFERROR(__xludf.DUMMYFUNCTION("""COMPUTED_VALUE"""),"3 - CARTÓRIO")</f>
        <v>3 - CARTÓRIO</v>
      </c>
      <c r="F1711" s="92"/>
      <c r="G1711" s="89">
        <f>IFERROR(__xludf.DUMMYFUNCTION("""COMPUTED_VALUE"""),7.6715752E7)</f>
        <v>76715752</v>
      </c>
      <c r="H1711" s="87"/>
      <c r="I1711" s="87" t="str">
        <f>IFERROR(__xludf.DUMMYFUNCTION("""COMPUTED_VALUE"""),"SALA DO CARTÓRIO")</f>
        <v>SALA DO CARTÓRIO</v>
      </c>
    </row>
    <row r="1712">
      <c r="A1712" s="84">
        <f>IFERROR(__xludf.DUMMYFUNCTION("""COMPUTED_VALUE"""),1712.0)</f>
        <v>1712</v>
      </c>
      <c r="B1712" s="85" t="str">
        <f>IFERROR(__xludf.DUMMYFUNCTION("""COMPUTED_VALUE"""),"CELULAR")</f>
        <v>CELULAR</v>
      </c>
      <c r="C1712" s="86">
        <f>IFERROR(__xludf.DUMMYFUNCTION("""COMPUTED_VALUE"""),1.0)</f>
        <v>1</v>
      </c>
      <c r="D1712" s="87" t="str">
        <f>IFERROR(__xludf.DUMMYFUNCTION("""COMPUTED_VALUE"""),"SEÇÃO")</f>
        <v>SEÇÃO</v>
      </c>
      <c r="E1712" s="87" t="str">
        <f>IFERROR(__xludf.DUMMYFUNCTION("""COMPUTED_VALUE"""),"3 - CARTÓRIO")</f>
        <v>3 - CARTÓRIO</v>
      </c>
      <c r="F1712" s="92"/>
      <c r="G1712" s="89">
        <f>IFERROR(__xludf.DUMMYFUNCTION("""COMPUTED_VALUE"""),7.7043979E7)</f>
        <v>77043979</v>
      </c>
      <c r="H1712" s="87"/>
      <c r="I1712" s="87"/>
    </row>
    <row r="1713">
      <c r="A1713" s="84">
        <f>IFERROR(__xludf.DUMMYFUNCTION("""COMPUTED_VALUE"""),1713.0)</f>
        <v>1713</v>
      </c>
      <c r="B1713" s="85" t="str">
        <f>IFERROR(__xludf.DUMMYFUNCTION("""COMPUTED_VALUE"""),"FAQUEIRO -")</f>
        <v>FAQUEIRO -</v>
      </c>
      <c r="C1713" s="86">
        <f>IFERROR(__xludf.DUMMYFUNCTION("""COMPUTED_VALUE"""),1.0)</f>
        <v>1</v>
      </c>
      <c r="D1713" s="87" t="str">
        <f>IFERROR(__xludf.DUMMYFUNCTION("""COMPUTED_VALUE"""),"SEÇÃO")</f>
        <v>SEÇÃO</v>
      </c>
      <c r="E1713" s="87" t="str">
        <f>IFERROR(__xludf.DUMMYFUNCTION("""COMPUTED_VALUE"""),"3 - REFEITÓRIO (SEDE)")</f>
        <v>3 - REFEITÓRIO (SEDE)</v>
      </c>
      <c r="F1713" s="92"/>
      <c r="G1713" s="89">
        <f>IFERROR(__xludf.DUMMYFUNCTION("""COMPUTED_VALUE"""),7.7059166E7)</f>
        <v>77059166</v>
      </c>
      <c r="H1713" s="87"/>
      <c r="I1713" s="87"/>
    </row>
    <row r="1714">
      <c r="A1714" s="84">
        <f>IFERROR(__xludf.DUMMYFUNCTION("""COMPUTED_VALUE"""),1714.0)</f>
        <v>1714</v>
      </c>
      <c r="B1714" s="85" t="str">
        <f>IFERROR(__xludf.DUMMYFUNCTION("""COMPUTED_VALUE"""),"LONGARINA -")</f>
        <v>LONGARINA -</v>
      </c>
      <c r="C1714" s="86">
        <f>IFERROR(__xludf.DUMMYFUNCTION("""COMPUTED_VALUE"""),1.0)</f>
        <v>1</v>
      </c>
      <c r="D1714" s="87" t="str">
        <f>IFERROR(__xludf.DUMMYFUNCTION("""COMPUTED_VALUE"""),"SEÇÃO")</f>
        <v>SEÇÃO</v>
      </c>
      <c r="E1714" s="87" t="str">
        <f>IFERROR(__xludf.DUMMYFUNCTION("""COMPUTED_VALUE"""),"3 - CURVELO")</f>
        <v>3 - CURVELO</v>
      </c>
      <c r="F1714" s="92"/>
      <c r="G1714" s="89">
        <f>IFERROR(__xludf.DUMMYFUNCTION("""COMPUTED_VALUE"""),7.7029224E7)</f>
        <v>77029224</v>
      </c>
      <c r="H1714" s="87"/>
      <c r="I1714" s="87"/>
    </row>
    <row r="1715">
      <c r="A1715" s="84">
        <f>IFERROR(__xludf.DUMMYFUNCTION("""COMPUTED_VALUE"""),1715.0)</f>
        <v>1715</v>
      </c>
      <c r="B1715" s="85" t="str">
        <f>IFERROR(__xludf.DUMMYFUNCTION("""COMPUTED_VALUE"""),"CAPACETE PARA COMBATE INCENDIO -")</f>
        <v>CAPACETE PARA COMBATE INCENDIO -</v>
      </c>
      <c r="C1715" s="86">
        <f>IFERROR(__xludf.DUMMYFUNCTION("""COMPUTED_VALUE"""),1.0)</f>
        <v>1</v>
      </c>
      <c r="D1715" s="87" t="str">
        <f>IFERROR(__xludf.DUMMYFUNCTION("""COMPUTED_VALUE"""),"MILITAR")</f>
        <v>MILITAR</v>
      </c>
      <c r="E1715" s="87" t="str">
        <f>IFERROR(__xludf.DUMMYFUNCTION("""COMPUTED_VALUE"""),"2 - 3º SGT EVERSON CORRÊA")</f>
        <v>2 - 3º SGT EVERSON CORRÊA</v>
      </c>
      <c r="F1715" s="92"/>
      <c r="G1715" s="89">
        <f>IFERROR(__xludf.DUMMYFUNCTION("""COMPUTED_VALUE"""),4.0178285E7)</f>
        <v>40178285</v>
      </c>
      <c r="H1715" s="87"/>
      <c r="I1715" s="87"/>
    </row>
    <row r="1716">
      <c r="A1716" s="84">
        <f>IFERROR(__xludf.DUMMYFUNCTION("""COMPUTED_VALUE"""),1716.0)</f>
        <v>1716</v>
      </c>
      <c r="B1716" s="85" t="str">
        <f>IFERROR(__xludf.DUMMYFUNCTION("""COMPUTED_VALUE"""),"CAPACETE PARA COMBATE INCENDIO -")</f>
        <v>CAPACETE PARA COMBATE INCENDIO -</v>
      </c>
      <c r="C1716" s="86">
        <f>IFERROR(__xludf.DUMMYFUNCTION("""COMPUTED_VALUE"""),1.0)</f>
        <v>1</v>
      </c>
      <c r="D1716" s="87" t="str">
        <f>IFERROR(__xludf.DUMMYFUNCTION("""COMPUTED_VALUE"""),"MILITAR")</f>
        <v>MILITAR</v>
      </c>
      <c r="E1716" s="87" t="str">
        <f>IFERROR(__xludf.DUMMYFUNCTION("""COMPUTED_VALUE"""),"2 - 3º SGT ADILSON BARBOSA VIEIRA JUNIOR")</f>
        <v>2 - 3º SGT ADILSON BARBOSA VIEIRA JUNIOR</v>
      </c>
      <c r="F1716" s="92"/>
      <c r="G1716" s="89">
        <f>IFERROR(__xludf.DUMMYFUNCTION("""COMPUTED_VALUE"""),4.0178277E7)</f>
        <v>40178277</v>
      </c>
      <c r="H1716" s="87"/>
      <c r="I1716" s="87"/>
    </row>
    <row r="1717">
      <c r="A1717" s="84">
        <f>IFERROR(__xludf.DUMMYFUNCTION("""COMPUTED_VALUE"""),1717.0)</f>
        <v>1717</v>
      </c>
      <c r="B1717" s="85" t="str">
        <f>IFERROR(__xludf.DUMMYFUNCTION("""COMPUTED_VALUE"""),"CAPACETE PARA COMBATE INCENDIO -")</f>
        <v>CAPACETE PARA COMBATE INCENDIO -</v>
      </c>
      <c r="C1717" s="86">
        <f>IFERROR(__xludf.DUMMYFUNCTION("""COMPUTED_VALUE"""),1.0)</f>
        <v>1</v>
      </c>
      <c r="D1717" s="87" t="str">
        <f>IFERROR(__xludf.DUMMYFUNCTION("""COMPUTED_VALUE"""),"MILITAR")</f>
        <v>MILITAR</v>
      </c>
      <c r="E1717" s="87" t="str">
        <f>IFERROR(__xludf.DUMMYFUNCTION("""COMPUTED_VALUE"""),"2 - 3º SGT JONAS FERREIRA ROCHA")</f>
        <v>2 - 3º SGT JONAS FERREIRA ROCHA</v>
      </c>
      <c r="F1717" s="92"/>
      <c r="G1717" s="89">
        <f>IFERROR(__xludf.DUMMYFUNCTION("""COMPUTED_VALUE"""),4.0178234E7)</f>
        <v>40178234</v>
      </c>
      <c r="H1717" s="87"/>
      <c r="I1717" s="87"/>
    </row>
    <row r="1718">
      <c r="A1718" s="84">
        <f>IFERROR(__xludf.DUMMYFUNCTION("""COMPUTED_VALUE"""),1718.0)</f>
        <v>1718</v>
      </c>
      <c r="B1718" s="85" t="str">
        <f>IFERROR(__xludf.DUMMYFUNCTION("""COMPUTED_VALUE"""),"CAPACETE PARA COMBATE INCENDIO -")</f>
        <v>CAPACETE PARA COMBATE INCENDIO -</v>
      </c>
      <c r="C1718" s="86">
        <f>IFERROR(__xludf.DUMMYFUNCTION("""COMPUTED_VALUE"""),1.0)</f>
        <v>1</v>
      </c>
      <c r="D1718" s="87" t="str">
        <f>IFERROR(__xludf.DUMMYFUNCTION("""COMPUTED_VALUE"""),"MILITAR")</f>
        <v>MILITAR</v>
      </c>
      <c r="E1718" s="87" t="str">
        <f>IFERROR(__xludf.DUMMYFUNCTION("""COMPUTED_VALUE"""),"2 - 3º SGT MOISES DA LUZ BALBINO")</f>
        <v>2 - 3º SGT MOISES DA LUZ BALBINO</v>
      </c>
      <c r="F1718" s="92"/>
      <c r="G1718" s="89">
        <f>IFERROR(__xludf.DUMMYFUNCTION("""COMPUTED_VALUE"""),4.0231666E7)</f>
        <v>40231666</v>
      </c>
      <c r="H1718" s="87"/>
      <c r="I1718" s="87"/>
    </row>
    <row r="1719">
      <c r="A1719" s="84">
        <f>IFERROR(__xludf.DUMMYFUNCTION("""COMPUTED_VALUE"""),1719.0)</f>
        <v>1719</v>
      </c>
      <c r="B1719" s="85" t="str">
        <f>IFERROR(__xludf.DUMMYFUNCTION("""COMPUTED_VALUE"""),"CAPACETE PARA COMBATE INCENDIO -")</f>
        <v>CAPACETE PARA COMBATE INCENDIO -</v>
      </c>
      <c r="C1719" s="86">
        <f>IFERROR(__xludf.DUMMYFUNCTION("""COMPUTED_VALUE"""),1.0)</f>
        <v>1</v>
      </c>
      <c r="D1719" s="87" t="str">
        <f>IFERROR(__xludf.DUMMYFUNCTION("""COMPUTED_VALUE"""),"MILITAR")</f>
        <v>MILITAR</v>
      </c>
      <c r="E1719" s="87" t="str">
        <f>IFERROR(__xludf.DUMMYFUNCTION("""COMPUTED_VALUE"""),"2 - 3º SGT RICARDO LEITE NERES")</f>
        <v>2 - 3º SGT RICARDO LEITE NERES</v>
      </c>
      <c r="F1719" s="92"/>
      <c r="G1719" s="89">
        <f>IFERROR(__xludf.DUMMYFUNCTION("""COMPUTED_VALUE"""),4.0178226E7)</f>
        <v>40178226</v>
      </c>
      <c r="H1719" s="87"/>
      <c r="I1719" s="87"/>
    </row>
    <row r="1720">
      <c r="A1720" s="84">
        <f>IFERROR(__xludf.DUMMYFUNCTION("""COMPUTED_VALUE"""),1720.0)</f>
        <v>1720</v>
      </c>
      <c r="B1720" s="85" t="str">
        <f>IFERROR(__xludf.DUMMYFUNCTION("""COMPUTED_VALUE"""),"CAPACETE PARA COMBATE INCENDIO -")</f>
        <v>CAPACETE PARA COMBATE INCENDIO -</v>
      </c>
      <c r="C1720" s="86">
        <f>IFERROR(__xludf.DUMMYFUNCTION("""COMPUTED_VALUE"""),1.0)</f>
        <v>1</v>
      </c>
      <c r="D1720" s="87" t="str">
        <f>IFERROR(__xludf.DUMMYFUNCTION("""COMPUTED_VALUE"""),"MILITAR")</f>
        <v>MILITAR</v>
      </c>
      <c r="E1720" s="87" t="str">
        <f>IFERROR(__xludf.DUMMYFUNCTION("""COMPUTED_VALUE"""),"2 - 3º SGT HUGO NUNES ALEXANDRE")</f>
        <v>2 - 3º SGT HUGO NUNES ALEXANDRE</v>
      </c>
      <c r="F1720" s="92"/>
      <c r="G1720" s="89">
        <f>IFERROR(__xludf.DUMMYFUNCTION("""COMPUTED_VALUE"""),4.0178196E7)</f>
        <v>40178196</v>
      </c>
      <c r="H1720" s="87"/>
      <c r="I1720" s="87"/>
    </row>
    <row r="1721">
      <c r="A1721" s="84">
        <f>IFERROR(__xludf.DUMMYFUNCTION("""COMPUTED_VALUE"""),1721.0)</f>
        <v>1721</v>
      </c>
      <c r="B1721" s="85" t="str">
        <f>IFERROR(__xludf.DUMMYFUNCTION("""COMPUTED_VALUE"""),"CAPACETE PARA COMBATE INCENDIO -")</f>
        <v>CAPACETE PARA COMBATE INCENDIO -</v>
      </c>
      <c r="C1721" s="86">
        <f>IFERROR(__xludf.DUMMYFUNCTION("""COMPUTED_VALUE"""),1.0)</f>
        <v>1</v>
      </c>
      <c r="D1721" s="87" t="str">
        <f>IFERROR(__xludf.DUMMYFUNCTION("""COMPUTED_VALUE"""),"MILITAR")</f>
        <v>MILITAR</v>
      </c>
      <c r="E1721" s="87" t="str">
        <f>IFERROR(__xludf.DUMMYFUNCTION("""COMPUTED_VALUE"""),"2 - 3º SGT ANTONIO CARLOS DE ABREU FILHO")</f>
        <v>2 - 3º SGT ANTONIO CARLOS DE ABREU FILHO</v>
      </c>
      <c r="F1721" s="92"/>
      <c r="G1721" s="89">
        <f>IFERROR(__xludf.DUMMYFUNCTION("""COMPUTED_VALUE"""),4.0178129E7)</f>
        <v>40178129</v>
      </c>
      <c r="H1721" s="87"/>
      <c r="I1721" s="87"/>
    </row>
    <row r="1722">
      <c r="A1722" s="84">
        <f>IFERROR(__xludf.DUMMYFUNCTION("""COMPUTED_VALUE"""),1722.0)</f>
        <v>1722</v>
      </c>
      <c r="B1722" s="85" t="str">
        <f>IFERROR(__xludf.DUMMYFUNCTION("""COMPUTED_VALUE"""),"CAPACETE PARA COMBATE INCENDIO -")</f>
        <v>CAPACETE PARA COMBATE INCENDIO -</v>
      </c>
      <c r="C1722" s="86">
        <f>IFERROR(__xludf.DUMMYFUNCTION("""COMPUTED_VALUE"""),1.0)</f>
        <v>1</v>
      </c>
      <c r="D1722" s="87" t="str">
        <f>IFERROR(__xludf.DUMMYFUNCTION("""COMPUTED_VALUE"""),"MILITAR")</f>
        <v>MILITAR</v>
      </c>
      <c r="E1722" s="87" t="str">
        <f>IFERROR(__xludf.DUMMYFUNCTION("""COMPUTED_VALUE"""),"2 - 3º SGT HERNANE SILVA FERREIRA")</f>
        <v>2 - 3º SGT HERNANE SILVA FERREIRA</v>
      </c>
      <c r="F1722" s="92"/>
      <c r="G1722" s="89">
        <f>IFERROR(__xludf.DUMMYFUNCTION("""COMPUTED_VALUE"""),4.0178102E7)</f>
        <v>40178102</v>
      </c>
      <c r="H1722" s="87"/>
      <c r="I1722" s="87"/>
    </row>
    <row r="1723">
      <c r="A1723" s="84">
        <f>IFERROR(__xludf.DUMMYFUNCTION("""COMPUTED_VALUE"""),1723.0)</f>
        <v>1723</v>
      </c>
      <c r="B1723" s="85" t="str">
        <f>IFERROR(__xludf.DUMMYFUNCTION("""COMPUTED_VALUE"""),"CAPACETE PARA COMBATE INCENDIO -")</f>
        <v>CAPACETE PARA COMBATE INCENDIO -</v>
      </c>
      <c r="C1723" s="86">
        <f>IFERROR(__xludf.DUMMYFUNCTION("""COMPUTED_VALUE"""),1.0)</f>
        <v>1</v>
      </c>
      <c r="D1723" s="87" t="str">
        <f>IFERROR(__xludf.DUMMYFUNCTION("""COMPUTED_VALUE"""),"MILITAR")</f>
        <v>MILITAR</v>
      </c>
      <c r="E1723" s="87" t="str">
        <f>IFERROR(__xludf.DUMMYFUNCTION("""COMPUTED_VALUE"""),"2 - 3º SGT RENAN MENDES ROCHA")</f>
        <v>2 - 3º SGT RENAN MENDES ROCHA</v>
      </c>
      <c r="F1723" s="92"/>
      <c r="G1723" s="89">
        <f>IFERROR(__xludf.DUMMYFUNCTION("""COMPUTED_VALUE"""),4.0178439E7)</f>
        <v>40178439</v>
      </c>
      <c r="H1723" s="87"/>
      <c r="I1723" s="87"/>
    </row>
    <row r="1724">
      <c r="A1724" s="84">
        <f>IFERROR(__xludf.DUMMYFUNCTION("""COMPUTED_VALUE"""),1724.0)</f>
        <v>1724</v>
      </c>
      <c r="B1724" s="85" t="str">
        <f>IFERROR(__xludf.DUMMYFUNCTION("""COMPUTED_VALUE"""),"CAPACETE PARA COMBATE INCENDIO -")</f>
        <v>CAPACETE PARA COMBATE INCENDIO -</v>
      </c>
      <c r="C1724" s="86">
        <f>IFERROR(__xludf.DUMMYFUNCTION("""COMPUTED_VALUE"""),1.0)</f>
        <v>1</v>
      </c>
      <c r="D1724" s="87" t="str">
        <f>IFERROR(__xludf.DUMMYFUNCTION("""COMPUTED_VALUE"""),"MILITAR")</f>
        <v>MILITAR</v>
      </c>
      <c r="E1724" s="87" t="str">
        <f>IFERROR(__xludf.DUMMYFUNCTION("""COMPUTED_VALUE"""),"2 - 3º SGT SOLIMAR SILVA NEVES PAIVA DE ARAUJO")</f>
        <v>2 - 3º SGT SOLIMAR SILVA NEVES PAIVA DE ARAUJO</v>
      </c>
      <c r="F1724" s="92"/>
      <c r="G1724" s="89">
        <f>IFERROR(__xludf.DUMMYFUNCTION("""COMPUTED_VALUE"""),4.017808E7)</f>
        <v>40178080</v>
      </c>
      <c r="H1724" s="87"/>
      <c r="I1724" s="87"/>
    </row>
    <row r="1725">
      <c r="A1725" s="84">
        <f>IFERROR(__xludf.DUMMYFUNCTION("""COMPUTED_VALUE"""),1725.0)</f>
        <v>1725</v>
      </c>
      <c r="B1725" s="85" t="str">
        <f>IFERROR(__xludf.DUMMYFUNCTION("""COMPUTED_VALUE"""),"KIT GUARANI- 400L")</f>
        <v>KIT GUARANI- 400L</v>
      </c>
      <c r="C1725" s="86">
        <f>IFERROR(__xludf.DUMMYFUNCTION("""COMPUTED_VALUE"""),1.0)</f>
        <v>1</v>
      </c>
      <c r="D1725" s="87" t="str">
        <f>IFERROR(__xludf.DUMMYFUNCTION("""COMPUTED_VALUE"""),"SEÇÃO")</f>
        <v>SEÇÃO</v>
      </c>
      <c r="E1725" s="87" t="str">
        <f>IFERROR(__xludf.DUMMYFUNCTION("""COMPUTED_VALUE"""),"3 - CURVELO")</f>
        <v>3 - CURVELO</v>
      </c>
      <c r="F1725" s="92"/>
      <c r="G1725" s="89">
        <f>IFERROR(__xludf.DUMMYFUNCTION("""COMPUTED_VALUE"""),7.7066863E7)</f>
        <v>77066863</v>
      </c>
      <c r="H1725" s="87"/>
      <c r="I1725" s="87" t="str">
        <f>IFERROR(__xludf.DUMMYFUNCTION("""COMPUTED_VALUE"""),"CONJUNTO, ACOPLAVEL A VEICULO, COMBATE INCENDIO - MOTOR: 4 TEMPOS, A GASOLINA; MOTO BOMBA: 39 L/MIN. A 40 BAR DE PRESSAO; TANQUE: RIGIDO DE 400 LITROS; MANGUEIRA: 60 METROS 1/2 300 PSI RESISTENTE AO FOGO;")</f>
        <v>CONJUNTO, ACOPLAVEL A VEICULO, COMBATE INCENDIO - MOTOR: 4 TEMPOS, A GASOLINA; MOTO BOMBA: 39 L/MIN. A 40 BAR DE PRESSAO; TANQUE: RIGIDO DE 400 LITROS; MANGUEIRA: 60 METROS 1/2 300 PSI RESISTENTE AO FOGO;</v>
      </c>
    </row>
    <row r="1726">
      <c r="A1726" s="84">
        <f>IFERROR(__xludf.DUMMYFUNCTION("""COMPUTED_VALUE"""),1726.0)</f>
        <v>1726</v>
      </c>
      <c r="B1726" s="85" t="str">
        <f>IFERROR(__xludf.DUMMYFUNCTION("""COMPUTED_VALUE"""),"KIT GUARANI- 400L")</f>
        <v>KIT GUARANI- 400L</v>
      </c>
      <c r="C1726" s="86">
        <f>IFERROR(__xludf.DUMMYFUNCTION("""COMPUTED_VALUE"""),1.0)</f>
        <v>1</v>
      </c>
      <c r="D1726" s="87" t="str">
        <f>IFERROR(__xludf.DUMMYFUNCTION("""COMPUTED_VALUE"""),"SEÇÃO")</f>
        <v>SEÇÃO</v>
      </c>
      <c r="E1726" s="87" t="str">
        <f>IFERROR(__xludf.DUMMYFUNCTION("""COMPUTED_VALUE"""),"3 - CURVELO")</f>
        <v>3 - CURVELO</v>
      </c>
      <c r="F1726" s="92"/>
      <c r="G1726" s="89">
        <f>IFERROR(__xludf.DUMMYFUNCTION("""COMPUTED_VALUE"""),7.7066944E7)</f>
        <v>77066944</v>
      </c>
      <c r="H1726" s="87"/>
      <c r="I1726" s="87" t="str">
        <f>IFERROR(__xludf.DUMMYFUNCTION("""COMPUTED_VALUE"""),"CONJUNTO, ACOPLAVEL A VEICULO, COMBATE INCENDIO - MOTOR: 4 TEMPOS, A GASOLINA; MOTO BOMBA: 39 L/MIN. A 40 BAR DE PRESSAO; TANQUE: RIGIDO DE 400 LITROS; MANGUEIRA: 60 METROS 1/2 300 PSI RESISTENTE AO FOGO;")</f>
        <v>CONJUNTO, ACOPLAVEL A VEICULO, COMBATE INCENDIO - MOTOR: 4 TEMPOS, A GASOLINA; MOTO BOMBA: 39 L/MIN. A 40 BAR DE PRESSAO; TANQUE: RIGIDO DE 400 LITROS; MANGUEIRA: 60 METROS 1/2 300 PSI RESISTENTE AO FOGO;</v>
      </c>
    </row>
    <row r="1727">
      <c r="A1727" s="84">
        <f>IFERROR(__xludf.DUMMYFUNCTION("""COMPUTED_VALUE"""),1727.0)</f>
        <v>1727</v>
      </c>
      <c r="B1727" s="85" t="str">
        <f>IFERROR(__xludf.DUMMYFUNCTION("""COMPUTED_VALUE"""),"RADIO TRANSCEPTOR -")</f>
        <v>RADIO TRANSCEPTOR -</v>
      </c>
      <c r="C1727" s="86">
        <f>IFERROR(__xludf.DUMMYFUNCTION("""COMPUTED_VALUE"""),1.0)</f>
        <v>1</v>
      </c>
      <c r="D1727" s="87" t="str">
        <f>IFERROR(__xludf.DUMMYFUNCTION("""COMPUTED_VALUE"""),"VIATURA")</f>
        <v>VIATURA</v>
      </c>
      <c r="E1727" s="87" t="str">
        <f>IFERROR(__xludf.DUMMYFUNCTION("""COMPUTED_VALUE"""),"1-  APV4072")</f>
        <v>1-  APV4072</v>
      </c>
      <c r="F1727" s="92"/>
      <c r="G1727" s="89">
        <f>IFERROR(__xludf.DUMMYFUNCTION("""COMPUTED_VALUE"""),7.7052536E7)</f>
        <v>77052536</v>
      </c>
      <c r="H1727" s="87"/>
      <c r="I1727" s="87" t="str">
        <f>IFERROR(__xludf.DUMMYFUNCTION("""COMPUTED_VALUE"""),"RÁDIO MOTOROLA")</f>
        <v>RÁDIO MOTOROLA</v>
      </c>
    </row>
    <row r="1728">
      <c r="A1728" s="84">
        <f>IFERROR(__xludf.DUMMYFUNCTION("""COMPUTED_VALUE"""),1728.0)</f>
        <v>1728</v>
      </c>
      <c r="B1728" s="85" t="str">
        <f>IFERROR(__xludf.DUMMYFUNCTION("""COMPUTED_VALUE"""),"CAPACETE MULTIMISSAO - TIPO III")</f>
        <v>CAPACETE MULTIMISSAO - TIPO III</v>
      </c>
      <c r="C1728" s="86">
        <f>IFERROR(__xludf.DUMMYFUNCTION("""COMPUTED_VALUE"""),1.0)</f>
        <v>1</v>
      </c>
      <c r="D1728" s="87" t="str">
        <f>IFERROR(__xludf.DUMMYFUNCTION("""COMPUTED_VALUE"""),"MILITAR")</f>
        <v>MILITAR</v>
      </c>
      <c r="E1728" s="87" t="str">
        <f>IFERROR(__xludf.DUMMYFUNCTION("""COMPUTED_VALUE"""),"2 - 2º SGT GABRIEL CAMILO SANTOS")</f>
        <v>2 - 2º SGT GABRIEL CAMILO SANTOS</v>
      </c>
      <c r="F1728" s="92"/>
      <c r="G1728" s="89">
        <f>IFERROR(__xludf.DUMMYFUNCTION("""COMPUTED_VALUE"""),7.70188E7)</f>
        <v>77018800</v>
      </c>
      <c r="H1728" s="87"/>
      <c r="I1728" s="87"/>
    </row>
    <row r="1729">
      <c r="A1729" s="84">
        <f>IFERROR(__xludf.DUMMYFUNCTION("""COMPUTED_VALUE"""),1729.0)</f>
        <v>1729</v>
      </c>
      <c r="B1729" s="85" t="str">
        <f>IFERROR(__xludf.DUMMYFUNCTION("""COMPUTED_VALUE"""),"CAPACETE MULTIMISSAO - TIPO III")</f>
        <v>CAPACETE MULTIMISSAO - TIPO III</v>
      </c>
      <c r="C1729" s="86">
        <f>IFERROR(__xludf.DUMMYFUNCTION("""COMPUTED_VALUE"""),1.0)</f>
        <v>1</v>
      </c>
      <c r="D1729" s="87" t="str">
        <f>IFERROR(__xludf.DUMMYFUNCTION("""COMPUTED_VALUE"""),"SEÇÃO")</f>
        <v>SEÇÃO</v>
      </c>
      <c r="E1729" s="87" t="str">
        <f>IFERROR(__xludf.DUMMYFUNCTION("""COMPUTED_VALUE"""),"3 - ALMOX. ESTOQUE")</f>
        <v>3 - ALMOX. ESTOQUE</v>
      </c>
      <c r="F1729" s="92"/>
      <c r="G1729" s="89">
        <f>IFERROR(__xludf.DUMMYFUNCTION("""COMPUTED_VALUE"""),7.7018818E7)</f>
        <v>77018818</v>
      </c>
      <c r="H1729" s="87"/>
      <c r="I1729" s="87"/>
    </row>
    <row r="1730">
      <c r="A1730" s="84">
        <f>IFERROR(__xludf.DUMMYFUNCTION("""COMPUTED_VALUE"""),1730.0)</f>
        <v>1730</v>
      </c>
      <c r="B1730" s="85" t="str">
        <f>IFERROR(__xludf.DUMMYFUNCTION("""COMPUTED_VALUE"""),"CAPACETE MULTIMISSAO - TIPO III")</f>
        <v>CAPACETE MULTIMISSAO - TIPO III</v>
      </c>
      <c r="C1730" s="86">
        <f>IFERROR(__xludf.DUMMYFUNCTION("""COMPUTED_VALUE"""),1.0)</f>
        <v>1</v>
      </c>
      <c r="D1730" s="87" t="str">
        <f>IFERROR(__xludf.DUMMYFUNCTION("""COMPUTED_VALUE"""),"SEÇÃO")</f>
        <v>SEÇÃO</v>
      </c>
      <c r="E1730" s="87" t="str">
        <f>IFERROR(__xludf.DUMMYFUNCTION("""COMPUTED_VALUE"""),"3 - ALMOX. ESTOQUE")</f>
        <v>3 - ALMOX. ESTOQUE</v>
      </c>
      <c r="F1730" s="92"/>
      <c r="G1730" s="89">
        <f>IFERROR(__xludf.DUMMYFUNCTION("""COMPUTED_VALUE"""),7.7018826E7)</f>
        <v>77018826</v>
      </c>
      <c r="H1730" s="87"/>
      <c r="I1730" s="87"/>
    </row>
    <row r="1731">
      <c r="A1731" s="84">
        <f>IFERROR(__xludf.DUMMYFUNCTION("""COMPUTED_VALUE"""),1731.0)</f>
        <v>1731</v>
      </c>
      <c r="B1731" s="85" t="str">
        <f>IFERROR(__xludf.DUMMYFUNCTION("""COMPUTED_VALUE"""),"CAPACETE MULTIMISSAO - TIPO III")</f>
        <v>CAPACETE MULTIMISSAO - TIPO III</v>
      </c>
      <c r="C1731" s="86">
        <f>IFERROR(__xludf.DUMMYFUNCTION("""COMPUTED_VALUE"""),1.0)</f>
        <v>1</v>
      </c>
      <c r="D1731" s="87" t="str">
        <f>IFERROR(__xludf.DUMMYFUNCTION("""COMPUTED_VALUE"""),"SEÇÃO")</f>
        <v>SEÇÃO</v>
      </c>
      <c r="E1731" s="87" t="str">
        <f>IFERROR(__xludf.DUMMYFUNCTION("""COMPUTED_VALUE"""),"3 - ALMOX. ESTOQUE")</f>
        <v>3 - ALMOX. ESTOQUE</v>
      </c>
      <c r="F1731" s="92"/>
      <c r="G1731" s="89">
        <f>IFERROR(__xludf.DUMMYFUNCTION("""COMPUTED_VALUE"""),7.7018834E7)</f>
        <v>77018834</v>
      </c>
      <c r="H1731" s="87"/>
      <c r="I1731" s="87"/>
    </row>
    <row r="1732">
      <c r="A1732" s="84">
        <f>IFERROR(__xludf.DUMMYFUNCTION("""COMPUTED_VALUE"""),1732.0)</f>
        <v>1732</v>
      </c>
      <c r="B1732" s="85" t="str">
        <f>IFERROR(__xludf.DUMMYFUNCTION("""COMPUTED_VALUE"""),"CAPACETE MULTIMISSAO - TIPO III")</f>
        <v>CAPACETE MULTIMISSAO - TIPO III</v>
      </c>
      <c r="C1732" s="86">
        <f>IFERROR(__xludf.DUMMYFUNCTION("""COMPUTED_VALUE"""),1.0)</f>
        <v>1</v>
      </c>
      <c r="D1732" s="87" t="str">
        <f>IFERROR(__xludf.DUMMYFUNCTION("""COMPUTED_VALUE"""),"SEÇÃO")</f>
        <v>SEÇÃO</v>
      </c>
      <c r="E1732" s="87" t="str">
        <f>IFERROR(__xludf.DUMMYFUNCTION("""COMPUTED_VALUE"""),"3 - ALMOX. ESTOQUE")</f>
        <v>3 - ALMOX. ESTOQUE</v>
      </c>
      <c r="F1732" s="92"/>
      <c r="G1732" s="89">
        <f>IFERROR(__xludf.DUMMYFUNCTION("""COMPUTED_VALUE"""),7.7018842E7)</f>
        <v>77018842</v>
      </c>
      <c r="H1732" s="87"/>
      <c r="I1732" s="87"/>
    </row>
    <row r="1733">
      <c r="A1733" s="84">
        <f>IFERROR(__xludf.DUMMYFUNCTION("""COMPUTED_VALUE"""),1733.0)</f>
        <v>1733</v>
      </c>
      <c r="B1733" s="85" t="str">
        <f>IFERROR(__xludf.DUMMYFUNCTION("""COMPUTED_VALUE"""),"CAPACETE MULTIMISSAO - TIPO III")</f>
        <v>CAPACETE MULTIMISSAO - TIPO III</v>
      </c>
      <c r="C1733" s="86">
        <f>IFERROR(__xludf.DUMMYFUNCTION("""COMPUTED_VALUE"""),1.0)</f>
        <v>1</v>
      </c>
      <c r="D1733" s="87" t="str">
        <f>IFERROR(__xludf.DUMMYFUNCTION("""COMPUTED_VALUE"""),"SEÇÃO")</f>
        <v>SEÇÃO</v>
      </c>
      <c r="E1733" s="87" t="str">
        <f>IFERROR(__xludf.DUMMYFUNCTION("""COMPUTED_VALUE"""),"3 - ALMOX. ESTOQUE")</f>
        <v>3 - ALMOX. ESTOQUE</v>
      </c>
      <c r="F1733" s="92"/>
      <c r="G1733" s="89">
        <f>IFERROR(__xludf.DUMMYFUNCTION("""COMPUTED_VALUE"""),7.7018389E7)</f>
        <v>77018389</v>
      </c>
      <c r="H1733" s="87"/>
      <c r="I1733" s="87"/>
    </row>
    <row r="1734">
      <c r="A1734" s="84">
        <f>IFERROR(__xludf.DUMMYFUNCTION("""COMPUTED_VALUE"""),1734.0)</f>
        <v>1734</v>
      </c>
      <c r="B1734" s="85" t="str">
        <f>IFERROR(__xludf.DUMMYFUNCTION("""COMPUTED_VALUE"""),"CAPACETE MULTIMISSAO - TIPO III")</f>
        <v>CAPACETE MULTIMISSAO - TIPO III</v>
      </c>
      <c r="C1734" s="86">
        <f>IFERROR(__xludf.DUMMYFUNCTION("""COMPUTED_VALUE"""),1.0)</f>
        <v>1</v>
      </c>
      <c r="D1734" s="87" t="str">
        <f>IFERROR(__xludf.DUMMYFUNCTION("""COMPUTED_VALUE"""),"SEÇÃO")</f>
        <v>SEÇÃO</v>
      </c>
      <c r="E1734" s="87" t="str">
        <f>IFERROR(__xludf.DUMMYFUNCTION("""COMPUTED_VALUE"""),"3 - ALMOX. ESTOQUE")</f>
        <v>3 - ALMOX. ESTOQUE</v>
      </c>
      <c r="F1734" s="92"/>
      <c r="G1734" s="89">
        <f>IFERROR(__xludf.DUMMYFUNCTION("""COMPUTED_VALUE"""),7.7018397E7)</f>
        <v>77018397</v>
      </c>
      <c r="H1734" s="87"/>
      <c r="I1734" s="87"/>
    </row>
    <row r="1735">
      <c r="A1735" s="84">
        <f>IFERROR(__xludf.DUMMYFUNCTION("""COMPUTED_VALUE"""),1735.0)</f>
        <v>1735</v>
      </c>
      <c r="B1735" s="85" t="str">
        <f>IFERROR(__xludf.DUMMYFUNCTION("""COMPUTED_VALUE"""),"CAPACETE MULTIMISSAO - TIPO III")</f>
        <v>CAPACETE MULTIMISSAO - TIPO III</v>
      </c>
      <c r="C1735" s="86">
        <f>IFERROR(__xludf.DUMMYFUNCTION("""COMPUTED_VALUE"""),1.0)</f>
        <v>1</v>
      </c>
      <c r="D1735" s="87" t="str">
        <f>IFERROR(__xludf.DUMMYFUNCTION("""COMPUTED_VALUE"""),"SEÇÃO")</f>
        <v>SEÇÃO</v>
      </c>
      <c r="E1735" s="87" t="str">
        <f>IFERROR(__xludf.DUMMYFUNCTION("""COMPUTED_VALUE"""),"3 - ALMOX. ESTOQUE")</f>
        <v>3 - ALMOX. ESTOQUE</v>
      </c>
      <c r="F1735" s="92"/>
      <c r="G1735" s="89">
        <f>IFERROR(__xludf.DUMMYFUNCTION("""COMPUTED_VALUE"""),7.70184E7)</f>
        <v>77018400</v>
      </c>
      <c r="H1735" s="87"/>
      <c r="I1735" s="87"/>
    </row>
    <row r="1736">
      <c r="A1736" s="84">
        <f>IFERROR(__xludf.DUMMYFUNCTION("""COMPUTED_VALUE"""),1736.0)</f>
        <v>1736</v>
      </c>
      <c r="B1736" s="85" t="str">
        <f>IFERROR(__xludf.DUMMYFUNCTION("""COMPUTED_VALUE"""),"CAPACETE MULTIMISSAO - TIPO III")</f>
        <v>CAPACETE MULTIMISSAO - TIPO III</v>
      </c>
      <c r="C1736" s="86">
        <f>IFERROR(__xludf.DUMMYFUNCTION("""COMPUTED_VALUE"""),1.0)</f>
        <v>1</v>
      </c>
      <c r="D1736" s="87" t="str">
        <f>IFERROR(__xludf.DUMMYFUNCTION("""COMPUTED_VALUE"""),"SEÇÃO")</f>
        <v>SEÇÃO</v>
      </c>
      <c r="E1736" s="87" t="str">
        <f>IFERROR(__xludf.DUMMYFUNCTION("""COMPUTED_VALUE"""),"3 - ALMOX. ESTOQUE")</f>
        <v>3 - ALMOX. ESTOQUE</v>
      </c>
      <c r="F1736" s="92"/>
      <c r="G1736" s="89">
        <f>IFERROR(__xludf.DUMMYFUNCTION("""COMPUTED_VALUE"""),7.7018419E7)</f>
        <v>77018419</v>
      </c>
      <c r="H1736" s="87"/>
      <c r="I1736" s="87"/>
    </row>
    <row r="1737">
      <c r="A1737" s="84">
        <f>IFERROR(__xludf.DUMMYFUNCTION("""COMPUTED_VALUE"""),1737.0)</f>
        <v>1737</v>
      </c>
      <c r="B1737" s="85" t="str">
        <f>IFERROR(__xludf.DUMMYFUNCTION("""COMPUTED_VALUE"""),"CAPACETE MULTIMISSAO - TIPO III")</f>
        <v>CAPACETE MULTIMISSAO - TIPO III</v>
      </c>
      <c r="C1737" s="86">
        <f>IFERROR(__xludf.DUMMYFUNCTION("""COMPUTED_VALUE"""),1.0)</f>
        <v>1</v>
      </c>
      <c r="D1737" s="87" t="str">
        <f>IFERROR(__xludf.DUMMYFUNCTION("""COMPUTED_VALUE"""),"SEÇÃO")</f>
        <v>SEÇÃO</v>
      </c>
      <c r="E1737" s="87" t="str">
        <f>IFERROR(__xludf.DUMMYFUNCTION("""COMPUTED_VALUE"""),"3 - ALMOX. ESTOQUE")</f>
        <v>3 - ALMOX. ESTOQUE</v>
      </c>
      <c r="F1737" s="92"/>
      <c r="G1737" s="89">
        <f>IFERROR(__xludf.DUMMYFUNCTION("""COMPUTED_VALUE"""),7.7018427E7)</f>
        <v>77018427</v>
      </c>
      <c r="H1737" s="87"/>
      <c r="I1737" s="87"/>
    </row>
    <row r="1738">
      <c r="A1738" s="84">
        <f>IFERROR(__xludf.DUMMYFUNCTION("""COMPUTED_VALUE"""),1738.0)</f>
        <v>1738</v>
      </c>
      <c r="B1738" s="85" t="str">
        <f>IFERROR(__xludf.DUMMYFUNCTION("""COMPUTED_VALUE"""),"CAPACETE MULTIMISSAO - TIPO III")</f>
        <v>CAPACETE MULTIMISSAO - TIPO III</v>
      </c>
      <c r="C1738" s="86">
        <f>IFERROR(__xludf.DUMMYFUNCTION("""COMPUTED_VALUE"""),1.0)</f>
        <v>1</v>
      </c>
      <c r="D1738" s="87" t="str">
        <f>IFERROR(__xludf.DUMMYFUNCTION("""COMPUTED_VALUE"""),"SEÇÃO")</f>
        <v>SEÇÃO</v>
      </c>
      <c r="E1738" s="87" t="str">
        <f>IFERROR(__xludf.DUMMYFUNCTION("""COMPUTED_VALUE"""),"3 - ALMOX. ESTOQUE")</f>
        <v>3 - ALMOX. ESTOQUE</v>
      </c>
      <c r="F1738" s="92"/>
      <c r="G1738" s="89">
        <f>IFERROR(__xludf.DUMMYFUNCTION("""COMPUTED_VALUE"""),7.7018435E7)</f>
        <v>77018435</v>
      </c>
      <c r="H1738" s="87"/>
      <c r="I1738" s="87"/>
    </row>
    <row r="1739">
      <c r="A1739" s="84">
        <f>IFERROR(__xludf.DUMMYFUNCTION("""COMPUTED_VALUE"""),1739.0)</f>
        <v>1739</v>
      </c>
      <c r="B1739" s="85" t="str">
        <f>IFERROR(__xludf.DUMMYFUNCTION("""COMPUTED_VALUE"""),"CAPACETE MULTIMISSAO - TIPO III")</f>
        <v>CAPACETE MULTIMISSAO - TIPO III</v>
      </c>
      <c r="C1739" s="86">
        <f>IFERROR(__xludf.DUMMYFUNCTION("""COMPUTED_VALUE"""),1.0)</f>
        <v>1</v>
      </c>
      <c r="D1739" s="87" t="str">
        <f>IFERROR(__xludf.DUMMYFUNCTION("""COMPUTED_VALUE"""),"SEÇÃO")</f>
        <v>SEÇÃO</v>
      </c>
      <c r="E1739" s="87" t="str">
        <f>IFERROR(__xludf.DUMMYFUNCTION("""COMPUTED_VALUE"""),"3 - ALMOX. ESTOQUE")</f>
        <v>3 - ALMOX. ESTOQUE</v>
      </c>
      <c r="F1739" s="92"/>
      <c r="G1739" s="89">
        <f>IFERROR(__xludf.DUMMYFUNCTION("""COMPUTED_VALUE"""),7.7018443E7)</f>
        <v>77018443</v>
      </c>
      <c r="H1739" s="87"/>
      <c r="I1739" s="87"/>
    </row>
    <row r="1740">
      <c r="A1740" s="84">
        <f>IFERROR(__xludf.DUMMYFUNCTION("""COMPUTED_VALUE"""),1740.0)</f>
        <v>1740</v>
      </c>
      <c r="B1740" s="85" t="str">
        <f>IFERROR(__xludf.DUMMYFUNCTION("""COMPUTED_VALUE"""),"CAPACETE MULTIMISSAO - TIPO III")</f>
        <v>CAPACETE MULTIMISSAO - TIPO III</v>
      </c>
      <c r="C1740" s="86">
        <f>IFERROR(__xludf.DUMMYFUNCTION("""COMPUTED_VALUE"""),1.0)</f>
        <v>1</v>
      </c>
      <c r="D1740" s="87" t="str">
        <f>IFERROR(__xludf.DUMMYFUNCTION("""COMPUTED_VALUE"""),"SEÇÃO")</f>
        <v>SEÇÃO</v>
      </c>
      <c r="E1740" s="87" t="str">
        <f>IFERROR(__xludf.DUMMYFUNCTION("""COMPUTED_VALUE"""),"3 - ALMOX. ESTOQUE")</f>
        <v>3 - ALMOX. ESTOQUE</v>
      </c>
      <c r="F1740" s="92"/>
      <c r="G1740" s="89">
        <f>IFERROR(__xludf.DUMMYFUNCTION("""COMPUTED_VALUE"""),7.7018451E7)</f>
        <v>77018451</v>
      </c>
      <c r="H1740" s="87"/>
      <c r="I1740" s="87"/>
    </row>
    <row r="1741">
      <c r="A1741" s="84">
        <f>IFERROR(__xludf.DUMMYFUNCTION("""COMPUTED_VALUE"""),1741.0)</f>
        <v>1741</v>
      </c>
      <c r="B1741" s="85" t="str">
        <f>IFERROR(__xludf.DUMMYFUNCTION("""COMPUTED_VALUE"""),"CAPACETE MULTIMISSAO - TIPO III")</f>
        <v>CAPACETE MULTIMISSAO - TIPO III</v>
      </c>
      <c r="C1741" s="86">
        <f>IFERROR(__xludf.DUMMYFUNCTION("""COMPUTED_VALUE"""),1.0)</f>
        <v>1</v>
      </c>
      <c r="D1741" s="87" t="str">
        <f>IFERROR(__xludf.DUMMYFUNCTION("""COMPUTED_VALUE"""),"SEÇÃO")</f>
        <v>SEÇÃO</v>
      </c>
      <c r="E1741" s="87" t="str">
        <f>IFERROR(__xludf.DUMMYFUNCTION("""COMPUTED_VALUE"""),"3 - ALMOX. ESTOQUE")</f>
        <v>3 - ALMOX. ESTOQUE</v>
      </c>
      <c r="F1741" s="92"/>
      <c r="G1741" s="89">
        <f>IFERROR(__xludf.DUMMYFUNCTION("""COMPUTED_VALUE"""),7.701846E7)</f>
        <v>77018460</v>
      </c>
      <c r="H1741" s="87"/>
      <c r="I1741" s="87"/>
    </row>
    <row r="1742">
      <c r="A1742" s="84">
        <f>IFERROR(__xludf.DUMMYFUNCTION("""COMPUTED_VALUE"""),1742.0)</f>
        <v>1742</v>
      </c>
      <c r="B1742" s="85" t="str">
        <f>IFERROR(__xludf.DUMMYFUNCTION("""COMPUTED_VALUE"""),"CAPACETE MULTIMISSAO - TIPO III")</f>
        <v>CAPACETE MULTIMISSAO - TIPO III</v>
      </c>
      <c r="C1742" s="86">
        <f>IFERROR(__xludf.DUMMYFUNCTION("""COMPUTED_VALUE"""),1.0)</f>
        <v>1</v>
      </c>
      <c r="D1742" s="87" t="str">
        <f>IFERROR(__xludf.DUMMYFUNCTION("""COMPUTED_VALUE"""),"SEÇÃO")</f>
        <v>SEÇÃO</v>
      </c>
      <c r="E1742" s="87" t="str">
        <f>IFERROR(__xludf.DUMMYFUNCTION("""COMPUTED_VALUE"""),"3 - ALMOX. ESTOQUE")</f>
        <v>3 - ALMOX. ESTOQUE</v>
      </c>
      <c r="F1742" s="92"/>
      <c r="G1742" s="89">
        <f>IFERROR(__xludf.DUMMYFUNCTION("""COMPUTED_VALUE"""),7.7018478E7)</f>
        <v>77018478</v>
      </c>
      <c r="H1742" s="87"/>
      <c r="I1742" s="87"/>
    </row>
    <row r="1743">
      <c r="A1743" s="84">
        <f>IFERROR(__xludf.DUMMYFUNCTION("""COMPUTED_VALUE"""),1743.0)</f>
        <v>1743</v>
      </c>
      <c r="B1743" s="85" t="str">
        <f>IFERROR(__xludf.DUMMYFUNCTION("""COMPUTED_VALUE"""),"CAPACETE MULTIMISSAO - TIPO III")</f>
        <v>CAPACETE MULTIMISSAO - TIPO III</v>
      </c>
      <c r="C1743" s="86">
        <f>IFERROR(__xludf.DUMMYFUNCTION("""COMPUTED_VALUE"""),1.0)</f>
        <v>1</v>
      </c>
      <c r="D1743" s="87" t="str">
        <f>IFERROR(__xludf.DUMMYFUNCTION("""COMPUTED_VALUE"""),"SEÇÃO")</f>
        <v>SEÇÃO</v>
      </c>
      <c r="E1743" s="87" t="str">
        <f>IFERROR(__xludf.DUMMYFUNCTION("""COMPUTED_VALUE"""),"3 - ALMOX. ESTOQUE")</f>
        <v>3 - ALMOX. ESTOQUE</v>
      </c>
      <c r="F1743" s="92"/>
      <c r="G1743" s="89">
        <f>IFERROR(__xludf.DUMMYFUNCTION("""COMPUTED_VALUE"""),7.7018486E7)</f>
        <v>77018486</v>
      </c>
      <c r="H1743" s="87"/>
      <c r="I1743" s="87"/>
    </row>
    <row r="1744">
      <c r="A1744" s="84">
        <f>IFERROR(__xludf.DUMMYFUNCTION("""COMPUTED_VALUE"""),1744.0)</f>
        <v>1744</v>
      </c>
      <c r="B1744" s="85" t="str">
        <f>IFERROR(__xludf.DUMMYFUNCTION("""COMPUTED_VALUE"""),"CAPACETE MULTIMISSAO - TIPO III")</f>
        <v>CAPACETE MULTIMISSAO - TIPO III</v>
      </c>
      <c r="C1744" s="86">
        <f>IFERROR(__xludf.DUMMYFUNCTION("""COMPUTED_VALUE"""),1.0)</f>
        <v>1</v>
      </c>
      <c r="D1744" s="87" t="str">
        <f>IFERROR(__xludf.DUMMYFUNCTION("""COMPUTED_VALUE"""),"SEÇÃO")</f>
        <v>SEÇÃO</v>
      </c>
      <c r="E1744" s="87" t="str">
        <f>IFERROR(__xludf.DUMMYFUNCTION("""COMPUTED_VALUE"""),"3 - ALMOX. ESTOQUE")</f>
        <v>3 - ALMOX. ESTOQUE</v>
      </c>
      <c r="F1744" s="92"/>
      <c r="G1744" s="89">
        <f>IFERROR(__xludf.DUMMYFUNCTION("""COMPUTED_VALUE"""),7.7018494E7)</f>
        <v>77018494</v>
      </c>
      <c r="H1744" s="87"/>
      <c r="I1744" s="87"/>
    </row>
    <row r="1745">
      <c r="A1745" s="84">
        <f>IFERROR(__xludf.DUMMYFUNCTION("""COMPUTED_VALUE"""),1745.0)</f>
        <v>1745</v>
      </c>
      <c r="B1745" s="85" t="str">
        <f>IFERROR(__xludf.DUMMYFUNCTION("""COMPUTED_VALUE"""),"CAPACETE MULTIMISSAO - TIPO III")</f>
        <v>CAPACETE MULTIMISSAO - TIPO III</v>
      </c>
      <c r="C1745" s="86">
        <f>IFERROR(__xludf.DUMMYFUNCTION("""COMPUTED_VALUE"""),1.0)</f>
        <v>1</v>
      </c>
      <c r="D1745" s="87" t="str">
        <f>IFERROR(__xludf.DUMMYFUNCTION("""COMPUTED_VALUE"""),"SEÇÃO")</f>
        <v>SEÇÃO</v>
      </c>
      <c r="E1745" s="87" t="str">
        <f>IFERROR(__xludf.DUMMYFUNCTION("""COMPUTED_VALUE"""),"3 - ALMOX. ESTOQUE")</f>
        <v>3 - ALMOX. ESTOQUE</v>
      </c>
      <c r="F1745" s="92"/>
      <c r="G1745" s="89">
        <f>IFERROR(__xludf.DUMMYFUNCTION("""COMPUTED_VALUE"""),7.7018508E7)</f>
        <v>77018508</v>
      </c>
      <c r="H1745" s="87"/>
      <c r="I1745" s="87"/>
    </row>
    <row r="1746">
      <c r="A1746" s="84">
        <f>IFERROR(__xludf.DUMMYFUNCTION("""COMPUTED_VALUE"""),1746.0)</f>
        <v>1746</v>
      </c>
      <c r="B1746" s="85" t="str">
        <f>IFERROR(__xludf.DUMMYFUNCTION("""COMPUTED_VALUE"""),"CAPACETE MULTIMISSAO - TIPO III")</f>
        <v>CAPACETE MULTIMISSAO - TIPO III</v>
      </c>
      <c r="C1746" s="86">
        <f>IFERROR(__xludf.DUMMYFUNCTION("""COMPUTED_VALUE"""),1.0)</f>
        <v>1</v>
      </c>
      <c r="D1746" s="87" t="str">
        <f>IFERROR(__xludf.DUMMYFUNCTION("""COMPUTED_VALUE"""),"SEÇÃO")</f>
        <v>SEÇÃO</v>
      </c>
      <c r="E1746" s="87" t="str">
        <f>IFERROR(__xludf.DUMMYFUNCTION("""COMPUTED_VALUE"""),"3 - ALMOX. ESTOQUE")</f>
        <v>3 - ALMOX. ESTOQUE</v>
      </c>
      <c r="F1746" s="92"/>
      <c r="G1746" s="89">
        <f>IFERROR(__xludf.DUMMYFUNCTION("""COMPUTED_VALUE"""),7.7018516E7)</f>
        <v>77018516</v>
      </c>
      <c r="H1746" s="87"/>
      <c r="I1746" s="87"/>
    </row>
    <row r="1747">
      <c r="A1747" s="84">
        <f>IFERROR(__xludf.DUMMYFUNCTION("""COMPUTED_VALUE"""),1747.0)</f>
        <v>1747</v>
      </c>
      <c r="B1747" s="85" t="str">
        <f>IFERROR(__xludf.DUMMYFUNCTION("""COMPUTED_VALUE"""),"CAPACETE MULTIMISSAO - TIPO III")</f>
        <v>CAPACETE MULTIMISSAO - TIPO III</v>
      </c>
      <c r="C1747" s="86">
        <f>IFERROR(__xludf.DUMMYFUNCTION("""COMPUTED_VALUE"""),1.0)</f>
        <v>1</v>
      </c>
      <c r="D1747" s="87" t="str">
        <f>IFERROR(__xludf.DUMMYFUNCTION("""COMPUTED_VALUE"""),"SEÇÃO")</f>
        <v>SEÇÃO</v>
      </c>
      <c r="E1747" s="87" t="str">
        <f>IFERROR(__xludf.DUMMYFUNCTION("""COMPUTED_VALUE"""),"3 - ALMOX. ESTOQUE")</f>
        <v>3 - ALMOX. ESTOQUE</v>
      </c>
      <c r="F1747" s="92"/>
      <c r="G1747" s="89">
        <f>IFERROR(__xludf.DUMMYFUNCTION("""COMPUTED_VALUE"""),7.7018524E7)</f>
        <v>77018524</v>
      </c>
      <c r="H1747" s="87"/>
      <c r="I1747" s="87"/>
    </row>
    <row r="1748">
      <c r="A1748" s="84">
        <f>IFERROR(__xludf.DUMMYFUNCTION("""COMPUTED_VALUE"""),1748.0)</f>
        <v>1748</v>
      </c>
      <c r="B1748" s="85" t="str">
        <f>IFERROR(__xludf.DUMMYFUNCTION("""COMPUTED_VALUE"""),"CAPACETE MULTIMISSAO - TIPO III")</f>
        <v>CAPACETE MULTIMISSAO - TIPO III</v>
      </c>
      <c r="C1748" s="86">
        <f>IFERROR(__xludf.DUMMYFUNCTION("""COMPUTED_VALUE"""),1.0)</f>
        <v>1</v>
      </c>
      <c r="D1748" s="87" t="str">
        <f>IFERROR(__xludf.DUMMYFUNCTION("""COMPUTED_VALUE"""),"SEÇÃO")</f>
        <v>SEÇÃO</v>
      </c>
      <c r="E1748" s="87" t="str">
        <f>IFERROR(__xludf.DUMMYFUNCTION("""COMPUTED_VALUE"""),"3 - ALMOX. ESTOQUE")</f>
        <v>3 - ALMOX. ESTOQUE</v>
      </c>
      <c r="F1748" s="92"/>
      <c r="G1748" s="89">
        <f>IFERROR(__xludf.DUMMYFUNCTION("""COMPUTED_VALUE"""),7.7018532E7)</f>
        <v>77018532</v>
      </c>
      <c r="H1748" s="87"/>
      <c r="I1748" s="87"/>
    </row>
    <row r="1749">
      <c r="A1749" s="84">
        <f>IFERROR(__xludf.DUMMYFUNCTION("""COMPUTED_VALUE"""),1749.0)</f>
        <v>1749</v>
      </c>
      <c r="B1749" s="85" t="str">
        <f>IFERROR(__xludf.DUMMYFUNCTION("""COMPUTED_VALUE"""),"CAPACETE MULTIMISSAO - TIPO III")</f>
        <v>CAPACETE MULTIMISSAO - TIPO III</v>
      </c>
      <c r="C1749" s="86">
        <f>IFERROR(__xludf.DUMMYFUNCTION("""COMPUTED_VALUE"""),1.0)</f>
        <v>1</v>
      </c>
      <c r="D1749" s="87" t="str">
        <f>IFERROR(__xludf.DUMMYFUNCTION("""COMPUTED_VALUE"""),"SEÇÃO")</f>
        <v>SEÇÃO</v>
      </c>
      <c r="E1749" s="87" t="str">
        <f>IFERROR(__xludf.DUMMYFUNCTION("""COMPUTED_VALUE"""),"3 - ALMOX. ESTOQUE")</f>
        <v>3 - ALMOX. ESTOQUE</v>
      </c>
      <c r="F1749" s="92"/>
      <c r="G1749" s="89">
        <f>IFERROR(__xludf.DUMMYFUNCTION("""COMPUTED_VALUE"""),7.701854E7)</f>
        <v>77018540</v>
      </c>
      <c r="H1749" s="87"/>
      <c r="I1749" s="87"/>
    </row>
    <row r="1750">
      <c r="A1750" s="84">
        <f>IFERROR(__xludf.DUMMYFUNCTION("""COMPUTED_VALUE"""),1750.0)</f>
        <v>1750</v>
      </c>
      <c r="B1750" s="85" t="str">
        <f>IFERROR(__xludf.DUMMYFUNCTION("""COMPUTED_VALUE"""),"CAPACETE MULTIMISSAO - TIPO III")</f>
        <v>CAPACETE MULTIMISSAO - TIPO III</v>
      </c>
      <c r="C1750" s="86">
        <f>IFERROR(__xludf.DUMMYFUNCTION("""COMPUTED_VALUE"""),1.0)</f>
        <v>1</v>
      </c>
      <c r="D1750" s="87" t="str">
        <f>IFERROR(__xludf.DUMMYFUNCTION("""COMPUTED_VALUE"""),"SEÇÃO")</f>
        <v>SEÇÃO</v>
      </c>
      <c r="E1750" s="87" t="str">
        <f>IFERROR(__xludf.DUMMYFUNCTION("""COMPUTED_VALUE"""),"3 - ALMOX. ESTOQUE")</f>
        <v>3 - ALMOX. ESTOQUE</v>
      </c>
      <c r="F1750" s="92"/>
      <c r="G1750" s="89">
        <f>IFERROR(__xludf.DUMMYFUNCTION("""COMPUTED_VALUE"""),7.7018559E7)</f>
        <v>77018559</v>
      </c>
      <c r="H1750" s="87"/>
      <c r="I1750" s="87"/>
    </row>
    <row r="1751">
      <c r="A1751" s="84">
        <f>IFERROR(__xludf.DUMMYFUNCTION("""COMPUTED_VALUE"""),1751.0)</f>
        <v>1751</v>
      </c>
      <c r="B1751" s="85" t="str">
        <f>IFERROR(__xludf.DUMMYFUNCTION("""COMPUTED_VALUE"""),"CAPACETE MULTIMISSAO - TIPO III")</f>
        <v>CAPACETE MULTIMISSAO - TIPO III</v>
      </c>
      <c r="C1751" s="86">
        <f>IFERROR(__xludf.DUMMYFUNCTION("""COMPUTED_VALUE"""),1.0)</f>
        <v>1</v>
      </c>
      <c r="D1751" s="87" t="str">
        <f>IFERROR(__xludf.DUMMYFUNCTION("""COMPUTED_VALUE"""),"SEÇÃO")</f>
        <v>SEÇÃO</v>
      </c>
      <c r="E1751" s="87" t="str">
        <f>IFERROR(__xludf.DUMMYFUNCTION("""COMPUTED_VALUE"""),"3 - ALMOX. ESTOQUE")</f>
        <v>3 - ALMOX. ESTOQUE</v>
      </c>
      <c r="F1751" s="92"/>
      <c r="G1751" s="89">
        <f>IFERROR(__xludf.DUMMYFUNCTION("""COMPUTED_VALUE"""),7.701885E7)</f>
        <v>77018850</v>
      </c>
      <c r="H1751" s="87"/>
      <c r="I1751" s="87"/>
    </row>
    <row r="1752">
      <c r="A1752" s="84">
        <f>IFERROR(__xludf.DUMMYFUNCTION("""COMPUTED_VALUE"""),1752.0)</f>
        <v>1752</v>
      </c>
      <c r="B1752" s="85" t="str">
        <f>IFERROR(__xludf.DUMMYFUNCTION("""COMPUTED_VALUE"""),"CAPACETE MULTIMISSAO - TIPO III")</f>
        <v>CAPACETE MULTIMISSAO - TIPO III</v>
      </c>
      <c r="C1752" s="86">
        <f>IFERROR(__xludf.DUMMYFUNCTION("""COMPUTED_VALUE"""),1.0)</f>
        <v>1</v>
      </c>
      <c r="D1752" s="87" t="str">
        <f>IFERROR(__xludf.DUMMYFUNCTION("""COMPUTED_VALUE"""),"SEÇÃO")</f>
        <v>SEÇÃO</v>
      </c>
      <c r="E1752" s="87" t="str">
        <f>IFERROR(__xludf.DUMMYFUNCTION("""COMPUTED_VALUE"""),"3 - ALMOX. ESTOQUE")</f>
        <v>3 - ALMOX. ESTOQUE</v>
      </c>
      <c r="F1752" s="92"/>
      <c r="G1752" s="89">
        <f>IFERROR(__xludf.DUMMYFUNCTION("""COMPUTED_VALUE"""),7.7018869E7)</f>
        <v>77018869</v>
      </c>
      <c r="H1752" s="87"/>
      <c r="I1752" s="87"/>
    </row>
    <row r="1753">
      <c r="A1753" s="84">
        <f>IFERROR(__xludf.DUMMYFUNCTION("""COMPUTED_VALUE"""),1753.0)</f>
        <v>1753</v>
      </c>
      <c r="B1753" s="85" t="str">
        <f>IFERROR(__xludf.DUMMYFUNCTION("""COMPUTED_VALUE"""),"CAPACETE MULTIMISSAO - TIPO III")</f>
        <v>CAPACETE MULTIMISSAO - TIPO III</v>
      </c>
      <c r="C1753" s="86">
        <f>IFERROR(__xludf.DUMMYFUNCTION("""COMPUTED_VALUE"""),1.0)</f>
        <v>1</v>
      </c>
      <c r="D1753" s="87" t="str">
        <f>IFERROR(__xludf.DUMMYFUNCTION("""COMPUTED_VALUE"""),"SEÇÃO")</f>
        <v>SEÇÃO</v>
      </c>
      <c r="E1753" s="87" t="str">
        <f>IFERROR(__xludf.DUMMYFUNCTION("""COMPUTED_VALUE"""),"3 - ALMOX. ESTOQUE")</f>
        <v>3 - ALMOX. ESTOQUE</v>
      </c>
      <c r="F1753" s="92"/>
      <c r="G1753" s="89">
        <f>IFERROR(__xludf.DUMMYFUNCTION("""COMPUTED_VALUE"""),7.7018877E7)</f>
        <v>77018877</v>
      </c>
      <c r="H1753" s="87"/>
      <c r="I1753" s="87"/>
    </row>
    <row r="1754">
      <c r="A1754" s="84">
        <f>IFERROR(__xludf.DUMMYFUNCTION("""COMPUTED_VALUE"""),1754.0)</f>
        <v>1754</v>
      </c>
      <c r="B1754" s="85" t="str">
        <f>IFERROR(__xludf.DUMMYFUNCTION("""COMPUTED_VALUE"""),"CAPACETE MULTIMISSAO - TIPO III")</f>
        <v>CAPACETE MULTIMISSAO - TIPO III</v>
      </c>
      <c r="C1754" s="86">
        <f>IFERROR(__xludf.DUMMYFUNCTION("""COMPUTED_VALUE"""),1.0)</f>
        <v>1</v>
      </c>
      <c r="D1754" s="87" t="str">
        <f>IFERROR(__xludf.DUMMYFUNCTION("""COMPUTED_VALUE"""),"SEÇÃO")</f>
        <v>SEÇÃO</v>
      </c>
      <c r="E1754" s="87" t="str">
        <f>IFERROR(__xludf.DUMMYFUNCTION("""COMPUTED_VALUE"""),"3 - ALMOX. ESTOQUE")</f>
        <v>3 - ALMOX. ESTOQUE</v>
      </c>
      <c r="F1754" s="92"/>
      <c r="G1754" s="89">
        <f>IFERROR(__xludf.DUMMYFUNCTION("""COMPUTED_VALUE"""),7.7018885E7)</f>
        <v>77018885</v>
      </c>
      <c r="H1754" s="87"/>
      <c r="I1754" s="87"/>
    </row>
    <row r="1755">
      <c r="A1755" s="84">
        <f>IFERROR(__xludf.DUMMYFUNCTION("""COMPUTED_VALUE"""),1755.0)</f>
        <v>1755</v>
      </c>
      <c r="B1755" s="85" t="str">
        <f>IFERROR(__xludf.DUMMYFUNCTION("""COMPUTED_VALUE"""),"CAPACETE MULTIMISSAO - TIPO III")</f>
        <v>CAPACETE MULTIMISSAO - TIPO III</v>
      </c>
      <c r="C1755" s="86">
        <f>IFERROR(__xludf.DUMMYFUNCTION("""COMPUTED_VALUE"""),1.0)</f>
        <v>1</v>
      </c>
      <c r="D1755" s="87" t="str">
        <f>IFERROR(__xludf.DUMMYFUNCTION("""COMPUTED_VALUE"""),"SEÇÃO")</f>
        <v>SEÇÃO</v>
      </c>
      <c r="E1755" s="87" t="str">
        <f>IFERROR(__xludf.DUMMYFUNCTION("""COMPUTED_VALUE"""),"3 - ALMOX. ESTOQUE")</f>
        <v>3 - ALMOX. ESTOQUE</v>
      </c>
      <c r="F1755" s="92"/>
      <c r="G1755" s="89">
        <f>IFERROR(__xludf.DUMMYFUNCTION("""COMPUTED_VALUE"""),7.7018893E7)</f>
        <v>77018893</v>
      </c>
      <c r="H1755" s="87"/>
      <c r="I1755" s="87"/>
    </row>
    <row r="1756">
      <c r="A1756" s="84">
        <f>IFERROR(__xludf.DUMMYFUNCTION("""COMPUTED_VALUE"""),1756.0)</f>
        <v>1756</v>
      </c>
      <c r="B1756" s="85" t="str">
        <f>IFERROR(__xludf.DUMMYFUNCTION("""COMPUTED_VALUE"""),"CAPACETE MULTIMISSAO - TIPO III")</f>
        <v>CAPACETE MULTIMISSAO - TIPO III</v>
      </c>
      <c r="C1756" s="86">
        <f>IFERROR(__xludf.DUMMYFUNCTION("""COMPUTED_VALUE"""),1.0)</f>
        <v>1</v>
      </c>
      <c r="D1756" s="87" t="str">
        <f>IFERROR(__xludf.DUMMYFUNCTION("""COMPUTED_VALUE"""),"SEÇÃO")</f>
        <v>SEÇÃO</v>
      </c>
      <c r="E1756" s="87" t="str">
        <f>IFERROR(__xludf.DUMMYFUNCTION("""COMPUTED_VALUE"""),"3 - ALMOX. ESTOQUE")</f>
        <v>3 - ALMOX. ESTOQUE</v>
      </c>
      <c r="F1756" s="92"/>
      <c r="G1756" s="89">
        <f>IFERROR(__xludf.DUMMYFUNCTION("""COMPUTED_VALUE"""),7.7018907E7)</f>
        <v>77018907</v>
      </c>
      <c r="H1756" s="87"/>
      <c r="I1756" s="87"/>
    </row>
    <row r="1757">
      <c r="A1757" s="84">
        <f>IFERROR(__xludf.DUMMYFUNCTION("""COMPUTED_VALUE"""),1757.0)</f>
        <v>1757</v>
      </c>
      <c r="B1757" s="85" t="str">
        <f>IFERROR(__xludf.DUMMYFUNCTION("""COMPUTED_VALUE"""),"CAPACETE MULTIMISSAO - TIPO III")</f>
        <v>CAPACETE MULTIMISSAO - TIPO III</v>
      </c>
      <c r="C1757" s="86">
        <f>IFERROR(__xludf.DUMMYFUNCTION("""COMPUTED_VALUE"""),1.0)</f>
        <v>1</v>
      </c>
      <c r="D1757" s="87" t="str">
        <f>IFERROR(__xludf.DUMMYFUNCTION("""COMPUTED_VALUE"""),"SEÇÃO")</f>
        <v>SEÇÃO</v>
      </c>
      <c r="E1757" s="87" t="str">
        <f>IFERROR(__xludf.DUMMYFUNCTION("""COMPUTED_VALUE"""),"3 - ALMOX. ESTOQUE")</f>
        <v>3 - ALMOX. ESTOQUE</v>
      </c>
      <c r="F1757" s="92"/>
      <c r="G1757" s="89">
        <f>IFERROR(__xludf.DUMMYFUNCTION("""COMPUTED_VALUE"""),7.7018915E7)</f>
        <v>77018915</v>
      </c>
      <c r="H1757" s="87"/>
      <c r="I1757" s="87"/>
    </row>
    <row r="1758">
      <c r="A1758" s="84">
        <f>IFERROR(__xludf.DUMMYFUNCTION("""COMPUTED_VALUE"""),1758.0)</f>
        <v>1758</v>
      </c>
      <c r="B1758" s="85" t="str">
        <f>IFERROR(__xludf.DUMMYFUNCTION("""COMPUTED_VALUE"""),"CAPACETE MULTIMISSAO - TIPO III")</f>
        <v>CAPACETE MULTIMISSAO - TIPO III</v>
      </c>
      <c r="C1758" s="86">
        <f>IFERROR(__xludf.DUMMYFUNCTION("""COMPUTED_VALUE"""),1.0)</f>
        <v>1</v>
      </c>
      <c r="D1758" s="87" t="str">
        <f>IFERROR(__xludf.DUMMYFUNCTION("""COMPUTED_VALUE"""),"SEÇÃO")</f>
        <v>SEÇÃO</v>
      </c>
      <c r="E1758" s="87" t="str">
        <f>IFERROR(__xludf.DUMMYFUNCTION("""COMPUTED_VALUE"""),"3 - ALMOX. ESTOQUE")</f>
        <v>3 - ALMOX. ESTOQUE</v>
      </c>
      <c r="F1758" s="92"/>
      <c r="G1758" s="89">
        <f>IFERROR(__xludf.DUMMYFUNCTION("""COMPUTED_VALUE"""),7.7018923E7)</f>
        <v>77018923</v>
      </c>
      <c r="H1758" s="87"/>
      <c r="I1758" s="87"/>
    </row>
    <row r="1759">
      <c r="A1759" s="84">
        <f>IFERROR(__xludf.DUMMYFUNCTION("""COMPUTED_VALUE"""),1759.0)</f>
        <v>1759</v>
      </c>
      <c r="B1759" s="85" t="str">
        <f>IFERROR(__xludf.DUMMYFUNCTION("""COMPUTED_VALUE"""),"CAPACETE MULTIMISSAO - TIPO III")</f>
        <v>CAPACETE MULTIMISSAO - TIPO III</v>
      </c>
      <c r="C1759" s="86">
        <f>IFERROR(__xludf.DUMMYFUNCTION("""COMPUTED_VALUE"""),1.0)</f>
        <v>1</v>
      </c>
      <c r="D1759" s="87" t="str">
        <f>IFERROR(__xludf.DUMMYFUNCTION("""COMPUTED_VALUE"""),"SEÇÃO")</f>
        <v>SEÇÃO</v>
      </c>
      <c r="E1759" s="87" t="str">
        <f>IFERROR(__xludf.DUMMYFUNCTION("""COMPUTED_VALUE"""),"3 - ALMOX. ESTOQUE")</f>
        <v>3 - ALMOX. ESTOQUE</v>
      </c>
      <c r="F1759" s="92"/>
      <c r="G1759" s="89">
        <f>IFERROR(__xludf.DUMMYFUNCTION("""COMPUTED_VALUE"""),7.7018931E7)</f>
        <v>77018931</v>
      </c>
      <c r="H1759" s="87"/>
      <c r="I1759" s="87"/>
    </row>
    <row r="1760">
      <c r="A1760" s="84">
        <f>IFERROR(__xludf.DUMMYFUNCTION("""COMPUTED_VALUE"""),1760.0)</f>
        <v>1760</v>
      </c>
      <c r="B1760" s="85" t="str">
        <f>IFERROR(__xludf.DUMMYFUNCTION("""COMPUTED_VALUE"""),"CAPACETE MULTIMISSAO - TIPO III")</f>
        <v>CAPACETE MULTIMISSAO - TIPO III</v>
      </c>
      <c r="C1760" s="86">
        <f>IFERROR(__xludf.DUMMYFUNCTION("""COMPUTED_VALUE"""),1.0)</f>
        <v>1</v>
      </c>
      <c r="D1760" s="87" t="str">
        <f>IFERROR(__xludf.DUMMYFUNCTION("""COMPUTED_VALUE"""),"SEÇÃO")</f>
        <v>SEÇÃO</v>
      </c>
      <c r="E1760" s="87" t="str">
        <f>IFERROR(__xludf.DUMMYFUNCTION("""COMPUTED_VALUE"""),"3 - ALMOX. ESTOQUE")</f>
        <v>3 - ALMOX. ESTOQUE</v>
      </c>
      <c r="F1760" s="92"/>
      <c r="G1760" s="89">
        <f>IFERROR(__xludf.DUMMYFUNCTION("""COMPUTED_VALUE"""),7.701894E7)</f>
        <v>77018940</v>
      </c>
      <c r="H1760" s="87"/>
      <c r="I1760" s="87"/>
    </row>
    <row r="1761">
      <c r="A1761" s="84">
        <f>IFERROR(__xludf.DUMMYFUNCTION("""COMPUTED_VALUE"""),1761.0)</f>
        <v>1761</v>
      </c>
      <c r="B1761" s="85" t="str">
        <f>IFERROR(__xludf.DUMMYFUNCTION("""COMPUTED_VALUE"""),"CAPACETE MULTIMISSAO - TIPO III")</f>
        <v>CAPACETE MULTIMISSAO - TIPO III</v>
      </c>
      <c r="C1761" s="86">
        <f>IFERROR(__xludf.DUMMYFUNCTION("""COMPUTED_VALUE"""),1.0)</f>
        <v>1</v>
      </c>
      <c r="D1761" s="87" t="str">
        <f>IFERROR(__xludf.DUMMYFUNCTION("""COMPUTED_VALUE"""),"SEÇÃO")</f>
        <v>SEÇÃO</v>
      </c>
      <c r="E1761" s="87" t="str">
        <f>IFERROR(__xludf.DUMMYFUNCTION("""COMPUTED_VALUE"""),"3 - ALMOX. ESTOQUE")</f>
        <v>3 - ALMOX. ESTOQUE</v>
      </c>
      <c r="F1761" s="92"/>
      <c r="G1761" s="89">
        <f>IFERROR(__xludf.DUMMYFUNCTION("""COMPUTED_VALUE"""),7.7018958E7)</f>
        <v>77018958</v>
      </c>
      <c r="H1761" s="87"/>
      <c r="I1761" s="87"/>
    </row>
    <row r="1762">
      <c r="A1762" s="84">
        <f>IFERROR(__xludf.DUMMYFUNCTION("""COMPUTED_VALUE"""),1762.0)</f>
        <v>1762</v>
      </c>
      <c r="B1762" s="85" t="str">
        <f>IFERROR(__xludf.DUMMYFUNCTION("""COMPUTED_VALUE"""),"CAPACETE MULTIMISSAO - TIPO III")</f>
        <v>CAPACETE MULTIMISSAO - TIPO III</v>
      </c>
      <c r="C1762" s="86">
        <f>IFERROR(__xludf.DUMMYFUNCTION("""COMPUTED_VALUE"""),1.0)</f>
        <v>1</v>
      </c>
      <c r="D1762" s="87" t="str">
        <f>IFERROR(__xludf.DUMMYFUNCTION("""COMPUTED_VALUE"""),"SEÇÃO")</f>
        <v>SEÇÃO</v>
      </c>
      <c r="E1762" s="87" t="str">
        <f>IFERROR(__xludf.DUMMYFUNCTION("""COMPUTED_VALUE"""),"3 - ALMOX. ESTOQUE")</f>
        <v>3 - ALMOX. ESTOQUE</v>
      </c>
      <c r="F1762" s="92"/>
      <c r="G1762" s="89">
        <f>IFERROR(__xludf.DUMMYFUNCTION("""COMPUTED_VALUE"""),7.7018966E7)</f>
        <v>77018966</v>
      </c>
      <c r="H1762" s="87"/>
      <c r="I1762" s="87"/>
    </row>
    <row r="1763">
      <c r="A1763" s="84">
        <f>IFERROR(__xludf.DUMMYFUNCTION("""COMPUTED_VALUE"""),1763.0)</f>
        <v>1763</v>
      </c>
      <c r="B1763" s="85" t="str">
        <f>IFERROR(__xludf.DUMMYFUNCTION("""COMPUTED_VALUE"""),"CAPACETE MULTIMISSAO - TIPO III")</f>
        <v>CAPACETE MULTIMISSAO - TIPO III</v>
      </c>
      <c r="C1763" s="86">
        <f>IFERROR(__xludf.DUMMYFUNCTION("""COMPUTED_VALUE"""),1.0)</f>
        <v>1</v>
      </c>
      <c r="D1763" s="87" t="str">
        <f>IFERROR(__xludf.DUMMYFUNCTION("""COMPUTED_VALUE"""),"SEÇÃO")</f>
        <v>SEÇÃO</v>
      </c>
      <c r="E1763" s="87" t="str">
        <f>IFERROR(__xludf.DUMMYFUNCTION("""COMPUTED_VALUE"""),"3 - ALMOX. ESTOQUE")</f>
        <v>3 - ALMOX. ESTOQUE</v>
      </c>
      <c r="F1763" s="92"/>
      <c r="G1763" s="89">
        <f>IFERROR(__xludf.DUMMYFUNCTION("""COMPUTED_VALUE"""),7.7018974E7)</f>
        <v>77018974</v>
      </c>
      <c r="H1763" s="87"/>
      <c r="I1763" s="87"/>
    </row>
    <row r="1764">
      <c r="A1764" s="84">
        <f>IFERROR(__xludf.DUMMYFUNCTION("""COMPUTED_VALUE"""),1764.0)</f>
        <v>1764</v>
      </c>
      <c r="B1764" s="85" t="str">
        <f>IFERROR(__xludf.DUMMYFUNCTION("""COMPUTED_VALUE"""),"CAPACETE MULTIMISSAO - TIPO III")</f>
        <v>CAPACETE MULTIMISSAO - TIPO III</v>
      </c>
      <c r="C1764" s="86">
        <f>IFERROR(__xludf.DUMMYFUNCTION("""COMPUTED_VALUE"""),1.0)</f>
        <v>1</v>
      </c>
      <c r="D1764" s="87" t="str">
        <f>IFERROR(__xludf.DUMMYFUNCTION("""COMPUTED_VALUE"""),"SEÇÃO")</f>
        <v>SEÇÃO</v>
      </c>
      <c r="E1764" s="87" t="str">
        <f>IFERROR(__xludf.DUMMYFUNCTION("""COMPUTED_VALUE"""),"3 - ALMOX. ESTOQUE")</f>
        <v>3 - ALMOX. ESTOQUE</v>
      </c>
      <c r="F1764" s="92"/>
      <c r="G1764" s="89">
        <f>IFERROR(__xludf.DUMMYFUNCTION("""COMPUTED_VALUE"""),7.7018982E7)</f>
        <v>77018982</v>
      </c>
      <c r="H1764" s="87"/>
      <c r="I1764" s="87"/>
    </row>
    <row r="1765">
      <c r="A1765" s="84">
        <f>IFERROR(__xludf.DUMMYFUNCTION("""COMPUTED_VALUE"""),1765.0)</f>
        <v>1765</v>
      </c>
      <c r="B1765" s="85" t="str">
        <f>IFERROR(__xludf.DUMMYFUNCTION("""COMPUTED_VALUE"""),"CAPACETE MULTIMISSAO - TIPO III")</f>
        <v>CAPACETE MULTIMISSAO - TIPO III</v>
      </c>
      <c r="C1765" s="86">
        <f>IFERROR(__xludf.DUMMYFUNCTION("""COMPUTED_VALUE"""),1.0)</f>
        <v>1</v>
      </c>
      <c r="D1765" s="87" t="str">
        <f>IFERROR(__xludf.DUMMYFUNCTION("""COMPUTED_VALUE"""),"SEÇÃO")</f>
        <v>SEÇÃO</v>
      </c>
      <c r="E1765" s="87" t="str">
        <f>IFERROR(__xludf.DUMMYFUNCTION("""COMPUTED_VALUE"""),"3 - ALMOX. ESTOQUE")</f>
        <v>3 - ALMOX. ESTOQUE</v>
      </c>
      <c r="F1765" s="92"/>
      <c r="G1765" s="89">
        <f>IFERROR(__xludf.DUMMYFUNCTION("""COMPUTED_VALUE"""),7.701899E7)</f>
        <v>77018990</v>
      </c>
      <c r="H1765" s="87"/>
      <c r="I1765" s="87"/>
    </row>
    <row r="1766">
      <c r="A1766" s="84">
        <f>IFERROR(__xludf.DUMMYFUNCTION("""COMPUTED_VALUE"""),1766.0)</f>
        <v>1766</v>
      </c>
      <c r="B1766" s="85" t="str">
        <f>IFERROR(__xludf.DUMMYFUNCTION("""COMPUTED_VALUE"""),"CAPACETE MULTIMISSAO - TIPO III")</f>
        <v>CAPACETE MULTIMISSAO - TIPO III</v>
      </c>
      <c r="C1766" s="86">
        <f>IFERROR(__xludf.DUMMYFUNCTION("""COMPUTED_VALUE"""),1.0)</f>
        <v>1</v>
      </c>
      <c r="D1766" s="87" t="str">
        <f>IFERROR(__xludf.DUMMYFUNCTION("""COMPUTED_VALUE"""),"SEÇÃO")</f>
        <v>SEÇÃO</v>
      </c>
      <c r="E1766" s="87" t="str">
        <f>IFERROR(__xludf.DUMMYFUNCTION("""COMPUTED_VALUE"""),"3 - ALMOX. ESTOQUE")</f>
        <v>3 - ALMOX. ESTOQUE</v>
      </c>
      <c r="F1766" s="92"/>
      <c r="G1766" s="89">
        <f>IFERROR(__xludf.DUMMYFUNCTION("""COMPUTED_VALUE"""),7.7019008E7)</f>
        <v>77019008</v>
      </c>
      <c r="H1766" s="87"/>
      <c r="I1766" s="87"/>
    </row>
    <row r="1767">
      <c r="A1767" s="84">
        <f>IFERROR(__xludf.DUMMYFUNCTION("""COMPUTED_VALUE"""),1767.0)</f>
        <v>1767</v>
      </c>
      <c r="B1767" s="85" t="str">
        <f>IFERROR(__xludf.DUMMYFUNCTION("""COMPUTED_VALUE"""),"CAPACETE MULTIMISSAO - TIPO III")</f>
        <v>CAPACETE MULTIMISSAO - TIPO III</v>
      </c>
      <c r="C1767" s="86">
        <f>IFERROR(__xludf.DUMMYFUNCTION("""COMPUTED_VALUE"""),1.0)</f>
        <v>1</v>
      </c>
      <c r="D1767" s="87" t="str">
        <f>IFERROR(__xludf.DUMMYFUNCTION("""COMPUTED_VALUE"""),"SEÇÃO")</f>
        <v>SEÇÃO</v>
      </c>
      <c r="E1767" s="87" t="str">
        <f>IFERROR(__xludf.DUMMYFUNCTION("""COMPUTED_VALUE"""),"3 - ALMOX. ESTOQUE")</f>
        <v>3 - ALMOX. ESTOQUE</v>
      </c>
      <c r="F1767" s="92"/>
      <c r="G1767" s="89">
        <f>IFERROR(__xludf.DUMMYFUNCTION("""COMPUTED_VALUE"""),7.7019016E7)</f>
        <v>77019016</v>
      </c>
      <c r="H1767" s="87"/>
      <c r="I1767" s="87"/>
    </row>
    <row r="1768">
      <c r="A1768" s="84">
        <f>IFERROR(__xludf.DUMMYFUNCTION("""COMPUTED_VALUE"""),1768.0)</f>
        <v>1768</v>
      </c>
      <c r="B1768" s="85" t="str">
        <f>IFERROR(__xludf.DUMMYFUNCTION("""COMPUTED_VALUE"""),"CAPACETE MULTIMISSAO - TIPO III")</f>
        <v>CAPACETE MULTIMISSAO - TIPO III</v>
      </c>
      <c r="C1768" s="86">
        <f>IFERROR(__xludf.DUMMYFUNCTION("""COMPUTED_VALUE"""),1.0)</f>
        <v>1</v>
      </c>
      <c r="D1768" s="87" t="str">
        <f>IFERROR(__xludf.DUMMYFUNCTION("""COMPUTED_VALUE"""),"SEÇÃO")</f>
        <v>SEÇÃO</v>
      </c>
      <c r="E1768" s="87" t="str">
        <f>IFERROR(__xludf.DUMMYFUNCTION("""COMPUTED_VALUE"""),"3 - ALMOX. ESTOQUE")</f>
        <v>3 - ALMOX. ESTOQUE</v>
      </c>
      <c r="F1768" s="92"/>
      <c r="G1768" s="89">
        <f>IFERROR(__xludf.DUMMYFUNCTION("""COMPUTED_VALUE"""),7.7019024E7)</f>
        <v>77019024</v>
      </c>
      <c r="H1768" s="87"/>
      <c r="I1768" s="87"/>
    </row>
    <row r="1769">
      <c r="A1769" s="84">
        <f>IFERROR(__xludf.DUMMYFUNCTION("""COMPUTED_VALUE"""),1769.0)</f>
        <v>1769</v>
      </c>
      <c r="B1769" s="85" t="str">
        <f>IFERROR(__xludf.DUMMYFUNCTION("""COMPUTED_VALUE"""),"CAPACETE MULTIMISSAO - TIPO III")</f>
        <v>CAPACETE MULTIMISSAO - TIPO III</v>
      </c>
      <c r="C1769" s="86">
        <f>IFERROR(__xludf.DUMMYFUNCTION("""COMPUTED_VALUE"""),1.0)</f>
        <v>1</v>
      </c>
      <c r="D1769" s="87" t="str">
        <f>IFERROR(__xludf.DUMMYFUNCTION("""COMPUTED_VALUE"""),"SEÇÃO")</f>
        <v>SEÇÃO</v>
      </c>
      <c r="E1769" s="87" t="str">
        <f>IFERROR(__xludf.DUMMYFUNCTION("""COMPUTED_VALUE"""),"3 - ALMOX. ESTOQUE")</f>
        <v>3 - ALMOX. ESTOQUE</v>
      </c>
      <c r="F1769" s="92"/>
      <c r="G1769" s="89">
        <f>IFERROR(__xludf.DUMMYFUNCTION("""COMPUTED_VALUE"""),7.7019032E7)</f>
        <v>77019032</v>
      </c>
      <c r="H1769" s="87"/>
      <c r="I1769" s="87"/>
    </row>
    <row r="1770">
      <c r="A1770" s="84">
        <f>IFERROR(__xludf.DUMMYFUNCTION("""COMPUTED_VALUE"""),1770.0)</f>
        <v>1770</v>
      </c>
      <c r="B1770" s="85" t="str">
        <f>IFERROR(__xludf.DUMMYFUNCTION("""COMPUTED_VALUE"""),"CAPACETE MULTIMISSAO - TIPO III")</f>
        <v>CAPACETE MULTIMISSAO - TIPO III</v>
      </c>
      <c r="C1770" s="86">
        <f>IFERROR(__xludf.DUMMYFUNCTION("""COMPUTED_VALUE"""),1.0)</f>
        <v>1</v>
      </c>
      <c r="D1770" s="87" t="str">
        <f>IFERROR(__xludf.DUMMYFUNCTION("""COMPUTED_VALUE"""),"SEÇÃO")</f>
        <v>SEÇÃO</v>
      </c>
      <c r="E1770" s="87" t="str">
        <f>IFERROR(__xludf.DUMMYFUNCTION("""COMPUTED_VALUE"""),"3 - ALMOX. ESTOQUE")</f>
        <v>3 - ALMOX. ESTOQUE</v>
      </c>
      <c r="F1770" s="92"/>
      <c r="G1770" s="89">
        <f>IFERROR(__xludf.DUMMYFUNCTION("""COMPUTED_VALUE"""),7.701904E7)</f>
        <v>77019040</v>
      </c>
      <c r="H1770" s="87"/>
      <c r="I1770" s="87"/>
    </row>
    <row r="1771">
      <c r="A1771" s="84">
        <f>IFERROR(__xludf.DUMMYFUNCTION("""COMPUTED_VALUE"""),1771.0)</f>
        <v>1771</v>
      </c>
      <c r="B1771" s="85" t="str">
        <f>IFERROR(__xludf.DUMMYFUNCTION("""COMPUTED_VALUE"""),"CAPACETE MULTIMISSAO - TIPO III")</f>
        <v>CAPACETE MULTIMISSAO - TIPO III</v>
      </c>
      <c r="C1771" s="86">
        <f>IFERROR(__xludf.DUMMYFUNCTION("""COMPUTED_VALUE"""),1.0)</f>
        <v>1</v>
      </c>
      <c r="D1771" s="87" t="str">
        <f>IFERROR(__xludf.DUMMYFUNCTION("""COMPUTED_VALUE"""),"SEÇÃO")</f>
        <v>SEÇÃO</v>
      </c>
      <c r="E1771" s="87" t="str">
        <f>IFERROR(__xludf.DUMMYFUNCTION("""COMPUTED_VALUE"""),"3 - ALMOX. ESTOQUE")</f>
        <v>3 - ALMOX. ESTOQUE</v>
      </c>
      <c r="F1771" s="92"/>
      <c r="G1771" s="89">
        <f>IFERROR(__xludf.DUMMYFUNCTION("""COMPUTED_VALUE"""),7.7019059E7)</f>
        <v>77019059</v>
      </c>
      <c r="H1771" s="87"/>
      <c r="I1771" s="87"/>
    </row>
    <row r="1772">
      <c r="A1772" s="84">
        <f>IFERROR(__xludf.DUMMYFUNCTION("""COMPUTED_VALUE"""),1772.0)</f>
        <v>1772</v>
      </c>
      <c r="B1772" s="85" t="str">
        <f>IFERROR(__xludf.DUMMYFUNCTION("""COMPUTED_VALUE"""),"CAPACETE MULTIMISSAO - TIPO III")</f>
        <v>CAPACETE MULTIMISSAO - TIPO III</v>
      </c>
      <c r="C1772" s="86">
        <f>IFERROR(__xludf.DUMMYFUNCTION("""COMPUTED_VALUE"""),1.0)</f>
        <v>1</v>
      </c>
      <c r="D1772" s="87" t="str">
        <f>IFERROR(__xludf.DUMMYFUNCTION("""COMPUTED_VALUE"""),"SEÇÃO")</f>
        <v>SEÇÃO</v>
      </c>
      <c r="E1772" s="87" t="str">
        <f>IFERROR(__xludf.DUMMYFUNCTION("""COMPUTED_VALUE"""),"3 - ALMOX. ESTOQUE")</f>
        <v>3 - ALMOX. ESTOQUE</v>
      </c>
      <c r="F1772" s="92"/>
      <c r="G1772" s="89">
        <f>IFERROR(__xludf.DUMMYFUNCTION("""COMPUTED_VALUE"""),7.7019067E7)</f>
        <v>77019067</v>
      </c>
      <c r="H1772" s="87"/>
      <c r="I1772" s="87"/>
    </row>
    <row r="1773">
      <c r="A1773" s="84">
        <f>IFERROR(__xludf.DUMMYFUNCTION("""COMPUTED_VALUE"""),1773.0)</f>
        <v>1773</v>
      </c>
      <c r="B1773" s="85" t="str">
        <f>IFERROR(__xludf.DUMMYFUNCTION("""COMPUTED_VALUE"""),"CAPACETE MULTIMISSAO - TIPO III")</f>
        <v>CAPACETE MULTIMISSAO - TIPO III</v>
      </c>
      <c r="C1773" s="86">
        <f>IFERROR(__xludf.DUMMYFUNCTION("""COMPUTED_VALUE"""),1.0)</f>
        <v>1</v>
      </c>
      <c r="D1773" s="87" t="str">
        <f>IFERROR(__xludf.DUMMYFUNCTION("""COMPUTED_VALUE"""),"SEÇÃO")</f>
        <v>SEÇÃO</v>
      </c>
      <c r="E1773" s="87" t="str">
        <f>IFERROR(__xludf.DUMMYFUNCTION("""COMPUTED_VALUE"""),"3 - ALMOX. ESTOQUE")</f>
        <v>3 - ALMOX. ESTOQUE</v>
      </c>
      <c r="F1773" s="92"/>
      <c r="G1773" s="89">
        <f>IFERROR(__xludf.DUMMYFUNCTION("""COMPUTED_VALUE"""),7.7019075E7)</f>
        <v>77019075</v>
      </c>
      <c r="H1773" s="87"/>
      <c r="I1773" s="87"/>
    </row>
    <row r="1774">
      <c r="A1774" s="84">
        <f>IFERROR(__xludf.DUMMYFUNCTION("""COMPUTED_VALUE"""),1774.0)</f>
        <v>1774</v>
      </c>
      <c r="B1774" s="85" t="str">
        <f>IFERROR(__xludf.DUMMYFUNCTION("""COMPUTED_VALUE"""),"CAPACETE MULTIMISSAO - TIPO III")</f>
        <v>CAPACETE MULTIMISSAO - TIPO III</v>
      </c>
      <c r="C1774" s="86">
        <f>IFERROR(__xludf.DUMMYFUNCTION("""COMPUTED_VALUE"""),1.0)</f>
        <v>1</v>
      </c>
      <c r="D1774" s="87" t="str">
        <f>IFERROR(__xludf.DUMMYFUNCTION("""COMPUTED_VALUE"""),"SEÇÃO")</f>
        <v>SEÇÃO</v>
      </c>
      <c r="E1774" s="87" t="str">
        <f>IFERROR(__xludf.DUMMYFUNCTION("""COMPUTED_VALUE"""),"3 - ALMOX. ESTOQUE")</f>
        <v>3 - ALMOX. ESTOQUE</v>
      </c>
      <c r="F1774" s="92"/>
      <c r="G1774" s="89">
        <f>IFERROR(__xludf.DUMMYFUNCTION("""COMPUTED_VALUE"""),7.7019083E7)</f>
        <v>77019083</v>
      </c>
      <c r="H1774" s="87"/>
      <c r="I1774" s="87"/>
    </row>
    <row r="1775">
      <c r="A1775" s="84">
        <f>IFERROR(__xludf.DUMMYFUNCTION("""COMPUTED_VALUE"""),1775.0)</f>
        <v>1775</v>
      </c>
      <c r="B1775" s="85" t="str">
        <f>IFERROR(__xludf.DUMMYFUNCTION("""COMPUTED_VALUE"""),"CAPACETE MULTIMISSAO - TIPO III")</f>
        <v>CAPACETE MULTIMISSAO - TIPO III</v>
      </c>
      <c r="C1775" s="86">
        <f>IFERROR(__xludf.DUMMYFUNCTION("""COMPUTED_VALUE"""),1.0)</f>
        <v>1</v>
      </c>
      <c r="D1775" s="87" t="str">
        <f>IFERROR(__xludf.DUMMYFUNCTION("""COMPUTED_VALUE"""),"SEÇÃO")</f>
        <v>SEÇÃO</v>
      </c>
      <c r="E1775" s="87" t="str">
        <f>IFERROR(__xludf.DUMMYFUNCTION("""COMPUTED_VALUE"""),"3 - ALMOX. ESTOQUE")</f>
        <v>3 - ALMOX. ESTOQUE</v>
      </c>
      <c r="F1775" s="92"/>
      <c r="G1775" s="89">
        <f>IFERROR(__xludf.DUMMYFUNCTION("""COMPUTED_VALUE"""),7.7019091E7)</f>
        <v>77019091</v>
      </c>
      <c r="H1775" s="87"/>
      <c r="I1775" s="87"/>
    </row>
    <row r="1776">
      <c r="A1776" s="84">
        <f>IFERROR(__xludf.DUMMYFUNCTION("""COMPUTED_VALUE"""),1776.0)</f>
        <v>1776</v>
      </c>
      <c r="B1776" s="85" t="str">
        <f>IFERROR(__xludf.DUMMYFUNCTION("""COMPUTED_VALUE"""),"CAPACETE MULTIMISSAO - TIPO III")</f>
        <v>CAPACETE MULTIMISSAO - TIPO III</v>
      </c>
      <c r="C1776" s="86">
        <f>IFERROR(__xludf.DUMMYFUNCTION("""COMPUTED_VALUE"""),1.0)</f>
        <v>1</v>
      </c>
      <c r="D1776" s="87" t="str">
        <f>IFERROR(__xludf.DUMMYFUNCTION("""COMPUTED_VALUE"""),"SEÇÃO")</f>
        <v>SEÇÃO</v>
      </c>
      <c r="E1776" s="87" t="str">
        <f>IFERROR(__xludf.DUMMYFUNCTION("""COMPUTED_VALUE"""),"3 - ALMOX. ESTOQUE")</f>
        <v>3 - ALMOX. ESTOQUE</v>
      </c>
      <c r="F1776" s="92"/>
      <c r="G1776" s="89">
        <f>IFERROR(__xludf.DUMMYFUNCTION("""COMPUTED_VALUE"""),7.7019105E7)</f>
        <v>77019105</v>
      </c>
      <c r="H1776" s="87"/>
      <c r="I1776" s="87"/>
    </row>
    <row r="1777">
      <c r="A1777" s="84">
        <f>IFERROR(__xludf.DUMMYFUNCTION("""COMPUTED_VALUE"""),1777.0)</f>
        <v>1777</v>
      </c>
      <c r="B1777" s="85" t="str">
        <f>IFERROR(__xludf.DUMMYFUNCTION("""COMPUTED_VALUE"""),"CAPACETE MULTIMISSAO - TIPO III")</f>
        <v>CAPACETE MULTIMISSAO - TIPO III</v>
      </c>
      <c r="C1777" s="86">
        <f>IFERROR(__xludf.DUMMYFUNCTION("""COMPUTED_VALUE"""),1.0)</f>
        <v>1</v>
      </c>
      <c r="D1777" s="87" t="str">
        <f>IFERROR(__xludf.DUMMYFUNCTION("""COMPUTED_VALUE"""),"SEÇÃO")</f>
        <v>SEÇÃO</v>
      </c>
      <c r="E1777" s="87" t="str">
        <f>IFERROR(__xludf.DUMMYFUNCTION("""COMPUTED_VALUE"""),"3 - ALMOX. ESTOQUE")</f>
        <v>3 - ALMOX. ESTOQUE</v>
      </c>
      <c r="F1777" s="92"/>
      <c r="G1777" s="89">
        <f>IFERROR(__xludf.DUMMYFUNCTION("""COMPUTED_VALUE"""),7.7019113E7)</f>
        <v>77019113</v>
      </c>
      <c r="H1777" s="87"/>
      <c r="I1777" s="87"/>
    </row>
    <row r="1778">
      <c r="A1778" s="84">
        <f>IFERROR(__xludf.DUMMYFUNCTION("""COMPUTED_VALUE"""),1778.0)</f>
        <v>1778</v>
      </c>
      <c r="B1778" s="85" t="str">
        <f>IFERROR(__xludf.DUMMYFUNCTION("""COMPUTED_VALUE"""),"CAPACETE MULTIMISSAO - TIPO III")</f>
        <v>CAPACETE MULTIMISSAO - TIPO III</v>
      </c>
      <c r="C1778" s="86">
        <f>IFERROR(__xludf.DUMMYFUNCTION("""COMPUTED_VALUE"""),1.0)</f>
        <v>1</v>
      </c>
      <c r="D1778" s="87" t="str">
        <f>IFERROR(__xludf.DUMMYFUNCTION("""COMPUTED_VALUE"""),"SEÇÃO")</f>
        <v>SEÇÃO</v>
      </c>
      <c r="E1778" s="87" t="str">
        <f>IFERROR(__xludf.DUMMYFUNCTION("""COMPUTED_VALUE"""),"3 - ALMOX. ESTOQUE")</f>
        <v>3 - ALMOX. ESTOQUE</v>
      </c>
      <c r="F1778" s="92"/>
      <c r="G1778" s="89">
        <f>IFERROR(__xludf.DUMMYFUNCTION("""COMPUTED_VALUE"""),7.7019121E7)</f>
        <v>77019121</v>
      </c>
      <c r="H1778" s="87"/>
      <c r="I1778" s="87"/>
    </row>
    <row r="1779">
      <c r="A1779" s="84">
        <f>IFERROR(__xludf.DUMMYFUNCTION("""COMPUTED_VALUE"""),1779.0)</f>
        <v>1779</v>
      </c>
      <c r="B1779" s="85" t="str">
        <f>IFERROR(__xludf.DUMMYFUNCTION("""COMPUTED_VALUE"""),"CAPACETE MULTIMISSAO - TIPO III")</f>
        <v>CAPACETE MULTIMISSAO - TIPO III</v>
      </c>
      <c r="C1779" s="86">
        <f>IFERROR(__xludf.DUMMYFUNCTION("""COMPUTED_VALUE"""),1.0)</f>
        <v>1</v>
      </c>
      <c r="D1779" s="87" t="str">
        <f>IFERROR(__xludf.DUMMYFUNCTION("""COMPUTED_VALUE"""),"SEÇÃO")</f>
        <v>SEÇÃO</v>
      </c>
      <c r="E1779" s="87" t="str">
        <f>IFERROR(__xludf.DUMMYFUNCTION("""COMPUTED_VALUE"""),"3 - ALMOX. ESTOQUE")</f>
        <v>3 - ALMOX. ESTOQUE</v>
      </c>
      <c r="F1779" s="92"/>
      <c r="G1779" s="89">
        <f>IFERROR(__xludf.DUMMYFUNCTION("""COMPUTED_VALUE"""),7.701913E7)</f>
        <v>77019130</v>
      </c>
      <c r="H1779" s="87"/>
      <c r="I1779" s="87"/>
    </row>
    <row r="1780">
      <c r="A1780" s="84">
        <f>IFERROR(__xludf.DUMMYFUNCTION("""COMPUTED_VALUE"""),1780.0)</f>
        <v>1780</v>
      </c>
      <c r="B1780" s="85" t="str">
        <f>IFERROR(__xludf.DUMMYFUNCTION("""COMPUTED_VALUE"""),"CAPACETE MULTIMISSAO - TIPO III")</f>
        <v>CAPACETE MULTIMISSAO - TIPO III</v>
      </c>
      <c r="C1780" s="86">
        <f>IFERROR(__xludf.DUMMYFUNCTION("""COMPUTED_VALUE"""),1.0)</f>
        <v>1</v>
      </c>
      <c r="D1780" s="87" t="str">
        <f>IFERROR(__xludf.DUMMYFUNCTION("""COMPUTED_VALUE"""),"SEÇÃO")</f>
        <v>SEÇÃO</v>
      </c>
      <c r="E1780" s="87" t="str">
        <f>IFERROR(__xludf.DUMMYFUNCTION("""COMPUTED_VALUE"""),"3 - ALMOX. ESTOQUE")</f>
        <v>3 - ALMOX. ESTOQUE</v>
      </c>
      <c r="F1780" s="92"/>
      <c r="G1780" s="89">
        <f>IFERROR(__xludf.DUMMYFUNCTION("""COMPUTED_VALUE"""),7.7019148E7)</f>
        <v>77019148</v>
      </c>
      <c r="H1780" s="87"/>
      <c r="I1780" s="87"/>
    </row>
    <row r="1781">
      <c r="A1781" s="84">
        <f>IFERROR(__xludf.DUMMYFUNCTION("""COMPUTED_VALUE"""),1781.0)</f>
        <v>1781</v>
      </c>
      <c r="B1781" s="85" t="str">
        <f>IFERROR(__xludf.DUMMYFUNCTION("""COMPUTED_VALUE"""),"CAPACETE MULTIMISSAO - TIPO III")</f>
        <v>CAPACETE MULTIMISSAO - TIPO III</v>
      </c>
      <c r="C1781" s="86">
        <f>IFERROR(__xludf.DUMMYFUNCTION("""COMPUTED_VALUE"""),1.0)</f>
        <v>1</v>
      </c>
      <c r="D1781" s="87" t="str">
        <f>IFERROR(__xludf.DUMMYFUNCTION("""COMPUTED_VALUE"""),"SEÇÃO")</f>
        <v>SEÇÃO</v>
      </c>
      <c r="E1781" s="87" t="str">
        <f>IFERROR(__xludf.DUMMYFUNCTION("""COMPUTED_VALUE"""),"3 - ALMOX. ESTOQUE")</f>
        <v>3 - ALMOX. ESTOQUE</v>
      </c>
      <c r="F1781" s="92"/>
      <c r="G1781" s="89">
        <f>IFERROR(__xludf.DUMMYFUNCTION("""COMPUTED_VALUE"""),7.7019156E7)</f>
        <v>77019156</v>
      </c>
      <c r="H1781" s="87"/>
      <c r="I1781" s="87"/>
    </row>
    <row r="1782">
      <c r="A1782" s="84">
        <f>IFERROR(__xludf.DUMMYFUNCTION("""COMPUTED_VALUE"""),1782.0)</f>
        <v>1782</v>
      </c>
      <c r="B1782" s="85" t="str">
        <f>IFERROR(__xludf.DUMMYFUNCTION("""COMPUTED_VALUE"""),"CAPACETE MULTIMISSAO - TIPO III")</f>
        <v>CAPACETE MULTIMISSAO - TIPO III</v>
      </c>
      <c r="C1782" s="86">
        <f>IFERROR(__xludf.DUMMYFUNCTION("""COMPUTED_VALUE"""),1.0)</f>
        <v>1</v>
      </c>
      <c r="D1782" s="87" t="str">
        <f>IFERROR(__xludf.DUMMYFUNCTION("""COMPUTED_VALUE"""),"SEÇÃO")</f>
        <v>SEÇÃO</v>
      </c>
      <c r="E1782" s="87" t="str">
        <f>IFERROR(__xludf.DUMMYFUNCTION("""COMPUTED_VALUE"""),"3 - ALMOX. ESTOQUE")</f>
        <v>3 - ALMOX. ESTOQUE</v>
      </c>
      <c r="F1782" s="92"/>
      <c r="G1782" s="89">
        <f>IFERROR(__xludf.DUMMYFUNCTION("""COMPUTED_VALUE"""),7.7019164E7)</f>
        <v>77019164</v>
      </c>
      <c r="H1782" s="87"/>
      <c r="I1782" s="87"/>
    </row>
    <row r="1783">
      <c r="A1783" s="84">
        <f>IFERROR(__xludf.DUMMYFUNCTION("""COMPUTED_VALUE"""),1783.0)</f>
        <v>1783</v>
      </c>
      <c r="B1783" s="85" t="str">
        <f>IFERROR(__xludf.DUMMYFUNCTION("""COMPUTED_VALUE"""),"CAPACETE MULTIMISSAO - TIPO III")</f>
        <v>CAPACETE MULTIMISSAO - TIPO III</v>
      </c>
      <c r="C1783" s="86">
        <f>IFERROR(__xludf.DUMMYFUNCTION("""COMPUTED_VALUE"""),1.0)</f>
        <v>1</v>
      </c>
      <c r="D1783" s="87" t="str">
        <f>IFERROR(__xludf.DUMMYFUNCTION("""COMPUTED_VALUE"""),"SEÇÃO")</f>
        <v>SEÇÃO</v>
      </c>
      <c r="E1783" s="87" t="str">
        <f>IFERROR(__xludf.DUMMYFUNCTION("""COMPUTED_VALUE"""),"3 - ALMOX. ESTOQUE")</f>
        <v>3 - ALMOX. ESTOQUE</v>
      </c>
      <c r="F1783" s="92"/>
      <c r="G1783" s="89">
        <f>IFERROR(__xludf.DUMMYFUNCTION("""COMPUTED_VALUE"""),7.7019172E7)</f>
        <v>77019172</v>
      </c>
      <c r="H1783" s="87"/>
      <c r="I1783" s="87"/>
    </row>
    <row r="1784">
      <c r="A1784" s="84">
        <f>IFERROR(__xludf.DUMMYFUNCTION("""COMPUTED_VALUE"""),1784.0)</f>
        <v>1784</v>
      </c>
      <c r="B1784" s="85" t="str">
        <f>IFERROR(__xludf.DUMMYFUNCTION("""COMPUTED_VALUE"""),"CAPACETE MULTIMISSAO - TIPO III")</f>
        <v>CAPACETE MULTIMISSAO - TIPO III</v>
      </c>
      <c r="C1784" s="86">
        <f>IFERROR(__xludf.DUMMYFUNCTION("""COMPUTED_VALUE"""),1.0)</f>
        <v>1</v>
      </c>
      <c r="D1784" s="87" t="str">
        <f>IFERROR(__xludf.DUMMYFUNCTION("""COMPUTED_VALUE"""),"SEÇÃO")</f>
        <v>SEÇÃO</v>
      </c>
      <c r="E1784" s="87" t="str">
        <f>IFERROR(__xludf.DUMMYFUNCTION("""COMPUTED_VALUE"""),"3 - ALMOX. ESTOQUE")</f>
        <v>3 - ALMOX. ESTOQUE</v>
      </c>
      <c r="F1784" s="92"/>
      <c r="G1784" s="89">
        <f>IFERROR(__xludf.DUMMYFUNCTION("""COMPUTED_VALUE"""),7.701918E7)</f>
        <v>77019180</v>
      </c>
      <c r="H1784" s="87"/>
      <c r="I1784" s="87"/>
    </row>
    <row r="1785">
      <c r="A1785" s="84">
        <f>IFERROR(__xludf.DUMMYFUNCTION("""COMPUTED_VALUE"""),1785.0)</f>
        <v>1785</v>
      </c>
      <c r="B1785" s="85" t="str">
        <f>IFERROR(__xludf.DUMMYFUNCTION("""COMPUTED_VALUE"""),"CAPACETE MULTIMISSAO - TIPO III")</f>
        <v>CAPACETE MULTIMISSAO - TIPO III</v>
      </c>
      <c r="C1785" s="86">
        <f>IFERROR(__xludf.DUMMYFUNCTION("""COMPUTED_VALUE"""),1.0)</f>
        <v>1</v>
      </c>
      <c r="D1785" s="87" t="str">
        <f>IFERROR(__xludf.DUMMYFUNCTION("""COMPUTED_VALUE"""),"SEÇÃO")</f>
        <v>SEÇÃO</v>
      </c>
      <c r="E1785" s="87" t="str">
        <f>IFERROR(__xludf.DUMMYFUNCTION("""COMPUTED_VALUE"""),"3 - ALMOX. ESTOQUE")</f>
        <v>3 - ALMOX. ESTOQUE</v>
      </c>
      <c r="F1785" s="92"/>
      <c r="G1785" s="89">
        <f>IFERROR(__xludf.DUMMYFUNCTION("""COMPUTED_VALUE"""),7.7019199E7)</f>
        <v>77019199</v>
      </c>
      <c r="H1785" s="87"/>
      <c r="I1785" s="87"/>
    </row>
    <row r="1786">
      <c r="A1786" s="84">
        <f>IFERROR(__xludf.DUMMYFUNCTION("""COMPUTED_VALUE"""),1786.0)</f>
        <v>1786</v>
      </c>
      <c r="B1786" s="85" t="str">
        <f>IFERROR(__xludf.DUMMYFUNCTION("""COMPUTED_VALUE"""),"CAPACETE MULTIMISSAO - TIPO III")</f>
        <v>CAPACETE MULTIMISSAO - TIPO III</v>
      </c>
      <c r="C1786" s="86">
        <f>IFERROR(__xludf.DUMMYFUNCTION("""COMPUTED_VALUE"""),1.0)</f>
        <v>1</v>
      </c>
      <c r="D1786" s="87" t="str">
        <f>IFERROR(__xludf.DUMMYFUNCTION("""COMPUTED_VALUE"""),"SEÇÃO")</f>
        <v>SEÇÃO</v>
      </c>
      <c r="E1786" s="87" t="str">
        <f>IFERROR(__xludf.DUMMYFUNCTION("""COMPUTED_VALUE"""),"3 - ALMOX. ESTOQUE")</f>
        <v>3 - ALMOX. ESTOQUE</v>
      </c>
      <c r="F1786" s="92"/>
      <c r="G1786" s="89">
        <f>IFERROR(__xludf.DUMMYFUNCTION("""COMPUTED_VALUE"""),7.7019202E7)</f>
        <v>77019202</v>
      </c>
      <c r="H1786" s="87"/>
      <c r="I1786" s="87"/>
    </row>
    <row r="1787">
      <c r="A1787" s="84">
        <f>IFERROR(__xludf.DUMMYFUNCTION("""COMPUTED_VALUE"""),1787.0)</f>
        <v>1787</v>
      </c>
      <c r="B1787" s="85" t="str">
        <f>IFERROR(__xludf.DUMMYFUNCTION("""COMPUTED_VALUE"""),"CAPACETE MULTIMISSAO - TIPO III")</f>
        <v>CAPACETE MULTIMISSAO - TIPO III</v>
      </c>
      <c r="C1787" s="86">
        <f>IFERROR(__xludf.DUMMYFUNCTION("""COMPUTED_VALUE"""),1.0)</f>
        <v>1</v>
      </c>
      <c r="D1787" s="87" t="str">
        <f>IFERROR(__xludf.DUMMYFUNCTION("""COMPUTED_VALUE"""),"SEÇÃO")</f>
        <v>SEÇÃO</v>
      </c>
      <c r="E1787" s="87" t="str">
        <f>IFERROR(__xludf.DUMMYFUNCTION("""COMPUTED_VALUE"""),"3 - ALMOX. ESTOQUE")</f>
        <v>3 - ALMOX. ESTOQUE</v>
      </c>
      <c r="F1787" s="92"/>
      <c r="G1787" s="89">
        <f>IFERROR(__xludf.DUMMYFUNCTION("""COMPUTED_VALUE"""),7.701921E7)</f>
        <v>77019210</v>
      </c>
      <c r="H1787" s="87"/>
      <c r="I1787" s="87"/>
    </row>
    <row r="1788">
      <c r="A1788" s="84">
        <f>IFERROR(__xludf.DUMMYFUNCTION("""COMPUTED_VALUE"""),1788.0)</f>
        <v>1788</v>
      </c>
      <c r="B1788" s="85" t="str">
        <f>IFERROR(__xludf.DUMMYFUNCTION("""COMPUTED_VALUE"""),"CAPACETE MULTIMISSAO - TIPO III")</f>
        <v>CAPACETE MULTIMISSAO - TIPO III</v>
      </c>
      <c r="C1788" s="86">
        <f>IFERROR(__xludf.DUMMYFUNCTION("""COMPUTED_VALUE"""),1.0)</f>
        <v>1</v>
      </c>
      <c r="D1788" s="87" t="str">
        <f>IFERROR(__xludf.DUMMYFUNCTION("""COMPUTED_VALUE"""),"SEÇÃO")</f>
        <v>SEÇÃO</v>
      </c>
      <c r="E1788" s="87" t="str">
        <f>IFERROR(__xludf.DUMMYFUNCTION("""COMPUTED_VALUE"""),"3 - ALMOX. ESTOQUE")</f>
        <v>3 - ALMOX. ESTOQUE</v>
      </c>
      <c r="F1788" s="92"/>
      <c r="G1788" s="89">
        <f>IFERROR(__xludf.DUMMYFUNCTION("""COMPUTED_VALUE"""),7.7019229E7)</f>
        <v>77019229</v>
      </c>
      <c r="H1788" s="87"/>
      <c r="I1788" s="87"/>
    </row>
    <row r="1789">
      <c r="A1789" s="84">
        <f>IFERROR(__xludf.DUMMYFUNCTION("""COMPUTED_VALUE"""),1789.0)</f>
        <v>1789</v>
      </c>
      <c r="B1789" s="85" t="str">
        <f>IFERROR(__xludf.DUMMYFUNCTION("""COMPUTED_VALUE"""),"CAPACETE MULTIMISSAO - TIPO III")</f>
        <v>CAPACETE MULTIMISSAO - TIPO III</v>
      </c>
      <c r="C1789" s="86">
        <f>IFERROR(__xludf.DUMMYFUNCTION("""COMPUTED_VALUE"""),1.0)</f>
        <v>1</v>
      </c>
      <c r="D1789" s="87" t="str">
        <f>IFERROR(__xludf.DUMMYFUNCTION("""COMPUTED_VALUE"""),"SEÇÃO")</f>
        <v>SEÇÃO</v>
      </c>
      <c r="E1789" s="87" t="str">
        <f>IFERROR(__xludf.DUMMYFUNCTION("""COMPUTED_VALUE"""),"3 - ALMOX. ESTOQUE")</f>
        <v>3 - ALMOX. ESTOQUE</v>
      </c>
      <c r="F1789" s="92"/>
      <c r="G1789" s="89">
        <f>IFERROR(__xludf.DUMMYFUNCTION("""COMPUTED_VALUE"""),7.7019237E7)</f>
        <v>77019237</v>
      </c>
      <c r="H1789" s="87"/>
      <c r="I1789" s="87"/>
    </row>
    <row r="1790">
      <c r="A1790" s="84">
        <f>IFERROR(__xludf.DUMMYFUNCTION("""COMPUTED_VALUE"""),1790.0)</f>
        <v>1790</v>
      </c>
      <c r="B1790" s="85" t="str">
        <f>IFERROR(__xludf.DUMMYFUNCTION("""COMPUTED_VALUE"""),"CAPACETE MULTIMISSAO - TIPO III")</f>
        <v>CAPACETE MULTIMISSAO - TIPO III</v>
      </c>
      <c r="C1790" s="86">
        <f>IFERROR(__xludf.DUMMYFUNCTION("""COMPUTED_VALUE"""),1.0)</f>
        <v>1</v>
      </c>
      <c r="D1790" s="87" t="str">
        <f>IFERROR(__xludf.DUMMYFUNCTION("""COMPUTED_VALUE"""),"SEÇÃO")</f>
        <v>SEÇÃO</v>
      </c>
      <c r="E1790" s="87" t="str">
        <f>IFERROR(__xludf.DUMMYFUNCTION("""COMPUTED_VALUE"""),"3 - ALMOX. ESTOQUE")</f>
        <v>3 - ALMOX. ESTOQUE</v>
      </c>
      <c r="F1790" s="92"/>
      <c r="G1790" s="89">
        <f>IFERROR(__xludf.DUMMYFUNCTION("""COMPUTED_VALUE"""),7.7019245E7)</f>
        <v>77019245</v>
      </c>
      <c r="H1790" s="87"/>
      <c r="I1790" s="87"/>
    </row>
    <row r="1791">
      <c r="A1791" s="84">
        <f>IFERROR(__xludf.DUMMYFUNCTION("""COMPUTED_VALUE"""),1.0)</f>
        <v>1</v>
      </c>
      <c r="B1791" s="85" t="str">
        <f>IFERROR(__xludf.DUMMYFUNCTION("""COMPUTED_VALUE"""),"CORDELETE")</f>
        <v>CORDELETE</v>
      </c>
      <c r="C1791" s="86">
        <f>IFERROR(__xludf.DUMMYFUNCTION("""COMPUTED_VALUE"""),9.0)</f>
        <v>9</v>
      </c>
      <c r="D1791" s="87" t="str">
        <f>IFERROR(__xludf.DUMMYFUNCTION("""COMPUTED_VALUE"""),"VIATURA")</f>
        <v>VIATURA</v>
      </c>
      <c r="E1791" s="87" t="str">
        <f>IFERROR(__xludf.DUMMYFUNCTION("""COMPUTED_VALUE"""),"1 - ABTS1418")</f>
        <v>1 - ABTS1418</v>
      </c>
      <c r="F1791" s="92" t="str">
        <f>IFERROR(__xludf.DUMMYFUNCTION("""COMPUTED_VALUE"""),"BOX 05")</f>
        <v>BOX 05</v>
      </c>
      <c r="G1791" s="89">
        <f>IFERROR(__xludf.DUMMYFUNCTION("""COMPUTED_VALUE"""),45527.0)</f>
        <v>45527</v>
      </c>
      <c r="H1791" s="87"/>
      <c r="I1791" s="87"/>
    </row>
    <row r="1792">
      <c r="A1792" s="84">
        <f>IFERROR(__xludf.DUMMYFUNCTION("""COMPUTED_VALUE"""),2.0)</f>
        <v>2</v>
      </c>
      <c r="B1792" s="85" t="str">
        <f>IFERROR(__xludf.DUMMYFUNCTION("""COMPUTED_VALUE"""),"MANGUEIRA DE 1 ¹/²")</f>
        <v>MANGUEIRA DE 1 ¹/²</v>
      </c>
      <c r="C1792" s="86">
        <f>IFERROR(__xludf.DUMMYFUNCTION("""COMPUTED_VALUE"""),9.0)</f>
        <v>9</v>
      </c>
      <c r="D1792" s="87" t="str">
        <f>IFERROR(__xludf.DUMMYFUNCTION("""COMPUTED_VALUE"""),"VIATURA")</f>
        <v>VIATURA</v>
      </c>
      <c r="E1792" s="87" t="str">
        <f>IFERROR(__xludf.DUMMYFUNCTION("""COMPUTED_VALUE"""),"1 - ABTS1418")</f>
        <v>1 - ABTS1418</v>
      </c>
      <c r="F1792" s="92" t="str">
        <f>IFERROR(__xludf.DUMMYFUNCTION("""COMPUTED_VALUE"""),"BOX 08")</f>
        <v>BOX 08</v>
      </c>
      <c r="G1792" s="89">
        <f>IFERROR(__xludf.DUMMYFUNCTION("""COMPUTED_VALUE"""),45527.0)</f>
        <v>45527</v>
      </c>
      <c r="H1792" s="87"/>
      <c r="I1792" s="87"/>
    </row>
    <row r="1793">
      <c r="A1793" s="84">
        <f>IFERROR(__xludf.DUMMYFUNCTION("""COMPUTED_VALUE"""),3.0)</f>
        <v>3</v>
      </c>
      <c r="B1793" s="85" t="str">
        <f>IFERROR(__xludf.DUMMYFUNCTION("""COMPUTED_VALUE"""),"MANGUEIRA DE 2 ¹/²")</f>
        <v>MANGUEIRA DE 2 ¹/²</v>
      </c>
      <c r="C1793" s="86">
        <f>IFERROR(__xludf.DUMMYFUNCTION("""COMPUTED_VALUE"""),2.0)</f>
        <v>2</v>
      </c>
      <c r="D1793" s="87" t="str">
        <f>IFERROR(__xludf.DUMMYFUNCTION("""COMPUTED_VALUE"""),"VIATURA")</f>
        <v>VIATURA</v>
      </c>
      <c r="E1793" s="87" t="str">
        <f>IFERROR(__xludf.DUMMYFUNCTION("""COMPUTED_VALUE"""),"1 - ABTS1418")</f>
        <v>1 - ABTS1418</v>
      </c>
      <c r="F1793" s="92" t="str">
        <f>IFERROR(__xludf.DUMMYFUNCTION("""COMPUTED_VALUE"""),"BOX 08")</f>
        <v>BOX 08</v>
      </c>
      <c r="G1793" s="89">
        <f>IFERROR(__xludf.DUMMYFUNCTION("""COMPUTED_VALUE"""),45527.0)</f>
        <v>45527</v>
      </c>
      <c r="H1793" s="87"/>
      <c r="I1793" s="87"/>
    </row>
    <row r="1794">
      <c r="A1794" s="84">
        <f>IFERROR(__xludf.DUMMYFUNCTION("""COMPUTED_VALUE"""),4.0)</f>
        <v>4</v>
      </c>
      <c r="B1794" s="85" t="str">
        <f>IFERROR(__xludf.DUMMYFUNCTION("""COMPUTED_VALUE"""),"CABO DE AÇO")</f>
        <v>CABO DE AÇO</v>
      </c>
      <c r="C1794" s="86">
        <f>IFERROR(__xludf.DUMMYFUNCTION("""COMPUTED_VALUE"""),1.0)</f>
        <v>1</v>
      </c>
      <c r="D1794" s="87" t="str">
        <f>IFERROR(__xludf.DUMMYFUNCTION("""COMPUTED_VALUE"""),"VIATURA")</f>
        <v>VIATURA</v>
      </c>
      <c r="E1794" s="87" t="str">
        <f>IFERROR(__xludf.DUMMYFUNCTION("""COMPUTED_VALUE"""),"1 - ABTS1418")</f>
        <v>1 - ABTS1418</v>
      </c>
      <c r="F1794" s="92" t="str">
        <f>IFERROR(__xludf.DUMMYFUNCTION("""COMPUTED_VALUE"""),"BOX 03")</f>
        <v>BOX 03</v>
      </c>
      <c r="G1794" s="89">
        <f>IFERROR(__xludf.DUMMYFUNCTION("""COMPUTED_VALUE"""),45527.0)</f>
        <v>45527</v>
      </c>
      <c r="H1794" s="87"/>
      <c r="I1794" s="87"/>
    </row>
    <row r="1795">
      <c r="A1795" s="84">
        <f>IFERROR(__xludf.DUMMYFUNCTION("""COMPUTED_VALUE"""),5.0)</f>
        <v>5</v>
      </c>
      <c r="B1795" s="85" t="str">
        <f>IFERROR(__xludf.DUMMYFUNCTION("""COMPUTED_VALUE"""),"TUBO TELESCÓPICO")</f>
        <v>TUBO TELESCÓPICO</v>
      </c>
      <c r="C1795" s="86">
        <f>IFERROR(__xludf.DUMMYFUNCTION("""COMPUTED_VALUE"""),1.0)</f>
        <v>1</v>
      </c>
      <c r="D1795" s="87" t="str">
        <f>IFERROR(__xludf.DUMMYFUNCTION("""COMPUTED_VALUE"""),"VIATURA")</f>
        <v>VIATURA</v>
      </c>
      <c r="E1795" s="87" t="str">
        <f>IFERROR(__xludf.DUMMYFUNCTION("""COMPUTED_VALUE"""),"1 - ABTS1418")</f>
        <v>1 - ABTS1418</v>
      </c>
      <c r="F1795" s="92" t="str">
        <f>IFERROR(__xludf.DUMMYFUNCTION("""COMPUTED_VALUE"""),"BOX 03")</f>
        <v>BOX 03</v>
      </c>
      <c r="G1795" s="89">
        <f>IFERROR(__xludf.DUMMYFUNCTION("""COMPUTED_VALUE"""),45527.0)</f>
        <v>45527</v>
      </c>
      <c r="H1795" s="87"/>
      <c r="I1795" s="87"/>
    </row>
    <row r="1796">
      <c r="A1796" s="84">
        <f>IFERROR(__xludf.DUMMYFUNCTION("""COMPUTED_VALUE"""),6.0)</f>
        <v>6</v>
      </c>
      <c r="B1796" s="85" t="str">
        <f>IFERROR(__xludf.DUMMYFUNCTION("""COMPUTED_VALUE"""),"LINGA")</f>
        <v>LINGA</v>
      </c>
      <c r="C1796" s="86">
        <f>IFERROR(__xludf.DUMMYFUNCTION("""COMPUTED_VALUE"""),1.0)</f>
        <v>1</v>
      </c>
      <c r="D1796" s="87" t="str">
        <f>IFERROR(__xludf.DUMMYFUNCTION("""COMPUTED_VALUE"""),"VIATURA")</f>
        <v>VIATURA</v>
      </c>
      <c r="E1796" s="87" t="str">
        <f>IFERROR(__xludf.DUMMYFUNCTION("""COMPUTED_VALUE"""),"1 - ABTS1418")</f>
        <v>1 - ABTS1418</v>
      </c>
      <c r="F1796" s="92" t="str">
        <f>IFERROR(__xludf.DUMMYFUNCTION("""COMPUTED_VALUE"""),"BOX 03")</f>
        <v>BOX 03</v>
      </c>
      <c r="G1796" s="89">
        <f>IFERROR(__xludf.DUMMYFUNCTION("""COMPUTED_VALUE"""),45527.0)</f>
        <v>45527</v>
      </c>
      <c r="H1796" s="87"/>
      <c r="I1796" s="87" t="str">
        <f>IFERROR(__xludf.DUMMYFUNCTION("""COMPUTED_VALUE"""),"LINGA DE AÇO TIFOR")</f>
        <v>LINGA DE AÇO TIFOR</v>
      </c>
    </row>
    <row r="1797">
      <c r="A1797" s="84">
        <f>IFERROR(__xludf.DUMMYFUNCTION("""COMPUTED_VALUE"""),7.0)</f>
        <v>7</v>
      </c>
      <c r="B1797" s="85" t="str">
        <f>IFERROR(__xludf.DUMMYFUNCTION("""COMPUTED_VALUE"""),"CONE SINALEIRO")</f>
        <v>CONE SINALEIRO</v>
      </c>
      <c r="C1797" s="86">
        <f>IFERROR(__xludf.DUMMYFUNCTION("""COMPUTED_VALUE"""),5.0)</f>
        <v>5</v>
      </c>
      <c r="D1797" s="87" t="str">
        <f>IFERROR(__xludf.DUMMYFUNCTION("""COMPUTED_VALUE"""),"VIATURA")</f>
        <v>VIATURA</v>
      </c>
      <c r="E1797" s="87" t="str">
        <f>IFERROR(__xludf.DUMMYFUNCTION("""COMPUTED_VALUE"""),"1 - ABTS1418")</f>
        <v>1 - ABTS1418</v>
      </c>
      <c r="F1797" s="92" t="str">
        <f>IFERROR(__xludf.DUMMYFUNCTION("""COMPUTED_VALUE"""),"BOX 07")</f>
        <v>BOX 07</v>
      </c>
      <c r="G1797" s="89">
        <f>IFERROR(__xludf.DUMMYFUNCTION("""COMPUTED_VALUE"""),45527.0)</f>
        <v>45527</v>
      </c>
      <c r="H1797" s="87"/>
      <c r="I1797" s="87"/>
    </row>
    <row r="1798">
      <c r="A1798" s="84">
        <f>IFERROR(__xludf.DUMMYFUNCTION("""COMPUTED_VALUE"""),8.0)</f>
        <v>8</v>
      </c>
      <c r="B1798" s="85" t="str">
        <f>IFERROR(__xludf.DUMMYFUNCTION("""COMPUTED_VALUE"""),"CALÇA DE MOTOSSERRISTA XG")</f>
        <v>CALÇA DE MOTOSSERRISTA XG</v>
      </c>
      <c r="C1798" s="86">
        <f>IFERROR(__xludf.DUMMYFUNCTION("""COMPUTED_VALUE"""),2.0)</f>
        <v>2</v>
      </c>
      <c r="D1798" s="87" t="str">
        <f>IFERROR(__xludf.DUMMYFUNCTION("""COMPUTED_VALUE"""),"VIATURA")</f>
        <v>VIATURA</v>
      </c>
      <c r="E1798" s="87" t="str">
        <f>IFERROR(__xludf.DUMMYFUNCTION("""COMPUTED_VALUE"""),"1 - ABTS5911")</f>
        <v>1 - ABTS5911</v>
      </c>
      <c r="F1798" s="92" t="str">
        <f>IFERROR(__xludf.DUMMYFUNCTION("""COMPUTED_VALUE"""),"BOX 02")</f>
        <v>BOX 02</v>
      </c>
      <c r="G1798" s="89">
        <f>IFERROR(__xludf.DUMMYFUNCTION("""COMPUTED_VALUE"""),45527.0)</f>
        <v>45527</v>
      </c>
      <c r="H1798" s="87"/>
      <c r="I1798" s="87"/>
    </row>
    <row r="1799">
      <c r="A1799" s="84">
        <f>IFERROR(__xludf.DUMMYFUNCTION("""COMPUTED_VALUE"""),9.0)</f>
        <v>9</v>
      </c>
      <c r="B1799" s="85" t="str">
        <f>IFERROR(__xludf.DUMMYFUNCTION("""COMPUTED_VALUE"""),"FACÕES")</f>
        <v>FACÕES</v>
      </c>
      <c r="C1799" s="86">
        <f>IFERROR(__xludf.DUMMYFUNCTION("""COMPUTED_VALUE"""),4.0)</f>
        <v>4</v>
      </c>
      <c r="D1799" s="87" t="str">
        <f>IFERROR(__xludf.DUMMYFUNCTION("""COMPUTED_VALUE"""),"VIATURA")</f>
        <v>VIATURA</v>
      </c>
      <c r="E1799" s="87" t="str">
        <f>IFERROR(__xludf.DUMMYFUNCTION("""COMPUTED_VALUE"""),"1 - ABTS1418")</f>
        <v>1 - ABTS1418</v>
      </c>
      <c r="F1799" s="92" t="str">
        <f>IFERROR(__xludf.DUMMYFUNCTION("""COMPUTED_VALUE"""),"BOX 03")</f>
        <v>BOX 03</v>
      </c>
      <c r="G1799" s="89">
        <f>IFERROR(__xludf.DUMMYFUNCTION("""COMPUTED_VALUE"""),45527.0)</f>
        <v>45527</v>
      </c>
      <c r="H1799" s="87"/>
      <c r="I1799" s="87"/>
    </row>
    <row r="1800">
      <c r="A1800" s="84">
        <f>IFERROR(__xludf.DUMMYFUNCTION("""COMPUTED_VALUE"""),10.0)</f>
        <v>10</v>
      </c>
      <c r="B1800" s="85" t="str">
        <f>IFERROR(__xludf.DUMMYFUNCTION("""COMPUTED_VALUE"""),"CORTA FRIO 36''")</f>
        <v>CORTA FRIO 36''</v>
      </c>
      <c r="C1800" s="86">
        <f>IFERROR(__xludf.DUMMYFUNCTION("""COMPUTED_VALUE"""),1.0)</f>
        <v>1</v>
      </c>
      <c r="D1800" s="87" t="str">
        <f>IFERROR(__xludf.DUMMYFUNCTION("""COMPUTED_VALUE"""),"VIATURA")</f>
        <v>VIATURA</v>
      </c>
      <c r="E1800" s="87" t="str">
        <f>IFERROR(__xludf.DUMMYFUNCTION("""COMPUTED_VALUE"""),"1 - ABTS1418")</f>
        <v>1 - ABTS1418</v>
      </c>
      <c r="F1800" s="92" t="str">
        <f>IFERROR(__xludf.DUMMYFUNCTION("""COMPUTED_VALUE"""),"BOX 03")</f>
        <v>BOX 03</v>
      </c>
      <c r="G1800" s="89">
        <f>IFERROR(__xludf.DUMMYFUNCTION("""COMPUTED_VALUE"""),45527.0)</f>
        <v>45527</v>
      </c>
      <c r="H1800" s="87"/>
      <c r="I1800" s="87"/>
    </row>
    <row r="1801">
      <c r="A1801" s="84">
        <f>IFERROR(__xludf.DUMMYFUNCTION("""COMPUTED_VALUE"""),11.0)</f>
        <v>11</v>
      </c>
      <c r="B1801" s="85" t="str">
        <f>IFERROR(__xludf.DUMMYFUNCTION("""COMPUTED_VALUE"""),"MACHADO CABO COMPRIDO")</f>
        <v>MACHADO CABO COMPRIDO</v>
      </c>
      <c r="C1801" s="86">
        <f>IFERROR(__xludf.DUMMYFUNCTION("""COMPUTED_VALUE"""),1.0)</f>
        <v>1</v>
      </c>
      <c r="D1801" s="87" t="str">
        <f>IFERROR(__xludf.DUMMYFUNCTION("""COMPUTED_VALUE"""),"SEÇÃO")</f>
        <v>SEÇÃO</v>
      </c>
      <c r="E1801" s="87" t="str">
        <f>IFERROR(__xludf.DUMMYFUNCTION("""COMPUTED_VALUE"""),"3 - ALMOX. ESTOQUE")</f>
        <v>3 - ALMOX. ESTOQUE</v>
      </c>
      <c r="F1801" s="92" t="str">
        <f>IFERROR(__xludf.DUMMYFUNCTION("""COMPUTED_VALUE"""),"ALMOX. SAO (SEDE)")</f>
        <v>ALMOX. SAO (SEDE)</v>
      </c>
      <c r="G1801" s="89">
        <f>IFERROR(__xludf.DUMMYFUNCTION("""COMPUTED_VALUE"""),45527.0)</f>
        <v>45527</v>
      </c>
      <c r="H1801" s="87"/>
      <c r="I1801" s="87"/>
    </row>
    <row r="1802">
      <c r="A1802" s="84">
        <f>IFERROR(__xludf.DUMMYFUNCTION("""COMPUTED_VALUE"""),12.0)</f>
        <v>12</v>
      </c>
      <c r="B1802" s="85" t="str">
        <f>IFERROR(__xludf.DUMMYFUNCTION("""COMPUTED_VALUE"""),"FOICE")</f>
        <v>FOICE</v>
      </c>
      <c r="C1802" s="86">
        <f>IFERROR(__xludf.DUMMYFUNCTION("""COMPUTED_VALUE"""),1.0)</f>
        <v>1</v>
      </c>
      <c r="D1802" s="87" t="str">
        <f>IFERROR(__xludf.DUMMYFUNCTION("""COMPUTED_VALUE"""),"VIATURA")</f>
        <v>VIATURA</v>
      </c>
      <c r="E1802" s="87" t="str">
        <f>IFERROR(__xludf.DUMMYFUNCTION("""COMPUTED_VALUE"""),"1 - ABTS1418")</f>
        <v>1 - ABTS1418</v>
      </c>
      <c r="F1802" s="92" t="str">
        <f>IFERROR(__xludf.DUMMYFUNCTION("""COMPUTED_VALUE"""),"BOX SUPERIOR 01")</f>
        <v>BOX SUPERIOR 01</v>
      </c>
      <c r="G1802" s="89">
        <f>IFERROR(__xludf.DUMMYFUNCTION("""COMPUTED_VALUE"""),45562.0)</f>
        <v>45562</v>
      </c>
      <c r="H1802" s="87"/>
      <c r="I1802" s="87"/>
    </row>
    <row r="1803">
      <c r="A1803" s="84">
        <f>IFERROR(__xludf.DUMMYFUNCTION("""COMPUTED_VALUE"""),13.0)</f>
        <v>13</v>
      </c>
      <c r="B1803" s="85" t="str">
        <f>IFERROR(__xludf.DUMMYFUNCTION("""COMPUTED_VALUE"""),"ENROLADOR DE MANGUEIRA")</f>
        <v>ENROLADOR DE MANGUEIRA</v>
      </c>
      <c r="C1803" s="86">
        <f>IFERROR(__xludf.DUMMYFUNCTION("""COMPUTED_VALUE"""),1.0)</f>
        <v>1</v>
      </c>
      <c r="D1803" s="87" t="str">
        <f>IFERROR(__xludf.DUMMYFUNCTION("""COMPUTED_VALUE"""),"VIATURA")</f>
        <v>VIATURA</v>
      </c>
      <c r="E1803" s="87" t="str">
        <f>IFERROR(__xludf.DUMMYFUNCTION("""COMPUTED_VALUE"""),"1 - ABTS1418")</f>
        <v>1 - ABTS1418</v>
      </c>
      <c r="F1803" s="92" t="str">
        <f>IFERROR(__xludf.DUMMYFUNCTION("""COMPUTED_VALUE"""),"BOX SUPERIOR 01")</f>
        <v>BOX SUPERIOR 01</v>
      </c>
      <c r="G1803" s="89"/>
      <c r="H1803" s="87"/>
      <c r="I1803" s="87"/>
    </row>
    <row r="1804">
      <c r="A1804" s="84">
        <f>IFERROR(__xludf.DUMMYFUNCTION("""COMPUTED_VALUE"""),14.0)</f>
        <v>14</v>
      </c>
      <c r="B1804" s="85" t="str">
        <f>IFERROR(__xludf.DUMMYFUNCTION("""COMPUTED_VALUE"""),"ALAVANCA PÉ DE CABRA")</f>
        <v>ALAVANCA PÉ DE CABRA</v>
      </c>
      <c r="C1804" s="86">
        <f>IFERROR(__xludf.DUMMYFUNCTION("""COMPUTED_VALUE"""),1.0)</f>
        <v>1</v>
      </c>
      <c r="D1804" s="87" t="str">
        <f>IFERROR(__xludf.DUMMYFUNCTION("""COMPUTED_VALUE"""),"VIATURA")</f>
        <v>VIATURA</v>
      </c>
      <c r="E1804" s="87" t="str">
        <f>IFERROR(__xludf.DUMMYFUNCTION("""COMPUTED_VALUE"""),"1 - ABTS1418")</f>
        <v>1 - ABTS1418</v>
      </c>
      <c r="F1804" s="92" t="str">
        <f>IFERROR(__xludf.DUMMYFUNCTION("""COMPUTED_VALUE"""),"BOX 03")</f>
        <v>BOX 03</v>
      </c>
      <c r="G1804" s="89">
        <f>IFERROR(__xludf.DUMMYFUNCTION("""COMPUTED_VALUE"""),45527.0)</f>
        <v>45527</v>
      </c>
      <c r="H1804" s="87"/>
      <c r="I1804" s="87"/>
    </row>
    <row r="1805">
      <c r="A1805" s="84">
        <f>IFERROR(__xludf.DUMMYFUNCTION("""COMPUTED_VALUE"""),15.0)</f>
        <v>15</v>
      </c>
      <c r="B1805" s="85" t="str">
        <f>IFERROR(__xludf.DUMMYFUNCTION("""COMPUTED_VALUE"""),"ROUPÃO SANITÁRIO")</f>
        <v>ROUPÃO SANITÁRIO</v>
      </c>
      <c r="C1805" s="86">
        <f>IFERROR(__xludf.DUMMYFUNCTION("""COMPUTED_VALUE"""),2.0)</f>
        <v>2</v>
      </c>
      <c r="D1805" s="87" t="str">
        <f>IFERROR(__xludf.DUMMYFUNCTION("""COMPUTED_VALUE"""),"VIATURA")</f>
        <v>VIATURA</v>
      </c>
      <c r="E1805" s="87" t="str">
        <f>IFERROR(__xludf.DUMMYFUNCTION("""COMPUTED_VALUE"""),"1 - ABTS1418")</f>
        <v>1 - ABTS1418</v>
      </c>
      <c r="F1805" s="92" t="str">
        <f>IFERROR(__xludf.DUMMYFUNCTION("""COMPUTED_VALUE"""),"BOX 02")</f>
        <v>BOX 02</v>
      </c>
      <c r="G1805" s="89">
        <f>IFERROR(__xludf.DUMMYFUNCTION("""COMPUTED_VALUE"""),45527.0)</f>
        <v>45527</v>
      </c>
      <c r="H1805" s="87"/>
      <c r="I1805" s="87"/>
    </row>
    <row r="1806">
      <c r="A1806" s="84">
        <f>IFERROR(__xludf.DUMMYFUNCTION("""COMPUTED_VALUE"""),16.0)</f>
        <v>16</v>
      </c>
      <c r="B1806" s="85" t="str">
        <f>IFERROR(__xludf.DUMMYFUNCTION("""COMPUTED_VALUE"""),"BOLSA DE RESGATE")</f>
        <v>BOLSA DE RESGATE</v>
      </c>
      <c r="C1806" s="86">
        <f>IFERROR(__xludf.DUMMYFUNCTION("""COMPUTED_VALUE"""),1.0)</f>
        <v>1</v>
      </c>
      <c r="D1806" s="87" t="str">
        <f>IFERROR(__xludf.DUMMYFUNCTION("""COMPUTED_VALUE"""),"VIATURA")</f>
        <v>VIATURA</v>
      </c>
      <c r="E1806" s="87" t="str">
        <f>IFERROR(__xludf.DUMMYFUNCTION("""COMPUTED_VALUE"""),"1 - ABTS1418")</f>
        <v>1 - ABTS1418</v>
      </c>
      <c r="F1806" s="92" t="str">
        <f>IFERROR(__xludf.DUMMYFUNCTION("""COMPUTED_VALUE"""),"BOX 02")</f>
        <v>BOX 02</v>
      </c>
      <c r="G1806" s="89">
        <f>IFERROR(__xludf.DUMMYFUNCTION("""COMPUTED_VALUE"""),45527.0)</f>
        <v>45527</v>
      </c>
      <c r="H1806" s="87"/>
      <c r="I1806" s="87"/>
    </row>
    <row r="1807">
      <c r="A1807" s="84">
        <f>IFERROR(__xludf.DUMMYFUNCTION("""COMPUTED_VALUE"""),17.0)</f>
        <v>17</v>
      </c>
      <c r="B1807" s="85" t="str">
        <f>IFERROR(__xludf.DUMMYFUNCTION("""COMPUTED_VALUE"""),"MASCARA PARA PCR - POCKET MASK")</f>
        <v>MASCARA PARA PCR - POCKET MASK</v>
      </c>
      <c r="C1807" s="86">
        <f>IFERROR(__xludf.DUMMYFUNCTION("""COMPUTED_VALUE"""),1.0)</f>
        <v>1</v>
      </c>
      <c r="D1807" s="87" t="str">
        <f>IFERROR(__xludf.DUMMYFUNCTION("""COMPUTED_VALUE"""),"VIATURA")</f>
        <v>VIATURA</v>
      </c>
      <c r="E1807" s="87" t="str">
        <f>IFERROR(__xludf.DUMMYFUNCTION("""COMPUTED_VALUE"""),"1 - ABTS1418")</f>
        <v>1 - ABTS1418</v>
      </c>
      <c r="F1807" s="92" t="str">
        <f>IFERROR(__xludf.DUMMYFUNCTION("""COMPUTED_VALUE"""),"BOLSA DE RESGATE")</f>
        <v>BOLSA DE RESGATE</v>
      </c>
      <c r="G1807" s="89">
        <f>IFERROR(__xludf.DUMMYFUNCTION("""COMPUTED_VALUE"""),45527.0)</f>
        <v>45527</v>
      </c>
      <c r="H1807" s="87"/>
      <c r="I1807" s="87"/>
    </row>
    <row r="1808">
      <c r="A1808" s="84">
        <f>IFERROR(__xludf.DUMMYFUNCTION("""COMPUTED_VALUE"""),18.0)</f>
        <v>18</v>
      </c>
      <c r="B1808" s="85" t="str">
        <f>IFERROR(__xludf.DUMMYFUNCTION("""COMPUTED_VALUE"""),"AMBÚ  ADULTO")</f>
        <v>AMBÚ  ADULTO</v>
      </c>
      <c r="C1808" s="86">
        <f>IFERROR(__xludf.DUMMYFUNCTION("""COMPUTED_VALUE"""),1.0)</f>
        <v>1</v>
      </c>
      <c r="D1808" s="87" t="str">
        <f>IFERROR(__xludf.DUMMYFUNCTION("""COMPUTED_VALUE"""),"VIATURA")</f>
        <v>VIATURA</v>
      </c>
      <c r="E1808" s="87" t="str">
        <f>IFERROR(__xludf.DUMMYFUNCTION("""COMPUTED_VALUE"""),"1 - ABTS1418")</f>
        <v>1 - ABTS1418</v>
      </c>
      <c r="F1808" s="92" t="str">
        <f>IFERROR(__xludf.DUMMYFUNCTION("""COMPUTED_VALUE"""),"BOLSA DE RESGATE")</f>
        <v>BOLSA DE RESGATE</v>
      </c>
      <c r="G1808" s="89">
        <f>IFERROR(__xludf.DUMMYFUNCTION("""COMPUTED_VALUE"""),45527.0)</f>
        <v>45527</v>
      </c>
      <c r="H1808" s="87"/>
      <c r="I1808" s="87"/>
    </row>
    <row r="1809">
      <c r="A1809" s="84">
        <f>IFERROR(__xludf.DUMMYFUNCTION("""COMPUTED_VALUE"""),19.0)</f>
        <v>19</v>
      </c>
      <c r="B1809" s="85" t="str">
        <f>IFERROR(__xludf.DUMMYFUNCTION("""COMPUTED_VALUE"""),"FLUTUADOR PARA SALVAMENTO AQUATICO -")</f>
        <v>FLUTUADOR PARA SALVAMENTO AQUATICO -</v>
      </c>
      <c r="C1809" s="86">
        <f>IFERROR(__xludf.DUMMYFUNCTION("""COMPUTED_VALUE"""),1.0)</f>
        <v>1</v>
      </c>
      <c r="D1809" s="87" t="str">
        <f>IFERROR(__xludf.DUMMYFUNCTION("""COMPUTED_VALUE"""),"VIATURA")</f>
        <v>VIATURA</v>
      </c>
      <c r="E1809" s="87" t="str">
        <f>IFERROR(__xludf.DUMMYFUNCTION("""COMPUTED_VALUE"""),"1 - ABTS1418")</f>
        <v>1 - ABTS1418</v>
      </c>
      <c r="F1809" s="92" t="str">
        <f>IFERROR(__xludf.DUMMYFUNCTION("""COMPUTED_VALUE"""),"BOX 02")</f>
        <v>BOX 02</v>
      </c>
      <c r="G1809" s="89">
        <f>IFERROR(__xludf.DUMMYFUNCTION("""COMPUTED_VALUE"""),45527.0)</f>
        <v>45527</v>
      </c>
      <c r="H1809" s="87"/>
      <c r="I1809" s="87"/>
    </row>
    <row r="1810">
      <c r="A1810" s="84">
        <f>IFERROR(__xludf.DUMMYFUNCTION("""COMPUTED_VALUE"""),20.0)</f>
        <v>20</v>
      </c>
      <c r="B1810" s="85" t="str">
        <f>IFERROR(__xludf.DUMMYFUNCTION("""COMPUTED_VALUE"""),"BATERIAS PARA DESENCARCERADORES")</f>
        <v>BATERIAS PARA DESENCARCERADORES</v>
      </c>
      <c r="C1810" s="86">
        <f>IFERROR(__xludf.DUMMYFUNCTION("""COMPUTED_VALUE"""),1.0)</f>
        <v>1</v>
      </c>
      <c r="D1810" s="87" t="str">
        <f>IFERROR(__xludf.DUMMYFUNCTION("""COMPUTED_VALUE"""),"VIATURA")</f>
        <v>VIATURA</v>
      </c>
      <c r="E1810" s="87" t="str">
        <f>IFERROR(__xludf.DUMMYFUNCTION("""COMPUTED_VALUE"""),"1 - ABTS1418")</f>
        <v>1 - ABTS1418</v>
      </c>
      <c r="F1810" s="92" t="str">
        <f>IFERROR(__xludf.DUMMYFUNCTION("""COMPUTED_VALUE"""),"BOX 02")</f>
        <v>BOX 02</v>
      </c>
      <c r="G1810" s="89">
        <f>IFERROR(__xludf.DUMMYFUNCTION("""COMPUTED_VALUE"""),45901.0)</f>
        <v>45901</v>
      </c>
      <c r="H1810" s="87"/>
      <c r="I1810" s="87" t="str">
        <f>IFERROR(__xludf.DUMMYFUNCTION("""COMPUTED_VALUE"""),"BATERIA SOBRESALENTE DO HOLMATRO PENTHEON")</f>
        <v>BATERIA SOBRESALENTE DO HOLMATRO PENTHEON</v>
      </c>
    </row>
    <row r="1811">
      <c r="A1811" s="84">
        <f>IFERROR(__xludf.DUMMYFUNCTION("""COMPUTED_VALUE"""),21.0)</f>
        <v>21</v>
      </c>
      <c r="B1811" s="85" t="str">
        <f>IFERROR(__xludf.DUMMYFUNCTION("""COMPUTED_VALUE"""),"SACO DE CORDAS PARA RESGATE AQUATICO -")</f>
        <v>SACO DE CORDAS PARA RESGATE AQUATICO -</v>
      </c>
      <c r="C1811" s="86">
        <f>IFERROR(__xludf.DUMMYFUNCTION("""COMPUTED_VALUE"""),2.0)</f>
        <v>2</v>
      </c>
      <c r="D1811" s="87" t="str">
        <f>IFERROR(__xludf.DUMMYFUNCTION("""COMPUTED_VALUE"""),"VIATURA")</f>
        <v>VIATURA</v>
      </c>
      <c r="E1811" s="87" t="str">
        <f>IFERROR(__xludf.DUMMYFUNCTION("""COMPUTED_VALUE"""),"1 - ABTS1418")</f>
        <v>1 - ABTS1418</v>
      </c>
      <c r="F1811" s="92" t="str">
        <f>IFERROR(__xludf.DUMMYFUNCTION("""COMPUTED_VALUE"""),"BOX 02")</f>
        <v>BOX 02</v>
      </c>
      <c r="G1811" s="89">
        <f>IFERROR(__xludf.DUMMYFUNCTION("""COMPUTED_VALUE"""),45527.0)</f>
        <v>45527</v>
      </c>
      <c r="H1811" s="87"/>
      <c r="I1811" s="87"/>
    </row>
    <row r="1812">
      <c r="A1812" s="84">
        <f>IFERROR(__xludf.DUMMYFUNCTION("""COMPUTED_VALUE"""),22.0)</f>
        <v>22</v>
      </c>
      <c r="B1812" s="85" t="str">
        <f>IFERROR(__xludf.DUMMYFUNCTION("""COMPUTED_VALUE"""),"CORDA -")</f>
        <v>CORDA -</v>
      </c>
      <c r="C1812" s="86">
        <f>IFERROR(__xludf.DUMMYFUNCTION("""COMPUTED_VALUE"""),2.0)</f>
        <v>2</v>
      </c>
      <c r="D1812" s="87" t="str">
        <f>IFERROR(__xludf.DUMMYFUNCTION("""COMPUTED_VALUE"""),"VIATURA")</f>
        <v>VIATURA</v>
      </c>
      <c r="E1812" s="87" t="str">
        <f>IFERROR(__xludf.DUMMYFUNCTION("""COMPUTED_VALUE"""),"1 - ABTS1418")</f>
        <v>1 - ABTS1418</v>
      </c>
      <c r="F1812" s="92" t="str">
        <f>IFERROR(__xludf.DUMMYFUNCTION("""COMPUTED_VALUE"""),"BOX 05")</f>
        <v>BOX 05</v>
      </c>
      <c r="G1812" s="89">
        <f>IFERROR(__xludf.DUMMYFUNCTION("""COMPUTED_VALUE"""),45527.0)</f>
        <v>45527</v>
      </c>
      <c r="H1812" s="87"/>
      <c r="I1812" s="87"/>
    </row>
    <row r="1813">
      <c r="A1813" s="84">
        <f>IFERROR(__xludf.DUMMYFUNCTION("""COMPUTED_VALUE"""),23.0)</f>
        <v>23</v>
      </c>
      <c r="B1813" s="85" t="str">
        <f>IFERROR(__xludf.DUMMYFUNCTION("""COMPUTED_VALUE"""),"CINTO SEGURANÇA - TIPO: PARAQUEDISTA C/ MOSQUETÃO")</f>
        <v>CINTO SEGURANÇA - TIPO: PARAQUEDISTA C/ MOSQUETÃO</v>
      </c>
      <c r="C1813" s="86">
        <f>IFERROR(__xludf.DUMMYFUNCTION("""COMPUTED_VALUE"""),3.0)</f>
        <v>3</v>
      </c>
      <c r="D1813" s="87" t="str">
        <f>IFERROR(__xludf.DUMMYFUNCTION("""COMPUTED_VALUE"""),"VIATURA")</f>
        <v>VIATURA</v>
      </c>
      <c r="E1813" s="87" t="str">
        <f>IFERROR(__xludf.DUMMYFUNCTION("""COMPUTED_VALUE"""),"1 - ABTS1418")</f>
        <v>1 - ABTS1418</v>
      </c>
      <c r="F1813" s="92" t="str">
        <f>IFERROR(__xludf.DUMMYFUNCTION("""COMPUTED_VALUE"""),"BOX 05")</f>
        <v>BOX 05</v>
      </c>
      <c r="G1813" s="89">
        <f>IFERROR(__xludf.DUMMYFUNCTION("""COMPUTED_VALUE"""),45527.0)</f>
        <v>45527</v>
      </c>
      <c r="H1813" s="87"/>
      <c r="I1813" s="87"/>
    </row>
    <row r="1814">
      <c r="A1814" s="84">
        <f>IFERROR(__xludf.DUMMYFUNCTION("""COMPUTED_VALUE"""),24.0)</f>
        <v>24</v>
      </c>
      <c r="B1814" s="85" t="str">
        <f>IFERROR(__xludf.DUMMYFUNCTION("""COMPUTED_VALUE"""),"BOLSA SALV. ALTURA MERET")</f>
        <v>BOLSA SALV. ALTURA MERET</v>
      </c>
      <c r="C1814" s="86">
        <f>IFERROR(__xludf.DUMMYFUNCTION("""COMPUTED_VALUE"""),1.0)</f>
        <v>1</v>
      </c>
      <c r="D1814" s="87" t="str">
        <f>IFERROR(__xludf.DUMMYFUNCTION("""COMPUTED_VALUE"""),"VIATURA")</f>
        <v>VIATURA</v>
      </c>
      <c r="E1814" s="87" t="str">
        <f>IFERROR(__xludf.DUMMYFUNCTION("""COMPUTED_VALUE"""),"1 - ABTS1418")</f>
        <v>1 - ABTS1418</v>
      </c>
      <c r="F1814" s="92" t="str">
        <f>IFERROR(__xludf.DUMMYFUNCTION("""COMPUTED_VALUE"""),"BOX 05")</f>
        <v>BOX 05</v>
      </c>
      <c r="G1814" s="89">
        <f>IFERROR(__xludf.DUMMYFUNCTION("""COMPUTED_VALUE"""),45527.0)</f>
        <v>45527</v>
      </c>
      <c r="H1814" s="87"/>
      <c r="I1814" s="87"/>
    </row>
    <row r="1815">
      <c r="A1815" s="84">
        <f>IFERROR(__xludf.DUMMYFUNCTION("""COMPUTED_VALUE"""),25.0)</f>
        <v>25</v>
      </c>
      <c r="B1815" s="85" t="str">
        <f>IFERROR(__xludf.DUMMYFUNCTION("""COMPUTED_VALUE"""),"ANEL DE FITA 120 CM")</f>
        <v>ANEL DE FITA 120 CM</v>
      </c>
      <c r="C1815" s="86">
        <f>IFERROR(__xludf.DUMMYFUNCTION("""COMPUTED_VALUE"""),4.0)</f>
        <v>4</v>
      </c>
      <c r="D1815" s="87" t="str">
        <f>IFERROR(__xludf.DUMMYFUNCTION("""COMPUTED_VALUE"""),"VIATURA")</f>
        <v>VIATURA</v>
      </c>
      <c r="E1815" s="87" t="str">
        <f>IFERROR(__xludf.DUMMYFUNCTION("""COMPUTED_VALUE"""),"1 - ABTS1418")</f>
        <v>1 - ABTS1418</v>
      </c>
      <c r="F1815" s="92" t="str">
        <f>IFERROR(__xludf.DUMMYFUNCTION("""COMPUTED_VALUE"""),"BOX 05")</f>
        <v>BOX 05</v>
      </c>
      <c r="G1815" s="89">
        <f>IFERROR(__xludf.DUMMYFUNCTION("""COMPUTED_VALUE"""),45527.0)</f>
        <v>45527</v>
      </c>
      <c r="H1815" s="87"/>
      <c r="I1815" s="87"/>
    </row>
    <row r="1816">
      <c r="A1816" s="84">
        <f>IFERROR(__xludf.DUMMYFUNCTION("""COMPUTED_VALUE"""),26.0)</f>
        <v>26</v>
      </c>
      <c r="B1816" s="85" t="str">
        <f>IFERROR(__xludf.DUMMYFUNCTION("""COMPUTED_VALUE"""),"ANEL DE FITA 80CM")</f>
        <v>ANEL DE FITA 80CM</v>
      </c>
      <c r="C1816" s="86">
        <f>IFERROR(__xludf.DUMMYFUNCTION("""COMPUTED_VALUE"""),2.0)</f>
        <v>2</v>
      </c>
      <c r="D1816" s="87" t="str">
        <f>IFERROR(__xludf.DUMMYFUNCTION("""COMPUTED_VALUE"""),"VIATURA")</f>
        <v>VIATURA</v>
      </c>
      <c r="E1816" s="87" t="str">
        <f>IFERROR(__xludf.DUMMYFUNCTION("""COMPUTED_VALUE"""),"1 - ABTS1418")</f>
        <v>1 - ABTS1418</v>
      </c>
      <c r="F1816" s="92" t="str">
        <f>IFERROR(__xludf.DUMMYFUNCTION("""COMPUTED_VALUE"""),"BOX 05")</f>
        <v>BOX 05</v>
      </c>
      <c r="G1816" s="89">
        <f>IFERROR(__xludf.DUMMYFUNCTION("""COMPUTED_VALUE"""),45527.0)</f>
        <v>45527</v>
      </c>
      <c r="H1816" s="87"/>
      <c r="I1816" s="87"/>
    </row>
    <row r="1817">
      <c r="A1817" s="84">
        <f>IFERROR(__xludf.DUMMYFUNCTION("""COMPUTED_VALUE"""),27.0)</f>
        <v>27</v>
      </c>
      <c r="B1817" s="85" t="str">
        <f>IFERROR(__xludf.DUMMYFUNCTION("""COMPUTED_VALUE"""),"ADAPTADOR DE ¹/²"" COM ROSCA")</f>
        <v>ADAPTADOR DE ¹/²" COM ROSCA</v>
      </c>
      <c r="C1817" s="86">
        <f>IFERROR(__xludf.DUMMYFUNCTION("""COMPUTED_VALUE"""),1.0)</f>
        <v>1</v>
      </c>
      <c r="D1817" s="87" t="str">
        <f>IFERROR(__xludf.DUMMYFUNCTION("""COMPUTED_VALUE"""),"VIATURA")</f>
        <v>VIATURA</v>
      </c>
      <c r="E1817" s="87" t="str">
        <f>IFERROR(__xludf.DUMMYFUNCTION("""COMPUTED_VALUE"""),"1 - ABTS1418")</f>
        <v>1 - ABTS1418</v>
      </c>
      <c r="F1817" s="92" t="str">
        <f>IFERROR(__xludf.DUMMYFUNCTION("""COMPUTED_VALUE"""),"BOX 08")</f>
        <v>BOX 08</v>
      </c>
      <c r="G1817" s="89">
        <f>IFERROR(__xludf.DUMMYFUNCTION("""COMPUTED_VALUE"""),45544.0)</f>
        <v>45544</v>
      </c>
      <c r="H1817" s="87"/>
      <c r="I1817" s="87"/>
    </row>
    <row r="1818">
      <c r="A1818" s="84">
        <f>IFERROR(__xludf.DUMMYFUNCTION("""COMPUTED_VALUE"""),28.0)</f>
        <v>28</v>
      </c>
      <c r="B1818" s="85" t="str">
        <f>IFERROR(__xludf.DUMMYFUNCTION("""COMPUTED_VALUE"""),"FREIO OITO -")</f>
        <v>FREIO OITO -</v>
      </c>
      <c r="C1818" s="86">
        <f>IFERROR(__xludf.DUMMYFUNCTION("""COMPUTED_VALUE"""),4.0)</f>
        <v>4</v>
      </c>
      <c r="D1818" s="87" t="str">
        <f>IFERROR(__xludf.DUMMYFUNCTION("""COMPUTED_VALUE"""),"VIATURA")</f>
        <v>VIATURA</v>
      </c>
      <c r="E1818" s="87" t="str">
        <f>IFERROR(__xludf.DUMMYFUNCTION("""COMPUTED_VALUE"""),"1 - ABTS1418")</f>
        <v>1 - ABTS1418</v>
      </c>
      <c r="F1818" s="92" t="str">
        <f>IFERROR(__xludf.DUMMYFUNCTION("""COMPUTED_VALUE"""),"BOX 05")</f>
        <v>BOX 05</v>
      </c>
      <c r="G1818" s="89">
        <f>IFERROR(__xludf.DUMMYFUNCTION("""COMPUTED_VALUE"""),45527.0)</f>
        <v>45527</v>
      </c>
      <c r="H1818" s="87"/>
      <c r="I1818" s="87"/>
    </row>
    <row r="1819">
      <c r="A1819" s="84">
        <f>IFERROR(__xludf.DUMMYFUNCTION("""COMPUTED_VALUE"""),29.0)</f>
        <v>29</v>
      </c>
      <c r="B1819" s="85" t="str">
        <f>IFERROR(__xludf.DUMMYFUNCTION("""COMPUTED_VALUE"""),"MOSQUETÃO DE ALUMÍNIO")</f>
        <v>MOSQUETÃO DE ALUMÍNIO</v>
      </c>
      <c r="C1819" s="86">
        <f>IFERROR(__xludf.DUMMYFUNCTION("""COMPUTED_VALUE"""),12.0)</f>
        <v>12</v>
      </c>
      <c r="D1819" s="87" t="str">
        <f>IFERROR(__xludf.DUMMYFUNCTION("""COMPUTED_VALUE"""),"VIATURA")</f>
        <v>VIATURA</v>
      </c>
      <c r="E1819" s="87" t="str">
        <f>IFERROR(__xludf.DUMMYFUNCTION("""COMPUTED_VALUE"""),"1 - ABTS1418")</f>
        <v>1 - ABTS1418</v>
      </c>
      <c r="F1819" s="92" t="str">
        <f>IFERROR(__xludf.DUMMYFUNCTION("""COMPUTED_VALUE"""),"BOX 05")</f>
        <v>BOX 05</v>
      </c>
      <c r="G1819" s="89">
        <f>IFERROR(__xludf.DUMMYFUNCTION("""COMPUTED_VALUE"""),45527.0)</f>
        <v>45527</v>
      </c>
      <c r="H1819" s="87"/>
      <c r="I1819" s="87"/>
    </row>
    <row r="1820">
      <c r="A1820" s="84">
        <f>IFERROR(__xludf.DUMMYFUNCTION("""COMPUTED_VALUE"""),30.0)</f>
        <v>30</v>
      </c>
      <c r="B1820" s="85" t="str">
        <f>IFERROR(__xludf.DUMMYFUNCTION("""COMPUTED_VALUE"""),"MOSQUETÃO DE AÇO")</f>
        <v>MOSQUETÃO DE AÇO</v>
      </c>
      <c r="C1820" s="86">
        <f>IFERROR(__xludf.DUMMYFUNCTION("""COMPUTED_VALUE"""),4.0)</f>
        <v>4</v>
      </c>
      <c r="D1820" s="87" t="str">
        <f>IFERROR(__xludf.DUMMYFUNCTION("""COMPUTED_VALUE"""),"VIATURA")</f>
        <v>VIATURA</v>
      </c>
      <c r="E1820" s="87" t="str">
        <f>IFERROR(__xludf.DUMMYFUNCTION("""COMPUTED_VALUE"""),"1 - ABTS1418")</f>
        <v>1 - ABTS1418</v>
      </c>
      <c r="F1820" s="92" t="str">
        <f>IFERROR(__xludf.DUMMYFUNCTION("""COMPUTED_VALUE"""),"BOX 05")</f>
        <v>BOX 05</v>
      </c>
      <c r="G1820" s="89">
        <f>IFERROR(__xludf.DUMMYFUNCTION("""COMPUTED_VALUE"""),45527.0)</f>
        <v>45527</v>
      </c>
      <c r="H1820" s="87"/>
      <c r="I1820" s="87"/>
    </row>
    <row r="1821">
      <c r="A1821" s="84">
        <f>IFERROR(__xludf.DUMMYFUNCTION("""COMPUTED_VALUE"""),31.0)</f>
        <v>31</v>
      </c>
      <c r="B1821" s="85" t="str">
        <f>IFERROR(__xludf.DUMMYFUNCTION("""COMPUTED_VALUE"""),"POLIA DUPLA PLACA MÓVEL")</f>
        <v>POLIA DUPLA PLACA MÓVEL</v>
      </c>
      <c r="C1821" s="86">
        <f>IFERROR(__xludf.DUMMYFUNCTION("""COMPUTED_VALUE"""),1.0)</f>
        <v>1</v>
      </c>
      <c r="D1821" s="87" t="str">
        <f>IFERROR(__xludf.DUMMYFUNCTION("""COMPUTED_VALUE"""),"VIATURA")</f>
        <v>VIATURA</v>
      </c>
      <c r="E1821" s="87" t="str">
        <f>IFERROR(__xludf.DUMMYFUNCTION("""COMPUTED_VALUE"""),"1 - ABTS1418")</f>
        <v>1 - ABTS1418</v>
      </c>
      <c r="F1821" s="92" t="str">
        <f>IFERROR(__xludf.DUMMYFUNCTION("""COMPUTED_VALUE"""),"BOX 05")</f>
        <v>BOX 05</v>
      </c>
      <c r="G1821" s="89">
        <f>IFERROR(__xludf.DUMMYFUNCTION("""COMPUTED_VALUE"""),45527.0)</f>
        <v>45527</v>
      </c>
      <c r="H1821" s="87"/>
      <c r="I1821" s="87"/>
    </row>
    <row r="1822">
      <c r="A1822" s="84">
        <f>IFERROR(__xludf.DUMMYFUNCTION("""COMPUTED_VALUE"""),32.0)</f>
        <v>32</v>
      </c>
      <c r="B1822" s="85" t="str">
        <f>IFERROR(__xludf.DUMMYFUNCTION("""COMPUTED_VALUE"""),"POLIA SIMPLES PLACA MÓVEL")</f>
        <v>POLIA SIMPLES PLACA MÓVEL</v>
      </c>
      <c r="C1822" s="86">
        <f>IFERROR(__xludf.DUMMYFUNCTION("""COMPUTED_VALUE"""),1.0)</f>
        <v>1</v>
      </c>
      <c r="D1822" s="87" t="str">
        <f>IFERROR(__xludf.DUMMYFUNCTION("""COMPUTED_VALUE"""),"VIATURA")</f>
        <v>VIATURA</v>
      </c>
      <c r="E1822" s="87" t="str">
        <f>IFERROR(__xludf.DUMMYFUNCTION("""COMPUTED_VALUE"""),"1 - ABTS1418")</f>
        <v>1 - ABTS1418</v>
      </c>
      <c r="F1822" s="92" t="str">
        <f>IFERROR(__xludf.DUMMYFUNCTION("""COMPUTED_VALUE"""),"BOX 05")</f>
        <v>BOX 05</v>
      </c>
      <c r="G1822" s="89">
        <f>IFERROR(__xludf.DUMMYFUNCTION("""COMPUTED_VALUE"""),45527.0)</f>
        <v>45527</v>
      </c>
      <c r="H1822" s="87"/>
      <c r="I1822" s="87"/>
    </row>
    <row r="1823">
      <c r="A1823" s="84">
        <f>IFERROR(__xludf.DUMMYFUNCTION("""COMPUTED_VALUE"""),33.0)</f>
        <v>33</v>
      </c>
      <c r="B1823" s="85" t="str">
        <f>IFERROR(__xludf.DUMMYFUNCTION("""COMPUTED_VALUE"""),"POLIA SIMPLES PLACA FIXA")</f>
        <v>POLIA SIMPLES PLACA FIXA</v>
      </c>
      <c r="C1823" s="86">
        <f>IFERROR(__xludf.DUMMYFUNCTION("""COMPUTED_VALUE"""),1.0)</f>
        <v>1</v>
      </c>
      <c r="D1823" s="87" t="str">
        <f>IFERROR(__xludf.DUMMYFUNCTION("""COMPUTED_VALUE"""),"VIATURA")</f>
        <v>VIATURA</v>
      </c>
      <c r="E1823" s="87" t="str">
        <f>IFERROR(__xludf.DUMMYFUNCTION("""COMPUTED_VALUE"""),"1 - ABTS1418")</f>
        <v>1 - ABTS1418</v>
      </c>
      <c r="F1823" s="92" t="str">
        <f>IFERROR(__xludf.DUMMYFUNCTION("""COMPUTED_VALUE"""),"BOX 05")</f>
        <v>BOX 05</v>
      </c>
      <c r="G1823" s="89">
        <f>IFERROR(__xludf.DUMMYFUNCTION("""COMPUTED_VALUE"""),45527.0)</f>
        <v>45527</v>
      </c>
      <c r="H1823" s="87"/>
      <c r="I1823" s="87"/>
    </row>
    <row r="1824">
      <c r="A1824" s="84">
        <f>IFERROR(__xludf.DUMMYFUNCTION("""COMPUTED_VALUE"""),34.0)</f>
        <v>34</v>
      </c>
      <c r="B1824" s="85" t="str">
        <f>IFERROR(__xludf.DUMMYFUNCTION("""COMPUTED_VALUE"""),"BIG OITO")</f>
        <v>BIG OITO</v>
      </c>
      <c r="C1824" s="86">
        <f>IFERROR(__xludf.DUMMYFUNCTION("""COMPUTED_VALUE"""),4.0)</f>
        <v>4</v>
      </c>
      <c r="D1824" s="87" t="str">
        <f>IFERROR(__xludf.DUMMYFUNCTION("""COMPUTED_VALUE"""),"VIATURA")</f>
        <v>VIATURA</v>
      </c>
      <c r="E1824" s="87" t="str">
        <f>IFERROR(__xludf.DUMMYFUNCTION("""COMPUTED_VALUE"""),"1 - ABTS1418")</f>
        <v>1 - ABTS1418</v>
      </c>
      <c r="F1824" s="92" t="str">
        <f>IFERROR(__xludf.DUMMYFUNCTION("""COMPUTED_VALUE"""),"BOX 05")</f>
        <v>BOX 05</v>
      </c>
      <c r="G1824" s="89">
        <f>IFERROR(__xludf.DUMMYFUNCTION("""COMPUTED_VALUE"""),45527.0)</f>
        <v>45527</v>
      </c>
      <c r="H1824" s="87"/>
      <c r="I1824" s="87"/>
    </row>
    <row r="1825">
      <c r="A1825" s="84">
        <f>IFERROR(__xludf.DUMMYFUNCTION("""COMPUTED_VALUE"""),35.0)</f>
        <v>35</v>
      </c>
      <c r="B1825" s="85" t="str">
        <f>IFERROR(__xludf.DUMMYFUNCTION("""COMPUTED_VALUE"""),"PLACA MULTI ANCORAGEM ")</f>
        <v>PLACA MULTI ANCORAGEM </v>
      </c>
      <c r="C1825" s="86">
        <f>IFERROR(__xludf.DUMMYFUNCTION("""COMPUTED_VALUE"""),1.0)</f>
        <v>1</v>
      </c>
      <c r="D1825" s="87" t="str">
        <f>IFERROR(__xludf.DUMMYFUNCTION("""COMPUTED_VALUE"""),"VIATURA")</f>
        <v>VIATURA</v>
      </c>
      <c r="E1825" s="87" t="str">
        <f>IFERROR(__xludf.DUMMYFUNCTION("""COMPUTED_VALUE"""),"1 - ABTS1418")</f>
        <v>1 - ABTS1418</v>
      </c>
      <c r="F1825" s="92" t="str">
        <f>IFERROR(__xludf.DUMMYFUNCTION("""COMPUTED_VALUE"""),"BOX 05")</f>
        <v>BOX 05</v>
      </c>
      <c r="G1825" s="89">
        <f>IFERROR(__xludf.DUMMYFUNCTION("""COMPUTED_VALUE"""),45527.0)</f>
        <v>45527</v>
      </c>
      <c r="H1825" s="87"/>
      <c r="I1825" s="87"/>
    </row>
    <row r="1826">
      <c r="A1826" s="84">
        <f>IFERROR(__xludf.DUMMYFUNCTION("""COMPUTED_VALUE"""),36.0)</f>
        <v>36</v>
      </c>
      <c r="B1826" s="85" t="str">
        <f>IFERROR(__xludf.DUMMYFUNCTION("""COMPUTED_VALUE"""),"PASSADOR DE CORDAS SEGMENTADO")</f>
        <v>PASSADOR DE CORDAS SEGMENTADO</v>
      </c>
      <c r="C1826" s="86">
        <f>IFERROR(__xludf.DUMMYFUNCTION("""COMPUTED_VALUE"""),1.0)</f>
        <v>1</v>
      </c>
      <c r="D1826" s="87" t="str">
        <f>IFERROR(__xludf.DUMMYFUNCTION("""COMPUTED_VALUE"""),"VIATURA")</f>
        <v>VIATURA</v>
      </c>
      <c r="E1826" s="87" t="str">
        <f>IFERROR(__xludf.DUMMYFUNCTION("""COMPUTED_VALUE"""),"1 - ABTS1418")</f>
        <v>1 - ABTS1418</v>
      </c>
      <c r="F1826" s="92" t="str">
        <f>IFERROR(__xludf.DUMMYFUNCTION("""COMPUTED_VALUE"""),"BOX 05")</f>
        <v>BOX 05</v>
      </c>
      <c r="G1826" s="89">
        <f>IFERROR(__xludf.DUMMYFUNCTION("""COMPUTED_VALUE"""),45527.0)</f>
        <v>45527</v>
      </c>
      <c r="H1826" s="87"/>
      <c r="I1826" s="87"/>
    </row>
    <row r="1827">
      <c r="A1827" s="84">
        <f>IFERROR(__xludf.DUMMYFUNCTION("""COMPUTED_VALUE"""),37.0)</f>
        <v>37</v>
      </c>
      <c r="B1827" s="85" t="str">
        <f>IFERROR(__xludf.DUMMYFUNCTION("""COMPUTED_VALUE"""),"PROTETOR DE QUINA ")</f>
        <v>PROTETOR DE QUINA </v>
      </c>
      <c r="C1827" s="86">
        <f>IFERROR(__xludf.DUMMYFUNCTION("""COMPUTED_VALUE"""),1.0)</f>
        <v>1</v>
      </c>
      <c r="D1827" s="87" t="str">
        <f>IFERROR(__xludf.DUMMYFUNCTION("""COMPUTED_VALUE"""),"VIATURA")</f>
        <v>VIATURA</v>
      </c>
      <c r="E1827" s="87" t="str">
        <f>IFERROR(__xludf.DUMMYFUNCTION("""COMPUTED_VALUE"""),"1 - ABTS1418")</f>
        <v>1 - ABTS1418</v>
      </c>
      <c r="F1827" s="92" t="str">
        <f>IFERROR(__xludf.DUMMYFUNCTION("""COMPUTED_VALUE"""),"BOX 05")</f>
        <v>BOX 05</v>
      </c>
      <c r="G1827" s="89">
        <f>IFERROR(__xludf.DUMMYFUNCTION("""COMPUTED_VALUE"""),45527.0)</f>
        <v>45527</v>
      </c>
      <c r="H1827" s="87"/>
      <c r="I1827" s="87"/>
    </row>
    <row r="1828">
      <c r="A1828" s="84">
        <f>IFERROR(__xludf.DUMMYFUNCTION("""COMPUTED_VALUE"""),38.0)</f>
        <v>38</v>
      </c>
      <c r="B1828" s="85" t="str">
        <f>IFERROR(__xludf.DUMMYFUNCTION("""COMPUTED_VALUE"""),"CABO SOLTEIRO")</f>
        <v>CABO SOLTEIRO</v>
      </c>
      <c r="C1828" s="86">
        <f>IFERROR(__xludf.DUMMYFUNCTION("""COMPUTED_VALUE"""),1.0)</f>
        <v>1</v>
      </c>
      <c r="D1828" s="87" t="str">
        <f>IFERROR(__xludf.DUMMYFUNCTION("""COMPUTED_VALUE"""),"VIATURA")</f>
        <v>VIATURA</v>
      </c>
      <c r="E1828" s="87" t="str">
        <f>IFERROR(__xludf.DUMMYFUNCTION("""COMPUTED_VALUE"""),"1 - ABTS1418")</f>
        <v>1 - ABTS1418</v>
      </c>
      <c r="F1828" s="92" t="str">
        <f>IFERROR(__xludf.DUMMYFUNCTION("""COMPUTED_VALUE"""),"BOX 05")</f>
        <v>BOX 05</v>
      </c>
      <c r="G1828" s="89"/>
      <c r="H1828" s="87"/>
      <c r="I1828" s="87"/>
    </row>
    <row r="1829">
      <c r="A1829" s="84">
        <f>IFERROR(__xludf.DUMMYFUNCTION("""COMPUTED_VALUE"""),39.0)</f>
        <v>39</v>
      </c>
      <c r="B1829" s="85" t="str">
        <f>IFERROR(__xludf.DUMMYFUNCTION("""COMPUTED_VALUE"""),"COLETOR")</f>
        <v>COLETOR</v>
      </c>
      <c r="C1829" s="86">
        <f>IFERROR(__xludf.DUMMYFUNCTION("""COMPUTED_VALUE"""),1.0)</f>
        <v>1</v>
      </c>
      <c r="D1829" s="87" t="str">
        <f>IFERROR(__xludf.DUMMYFUNCTION("""COMPUTED_VALUE"""),"VIATURA")</f>
        <v>VIATURA</v>
      </c>
      <c r="E1829" s="87" t="str">
        <f>IFERROR(__xludf.DUMMYFUNCTION("""COMPUTED_VALUE"""),"1 - ABTS1418")</f>
        <v>1 - ABTS1418</v>
      </c>
      <c r="F1829" s="92" t="str">
        <f>IFERROR(__xludf.DUMMYFUNCTION("""COMPUTED_VALUE"""),"BOX 07")</f>
        <v>BOX 07</v>
      </c>
      <c r="G1829" s="89">
        <f>IFERROR(__xludf.DUMMYFUNCTION("""COMPUTED_VALUE"""),45527.0)</f>
        <v>45527</v>
      </c>
      <c r="H1829" s="87"/>
      <c r="I1829" s="87"/>
    </row>
    <row r="1830">
      <c r="A1830" s="84">
        <f>IFERROR(__xludf.DUMMYFUNCTION("""COMPUTED_VALUE"""),40.0)</f>
        <v>40</v>
      </c>
      <c r="B1830" s="85" t="str">
        <f>IFERROR(__xludf.DUMMYFUNCTION("""COMPUTED_VALUE"""),"DIVISOR 3 BOCAS")</f>
        <v>DIVISOR 3 BOCAS</v>
      </c>
      <c r="C1830" s="86">
        <f>IFERROR(__xludf.DUMMYFUNCTION("""COMPUTED_VALUE"""),1.0)</f>
        <v>1</v>
      </c>
      <c r="D1830" s="87" t="str">
        <f>IFERROR(__xludf.DUMMYFUNCTION("""COMPUTED_VALUE"""),"VIATURA")</f>
        <v>VIATURA</v>
      </c>
      <c r="E1830" s="87" t="str">
        <f>IFERROR(__xludf.DUMMYFUNCTION("""COMPUTED_VALUE"""),"1 - ABTS1418")</f>
        <v>1 - ABTS1418</v>
      </c>
      <c r="F1830" s="92" t="str">
        <f>IFERROR(__xludf.DUMMYFUNCTION("""COMPUTED_VALUE"""),"BOX 07")</f>
        <v>BOX 07</v>
      </c>
      <c r="G1830" s="89">
        <f>IFERROR(__xludf.DUMMYFUNCTION("""COMPUTED_VALUE"""),45527.0)</f>
        <v>45527</v>
      </c>
      <c r="H1830" s="87"/>
      <c r="I1830" s="87"/>
    </row>
    <row r="1831">
      <c r="A1831" s="84">
        <f>IFERROR(__xludf.DUMMYFUNCTION("""COMPUTED_VALUE"""),41.0)</f>
        <v>41</v>
      </c>
      <c r="B1831" s="85" t="str">
        <f>IFERROR(__xludf.DUMMYFUNCTION("""COMPUTED_VALUE"""),"ABAFADOR PARA COMBATE A INCENDIO FLORESTAL")</f>
        <v>ABAFADOR PARA COMBATE A INCENDIO FLORESTAL</v>
      </c>
      <c r="C1831" s="86">
        <f>IFERROR(__xludf.DUMMYFUNCTION("""COMPUTED_VALUE"""),4.0)</f>
        <v>4</v>
      </c>
      <c r="D1831" s="87" t="str">
        <f>IFERROR(__xludf.DUMMYFUNCTION("""COMPUTED_VALUE"""),"VIATURA")</f>
        <v>VIATURA</v>
      </c>
      <c r="E1831" s="87" t="str">
        <f>IFERROR(__xludf.DUMMYFUNCTION("""COMPUTED_VALUE"""),"1 - ABTS1418")</f>
        <v>1 - ABTS1418</v>
      </c>
      <c r="F1831" s="92" t="str">
        <f>IFERROR(__xludf.DUMMYFUNCTION("""COMPUTED_VALUE"""),"BOX SUPERIOR 01")</f>
        <v>BOX SUPERIOR 01</v>
      </c>
      <c r="G1831" s="89">
        <f>IFERROR(__xludf.DUMMYFUNCTION("""COMPUTED_VALUE"""),45562.0)</f>
        <v>45562</v>
      </c>
      <c r="H1831" s="87"/>
      <c r="I1831" s="87"/>
    </row>
    <row r="1832">
      <c r="A1832" s="84">
        <f>IFERROR(__xludf.DUMMYFUNCTION("""COMPUTED_VALUE"""),42.0)</f>
        <v>42</v>
      </c>
      <c r="B1832" s="85" t="str">
        <f>IFERROR(__xludf.DUMMYFUNCTION("""COMPUTED_VALUE"""),"CHICOTE PARA INCÊNDIO FLORESTAL")</f>
        <v>CHICOTE PARA INCÊNDIO FLORESTAL</v>
      </c>
      <c r="C1832" s="86">
        <f>IFERROR(__xludf.DUMMYFUNCTION("""COMPUTED_VALUE"""),1.0)</f>
        <v>1</v>
      </c>
      <c r="D1832" s="87" t="str">
        <f>IFERROR(__xludf.DUMMYFUNCTION("""COMPUTED_VALUE"""),"VIATURA")</f>
        <v>VIATURA</v>
      </c>
      <c r="E1832" s="87" t="str">
        <f>IFERROR(__xludf.DUMMYFUNCTION("""COMPUTED_VALUE"""),"1 - ABTS1418")</f>
        <v>1 - ABTS1418</v>
      </c>
      <c r="F1832" s="92" t="str">
        <f>IFERROR(__xludf.DUMMYFUNCTION("""COMPUTED_VALUE"""),"BOX SUPERIOR 01")</f>
        <v>BOX SUPERIOR 01</v>
      </c>
      <c r="G1832" s="89">
        <f>IFERROR(__xludf.DUMMYFUNCTION("""COMPUTED_VALUE"""),45562.0)</f>
        <v>45562</v>
      </c>
      <c r="H1832" s="87"/>
      <c r="I1832" s="87"/>
    </row>
    <row r="1833">
      <c r="A1833" s="84">
        <f>IFERROR(__xludf.DUMMYFUNCTION("""COMPUTED_VALUE"""),43.0)</f>
        <v>43</v>
      </c>
      <c r="B1833" s="85" t="str">
        <f>IFERROR(__xludf.DUMMYFUNCTION("""COMPUTED_VALUE"""),"GADANHO")</f>
        <v>GADANHO</v>
      </c>
      <c r="C1833" s="86">
        <f>IFERROR(__xludf.DUMMYFUNCTION("""COMPUTED_VALUE"""),2.0)</f>
        <v>2</v>
      </c>
      <c r="D1833" s="87" t="str">
        <f>IFERROR(__xludf.DUMMYFUNCTION("""COMPUTED_VALUE"""),"VIATURA")</f>
        <v>VIATURA</v>
      </c>
      <c r="E1833" s="87" t="str">
        <f>IFERROR(__xludf.DUMMYFUNCTION("""COMPUTED_VALUE"""),"1 - ABTS1418")</f>
        <v>1 - ABTS1418</v>
      </c>
      <c r="F1833" s="92" t="str">
        <f>IFERROR(__xludf.DUMMYFUNCTION("""COMPUTED_VALUE"""),"BOX SUPERIOR 01")</f>
        <v>BOX SUPERIOR 01</v>
      </c>
      <c r="G1833" s="89"/>
      <c r="H1833" s="87"/>
      <c r="I1833" s="87"/>
    </row>
    <row r="1834">
      <c r="A1834" s="84">
        <f>IFERROR(__xludf.DUMMYFUNCTION("""COMPUTED_VALUE"""),44.0)</f>
        <v>44</v>
      </c>
      <c r="B1834" s="85" t="str">
        <f>IFERROR(__xludf.DUMMYFUNCTION("""COMPUTED_VALUE"""),"CHAVE DE MANGUEIRA")</f>
        <v>CHAVE DE MANGUEIRA</v>
      </c>
      <c r="C1834" s="86">
        <f>IFERROR(__xludf.DUMMYFUNCTION("""COMPUTED_VALUE"""),2.0)</f>
        <v>2</v>
      </c>
      <c r="D1834" s="87" t="str">
        <f>IFERROR(__xludf.DUMMYFUNCTION("""COMPUTED_VALUE"""),"VIATURA")</f>
        <v>VIATURA</v>
      </c>
      <c r="E1834" s="87" t="str">
        <f>IFERROR(__xludf.DUMMYFUNCTION("""COMPUTED_VALUE"""),"1 - ABTS1418")</f>
        <v>1 - ABTS1418</v>
      </c>
      <c r="F1834" s="92" t="str">
        <f>IFERROR(__xludf.DUMMYFUNCTION("""COMPUTED_VALUE"""),"BOX 08")</f>
        <v>BOX 08</v>
      </c>
      <c r="G1834" s="89">
        <f>IFERROR(__xludf.DUMMYFUNCTION("""COMPUTED_VALUE"""),45527.0)</f>
        <v>45527</v>
      </c>
      <c r="H1834" s="87"/>
      <c r="I1834" s="87"/>
    </row>
    <row r="1835">
      <c r="A1835" s="84">
        <f>IFERROR(__xludf.DUMMYFUNCTION("""COMPUTED_VALUE"""),45.0)</f>
        <v>45</v>
      </c>
      <c r="B1835" s="85" t="str">
        <f>IFERROR(__xludf.DUMMYFUNCTION("""COMPUTED_VALUE"""),"CHAVE DE MANGOTE")</f>
        <v>CHAVE DE MANGOTE</v>
      </c>
      <c r="C1835" s="86">
        <f>IFERROR(__xludf.DUMMYFUNCTION("""COMPUTED_VALUE"""),2.0)</f>
        <v>2</v>
      </c>
      <c r="D1835" s="87" t="str">
        <f>IFERROR(__xludf.DUMMYFUNCTION("""COMPUTED_VALUE"""),"VIATURA")</f>
        <v>VIATURA</v>
      </c>
      <c r="E1835" s="87" t="str">
        <f>IFERROR(__xludf.DUMMYFUNCTION("""COMPUTED_VALUE"""),"1 - ABTS1418")</f>
        <v>1 - ABTS1418</v>
      </c>
      <c r="F1835" s="92" t="str">
        <f>IFERROR(__xludf.DUMMYFUNCTION("""COMPUTED_VALUE"""),"BOX 08")</f>
        <v>BOX 08</v>
      </c>
      <c r="G1835" s="89">
        <f>IFERROR(__xludf.DUMMYFUNCTION("""COMPUTED_VALUE"""),45527.0)</f>
        <v>45527</v>
      </c>
      <c r="H1835" s="87"/>
      <c r="I1835" s="87"/>
    </row>
    <row r="1836">
      <c r="A1836" s="84">
        <f>IFERROR(__xludf.DUMMYFUNCTION("""COMPUTED_VALUE"""),46.0)</f>
        <v>46</v>
      </c>
      <c r="B1836" s="85" t="str">
        <f>IFERROR(__xludf.DUMMYFUNCTION("""COMPUTED_VALUE"""),"CHAVE DE TAMPÃO DE HIRANTE")</f>
        <v>CHAVE DE TAMPÃO DE HIRANTE</v>
      </c>
      <c r="C1836" s="86">
        <f>IFERROR(__xludf.DUMMYFUNCTION("""COMPUTED_VALUE"""),1.0)</f>
        <v>1</v>
      </c>
      <c r="D1836" s="87" t="str">
        <f>IFERROR(__xludf.DUMMYFUNCTION("""COMPUTED_VALUE"""),"VIATURA")</f>
        <v>VIATURA</v>
      </c>
      <c r="E1836" s="87" t="str">
        <f>IFERROR(__xludf.DUMMYFUNCTION("""COMPUTED_VALUE"""),"1 - ABTS1418")</f>
        <v>1 - ABTS1418</v>
      </c>
      <c r="F1836" s="92" t="str">
        <f>IFERROR(__xludf.DUMMYFUNCTION("""COMPUTED_VALUE"""),"BOX 08")</f>
        <v>BOX 08</v>
      </c>
      <c r="G1836" s="89">
        <f>IFERROR(__xludf.DUMMYFUNCTION("""COMPUTED_VALUE"""),45717.0)</f>
        <v>45717</v>
      </c>
      <c r="H1836" s="87"/>
      <c r="I1836" s="87"/>
    </row>
    <row r="1837">
      <c r="A1837" s="84">
        <f>IFERROR(__xludf.DUMMYFUNCTION("""COMPUTED_VALUE"""),47.0)</f>
        <v>47</v>
      </c>
      <c r="B1837" s="85" t="str">
        <f>IFERROR(__xludf.DUMMYFUNCTION("""COMPUTED_VALUE"""),"NIPS")</f>
        <v>NIPS</v>
      </c>
      <c r="C1837" s="86">
        <f>IFERROR(__xludf.DUMMYFUNCTION("""COMPUTED_VALUE"""),3.0)</f>
        <v>3</v>
      </c>
      <c r="D1837" s="87" t="str">
        <f>IFERROR(__xludf.DUMMYFUNCTION("""COMPUTED_VALUE"""),"VIATURA")</f>
        <v>VIATURA</v>
      </c>
      <c r="E1837" s="87" t="str">
        <f>IFERROR(__xludf.DUMMYFUNCTION("""COMPUTED_VALUE"""),"1 - ABTS1418")</f>
        <v>1 - ABTS1418</v>
      </c>
      <c r="F1837" s="92" t="str">
        <f>IFERROR(__xludf.DUMMYFUNCTION("""COMPUTED_VALUE"""),"BOX 08")</f>
        <v>BOX 08</v>
      </c>
      <c r="G1837" s="89"/>
      <c r="H1837" s="87"/>
      <c r="I1837" s="87"/>
    </row>
    <row r="1838">
      <c r="A1838" s="84">
        <f>IFERROR(__xludf.DUMMYFUNCTION("""COMPUTED_VALUE"""),48.0)</f>
        <v>48</v>
      </c>
      <c r="B1838" s="85" t="str">
        <f>IFERROR(__xludf.DUMMYFUNCTION("""COMPUTED_VALUE"""),"ESGUICHO DE 1¹/² ")</f>
        <v>ESGUICHO DE 1¹/² </v>
      </c>
      <c r="C1838" s="86">
        <f>IFERROR(__xludf.DUMMYFUNCTION("""COMPUTED_VALUE"""),2.0)</f>
        <v>2</v>
      </c>
      <c r="D1838" s="87" t="str">
        <f>IFERROR(__xludf.DUMMYFUNCTION("""COMPUTED_VALUE"""),"VIATURA")</f>
        <v>VIATURA</v>
      </c>
      <c r="E1838" s="87" t="str">
        <f>IFERROR(__xludf.DUMMYFUNCTION("""COMPUTED_VALUE"""),"1 - ABTS1418")</f>
        <v>1 - ABTS1418</v>
      </c>
      <c r="F1838" s="92" t="str">
        <f>IFERROR(__xludf.DUMMYFUNCTION("""COMPUTED_VALUE"""),"BOX 08")</f>
        <v>BOX 08</v>
      </c>
      <c r="G1838" s="89">
        <f>IFERROR(__xludf.DUMMYFUNCTION("""COMPUTED_VALUE"""),45527.0)</f>
        <v>45527</v>
      </c>
      <c r="H1838" s="87"/>
      <c r="I1838" s="87"/>
    </row>
    <row r="1839">
      <c r="A1839" s="84">
        <f>IFERROR(__xludf.DUMMYFUNCTION("""COMPUTED_VALUE"""),49.0)</f>
        <v>49</v>
      </c>
      <c r="B1839" s="85" t="str">
        <f>IFERROR(__xludf.DUMMYFUNCTION("""COMPUTED_VALUE"""),"CHAVE DE HIDRANTE")</f>
        <v>CHAVE DE HIDRANTE</v>
      </c>
      <c r="C1839" s="86">
        <f>IFERROR(__xludf.DUMMYFUNCTION("""COMPUTED_VALUE"""),1.0)</f>
        <v>1</v>
      </c>
      <c r="D1839" s="87" t="str">
        <f>IFERROR(__xludf.DUMMYFUNCTION("""COMPUTED_VALUE"""),"VIATURA")</f>
        <v>VIATURA</v>
      </c>
      <c r="E1839" s="87" t="str">
        <f>IFERROR(__xludf.DUMMYFUNCTION("""COMPUTED_VALUE"""),"1 - ABTS1418")</f>
        <v>1 - ABTS1418</v>
      </c>
      <c r="F1839" s="92" t="str">
        <f>IFERROR(__xludf.DUMMYFUNCTION("""COMPUTED_VALUE"""),"BOX SUPERIOR 01")</f>
        <v>BOX SUPERIOR 01</v>
      </c>
      <c r="G1839" s="89">
        <f>IFERROR(__xludf.DUMMYFUNCTION("""COMPUTED_VALUE"""),45527.0)</f>
        <v>45527</v>
      </c>
      <c r="H1839" s="87"/>
      <c r="I1839" s="87"/>
    </row>
    <row r="1840">
      <c r="A1840" s="84">
        <f>IFERROR(__xludf.DUMMYFUNCTION("""COMPUTED_VALUE"""),50.0)</f>
        <v>50</v>
      </c>
      <c r="B1840" s="85" t="str">
        <f>IFERROR(__xludf.DUMMYFUNCTION("""COMPUTED_VALUE"""),"REDUÇÃO 2 ¹/² P/ 1¹/² ")</f>
        <v>REDUÇÃO 2 ¹/² P/ 1¹/² </v>
      </c>
      <c r="C1840" s="86">
        <f>IFERROR(__xludf.DUMMYFUNCTION("""COMPUTED_VALUE"""),1.0)</f>
        <v>1</v>
      </c>
      <c r="D1840" s="87" t="str">
        <f>IFERROR(__xludf.DUMMYFUNCTION("""COMPUTED_VALUE"""),"VIATURA")</f>
        <v>VIATURA</v>
      </c>
      <c r="E1840" s="87" t="str">
        <f>IFERROR(__xludf.DUMMYFUNCTION("""COMPUTED_VALUE"""),"1 - ABTS1418")</f>
        <v>1 - ABTS1418</v>
      </c>
      <c r="F1840" s="92" t="str">
        <f>IFERROR(__xludf.DUMMYFUNCTION("""COMPUTED_VALUE"""),"BOX 08")</f>
        <v>BOX 08</v>
      </c>
      <c r="G1840" s="89">
        <f>IFERROR(__xludf.DUMMYFUNCTION("""COMPUTED_VALUE"""),45527.0)</f>
        <v>45527</v>
      </c>
      <c r="H1840" s="87"/>
      <c r="I1840" s="87"/>
    </row>
    <row r="1841">
      <c r="A1841" s="84">
        <f>IFERROR(__xludf.DUMMYFUNCTION("""COMPUTED_VALUE"""),51.0)</f>
        <v>51</v>
      </c>
      <c r="B1841" s="85" t="str">
        <f>IFERROR(__xludf.DUMMYFUNCTION("""COMPUTED_VALUE"""),"CALÇO PARA VIATURA")</f>
        <v>CALÇO PARA VIATURA</v>
      </c>
      <c r="C1841" s="86">
        <f>IFERROR(__xludf.DUMMYFUNCTION("""COMPUTED_VALUE"""),2.0)</f>
        <v>2</v>
      </c>
      <c r="D1841" s="87" t="str">
        <f>IFERROR(__xludf.DUMMYFUNCTION("""COMPUTED_VALUE"""),"VIATURA")</f>
        <v>VIATURA</v>
      </c>
      <c r="E1841" s="87" t="str">
        <f>IFERROR(__xludf.DUMMYFUNCTION("""COMPUTED_VALUE"""),"1 - ABTS1418")</f>
        <v>1 - ABTS1418</v>
      </c>
      <c r="F1841" s="92" t="str">
        <f>IFERROR(__xludf.DUMMYFUNCTION("""COMPUTED_VALUE"""),"BOX 02")</f>
        <v>BOX 02</v>
      </c>
      <c r="G1841" s="89">
        <f>IFERROR(__xludf.DUMMYFUNCTION("""COMPUTED_VALUE"""),45527.0)</f>
        <v>45527</v>
      </c>
      <c r="H1841" s="87"/>
      <c r="I1841" s="87" t="str">
        <f>IFERROR(__xludf.DUMMYFUNCTION("""COMPUTED_VALUE"""),"CALÇO POLIETILENO PRETO")</f>
        <v>CALÇO POLIETILENO PRETO</v>
      </c>
    </row>
    <row r="1842">
      <c r="A1842" s="84">
        <f>IFERROR(__xludf.DUMMYFUNCTION("""COMPUTED_VALUE"""),52.0)</f>
        <v>52</v>
      </c>
      <c r="B1842" s="85" t="str">
        <f>IFERROR(__xludf.DUMMYFUNCTION("""COMPUTED_VALUE"""),"EXTENSÃO  ")</f>
        <v>EXTENSÃO  </v>
      </c>
      <c r="C1842" s="86">
        <f>IFERROR(__xludf.DUMMYFUNCTION("""COMPUTED_VALUE"""),1.0)</f>
        <v>1</v>
      </c>
      <c r="D1842" s="87" t="str">
        <f>IFERROR(__xludf.DUMMYFUNCTION("""COMPUTED_VALUE"""),"VIATURA")</f>
        <v>VIATURA</v>
      </c>
      <c r="E1842" s="87" t="str">
        <f>IFERROR(__xludf.DUMMYFUNCTION("""COMPUTED_VALUE"""),"1 - ABTS5911")</f>
        <v>1 - ABTS5911</v>
      </c>
      <c r="F1842" s="92" t="str">
        <f>IFERROR(__xludf.DUMMYFUNCTION("""COMPUTED_VALUE"""),"BOX 01")</f>
        <v>BOX 01</v>
      </c>
      <c r="G1842" s="89"/>
      <c r="H1842" s="87"/>
      <c r="I1842" s="87"/>
    </row>
    <row r="1843">
      <c r="A1843" s="84">
        <f>IFERROR(__xludf.DUMMYFUNCTION("""COMPUTED_VALUE"""),53.0)</f>
        <v>53</v>
      </c>
      <c r="B1843" s="85" t="str">
        <f>IFERROR(__xludf.DUMMYFUNCTION("""COMPUTED_VALUE"""),"ENXADA COMUM")</f>
        <v>ENXADA COMUM</v>
      </c>
      <c r="C1843" s="86">
        <f>IFERROR(__xludf.DUMMYFUNCTION("""COMPUTED_VALUE"""),3.0)</f>
        <v>3</v>
      </c>
      <c r="D1843" s="87" t="str">
        <f>IFERROR(__xludf.DUMMYFUNCTION("""COMPUTED_VALUE"""),"VIATURA")</f>
        <v>VIATURA</v>
      </c>
      <c r="E1843" s="87" t="str">
        <f>IFERROR(__xludf.DUMMYFUNCTION("""COMPUTED_VALUE"""),"1 - ABTS1418")</f>
        <v>1 - ABTS1418</v>
      </c>
      <c r="F1843" s="92" t="str">
        <f>IFERROR(__xludf.DUMMYFUNCTION("""COMPUTED_VALUE"""),"BOX SUPERIOR 01")</f>
        <v>BOX SUPERIOR 01</v>
      </c>
      <c r="G1843" s="89">
        <f>IFERROR(__xludf.DUMMYFUNCTION("""COMPUTED_VALUE"""),45527.0)</f>
        <v>45527</v>
      </c>
      <c r="H1843" s="87"/>
      <c r="I1843" s="87"/>
    </row>
    <row r="1844">
      <c r="A1844" s="84">
        <f>IFERROR(__xludf.DUMMYFUNCTION("""COMPUTED_VALUE"""),54.0)</f>
        <v>54</v>
      </c>
      <c r="B1844" s="85" t="str">
        <f>IFERROR(__xludf.DUMMYFUNCTION("""COMPUTED_VALUE"""),"PÁ DE BICO")</f>
        <v>PÁ DE BICO</v>
      </c>
      <c r="C1844" s="86">
        <f>IFERROR(__xludf.DUMMYFUNCTION("""COMPUTED_VALUE"""),1.0)</f>
        <v>1</v>
      </c>
      <c r="D1844" s="87" t="str">
        <f>IFERROR(__xludf.DUMMYFUNCTION("""COMPUTED_VALUE"""),"VIATURA")</f>
        <v>VIATURA</v>
      </c>
      <c r="E1844" s="87" t="str">
        <f>IFERROR(__xludf.DUMMYFUNCTION("""COMPUTED_VALUE"""),"1 - ABTS1418")</f>
        <v>1 - ABTS1418</v>
      </c>
      <c r="F1844" s="92" t="str">
        <f>IFERROR(__xludf.DUMMYFUNCTION("""COMPUTED_VALUE"""),"BOX SUPERIOR 01")</f>
        <v>BOX SUPERIOR 01</v>
      </c>
      <c r="G1844" s="89">
        <f>IFERROR(__xludf.DUMMYFUNCTION("""COMPUTED_VALUE"""),45527.0)</f>
        <v>45527</v>
      </c>
      <c r="H1844" s="87"/>
      <c r="I1844" s="87"/>
    </row>
    <row r="1845">
      <c r="A1845" s="84">
        <f>IFERROR(__xludf.DUMMYFUNCTION("""COMPUTED_VALUE"""),55.0)</f>
        <v>55</v>
      </c>
      <c r="B1845" s="85" t="str">
        <f>IFERROR(__xludf.DUMMYFUNCTION("""COMPUTED_VALUE"""),"TUBO PESCANTE DE 2 1/2""")</f>
        <v>TUBO PESCANTE DE 2 1/2"</v>
      </c>
      <c r="C1845" s="86">
        <f>IFERROR(__xludf.DUMMYFUNCTION("""COMPUTED_VALUE"""),1.0)</f>
        <v>1</v>
      </c>
      <c r="D1845" s="87" t="str">
        <f>IFERROR(__xludf.DUMMYFUNCTION("""COMPUTED_VALUE"""),"VIATURA")</f>
        <v>VIATURA</v>
      </c>
      <c r="E1845" s="87" t="str">
        <f>IFERROR(__xludf.DUMMYFUNCTION("""COMPUTED_VALUE"""),"1 - ABTS1418")</f>
        <v>1 - ABTS1418</v>
      </c>
      <c r="F1845" s="92" t="str">
        <f>IFERROR(__xludf.DUMMYFUNCTION("""COMPUTED_VALUE"""),"BOX 08")</f>
        <v>BOX 08</v>
      </c>
      <c r="G1845" s="89">
        <f>IFERROR(__xludf.DUMMYFUNCTION("""COMPUTED_VALUE"""),45527.0)</f>
        <v>45527</v>
      </c>
      <c r="H1845" s="87"/>
      <c r="I1845" s="87"/>
    </row>
    <row r="1846">
      <c r="A1846" s="84">
        <f>IFERROR(__xludf.DUMMYFUNCTION("""COMPUTED_VALUE"""),56.0)</f>
        <v>56</v>
      </c>
      <c r="B1846" s="85" t="str">
        <f>IFERROR(__xludf.DUMMYFUNCTION("""COMPUTED_VALUE"""),"ESGUICHO KR4")</f>
        <v>ESGUICHO KR4</v>
      </c>
      <c r="C1846" s="86">
        <f>IFERROR(__xludf.DUMMYFUNCTION("""COMPUTED_VALUE"""),1.0)</f>
        <v>1</v>
      </c>
      <c r="D1846" s="87" t="str">
        <f>IFERROR(__xludf.DUMMYFUNCTION("""COMPUTED_VALUE"""),"VIATURA")</f>
        <v>VIATURA</v>
      </c>
      <c r="E1846" s="87" t="str">
        <f>IFERROR(__xludf.DUMMYFUNCTION("""COMPUTED_VALUE"""),"1 - ABTS5911")</f>
        <v>1 - ABTS5911</v>
      </c>
      <c r="F1846" s="92"/>
      <c r="G1846" s="89"/>
      <c r="H1846" s="87"/>
      <c r="I1846" s="87"/>
    </row>
    <row r="1847">
      <c r="A1847" s="84">
        <f>IFERROR(__xludf.DUMMYFUNCTION("""COMPUTED_VALUE"""),57.0)</f>
        <v>57</v>
      </c>
      <c r="B1847" s="85" t="str">
        <f>IFERROR(__xludf.DUMMYFUNCTION("""COMPUTED_VALUE"""),"REDUÇÃO 2 ¹/² P/ 1¹/²  COM ROSCA")</f>
        <v>REDUÇÃO 2 ¹/² P/ 1¹/²  COM ROSCA</v>
      </c>
      <c r="C1847" s="86">
        <f>IFERROR(__xludf.DUMMYFUNCTION("""COMPUTED_VALUE"""),1.0)</f>
        <v>1</v>
      </c>
      <c r="D1847" s="87" t="str">
        <f>IFERROR(__xludf.DUMMYFUNCTION("""COMPUTED_VALUE"""),"VIATURA")</f>
        <v>VIATURA</v>
      </c>
      <c r="E1847" s="87" t="str">
        <f>IFERROR(__xludf.DUMMYFUNCTION("""COMPUTED_VALUE"""),"1 - ABTS1418")</f>
        <v>1 - ABTS1418</v>
      </c>
      <c r="F1847" s="92" t="str">
        <f>IFERROR(__xludf.DUMMYFUNCTION("""COMPUTED_VALUE"""),"BOX 08")</f>
        <v>BOX 08</v>
      </c>
      <c r="G1847" s="89">
        <f>IFERROR(__xludf.DUMMYFUNCTION("""COMPUTED_VALUE"""),45543.0)</f>
        <v>45543</v>
      </c>
      <c r="H1847" s="87"/>
      <c r="I1847" s="87"/>
    </row>
    <row r="1848">
      <c r="A1848" s="84">
        <f>IFERROR(__xludf.DUMMYFUNCTION("""COMPUTED_VALUE"""),58.0)</f>
        <v>58</v>
      </c>
      <c r="B1848" s="85" t="str">
        <f>IFERROR(__xludf.DUMMYFUNCTION("""COMPUTED_VALUE"""),"CHAVE PHILIPS")</f>
        <v>CHAVE PHILIPS</v>
      </c>
      <c r="C1848" s="86">
        <f>IFERROR(__xludf.DUMMYFUNCTION("""COMPUTED_VALUE"""),4.0)</f>
        <v>4</v>
      </c>
      <c r="D1848" s="87" t="str">
        <f>IFERROR(__xludf.DUMMYFUNCTION("""COMPUTED_VALUE"""),"VIATURA")</f>
        <v>VIATURA</v>
      </c>
      <c r="E1848" s="87" t="str">
        <f>IFERROR(__xludf.DUMMYFUNCTION("""COMPUTED_VALUE"""),"1 - ABTS5911")</f>
        <v>1 - ABTS5911</v>
      </c>
      <c r="F1848" s="92" t="str">
        <f>IFERROR(__xludf.DUMMYFUNCTION("""COMPUTED_VALUE"""),"CAIXA DE FERRAMENTA")</f>
        <v>CAIXA DE FERRAMENTA</v>
      </c>
      <c r="G1848" s="89">
        <f>IFERROR(__xludf.DUMMYFUNCTION("""COMPUTED_VALUE"""),45527.0)</f>
        <v>45527</v>
      </c>
      <c r="H1848" s="87"/>
      <c r="I1848" s="87"/>
    </row>
    <row r="1849">
      <c r="A1849" s="84">
        <f>IFERROR(__xludf.DUMMYFUNCTION("""COMPUTED_VALUE"""),59.0)</f>
        <v>59</v>
      </c>
      <c r="B1849" s="85" t="str">
        <f>IFERROR(__xludf.DUMMYFUNCTION("""COMPUTED_VALUE"""),"CHAVE DE FENDA")</f>
        <v>CHAVE DE FENDA</v>
      </c>
      <c r="C1849" s="86">
        <f>IFERROR(__xludf.DUMMYFUNCTION("""COMPUTED_VALUE"""),6.0)</f>
        <v>6</v>
      </c>
      <c r="D1849" s="87" t="str">
        <f>IFERROR(__xludf.DUMMYFUNCTION("""COMPUTED_VALUE"""),"VIATURA")</f>
        <v>VIATURA</v>
      </c>
      <c r="E1849" s="87" t="str">
        <f>IFERROR(__xludf.DUMMYFUNCTION("""COMPUTED_VALUE"""),"1 - ABTS5911")</f>
        <v>1 - ABTS5911</v>
      </c>
      <c r="F1849" s="92" t="str">
        <f>IFERROR(__xludf.DUMMYFUNCTION("""COMPUTED_VALUE"""),"CAIXA DE FERRAMENTA")</f>
        <v>CAIXA DE FERRAMENTA</v>
      </c>
      <c r="G1849" s="89">
        <f>IFERROR(__xludf.DUMMYFUNCTION("""COMPUTED_VALUE"""),45527.0)</f>
        <v>45527</v>
      </c>
      <c r="H1849" s="87"/>
      <c r="I1849" s="87" t="str">
        <f>IFERROR(__xludf.DUMMYFUNCTION("""COMPUTED_VALUE"""),"05 CHAVES PERTENCIAM À ABTS5911")</f>
        <v>05 CHAVES PERTENCIAM À ABTS5911</v>
      </c>
    </row>
    <row r="1850">
      <c r="A1850" s="84">
        <f>IFERROR(__xludf.DUMMYFUNCTION("""COMPUTED_VALUE"""),60.0)</f>
        <v>60</v>
      </c>
      <c r="B1850" s="85" t="str">
        <f>IFERROR(__xludf.DUMMYFUNCTION("""COMPUTED_VALUE"""),"ALICATE UNIVERSAL")</f>
        <v>ALICATE UNIVERSAL</v>
      </c>
      <c r="C1850" s="86">
        <f>IFERROR(__xludf.DUMMYFUNCTION("""COMPUTED_VALUE"""),2.0)</f>
        <v>2</v>
      </c>
      <c r="D1850" s="87" t="str">
        <f>IFERROR(__xludf.DUMMYFUNCTION("""COMPUTED_VALUE"""),"VIATURA")</f>
        <v>VIATURA</v>
      </c>
      <c r="E1850" s="87" t="str">
        <f>IFERROR(__xludf.DUMMYFUNCTION("""COMPUTED_VALUE"""),"1 - ABTS5911")</f>
        <v>1 - ABTS5911</v>
      </c>
      <c r="F1850" s="92" t="str">
        <f>IFERROR(__xludf.DUMMYFUNCTION("""COMPUTED_VALUE"""),"CAIXA DE FERRAMENTA")</f>
        <v>CAIXA DE FERRAMENTA</v>
      </c>
      <c r="G1850" s="89">
        <f>IFERROR(__xludf.DUMMYFUNCTION("""COMPUTED_VALUE"""),45527.0)</f>
        <v>45527</v>
      </c>
      <c r="H1850" s="87"/>
      <c r="I1850" s="87"/>
    </row>
    <row r="1851">
      <c r="A1851" s="84">
        <f>IFERROR(__xludf.DUMMYFUNCTION("""COMPUTED_VALUE"""),61.0)</f>
        <v>61</v>
      </c>
      <c r="B1851" s="85" t="str">
        <f>IFERROR(__xludf.DUMMYFUNCTION("""COMPUTED_VALUE"""),"CHAVE DE GRIFO 14""")</f>
        <v>CHAVE DE GRIFO 14"</v>
      </c>
      <c r="C1851" s="86">
        <f>IFERROR(__xludf.DUMMYFUNCTION("""COMPUTED_VALUE"""),1.0)</f>
        <v>1</v>
      </c>
      <c r="D1851" s="87" t="str">
        <f>IFERROR(__xludf.DUMMYFUNCTION("""COMPUTED_VALUE"""),"VIATURA")</f>
        <v>VIATURA</v>
      </c>
      <c r="E1851" s="87" t="str">
        <f>IFERROR(__xludf.DUMMYFUNCTION("""COMPUTED_VALUE"""),"1 - ABTS5911")</f>
        <v>1 - ABTS5911</v>
      </c>
      <c r="F1851" s="92" t="str">
        <f>IFERROR(__xludf.DUMMYFUNCTION("""COMPUTED_VALUE"""),"CAIXA DE FERRAMENTA")</f>
        <v>CAIXA DE FERRAMENTA</v>
      </c>
      <c r="G1851" s="89">
        <f>IFERROR(__xludf.DUMMYFUNCTION("""COMPUTED_VALUE"""),45527.0)</f>
        <v>45527</v>
      </c>
      <c r="H1851" s="87"/>
      <c r="I1851" s="87"/>
    </row>
    <row r="1852">
      <c r="A1852" s="84">
        <f>IFERROR(__xludf.DUMMYFUNCTION("""COMPUTED_VALUE"""),62.0)</f>
        <v>62</v>
      </c>
      <c r="B1852" s="85" t="str">
        <f>IFERROR(__xludf.DUMMYFUNCTION("""COMPUTED_VALUE"""),"CHAVE DE BOCA")</f>
        <v>CHAVE DE BOCA</v>
      </c>
      <c r="C1852" s="86">
        <f>IFERROR(__xludf.DUMMYFUNCTION("""COMPUTED_VALUE"""),9.0)</f>
        <v>9</v>
      </c>
      <c r="D1852" s="87" t="str">
        <f>IFERROR(__xludf.DUMMYFUNCTION("""COMPUTED_VALUE"""),"VIATURA")</f>
        <v>VIATURA</v>
      </c>
      <c r="E1852" s="87" t="str">
        <f>IFERROR(__xludf.DUMMYFUNCTION("""COMPUTED_VALUE"""),"1 - ABTS5911")</f>
        <v>1 - ABTS5911</v>
      </c>
      <c r="F1852" s="92" t="str">
        <f>IFERROR(__xludf.DUMMYFUNCTION("""COMPUTED_VALUE"""),"CAIXA DE FERRAMENTA")</f>
        <v>CAIXA DE FERRAMENTA</v>
      </c>
      <c r="G1852" s="89">
        <f>IFERROR(__xludf.DUMMYFUNCTION("""COMPUTED_VALUE"""),45527.0)</f>
        <v>45527</v>
      </c>
      <c r="H1852" s="87"/>
      <c r="I1852" s="87"/>
    </row>
    <row r="1853">
      <c r="A1853" s="84">
        <f>IFERROR(__xludf.DUMMYFUNCTION("""COMPUTED_VALUE"""),63.0)</f>
        <v>63</v>
      </c>
      <c r="B1853" s="85" t="str">
        <f>IFERROR(__xludf.DUMMYFUNCTION("""COMPUTED_VALUE"""),"PRANCHA LONGA")</f>
        <v>PRANCHA LONGA</v>
      </c>
      <c r="C1853" s="86">
        <f>IFERROR(__xludf.DUMMYFUNCTION("""COMPUTED_VALUE"""),1.0)</f>
        <v>1</v>
      </c>
      <c r="D1853" s="87" t="str">
        <f>IFERROR(__xludf.DUMMYFUNCTION("""COMPUTED_VALUE"""),"VIATURA")</f>
        <v>VIATURA</v>
      </c>
      <c r="E1853" s="87" t="str">
        <f>IFERROR(__xludf.DUMMYFUNCTION("""COMPUTED_VALUE"""),"1 - ABTS1418")</f>
        <v>1 - ABTS1418</v>
      </c>
      <c r="F1853" s="92" t="str">
        <f>IFERROR(__xludf.DUMMYFUNCTION("""COMPUTED_VALUE"""),"BOX SUPERIOR 01")</f>
        <v>BOX SUPERIOR 01</v>
      </c>
      <c r="G1853" s="89"/>
      <c r="H1853" s="87"/>
      <c r="I1853" s="87"/>
    </row>
    <row r="1854">
      <c r="A1854" s="84">
        <f>IFERROR(__xludf.DUMMYFUNCTION("""COMPUTED_VALUE"""),64.0)</f>
        <v>64</v>
      </c>
      <c r="B1854" s="85" t="str">
        <f>IFERROR(__xludf.DUMMYFUNCTION("""COMPUTED_VALUE"""),"MARTELO")</f>
        <v>MARTELO</v>
      </c>
      <c r="C1854" s="86">
        <f>IFERROR(__xludf.DUMMYFUNCTION("""COMPUTED_VALUE"""),1.0)</f>
        <v>1</v>
      </c>
      <c r="D1854" s="87" t="str">
        <f>IFERROR(__xludf.DUMMYFUNCTION("""COMPUTED_VALUE"""),"VIATURA")</f>
        <v>VIATURA</v>
      </c>
      <c r="E1854" s="87" t="str">
        <f>IFERROR(__xludf.DUMMYFUNCTION("""COMPUTED_VALUE"""),"1 - ABTS5911")</f>
        <v>1 - ABTS5911</v>
      </c>
      <c r="F1854" s="92" t="str">
        <f>IFERROR(__xludf.DUMMYFUNCTION("""COMPUTED_VALUE"""),"CAIXA DE FERRAMENTA")</f>
        <v>CAIXA DE FERRAMENTA</v>
      </c>
      <c r="G1854" s="89"/>
      <c r="H1854" s="87"/>
      <c r="I1854" s="87"/>
    </row>
    <row r="1855">
      <c r="A1855" s="84">
        <f>IFERROR(__xludf.DUMMYFUNCTION("""COMPUTED_VALUE"""),65.0)</f>
        <v>65</v>
      </c>
      <c r="B1855" s="85" t="str">
        <f>IFERROR(__xludf.DUMMYFUNCTION("""COMPUTED_VALUE"""),"CHAVE DE MANGUEIRA")</f>
        <v>CHAVE DE MANGUEIRA</v>
      </c>
      <c r="C1855" s="86">
        <f>IFERROR(__xludf.DUMMYFUNCTION("""COMPUTED_VALUE"""),2.0)</f>
        <v>2</v>
      </c>
      <c r="D1855" s="87" t="str">
        <f>IFERROR(__xludf.DUMMYFUNCTION("""COMPUTED_VALUE"""),"SEÇÃO")</f>
        <v>SEÇÃO</v>
      </c>
      <c r="E1855" s="87" t="str">
        <f>IFERROR(__xludf.DUMMYFUNCTION("""COMPUTED_VALUE"""),"3 - ALMOX. ESTOQUE")</f>
        <v>3 - ALMOX. ESTOQUE</v>
      </c>
      <c r="F1855" s="92" t="str">
        <f>IFERROR(__xludf.DUMMYFUNCTION("""COMPUTED_VALUE"""),"ALMOX. SAO (SEDE)")</f>
        <v>ALMOX. SAO (SEDE)</v>
      </c>
      <c r="G1855" s="89"/>
      <c r="H1855" s="87"/>
      <c r="I1855" s="87" t="str">
        <f>IFERROR(__xludf.DUMMYFUNCTION("""COMPUTED_VALUE"""),"MATERIAL EM SUBSTITUIÇÃO AOS DO BOX 8 EMPERRADO.")</f>
        <v>MATERIAL EM SUBSTITUIÇÃO AOS DO BOX 8 EMPERRADO.</v>
      </c>
    </row>
    <row r="1856">
      <c r="A1856" s="84">
        <f>IFERROR(__xludf.DUMMYFUNCTION("""COMPUTED_VALUE"""),66.0)</f>
        <v>66</v>
      </c>
      <c r="B1856" s="85" t="str">
        <f>IFERROR(__xludf.DUMMYFUNCTION("""COMPUTED_VALUE"""),"CHAVE DE TAMPÃO DE HIRANTE")</f>
        <v>CHAVE DE TAMPÃO DE HIRANTE</v>
      </c>
      <c r="C1856" s="86">
        <f>IFERROR(__xludf.DUMMYFUNCTION("""COMPUTED_VALUE"""),1.0)</f>
        <v>1</v>
      </c>
      <c r="D1856" s="87" t="str">
        <f>IFERROR(__xludf.DUMMYFUNCTION("""COMPUTED_VALUE"""),"SEÇÃO")</f>
        <v>SEÇÃO</v>
      </c>
      <c r="E1856" s="87" t="str">
        <f>IFERROR(__xludf.DUMMYFUNCTION("""COMPUTED_VALUE"""),"3 - ALMOX. ESTOQUE")</f>
        <v>3 - ALMOX. ESTOQUE</v>
      </c>
      <c r="F1856" s="92" t="str">
        <f>IFERROR(__xludf.DUMMYFUNCTION("""COMPUTED_VALUE"""),"ALMOX. SAO (SEDE)")</f>
        <v>ALMOX. SAO (SEDE)</v>
      </c>
      <c r="G1856" s="89"/>
      <c r="H1856" s="87"/>
      <c r="I1856" s="87" t="str">
        <f>IFERROR(__xludf.DUMMYFUNCTION("""COMPUTED_VALUE"""),"MATERIAL EM SUBSTITUIÇÃO AOS DO BOX 8 EMPERRADO.")</f>
        <v>MATERIAL EM SUBSTITUIÇÃO AOS DO BOX 8 EMPERRADO.</v>
      </c>
    </row>
    <row r="1857">
      <c r="A1857" s="84">
        <f>IFERROR(__xludf.DUMMYFUNCTION("""COMPUTED_VALUE"""),67.0)</f>
        <v>67</v>
      </c>
      <c r="B1857" s="85" t="str">
        <f>IFERROR(__xludf.DUMMYFUNCTION("""COMPUTED_VALUE"""),"TUBO PESCANTE DE 2 1/2""")</f>
        <v>TUBO PESCANTE DE 2 1/2"</v>
      </c>
      <c r="C1857" s="86">
        <f>IFERROR(__xludf.DUMMYFUNCTION("""COMPUTED_VALUE"""),1.0)</f>
        <v>1</v>
      </c>
      <c r="D1857" s="87" t="str">
        <f>IFERROR(__xludf.DUMMYFUNCTION("""COMPUTED_VALUE"""),"SEÇÃO")</f>
        <v>SEÇÃO</v>
      </c>
      <c r="E1857" s="87" t="str">
        <f>IFERROR(__xludf.DUMMYFUNCTION("""COMPUTED_VALUE"""),"3 - ALMOX. ESTOQUE")</f>
        <v>3 - ALMOX. ESTOQUE</v>
      </c>
      <c r="F1857" s="92" t="str">
        <f>IFERROR(__xludf.DUMMYFUNCTION("""COMPUTED_VALUE"""),"ALMOX. SAO (SEDE)")</f>
        <v>ALMOX. SAO (SEDE)</v>
      </c>
      <c r="G1857" s="89"/>
      <c r="H1857" s="87"/>
      <c r="I1857" s="87"/>
    </row>
    <row r="1858">
      <c r="A1858" s="84">
        <f>IFERROR(__xludf.DUMMYFUNCTION("""COMPUTED_VALUE"""),68.0)</f>
        <v>68</v>
      </c>
      <c r="B1858" s="85" t="str">
        <f>IFERROR(__xludf.DUMMYFUNCTION("""COMPUTED_VALUE"""),"REDUÇÃO 2 ¹/² P/ 1¹/² ")</f>
        <v>REDUÇÃO 2 ¹/² P/ 1¹/² </v>
      </c>
      <c r="C1858" s="86">
        <f>IFERROR(__xludf.DUMMYFUNCTION("""COMPUTED_VALUE"""),1.0)</f>
        <v>1</v>
      </c>
      <c r="D1858" s="87" t="str">
        <f>IFERROR(__xludf.DUMMYFUNCTION("""COMPUTED_VALUE"""),"SEÇÃO")</f>
        <v>SEÇÃO</v>
      </c>
      <c r="E1858" s="87" t="str">
        <f>IFERROR(__xludf.DUMMYFUNCTION("""COMPUTED_VALUE"""),"3 - ALMOX. ESTOQUE")</f>
        <v>3 - ALMOX. ESTOQUE</v>
      </c>
      <c r="F1858" s="92" t="str">
        <f>IFERROR(__xludf.DUMMYFUNCTION("""COMPUTED_VALUE"""),"ALMOX. SAO (SEDE)")</f>
        <v>ALMOX. SAO (SEDE)</v>
      </c>
      <c r="G1858" s="89"/>
      <c r="H1858" s="87"/>
      <c r="I1858" s="87"/>
    </row>
    <row r="1859">
      <c r="A1859" s="84">
        <f>IFERROR(__xludf.DUMMYFUNCTION("""COMPUTED_VALUE"""),69.0)</f>
        <v>69</v>
      </c>
      <c r="B1859" s="85" t="str">
        <f>IFERROR(__xludf.DUMMYFUNCTION("""COMPUTED_VALUE"""),"BOLSA DE RESGATE (MERET)")</f>
        <v>BOLSA DE RESGATE (MERET)</v>
      </c>
      <c r="C1859" s="86">
        <f>IFERROR(__xludf.DUMMYFUNCTION("""COMPUTED_VALUE"""),1.0)</f>
        <v>1</v>
      </c>
      <c r="D1859" s="87" t="str">
        <f>IFERROR(__xludf.DUMMYFUNCTION("""COMPUTED_VALUE"""),"VIATURA")</f>
        <v>VIATURA</v>
      </c>
      <c r="E1859" s="87" t="str">
        <f>IFERROR(__xludf.DUMMYFUNCTION("""COMPUTED_VALUE"""),"1 - ABTS5911")</f>
        <v>1 - ABTS5911</v>
      </c>
      <c r="F1859" s="92" t="str">
        <f>IFERROR(__xludf.DUMMYFUNCTION("""COMPUTED_VALUE"""),"CABINE")</f>
        <v>CABINE</v>
      </c>
      <c r="G1859" s="89">
        <f>IFERROR(__xludf.DUMMYFUNCTION("""COMPUTED_VALUE"""),45525.0)</f>
        <v>45525</v>
      </c>
      <c r="H1859" s="87"/>
      <c r="I1859" s="87"/>
    </row>
    <row r="1860">
      <c r="A1860" s="84">
        <f>IFERROR(__xludf.DUMMYFUNCTION("""COMPUTED_VALUE"""),70.0)</f>
        <v>70</v>
      </c>
      <c r="B1860" s="85" t="str">
        <f>IFERROR(__xludf.DUMMYFUNCTION("""COMPUTED_VALUE"""),"CARTÃO DE ABASTECIMENTO")</f>
        <v>CARTÃO DE ABASTECIMENTO</v>
      </c>
      <c r="C1860" s="86">
        <f>IFERROR(__xludf.DUMMYFUNCTION("""COMPUTED_VALUE"""),2.0)</f>
        <v>2</v>
      </c>
      <c r="D1860" s="87" t="str">
        <f>IFERROR(__xludf.DUMMYFUNCTION("""COMPUTED_VALUE"""),"VIATURA")</f>
        <v>VIATURA</v>
      </c>
      <c r="E1860" s="87" t="str">
        <f>IFERROR(__xludf.DUMMYFUNCTION("""COMPUTED_VALUE"""),"1 - ABTS5911")</f>
        <v>1 - ABTS5911</v>
      </c>
      <c r="F1860" s="92" t="str">
        <f>IFERROR(__xludf.DUMMYFUNCTION("""COMPUTED_VALUE"""),"CABINE")</f>
        <v>CABINE</v>
      </c>
      <c r="G1860" s="89">
        <f>IFERROR(__xludf.DUMMYFUNCTION("""COMPUTED_VALUE"""),45525.0)</f>
        <v>45525</v>
      </c>
      <c r="H1860" s="87"/>
      <c r="I1860" s="87"/>
    </row>
    <row r="1861">
      <c r="A1861" s="84">
        <f>IFERROR(__xludf.DUMMYFUNCTION("""COMPUTED_VALUE"""),71.0)</f>
        <v>71</v>
      </c>
      <c r="B1861" s="85" t="str">
        <f>IFERROR(__xludf.DUMMYFUNCTION("""COMPUTED_VALUE"""),"CHAVE ""L"" PARA DESCABINAR")</f>
        <v>CHAVE "L" PARA DESCABINAR</v>
      </c>
      <c r="C1861" s="86">
        <f>IFERROR(__xludf.DUMMYFUNCTION("""COMPUTED_VALUE"""),1.0)</f>
        <v>1</v>
      </c>
      <c r="D1861" s="87" t="str">
        <f>IFERROR(__xludf.DUMMYFUNCTION("""COMPUTED_VALUE"""),"VIATURA")</f>
        <v>VIATURA</v>
      </c>
      <c r="E1861" s="87" t="str">
        <f>IFERROR(__xludf.DUMMYFUNCTION("""COMPUTED_VALUE"""),"1 - ABTS5911")</f>
        <v>1 - ABTS5911</v>
      </c>
      <c r="F1861" s="92" t="str">
        <f>IFERROR(__xludf.DUMMYFUNCTION("""COMPUTED_VALUE"""),"CABINE")</f>
        <v>CABINE</v>
      </c>
      <c r="G1861" s="89">
        <f>IFERROR(__xludf.DUMMYFUNCTION("""COMPUTED_VALUE"""),45525.0)</f>
        <v>45525</v>
      </c>
      <c r="H1861" s="87"/>
      <c r="I1861" s="87"/>
    </row>
    <row r="1862">
      <c r="A1862" s="84">
        <f>IFERROR(__xludf.DUMMYFUNCTION("""COMPUTED_VALUE"""),72.0)</f>
        <v>72</v>
      </c>
      <c r="B1862" s="85" t="str">
        <f>IFERROR(__xludf.DUMMYFUNCTION("""COMPUTED_VALUE"""),"CHAVE DE RODA")</f>
        <v>CHAVE DE RODA</v>
      </c>
      <c r="C1862" s="86">
        <f>IFERROR(__xludf.DUMMYFUNCTION("""COMPUTED_VALUE"""),1.0)</f>
        <v>1</v>
      </c>
      <c r="D1862" s="87" t="str">
        <f>IFERROR(__xludf.DUMMYFUNCTION("""COMPUTED_VALUE"""),"VIATURA")</f>
        <v>VIATURA</v>
      </c>
      <c r="E1862" s="87" t="str">
        <f>IFERROR(__xludf.DUMMYFUNCTION("""COMPUTED_VALUE"""),"1 - ABTS5911")</f>
        <v>1 - ABTS5911</v>
      </c>
      <c r="F1862" s="92" t="str">
        <f>IFERROR(__xludf.DUMMYFUNCTION("""COMPUTED_VALUE"""),"CABINE")</f>
        <v>CABINE</v>
      </c>
      <c r="G1862" s="89">
        <f>IFERROR(__xludf.DUMMYFUNCTION("""COMPUTED_VALUE"""),45525.0)</f>
        <v>45525</v>
      </c>
      <c r="H1862" s="87"/>
      <c r="I1862" s="87"/>
    </row>
    <row r="1863">
      <c r="A1863" s="84">
        <f>IFERROR(__xludf.DUMMYFUNCTION("""COMPUTED_VALUE"""),73.0)</f>
        <v>73</v>
      </c>
      <c r="B1863" s="85" t="str">
        <f>IFERROR(__xludf.DUMMYFUNCTION("""COMPUTED_VALUE"""),"CONTROLE DO GUINCHO")</f>
        <v>CONTROLE DO GUINCHO</v>
      </c>
      <c r="C1863" s="86">
        <f>IFERROR(__xludf.DUMMYFUNCTION("""COMPUTED_VALUE"""),1.0)</f>
        <v>1</v>
      </c>
      <c r="D1863" s="87" t="str">
        <f>IFERROR(__xludf.DUMMYFUNCTION("""COMPUTED_VALUE"""),"VIATURA")</f>
        <v>VIATURA</v>
      </c>
      <c r="E1863" s="87" t="str">
        <f>IFERROR(__xludf.DUMMYFUNCTION("""COMPUTED_VALUE"""),"1 - ABTS5911")</f>
        <v>1 - ABTS5911</v>
      </c>
      <c r="F1863" s="92" t="str">
        <f>IFERROR(__xludf.DUMMYFUNCTION("""COMPUTED_VALUE"""),"CABINE")</f>
        <v>CABINE</v>
      </c>
      <c r="G1863" s="89">
        <f>IFERROR(__xludf.DUMMYFUNCTION("""COMPUTED_VALUE"""),45525.0)</f>
        <v>45525</v>
      </c>
      <c r="H1863" s="87"/>
      <c r="I1863" s="87"/>
    </row>
    <row r="1864">
      <c r="A1864" s="84">
        <f>IFERROR(__xludf.DUMMYFUNCTION("""COMPUTED_VALUE"""),74.0)</f>
        <v>74</v>
      </c>
      <c r="B1864" s="85" t="str">
        <f>IFERROR(__xludf.DUMMYFUNCTION("""COMPUTED_VALUE"""),"GUINCHO ELÉTRICO 4.100 KG")</f>
        <v>GUINCHO ELÉTRICO 4.100 KG</v>
      </c>
      <c r="C1864" s="86">
        <f>IFERROR(__xludf.DUMMYFUNCTION("""COMPUTED_VALUE"""),1.0)</f>
        <v>1</v>
      </c>
      <c r="D1864" s="87" t="str">
        <f>IFERROR(__xludf.DUMMYFUNCTION("""COMPUTED_VALUE"""),"VIATURA")</f>
        <v>VIATURA</v>
      </c>
      <c r="E1864" s="87" t="str">
        <f>IFERROR(__xludf.DUMMYFUNCTION("""COMPUTED_VALUE"""),"1 - ABTS5911")</f>
        <v>1 - ABTS5911</v>
      </c>
      <c r="F1864" s="92" t="str">
        <f>IFERROR(__xludf.DUMMYFUNCTION("""COMPUTED_VALUE"""),"CABINE")</f>
        <v>CABINE</v>
      </c>
      <c r="G1864" s="89">
        <f>IFERROR(__xludf.DUMMYFUNCTION("""COMPUTED_VALUE"""),45525.0)</f>
        <v>45525</v>
      </c>
      <c r="H1864" s="87"/>
      <c r="I1864" s="87"/>
    </row>
    <row r="1865">
      <c r="A1865" s="84">
        <f>IFERROR(__xludf.DUMMYFUNCTION("""COMPUTED_VALUE"""),75.0)</f>
        <v>75</v>
      </c>
      <c r="B1865" s="85" t="str">
        <f>IFERROR(__xludf.DUMMYFUNCTION("""COMPUTED_VALUE"""),"LANTERNA DE COMBATE A INCÊNDIO INDIVIDUAL (ADALIT) COM  CARREGADOR FIXO")</f>
        <v>LANTERNA DE COMBATE A INCÊNDIO INDIVIDUAL (ADALIT) COM  CARREGADOR FIXO</v>
      </c>
      <c r="C1865" s="86">
        <f>IFERROR(__xludf.DUMMYFUNCTION("""COMPUTED_VALUE"""),5.0)</f>
        <v>5</v>
      </c>
      <c r="D1865" s="87" t="str">
        <f>IFERROR(__xludf.DUMMYFUNCTION("""COMPUTED_VALUE"""),"VIATURA")</f>
        <v>VIATURA</v>
      </c>
      <c r="E1865" s="87" t="str">
        <f>IFERROR(__xludf.DUMMYFUNCTION("""COMPUTED_VALUE"""),"1 - ABTS5911")</f>
        <v>1 - ABTS5911</v>
      </c>
      <c r="F1865" s="92" t="str">
        <f>IFERROR(__xludf.DUMMYFUNCTION("""COMPUTED_VALUE"""),"CABINE")</f>
        <v>CABINE</v>
      </c>
      <c r="G1865" s="89">
        <f>IFERROR(__xludf.DUMMYFUNCTION("""COMPUTED_VALUE"""),45525.0)</f>
        <v>45525</v>
      </c>
      <c r="H1865" s="87"/>
      <c r="I1865" s="87"/>
    </row>
    <row r="1866">
      <c r="A1866" s="84">
        <f>IFERROR(__xludf.DUMMYFUNCTION("""COMPUTED_VALUE"""),76.0)</f>
        <v>76</v>
      </c>
      <c r="B1866" s="85" t="str">
        <f>IFERROR(__xludf.DUMMYFUNCTION("""COMPUTED_VALUE"""),"MACACO AUTOMOTIVO HIDRÁULICO/ SAPATA")</f>
        <v>MACACO AUTOMOTIVO HIDRÁULICO/ SAPATA</v>
      </c>
      <c r="C1866" s="86">
        <f>IFERROR(__xludf.DUMMYFUNCTION("""COMPUTED_VALUE"""),1.0)</f>
        <v>1</v>
      </c>
      <c r="D1866" s="87" t="str">
        <f>IFERROR(__xludf.DUMMYFUNCTION("""COMPUTED_VALUE"""),"VIATURA")</f>
        <v>VIATURA</v>
      </c>
      <c r="E1866" s="87" t="str">
        <f>IFERROR(__xludf.DUMMYFUNCTION("""COMPUTED_VALUE"""),"1 - ABTS5911")</f>
        <v>1 - ABTS5911</v>
      </c>
      <c r="F1866" s="92" t="str">
        <f>IFERROR(__xludf.DUMMYFUNCTION("""COMPUTED_VALUE"""),"CABINE")</f>
        <v>CABINE</v>
      </c>
      <c r="G1866" s="89">
        <f>IFERROR(__xludf.DUMMYFUNCTION("""COMPUTED_VALUE"""),45525.0)</f>
        <v>45525</v>
      </c>
      <c r="H1866" s="87"/>
      <c r="I1866" s="87"/>
    </row>
    <row r="1867">
      <c r="A1867" s="84">
        <f>IFERROR(__xludf.DUMMYFUNCTION("""COMPUTED_VALUE"""),77.0)</f>
        <v>77</v>
      </c>
      <c r="B1867" s="85" t="str">
        <f>IFERROR(__xludf.DUMMYFUNCTION("""COMPUTED_VALUE"""),"MANUAL DO VEÍCULO")</f>
        <v>MANUAL DO VEÍCULO</v>
      </c>
      <c r="C1867" s="86">
        <f>IFERROR(__xludf.DUMMYFUNCTION("""COMPUTED_VALUE"""),1.0)</f>
        <v>1</v>
      </c>
      <c r="D1867" s="87" t="str">
        <f>IFERROR(__xludf.DUMMYFUNCTION("""COMPUTED_VALUE"""),"VIATURA")</f>
        <v>VIATURA</v>
      </c>
      <c r="E1867" s="87" t="str">
        <f>IFERROR(__xludf.DUMMYFUNCTION("""COMPUTED_VALUE"""),"1 - ABTS5911")</f>
        <v>1 - ABTS5911</v>
      </c>
      <c r="F1867" s="92" t="str">
        <f>IFERROR(__xludf.DUMMYFUNCTION("""COMPUTED_VALUE"""),"CABINE")</f>
        <v>CABINE</v>
      </c>
      <c r="G1867" s="89">
        <f>IFERROR(__xludf.DUMMYFUNCTION("""COMPUTED_VALUE"""),45525.0)</f>
        <v>45525</v>
      </c>
      <c r="H1867" s="87"/>
      <c r="I1867" s="87"/>
    </row>
    <row r="1868">
      <c r="A1868" s="84">
        <f>IFERROR(__xludf.DUMMYFUNCTION("""COMPUTED_VALUE"""),78.0)</f>
        <v>78</v>
      </c>
      <c r="B1868" s="85" t="str">
        <f>IFERROR(__xludf.DUMMYFUNCTION("""COMPUTED_VALUE"""),"RÁDIO MOTOROLA")</f>
        <v>RÁDIO MOTOROLA</v>
      </c>
      <c r="C1868" s="86">
        <f>IFERROR(__xludf.DUMMYFUNCTION("""COMPUTED_VALUE"""),1.0)</f>
        <v>1</v>
      </c>
      <c r="D1868" s="87" t="str">
        <f>IFERROR(__xludf.DUMMYFUNCTION("""COMPUTED_VALUE"""),"VIATURA")</f>
        <v>VIATURA</v>
      </c>
      <c r="E1868" s="87" t="str">
        <f>IFERROR(__xludf.DUMMYFUNCTION("""COMPUTED_VALUE"""),"1 - ABTS5911")</f>
        <v>1 - ABTS5911</v>
      </c>
      <c r="F1868" s="92" t="str">
        <f>IFERROR(__xludf.DUMMYFUNCTION("""COMPUTED_VALUE"""),"CABINE")</f>
        <v>CABINE</v>
      </c>
      <c r="G1868" s="89">
        <f>IFERROR(__xludf.DUMMYFUNCTION("""COMPUTED_VALUE"""),45525.0)</f>
        <v>45525</v>
      </c>
      <c r="H1868" s="87"/>
      <c r="I1868" s="87"/>
    </row>
    <row r="1869">
      <c r="A1869" s="84">
        <f>IFERROR(__xludf.DUMMYFUNCTION("""COMPUTED_VALUE"""),79.0)</f>
        <v>79</v>
      </c>
      <c r="B1869" s="85" t="str">
        <f>IFERROR(__xludf.DUMMYFUNCTION("""COMPUTED_VALUE"""),"TRIÂNGULO DE SINALIZAÇÃO")</f>
        <v>TRIÂNGULO DE SINALIZAÇÃO</v>
      </c>
      <c r="C1869" s="86">
        <f>IFERROR(__xludf.DUMMYFUNCTION("""COMPUTED_VALUE"""),1.0)</f>
        <v>1</v>
      </c>
      <c r="D1869" s="87" t="str">
        <f>IFERROR(__xludf.DUMMYFUNCTION("""COMPUTED_VALUE"""),"VIATURA")</f>
        <v>VIATURA</v>
      </c>
      <c r="E1869" s="87" t="str">
        <f>IFERROR(__xludf.DUMMYFUNCTION("""COMPUTED_VALUE"""),"1 - ABTS5911")</f>
        <v>1 - ABTS5911</v>
      </c>
      <c r="F1869" s="92" t="str">
        <f>IFERROR(__xludf.DUMMYFUNCTION("""COMPUTED_VALUE"""),"CABINE")</f>
        <v>CABINE</v>
      </c>
      <c r="G1869" s="89">
        <f>IFERROR(__xludf.DUMMYFUNCTION("""COMPUTED_VALUE"""),45525.0)</f>
        <v>45525</v>
      </c>
      <c r="H1869" s="87"/>
      <c r="I1869" s="87"/>
    </row>
    <row r="1870">
      <c r="A1870" s="84">
        <f>IFERROR(__xludf.DUMMYFUNCTION("""COMPUTED_VALUE"""),80.0)</f>
        <v>80</v>
      </c>
      <c r="B1870" s="85" t="str">
        <f>IFERROR(__xludf.DUMMYFUNCTION("""COMPUTED_VALUE"""),"OLHAIS PARA GUINCHO ")</f>
        <v>OLHAIS PARA GUINCHO </v>
      </c>
      <c r="C1870" s="86">
        <f>IFERROR(__xludf.DUMMYFUNCTION("""COMPUTED_VALUE"""),1.0)</f>
        <v>1</v>
      </c>
      <c r="D1870" s="87" t="str">
        <f>IFERROR(__xludf.DUMMYFUNCTION("""COMPUTED_VALUE"""),"VIATURA")</f>
        <v>VIATURA</v>
      </c>
      <c r="E1870" s="87" t="str">
        <f>IFERROR(__xludf.DUMMYFUNCTION("""COMPUTED_VALUE"""),"1 - ABTS5911")</f>
        <v>1 - ABTS5911</v>
      </c>
      <c r="F1870" s="92" t="str">
        <f>IFERROR(__xludf.DUMMYFUNCTION("""COMPUTED_VALUE"""),"CABINE")</f>
        <v>CABINE</v>
      </c>
      <c r="G1870" s="89">
        <f>IFERROR(__xludf.DUMMYFUNCTION("""COMPUTED_VALUE"""),45525.0)</f>
        <v>45525</v>
      </c>
      <c r="H1870" s="87"/>
      <c r="I1870" s="87"/>
    </row>
    <row r="1871">
      <c r="A1871" s="84">
        <f>IFERROR(__xludf.DUMMYFUNCTION("""COMPUTED_VALUE"""),81.0)</f>
        <v>81</v>
      </c>
      <c r="B1871" s="85" t="str">
        <f>IFERROR(__xludf.DUMMYFUNCTION("""COMPUTED_VALUE"""),"PINO PARA REBOQUE")</f>
        <v>PINO PARA REBOQUE</v>
      </c>
      <c r="C1871" s="86">
        <f>IFERROR(__xludf.DUMMYFUNCTION("""COMPUTED_VALUE"""),1.0)</f>
        <v>1</v>
      </c>
      <c r="D1871" s="87" t="str">
        <f>IFERROR(__xludf.DUMMYFUNCTION("""COMPUTED_VALUE"""),"VIATURA")</f>
        <v>VIATURA</v>
      </c>
      <c r="E1871" s="87" t="str">
        <f>IFERROR(__xludf.DUMMYFUNCTION("""COMPUTED_VALUE"""),"1 - ABTS5911")</f>
        <v>1 - ABTS5911</v>
      </c>
      <c r="F1871" s="92" t="str">
        <f>IFERROR(__xludf.DUMMYFUNCTION("""COMPUTED_VALUE"""),"CABINE")</f>
        <v>CABINE</v>
      </c>
      <c r="G1871" s="89">
        <f>IFERROR(__xludf.DUMMYFUNCTION("""COMPUTED_VALUE"""),45525.0)</f>
        <v>45525</v>
      </c>
      <c r="H1871" s="87"/>
      <c r="I1871" s="87"/>
    </row>
    <row r="1872">
      <c r="A1872" s="84">
        <f>IFERROR(__xludf.DUMMYFUNCTION("""COMPUTED_VALUE"""),82.0)</f>
        <v>82</v>
      </c>
      <c r="B1872" s="85" t="str">
        <f>IFERROR(__xludf.DUMMYFUNCTION("""COMPUTED_VALUE"""),"SACO PARA CADÁVER")</f>
        <v>SACO PARA CADÁVER</v>
      </c>
      <c r="C1872" s="86">
        <f>IFERROR(__xludf.DUMMYFUNCTION("""COMPUTED_VALUE"""),1.0)</f>
        <v>1</v>
      </c>
      <c r="D1872" s="87" t="str">
        <f>IFERROR(__xludf.DUMMYFUNCTION("""COMPUTED_VALUE"""),"VIATURA")</f>
        <v>VIATURA</v>
      </c>
      <c r="E1872" s="87" t="str">
        <f>IFERROR(__xludf.DUMMYFUNCTION("""COMPUTED_VALUE"""),"1 - ABTS5911")</f>
        <v>1 - ABTS5911</v>
      </c>
      <c r="F1872" s="92" t="str">
        <f>IFERROR(__xludf.DUMMYFUNCTION("""COMPUTED_VALUE"""),"CABINE")</f>
        <v>CABINE</v>
      </c>
      <c r="G1872" s="89">
        <f>IFERROR(__xludf.DUMMYFUNCTION("""COMPUTED_VALUE"""),45525.0)</f>
        <v>45525</v>
      </c>
      <c r="H1872" s="87"/>
      <c r="I1872" s="87"/>
    </row>
    <row r="1873">
      <c r="A1873" s="84">
        <f>IFERROR(__xludf.DUMMYFUNCTION("""COMPUTED_VALUE"""),83.0)</f>
        <v>83</v>
      </c>
      <c r="B1873" s="85" t="str">
        <f>IFERROR(__xludf.DUMMYFUNCTION("""COMPUTED_VALUE"""),"CORDA -")</f>
        <v>CORDA -</v>
      </c>
      <c r="C1873" s="86">
        <f>IFERROR(__xludf.DUMMYFUNCTION("""COMPUTED_VALUE"""),5.0)</f>
        <v>5</v>
      </c>
      <c r="D1873" s="87" t="str">
        <f>IFERROR(__xludf.DUMMYFUNCTION("""COMPUTED_VALUE"""),"VIATURA")</f>
        <v>VIATURA</v>
      </c>
      <c r="E1873" s="87" t="str">
        <f>IFERROR(__xludf.DUMMYFUNCTION("""COMPUTED_VALUE"""),"1 - ABTS5911")</f>
        <v>1 - ABTS5911</v>
      </c>
      <c r="F1873" s="92" t="str">
        <f>IFERROR(__xludf.DUMMYFUNCTION("""COMPUTED_VALUE"""),"BOX 01")</f>
        <v>BOX 01</v>
      </c>
      <c r="G1873" s="89">
        <f>IFERROR(__xludf.DUMMYFUNCTION("""COMPUTED_VALUE"""),45525.0)</f>
        <v>45525</v>
      </c>
      <c r="H1873" s="87"/>
      <c r="I1873" s="87"/>
    </row>
    <row r="1874">
      <c r="A1874" s="84">
        <f>IFERROR(__xludf.DUMMYFUNCTION("""COMPUTED_VALUE"""),84.0)</f>
        <v>84</v>
      </c>
      <c r="B1874" s="85" t="str">
        <f>IFERROR(__xludf.DUMMYFUNCTION("""COMPUTED_VALUE"""),"COLETE RESGATE AQUATICO -")</f>
        <v>COLETE RESGATE AQUATICO -</v>
      </c>
      <c r="C1874" s="86">
        <f>IFERROR(__xludf.DUMMYFUNCTION("""COMPUTED_VALUE"""),1.0)</f>
        <v>1</v>
      </c>
      <c r="D1874" s="87" t="str">
        <f>IFERROR(__xludf.DUMMYFUNCTION("""COMPUTED_VALUE"""),"VIATURA")</f>
        <v>VIATURA</v>
      </c>
      <c r="E1874" s="87" t="str">
        <f>IFERROR(__xludf.DUMMYFUNCTION("""COMPUTED_VALUE"""),"1 - ASM3617")</f>
        <v>1 - ASM3617</v>
      </c>
      <c r="F1874" s="92" t="str">
        <f>IFERROR(__xludf.DUMMYFUNCTION("""COMPUTED_VALUE"""),"BOX 02")</f>
        <v>BOX 02</v>
      </c>
      <c r="G1874" s="89"/>
      <c r="H1874" s="87"/>
      <c r="I1874" s="87"/>
    </row>
    <row r="1875">
      <c r="A1875" s="84">
        <f>IFERROR(__xludf.DUMMYFUNCTION("""COMPUTED_VALUE"""),85.0)</f>
        <v>85</v>
      </c>
      <c r="B1875" s="85" t="str">
        <f>IFERROR(__xludf.DUMMYFUNCTION("""COMPUTED_VALUE"""),"EXTINTOR DE INCÊNDIO 6A 40BC 12 KG")</f>
        <v>EXTINTOR DE INCÊNDIO 6A 40BC 12 KG</v>
      </c>
      <c r="C1875" s="86">
        <f>IFERROR(__xludf.DUMMYFUNCTION("""COMPUTED_VALUE"""),1.0)</f>
        <v>1</v>
      </c>
      <c r="D1875" s="87" t="str">
        <f>IFERROR(__xludf.DUMMYFUNCTION("""COMPUTED_VALUE"""),"VIATURA")</f>
        <v>VIATURA</v>
      </c>
      <c r="E1875" s="87" t="str">
        <f>IFERROR(__xludf.DUMMYFUNCTION("""COMPUTED_VALUE"""),"1 - ABTS5911")</f>
        <v>1 - ABTS5911</v>
      </c>
      <c r="F1875" s="92" t="str">
        <f>IFERROR(__xludf.DUMMYFUNCTION("""COMPUTED_VALUE"""),"BOX 01")</f>
        <v>BOX 01</v>
      </c>
      <c r="G1875" s="89">
        <f>IFERROR(__xludf.DUMMYFUNCTION("""COMPUTED_VALUE"""),45525.0)</f>
        <v>45525</v>
      </c>
      <c r="H1875" s="87"/>
      <c r="I1875" s="87" t="str">
        <f>IFERROR(__xludf.DUMMYFUNCTION("""COMPUTED_VALUE"""),"* NA ABTS5911 QUE SE ENCONTRA NO CSM")</f>
        <v>* NA ABTS5911 QUE SE ENCONTRA NO CSM</v>
      </c>
    </row>
    <row r="1876">
      <c r="A1876" s="84">
        <f>IFERROR(__xludf.DUMMYFUNCTION("""COMPUTED_VALUE"""),86.0)</f>
        <v>86</v>
      </c>
      <c r="B1876" s="85" t="str">
        <f>IFERROR(__xludf.DUMMYFUNCTION("""COMPUTED_VALUE"""),"EXTINTOR DE INCÊNDIO CO2 6 KG")</f>
        <v>EXTINTOR DE INCÊNDIO CO2 6 KG</v>
      </c>
      <c r="C1876" s="86">
        <f>IFERROR(__xludf.DUMMYFUNCTION("""COMPUTED_VALUE"""),1.0)</f>
        <v>1</v>
      </c>
      <c r="D1876" s="87" t="str">
        <f>IFERROR(__xludf.DUMMYFUNCTION("""COMPUTED_VALUE"""),"VIATURA")</f>
        <v>VIATURA</v>
      </c>
      <c r="E1876" s="87" t="str">
        <f>IFERROR(__xludf.DUMMYFUNCTION("""COMPUTED_VALUE"""),"1 - ABTS5911")</f>
        <v>1 - ABTS5911</v>
      </c>
      <c r="F1876" s="92" t="str">
        <f>IFERROR(__xludf.DUMMYFUNCTION("""COMPUTED_VALUE"""),"BOX 01")</f>
        <v>BOX 01</v>
      </c>
      <c r="G1876" s="89">
        <f>IFERROR(__xludf.DUMMYFUNCTION("""COMPUTED_VALUE"""),45525.0)</f>
        <v>45525</v>
      </c>
      <c r="H1876" s="87"/>
      <c r="I1876" s="87"/>
    </row>
    <row r="1877">
      <c r="A1877" s="84">
        <f>IFERROR(__xludf.DUMMYFUNCTION("""COMPUTED_VALUE"""),87.0)</f>
        <v>87</v>
      </c>
      <c r="B1877" s="85" t="str">
        <f>IFERROR(__xludf.DUMMYFUNCTION("""COMPUTED_VALUE"""),"CARREGADOR VEICULAR E CARREGADOR DE TOMADA DA LANTERNA DE CENA STREAMLIGHT")</f>
        <v>CARREGADOR VEICULAR E CARREGADOR DE TOMADA DA LANTERNA DE CENA STREAMLIGHT</v>
      </c>
      <c r="C1877" s="86">
        <f>IFERROR(__xludf.DUMMYFUNCTION("""COMPUTED_VALUE"""),1.0)</f>
        <v>1</v>
      </c>
      <c r="D1877" s="87" t="str">
        <f>IFERROR(__xludf.DUMMYFUNCTION("""COMPUTED_VALUE"""),"VIATURA")</f>
        <v>VIATURA</v>
      </c>
      <c r="E1877" s="87" t="str">
        <f>IFERROR(__xludf.DUMMYFUNCTION("""COMPUTED_VALUE"""),"1 - ABTS5911")</f>
        <v>1 - ABTS5911</v>
      </c>
      <c r="F1877" s="92" t="str">
        <f>IFERROR(__xludf.DUMMYFUNCTION("""COMPUTED_VALUE"""),"BOX 01")</f>
        <v>BOX 01</v>
      </c>
      <c r="G1877" s="89">
        <f>IFERROR(__xludf.DUMMYFUNCTION("""COMPUTED_VALUE"""),45525.0)</f>
        <v>45525</v>
      </c>
      <c r="H1877" s="87"/>
      <c r="I1877" s="87"/>
    </row>
    <row r="1878">
      <c r="A1878" s="84">
        <f>IFERROR(__xludf.DUMMYFUNCTION("""COMPUTED_VALUE"""),88.0)</f>
        <v>88</v>
      </c>
      <c r="B1878" s="85" t="str">
        <f>IFERROR(__xludf.DUMMYFUNCTION("""COMPUTED_VALUE"""),"ESTEPE")</f>
        <v>ESTEPE</v>
      </c>
      <c r="C1878" s="86">
        <f>IFERROR(__xludf.DUMMYFUNCTION("""COMPUTED_VALUE"""),1.0)</f>
        <v>1</v>
      </c>
      <c r="D1878" s="87" t="str">
        <f>IFERROR(__xludf.DUMMYFUNCTION("""COMPUTED_VALUE"""),"VIATURA")</f>
        <v>VIATURA</v>
      </c>
      <c r="E1878" s="87" t="str">
        <f>IFERROR(__xludf.DUMMYFUNCTION("""COMPUTED_VALUE"""),"1 - ABTS5911")</f>
        <v>1 - ABTS5911</v>
      </c>
      <c r="F1878" s="92" t="str">
        <f>IFERROR(__xludf.DUMMYFUNCTION("""COMPUTED_VALUE"""),"BOX 01")</f>
        <v>BOX 01</v>
      </c>
      <c r="G1878" s="89">
        <f>IFERROR(__xludf.DUMMYFUNCTION("""COMPUTED_VALUE"""),45525.0)</f>
        <v>45525</v>
      </c>
      <c r="H1878" s="87"/>
      <c r="I1878" s="87" t="str">
        <f>IFERROR(__xludf.DUMMYFUNCTION("""COMPUTED_VALUE"""),"* ENCONTRA-SE NA VTR EM MANUTENÇÃO NO CSM")</f>
        <v>* ENCONTRA-SE NA VTR EM MANUTENÇÃO NO CSM</v>
      </c>
    </row>
    <row r="1879">
      <c r="A1879" s="84">
        <f>IFERROR(__xludf.DUMMYFUNCTION("""COMPUTED_VALUE"""),89.0)</f>
        <v>89</v>
      </c>
      <c r="B1879" s="85" t="str">
        <f>IFERROR(__xludf.DUMMYFUNCTION("""COMPUTED_VALUE"""),"BATERIAS PARA DESENCARCERADORES")</f>
        <v>BATERIAS PARA DESENCARCERADORES</v>
      </c>
      <c r="C1879" s="86">
        <f>IFERROR(__xludf.DUMMYFUNCTION("""COMPUTED_VALUE"""),2.0)</f>
        <v>2</v>
      </c>
      <c r="D1879" s="87" t="str">
        <f>IFERROR(__xludf.DUMMYFUNCTION("""COMPUTED_VALUE"""),"VIATURA")</f>
        <v>VIATURA</v>
      </c>
      <c r="E1879" s="87" t="str">
        <f>IFERROR(__xludf.DUMMYFUNCTION("""COMPUTED_VALUE"""),"1 - ABTS5911")</f>
        <v>1 - ABTS5911</v>
      </c>
      <c r="F1879" s="92" t="str">
        <f>IFERROR(__xludf.DUMMYFUNCTION("""COMPUTED_VALUE"""),"BOX 01")</f>
        <v>BOX 01</v>
      </c>
      <c r="G1879" s="89">
        <f>IFERROR(__xludf.DUMMYFUNCTION("""COMPUTED_VALUE"""),45525.0)</f>
        <v>45525</v>
      </c>
      <c r="H1879" s="87"/>
      <c r="I1879" s="87"/>
    </row>
    <row r="1880">
      <c r="A1880" s="84">
        <f>IFERROR(__xludf.DUMMYFUNCTION("""COMPUTED_VALUE"""),90.0)</f>
        <v>90</v>
      </c>
      <c r="B1880" s="85" t="str">
        <f>IFERROR(__xludf.DUMMYFUNCTION("""COMPUTED_VALUE"""),"CILINDRO RESERVA PA SCOTT")</f>
        <v>CILINDRO RESERVA PA SCOTT</v>
      </c>
      <c r="C1880" s="86">
        <f>IFERROR(__xludf.DUMMYFUNCTION("""COMPUTED_VALUE"""),4.0)</f>
        <v>4</v>
      </c>
      <c r="D1880" s="87" t="str">
        <f>IFERROR(__xludf.DUMMYFUNCTION("""COMPUTED_VALUE"""),"VIATURA")</f>
        <v>VIATURA</v>
      </c>
      <c r="E1880" s="87" t="str">
        <f>IFERROR(__xludf.DUMMYFUNCTION("""COMPUTED_VALUE"""),"1 - ABTS5911")</f>
        <v>1 - ABTS5911</v>
      </c>
      <c r="F1880" s="92"/>
      <c r="G1880" s="89">
        <f>IFERROR(__xludf.DUMMYFUNCTION("""COMPUTED_VALUE"""),45525.0)</f>
        <v>45525</v>
      </c>
      <c r="H1880" s="87"/>
      <c r="I1880" s="87"/>
    </row>
    <row r="1881">
      <c r="A1881" s="84">
        <f>IFERROR(__xludf.DUMMYFUNCTION("""COMPUTED_VALUE"""),91.0)</f>
        <v>91</v>
      </c>
      <c r="B1881" s="85" t="str">
        <f>IFERROR(__xludf.DUMMYFUNCTION("""COMPUTED_VALUE"""),"AMPLIFICADOR DE MASCARA CIURB")</f>
        <v>AMPLIFICADOR DE MASCARA CIURB</v>
      </c>
      <c r="C1881" s="86">
        <f>IFERROR(__xludf.DUMMYFUNCTION("""COMPUTED_VALUE"""),3.0)</f>
        <v>3</v>
      </c>
      <c r="D1881" s="87" t="str">
        <f>IFERROR(__xludf.DUMMYFUNCTION("""COMPUTED_VALUE"""),"VIATURA")</f>
        <v>VIATURA</v>
      </c>
      <c r="E1881" s="87" t="str">
        <f>IFERROR(__xludf.DUMMYFUNCTION("""COMPUTED_VALUE"""),"1 - ASM3617")</f>
        <v>1 - ASM3617</v>
      </c>
      <c r="F1881" s="92" t="str">
        <f>IFERROR(__xludf.DUMMYFUNCTION("""COMPUTED_VALUE"""),"BOX 03")</f>
        <v>BOX 03</v>
      </c>
      <c r="G1881" s="89">
        <f>IFERROR(__xludf.DUMMYFUNCTION("""COMPUTED_VALUE"""),45525.0)</f>
        <v>45525</v>
      </c>
      <c r="H1881" s="87"/>
      <c r="I1881" s="87"/>
    </row>
    <row r="1882">
      <c r="A1882" s="84">
        <f>IFERROR(__xludf.DUMMYFUNCTION("""COMPUTED_VALUE"""),92.0)</f>
        <v>92</v>
      </c>
      <c r="B1882" s="85" t="str">
        <f>IFERROR(__xludf.DUMMYFUNCTION("""COMPUTED_VALUE"""),"CATRACA 10 TON")</f>
        <v>CATRACA 10 TON</v>
      </c>
      <c r="C1882" s="86">
        <f>IFERROR(__xludf.DUMMYFUNCTION("""COMPUTED_VALUE"""),1.0)</f>
        <v>1</v>
      </c>
      <c r="D1882" s="87" t="str">
        <f>IFERROR(__xludf.DUMMYFUNCTION("""COMPUTED_VALUE"""),"VIATURA")</f>
        <v>VIATURA</v>
      </c>
      <c r="E1882" s="87" t="str">
        <f>IFERROR(__xludf.DUMMYFUNCTION("""COMPUTED_VALUE"""),"1 - ABTS5911")</f>
        <v>1 - ABTS5911</v>
      </c>
      <c r="F1882" s="92" t="str">
        <f>IFERROR(__xludf.DUMMYFUNCTION("""COMPUTED_VALUE"""),"BOX 02")</f>
        <v>BOX 02</v>
      </c>
      <c r="G1882" s="89">
        <f>IFERROR(__xludf.DUMMYFUNCTION("""COMPUTED_VALUE"""),45525.0)</f>
        <v>45525</v>
      </c>
      <c r="H1882" s="87"/>
      <c r="I1882" s="87"/>
    </row>
    <row r="1883">
      <c r="A1883" s="84">
        <f>IFERROR(__xludf.DUMMYFUNCTION("""COMPUTED_VALUE"""),93.0)</f>
        <v>93</v>
      </c>
      <c r="B1883" s="85" t="str">
        <f>IFERROR(__xludf.DUMMYFUNCTION("""COMPUTED_VALUE"""),"CATRACA 05 TON")</f>
        <v>CATRACA 05 TON</v>
      </c>
      <c r="C1883" s="86">
        <f>IFERROR(__xludf.DUMMYFUNCTION("""COMPUTED_VALUE"""),1.0)</f>
        <v>1</v>
      </c>
      <c r="D1883" s="87" t="str">
        <f>IFERROR(__xludf.DUMMYFUNCTION("""COMPUTED_VALUE"""),"VIATURA")</f>
        <v>VIATURA</v>
      </c>
      <c r="E1883" s="87" t="str">
        <f>IFERROR(__xludf.DUMMYFUNCTION("""COMPUTED_VALUE"""),"1 - ABTS5911")</f>
        <v>1 - ABTS5911</v>
      </c>
      <c r="F1883" s="92" t="str">
        <f>IFERROR(__xludf.DUMMYFUNCTION("""COMPUTED_VALUE"""),"BOX 02")</f>
        <v>BOX 02</v>
      </c>
      <c r="G1883" s="89">
        <f>IFERROR(__xludf.DUMMYFUNCTION("""COMPUTED_VALUE"""),45525.0)</f>
        <v>45525</v>
      </c>
      <c r="H1883" s="87"/>
      <c r="I1883" s="87"/>
    </row>
    <row r="1884">
      <c r="A1884" s="84">
        <f>IFERROR(__xludf.DUMMYFUNCTION("""COMPUTED_VALUE"""),94.0)</f>
        <v>94</v>
      </c>
      <c r="B1884" s="85" t="str">
        <f>IFERROR(__xludf.DUMMYFUNCTION("""COMPUTED_VALUE"""),"CATRACA 1,5 TON")</f>
        <v>CATRACA 1,5 TON</v>
      </c>
      <c r="C1884" s="86">
        <f>IFERROR(__xludf.DUMMYFUNCTION("""COMPUTED_VALUE"""),1.0)</f>
        <v>1</v>
      </c>
      <c r="D1884" s="87" t="str">
        <f>IFERROR(__xludf.DUMMYFUNCTION("""COMPUTED_VALUE"""),"VIATURA")</f>
        <v>VIATURA</v>
      </c>
      <c r="E1884" s="87" t="str">
        <f>IFERROR(__xludf.DUMMYFUNCTION("""COMPUTED_VALUE"""),"1 - ABTS5911")</f>
        <v>1 - ABTS5911</v>
      </c>
      <c r="F1884" s="92" t="str">
        <f>IFERROR(__xludf.DUMMYFUNCTION("""COMPUTED_VALUE"""),"BOX 02")</f>
        <v>BOX 02</v>
      </c>
      <c r="G1884" s="89">
        <f>IFERROR(__xludf.DUMMYFUNCTION("""COMPUTED_VALUE"""),45525.0)</f>
        <v>45525</v>
      </c>
      <c r="H1884" s="87"/>
      <c r="I1884" s="87"/>
    </row>
    <row r="1885">
      <c r="A1885" s="84">
        <f>IFERROR(__xludf.DUMMYFUNCTION("""COMPUTED_VALUE"""),95.0)</f>
        <v>95</v>
      </c>
      <c r="B1885" s="85" t="str">
        <f>IFERROR(__xludf.DUMMYFUNCTION("""COMPUTED_VALUE"""),"CABO SOLTEIRO")</f>
        <v>CABO SOLTEIRO</v>
      </c>
      <c r="C1885" s="86">
        <f>IFERROR(__xludf.DUMMYFUNCTION("""COMPUTED_VALUE"""),4.0)</f>
        <v>4</v>
      </c>
      <c r="D1885" s="87" t="str">
        <f>IFERROR(__xludf.DUMMYFUNCTION("""COMPUTED_VALUE"""),"VIATURA")</f>
        <v>VIATURA</v>
      </c>
      <c r="E1885" s="87" t="str">
        <f>IFERROR(__xludf.DUMMYFUNCTION("""COMPUTED_VALUE"""),"1 - ABTS5911")</f>
        <v>1 - ABTS5911</v>
      </c>
      <c r="F1885" s="92" t="str">
        <f>IFERROR(__xludf.DUMMYFUNCTION("""COMPUTED_VALUE"""),"BOX 02")</f>
        <v>BOX 02</v>
      </c>
      <c r="G1885" s="89">
        <f>IFERROR(__xludf.DUMMYFUNCTION("""COMPUTED_VALUE"""),45525.0)</f>
        <v>45525</v>
      </c>
      <c r="H1885" s="87"/>
      <c r="I1885" s="87"/>
    </row>
    <row r="1886">
      <c r="A1886" s="84">
        <f>IFERROR(__xludf.DUMMYFUNCTION("""COMPUTED_VALUE"""),96.0)</f>
        <v>96</v>
      </c>
      <c r="B1886" s="85" t="str">
        <f>IFERROR(__xludf.DUMMYFUNCTION("""COMPUTED_VALUE"""),"FREIO OITO -")</f>
        <v>FREIO OITO -</v>
      </c>
      <c r="C1886" s="86">
        <f>IFERROR(__xludf.DUMMYFUNCTION("""COMPUTED_VALUE"""),1.0)</f>
        <v>1</v>
      </c>
      <c r="D1886" s="87" t="str">
        <f>IFERROR(__xludf.DUMMYFUNCTION("""COMPUTED_VALUE"""),"VIATURA")</f>
        <v>VIATURA</v>
      </c>
      <c r="E1886" s="87" t="str">
        <f>IFERROR(__xludf.DUMMYFUNCTION("""COMPUTED_VALUE"""),"1 - ABTS5911")</f>
        <v>1 - ABTS5911</v>
      </c>
      <c r="F1886" s="92" t="str">
        <f>IFERROR(__xludf.DUMMYFUNCTION("""COMPUTED_VALUE"""),"BOLSA DE SALV. ALTURA")</f>
        <v>BOLSA DE SALV. ALTURA</v>
      </c>
      <c r="G1886" s="89">
        <f>IFERROR(__xludf.DUMMYFUNCTION("""COMPUTED_VALUE"""),45583.0)</f>
        <v>45583</v>
      </c>
      <c r="H1886" s="87"/>
      <c r="I1886" s="87"/>
    </row>
    <row r="1887">
      <c r="A1887" s="84">
        <f>IFERROR(__xludf.DUMMYFUNCTION("""COMPUTED_VALUE"""),97.0)</f>
        <v>97</v>
      </c>
      <c r="B1887" s="85" t="str">
        <f>IFERROR(__xludf.DUMMYFUNCTION("""COMPUTED_VALUE"""),"CHAVE DE REGISTRO DE HIDRANTE TIPO “T”")</f>
        <v>CHAVE DE REGISTRO DE HIDRANTE TIPO “T”</v>
      </c>
      <c r="C1887" s="86">
        <f>IFERROR(__xludf.DUMMYFUNCTION("""COMPUTED_VALUE"""),1.0)</f>
        <v>1</v>
      </c>
      <c r="D1887" s="87" t="str">
        <f>IFERROR(__xludf.DUMMYFUNCTION("""COMPUTED_VALUE"""),"VIATURA")</f>
        <v>VIATURA</v>
      </c>
      <c r="E1887" s="87" t="str">
        <f>IFERROR(__xludf.DUMMYFUNCTION("""COMPUTED_VALUE"""),"1 - ACIF5790")</f>
        <v>1 - ACIF5790</v>
      </c>
      <c r="F1887" s="92" t="str">
        <f>IFERROR(__xludf.DUMMYFUNCTION("""COMPUTED_VALUE"""),"CABINE")</f>
        <v>CABINE</v>
      </c>
      <c r="G1887" s="89">
        <f>IFERROR(__xludf.DUMMYFUNCTION("""COMPUTED_VALUE"""),45525.0)</f>
        <v>45525</v>
      </c>
      <c r="H1887" s="87"/>
      <c r="I1887" s="87"/>
    </row>
    <row r="1888">
      <c r="A1888" s="84">
        <f>IFERROR(__xludf.DUMMYFUNCTION("""COMPUTED_VALUE"""),98.0)</f>
        <v>98</v>
      </c>
      <c r="B1888" s="85" t="str">
        <f>IFERROR(__xludf.DUMMYFUNCTION("""COMPUTED_VALUE"""),"ALAVANCA PÉ DE CABRA DUPLO")</f>
        <v>ALAVANCA PÉ DE CABRA DUPLO</v>
      </c>
      <c r="C1888" s="86">
        <f>IFERROR(__xludf.DUMMYFUNCTION("""COMPUTED_VALUE"""),1.0)</f>
        <v>1</v>
      </c>
      <c r="D1888" s="87" t="str">
        <f>IFERROR(__xludf.DUMMYFUNCTION("""COMPUTED_VALUE"""),"VIATURA")</f>
        <v>VIATURA</v>
      </c>
      <c r="E1888" s="87" t="str">
        <f>IFERROR(__xludf.DUMMYFUNCTION("""COMPUTED_VALUE"""),"1 - ABTS5911")</f>
        <v>1 - ABTS5911</v>
      </c>
      <c r="F1888" s="92" t="str">
        <f>IFERROR(__xludf.DUMMYFUNCTION("""COMPUTED_VALUE"""),"BOX 03")</f>
        <v>BOX 03</v>
      </c>
      <c r="G1888" s="89">
        <f>IFERROR(__xludf.DUMMYFUNCTION("""COMPUTED_VALUE"""),45525.0)</f>
        <v>45525</v>
      </c>
      <c r="H1888" s="87"/>
      <c r="I1888" s="87"/>
    </row>
    <row r="1889">
      <c r="A1889" s="84">
        <f>IFERROR(__xludf.DUMMYFUNCTION("""COMPUTED_VALUE"""),99.0)</f>
        <v>99</v>
      </c>
      <c r="B1889" s="85" t="str">
        <f>IFERROR(__xludf.DUMMYFUNCTION("""COMPUTED_VALUE"""),"BARRA HALLIGAN")</f>
        <v>BARRA HALLIGAN</v>
      </c>
      <c r="C1889" s="86">
        <f>IFERROR(__xludf.DUMMYFUNCTION("""COMPUTED_VALUE"""),1.0)</f>
        <v>1</v>
      </c>
      <c r="D1889" s="87" t="str">
        <f>IFERROR(__xludf.DUMMYFUNCTION("""COMPUTED_VALUE"""),"VIATURA")</f>
        <v>VIATURA</v>
      </c>
      <c r="E1889" s="87" t="str">
        <f>IFERROR(__xludf.DUMMYFUNCTION("""COMPUTED_VALUE"""),"1 - ABTS5911")</f>
        <v>1 - ABTS5911</v>
      </c>
      <c r="F1889" s="92" t="str">
        <f>IFERROR(__xludf.DUMMYFUNCTION("""COMPUTED_VALUE"""),"BOX 03")</f>
        <v>BOX 03</v>
      </c>
      <c r="G1889" s="89">
        <f>IFERROR(__xludf.DUMMYFUNCTION("""COMPUTED_VALUE"""),45525.0)</f>
        <v>45525</v>
      </c>
      <c r="H1889" s="87"/>
      <c r="I1889" s="87"/>
    </row>
    <row r="1890">
      <c r="A1890" s="84">
        <f>IFERROR(__xludf.DUMMYFUNCTION("""COMPUTED_VALUE"""),100.0)</f>
        <v>100</v>
      </c>
      <c r="B1890" s="85" t="str">
        <f>IFERROR(__xludf.DUMMYFUNCTION("""COMPUTED_VALUE"""),"CHAVE DE TAMPÃO DE HIRANTE")</f>
        <v>CHAVE DE TAMPÃO DE HIRANTE</v>
      </c>
      <c r="C1890" s="86">
        <f>IFERROR(__xludf.DUMMYFUNCTION("""COMPUTED_VALUE"""),4.0)</f>
        <v>4</v>
      </c>
      <c r="D1890" s="87" t="str">
        <f>IFERROR(__xludf.DUMMYFUNCTION("""COMPUTED_VALUE"""),"VIATURA")</f>
        <v>VIATURA</v>
      </c>
      <c r="E1890" s="87" t="str">
        <f>IFERROR(__xludf.DUMMYFUNCTION("""COMPUTED_VALUE"""),"1 - ABTS5911")</f>
        <v>1 - ABTS5911</v>
      </c>
      <c r="F1890" s="92" t="str">
        <f>IFERROR(__xludf.DUMMYFUNCTION("""COMPUTED_VALUE"""),"BOX 03")</f>
        <v>BOX 03</v>
      </c>
      <c r="G1890" s="89">
        <f>IFERROR(__xludf.DUMMYFUNCTION("""COMPUTED_VALUE"""),45525.0)</f>
        <v>45525</v>
      </c>
      <c r="H1890" s="87"/>
      <c r="I1890" s="87"/>
    </row>
    <row r="1891">
      <c r="A1891" s="84">
        <f>IFERROR(__xludf.DUMMYFUNCTION("""COMPUTED_VALUE"""),101.0)</f>
        <v>101</v>
      </c>
      <c r="B1891" s="85" t="str">
        <f>IFERROR(__xludf.DUMMYFUNCTION("""COMPUTED_VALUE"""),"MACHADINHA")</f>
        <v>MACHADINHA</v>
      </c>
      <c r="C1891" s="86">
        <f>IFERROR(__xludf.DUMMYFUNCTION("""COMPUTED_VALUE"""),1.0)</f>
        <v>1</v>
      </c>
      <c r="D1891" s="87" t="str">
        <f>IFERROR(__xludf.DUMMYFUNCTION("""COMPUTED_VALUE"""),"VIATURA")</f>
        <v>VIATURA</v>
      </c>
      <c r="E1891" s="87" t="str">
        <f>IFERROR(__xludf.DUMMYFUNCTION("""COMPUTED_VALUE"""),"1 - ABTS5911")</f>
        <v>1 - ABTS5911</v>
      </c>
      <c r="F1891" s="92" t="str">
        <f>IFERROR(__xludf.DUMMYFUNCTION("""COMPUTED_VALUE"""),"BOX 03")</f>
        <v>BOX 03</v>
      </c>
      <c r="G1891" s="89">
        <f>IFERROR(__xludf.DUMMYFUNCTION("""COMPUTED_VALUE"""),45525.0)</f>
        <v>45525</v>
      </c>
      <c r="H1891" s="87"/>
      <c r="I1891" s="87"/>
    </row>
    <row r="1892">
      <c r="A1892" s="84">
        <f>IFERROR(__xludf.DUMMYFUNCTION("""COMPUTED_VALUE"""),102.0)</f>
        <v>102</v>
      </c>
      <c r="B1892" s="85" t="str">
        <f>IFERROR(__xludf.DUMMYFUNCTION("""COMPUTED_VALUE"""),"GADANHO")</f>
        <v>GADANHO</v>
      </c>
      <c r="C1892" s="86">
        <f>IFERROR(__xludf.DUMMYFUNCTION("""COMPUTED_VALUE"""),1.0)</f>
        <v>1</v>
      </c>
      <c r="D1892" s="87" t="str">
        <f>IFERROR(__xludf.DUMMYFUNCTION("""COMPUTED_VALUE"""),"VIATURA")</f>
        <v>VIATURA</v>
      </c>
      <c r="E1892" s="87" t="str">
        <f>IFERROR(__xludf.DUMMYFUNCTION("""COMPUTED_VALUE"""),"1 - ABTS5911")</f>
        <v>1 - ABTS5911</v>
      </c>
      <c r="F1892" s="92" t="str">
        <f>IFERROR(__xludf.DUMMYFUNCTION("""COMPUTED_VALUE"""),"BOX 03")</f>
        <v>BOX 03</v>
      </c>
      <c r="G1892" s="89">
        <f>IFERROR(__xludf.DUMMYFUNCTION("""COMPUTED_VALUE"""),45525.0)</f>
        <v>45525</v>
      </c>
      <c r="H1892" s="87"/>
      <c r="I1892" s="87"/>
    </row>
    <row r="1893">
      <c r="A1893" s="84">
        <f>IFERROR(__xludf.DUMMYFUNCTION("""COMPUTED_VALUE"""),103.0)</f>
        <v>103</v>
      </c>
      <c r="B1893" s="85" t="str">
        <f>IFERROR(__xludf.DUMMYFUNCTION("""COMPUTED_VALUE"""),"FOICE")</f>
        <v>FOICE</v>
      </c>
      <c r="C1893" s="86">
        <f>IFERROR(__xludf.DUMMYFUNCTION("""COMPUTED_VALUE"""),1.0)</f>
        <v>1</v>
      </c>
      <c r="D1893" s="87" t="str">
        <f>IFERROR(__xludf.DUMMYFUNCTION("""COMPUTED_VALUE"""),"VIATURA")</f>
        <v>VIATURA</v>
      </c>
      <c r="E1893" s="87" t="str">
        <f>IFERROR(__xludf.DUMMYFUNCTION("""COMPUTED_VALUE"""),"1 - ABTS5911")</f>
        <v>1 - ABTS5911</v>
      </c>
      <c r="F1893" s="92" t="str">
        <f>IFERROR(__xludf.DUMMYFUNCTION("""COMPUTED_VALUE"""),"BOX 03")</f>
        <v>BOX 03</v>
      </c>
      <c r="G1893" s="89">
        <f>IFERROR(__xludf.DUMMYFUNCTION("""COMPUTED_VALUE"""),45525.0)</f>
        <v>45525</v>
      </c>
      <c r="H1893" s="87"/>
      <c r="I1893" s="87"/>
    </row>
    <row r="1894">
      <c r="A1894" s="84">
        <f>IFERROR(__xludf.DUMMYFUNCTION("""COMPUTED_VALUE"""),104.0)</f>
        <v>104</v>
      </c>
      <c r="B1894" s="85" t="str">
        <f>IFERROR(__xludf.DUMMYFUNCTION("""COMPUTED_VALUE"""),"ENXADÃO")</f>
        <v>ENXADÃO</v>
      </c>
      <c r="C1894" s="86">
        <f>IFERROR(__xludf.DUMMYFUNCTION("""COMPUTED_VALUE"""),1.0)</f>
        <v>1</v>
      </c>
      <c r="D1894" s="87" t="str">
        <f>IFERROR(__xludf.DUMMYFUNCTION("""COMPUTED_VALUE"""),"VIATURA")</f>
        <v>VIATURA</v>
      </c>
      <c r="E1894" s="87" t="str">
        <f>IFERROR(__xludf.DUMMYFUNCTION("""COMPUTED_VALUE"""),"1 - ABTS5911")</f>
        <v>1 - ABTS5911</v>
      </c>
      <c r="F1894" s="92" t="str">
        <f>IFERROR(__xludf.DUMMYFUNCTION("""COMPUTED_VALUE"""),"BOX 03")</f>
        <v>BOX 03</v>
      </c>
      <c r="G1894" s="89">
        <f>IFERROR(__xludf.DUMMYFUNCTION("""COMPUTED_VALUE"""),45525.0)</f>
        <v>45525</v>
      </c>
      <c r="H1894" s="87"/>
      <c r="I1894" s="87"/>
    </row>
    <row r="1895">
      <c r="A1895" s="84">
        <f>IFERROR(__xludf.DUMMYFUNCTION("""COMPUTED_VALUE"""),105.0)</f>
        <v>105</v>
      </c>
      <c r="B1895" s="85" t="str">
        <f>IFERROR(__xludf.DUMMYFUNCTION("""COMPUTED_VALUE"""),"PICARETA")</f>
        <v>PICARETA</v>
      </c>
      <c r="C1895" s="86">
        <f>IFERROR(__xludf.DUMMYFUNCTION("""COMPUTED_VALUE"""),1.0)</f>
        <v>1</v>
      </c>
      <c r="D1895" s="87" t="str">
        <f>IFERROR(__xludf.DUMMYFUNCTION("""COMPUTED_VALUE"""),"SEÇÃO")</f>
        <v>SEÇÃO</v>
      </c>
      <c r="E1895" s="87" t="str">
        <f>IFERROR(__xludf.DUMMYFUNCTION("""COMPUTED_VALUE"""),"3 - ALMOX. ESTOQUE")</f>
        <v>3 - ALMOX. ESTOQUE</v>
      </c>
      <c r="F1895" s="92" t="str">
        <f>IFERROR(__xludf.DUMMYFUNCTION("""COMPUTED_VALUE"""),"ALMOX. SAPA")</f>
        <v>ALMOX. SAPA</v>
      </c>
      <c r="G1895" s="89">
        <f>IFERROR(__xludf.DUMMYFUNCTION("""COMPUTED_VALUE"""),45525.0)</f>
        <v>45525</v>
      </c>
      <c r="H1895" s="87"/>
      <c r="I1895" s="87"/>
    </row>
    <row r="1896">
      <c r="A1896" s="84">
        <f>IFERROR(__xludf.DUMMYFUNCTION("""COMPUTED_VALUE"""),106.0)</f>
        <v>106</v>
      </c>
      <c r="B1896" s="85" t="str">
        <f>IFERROR(__xludf.DUMMYFUNCTION("""COMPUTED_VALUE"""),"TAMPÃO DE MANGOTE COM ROSCA GROSSA 4""")</f>
        <v>TAMPÃO DE MANGOTE COM ROSCA GROSSA 4"</v>
      </c>
      <c r="C1896" s="86">
        <f>IFERROR(__xludf.DUMMYFUNCTION("""COMPUTED_VALUE"""),1.0)</f>
        <v>1</v>
      </c>
      <c r="D1896" s="87" t="str">
        <f>IFERROR(__xludf.DUMMYFUNCTION("""COMPUTED_VALUE"""),"VIATURA")</f>
        <v>VIATURA</v>
      </c>
      <c r="E1896" s="87" t="str">
        <f>IFERROR(__xludf.DUMMYFUNCTION("""COMPUTED_VALUE"""),"1 - ABTS5911")</f>
        <v>1 - ABTS5911</v>
      </c>
      <c r="F1896" s="92" t="str">
        <f>IFERROR(__xludf.DUMMYFUNCTION("""COMPUTED_VALUE"""),"BOX TRASEIRO")</f>
        <v>BOX TRASEIRO</v>
      </c>
      <c r="G1896" s="89">
        <f>IFERROR(__xludf.DUMMYFUNCTION("""COMPUTED_VALUE"""),45525.0)</f>
        <v>45525</v>
      </c>
      <c r="H1896" s="87"/>
      <c r="I1896" s="87"/>
    </row>
    <row r="1897">
      <c r="A1897" s="84">
        <f>IFERROR(__xludf.DUMMYFUNCTION("""COMPUTED_VALUE"""),107.0)</f>
        <v>107</v>
      </c>
      <c r="B1897" s="85" t="str">
        <f>IFERROR(__xludf.DUMMYFUNCTION("""COMPUTED_VALUE"""),"REDUÇÃO DE TAMPÃO DE MANGOTE 4"" PARA 2 ¹/²""")</f>
        <v>REDUÇÃO DE TAMPÃO DE MANGOTE 4" PARA 2 ¹/²"</v>
      </c>
      <c r="C1897" s="86">
        <f>IFERROR(__xludf.DUMMYFUNCTION("""COMPUTED_VALUE"""),1.0)</f>
        <v>1</v>
      </c>
      <c r="D1897" s="87" t="str">
        <f>IFERROR(__xludf.DUMMYFUNCTION("""COMPUTED_VALUE"""),"SEÇÃO")</f>
        <v>SEÇÃO</v>
      </c>
      <c r="E1897" s="87" t="str">
        <f>IFERROR(__xludf.DUMMYFUNCTION("""COMPUTED_VALUE"""),"3 - ALMOX. ESTOQUE")</f>
        <v>3 - ALMOX. ESTOQUE</v>
      </c>
      <c r="F1897" s="92" t="str">
        <f>IFERROR(__xludf.DUMMYFUNCTION("""COMPUTED_VALUE"""),"ALMOX. SAO (SEDE)")</f>
        <v>ALMOX. SAO (SEDE)</v>
      </c>
      <c r="G1897" s="89">
        <f>IFERROR(__xludf.DUMMYFUNCTION("""COMPUTED_VALUE"""),45525.0)</f>
        <v>45525</v>
      </c>
      <c r="H1897" s="87"/>
      <c r="I1897" s="87"/>
    </row>
    <row r="1898">
      <c r="A1898" s="84">
        <f>IFERROR(__xludf.DUMMYFUNCTION("""COMPUTED_VALUE"""),108.0)</f>
        <v>108</v>
      </c>
      <c r="B1898" s="85" t="str">
        <f>IFERROR(__xludf.DUMMYFUNCTION("""COMPUTED_VALUE"""),"NIPS")</f>
        <v>NIPS</v>
      </c>
      <c r="C1898" s="86">
        <f>IFERROR(__xludf.DUMMYFUNCTION("""COMPUTED_VALUE"""),3.0)</f>
        <v>3</v>
      </c>
      <c r="D1898" s="87" t="str">
        <f>IFERROR(__xludf.DUMMYFUNCTION("""COMPUTED_VALUE"""),"VIATURA")</f>
        <v>VIATURA</v>
      </c>
      <c r="E1898" s="87" t="str">
        <f>IFERROR(__xludf.DUMMYFUNCTION("""COMPUTED_VALUE"""),"1 - ABTS5911")</f>
        <v>1 - ABTS5911</v>
      </c>
      <c r="F1898" s="92" t="str">
        <f>IFERROR(__xludf.DUMMYFUNCTION("""COMPUTED_VALUE"""),"BOX 05")</f>
        <v>BOX 05</v>
      </c>
      <c r="G1898" s="89">
        <f>IFERROR(__xludf.DUMMYFUNCTION("""COMPUTED_VALUE"""),45603.0)</f>
        <v>45603</v>
      </c>
      <c r="H1898" s="87"/>
      <c r="I1898" s="87"/>
    </row>
    <row r="1899">
      <c r="A1899" s="84">
        <f>IFERROR(__xludf.DUMMYFUNCTION("""COMPUTED_VALUE"""),109.0)</f>
        <v>109</v>
      </c>
      <c r="B1899" s="85" t="str">
        <f>IFERROR(__xludf.DUMMYFUNCTION("""COMPUTED_VALUE"""),"CHAVE DE MANGUEIRA")</f>
        <v>CHAVE DE MANGUEIRA</v>
      </c>
      <c r="C1899" s="86">
        <f>IFERROR(__xludf.DUMMYFUNCTION("""COMPUTED_VALUE"""),4.0)</f>
        <v>4</v>
      </c>
      <c r="D1899" s="87" t="str">
        <f>IFERROR(__xludf.DUMMYFUNCTION("""COMPUTED_VALUE"""),"VIATURA")</f>
        <v>VIATURA</v>
      </c>
      <c r="E1899" s="87" t="str">
        <f>IFERROR(__xludf.DUMMYFUNCTION("""COMPUTED_VALUE"""),"1 - ABTS5911")</f>
        <v>1 - ABTS5911</v>
      </c>
      <c r="F1899" s="92" t="str">
        <f>IFERROR(__xludf.DUMMYFUNCTION("""COMPUTED_VALUE"""),"BOX 05")</f>
        <v>BOX 05</v>
      </c>
      <c r="G1899" s="89">
        <f>IFERROR(__xludf.DUMMYFUNCTION("""COMPUTED_VALUE"""),45525.0)</f>
        <v>45525</v>
      </c>
      <c r="H1899" s="87"/>
      <c r="I1899" s="87"/>
    </row>
    <row r="1900">
      <c r="A1900" s="84">
        <f>IFERROR(__xludf.DUMMYFUNCTION("""COMPUTED_VALUE"""),110.0)</f>
        <v>110</v>
      </c>
      <c r="B1900" s="85" t="str">
        <f>IFERROR(__xludf.DUMMYFUNCTION("""COMPUTED_VALUE"""),"DIVISOR 3 BOCAS")</f>
        <v>DIVISOR 3 BOCAS</v>
      </c>
      <c r="C1900" s="86">
        <f>IFERROR(__xludf.DUMMYFUNCTION("""COMPUTED_VALUE"""),1.0)</f>
        <v>1</v>
      </c>
      <c r="D1900" s="87" t="str">
        <f>IFERROR(__xludf.DUMMYFUNCTION("""COMPUTED_VALUE"""),"VIATURA")</f>
        <v>VIATURA</v>
      </c>
      <c r="E1900" s="87" t="str">
        <f>IFERROR(__xludf.DUMMYFUNCTION("""COMPUTED_VALUE"""),"1 - ABTS5911")</f>
        <v>1 - ABTS5911</v>
      </c>
      <c r="F1900" s="92" t="str">
        <f>IFERROR(__xludf.DUMMYFUNCTION("""COMPUTED_VALUE"""),"BOX 05")</f>
        <v>BOX 05</v>
      </c>
      <c r="G1900" s="89">
        <f>IFERROR(__xludf.DUMMYFUNCTION("""COMPUTED_VALUE"""),45525.0)</f>
        <v>45525</v>
      </c>
      <c r="H1900" s="87"/>
      <c r="I1900" s="87"/>
    </row>
    <row r="1901">
      <c r="A1901" s="84">
        <f>IFERROR(__xludf.DUMMYFUNCTION("""COMPUTED_VALUE"""),111.0)</f>
        <v>111</v>
      </c>
      <c r="B1901" s="85" t="str">
        <f>IFERROR(__xludf.DUMMYFUNCTION("""COMPUTED_VALUE"""),"REDUÇÃO 2 ¹/² P/ 1¹/² ")</f>
        <v>REDUÇÃO 2 ¹/² P/ 1¹/² </v>
      </c>
      <c r="C1901" s="86">
        <f>IFERROR(__xludf.DUMMYFUNCTION("""COMPUTED_VALUE"""),2.0)</f>
        <v>2</v>
      </c>
      <c r="D1901" s="87" t="str">
        <f>IFERROR(__xludf.DUMMYFUNCTION("""COMPUTED_VALUE"""),"VIATURA")</f>
        <v>VIATURA</v>
      </c>
      <c r="E1901" s="87" t="str">
        <f>IFERROR(__xludf.DUMMYFUNCTION("""COMPUTED_VALUE"""),"1 - ABTS5911")</f>
        <v>1 - ABTS5911</v>
      </c>
      <c r="F1901" s="92" t="str">
        <f>IFERROR(__xludf.DUMMYFUNCTION("""COMPUTED_VALUE"""),"BOX 05")</f>
        <v>BOX 05</v>
      </c>
      <c r="G1901" s="89">
        <f>IFERROR(__xludf.DUMMYFUNCTION("""COMPUTED_VALUE"""),45525.0)</f>
        <v>45525</v>
      </c>
      <c r="H1901" s="87"/>
      <c r="I1901" s="87"/>
    </row>
    <row r="1902">
      <c r="A1902" s="84">
        <f>IFERROR(__xludf.DUMMYFUNCTION("""COMPUTED_VALUE"""),112.0)</f>
        <v>112</v>
      </c>
      <c r="B1902" s="85" t="str">
        <f>IFERROR(__xludf.DUMMYFUNCTION("""COMPUTED_VALUE"""),"TAMPÃO DE 2 ¹/²")</f>
        <v>TAMPÃO DE 2 ¹/²</v>
      </c>
      <c r="C1902" s="86">
        <f>IFERROR(__xludf.DUMMYFUNCTION("""COMPUTED_VALUE"""),1.0)</f>
        <v>1</v>
      </c>
      <c r="D1902" s="87" t="str">
        <f>IFERROR(__xludf.DUMMYFUNCTION("""COMPUTED_VALUE"""),"VIATURA")</f>
        <v>VIATURA</v>
      </c>
      <c r="E1902" s="87" t="str">
        <f>IFERROR(__xludf.DUMMYFUNCTION("""COMPUTED_VALUE"""),"1 - ABTS1418")</f>
        <v>1 - ABTS1418</v>
      </c>
      <c r="F1902" s="92"/>
      <c r="G1902" s="89"/>
      <c r="H1902" s="87"/>
      <c r="I1902" s="87"/>
    </row>
    <row r="1903">
      <c r="A1903" s="84">
        <f>IFERROR(__xludf.DUMMYFUNCTION("""COMPUTED_VALUE"""),113.0)</f>
        <v>113</v>
      </c>
      <c r="B1903" s="85" t="str">
        <f>IFERROR(__xludf.DUMMYFUNCTION("""COMPUTED_VALUE"""),"TAMPÃO DE 4'' ROSCA GROSSA")</f>
        <v>TAMPÃO DE 4'' ROSCA GROSSA</v>
      </c>
      <c r="C1903" s="86">
        <f>IFERROR(__xludf.DUMMYFUNCTION("""COMPUTED_VALUE"""),1.0)</f>
        <v>1</v>
      </c>
      <c r="D1903" s="87" t="str">
        <f>IFERROR(__xludf.DUMMYFUNCTION("""COMPUTED_VALUE"""),"VIATURA")</f>
        <v>VIATURA</v>
      </c>
      <c r="E1903" s="87" t="str">
        <f>IFERROR(__xludf.DUMMYFUNCTION("""COMPUTED_VALUE"""),"1 - ABTS5911")</f>
        <v>1 - ABTS5911</v>
      </c>
      <c r="F1903" s="92" t="str">
        <f>IFERROR(__xludf.DUMMYFUNCTION("""COMPUTED_VALUE"""),"BOX 05")</f>
        <v>BOX 05</v>
      </c>
      <c r="G1903" s="89">
        <f>IFERROR(__xludf.DUMMYFUNCTION("""COMPUTED_VALUE"""),45525.0)</f>
        <v>45525</v>
      </c>
      <c r="H1903" s="87"/>
      <c r="I1903" s="87"/>
    </row>
    <row r="1904">
      <c r="A1904" s="84">
        <f>IFERROR(__xludf.DUMMYFUNCTION("""COMPUTED_VALUE"""),114.0)</f>
        <v>114</v>
      </c>
      <c r="B1904" s="85" t="str">
        <f>IFERROR(__xludf.DUMMYFUNCTION("""COMPUTED_VALUE"""),"RALO DE 8""")</f>
        <v>RALO DE 8"</v>
      </c>
      <c r="C1904" s="86">
        <f>IFERROR(__xludf.DUMMYFUNCTION("""COMPUTED_VALUE"""),1.0)</f>
        <v>1</v>
      </c>
      <c r="D1904" s="87" t="str">
        <f>IFERROR(__xludf.DUMMYFUNCTION("""COMPUTED_VALUE"""),"VIATURA")</f>
        <v>VIATURA</v>
      </c>
      <c r="E1904" s="87" t="str">
        <f>IFERROR(__xludf.DUMMYFUNCTION("""COMPUTED_VALUE"""),"1 - ABTS5911")</f>
        <v>1 - ABTS5911</v>
      </c>
      <c r="F1904" s="92" t="str">
        <f>IFERROR(__xludf.DUMMYFUNCTION("""COMPUTED_VALUE"""),"BOX 05")</f>
        <v>BOX 05</v>
      </c>
      <c r="G1904" s="89">
        <f>IFERROR(__xludf.DUMMYFUNCTION("""COMPUTED_VALUE"""),45525.0)</f>
        <v>45525</v>
      </c>
      <c r="H1904" s="87"/>
      <c r="I1904" s="87"/>
    </row>
    <row r="1905">
      <c r="A1905" s="84">
        <f>IFERROR(__xludf.DUMMYFUNCTION("""COMPUTED_VALUE"""),115.0)</f>
        <v>115</v>
      </c>
      <c r="B1905" s="85" t="str">
        <f>IFERROR(__xludf.DUMMYFUNCTION("""COMPUTED_VALUE"""),"CALÇO PARA VIATURAS (PLÁSTICO)")</f>
        <v>CALÇO PARA VIATURAS (PLÁSTICO)</v>
      </c>
      <c r="C1905" s="86">
        <f>IFERROR(__xludf.DUMMYFUNCTION("""COMPUTED_VALUE"""),2.0)</f>
        <v>2</v>
      </c>
      <c r="D1905" s="87" t="str">
        <f>IFERROR(__xludf.DUMMYFUNCTION("""COMPUTED_VALUE"""),"VIATURA")</f>
        <v>VIATURA</v>
      </c>
      <c r="E1905" s="87" t="str">
        <f>IFERROR(__xludf.DUMMYFUNCTION("""COMPUTED_VALUE"""),"1 - ABTS5911")</f>
        <v>1 - ABTS5911</v>
      </c>
      <c r="F1905" s="92" t="str">
        <f>IFERROR(__xludf.DUMMYFUNCTION("""COMPUTED_VALUE"""),"BOX 05")</f>
        <v>BOX 05</v>
      </c>
      <c r="G1905" s="89">
        <f>IFERROR(__xludf.DUMMYFUNCTION("""COMPUTED_VALUE"""),45525.0)</f>
        <v>45525</v>
      </c>
      <c r="H1905" s="87"/>
      <c r="I1905" s="87"/>
    </row>
    <row r="1906">
      <c r="A1906" s="84">
        <f>IFERROR(__xludf.DUMMYFUNCTION("""COMPUTED_VALUE"""),116.0)</f>
        <v>116</v>
      </c>
      <c r="B1906" s="85" t="str">
        <f>IFERROR(__xludf.DUMMYFUNCTION("""COMPUTED_VALUE"""),"CHAVE DE MANGOTE")</f>
        <v>CHAVE DE MANGOTE</v>
      </c>
      <c r="C1906" s="86">
        <f>IFERROR(__xludf.DUMMYFUNCTION("""COMPUTED_VALUE"""),1.0)</f>
        <v>1</v>
      </c>
      <c r="D1906" s="87" t="str">
        <f>IFERROR(__xludf.DUMMYFUNCTION("""COMPUTED_VALUE"""),"VIATURA")</f>
        <v>VIATURA</v>
      </c>
      <c r="E1906" s="87" t="str">
        <f>IFERROR(__xludf.DUMMYFUNCTION("""COMPUTED_VALUE"""),"1 - ABTS5911")</f>
        <v>1 - ABTS5911</v>
      </c>
      <c r="F1906" s="92" t="str">
        <f>IFERROR(__xludf.DUMMYFUNCTION("""COMPUTED_VALUE"""),"BOX 05")</f>
        <v>BOX 05</v>
      </c>
      <c r="G1906" s="89">
        <f>IFERROR(__xludf.DUMMYFUNCTION("""COMPUTED_VALUE"""),45525.0)</f>
        <v>45525</v>
      </c>
      <c r="H1906" s="87"/>
      <c r="I1906" s="87"/>
    </row>
    <row r="1907">
      <c r="A1907" s="84">
        <f>IFERROR(__xludf.DUMMYFUNCTION("""COMPUTED_VALUE"""),117.0)</f>
        <v>117</v>
      </c>
      <c r="B1907" s="85" t="str">
        <f>IFERROR(__xludf.DUMMYFUNCTION("""COMPUTED_VALUE"""),"BOLSA DE SALVAMENTO EM ALTURA")</f>
        <v>BOLSA DE SALVAMENTO EM ALTURA</v>
      </c>
      <c r="C1907" s="86">
        <f>IFERROR(__xludf.DUMMYFUNCTION("""COMPUTED_VALUE"""),1.0)</f>
        <v>1</v>
      </c>
      <c r="D1907" s="87" t="str">
        <f>IFERROR(__xludf.DUMMYFUNCTION("""COMPUTED_VALUE"""),"VIATURA")</f>
        <v>VIATURA</v>
      </c>
      <c r="E1907" s="87" t="str">
        <f>IFERROR(__xludf.DUMMYFUNCTION("""COMPUTED_VALUE"""),"1 - ABTS5911")</f>
        <v>1 - ABTS5911</v>
      </c>
      <c r="F1907" s="92" t="str">
        <f>IFERROR(__xludf.DUMMYFUNCTION("""COMPUTED_VALUE"""),"BOX 05")</f>
        <v>BOX 05</v>
      </c>
      <c r="G1907" s="89">
        <f>IFERROR(__xludf.DUMMYFUNCTION("""COMPUTED_VALUE"""),45525.0)</f>
        <v>45525</v>
      </c>
      <c r="H1907" s="87"/>
      <c r="I1907" s="87"/>
    </row>
    <row r="1908">
      <c r="A1908" s="84">
        <f>IFERROR(__xludf.DUMMYFUNCTION("""COMPUTED_VALUE"""),118.0)</f>
        <v>118</v>
      </c>
      <c r="B1908" s="85" t="str">
        <f>IFERROR(__xludf.DUMMYFUNCTION("""COMPUTED_VALUE"""),"CHAVE MAGNÉTICA")</f>
        <v>CHAVE MAGNÉTICA</v>
      </c>
      <c r="C1908" s="86">
        <f>IFERROR(__xludf.DUMMYFUNCTION("""COMPUTED_VALUE"""),1.0)</f>
        <v>1</v>
      </c>
      <c r="D1908" s="87" t="str">
        <f>IFERROR(__xludf.DUMMYFUNCTION("""COMPUTED_VALUE"""),"VIATURA")</f>
        <v>VIATURA</v>
      </c>
      <c r="E1908" s="87" t="str">
        <f>IFERROR(__xludf.DUMMYFUNCTION("""COMPUTED_VALUE"""),"1 - ABTS5911")</f>
        <v>1 - ABTS5911</v>
      </c>
      <c r="F1908" s="92" t="str">
        <f>IFERROR(__xludf.DUMMYFUNCTION("""COMPUTED_VALUE"""),"BOX 05")</f>
        <v>BOX 05</v>
      </c>
      <c r="G1908" s="89">
        <f>IFERROR(__xludf.DUMMYFUNCTION("""COMPUTED_VALUE"""),45525.0)</f>
        <v>45525</v>
      </c>
      <c r="H1908" s="87"/>
      <c r="I1908" s="87"/>
    </row>
    <row r="1909">
      <c r="A1909" s="84">
        <f>IFERROR(__xludf.DUMMYFUNCTION("""COMPUTED_VALUE"""),119.0)</f>
        <v>119</v>
      </c>
      <c r="B1909" s="85" t="str">
        <f>IFERROR(__xludf.DUMMYFUNCTION("""COMPUTED_VALUE"""),"CINTO SEGURANÇA - TIPO: PARAQUEDISTA C/ MOSQUETÃO")</f>
        <v>CINTO SEGURANÇA - TIPO: PARAQUEDISTA C/ MOSQUETÃO</v>
      </c>
      <c r="C1909" s="86">
        <f>IFERROR(__xludf.DUMMYFUNCTION("""COMPUTED_VALUE"""),2.0)</f>
        <v>2</v>
      </c>
      <c r="D1909" s="87" t="str">
        <f>IFERROR(__xludf.DUMMYFUNCTION("""COMPUTED_VALUE"""),"VIATURA")</f>
        <v>VIATURA</v>
      </c>
      <c r="E1909" s="87" t="str">
        <f>IFERROR(__xludf.DUMMYFUNCTION("""COMPUTED_VALUE"""),"1 - ABTS5911")</f>
        <v>1 - ABTS5911</v>
      </c>
      <c r="F1909" s="92" t="str">
        <f>IFERROR(__xludf.DUMMYFUNCTION("""COMPUTED_VALUE"""),"BOX 06")</f>
        <v>BOX 06</v>
      </c>
      <c r="G1909" s="89">
        <f>IFERROR(__xludf.DUMMYFUNCTION("""COMPUTED_VALUE"""),45525.0)</f>
        <v>45525</v>
      </c>
      <c r="H1909" s="87"/>
      <c r="I1909" s="87"/>
    </row>
    <row r="1910">
      <c r="A1910" s="84">
        <f>IFERROR(__xludf.DUMMYFUNCTION("""COMPUTED_VALUE"""),120.0)</f>
        <v>120</v>
      </c>
      <c r="B1910" s="85" t="str">
        <f>IFERROR(__xludf.DUMMYFUNCTION("""COMPUTED_VALUE"""),"SACO DE ARREMESSO")</f>
        <v>SACO DE ARREMESSO</v>
      </c>
      <c r="C1910" s="86">
        <f>IFERROR(__xludf.DUMMYFUNCTION("""COMPUTED_VALUE"""),2.0)</f>
        <v>2</v>
      </c>
      <c r="D1910" s="87" t="str">
        <f>IFERROR(__xludf.DUMMYFUNCTION("""COMPUTED_VALUE"""),"VIATURA")</f>
        <v>VIATURA</v>
      </c>
      <c r="E1910" s="87" t="str">
        <f>IFERROR(__xludf.DUMMYFUNCTION("""COMPUTED_VALUE"""),"1 - ABTS5911")</f>
        <v>1 - ABTS5911</v>
      </c>
      <c r="F1910" s="92" t="str">
        <f>IFERROR(__xludf.DUMMYFUNCTION("""COMPUTED_VALUE"""),"BOX 06")</f>
        <v>BOX 06</v>
      </c>
      <c r="G1910" s="89">
        <f>IFERROR(__xludf.DUMMYFUNCTION("""COMPUTED_VALUE"""),45525.0)</f>
        <v>45525</v>
      </c>
      <c r="H1910" s="87"/>
      <c r="I1910" s="87"/>
    </row>
    <row r="1911">
      <c r="A1911" s="84">
        <f>IFERROR(__xludf.DUMMYFUNCTION("""COMPUTED_VALUE"""),121.0)</f>
        <v>121</v>
      </c>
      <c r="B1911" s="85" t="str">
        <f>IFERROR(__xludf.DUMMYFUNCTION("""COMPUTED_VALUE"""),"COLETE RESGATE AQUÁTICO (LARANJA)")</f>
        <v>COLETE RESGATE AQUÁTICO (LARANJA)</v>
      </c>
      <c r="C1911" s="86">
        <f>IFERROR(__xludf.DUMMYFUNCTION("""COMPUTED_VALUE"""),2.0)</f>
        <v>2</v>
      </c>
      <c r="D1911" s="87" t="str">
        <f>IFERROR(__xludf.DUMMYFUNCTION("""COMPUTED_VALUE"""),"VIATURA")</f>
        <v>VIATURA</v>
      </c>
      <c r="E1911" s="87" t="str">
        <f>IFERROR(__xludf.DUMMYFUNCTION("""COMPUTED_VALUE"""),"1 - ABTS5911")</f>
        <v>1 - ABTS5911</v>
      </c>
      <c r="F1911" s="92" t="str">
        <f>IFERROR(__xludf.DUMMYFUNCTION("""COMPUTED_VALUE"""),"BOX 06")</f>
        <v>BOX 06</v>
      </c>
      <c r="G1911" s="89">
        <f>IFERROR(__xludf.DUMMYFUNCTION("""COMPUTED_VALUE"""),45525.0)</f>
        <v>45525</v>
      </c>
      <c r="H1911" s="87"/>
      <c r="I1911" s="87"/>
    </row>
    <row r="1912">
      <c r="A1912" s="84">
        <f>IFERROR(__xludf.DUMMYFUNCTION("""COMPUTED_VALUE"""),122.0)</f>
        <v>122</v>
      </c>
      <c r="B1912" s="85" t="str">
        <f>IFERROR(__xludf.DUMMYFUNCTION("""COMPUTED_VALUE"""),"MANGUEIRA DE 1 ¹/²")</f>
        <v>MANGUEIRA DE 1 ¹/²</v>
      </c>
      <c r="C1912" s="86">
        <f>IFERROR(__xludf.DUMMYFUNCTION("""COMPUTED_VALUE"""),9.0)</f>
        <v>9</v>
      </c>
      <c r="D1912" s="87" t="str">
        <f>IFERROR(__xludf.DUMMYFUNCTION("""COMPUTED_VALUE"""),"VIATURA")</f>
        <v>VIATURA</v>
      </c>
      <c r="E1912" s="87" t="str">
        <f>IFERROR(__xludf.DUMMYFUNCTION("""COMPUTED_VALUE"""),"1 - ABTS5911")</f>
        <v>1 - ABTS5911</v>
      </c>
      <c r="F1912" s="92" t="str">
        <f>IFERROR(__xludf.DUMMYFUNCTION("""COMPUTED_VALUE"""),"BOX 07")</f>
        <v>BOX 07</v>
      </c>
      <c r="G1912" s="89">
        <f>IFERROR(__xludf.DUMMYFUNCTION("""COMPUTED_VALUE"""),45525.0)</f>
        <v>45525</v>
      </c>
      <c r="H1912" s="87"/>
      <c r="I1912" s="87"/>
    </row>
    <row r="1913">
      <c r="A1913" s="84">
        <f>IFERROR(__xludf.DUMMYFUNCTION("""COMPUTED_VALUE"""),123.0)</f>
        <v>123</v>
      </c>
      <c r="B1913" s="85" t="str">
        <f>IFERROR(__xludf.DUMMYFUNCTION("""COMPUTED_VALUE"""),"MANGUEIRA DE 2 ¹/²")</f>
        <v>MANGUEIRA DE 2 ¹/²</v>
      </c>
      <c r="C1913" s="86">
        <f>IFERROR(__xludf.DUMMYFUNCTION("""COMPUTED_VALUE"""),2.0)</f>
        <v>2</v>
      </c>
      <c r="D1913" s="87" t="str">
        <f>IFERROR(__xludf.DUMMYFUNCTION("""COMPUTED_VALUE"""),"VIATURA")</f>
        <v>VIATURA</v>
      </c>
      <c r="E1913" s="87" t="str">
        <f>IFERROR(__xludf.DUMMYFUNCTION("""COMPUTED_VALUE"""),"1 - ABTS5911")</f>
        <v>1 - ABTS5911</v>
      </c>
      <c r="F1913" s="92" t="str">
        <f>IFERROR(__xludf.DUMMYFUNCTION("""COMPUTED_VALUE"""),"BOX 07")</f>
        <v>BOX 07</v>
      </c>
      <c r="G1913" s="89">
        <f>IFERROR(__xludf.DUMMYFUNCTION("""COMPUTED_VALUE"""),45525.0)</f>
        <v>45525</v>
      </c>
      <c r="H1913" s="87"/>
      <c r="I1913" s="87"/>
    </row>
    <row r="1914">
      <c r="A1914" s="84">
        <f>IFERROR(__xludf.DUMMYFUNCTION("""COMPUTED_VALUE"""),124.0)</f>
        <v>124</v>
      </c>
      <c r="B1914" s="85" t="str">
        <f>IFERROR(__xludf.DUMMYFUNCTION("""COMPUTED_VALUE"""),"CONE SINALEIRO")</f>
        <v>CONE SINALEIRO</v>
      </c>
      <c r="C1914" s="86">
        <f>IFERROR(__xludf.DUMMYFUNCTION("""COMPUTED_VALUE"""),5.0)</f>
        <v>5</v>
      </c>
      <c r="D1914" s="87" t="str">
        <f>IFERROR(__xludf.DUMMYFUNCTION("""COMPUTED_VALUE"""),"VIATURA")</f>
        <v>VIATURA</v>
      </c>
      <c r="E1914" s="87" t="str">
        <f>IFERROR(__xludf.DUMMYFUNCTION("""COMPUTED_VALUE"""),"1 - ABTS5911")</f>
        <v>1 - ABTS5911</v>
      </c>
      <c r="F1914" s="92" t="str">
        <f>IFERROR(__xludf.DUMMYFUNCTION("""COMPUTED_VALUE"""),"BOX 07")</f>
        <v>BOX 07</v>
      </c>
      <c r="G1914" s="89">
        <f>IFERROR(__xludf.DUMMYFUNCTION("""COMPUTED_VALUE"""),45525.0)</f>
        <v>45525</v>
      </c>
      <c r="H1914" s="87"/>
      <c r="I1914" s="87"/>
    </row>
    <row r="1915">
      <c r="A1915" s="84">
        <f>IFERROR(__xludf.DUMMYFUNCTION("""COMPUTED_VALUE"""),125.0)</f>
        <v>125</v>
      </c>
      <c r="B1915" s="85" t="str">
        <f>IFERROR(__xludf.DUMMYFUNCTION("""COMPUTED_VALUE"""),"ABAFADOR PARA COMBATE A INCENDIO FLORESTAL")</f>
        <v>ABAFADOR PARA COMBATE A INCENDIO FLORESTAL</v>
      </c>
      <c r="C1915" s="86">
        <f>IFERROR(__xludf.DUMMYFUNCTION("""COMPUTED_VALUE"""),3.0)</f>
        <v>3</v>
      </c>
      <c r="D1915" s="87" t="str">
        <f>IFERROR(__xludf.DUMMYFUNCTION("""COMPUTED_VALUE"""),"VIATURA")</f>
        <v>VIATURA</v>
      </c>
      <c r="E1915" s="87" t="str">
        <f>IFERROR(__xludf.DUMMYFUNCTION("""COMPUTED_VALUE"""),"1 - ABTS5911")</f>
        <v>1 - ABTS5911</v>
      </c>
      <c r="F1915" s="92" t="str">
        <f>IFERROR(__xludf.DUMMYFUNCTION("""COMPUTED_VALUE"""),"BOX SUPERIOR 01")</f>
        <v>BOX SUPERIOR 01</v>
      </c>
      <c r="G1915" s="89">
        <f>IFERROR(__xludf.DUMMYFUNCTION("""COMPUTED_VALUE"""),45525.0)</f>
        <v>45525</v>
      </c>
      <c r="H1915" s="87"/>
      <c r="I1915" s="87"/>
    </row>
    <row r="1916">
      <c r="A1916" s="84">
        <f>IFERROR(__xludf.DUMMYFUNCTION("""COMPUTED_VALUE"""),126.0)</f>
        <v>126</v>
      </c>
      <c r="B1916" s="85" t="str">
        <f>IFERROR(__xludf.DUMMYFUNCTION("""COMPUTED_VALUE"""),"ENXADA COMUM")</f>
        <v>ENXADA COMUM</v>
      </c>
      <c r="C1916" s="86">
        <f>IFERROR(__xludf.DUMMYFUNCTION("""COMPUTED_VALUE"""),2.0)</f>
        <v>2</v>
      </c>
      <c r="D1916" s="87" t="str">
        <f>IFERROR(__xludf.DUMMYFUNCTION("""COMPUTED_VALUE"""),"VIATURA")</f>
        <v>VIATURA</v>
      </c>
      <c r="E1916" s="87" t="str">
        <f>IFERROR(__xludf.DUMMYFUNCTION("""COMPUTED_VALUE"""),"1 - ABTS5911")</f>
        <v>1 - ABTS5911</v>
      </c>
      <c r="F1916" s="92" t="str">
        <f>IFERROR(__xludf.DUMMYFUNCTION("""COMPUTED_VALUE"""),"BOX SUPERIOR 01")</f>
        <v>BOX SUPERIOR 01</v>
      </c>
      <c r="G1916" s="89">
        <f>IFERROR(__xludf.DUMMYFUNCTION("""COMPUTED_VALUE"""),45525.0)</f>
        <v>45525</v>
      </c>
      <c r="H1916" s="87"/>
      <c r="I1916" s="87"/>
    </row>
    <row r="1917">
      <c r="A1917" s="84">
        <f>IFERROR(__xludf.DUMMYFUNCTION("""COMPUTED_VALUE"""),127.0)</f>
        <v>127</v>
      </c>
      <c r="B1917" s="85" t="str">
        <f>IFERROR(__xludf.DUMMYFUNCTION("""COMPUTED_VALUE"""),"ALAVANCA CORTE E PONTEIRA")</f>
        <v>ALAVANCA CORTE E PONTEIRA</v>
      </c>
      <c r="C1917" s="86">
        <f>IFERROR(__xludf.DUMMYFUNCTION("""COMPUTED_VALUE"""),1.0)</f>
        <v>1</v>
      </c>
      <c r="D1917" s="87" t="str">
        <f>IFERROR(__xludf.DUMMYFUNCTION("""COMPUTED_VALUE"""),"VIATURA")</f>
        <v>VIATURA</v>
      </c>
      <c r="E1917" s="87" t="str">
        <f>IFERROR(__xludf.DUMMYFUNCTION("""COMPUTED_VALUE"""),"1 - ABTS5911")</f>
        <v>1 - ABTS5911</v>
      </c>
      <c r="F1917" s="92" t="str">
        <f>IFERROR(__xludf.DUMMYFUNCTION("""COMPUTED_VALUE"""),"BOX SUPERIOR 01")</f>
        <v>BOX SUPERIOR 01</v>
      </c>
      <c r="G1917" s="89">
        <f>IFERROR(__xludf.DUMMYFUNCTION("""COMPUTED_VALUE"""),45525.0)</f>
        <v>45525</v>
      </c>
      <c r="H1917" s="87"/>
      <c r="I1917" s="87"/>
    </row>
    <row r="1918">
      <c r="A1918" s="84">
        <f>IFERROR(__xludf.DUMMYFUNCTION("""COMPUTED_VALUE"""),128.0)</f>
        <v>128</v>
      </c>
      <c r="B1918" s="85" t="str">
        <f>IFERROR(__xludf.DUMMYFUNCTION("""COMPUTED_VALUE"""),"FACÕES")</f>
        <v>FACÕES</v>
      </c>
      <c r="C1918" s="86">
        <f>IFERROR(__xludf.DUMMYFUNCTION("""COMPUTED_VALUE"""),4.0)</f>
        <v>4</v>
      </c>
      <c r="D1918" s="87" t="str">
        <f>IFERROR(__xludf.DUMMYFUNCTION("""COMPUTED_VALUE"""),"VIATURA")</f>
        <v>VIATURA</v>
      </c>
      <c r="E1918" s="87" t="str">
        <f>IFERROR(__xludf.DUMMYFUNCTION("""COMPUTED_VALUE"""),"1 - ABTS5911")</f>
        <v>1 - ABTS5911</v>
      </c>
      <c r="F1918" s="92" t="str">
        <f>IFERROR(__xludf.DUMMYFUNCTION("""COMPUTED_VALUE"""),"BOX SUPERIOR 01")</f>
        <v>BOX SUPERIOR 01</v>
      </c>
      <c r="G1918" s="89">
        <f>IFERROR(__xludf.DUMMYFUNCTION("""COMPUTED_VALUE"""),45525.0)</f>
        <v>45525</v>
      </c>
      <c r="H1918" s="87"/>
      <c r="I1918" s="87"/>
    </row>
    <row r="1919">
      <c r="A1919" s="84">
        <f>IFERROR(__xludf.DUMMYFUNCTION("""COMPUTED_VALUE"""),129.0)</f>
        <v>129</v>
      </c>
      <c r="B1919" s="85" t="str">
        <f>IFERROR(__xludf.DUMMYFUNCTION("""COMPUTED_VALUE"""),"PÁ DE BICO")</f>
        <v>PÁ DE BICO</v>
      </c>
      <c r="C1919" s="86">
        <f>IFERROR(__xludf.DUMMYFUNCTION("""COMPUTED_VALUE"""),1.0)</f>
        <v>1</v>
      </c>
      <c r="D1919" s="87" t="str">
        <f>IFERROR(__xludf.DUMMYFUNCTION("""COMPUTED_VALUE"""),"VIATURA")</f>
        <v>VIATURA</v>
      </c>
      <c r="E1919" s="87" t="str">
        <f>IFERROR(__xludf.DUMMYFUNCTION("""COMPUTED_VALUE"""),"1 - ABTS5911")</f>
        <v>1 - ABTS5911</v>
      </c>
      <c r="F1919" s="92" t="str">
        <f>IFERROR(__xludf.DUMMYFUNCTION("""COMPUTED_VALUE"""),"BOX SUPERIOR 01")</f>
        <v>BOX SUPERIOR 01</v>
      </c>
      <c r="G1919" s="89">
        <f>IFERROR(__xludf.DUMMYFUNCTION("""COMPUTED_VALUE"""),45525.0)</f>
        <v>45525</v>
      </c>
      <c r="H1919" s="87"/>
      <c r="I1919" s="87"/>
    </row>
    <row r="1920">
      <c r="A1920" s="84">
        <f>IFERROR(__xludf.DUMMYFUNCTION("""COMPUTED_VALUE"""),130.0)</f>
        <v>130</v>
      </c>
      <c r="B1920" s="85" t="str">
        <f>IFERROR(__xludf.DUMMYFUNCTION("""COMPUTED_VALUE"""),"PÁ QUADRADA")</f>
        <v>PÁ QUADRADA</v>
      </c>
      <c r="C1920" s="86">
        <f>IFERROR(__xludf.DUMMYFUNCTION("""COMPUTED_VALUE"""),1.0)</f>
        <v>1</v>
      </c>
      <c r="D1920" s="87" t="str">
        <f>IFERROR(__xludf.DUMMYFUNCTION("""COMPUTED_VALUE"""),"VIATURA")</f>
        <v>VIATURA</v>
      </c>
      <c r="E1920" s="87" t="str">
        <f>IFERROR(__xludf.DUMMYFUNCTION("""COMPUTED_VALUE"""),"1 - ABTS5911")</f>
        <v>1 - ABTS5911</v>
      </c>
      <c r="F1920" s="92" t="str">
        <f>IFERROR(__xludf.DUMMYFUNCTION("""COMPUTED_VALUE"""),"BOX SUPERIOR 01")</f>
        <v>BOX SUPERIOR 01</v>
      </c>
      <c r="G1920" s="89">
        <f>IFERROR(__xludf.DUMMYFUNCTION("""COMPUTED_VALUE"""),45525.0)</f>
        <v>45525</v>
      </c>
      <c r="H1920" s="87"/>
      <c r="I1920" s="87"/>
    </row>
    <row r="1921">
      <c r="A1921" s="84">
        <f>IFERROR(__xludf.DUMMYFUNCTION("""COMPUTED_VALUE"""),131.0)</f>
        <v>131</v>
      </c>
      <c r="B1921" s="85" t="str">
        <f>IFERROR(__xludf.DUMMYFUNCTION("""COMPUTED_VALUE"""),"GARFO COM 10 DENTES")</f>
        <v>GARFO COM 10 DENTES</v>
      </c>
      <c r="C1921" s="86">
        <f>IFERROR(__xludf.DUMMYFUNCTION("""COMPUTED_VALUE"""),1.0)</f>
        <v>1</v>
      </c>
      <c r="D1921" s="87" t="str">
        <f>IFERROR(__xludf.DUMMYFUNCTION("""COMPUTED_VALUE"""),"VIATURA")</f>
        <v>VIATURA</v>
      </c>
      <c r="E1921" s="87" t="str">
        <f>IFERROR(__xludf.DUMMYFUNCTION("""COMPUTED_VALUE"""),"1 - ABTS5911")</f>
        <v>1 - ABTS5911</v>
      </c>
      <c r="F1921" s="92" t="str">
        <f>IFERROR(__xludf.DUMMYFUNCTION("""COMPUTED_VALUE"""),"BOX SUPERIOR 01")</f>
        <v>BOX SUPERIOR 01</v>
      </c>
      <c r="G1921" s="89">
        <f>IFERROR(__xludf.DUMMYFUNCTION("""COMPUTED_VALUE"""),45525.0)</f>
        <v>45525</v>
      </c>
      <c r="H1921" s="87"/>
      <c r="I1921" s="87"/>
    </row>
    <row r="1922">
      <c r="A1922" s="84">
        <f>IFERROR(__xludf.DUMMYFUNCTION("""COMPUTED_VALUE"""),132.0)</f>
        <v>132</v>
      </c>
      <c r="B1922" s="85" t="str">
        <f>IFERROR(__xludf.DUMMYFUNCTION("""COMPUTED_VALUE"""),"GORGUI")</f>
        <v>GORGUI</v>
      </c>
      <c r="C1922" s="86">
        <f>IFERROR(__xludf.DUMMYFUNCTION("""COMPUTED_VALUE"""),1.0)</f>
        <v>1</v>
      </c>
      <c r="D1922" s="87" t="str">
        <f>IFERROR(__xludf.DUMMYFUNCTION("""COMPUTED_VALUE"""),"VIATURA")</f>
        <v>VIATURA</v>
      </c>
      <c r="E1922" s="87" t="str">
        <f>IFERROR(__xludf.DUMMYFUNCTION("""COMPUTED_VALUE"""),"1 - ABTS5911")</f>
        <v>1 - ABTS5911</v>
      </c>
      <c r="F1922" s="92" t="str">
        <f>IFERROR(__xludf.DUMMYFUNCTION("""COMPUTED_VALUE"""),"BOX SUPERIOR 01")</f>
        <v>BOX SUPERIOR 01</v>
      </c>
      <c r="G1922" s="89">
        <f>IFERROR(__xludf.DUMMYFUNCTION("""COMPUTED_VALUE"""),45525.0)</f>
        <v>45525</v>
      </c>
      <c r="H1922" s="87"/>
      <c r="I1922" s="87"/>
    </row>
    <row r="1923">
      <c r="A1923" s="84">
        <f>IFERROR(__xludf.DUMMYFUNCTION("""COMPUTED_VALUE"""),133.0)</f>
        <v>133</v>
      </c>
      <c r="B1923" s="85" t="str">
        <f>IFERROR(__xludf.DUMMYFUNCTION("""COMPUTED_VALUE"""),"ANEL DE FITA 120 CM")</f>
        <v>ANEL DE FITA 120 CM</v>
      </c>
      <c r="C1923" s="86">
        <f>IFERROR(__xludf.DUMMYFUNCTION("""COMPUTED_VALUE"""),6.0)</f>
        <v>6</v>
      </c>
      <c r="D1923" s="87" t="str">
        <f>IFERROR(__xludf.DUMMYFUNCTION("""COMPUTED_VALUE"""),"VIATURA")</f>
        <v>VIATURA</v>
      </c>
      <c r="E1923" s="87" t="str">
        <f>IFERROR(__xludf.DUMMYFUNCTION("""COMPUTED_VALUE"""),"1 - ABTS5911")</f>
        <v>1 - ABTS5911</v>
      </c>
      <c r="F1923" s="92" t="str">
        <f>IFERROR(__xludf.DUMMYFUNCTION("""COMPUTED_VALUE"""),"BOLSA DE SALV. ALTURA")</f>
        <v>BOLSA DE SALV. ALTURA</v>
      </c>
      <c r="G1923" s="89">
        <f>IFERROR(__xludf.DUMMYFUNCTION("""COMPUTED_VALUE"""),45525.0)</f>
        <v>45525</v>
      </c>
      <c r="H1923" s="87"/>
      <c r="I1923" s="87"/>
    </row>
    <row r="1924">
      <c r="A1924" s="84">
        <f>IFERROR(__xludf.DUMMYFUNCTION("""COMPUTED_VALUE"""),134.0)</f>
        <v>134</v>
      </c>
      <c r="B1924" s="85" t="str">
        <f>IFERROR(__xludf.DUMMYFUNCTION("""COMPUTED_VALUE"""),"ANEL DE FITA 80CM")</f>
        <v>ANEL DE FITA 80CM</v>
      </c>
      <c r="C1924" s="86">
        <f>IFERROR(__xludf.DUMMYFUNCTION("""COMPUTED_VALUE"""),3.0)</f>
        <v>3</v>
      </c>
      <c r="D1924" s="87" t="str">
        <f>IFERROR(__xludf.DUMMYFUNCTION("""COMPUTED_VALUE"""),"VIATURA")</f>
        <v>VIATURA</v>
      </c>
      <c r="E1924" s="87" t="str">
        <f>IFERROR(__xludf.DUMMYFUNCTION("""COMPUTED_VALUE"""),"1 - ABTS5911")</f>
        <v>1 - ABTS5911</v>
      </c>
      <c r="F1924" s="92" t="str">
        <f>IFERROR(__xludf.DUMMYFUNCTION("""COMPUTED_VALUE"""),"BOLSA DE SALV. ALTURA")</f>
        <v>BOLSA DE SALV. ALTURA</v>
      </c>
      <c r="G1924" s="89">
        <f>IFERROR(__xludf.DUMMYFUNCTION("""COMPUTED_VALUE"""),45525.0)</f>
        <v>45525</v>
      </c>
      <c r="H1924" s="87"/>
      <c r="I1924" s="87"/>
    </row>
    <row r="1925">
      <c r="A1925" s="84">
        <f>IFERROR(__xludf.DUMMYFUNCTION("""COMPUTED_VALUE"""),135.0)</f>
        <v>135</v>
      </c>
      <c r="B1925" s="85" t="str">
        <f>IFERROR(__xludf.DUMMYFUNCTION("""COMPUTED_VALUE"""),"ANEL DE FITA 60CM")</f>
        <v>ANEL DE FITA 60CM</v>
      </c>
      <c r="C1925" s="86">
        <f>IFERROR(__xludf.DUMMYFUNCTION("""COMPUTED_VALUE"""),3.0)</f>
        <v>3</v>
      </c>
      <c r="D1925" s="87" t="str">
        <f>IFERROR(__xludf.DUMMYFUNCTION("""COMPUTED_VALUE"""),"VIATURA")</f>
        <v>VIATURA</v>
      </c>
      <c r="E1925" s="87" t="str">
        <f>IFERROR(__xludf.DUMMYFUNCTION("""COMPUTED_VALUE"""),"1 - ABTS5911")</f>
        <v>1 - ABTS5911</v>
      </c>
      <c r="F1925" s="92" t="str">
        <f>IFERROR(__xludf.DUMMYFUNCTION("""COMPUTED_VALUE"""),"BOLSA DE SALV. ALTURA")</f>
        <v>BOLSA DE SALV. ALTURA</v>
      </c>
      <c r="G1925" s="89">
        <f>IFERROR(__xludf.DUMMYFUNCTION("""COMPUTED_VALUE"""),45525.0)</f>
        <v>45525</v>
      </c>
      <c r="H1925" s="87"/>
      <c r="I1925" s="87"/>
    </row>
    <row r="1926">
      <c r="A1926" s="84">
        <f>IFERROR(__xludf.DUMMYFUNCTION("""COMPUTED_VALUE"""),136.0)</f>
        <v>136</v>
      </c>
      <c r="B1926" s="85" t="str">
        <f>IFERROR(__xludf.DUMMYFUNCTION("""COMPUTED_VALUE"""),"POLIA DUPLA 40 KN (AZUL)")</f>
        <v>POLIA DUPLA 40 KN (AZUL)</v>
      </c>
      <c r="C1926" s="86">
        <f>IFERROR(__xludf.DUMMYFUNCTION("""COMPUTED_VALUE"""),2.0)</f>
        <v>2</v>
      </c>
      <c r="D1926" s="87" t="str">
        <f>IFERROR(__xludf.DUMMYFUNCTION("""COMPUTED_VALUE"""),"VIATURA")</f>
        <v>VIATURA</v>
      </c>
      <c r="E1926" s="87" t="str">
        <f>IFERROR(__xludf.DUMMYFUNCTION("""COMPUTED_VALUE"""),"1 - ABTS5911")</f>
        <v>1 - ABTS5911</v>
      </c>
      <c r="F1926" s="92" t="str">
        <f>IFERROR(__xludf.DUMMYFUNCTION("""COMPUTED_VALUE"""),"BOLSA DE SALV. ALTURA")</f>
        <v>BOLSA DE SALV. ALTURA</v>
      </c>
      <c r="G1926" s="89">
        <f>IFERROR(__xludf.DUMMYFUNCTION("""COMPUTED_VALUE"""),45525.0)</f>
        <v>45525</v>
      </c>
      <c r="H1926" s="87"/>
      <c r="I1926" s="87"/>
    </row>
    <row r="1927">
      <c r="A1927" s="84">
        <f>IFERROR(__xludf.DUMMYFUNCTION("""COMPUTED_VALUE"""),137.0)</f>
        <v>137</v>
      </c>
      <c r="B1927" s="85" t="str">
        <f>IFERROR(__xludf.DUMMYFUNCTION("""COMPUTED_VALUE"""),"POLIA SIMPLES 30 KN (VERMELHA/PRETA)")</f>
        <v>POLIA SIMPLES 30 KN (VERMELHA/PRETA)</v>
      </c>
      <c r="C1927" s="86">
        <f>IFERROR(__xludf.DUMMYFUNCTION("""COMPUTED_VALUE"""),3.0)</f>
        <v>3</v>
      </c>
      <c r="D1927" s="87" t="str">
        <f>IFERROR(__xludf.DUMMYFUNCTION("""COMPUTED_VALUE"""),"VIATURA")</f>
        <v>VIATURA</v>
      </c>
      <c r="E1927" s="87" t="str">
        <f>IFERROR(__xludf.DUMMYFUNCTION("""COMPUTED_VALUE"""),"1 - ABTS5911")</f>
        <v>1 - ABTS5911</v>
      </c>
      <c r="F1927" s="92" t="str">
        <f>IFERROR(__xludf.DUMMYFUNCTION("""COMPUTED_VALUE"""),"BOLSA DE SALV. ALTURA")</f>
        <v>BOLSA DE SALV. ALTURA</v>
      </c>
      <c r="G1927" s="89">
        <f>IFERROR(__xludf.DUMMYFUNCTION("""COMPUTED_VALUE"""),45525.0)</f>
        <v>45525</v>
      </c>
      <c r="H1927" s="87"/>
      <c r="I1927" s="87"/>
    </row>
    <row r="1928">
      <c r="A1928" s="84">
        <f>IFERROR(__xludf.DUMMYFUNCTION("""COMPUTED_VALUE"""),138.0)</f>
        <v>138</v>
      </c>
      <c r="B1928" s="85" t="str">
        <f>IFERROR(__xludf.DUMMYFUNCTION("""COMPUTED_VALUE"""),"POLIA TANDEM 24 KN (VERMELHA)")</f>
        <v>POLIA TANDEM 24 KN (VERMELHA)</v>
      </c>
      <c r="C1928" s="86">
        <f>IFERROR(__xludf.DUMMYFUNCTION("""COMPUTED_VALUE"""),1.0)</f>
        <v>1</v>
      </c>
      <c r="D1928" s="87" t="str">
        <f>IFERROR(__xludf.DUMMYFUNCTION("""COMPUTED_VALUE"""),"VIATURA")</f>
        <v>VIATURA</v>
      </c>
      <c r="E1928" s="87" t="str">
        <f>IFERROR(__xludf.DUMMYFUNCTION("""COMPUTED_VALUE"""),"1 - ABTS5911")</f>
        <v>1 - ABTS5911</v>
      </c>
      <c r="F1928" s="92" t="str">
        <f>IFERROR(__xludf.DUMMYFUNCTION("""COMPUTED_VALUE"""),"BOLSA DE SALV. ALTURA")</f>
        <v>BOLSA DE SALV. ALTURA</v>
      </c>
      <c r="G1928" s="89">
        <f>IFERROR(__xludf.DUMMYFUNCTION("""COMPUTED_VALUE"""),45525.0)</f>
        <v>45525</v>
      </c>
      <c r="H1928" s="87"/>
      <c r="I1928" s="87"/>
    </row>
    <row r="1929">
      <c r="A1929" s="84">
        <f>IFERROR(__xludf.DUMMYFUNCTION("""COMPUTED_VALUE"""),139.0)</f>
        <v>139</v>
      </c>
      <c r="B1929" s="85" t="str">
        <f>IFERROR(__xludf.DUMMYFUNCTION("""COMPUTED_VALUE"""),"MOSQUETÃO DE AÇO")</f>
        <v>MOSQUETÃO DE AÇO</v>
      </c>
      <c r="C1929" s="86">
        <f>IFERROR(__xludf.DUMMYFUNCTION("""COMPUTED_VALUE"""),4.0)</f>
        <v>4</v>
      </c>
      <c r="D1929" s="87" t="str">
        <f>IFERROR(__xludf.DUMMYFUNCTION("""COMPUTED_VALUE"""),"VIATURA")</f>
        <v>VIATURA</v>
      </c>
      <c r="E1929" s="87" t="str">
        <f>IFERROR(__xludf.DUMMYFUNCTION("""COMPUTED_VALUE"""),"1 - ABTS5911")</f>
        <v>1 - ABTS5911</v>
      </c>
      <c r="F1929" s="92" t="str">
        <f>IFERROR(__xludf.DUMMYFUNCTION("""COMPUTED_VALUE"""),"BOLSA DE SALV. ALTURA")</f>
        <v>BOLSA DE SALV. ALTURA</v>
      </c>
      <c r="G1929" s="89">
        <f>IFERROR(__xludf.DUMMYFUNCTION("""COMPUTED_VALUE"""),45525.0)</f>
        <v>45525</v>
      </c>
      <c r="H1929" s="87"/>
      <c r="I1929" s="87"/>
    </row>
    <row r="1930">
      <c r="A1930" s="84">
        <f>IFERROR(__xludf.DUMMYFUNCTION("""COMPUTED_VALUE"""),140.0)</f>
        <v>140</v>
      </c>
      <c r="B1930" s="85" t="str">
        <f>IFERROR(__xludf.DUMMYFUNCTION("""COMPUTED_VALUE"""),"MOSQUETÃO DE ALUMÍNIO")</f>
        <v>MOSQUETÃO DE ALUMÍNIO</v>
      </c>
      <c r="C1930" s="86">
        <f>IFERROR(__xludf.DUMMYFUNCTION("""COMPUTED_VALUE"""),2.0)</f>
        <v>2</v>
      </c>
      <c r="D1930" s="87" t="str">
        <f>IFERROR(__xludf.DUMMYFUNCTION("""COMPUTED_VALUE"""),"VIATURA")</f>
        <v>VIATURA</v>
      </c>
      <c r="E1930" s="87" t="str">
        <f>IFERROR(__xludf.DUMMYFUNCTION("""COMPUTED_VALUE"""),"1 - ABTS5911")</f>
        <v>1 - ABTS5911</v>
      </c>
      <c r="F1930" s="92" t="str">
        <f>IFERROR(__xludf.DUMMYFUNCTION("""COMPUTED_VALUE"""),"BOLSA DE SALV. ALTURA")</f>
        <v>BOLSA DE SALV. ALTURA</v>
      </c>
      <c r="G1930" s="89">
        <f>IFERROR(__xludf.DUMMYFUNCTION("""COMPUTED_VALUE"""),45525.0)</f>
        <v>45525</v>
      </c>
      <c r="H1930" s="87"/>
      <c r="I1930" s="87"/>
    </row>
    <row r="1931">
      <c r="A1931" s="84">
        <f>IFERROR(__xludf.DUMMYFUNCTION("""COMPUTED_VALUE"""),141.0)</f>
        <v>141</v>
      </c>
      <c r="B1931" s="85" t="str">
        <f>IFERROR(__xludf.DUMMYFUNCTION("""COMPUTED_VALUE"""),"CHAVE DE FENDA")</f>
        <v>CHAVE DE FENDA</v>
      </c>
      <c r="C1931" s="86">
        <f>IFERROR(__xludf.DUMMYFUNCTION("""COMPUTED_VALUE"""),1.0)</f>
        <v>1</v>
      </c>
      <c r="D1931" s="87" t="str">
        <f>IFERROR(__xludf.DUMMYFUNCTION("""COMPUTED_VALUE"""),"VIATURA")</f>
        <v>VIATURA</v>
      </c>
      <c r="E1931" s="87" t="str">
        <f>IFERROR(__xludf.DUMMYFUNCTION("""COMPUTED_VALUE"""),"1 - ASM3617")</f>
        <v>1 - ASM3617</v>
      </c>
      <c r="F1931" s="92" t="str">
        <f>IFERROR(__xludf.DUMMYFUNCTION("""COMPUTED_VALUE"""),"BOX 04")</f>
        <v>BOX 04</v>
      </c>
      <c r="G1931" s="89">
        <f>IFERROR(__xludf.DUMMYFUNCTION("""COMPUTED_VALUE"""),45525.0)</f>
        <v>45525</v>
      </c>
      <c r="H1931" s="87"/>
      <c r="I1931" s="87"/>
    </row>
    <row r="1932">
      <c r="A1932" s="84">
        <f>IFERROR(__xludf.DUMMYFUNCTION("""COMPUTED_VALUE"""),142.0)</f>
        <v>142</v>
      </c>
      <c r="B1932" s="85" t="str">
        <f>IFERROR(__xludf.DUMMYFUNCTION("""COMPUTED_VALUE"""),"CHAVE PHILIPS")</f>
        <v>CHAVE PHILIPS</v>
      </c>
      <c r="C1932" s="86">
        <f>IFERROR(__xludf.DUMMYFUNCTION("""COMPUTED_VALUE"""),4.0)</f>
        <v>4</v>
      </c>
      <c r="D1932" s="87" t="str">
        <f>IFERROR(__xludf.DUMMYFUNCTION("""COMPUTED_VALUE"""),"VIATURA")</f>
        <v>VIATURA</v>
      </c>
      <c r="E1932" s="87" t="str">
        <f>IFERROR(__xludf.DUMMYFUNCTION("""COMPUTED_VALUE"""),"1 - ASM3617")</f>
        <v>1 - ASM3617</v>
      </c>
      <c r="F1932" s="92" t="str">
        <f>IFERROR(__xludf.DUMMYFUNCTION("""COMPUTED_VALUE"""),"CAIXA DE FERRAMENTA")</f>
        <v>CAIXA DE FERRAMENTA</v>
      </c>
      <c r="G1932" s="89">
        <f>IFERROR(__xludf.DUMMYFUNCTION("""COMPUTED_VALUE"""),45525.0)</f>
        <v>45525</v>
      </c>
      <c r="H1932" s="87"/>
      <c r="I1932" s="87"/>
    </row>
    <row r="1933">
      <c r="A1933" s="84">
        <f>IFERROR(__xludf.DUMMYFUNCTION("""COMPUTED_VALUE"""),143.0)</f>
        <v>143</v>
      </c>
      <c r="B1933" s="85" t="str">
        <f>IFERROR(__xludf.DUMMYFUNCTION("""COMPUTED_VALUE"""),"ALICATE DE PRESSÃO")</f>
        <v>ALICATE DE PRESSÃO</v>
      </c>
      <c r="C1933" s="86">
        <f>IFERROR(__xludf.DUMMYFUNCTION("""COMPUTED_VALUE"""),1.0)</f>
        <v>1</v>
      </c>
      <c r="D1933" s="87" t="str">
        <f>IFERROR(__xludf.DUMMYFUNCTION("""COMPUTED_VALUE"""),"VIATURA")</f>
        <v>VIATURA</v>
      </c>
      <c r="E1933" s="87" t="str">
        <f>IFERROR(__xludf.DUMMYFUNCTION("""COMPUTED_VALUE"""),"1 - ASM3617")</f>
        <v>1 - ASM3617</v>
      </c>
      <c r="F1933" s="92" t="str">
        <f>IFERROR(__xludf.DUMMYFUNCTION("""COMPUTED_VALUE"""),"CAIXA DE FERRAMENTA")</f>
        <v>CAIXA DE FERRAMENTA</v>
      </c>
      <c r="G1933" s="89">
        <f>IFERROR(__xludf.DUMMYFUNCTION("""COMPUTED_VALUE"""),45525.0)</f>
        <v>45525</v>
      </c>
      <c r="H1933" s="87"/>
      <c r="I1933" s="87"/>
    </row>
    <row r="1934">
      <c r="A1934" s="84">
        <f>IFERROR(__xludf.DUMMYFUNCTION("""COMPUTED_VALUE"""),144.0)</f>
        <v>144</v>
      </c>
      <c r="B1934" s="85" t="str">
        <f>IFERROR(__xludf.DUMMYFUNCTION("""COMPUTED_VALUE"""),"ALICATE UNIVERSAL")</f>
        <v>ALICATE UNIVERSAL</v>
      </c>
      <c r="C1934" s="86">
        <f>IFERROR(__xludf.DUMMYFUNCTION("""COMPUTED_VALUE"""),1.0)</f>
        <v>1</v>
      </c>
      <c r="D1934" s="87" t="str">
        <f>IFERROR(__xludf.DUMMYFUNCTION("""COMPUTED_VALUE"""),"VIATURA")</f>
        <v>VIATURA</v>
      </c>
      <c r="E1934" s="87" t="str">
        <f>IFERROR(__xludf.DUMMYFUNCTION("""COMPUTED_VALUE"""),"1 - ASM3617")</f>
        <v>1 - ASM3617</v>
      </c>
      <c r="F1934" s="92" t="str">
        <f>IFERROR(__xludf.DUMMYFUNCTION("""COMPUTED_VALUE"""),"CAIXA DE FERRAMENTA")</f>
        <v>CAIXA DE FERRAMENTA</v>
      </c>
      <c r="G1934" s="89">
        <f>IFERROR(__xludf.DUMMYFUNCTION("""COMPUTED_VALUE"""),45525.0)</f>
        <v>45525</v>
      </c>
      <c r="H1934" s="87"/>
      <c r="I1934" s="87"/>
    </row>
    <row r="1935">
      <c r="A1935" s="84">
        <f>IFERROR(__xludf.DUMMYFUNCTION("""COMPUTED_VALUE"""),145.0)</f>
        <v>145</v>
      </c>
      <c r="B1935" s="85" t="str">
        <f>IFERROR(__xludf.DUMMYFUNCTION("""COMPUTED_VALUE"""),"MARTELO")</f>
        <v>MARTELO</v>
      </c>
      <c r="C1935" s="86">
        <f>IFERROR(__xludf.DUMMYFUNCTION("""COMPUTED_VALUE"""),1.0)</f>
        <v>1</v>
      </c>
      <c r="D1935" s="87" t="str">
        <f>IFERROR(__xludf.DUMMYFUNCTION("""COMPUTED_VALUE"""),"VIATURA")</f>
        <v>VIATURA</v>
      </c>
      <c r="E1935" s="87" t="str">
        <f>IFERROR(__xludf.DUMMYFUNCTION("""COMPUTED_VALUE"""),"1 - ASM3617")</f>
        <v>1 - ASM3617</v>
      </c>
      <c r="F1935" s="92" t="str">
        <f>IFERROR(__xludf.DUMMYFUNCTION("""COMPUTED_VALUE"""),"CAIXA DE FERRAMENTA")</f>
        <v>CAIXA DE FERRAMENTA</v>
      </c>
      <c r="G1935" s="89">
        <f>IFERROR(__xludf.DUMMYFUNCTION("""COMPUTED_VALUE"""),45525.0)</f>
        <v>45525</v>
      </c>
      <c r="H1935" s="87"/>
      <c r="I1935" s="87"/>
    </row>
    <row r="1936">
      <c r="A1936" s="84">
        <f>IFERROR(__xludf.DUMMYFUNCTION("""COMPUTED_VALUE"""),146.0)</f>
        <v>146</v>
      </c>
      <c r="B1936" s="85" t="str">
        <f>IFERROR(__xludf.DUMMYFUNCTION("""COMPUTED_VALUE"""),"AUTO CRIB IT")</f>
        <v>AUTO CRIB IT</v>
      </c>
      <c r="C1936" s="86">
        <f>IFERROR(__xludf.DUMMYFUNCTION("""COMPUTED_VALUE"""),2.0)</f>
        <v>2</v>
      </c>
      <c r="D1936" s="87" t="str">
        <f>IFERROR(__xludf.DUMMYFUNCTION("""COMPUTED_VALUE"""),"VIATURA")</f>
        <v>VIATURA</v>
      </c>
      <c r="E1936" s="87" t="str">
        <f>IFERROR(__xludf.DUMMYFUNCTION("""COMPUTED_VALUE"""),"1 - ASM3617")</f>
        <v>1 - ASM3617</v>
      </c>
      <c r="F1936" s="92" t="str">
        <f>IFERROR(__xludf.DUMMYFUNCTION("""COMPUTED_VALUE"""),"BOX 01")</f>
        <v>BOX 01</v>
      </c>
      <c r="G1936" s="89">
        <f>IFERROR(__xludf.DUMMYFUNCTION("""COMPUTED_VALUE"""),45723.0)</f>
        <v>45723</v>
      </c>
      <c r="H1936" s="87"/>
      <c r="I1936" s="87"/>
    </row>
    <row r="1937">
      <c r="A1937" s="84">
        <f>IFERROR(__xludf.DUMMYFUNCTION("""COMPUTED_VALUE"""),147.0)</f>
        <v>147</v>
      </c>
      <c r="B1937" s="85" t="str">
        <f>IFERROR(__xludf.DUMMYFUNCTION("""COMPUTED_VALUE"""),"BATERIAS PARA DESENCARCERADORES")</f>
        <v>BATERIAS PARA DESENCARCERADORES</v>
      </c>
      <c r="C1937" s="86">
        <f>IFERROR(__xludf.DUMMYFUNCTION("""COMPUTED_VALUE"""),3.0)</f>
        <v>3</v>
      </c>
      <c r="D1937" s="87" t="str">
        <f>IFERROR(__xludf.DUMMYFUNCTION("""COMPUTED_VALUE"""),"VIATURA")</f>
        <v>VIATURA</v>
      </c>
      <c r="E1937" s="87" t="str">
        <f>IFERROR(__xludf.DUMMYFUNCTION("""COMPUTED_VALUE"""),"1 - ASM3617")</f>
        <v>1 - ASM3617</v>
      </c>
      <c r="F1937" s="92" t="str">
        <f>IFERROR(__xludf.DUMMYFUNCTION("""COMPUTED_VALUE"""),"BOX 01")</f>
        <v>BOX 01</v>
      </c>
      <c r="G1937" s="89">
        <f>IFERROR(__xludf.DUMMYFUNCTION("""COMPUTED_VALUE"""),45525.0)</f>
        <v>45525</v>
      </c>
      <c r="H1937" s="87"/>
      <c r="I1937" s="87"/>
    </row>
    <row r="1938">
      <c r="A1938" s="84">
        <f>IFERROR(__xludf.DUMMYFUNCTION("""COMPUTED_VALUE"""),148.0)</f>
        <v>148</v>
      </c>
      <c r="B1938" s="85" t="str">
        <f>IFERROR(__xludf.DUMMYFUNCTION("""COMPUTED_VALUE"""),"ALICATE DE CORTE 8""")</f>
        <v>ALICATE DE CORTE 8"</v>
      </c>
      <c r="C1938" s="86">
        <f>IFERROR(__xludf.DUMMYFUNCTION("""COMPUTED_VALUE"""),1.0)</f>
        <v>1</v>
      </c>
      <c r="D1938" s="87" t="str">
        <f>IFERROR(__xludf.DUMMYFUNCTION("""COMPUTED_VALUE"""),"VIATURA")</f>
        <v>VIATURA</v>
      </c>
      <c r="E1938" s="87" t="str">
        <f>IFERROR(__xludf.DUMMYFUNCTION("""COMPUTED_VALUE"""),"1 - ASM3617")</f>
        <v>1 - ASM3617</v>
      </c>
      <c r="F1938" s="92" t="str">
        <f>IFERROR(__xludf.DUMMYFUNCTION("""COMPUTED_VALUE"""),"CAIXA DE FERRAMENTA")</f>
        <v>CAIXA DE FERRAMENTA</v>
      </c>
      <c r="G1938" s="89">
        <f>IFERROR(__xludf.DUMMYFUNCTION("""COMPUTED_VALUE"""),45525.0)</f>
        <v>45525</v>
      </c>
      <c r="H1938" s="87"/>
      <c r="I1938" s="87"/>
    </row>
    <row r="1939">
      <c r="A1939" s="84">
        <f>IFERROR(__xludf.DUMMYFUNCTION("""COMPUTED_VALUE"""),149.0)</f>
        <v>149</v>
      </c>
      <c r="B1939" s="85" t="str">
        <f>IFERROR(__xludf.DUMMYFUNCTION("""COMPUTED_VALUE"""),"CORTA FRIO 14''")</f>
        <v>CORTA FRIO 14''</v>
      </c>
      <c r="C1939" s="86">
        <f>IFERROR(__xludf.DUMMYFUNCTION("""COMPUTED_VALUE"""),1.0)</f>
        <v>1</v>
      </c>
      <c r="D1939" s="87" t="str">
        <f>IFERROR(__xludf.DUMMYFUNCTION("""COMPUTED_VALUE"""),"VIATURA")</f>
        <v>VIATURA</v>
      </c>
      <c r="E1939" s="87" t="str">
        <f>IFERROR(__xludf.DUMMYFUNCTION("""COMPUTED_VALUE"""),"1 - ASM3617")</f>
        <v>1 - ASM3617</v>
      </c>
      <c r="F1939" s="92" t="str">
        <f>IFERROR(__xludf.DUMMYFUNCTION("""COMPUTED_VALUE"""),"CAIXA DE FERRAMENTA")</f>
        <v>CAIXA DE FERRAMENTA</v>
      </c>
      <c r="G1939" s="89">
        <f>IFERROR(__xludf.DUMMYFUNCTION("""COMPUTED_VALUE"""),45525.0)</f>
        <v>45525</v>
      </c>
      <c r="H1939" s="87"/>
      <c r="I1939" s="87"/>
    </row>
    <row r="1940">
      <c r="A1940" s="84">
        <f>IFERROR(__xludf.DUMMYFUNCTION("""COMPUTED_VALUE"""),150.0)</f>
        <v>150</v>
      </c>
      <c r="B1940" s="85" t="str">
        <f>IFERROR(__xludf.DUMMYFUNCTION("""COMPUTED_VALUE"""),"CHAVE DE GRIFO 14""")</f>
        <v>CHAVE DE GRIFO 14"</v>
      </c>
      <c r="C1940" s="86">
        <f>IFERROR(__xludf.DUMMYFUNCTION("""COMPUTED_VALUE"""),1.0)</f>
        <v>1</v>
      </c>
      <c r="D1940" s="87" t="str">
        <f>IFERROR(__xludf.DUMMYFUNCTION("""COMPUTED_VALUE"""),"VIATURA")</f>
        <v>VIATURA</v>
      </c>
      <c r="E1940" s="87" t="str">
        <f>IFERROR(__xludf.DUMMYFUNCTION("""COMPUTED_VALUE"""),"1 - ASM3617")</f>
        <v>1 - ASM3617</v>
      </c>
      <c r="F1940" s="92" t="str">
        <f>IFERROR(__xludf.DUMMYFUNCTION("""COMPUTED_VALUE"""),"CAIXA DE FERRAMENTA")</f>
        <v>CAIXA DE FERRAMENTA</v>
      </c>
      <c r="G1940" s="89">
        <f>IFERROR(__xludf.DUMMYFUNCTION("""COMPUTED_VALUE"""),45525.0)</f>
        <v>45525</v>
      </c>
      <c r="H1940" s="87"/>
      <c r="I1940" s="87"/>
    </row>
    <row r="1941">
      <c r="A1941" s="84">
        <f>IFERROR(__xludf.DUMMYFUNCTION("""COMPUTED_VALUE"""),151.0)</f>
        <v>151</v>
      </c>
      <c r="B1941" s="85" t="str">
        <f>IFERROR(__xludf.DUMMYFUNCTION("""COMPUTED_VALUE"""),"AMBÚ  ADULTO")</f>
        <v>AMBÚ  ADULTO</v>
      </c>
      <c r="C1941" s="86">
        <f>IFERROR(__xludf.DUMMYFUNCTION("""COMPUTED_VALUE"""),1.0)</f>
        <v>1</v>
      </c>
      <c r="D1941" s="87" t="str">
        <f>IFERROR(__xludf.DUMMYFUNCTION("""COMPUTED_VALUE"""),"VIATURA")</f>
        <v>VIATURA</v>
      </c>
      <c r="E1941" s="87" t="str">
        <f>IFERROR(__xludf.DUMMYFUNCTION("""COMPUTED_VALUE"""),"1 - ABTS5911")</f>
        <v>1 - ABTS5911</v>
      </c>
      <c r="F1941" s="92" t="str">
        <f>IFERROR(__xludf.DUMMYFUNCTION("""COMPUTED_VALUE"""),"BOLSA DE RESGATE")</f>
        <v>BOLSA DE RESGATE</v>
      </c>
      <c r="G1941" s="89">
        <f>IFERROR(__xludf.DUMMYFUNCTION("""COMPUTED_VALUE"""),45525.0)</f>
        <v>45525</v>
      </c>
      <c r="H1941" s="87"/>
      <c r="I1941" s="87"/>
    </row>
    <row r="1942">
      <c r="A1942" s="84">
        <f>IFERROR(__xludf.DUMMYFUNCTION("""COMPUTED_VALUE"""),152.0)</f>
        <v>152</v>
      </c>
      <c r="B1942" s="85" t="str">
        <f>IFERROR(__xludf.DUMMYFUNCTION("""COMPUTED_VALUE"""),"ASPIRADOR DE SECREÇÃO MANUAL TIPO PERA")</f>
        <v>ASPIRADOR DE SECREÇÃO MANUAL TIPO PERA</v>
      </c>
      <c r="C1942" s="86">
        <f>IFERROR(__xludf.DUMMYFUNCTION("""COMPUTED_VALUE"""),1.0)</f>
        <v>1</v>
      </c>
      <c r="D1942" s="87" t="str">
        <f>IFERROR(__xludf.DUMMYFUNCTION("""COMPUTED_VALUE"""),"VIATURA")</f>
        <v>VIATURA</v>
      </c>
      <c r="E1942" s="87" t="str">
        <f>IFERROR(__xludf.DUMMYFUNCTION("""COMPUTED_VALUE"""),"1 - ABTS5911")</f>
        <v>1 - ABTS5911</v>
      </c>
      <c r="F1942" s="92" t="str">
        <f>IFERROR(__xludf.DUMMYFUNCTION("""COMPUTED_VALUE"""),"BOLSA DE RESGATE")</f>
        <v>BOLSA DE RESGATE</v>
      </c>
      <c r="G1942" s="89">
        <f>IFERROR(__xludf.DUMMYFUNCTION("""COMPUTED_VALUE"""),45525.0)</f>
        <v>45525</v>
      </c>
      <c r="H1942" s="87"/>
      <c r="I1942" s="87"/>
    </row>
    <row r="1943">
      <c r="A1943" s="84">
        <f>IFERROR(__xludf.DUMMYFUNCTION("""COMPUTED_VALUE"""),153.0)</f>
        <v>153</v>
      </c>
      <c r="B1943" s="85" t="str">
        <f>IFERROR(__xludf.DUMMYFUNCTION("""COMPUTED_VALUE"""),"TORNIQUETE")</f>
        <v>TORNIQUETE</v>
      </c>
      <c r="C1943" s="86">
        <f>IFERROR(__xludf.DUMMYFUNCTION("""COMPUTED_VALUE"""),1.0)</f>
        <v>1</v>
      </c>
      <c r="D1943" s="87" t="str">
        <f>IFERROR(__xludf.DUMMYFUNCTION("""COMPUTED_VALUE"""),"VIATURA")</f>
        <v>VIATURA</v>
      </c>
      <c r="E1943" s="87" t="str">
        <f>IFERROR(__xludf.DUMMYFUNCTION("""COMPUTED_VALUE"""),"1 - ABTS5911")</f>
        <v>1 - ABTS5911</v>
      </c>
      <c r="F1943" s="92" t="str">
        <f>IFERROR(__xludf.DUMMYFUNCTION("""COMPUTED_VALUE"""),"BOLSA DE RESGATE")</f>
        <v>BOLSA DE RESGATE</v>
      </c>
      <c r="G1943" s="89">
        <f>IFERROR(__xludf.DUMMYFUNCTION("""COMPUTED_VALUE"""),45525.0)</f>
        <v>45525</v>
      </c>
      <c r="H1943" s="87"/>
      <c r="I1943" s="87"/>
    </row>
    <row r="1944">
      <c r="A1944" s="84">
        <f>IFERROR(__xludf.DUMMYFUNCTION("""COMPUTED_VALUE"""),154.0)</f>
        <v>154</v>
      </c>
      <c r="B1944" s="85" t="str">
        <f>IFERROR(__xludf.DUMMYFUNCTION("""COMPUTED_VALUE"""),"ÓCULOS DE PROTEÇÃO")</f>
        <v>ÓCULOS DE PROTEÇÃO</v>
      </c>
      <c r="C1944" s="86">
        <f>IFERROR(__xludf.DUMMYFUNCTION("""COMPUTED_VALUE"""),3.0)</f>
        <v>3</v>
      </c>
      <c r="D1944" s="87" t="str">
        <f>IFERROR(__xludf.DUMMYFUNCTION("""COMPUTED_VALUE"""),"VIATURA")</f>
        <v>VIATURA</v>
      </c>
      <c r="E1944" s="87" t="str">
        <f>IFERROR(__xludf.DUMMYFUNCTION("""COMPUTED_VALUE"""),"1 - ABTS5911")</f>
        <v>1 - ABTS5911</v>
      </c>
      <c r="F1944" s="92" t="str">
        <f>IFERROR(__xludf.DUMMYFUNCTION("""COMPUTED_VALUE"""),"BOLSA DE RESGATE")</f>
        <v>BOLSA DE RESGATE</v>
      </c>
      <c r="G1944" s="89">
        <f>IFERROR(__xludf.DUMMYFUNCTION("""COMPUTED_VALUE"""),45525.0)</f>
        <v>45525</v>
      </c>
      <c r="H1944" s="87"/>
      <c r="I1944" s="87"/>
    </row>
    <row r="1945">
      <c r="A1945" s="84">
        <f>IFERROR(__xludf.DUMMYFUNCTION("""COMPUTED_VALUE"""),155.0)</f>
        <v>155</v>
      </c>
      <c r="B1945" s="85" t="str">
        <f>IFERROR(__xludf.DUMMYFUNCTION("""COMPUTED_VALUE"""),"CÂNULAS DE GUEDEL  Nº 0, 2, 3, 4, 5")</f>
        <v>CÂNULAS DE GUEDEL  Nº 0, 2, 3, 4, 5</v>
      </c>
      <c r="C1945" s="86">
        <f>IFERROR(__xludf.DUMMYFUNCTION("""COMPUTED_VALUE"""),5.0)</f>
        <v>5</v>
      </c>
      <c r="D1945" s="87" t="str">
        <f>IFERROR(__xludf.DUMMYFUNCTION("""COMPUTED_VALUE"""),"VIATURA")</f>
        <v>VIATURA</v>
      </c>
      <c r="E1945" s="87" t="str">
        <f>IFERROR(__xludf.DUMMYFUNCTION("""COMPUTED_VALUE"""),"1 - ABTS5911")</f>
        <v>1 - ABTS5911</v>
      </c>
      <c r="F1945" s="92" t="str">
        <f>IFERROR(__xludf.DUMMYFUNCTION("""COMPUTED_VALUE"""),"BOLSA DE RESGATE")</f>
        <v>BOLSA DE RESGATE</v>
      </c>
      <c r="G1945" s="89">
        <f>IFERROR(__xludf.DUMMYFUNCTION("""COMPUTED_VALUE"""),45525.0)</f>
        <v>45525</v>
      </c>
      <c r="H1945" s="87"/>
      <c r="I1945" s="87"/>
    </row>
    <row r="1946">
      <c r="A1946" s="84">
        <f>IFERROR(__xludf.DUMMYFUNCTION("""COMPUTED_VALUE"""),156.0)</f>
        <v>156</v>
      </c>
      <c r="B1946" s="85" t="str">
        <f>IFERROR(__xludf.DUMMYFUNCTION("""COMPUTED_VALUE"""),"KIT QUEIMADURA")</f>
        <v>KIT QUEIMADURA</v>
      </c>
      <c r="C1946" s="86">
        <f>IFERROR(__xludf.DUMMYFUNCTION("""COMPUTED_VALUE"""),1.0)</f>
        <v>1</v>
      </c>
      <c r="D1946" s="87" t="str">
        <f>IFERROR(__xludf.DUMMYFUNCTION("""COMPUTED_VALUE"""),"VIATURA")</f>
        <v>VIATURA</v>
      </c>
      <c r="E1946" s="87" t="str">
        <f>IFERROR(__xludf.DUMMYFUNCTION("""COMPUTED_VALUE"""),"1 - ABTS5911")</f>
        <v>1 - ABTS5911</v>
      </c>
      <c r="F1946" s="92" t="str">
        <f>IFERROR(__xludf.DUMMYFUNCTION("""COMPUTED_VALUE"""),"BOLSA DE RESGATE")</f>
        <v>BOLSA DE RESGATE</v>
      </c>
      <c r="G1946" s="89">
        <f>IFERROR(__xludf.DUMMYFUNCTION("""COMPUTED_VALUE"""),45525.0)</f>
        <v>45525</v>
      </c>
      <c r="H1946" s="87"/>
      <c r="I1946" s="87"/>
    </row>
    <row r="1947">
      <c r="A1947" s="84">
        <f>IFERROR(__xludf.DUMMYFUNCTION("""COMPUTED_VALUE"""),157.0)</f>
        <v>157</v>
      </c>
      <c r="B1947" s="85" t="str">
        <f>IFERROR(__xludf.DUMMYFUNCTION("""COMPUTED_VALUE"""),"KIT PARA PARTO -")</f>
        <v>KIT PARA PARTO -</v>
      </c>
      <c r="C1947" s="86">
        <f>IFERROR(__xludf.DUMMYFUNCTION("""COMPUTED_VALUE"""),1.0)</f>
        <v>1</v>
      </c>
      <c r="D1947" s="87" t="str">
        <f>IFERROR(__xludf.DUMMYFUNCTION("""COMPUTED_VALUE"""),"VIATURA")</f>
        <v>VIATURA</v>
      </c>
      <c r="E1947" s="87" t="str">
        <f>IFERROR(__xludf.DUMMYFUNCTION("""COMPUTED_VALUE"""),"1 - ABTS5911")</f>
        <v>1 - ABTS5911</v>
      </c>
      <c r="F1947" s="92" t="str">
        <f>IFERROR(__xludf.DUMMYFUNCTION("""COMPUTED_VALUE"""),"BOLSA DE RESGATE")</f>
        <v>BOLSA DE RESGATE</v>
      </c>
      <c r="G1947" s="89">
        <f>IFERROR(__xludf.DUMMYFUNCTION("""COMPUTED_VALUE"""),45525.0)</f>
        <v>45525</v>
      </c>
      <c r="H1947" s="87"/>
      <c r="I1947" s="87"/>
    </row>
    <row r="1948">
      <c r="A1948" s="84">
        <f>IFERROR(__xludf.DUMMYFUNCTION("""COMPUTED_VALUE"""),158.0)</f>
        <v>158</v>
      </c>
      <c r="B1948" s="85" t="str">
        <f>IFERROR(__xludf.DUMMYFUNCTION("""COMPUTED_VALUE"""),"FRASCO DE ÁLCOOL 70% 250ML")</f>
        <v>FRASCO DE ÁLCOOL 70% 250ML</v>
      </c>
      <c r="C1948" s="86">
        <f>IFERROR(__xludf.DUMMYFUNCTION("""COMPUTED_VALUE"""),2.0)</f>
        <v>2</v>
      </c>
      <c r="D1948" s="87" t="str">
        <f>IFERROR(__xludf.DUMMYFUNCTION("""COMPUTED_VALUE"""),"VIATURA")</f>
        <v>VIATURA</v>
      </c>
      <c r="E1948" s="87" t="str">
        <f>IFERROR(__xludf.DUMMYFUNCTION("""COMPUTED_VALUE"""),"1 - ABTS5911")</f>
        <v>1 - ABTS5911</v>
      </c>
      <c r="F1948" s="92" t="str">
        <f>IFERROR(__xludf.DUMMYFUNCTION("""COMPUTED_VALUE"""),"BOLSA DE RESGATE")</f>
        <v>BOLSA DE RESGATE</v>
      </c>
      <c r="G1948" s="89">
        <f>IFERROR(__xludf.DUMMYFUNCTION("""COMPUTED_VALUE"""),45525.0)</f>
        <v>45525</v>
      </c>
      <c r="H1948" s="87"/>
      <c r="I1948" s="87"/>
    </row>
    <row r="1949">
      <c r="A1949" s="84">
        <f>IFERROR(__xludf.DUMMYFUNCTION("""COMPUTED_VALUE"""),159.0)</f>
        <v>159</v>
      </c>
      <c r="B1949" s="85" t="str">
        <f>IFERROR(__xludf.DUMMYFUNCTION("""COMPUTED_VALUE"""),"CAMPO OPERATÓRIO")</f>
        <v>CAMPO OPERATÓRIO</v>
      </c>
      <c r="C1949" s="86">
        <f>IFERROR(__xludf.DUMMYFUNCTION("""COMPUTED_VALUE"""),2.0)</f>
        <v>2</v>
      </c>
      <c r="D1949" s="87" t="str">
        <f>IFERROR(__xludf.DUMMYFUNCTION("""COMPUTED_VALUE"""),"VIATURA")</f>
        <v>VIATURA</v>
      </c>
      <c r="E1949" s="87" t="str">
        <f>IFERROR(__xludf.DUMMYFUNCTION("""COMPUTED_VALUE"""),"1 - ABTS5911")</f>
        <v>1 - ABTS5911</v>
      </c>
      <c r="F1949" s="92" t="str">
        <f>IFERROR(__xludf.DUMMYFUNCTION("""COMPUTED_VALUE"""),"BOLSA DE RESGATE")</f>
        <v>BOLSA DE RESGATE</v>
      </c>
      <c r="G1949" s="89">
        <f>IFERROR(__xludf.DUMMYFUNCTION("""COMPUTED_VALUE"""),45525.0)</f>
        <v>45525</v>
      </c>
      <c r="H1949" s="87"/>
      <c r="I1949" s="87"/>
    </row>
    <row r="1950">
      <c r="A1950" s="84">
        <f>IFERROR(__xludf.DUMMYFUNCTION("""COMPUTED_VALUE"""),160.0)</f>
        <v>160</v>
      </c>
      <c r="B1950" s="85" t="str">
        <f>IFERROR(__xludf.DUMMYFUNCTION("""COMPUTED_VALUE"""),"ATADURAS")</f>
        <v>ATADURAS</v>
      </c>
      <c r="C1950" s="86">
        <f>IFERROR(__xludf.DUMMYFUNCTION("""COMPUTED_VALUE"""),10.0)</f>
        <v>10</v>
      </c>
      <c r="D1950" s="87" t="str">
        <f>IFERROR(__xludf.DUMMYFUNCTION("""COMPUTED_VALUE"""),"VIATURA")</f>
        <v>VIATURA</v>
      </c>
      <c r="E1950" s="87" t="str">
        <f>IFERROR(__xludf.DUMMYFUNCTION("""COMPUTED_VALUE"""),"1 - ABTS5911")</f>
        <v>1 - ABTS5911</v>
      </c>
      <c r="F1950" s="92" t="str">
        <f>IFERROR(__xludf.DUMMYFUNCTION("""COMPUTED_VALUE"""),"BOLSA DE RESGATE")</f>
        <v>BOLSA DE RESGATE</v>
      </c>
      <c r="G1950" s="89">
        <f>IFERROR(__xludf.DUMMYFUNCTION("""COMPUTED_VALUE"""),45525.0)</f>
        <v>45525</v>
      </c>
      <c r="H1950" s="87"/>
      <c r="I1950" s="87"/>
    </row>
    <row r="1951">
      <c r="A1951" s="84">
        <f>IFERROR(__xludf.DUMMYFUNCTION("""COMPUTED_VALUE"""),161.0)</f>
        <v>161</v>
      </c>
      <c r="B1951" s="85" t="str">
        <f>IFERROR(__xludf.DUMMYFUNCTION("""COMPUTED_VALUE"""),"CAIXA DE LUVAS DESCARTÁVEIS G")</f>
        <v>CAIXA DE LUVAS DESCARTÁVEIS G</v>
      </c>
      <c r="C1951" s="86">
        <f>IFERROR(__xludf.DUMMYFUNCTION("""COMPUTED_VALUE"""),1.0)</f>
        <v>1</v>
      </c>
      <c r="D1951" s="87" t="str">
        <f>IFERROR(__xludf.DUMMYFUNCTION("""COMPUTED_VALUE"""),"VIATURA")</f>
        <v>VIATURA</v>
      </c>
      <c r="E1951" s="87" t="str">
        <f>IFERROR(__xludf.DUMMYFUNCTION("""COMPUTED_VALUE"""),"1 - ABTS5911")</f>
        <v>1 - ABTS5911</v>
      </c>
      <c r="F1951" s="92" t="str">
        <f>IFERROR(__xludf.DUMMYFUNCTION("""COMPUTED_VALUE"""),"BOLSA DE RESGATE")</f>
        <v>BOLSA DE RESGATE</v>
      </c>
      <c r="G1951" s="89">
        <f>IFERROR(__xludf.DUMMYFUNCTION("""COMPUTED_VALUE"""),45525.0)</f>
        <v>45525</v>
      </c>
      <c r="H1951" s="87"/>
      <c r="I1951" s="87"/>
    </row>
    <row r="1952">
      <c r="A1952" s="84">
        <f>IFERROR(__xludf.DUMMYFUNCTION("""COMPUTED_VALUE"""),162.0)</f>
        <v>162</v>
      </c>
      <c r="B1952" s="85" t="str">
        <f>IFERROR(__xludf.DUMMYFUNCTION("""COMPUTED_VALUE"""),"CAIXA DE LUVAS DESCARTÁVEIS M")</f>
        <v>CAIXA DE LUVAS DESCARTÁVEIS M</v>
      </c>
      <c r="C1952" s="86">
        <f>IFERROR(__xludf.DUMMYFUNCTION("""COMPUTED_VALUE"""),1.0)</f>
        <v>1</v>
      </c>
      <c r="D1952" s="87" t="str">
        <f>IFERROR(__xludf.DUMMYFUNCTION("""COMPUTED_VALUE"""),"VIATURA")</f>
        <v>VIATURA</v>
      </c>
      <c r="E1952" s="87" t="str">
        <f>IFERROR(__xludf.DUMMYFUNCTION("""COMPUTED_VALUE"""),"1 - ABTS5911")</f>
        <v>1 - ABTS5911</v>
      </c>
      <c r="F1952" s="92" t="str">
        <f>IFERROR(__xludf.DUMMYFUNCTION("""COMPUTED_VALUE"""),"BOLSA DE RESGATE")</f>
        <v>BOLSA DE RESGATE</v>
      </c>
      <c r="G1952" s="89">
        <f>IFERROR(__xludf.DUMMYFUNCTION("""COMPUTED_VALUE"""),45525.0)</f>
        <v>45525</v>
      </c>
      <c r="H1952" s="87"/>
      <c r="I1952" s="87"/>
    </row>
    <row r="1953">
      <c r="A1953" s="84">
        <f>IFERROR(__xludf.DUMMYFUNCTION("""COMPUTED_VALUE"""),163.0)</f>
        <v>163</v>
      </c>
      <c r="B1953" s="85" t="str">
        <f>IFERROR(__xludf.DUMMYFUNCTION("""COMPUTED_VALUE"""),"CAIXA DE MASCARAS TRIPLA DESCARTÁVEL")</f>
        <v>CAIXA DE MASCARAS TRIPLA DESCARTÁVEL</v>
      </c>
      <c r="C1953" s="86">
        <f>IFERROR(__xludf.DUMMYFUNCTION("""COMPUTED_VALUE"""),1.0)</f>
        <v>1</v>
      </c>
      <c r="D1953" s="87" t="str">
        <f>IFERROR(__xludf.DUMMYFUNCTION("""COMPUTED_VALUE"""),"VIATURA")</f>
        <v>VIATURA</v>
      </c>
      <c r="E1953" s="87" t="str">
        <f>IFERROR(__xludf.DUMMYFUNCTION("""COMPUTED_VALUE"""),"1 - ABTS5911")</f>
        <v>1 - ABTS5911</v>
      </c>
      <c r="F1953" s="92" t="str">
        <f>IFERROR(__xludf.DUMMYFUNCTION("""COMPUTED_VALUE"""),"BOLSA DE RESGATE")</f>
        <v>BOLSA DE RESGATE</v>
      </c>
      <c r="G1953" s="89">
        <f>IFERROR(__xludf.DUMMYFUNCTION("""COMPUTED_VALUE"""),45525.0)</f>
        <v>45525</v>
      </c>
      <c r="H1953" s="87"/>
      <c r="I1953" s="87"/>
    </row>
    <row r="1954">
      <c r="A1954" s="84">
        <f>IFERROR(__xludf.DUMMYFUNCTION("""COMPUTED_VALUE"""),164.0)</f>
        <v>164</v>
      </c>
      <c r="B1954" s="85" t="str">
        <f>IFERROR(__xludf.DUMMYFUNCTION("""COMPUTED_VALUE"""),"ESPARADRAPO")</f>
        <v>ESPARADRAPO</v>
      </c>
      <c r="C1954" s="86">
        <f>IFERROR(__xludf.DUMMYFUNCTION("""COMPUTED_VALUE"""),1.0)</f>
        <v>1</v>
      </c>
      <c r="D1954" s="87" t="str">
        <f>IFERROR(__xludf.DUMMYFUNCTION("""COMPUTED_VALUE"""),"VIATURA")</f>
        <v>VIATURA</v>
      </c>
      <c r="E1954" s="87" t="str">
        <f>IFERROR(__xludf.DUMMYFUNCTION("""COMPUTED_VALUE"""),"1 - ABTS5911")</f>
        <v>1 - ABTS5911</v>
      </c>
      <c r="F1954" s="92" t="str">
        <f>IFERROR(__xludf.DUMMYFUNCTION("""COMPUTED_VALUE"""),"BOLSA DE RESGATE")</f>
        <v>BOLSA DE RESGATE</v>
      </c>
      <c r="G1954" s="89">
        <f>IFERROR(__xludf.DUMMYFUNCTION("""COMPUTED_VALUE"""),45525.0)</f>
        <v>45525</v>
      </c>
      <c r="H1954" s="87"/>
      <c r="I1954" s="87"/>
    </row>
    <row r="1955">
      <c r="A1955" s="84">
        <f>IFERROR(__xludf.DUMMYFUNCTION("""COMPUTED_VALUE"""),165.0)</f>
        <v>165</v>
      </c>
      <c r="B1955" s="85" t="str">
        <f>IFERROR(__xludf.DUMMYFUNCTION("""COMPUTED_VALUE"""),"MANTA ALUMINIZADA")</f>
        <v>MANTA ALUMINIZADA</v>
      </c>
      <c r="C1955" s="86">
        <f>IFERROR(__xludf.DUMMYFUNCTION("""COMPUTED_VALUE"""),1.0)</f>
        <v>1</v>
      </c>
      <c r="D1955" s="87" t="str">
        <f>IFERROR(__xludf.DUMMYFUNCTION("""COMPUTED_VALUE"""),"VIATURA")</f>
        <v>VIATURA</v>
      </c>
      <c r="E1955" s="87" t="str">
        <f>IFERROR(__xludf.DUMMYFUNCTION("""COMPUTED_VALUE"""),"1 - ABTS5911")</f>
        <v>1 - ABTS5911</v>
      </c>
      <c r="F1955" s="92" t="str">
        <f>IFERROR(__xludf.DUMMYFUNCTION("""COMPUTED_VALUE"""),"BOLSA DE RESGATE")</f>
        <v>BOLSA DE RESGATE</v>
      </c>
      <c r="G1955" s="89">
        <f>IFERROR(__xludf.DUMMYFUNCTION("""COMPUTED_VALUE"""),45525.0)</f>
        <v>45525</v>
      </c>
      <c r="H1955" s="87"/>
      <c r="I1955" s="87"/>
    </row>
    <row r="1956">
      <c r="A1956" s="84">
        <f>IFERROR(__xludf.DUMMYFUNCTION("""COMPUTED_VALUE"""),166.0)</f>
        <v>166</v>
      </c>
      <c r="B1956" s="85" t="str">
        <f>IFERROR(__xludf.DUMMYFUNCTION("""COMPUTED_VALUE"""),"PERA DE SUCÇÃO")</f>
        <v>PERA DE SUCÇÃO</v>
      </c>
      <c r="C1956" s="86">
        <f>IFERROR(__xludf.DUMMYFUNCTION("""COMPUTED_VALUE"""),1.0)</f>
        <v>1</v>
      </c>
      <c r="D1956" s="87" t="str">
        <f>IFERROR(__xludf.DUMMYFUNCTION("""COMPUTED_VALUE"""),"VIATURA")</f>
        <v>VIATURA</v>
      </c>
      <c r="E1956" s="87" t="str">
        <f>IFERROR(__xludf.DUMMYFUNCTION("""COMPUTED_VALUE"""),"1 - ABTS5911")</f>
        <v>1 - ABTS5911</v>
      </c>
      <c r="F1956" s="92" t="str">
        <f>IFERROR(__xludf.DUMMYFUNCTION("""COMPUTED_VALUE"""),"BOLSA DE RESGATE")</f>
        <v>BOLSA DE RESGATE</v>
      </c>
      <c r="G1956" s="89">
        <f>IFERROR(__xludf.DUMMYFUNCTION("""COMPUTED_VALUE"""),45525.0)</f>
        <v>45525</v>
      </c>
      <c r="H1956" s="87"/>
      <c r="I1956" s="87"/>
    </row>
    <row r="1957">
      <c r="A1957" s="84">
        <f>IFERROR(__xludf.DUMMYFUNCTION("""COMPUTED_VALUE"""),167.0)</f>
        <v>167</v>
      </c>
      <c r="B1957" s="85" t="str">
        <f>IFERROR(__xludf.DUMMYFUNCTION("""COMPUTED_VALUE"""),"COLAR CERVICAL")</f>
        <v>COLAR CERVICAL</v>
      </c>
      <c r="C1957" s="86">
        <f>IFERROR(__xludf.DUMMYFUNCTION("""COMPUTED_VALUE"""),3.0)</f>
        <v>3</v>
      </c>
      <c r="D1957" s="87" t="str">
        <f>IFERROR(__xludf.DUMMYFUNCTION("""COMPUTED_VALUE"""),"VIATURA")</f>
        <v>VIATURA</v>
      </c>
      <c r="E1957" s="87" t="str">
        <f>IFERROR(__xludf.DUMMYFUNCTION("""COMPUTED_VALUE"""),"1 - ABTS5911")</f>
        <v>1 - ABTS5911</v>
      </c>
      <c r="F1957" s="92" t="str">
        <f>IFERROR(__xludf.DUMMYFUNCTION("""COMPUTED_VALUE"""),"BOLSA DE RESGATE")</f>
        <v>BOLSA DE RESGATE</v>
      </c>
      <c r="G1957" s="89">
        <f>IFERROR(__xludf.DUMMYFUNCTION("""COMPUTED_VALUE"""),45525.0)</f>
        <v>45525</v>
      </c>
      <c r="H1957" s="87"/>
      <c r="I1957" s="87"/>
    </row>
    <row r="1958">
      <c r="A1958" s="84">
        <f>IFERROR(__xludf.DUMMYFUNCTION("""COMPUTED_VALUE"""),168.0)</f>
        <v>168</v>
      </c>
      <c r="B1958" s="85" t="str">
        <f>IFERROR(__xludf.DUMMYFUNCTION("""COMPUTED_VALUE"""),"ABRIDOR DE MANDÍBULA")</f>
        <v>ABRIDOR DE MANDÍBULA</v>
      </c>
      <c r="C1958" s="86">
        <f>IFERROR(__xludf.DUMMYFUNCTION("""COMPUTED_VALUE"""),1.0)</f>
        <v>1</v>
      </c>
      <c r="D1958" s="87" t="str">
        <f>IFERROR(__xludf.DUMMYFUNCTION("""COMPUTED_VALUE"""),"VIATURA")</f>
        <v>VIATURA</v>
      </c>
      <c r="E1958" s="87" t="str">
        <f>IFERROR(__xludf.DUMMYFUNCTION("""COMPUTED_VALUE"""),"1 - ABTS5911")</f>
        <v>1 - ABTS5911</v>
      </c>
      <c r="F1958" s="92" t="str">
        <f>IFERROR(__xludf.DUMMYFUNCTION("""COMPUTED_VALUE"""),"BOLSA DE RESGATE")</f>
        <v>BOLSA DE RESGATE</v>
      </c>
      <c r="G1958" s="89">
        <f>IFERROR(__xludf.DUMMYFUNCTION("""COMPUTED_VALUE"""),45525.0)</f>
        <v>45525</v>
      </c>
      <c r="H1958" s="87"/>
      <c r="I1958" s="87"/>
    </row>
    <row r="1959">
      <c r="A1959" s="84">
        <f>IFERROR(__xludf.DUMMYFUNCTION("""COMPUTED_VALUE"""),169.0)</f>
        <v>169</v>
      </c>
      <c r="B1959" s="85" t="str">
        <f>IFERROR(__xludf.DUMMYFUNCTION("""COMPUTED_VALUE"""),"PRANCHA LONGA")</f>
        <v>PRANCHA LONGA</v>
      </c>
      <c r="C1959" s="86">
        <f>IFERROR(__xludf.DUMMYFUNCTION("""COMPUTED_VALUE"""),1.0)</f>
        <v>1</v>
      </c>
      <c r="D1959" s="87" t="str">
        <f>IFERROR(__xludf.DUMMYFUNCTION("""COMPUTED_VALUE"""),"VIATURA")</f>
        <v>VIATURA</v>
      </c>
      <c r="E1959" s="87" t="str">
        <f>IFERROR(__xludf.DUMMYFUNCTION("""COMPUTED_VALUE"""),"1 - ABTS5911")</f>
        <v>1 - ABTS5911</v>
      </c>
      <c r="F1959" s="92"/>
      <c r="G1959" s="89">
        <f>IFERROR(__xludf.DUMMYFUNCTION("""COMPUTED_VALUE"""),45628.0)</f>
        <v>45628</v>
      </c>
      <c r="H1959" s="87"/>
      <c r="I1959" s="87" t="str">
        <f>IFERROR(__xludf.DUMMYFUNCTION("""COMPUTED_VALUE"""),"PRANCHA LONGA COM TIRANTES E BAIXAL")</f>
        <v>PRANCHA LONGA COM TIRANTES E BAIXAL</v>
      </c>
    </row>
    <row r="1960">
      <c r="A1960" s="84">
        <f>IFERROR(__xludf.DUMMYFUNCTION("""COMPUTED_VALUE"""),170.0)</f>
        <v>170</v>
      </c>
      <c r="B1960" s="85" t="str">
        <f>IFERROR(__xludf.DUMMYFUNCTION("""COMPUTED_VALUE"""),"PROTETOR DE QUINA SALV. VEICULAR")</f>
        <v>PROTETOR DE QUINA SALV. VEICULAR</v>
      </c>
      <c r="C1960" s="86">
        <f>IFERROR(__xludf.DUMMYFUNCTION("""COMPUTED_VALUE"""),5.0)</f>
        <v>5</v>
      </c>
      <c r="D1960" s="87" t="str">
        <f>IFERROR(__xludf.DUMMYFUNCTION("""COMPUTED_VALUE"""),"VIATURA")</f>
        <v>VIATURA</v>
      </c>
      <c r="E1960" s="87" t="str">
        <f>IFERROR(__xludf.DUMMYFUNCTION("""COMPUTED_VALUE"""),"1 - ABTS5911")</f>
        <v>1 - ABTS5911</v>
      </c>
      <c r="F1960" s="92"/>
      <c r="G1960" s="89"/>
      <c r="H1960" s="87"/>
      <c r="I1960" s="87"/>
    </row>
    <row r="1961">
      <c r="A1961" s="84">
        <f>IFERROR(__xludf.DUMMYFUNCTION("""COMPUTED_VALUE"""),171.0)</f>
        <v>171</v>
      </c>
      <c r="B1961" s="85" t="str">
        <f>IFERROR(__xludf.DUMMYFUNCTION("""COMPUTED_VALUE"""),"PROTETOR DE VÍTIMA SAL. VEICULAR")</f>
        <v>PROTETOR DE VÍTIMA SAL. VEICULAR</v>
      </c>
      <c r="C1961" s="86">
        <f>IFERROR(__xludf.DUMMYFUNCTION("""COMPUTED_VALUE"""),1.0)</f>
        <v>1</v>
      </c>
      <c r="D1961" s="87" t="str">
        <f>IFERROR(__xludf.DUMMYFUNCTION("""COMPUTED_VALUE"""),"VIATURA")</f>
        <v>VIATURA</v>
      </c>
      <c r="E1961" s="87" t="str">
        <f>IFERROR(__xludf.DUMMYFUNCTION("""COMPUTED_VALUE"""),"1 - ABTS5911")</f>
        <v>1 - ABTS5911</v>
      </c>
      <c r="F1961" s="92"/>
      <c r="G1961" s="89"/>
      <c r="H1961" s="87"/>
      <c r="I1961" s="87"/>
    </row>
    <row r="1962">
      <c r="A1962" s="84">
        <f>IFERROR(__xludf.DUMMYFUNCTION("""COMPUTED_VALUE"""),172.0)</f>
        <v>172</v>
      </c>
      <c r="B1962" s="85" t="str">
        <f>IFERROR(__xludf.DUMMYFUNCTION("""COMPUTED_VALUE"""),"CILINDRO RESERVA P.A MSA")</f>
        <v>CILINDRO RESERVA P.A MSA</v>
      </c>
      <c r="C1962" s="86">
        <f>IFERROR(__xludf.DUMMYFUNCTION("""COMPUTED_VALUE"""),3.0)</f>
        <v>3</v>
      </c>
      <c r="D1962" s="87" t="str">
        <f>IFERROR(__xludf.DUMMYFUNCTION("""COMPUTED_VALUE"""),"VIATURA")</f>
        <v>VIATURA</v>
      </c>
      <c r="E1962" s="87" t="str">
        <f>IFERROR(__xludf.DUMMYFUNCTION("""COMPUTED_VALUE"""),"1 - ABTS5911")</f>
        <v>1 - ABTS5911</v>
      </c>
      <c r="F1962" s="92"/>
      <c r="G1962" s="89"/>
      <c r="H1962" s="87"/>
      <c r="I1962" s="87"/>
    </row>
    <row r="1963">
      <c r="A1963" s="84">
        <f>IFERROR(__xludf.DUMMYFUNCTION("""COMPUTED_VALUE"""),173.0)</f>
        <v>173</v>
      </c>
      <c r="B1963" s="85" t="str">
        <f>IFERROR(__xludf.DUMMYFUNCTION("""COMPUTED_VALUE"""),"JOGO DE CHAVE TORX CONTENDO 09 CHAVES")</f>
        <v>JOGO DE CHAVE TORX CONTENDO 09 CHAVES</v>
      </c>
      <c r="C1963" s="86">
        <f>IFERROR(__xludf.DUMMYFUNCTION("""COMPUTED_VALUE"""),1.0)</f>
        <v>1</v>
      </c>
      <c r="D1963" s="87" t="str">
        <f>IFERROR(__xludf.DUMMYFUNCTION("""COMPUTED_VALUE"""),"VIATURA")</f>
        <v>VIATURA</v>
      </c>
      <c r="E1963" s="87" t="str">
        <f>IFERROR(__xludf.DUMMYFUNCTION("""COMPUTED_VALUE"""),"1 - ASM3617")</f>
        <v>1 - ASM3617</v>
      </c>
      <c r="F1963" s="92" t="str">
        <f>IFERROR(__xludf.DUMMYFUNCTION("""COMPUTED_VALUE"""),"CAIXA DE FERRAMENTA")</f>
        <v>CAIXA DE FERRAMENTA</v>
      </c>
      <c r="G1963" s="89"/>
      <c r="H1963" s="87"/>
      <c r="I1963" s="87"/>
    </row>
    <row r="1964">
      <c r="A1964" s="84">
        <f>IFERROR(__xludf.DUMMYFUNCTION("""COMPUTED_VALUE"""),174.0)</f>
        <v>174</v>
      </c>
      <c r="B1964" s="85" t="str">
        <f>IFERROR(__xludf.DUMMYFUNCTION("""COMPUTED_VALUE"""),"MANGUEIRA DE 1 ¹/²")</f>
        <v>MANGUEIRA DE 1 ¹/²</v>
      </c>
      <c r="C1964" s="86">
        <f>IFERROR(__xludf.DUMMYFUNCTION("""COMPUTED_VALUE"""),3.0)</f>
        <v>3</v>
      </c>
      <c r="D1964" s="87" t="str">
        <f>IFERROR(__xludf.DUMMYFUNCTION("""COMPUTED_VALUE"""),"VIATURA")</f>
        <v>VIATURA</v>
      </c>
      <c r="E1964" s="87" t="str">
        <f>IFERROR(__xludf.DUMMYFUNCTION("""COMPUTED_VALUE"""),"1 - ACIF5790")</f>
        <v>1 - ACIF5790</v>
      </c>
      <c r="F1964" s="92" t="str">
        <f>IFERROR(__xludf.DUMMYFUNCTION("""COMPUTED_VALUE"""),"BOX 01")</f>
        <v>BOX 01</v>
      </c>
      <c r="G1964" s="89">
        <f>IFERROR(__xludf.DUMMYFUNCTION("""COMPUTED_VALUE"""),45819.0)</f>
        <v>45819</v>
      </c>
      <c r="H1964" s="87"/>
      <c r="I1964" s="87"/>
    </row>
    <row r="1965">
      <c r="A1965" s="84">
        <f>IFERROR(__xludf.DUMMYFUNCTION("""COMPUTED_VALUE"""),175.0)</f>
        <v>175</v>
      </c>
      <c r="B1965" s="85" t="str">
        <f>IFERROR(__xludf.DUMMYFUNCTION("""COMPUTED_VALUE"""),"LUZ ROTATIVA DE EMERGÊNCIA VEICULAR")</f>
        <v>LUZ ROTATIVA DE EMERGÊNCIA VEICULAR</v>
      </c>
      <c r="C1965" s="86">
        <f>IFERROR(__xludf.DUMMYFUNCTION("""COMPUTED_VALUE"""),1.0)</f>
        <v>1</v>
      </c>
      <c r="D1965" s="87" t="str">
        <f>IFERROR(__xludf.DUMMYFUNCTION("""COMPUTED_VALUE"""),"VIATURA")</f>
        <v>VIATURA</v>
      </c>
      <c r="E1965" s="87" t="str">
        <f>IFERROR(__xludf.DUMMYFUNCTION("""COMPUTED_VALUE"""),"1 - ACIF5790")</f>
        <v>1 - ACIF5790</v>
      </c>
      <c r="F1965" s="92"/>
      <c r="G1965" s="89"/>
      <c r="H1965" s="87"/>
      <c r="I1965" s="87"/>
    </row>
    <row r="1966">
      <c r="A1966" s="84">
        <f>IFERROR(__xludf.DUMMYFUNCTION("""COMPUTED_VALUE"""),176.0)</f>
        <v>176</v>
      </c>
      <c r="B1966" s="85" t="str">
        <f>IFERROR(__xludf.DUMMYFUNCTION("""COMPUTED_VALUE"""),"ADAPTADOR STORZ 2 ¹/²"" PARA ROSCA 3 FIOS")</f>
        <v>ADAPTADOR STORZ 2 ¹/²" PARA ROSCA 3 FIOS</v>
      </c>
      <c r="C1966" s="86">
        <f>IFERROR(__xludf.DUMMYFUNCTION("""COMPUTED_VALUE"""),1.0)</f>
        <v>1</v>
      </c>
      <c r="D1966" s="87" t="str">
        <f>IFERROR(__xludf.DUMMYFUNCTION("""COMPUTED_VALUE"""),"VIATURA")</f>
        <v>VIATURA</v>
      </c>
      <c r="E1966" s="87" t="str">
        <f>IFERROR(__xludf.DUMMYFUNCTION("""COMPUTED_VALUE"""),"1 - ACIF5790")</f>
        <v>1 - ACIF5790</v>
      </c>
      <c r="F1966" s="92" t="str">
        <f>IFERROR(__xludf.DUMMYFUNCTION("""COMPUTED_VALUE"""),"CABINE")</f>
        <v>CABINE</v>
      </c>
      <c r="G1966" s="89"/>
      <c r="H1966" s="87"/>
      <c r="I1966" s="87"/>
    </row>
    <row r="1967">
      <c r="A1967" s="84">
        <f>IFERROR(__xludf.DUMMYFUNCTION("""COMPUTED_VALUE"""),177.0)</f>
        <v>177</v>
      </c>
      <c r="B1967" s="85" t="str">
        <f>IFERROR(__xludf.DUMMYFUNCTION("""COMPUTED_VALUE"""),"LANTERNA TÁTICA NIGHTSTICK")</f>
        <v>LANTERNA TÁTICA NIGHTSTICK</v>
      </c>
      <c r="C1967" s="86">
        <f>IFERROR(__xludf.DUMMYFUNCTION("""COMPUTED_VALUE"""),1.0)</f>
        <v>1</v>
      </c>
      <c r="D1967" s="87" t="str">
        <f>IFERROR(__xludf.DUMMYFUNCTION("""COMPUTED_VALUE"""),"VIATURA")</f>
        <v>VIATURA</v>
      </c>
      <c r="E1967" s="87" t="str">
        <f>IFERROR(__xludf.DUMMYFUNCTION("""COMPUTED_VALUE"""),"1 - ACIF5790")</f>
        <v>1 - ACIF5790</v>
      </c>
      <c r="F1967" s="92" t="str">
        <f>IFERROR(__xludf.DUMMYFUNCTION("""COMPUTED_VALUE"""),"CABINE")</f>
        <v>CABINE</v>
      </c>
      <c r="G1967" s="89"/>
      <c r="H1967" s="87"/>
      <c r="I1967" s="87"/>
    </row>
    <row r="1968">
      <c r="A1968" s="84">
        <f>IFERROR(__xludf.DUMMYFUNCTION("""COMPUTED_VALUE"""),178.0)</f>
        <v>178</v>
      </c>
      <c r="B1968" s="85" t="str">
        <f>IFERROR(__xludf.DUMMYFUNCTION("""COMPUTED_VALUE"""),"PERNEIRA (PAR)")</f>
        <v>PERNEIRA (PAR)</v>
      </c>
      <c r="C1968" s="86">
        <f>IFERROR(__xludf.DUMMYFUNCTION("""COMPUTED_VALUE"""),3.0)</f>
        <v>3</v>
      </c>
      <c r="D1968" s="87" t="str">
        <f>IFERROR(__xludf.DUMMYFUNCTION("""COMPUTED_VALUE"""),"VIATURA")</f>
        <v>VIATURA</v>
      </c>
      <c r="E1968" s="87" t="str">
        <f>IFERROR(__xludf.DUMMYFUNCTION("""COMPUTED_VALUE"""),"1 - ASF2163")</f>
        <v>1 - ASF2163</v>
      </c>
      <c r="F1968" s="92"/>
      <c r="G1968" s="89">
        <f>IFERROR(__xludf.DUMMYFUNCTION("""COMPUTED_VALUE"""),45519.0)</f>
        <v>45519</v>
      </c>
      <c r="H1968" s="87"/>
      <c r="I1968" s="87"/>
    </row>
    <row r="1969">
      <c r="A1969" s="84">
        <f>IFERROR(__xludf.DUMMYFUNCTION("""COMPUTED_VALUE"""),179.0)</f>
        <v>179</v>
      </c>
      <c r="B1969" s="85" t="str">
        <f>IFERROR(__xludf.DUMMYFUNCTION("""COMPUTED_VALUE"""),"CATRACA 1,5 TON")</f>
        <v>CATRACA 1,5 TON</v>
      </c>
      <c r="C1969" s="86">
        <f>IFERROR(__xludf.DUMMYFUNCTION("""COMPUTED_VALUE"""),2.0)</f>
        <v>2</v>
      </c>
      <c r="D1969" s="87" t="str">
        <f>IFERROR(__xludf.DUMMYFUNCTION("""COMPUTED_VALUE"""),"VIATURA")</f>
        <v>VIATURA</v>
      </c>
      <c r="E1969" s="87" t="str">
        <f>IFERROR(__xludf.DUMMYFUNCTION("""COMPUTED_VALUE"""),"1 - ASF2163")</f>
        <v>1 - ASF2163</v>
      </c>
      <c r="F1969" s="92"/>
      <c r="G1969" s="89">
        <f>IFERROR(__xludf.DUMMYFUNCTION("""COMPUTED_VALUE"""),45519.0)</f>
        <v>45519</v>
      </c>
      <c r="H1969" s="87"/>
      <c r="I1969" s="87" t="str">
        <f>IFERROR(__xludf.DUMMYFUNCTION("""COMPUTED_VALUE"""),"COM FITA")</f>
        <v>COM FITA</v>
      </c>
    </row>
    <row r="1970">
      <c r="A1970" s="84">
        <f>IFERROR(__xludf.DUMMYFUNCTION("""COMPUTED_VALUE"""),180.0)</f>
        <v>180</v>
      </c>
      <c r="B1970" s="85" t="str">
        <f>IFERROR(__xludf.DUMMYFUNCTION("""COMPUTED_VALUE"""),"BIDÃO")</f>
        <v>BIDÃO</v>
      </c>
      <c r="C1970" s="86">
        <f>IFERROR(__xludf.DUMMYFUNCTION("""COMPUTED_VALUE"""),1.0)</f>
        <v>1</v>
      </c>
      <c r="D1970" s="87" t="str">
        <f>IFERROR(__xludf.DUMMYFUNCTION("""COMPUTED_VALUE"""),"VIATURA")</f>
        <v>VIATURA</v>
      </c>
      <c r="E1970" s="87" t="str">
        <f>IFERROR(__xludf.DUMMYFUNCTION("""COMPUTED_VALUE"""),"1 - ASF2163")</f>
        <v>1 - ASF2163</v>
      </c>
      <c r="F1970" s="92"/>
      <c r="G1970" s="89"/>
      <c r="H1970" s="87"/>
      <c r="I1970" s="87"/>
    </row>
    <row r="1971">
      <c r="A1971" s="84">
        <f>IFERROR(__xludf.DUMMYFUNCTION("""COMPUTED_VALUE"""),181.0)</f>
        <v>181</v>
      </c>
      <c r="B1971" s="85" t="str">
        <f>IFERROR(__xludf.DUMMYFUNCTION("""COMPUTED_VALUE"""),"PINGA FOGO")</f>
        <v>PINGA FOGO</v>
      </c>
      <c r="C1971" s="86">
        <f>IFERROR(__xludf.DUMMYFUNCTION("""COMPUTED_VALUE"""),1.0)</f>
        <v>1</v>
      </c>
      <c r="D1971" s="87" t="str">
        <f>IFERROR(__xludf.DUMMYFUNCTION("""COMPUTED_VALUE"""),"VIATURA")</f>
        <v>VIATURA</v>
      </c>
      <c r="E1971" s="87" t="str">
        <f>IFERROR(__xludf.DUMMYFUNCTION("""COMPUTED_VALUE"""),"1 - ASF2163")</f>
        <v>1 - ASF2163</v>
      </c>
      <c r="F1971" s="92"/>
      <c r="G1971" s="89">
        <f>IFERROR(__xludf.DUMMYFUNCTION("""COMPUTED_VALUE"""),45558.0)</f>
        <v>45558</v>
      </c>
      <c r="H1971" s="87"/>
      <c r="I1971" s="87"/>
    </row>
    <row r="1972">
      <c r="A1972" s="84">
        <f>IFERROR(__xludf.DUMMYFUNCTION("""COMPUTED_VALUE"""),182.0)</f>
        <v>182</v>
      </c>
      <c r="B1972" s="85" t="str">
        <f>IFERROR(__xludf.DUMMYFUNCTION("""COMPUTED_VALUE"""),"MOCHILA COSTAL (VALLFIREST) C/ ESGUICHO")</f>
        <v>MOCHILA COSTAL (VALLFIREST) C/ ESGUICHO</v>
      </c>
      <c r="C1972" s="86">
        <f>IFERROR(__xludf.DUMMYFUNCTION("""COMPUTED_VALUE"""),1.0)</f>
        <v>1</v>
      </c>
      <c r="D1972" s="87" t="str">
        <f>IFERROR(__xludf.DUMMYFUNCTION("""COMPUTED_VALUE"""),"VIATURA")</f>
        <v>VIATURA</v>
      </c>
      <c r="E1972" s="87" t="str">
        <f>IFERROR(__xludf.DUMMYFUNCTION("""COMPUTED_VALUE"""),"1 - ASF2163")</f>
        <v>1 - ASF2163</v>
      </c>
      <c r="F1972" s="92"/>
      <c r="G1972" s="89"/>
      <c r="H1972" s="87"/>
      <c r="I1972" s="87"/>
    </row>
    <row r="1973">
      <c r="A1973" s="84">
        <f>IFERROR(__xludf.DUMMYFUNCTION("""COMPUTED_VALUE"""),183.0)</f>
        <v>183</v>
      </c>
      <c r="B1973" s="85" t="str">
        <f>IFERROR(__xludf.DUMMYFUNCTION("""COMPUTED_VALUE"""),"ABAFADOR PARA COMBATE A INCENDIO FLORESTAL")</f>
        <v>ABAFADOR PARA COMBATE A INCENDIO FLORESTAL</v>
      </c>
      <c r="C1973" s="86">
        <f>IFERROR(__xludf.DUMMYFUNCTION("""COMPUTED_VALUE"""),3.0)</f>
        <v>3</v>
      </c>
      <c r="D1973" s="87" t="str">
        <f>IFERROR(__xludf.DUMMYFUNCTION("""COMPUTED_VALUE"""),"VIATURA")</f>
        <v>VIATURA</v>
      </c>
      <c r="E1973" s="87" t="str">
        <f>IFERROR(__xludf.DUMMYFUNCTION("""COMPUTED_VALUE"""),"1 - ASF2163")</f>
        <v>1 - ASF2163</v>
      </c>
      <c r="F1973" s="92"/>
      <c r="G1973" s="89"/>
      <c r="H1973" s="87"/>
      <c r="I1973" s="87"/>
    </row>
    <row r="1974">
      <c r="A1974" s="84">
        <f>IFERROR(__xludf.DUMMYFUNCTION("""COMPUTED_VALUE"""),184.0)</f>
        <v>184</v>
      </c>
      <c r="B1974" s="85" t="str">
        <f>IFERROR(__xludf.DUMMYFUNCTION("""COMPUTED_VALUE"""),"CONE SINALEIRO")</f>
        <v>CONE SINALEIRO</v>
      </c>
      <c r="C1974" s="86">
        <f>IFERROR(__xludf.DUMMYFUNCTION("""COMPUTED_VALUE"""),6.0)</f>
        <v>6</v>
      </c>
      <c r="D1974" s="87" t="str">
        <f>IFERROR(__xludf.DUMMYFUNCTION("""COMPUTED_VALUE"""),"VIATURA")</f>
        <v>VIATURA</v>
      </c>
      <c r="E1974" s="87" t="str">
        <f>IFERROR(__xludf.DUMMYFUNCTION("""COMPUTED_VALUE"""),"1 - ASF2163")</f>
        <v>1 - ASF2163</v>
      </c>
      <c r="F1974" s="92"/>
      <c r="G1974" s="89"/>
      <c r="H1974" s="87"/>
      <c r="I1974" s="87"/>
    </row>
    <row r="1975">
      <c r="A1975" s="84">
        <f>IFERROR(__xludf.DUMMYFUNCTION("""COMPUTED_VALUE"""),185.0)</f>
        <v>185</v>
      </c>
      <c r="B1975" s="85" t="str">
        <f>IFERROR(__xludf.DUMMYFUNCTION("""COMPUTED_VALUE"""),"MISTURADOR DE COMBUSTÍVEL STIHL")</f>
        <v>MISTURADOR DE COMBUSTÍVEL STIHL</v>
      </c>
      <c r="C1975" s="86">
        <f>IFERROR(__xludf.DUMMYFUNCTION("""COMPUTED_VALUE"""),1.0)</f>
        <v>1</v>
      </c>
      <c r="D1975" s="87" t="str">
        <f>IFERROR(__xludf.DUMMYFUNCTION("""COMPUTED_VALUE"""),"VIATURA")</f>
        <v>VIATURA</v>
      </c>
      <c r="E1975" s="87" t="str">
        <f>IFERROR(__xludf.DUMMYFUNCTION("""COMPUTED_VALUE"""),"1 - ASF2163")</f>
        <v>1 - ASF2163</v>
      </c>
      <c r="F1975" s="92"/>
      <c r="G1975" s="89"/>
      <c r="H1975" s="87"/>
      <c r="I1975" s="87"/>
    </row>
    <row r="1976">
      <c r="A1976" s="84">
        <f>IFERROR(__xludf.DUMMYFUNCTION("""COMPUTED_VALUE"""),186.0)</f>
        <v>186</v>
      </c>
      <c r="B1976" s="85" t="str">
        <f>IFERROR(__xludf.DUMMYFUNCTION("""COMPUTED_VALUE"""),"MANUAL KIT GUARANI ")</f>
        <v>MANUAL KIT GUARANI </v>
      </c>
      <c r="C1976" s="86">
        <f>IFERROR(__xludf.DUMMYFUNCTION("""COMPUTED_VALUE"""),1.0)</f>
        <v>1</v>
      </c>
      <c r="D1976" s="87" t="str">
        <f>IFERROR(__xludf.DUMMYFUNCTION("""COMPUTED_VALUE"""),"VIATURA")</f>
        <v>VIATURA</v>
      </c>
      <c r="E1976" s="87" t="str">
        <f>IFERROR(__xludf.DUMMYFUNCTION("""COMPUTED_VALUE"""),"1 - ASF2163")</f>
        <v>1 - ASF2163</v>
      </c>
      <c r="F1976" s="92"/>
      <c r="G1976" s="89"/>
      <c r="H1976" s="87"/>
      <c r="I1976" s="87"/>
    </row>
    <row r="1977">
      <c r="A1977" s="84">
        <f>IFERROR(__xludf.DUMMYFUNCTION("""COMPUTED_VALUE"""),187.0)</f>
        <v>187</v>
      </c>
      <c r="B1977" s="85" t="str">
        <f>IFERROR(__xludf.DUMMYFUNCTION("""COMPUTED_VALUE"""),"LUZ ROTATIVA DE EMERGÊNCIA VEICULAR")</f>
        <v>LUZ ROTATIVA DE EMERGÊNCIA VEICULAR</v>
      </c>
      <c r="C1977" s="86">
        <f>IFERROR(__xludf.DUMMYFUNCTION("""COMPUTED_VALUE"""),1.0)</f>
        <v>1</v>
      </c>
      <c r="D1977" s="87" t="str">
        <f>IFERROR(__xludf.DUMMYFUNCTION("""COMPUTED_VALUE"""),"VIATURA")</f>
        <v>VIATURA</v>
      </c>
      <c r="E1977" s="87" t="str">
        <f>IFERROR(__xludf.DUMMYFUNCTION("""COMPUTED_VALUE"""),"1 - ASF2163")</f>
        <v>1 - ASF2163</v>
      </c>
      <c r="F1977" s="92"/>
      <c r="G1977" s="89"/>
      <c r="H1977" s="87"/>
      <c r="I1977" s="87"/>
    </row>
    <row r="1978">
      <c r="A1978" s="84">
        <f>IFERROR(__xludf.DUMMYFUNCTION("""COMPUTED_VALUE"""),188.0)</f>
        <v>188</v>
      </c>
      <c r="B1978" s="85" t="str">
        <f>IFERROR(__xludf.DUMMYFUNCTION("""COMPUTED_VALUE"""),"ABAFADOR PARA COMBATE A INCENDIO FLORESTAL")</f>
        <v>ABAFADOR PARA COMBATE A INCENDIO FLORESTAL</v>
      </c>
      <c r="C1978" s="86">
        <f>IFERROR(__xludf.DUMMYFUNCTION("""COMPUTED_VALUE"""),2.0)</f>
        <v>2</v>
      </c>
      <c r="D1978" s="87" t="str">
        <f>IFERROR(__xludf.DUMMYFUNCTION("""COMPUTED_VALUE"""),"VIATURA")</f>
        <v>VIATURA</v>
      </c>
      <c r="E1978" s="87" t="str">
        <f>IFERROR(__xludf.DUMMYFUNCTION("""COMPUTED_VALUE"""),"1 - ASL1080")</f>
        <v>1 - ASL1080</v>
      </c>
      <c r="F1978" s="92" t="str">
        <f>IFERROR(__xludf.DUMMYFUNCTION("""COMPUTED_VALUE"""),"CARROCERIA")</f>
        <v>CARROCERIA</v>
      </c>
      <c r="G1978" s="89"/>
      <c r="H1978" s="87"/>
      <c r="I1978" s="87"/>
    </row>
    <row r="1979">
      <c r="A1979" s="84">
        <f>IFERROR(__xludf.DUMMYFUNCTION("""COMPUTED_VALUE"""),189.0)</f>
        <v>189</v>
      </c>
      <c r="B1979" s="85" t="str">
        <f>IFERROR(__xludf.DUMMYFUNCTION("""COMPUTED_VALUE"""),"BOLSA DE SALVAMENTO EM ALTURA")</f>
        <v>BOLSA DE SALVAMENTO EM ALTURA</v>
      </c>
      <c r="C1979" s="86">
        <f>IFERROR(__xludf.DUMMYFUNCTION("""COMPUTED_VALUE"""),1.0)</f>
        <v>1</v>
      </c>
      <c r="D1979" s="87" t="str">
        <f>IFERROR(__xludf.DUMMYFUNCTION("""COMPUTED_VALUE"""),"VIATURA")</f>
        <v>VIATURA</v>
      </c>
      <c r="E1979" s="87" t="str">
        <f>IFERROR(__xludf.DUMMYFUNCTION("""COMPUTED_VALUE"""),"1 - ASL1080")</f>
        <v>1 - ASL1080</v>
      </c>
      <c r="F1979" s="92" t="str">
        <f>IFERROR(__xludf.DUMMYFUNCTION("""COMPUTED_VALUE"""),"CARROCERIA")</f>
        <v>CARROCERIA</v>
      </c>
      <c r="G1979" s="89"/>
      <c r="H1979" s="87"/>
      <c r="I1979" s="87" t="str">
        <f>IFERROR(__xludf.DUMMYFUNCTION("""COMPUTED_VALUE"""),"BOLSA LACRADA (LACRES: 005331/005366)")</f>
        <v>BOLSA LACRADA (LACRES: 005331/005366)</v>
      </c>
    </row>
    <row r="1980">
      <c r="A1980" s="84">
        <f>IFERROR(__xludf.DUMMYFUNCTION("""COMPUTED_VALUE"""),190.0)</f>
        <v>190</v>
      </c>
      <c r="B1980" s="85" t="str">
        <f>IFERROR(__xludf.DUMMYFUNCTION("""COMPUTED_VALUE"""),"BOLSA CINZA PARA SALVAMENTO EM ALTURA")</f>
        <v>BOLSA CINZA PARA SALVAMENTO EM ALTURA</v>
      </c>
      <c r="C1980" s="86">
        <f>IFERROR(__xludf.DUMMYFUNCTION("""COMPUTED_VALUE"""),1.0)</f>
        <v>1</v>
      </c>
      <c r="D1980" s="87" t="str">
        <f>IFERROR(__xludf.DUMMYFUNCTION("""COMPUTED_VALUE"""),"VIATURA")</f>
        <v>VIATURA</v>
      </c>
      <c r="E1980" s="87" t="str">
        <f>IFERROR(__xludf.DUMMYFUNCTION("""COMPUTED_VALUE"""),"1 - ASL1080")</f>
        <v>1 - ASL1080</v>
      </c>
      <c r="F1980" s="92" t="str">
        <f>IFERROR(__xludf.DUMMYFUNCTION("""COMPUTED_VALUE"""),"CARROCERIA")</f>
        <v>CARROCERIA</v>
      </c>
      <c r="G1980" s="89"/>
      <c r="H1980" s="87"/>
      <c r="I1980" s="87" t="str">
        <f>IFERROR(__xludf.DUMMYFUNCTION("""COMPUTED_VALUE"""),"BOLSA LACRADA (LACRE: 005306)")</f>
        <v>BOLSA LACRADA (LACRE: 005306)</v>
      </c>
    </row>
    <row r="1981">
      <c r="A1981" s="84">
        <f>IFERROR(__xludf.DUMMYFUNCTION("""COMPUTED_VALUE"""),191.0)</f>
        <v>191</v>
      </c>
      <c r="B1981" s="85" t="str">
        <f>IFERROR(__xludf.DUMMYFUNCTION("""COMPUTED_VALUE"""),"FACÕES")</f>
        <v>FACÕES</v>
      </c>
      <c r="C1981" s="86">
        <f>IFERROR(__xludf.DUMMYFUNCTION("""COMPUTED_VALUE"""),2.0)</f>
        <v>2</v>
      </c>
      <c r="D1981" s="87" t="str">
        <f>IFERROR(__xludf.DUMMYFUNCTION("""COMPUTED_VALUE"""),"VIATURA")</f>
        <v>VIATURA</v>
      </c>
      <c r="E1981" s="87" t="str">
        <f>IFERROR(__xludf.DUMMYFUNCTION("""COMPUTED_VALUE"""),"1 - ASL1080")</f>
        <v>1 - ASL1080</v>
      </c>
      <c r="F1981" s="92" t="str">
        <f>IFERROR(__xludf.DUMMYFUNCTION("""COMPUTED_VALUE"""),"CARROCERIA")</f>
        <v>CARROCERIA</v>
      </c>
      <c r="G1981" s="89"/>
      <c r="H1981" s="87"/>
      <c r="I1981" s="87"/>
    </row>
    <row r="1982">
      <c r="A1982" s="84">
        <f>IFERROR(__xludf.DUMMYFUNCTION("""COMPUTED_VALUE"""),192.0)</f>
        <v>192</v>
      </c>
      <c r="B1982" s="85" t="str">
        <f>IFERROR(__xludf.DUMMYFUNCTION("""COMPUTED_VALUE"""),"CORTA FRIO 24''")</f>
        <v>CORTA FRIO 24''</v>
      </c>
      <c r="C1982" s="86">
        <f>IFERROR(__xludf.DUMMYFUNCTION("""COMPUTED_VALUE"""),1.0)</f>
        <v>1</v>
      </c>
      <c r="D1982" s="87" t="str">
        <f>IFERROR(__xludf.DUMMYFUNCTION("""COMPUTED_VALUE"""),"VIATURA")</f>
        <v>VIATURA</v>
      </c>
      <c r="E1982" s="87" t="str">
        <f>IFERROR(__xludf.DUMMYFUNCTION("""COMPUTED_VALUE"""),"1 - ASL1080")</f>
        <v>1 - ASL1080</v>
      </c>
      <c r="F1982" s="92" t="str">
        <f>IFERROR(__xludf.DUMMYFUNCTION("""COMPUTED_VALUE"""),"CARROCERIA")</f>
        <v>CARROCERIA</v>
      </c>
      <c r="G1982" s="89"/>
      <c r="H1982" s="87"/>
      <c r="I1982" s="87"/>
    </row>
    <row r="1983">
      <c r="A1983" s="84">
        <f>IFERROR(__xludf.DUMMYFUNCTION("""COMPUTED_VALUE"""),193.0)</f>
        <v>193</v>
      </c>
      <c r="B1983" s="85" t="str">
        <f>IFERROR(__xludf.DUMMYFUNCTION("""COMPUTED_VALUE"""),"SACO DE CORDAS PARA RESGATE AQUATICO -")</f>
        <v>SACO DE CORDAS PARA RESGATE AQUATICO -</v>
      </c>
      <c r="C1983" s="86">
        <f>IFERROR(__xludf.DUMMYFUNCTION("""COMPUTED_VALUE"""),2.0)</f>
        <v>2</v>
      </c>
      <c r="D1983" s="87" t="str">
        <f>IFERROR(__xludf.DUMMYFUNCTION("""COMPUTED_VALUE"""),"VIATURA")</f>
        <v>VIATURA</v>
      </c>
      <c r="E1983" s="87" t="str">
        <f>IFERROR(__xludf.DUMMYFUNCTION("""COMPUTED_VALUE"""),"1 - ASL1080")</f>
        <v>1 - ASL1080</v>
      </c>
      <c r="F1983" s="92" t="str">
        <f>IFERROR(__xludf.DUMMYFUNCTION("""COMPUTED_VALUE"""),"CARROCERIA")</f>
        <v>CARROCERIA</v>
      </c>
      <c r="G1983" s="89"/>
      <c r="H1983" s="87"/>
      <c r="I1983" s="87"/>
    </row>
    <row r="1984">
      <c r="A1984" s="84">
        <f>IFERROR(__xludf.DUMMYFUNCTION("""COMPUTED_VALUE"""),194.0)</f>
        <v>194</v>
      </c>
      <c r="B1984" s="85" t="str">
        <f>IFERROR(__xludf.DUMMYFUNCTION("""COMPUTED_VALUE"""),"ALAVANCA PÉ DE CABRA")</f>
        <v>ALAVANCA PÉ DE CABRA</v>
      </c>
      <c r="C1984" s="86">
        <f>IFERROR(__xludf.DUMMYFUNCTION("""COMPUTED_VALUE"""),1.0)</f>
        <v>1</v>
      </c>
      <c r="D1984" s="87" t="str">
        <f>IFERROR(__xludf.DUMMYFUNCTION("""COMPUTED_VALUE"""),"VIATURA")</f>
        <v>VIATURA</v>
      </c>
      <c r="E1984" s="87" t="str">
        <f>IFERROR(__xludf.DUMMYFUNCTION("""COMPUTED_VALUE"""),"1 - ASL1080")</f>
        <v>1 - ASL1080</v>
      </c>
      <c r="F1984" s="92" t="str">
        <f>IFERROR(__xludf.DUMMYFUNCTION("""COMPUTED_VALUE"""),"CARROCERIA")</f>
        <v>CARROCERIA</v>
      </c>
      <c r="G1984" s="89"/>
      <c r="H1984" s="87"/>
      <c r="I1984" s="87"/>
    </row>
    <row r="1985">
      <c r="A1985" s="84">
        <f>IFERROR(__xludf.DUMMYFUNCTION("""COMPUTED_VALUE"""),195.0)</f>
        <v>195</v>
      </c>
      <c r="B1985" s="85" t="str">
        <f>IFERROR(__xludf.DUMMYFUNCTION("""COMPUTED_VALUE"""),"CONE SINALEIRO")</f>
        <v>CONE SINALEIRO</v>
      </c>
      <c r="C1985" s="86">
        <f>IFERROR(__xludf.DUMMYFUNCTION("""COMPUTED_VALUE"""),5.0)</f>
        <v>5</v>
      </c>
      <c r="D1985" s="87" t="str">
        <f>IFERROR(__xludf.DUMMYFUNCTION("""COMPUTED_VALUE"""),"VIATURA")</f>
        <v>VIATURA</v>
      </c>
      <c r="E1985" s="87" t="str">
        <f>IFERROR(__xludf.DUMMYFUNCTION("""COMPUTED_VALUE"""),"1 - ASL1080")</f>
        <v>1 - ASL1080</v>
      </c>
      <c r="F1985" s="92" t="str">
        <f>IFERROR(__xludf.DUMMYFUNCTION("""COMPUTED_VALUE"""),"CARROCERIA")</f>
        <v>CARROCERIA</v>
      </c>
      <c r="G1985" s="89"/>
      <c r="H1985" s="87"/>
      <c r="I1985" s="87"/>
    </row>
    <row r="1986">
      <c r="A1986" s="84">
        <f>IFERROR(__xludf.DUMMYFUNCTION("""COMPUTED_VALUE"""),196.0)</f>
        <v>196</v>
      </c>
      <c r="B1986" s="85" t="str">
        <f>IFERROR(__xludf.DUMMYFUNCTION("""COMPUTED_VALUE"""),"FLUTUADOR PARA SALVAMENTO AQUATICO -")</f>
        <v>FLUTUADOR PARA SALVAMENTO AQUATICO -</v>
      </c>
      <c r="C1986" s="86">
        <f>IFERROR(__xludf.DUMMYFUNCTION("""COMPUTED_VALUE"""),1.0)</f>
        <v>1</v>
      </c>
      <c r="D1986" s="87" t="str">
        <f>IFERROR(__xludf.DUMMYFUNCTION("""COMPUTED_VALUE"""),"VIATURA")</f>
        <v>VIATURA</v>
      </c>
      <c r="E1986" s="87" t="str">
        <f>IFERROR(__xludf.DUMMYFUNCTION("""COMPUTED_VALUE"""),"1 - ASL1080")</f>
        <v>1 - ASL1080</v>
      </c>
      <c r="F1986" s="92" t="str">
        <f>IFERROR(__xludf.DUMMYFUNCTION("""COMPUTED_VALUE"""),"CARROCERIA")</f>
        <v>CARROCERIA</v>
      </c>
      <c r="G1986" s="89"/>
      <c r="H1986" s="87"/>
      <c r="I1986" s="87"/>
    </row>
    <row r="1987">
      <c r="A1987" s="84">
        <f>IFERROR(__xludf.DUMMYFUNCTION("""COMPUTED_VALUE"""),197.0)</f>
        <v>197</v>
      </c>
      <c r="B1987" s="85" t="str">
        <f>IFERROR(__xludf.DUMMYFUNCTION("""COMPUTED_VALUE"""),"BOIA SALVA VIDAS CIRCULAR")</f>
        <v>BOIA SALVA VIDAS CIRCULAR</v>
      </c>
      <c r="C1987" s="86">
        <f>IFERROR(__xludf.DUMMYFUNCTION("""COMPUTED_VALUE"""),1.0)</f>
        <v>1</v>
      </c>
      <c r="D1987" s="87" t="str">
        <f>IFERROR(__xludf.DUMMYFUNCTION("""COMPUTED_VALUE"""),"VIATURA")</f>
        <v>VIATURA</v>
      </c>
      <c r="E1987" s="87" t="str">
        <f>IFERROR(__xludf.DUMMYFUNCTION("""COMPUTED_VALUE"""),"1 - ASL1080")</f>
        <v>1 - ASL1080</v>
      </c>
      <c r="F1987" s="92" t="str">
        <f>IFERROR(__xludf.DUMMYFUNCTION("""COMPUTED_VALUE"""),"CARROCERIA")</f>
        <v>CARROCERIA</v>
      </c>
      <c r="G1987" s="89"/>
      <c r="H1987" s="87"/>
      <c r="I1987" s="87"/>
    </row>
    <row r="1988">
      <c r="A1988" s="84">
        <f>IFERROR(__xludf.DUMMYFUNCTION("""COMPUTED_VALUE"""),198.0)</f>
        <v>198</v>
      </c>
      <c r="B1988" s="85" t="str">
        <f>IFERROR(__xludf.DUMMYFUNCTION("""COMPUTED_VALUE"""),"BATERIA HOLMATRO EVO 3")</f>
        <v>BATERIA HOLMATRO EVO 3</v>
      </c>
      <c r="C1988" s="86">
        <f>IFERROR(__xludf.DUMMYFUNCTION("""COMPUTED_VALUE"""),1.0)</f>
        <v>1</v>
      </c>
      <c r="D1988" s="87" t="str">
        <f>IFERROR(__xludf.DUMMYFUNCTION("""COMPUTED_VALUE"""),"VIATURA")</f>
        <v>VIATURA</v>
      </c>
      <c r="E1988" s="87" t="str">
        <f>IFERROR(__xludf.DUMMYFUNCTION("""COMPUTED_VALUE"""),"1 - ASL1080")</f>
        <v>1 - ASL1080</v>
      </c>
      <c r="F1988" s="92" t="str">
        <f>IFERROR(__xludf.DUMMYFUNCTION("""COMPUTED_VALUE"""),"CARROCERIA")</f>
        <v>CARROCERIA</v>
      </c>
      <c r="G1988" s="89"/>
      <c r="H1988" s="87"/>
      <c r="I1988" s="87"/>
    </row>
    <row r="1989">
      <c r="A1989" s="84">
        <f>IFERROR(__xludf.DUMMYFUNCTION("""COMPUTED_VALUE"""),199.0)</f>
        <v>199</v>
      </c>
      <c r="B1989" s="85" t="str">
        <f>IFERROR(__xludf.DUMMYFUNCTION("""COMPUTED_VALUE"""),"CORTA FRIO 36''")</f>
        <v>CORTA FRIO 36''</v>
      </c>
      <c r="C1989" s="86">
        <f>IFERROR(__xludf.DUMMYFUNCTION("""COMPUTED_VALUE"""),1.0)</f>
        <v>1</v>
      </c>
      <c r="D1989" s="87" t="str">
        <f>IFERROR(__xludf.DUMMYFUNCTION("""COMPUTED_VALUE"""),"VIATURA")</f>
        <v>VIATURA</v>
      </c>
      <c r="E1989" s="87" t="str">
        <f>IFERROR(__xludf.DUMMYFUNCTION("""COMPUTED_VALUE"""),"1 - ASL1080")</f>
        <v>1 - ASL1080</v>
      </c>
      <c r="F1989" s="92" t="str">
        <f>IFERROR(__xludf.DUMMYFUNCTION("""COMPUTED_VALUE"""),"CARROCERIA")</f>
        <v>CARROCERIA</v>
      </c>
      <c r="G1989" s="89"/>
      <c r="H1989" s="87"/>
      <c r="I1989" s="87"/>
    </row>
    <row r="1990">
      <c r="A1990" s="84">
        <f>IFERROR(__xludf.DUMMYFUNCTION("""COMPUTED_VALUE"""),200.0)</f>
        <v>200</v>
      </c>
      <c r="B1990" s="85" t="str">
        <f>IFERROR(__xludf.DUMMYFUNCTION("""COMPUTED_VALUE"""),"FERRAMENTA DE CORTE (TITAN CRASH AXE)")</f>
        <v>FERRAMENTA DE CORTE (TITAN CRASH AXE)</v>
      </c>
      <c r="C1990" s="86">
        <f>IFERROR(__xludf.DUMMYFUNCTION("""COMPUTED_VALUE"""),1.0)</f>
        <v>1</v>
      </c>
      <c r="D1990" s="87" t="str">
        <f>IFERROR(__xludf.DUMMYFUNCTION("""COMPUTED_VALUE"""),"VIATURA")</f>
        <v>VIATURA</v>
      </c>
      <c r="E1990" s="87" t="str">
        <f>IFERROR(__xludf.DUMMYFUNCTION("""COMPUTED_VALUE"""),"1 - ASL1080")</f>
        <v>1 - ASL1080</v>
      </c>
      <c r="F1990" s="92" t="str">
        <f>IFERROR(__xludf.DUMMYFUNCTION("""COMPUTED_VALUE"""),"CARROCERIA")</f>
        <v>CARROCERIA</v>
      </c>
      <c r="G1990" s="89"/>
      <c r="H1990" s="87"/>
      <c r="I1990" s="87"/>
    </row>
    <row r="1991">
      <c r="A1991" s="84">
        <f>IFERROR(__xludf.DUMMYFUNCTION("""COMPUTED_VALUE"""),201.0)</f>
        <v>201</v>
      </c>
      <c r="B1991" s="85" t="str">
        <f>IFERROR(__xludf.DUMMYFUNCTION("""COMPUTED_VALUE"""),"BARRA HALLIGAN")</f>
        <v>BARRA HALLIGAN</v>
      </c>
      <c r="C1991" s="86">
        <f>IFERROR(__xludf.DUMMYFUNCTION("""COMPUTED_VALUE"""),1.0)</f>
        <v>1</v>
      </c>
      <c r="D1991" s="87" t="str">
        <f>IFERROR(__xludf.DUMMYFUNCTION("""COMPUTED_VALUE"""),"VIATURA")</f>
        <v>VIATURA</v>
      </c>
      <c r="E1991" s="87" t="str">
        <f>IFERROR(__xludf.DUMMYFUNCTION("""COMPUTED_VALUE"""),"1 - ASL1080")</f>
        <v>1 - ASL1080</v>
      </c>
      <c r="F1991" s="92" t="str">
        <f>IFERROR(__xludf.DUMMYFUNCTION("""COMPUTED_VALUE"""),"CARROCERIA")</f>
        <v>CARROCERIA</v>
      </c>
      <c r="G1991" s="89"/>
      <c r="H1991" s="87"/>
      <c r="I1991" s="87"/>
    </row>
    <row r="1992">
      <c r="A1992" s="84">
        <f>IFERROR(__xludf.DUMMYFUNCTION("""COMPUTED_VALUE"""),202.0)</f>
        <v>202</v>
      </c>
      <c r="B1992" s="85" t="str">
        <f>IFERROR(__xludf.DUMMYFUNCTION("""COMPUTED_VALUE"""),"CINTO SEGURANÇA - TIPO: PARAQUEDISTA C/ MOSQUETÃO")</f>
        <v>CINTO SEGURANÇA - TIPO: PARAQUEDISTA C/ MOSQUETÃO</v>
      </c>
      <c r="C1992" s="86">
        <f>IFERROR(__xludf.DUMMYFUNCTION("""COMPUTED_VALUE"""),2.0)</f>
        <v>2</v>
      </c>
      <c r="D1992" s="87" t="str">
        <f>IFERROR(__xludf.DUMMYFUNCTION("""COMPUTED_VALUE"""),"VIATURA")</f>
        <v>VIATURA</v>
      </c>
      <c r="E1992" s="87" t="str">
        <f>IFERROR(__xludf.DUMMYFUNCTION("""COMPUTED_VALUE"""),"1 - ASL1080")</f>
        <v>1 - ASL1080</v>
      </c>
      <c r="F1992" s="92" t="str">
        <f>IFERROR(__xludf.DUMMYFUNCTION("""COMPUTED_VALUE"""),"BOLSA DE SALV. ALTURA")</f>
        <v>BOLSA DE SALV. ALTURA</v>
      </c>
      <c r="G1992" s="89"/>
      <c r="H1992" s="87"/>
      <c r="I1992" s="87" t="str">
        <f>IFERROR(__xludf.DUMMYFUNCTION("""COMPUTED_VALUE"""),"baudriers Ultra Safe com um mosquetão de aço oval cada")</f>
        <v>baudriers Ultra Safe com um mosquetão de aço oval cada</v>
      </c>
    </row>
    <row r="1993">
      <c r="A1993" s="84">
        <f>IFERROR(__xludf.DUMMYFUNCTION("""COMPUTED_VALUE"""),203.0)</f>
        <v>203</v>
      </c>
      <c r="B1993" s="85" t="str">
        <f>IFERROR(__xludf.DUMMYFUNCTION("""COMPUTED_VALUE"""),"ANEL DE FITA 120 CM")</f>
        <v>ANEL DE FITA 120 CM</v>
      </c>
      <c r="C1993" s="86">
        <f>IFERROR(__xludf.DUMMYFUNCTION("""COMPUTED_VALUE"""),3.0)</f>
        <v>3</v>
      </c>
      <c r="D1993" s="87" t="str">
        <f>IFERROR(__xludf.DUMMYFUNCTION("""COMPUTED_VALUE"""),"VIATURA")</f>
        <v>VIATURA</v>
      </c>
      <c r="E1993" s="87" t="str">
        <f>IFERROR(__xludf.DUMMYFUNCTION("""COMPUTED_VALUE"""),"1 - ASL1080")</f>
        <v>1 - ASL1080</v>
      </c>
      <c r="F1993" s="92" t="str">
        <f>IFERROR(__xludf.DUMMYFUNCTION("""COMPUTED_VALUE"""),"BOLSA DE SALV. ALTURA")</f>
        <v>BOLSA DE SALV. ALTURA</v>
      </c>
      <c r="G1993" s="89"/>
      <c r="H1993" s="87"/>
      <c r="I1993" s="87"/>
    </row>
    <row r="1994">
      <c r="A1994" s="84">
        <f>IFERROR(__xludf.DUMMYFUNCTION("""COMPUTED_VALUE"""),204.0)</f>
        <v>204</v>
      </c>
      <c r="B1994" s="85" t="str">
        <f>IFERROR(__xludf.DUMMYFUNCTION("""COMPUTED_VALUE"""),"ANEL DE FITA 80CM")</f>
        <v>ANEL DE FITA 80CM</v>
      </c>
      <c r="C1994" s="86">
        <f>IFERROR(__xludf.DUMMYFUNCTION("""COMPUTED_VALUE"""),3.0)</f>
        <v>3</v>
      </c>
      <c r="D1994" s="87" t="str">
        <f>IFERROR(__xludf.DUMMYFUNCTION("""COMPUTED_VALUE"""),"VIATURA")</f>
        <v>VIATURA</v>
      </c>
      <c r="E1994" s="87" t="str">
        <f>IFERROR(__xludf.DUMMYFUNCTION("""COMPUTED_VALUE"""),"1 - ASL1080")</f>
        <v>1 - ASL1080</v>
      </c>
      <c r="F1994" s="92" t="str">
        <f>IFERROR(__xludf.DUMMYFUNCTION("""COMPUTED_VALUE"""),"BOLSA DE SALV. ALTURA")</f>
        <v>BOLSA DE SALV. ALTURA</v>
      </c>
      <c r="G1994" s="89"/>
      <c r="H1994" s="87"/>
      <c r="I1994" s="87"/>
    </row>
    <row r="1995">
      <c r="A1995" s="84">
        <f>IFERROR(__xludf.DUMMYFUNCTION("""COMPUTED_VALUE"""),205.0)</f>
        <v>205</v>
      </c>
      <c r="B1995" s="85" t="str">
        <f>IFERROR(__xludf.DUMMYFUNCTION("""COMPUTED_VALUE"""),"ANEL DE FITA 60CM")</f>
        <v>ANEL DE FITA 60CM</v>
      </c>
      <c r="C1995" s="86">
        <f>IFERROR(__xludf.DUMMYFUNCTION("""COMPUTED_VALUE"""),3.0)</f>
        <v>3</v>
      </c>
      <c r="D1995" s="87" t="str">
        <f>IFERROR(__xludf.DUMMYFUNCTION("""COMPUTED_VALUE"""),"VIATURA")</f>
        <v>VIATURA</v>
      </c>
      <c r="E1995" s="87" t="str">
        <f>IFERROR(__xludf.DUMMYFUNCTION("""COMPUTED_VALUE"""),"1 - ASL1080")</f>
        <v>1 - ASL1080</v>
      </c>
      <c r="F1995" s="92" t="str">
        <f>IFERROR(__xludf.DUMMYFUNCTION("""COMPUTED_VALUE"""),"BOLSA DE SALV. ALTURA")</f>
        <v>BOLSA DE SALV. ALTURA</v>
      </c>
      <c r="G1995" s="89"/>
      <c r="H1995" s="87"/>
      <c r="I1995" s="87"/>
    </row>
    <row r="1996">
      <c r="A1996" s="84">
        <f>IFERROR(__xludf.DUMMYFUNCTION("""COMPUTED_VALUE"""),206.0)</f>
        <v>206</v>
      </c>
      <c r="B1996" s="85" t="str">
        <f>IFERROR(__xludf.DUMMYFUNCTION("""COMPUTED_VALUE"""),"FREIO OITO -")</f>
        <v>FREIO OITO -</v>
      </c>
      <c r="C1996" s="86">
        <f>IFERROR(__xludf.DUMMYFUNCTION("""COMPUTED_VALUE"""),4.0)</f>
        <v>4</v>
      </c>
      <c r="D1996" s="87" t="str">
        <f>IFERROR(__xludf.DUMMYFUNCTION("""COMPUTED_VALUE"""),"VIATURA")</f>
        <v>VIATURA</v>
      </c>
      <c r="E1996" s="87" t="str">
        <f>IFERROR(__xludf.DUMMYFUNCTION("""COMPUTED_VALUE"""),"1 - ASL1080")</f>
        <v>1 - ASL1080</v>
      </c>
      <c r="F1996" s="92" t="str">
        <f>IFERROR(__xludf.DUMMYFUNCTION("""COMPUTED_VALUE"""),"BOLSA DE SALV. ALTURA")</f>
        <v>BOLSA DE SALV. ALTURA</v>
      </c>
      <c r="G1996" s="89"/>
      <c r="H1996" s="87"/>
      <c r="I1996" s="87"/>
    </row>
    <row r="1997">
      <c r="A1997" s="84">
        <f>IFERROR(__xludf.DUMMYFUNCTION("""COMPUTED_VALUE"""),207.0)</f>
        <v>207</v>
      </c>
      <c r="B1997" s="85" t="str">
        <f>IFERROR(__xludf.DUMMYFUNCTION("""COMPUTED_VALUE"""),"FREIO OITO DE RESGATE")</f>
        <v>FREIO OITO DE RESGATE</v>
      </c>
      <c r="C1997" s="86">
        <f>IFERROR(__xludf.DUMMYFUNCTION("""COMPUTED_VALUE"""),2.0)</f>
        <v>2</v>
      </c>
      <c r="D1997" s="87" t="str">
        <f>IFERROR(__xludf.DUMMYFUNCTION("""COMPUTED_VALUE"""),"VIATURA")</f>
        <v>VIATURA</v>
      </c>
      <c r="E1997" s="87" t="str">
        <f>IFERROR(__xludf.DUMMYFUNCTION("""COMPUTED_VALUE"""),"1 - ASL1080")</f>
        <v>1 - ASL1080</v>
      </c>
      <c r="F1997" s="92" t="str">
        <f>IFERROR(__xludf.DUMMYFUNCTION("""COMPUTED_VALUE"""),"BOLSA DE SALV. ALTURA")</f>
        <v>BOLSA DE SALV. ALTURA</v>
      </c>
      <c r="G1997" s="89"/>
      <c r="H1997" s="87"/>
      <c r="I1997" s="87"/>
    </row>
    <row r="1998">
      <c r="A1998" s="84">
        <f>IFERROR(__xludf.DUMMYFUNCTION("""COMPUTED_VALUE"""),208.0)</f>
        <v>208</v>
      </c>
      <c r="B1998" s="85" t="str">
        <f>IFERROR(__xludf.DUMMYFUNCTION("""COMPUTED_VALUE"""),"MOSQUETÃO DE ALUMÍNIO")</f>
        <v>MOSQUETÃO DE ALUMÍNIO</v>
      </c>
      <c r="C1998" s="86">
        <f>IFERROR(__xludf.DUMMYFUNCTION("""COMPUTED_VALUE"""),6.0)</f>
        <v>6</v>
      </c>
      <c r="D1998" s="87" t="str">
        <f>IFERROR(__xludf.DUMMYFUNCTION("""COMPUTED_VALUE"""),"VIATURA")</f>
        <v>VIATURA</v>
      </c>
      <c r="E1998" s="87" t="str">
        <f>IFERROR(__xludf.DUMMYFUNCTION("""COMPUTED_VALUE"""),"1 - ASL1080")</f>
        <v>1 - ASL1080</v>
      </c>
      <c r="F1998" s="92" t="str">
        <f>IFERROR(__xludf.DUMMYFUNCTION("""COMPUTED_VALUE"""),"BOLSA DE SALV. ALTURA")</f>
        <v>BOLSA DE SALV. ALTURA</v>
      </c>
      <c r="G1998" s="89"/>
      <c r="H1998" s="87"/>
      <c r="I1998" s="87" t="str">
        <f>IFERROR(__xludf.DUMMYFUNCTION("""COMPUTED_VALUE"""),"mosquetões de alumínio de trava automática marca Rock Exotica")</f>
        <v>mosquetões de alumínio de trava automática marca Rock Exotica</v>
      </c>
    </row>
    <row r="1999">
      <c r="A1999" s="84">
        <f>IFERROR(__xludf.DUMMYFUNCTION("""COMPUTED_VALUE"""),209.0)</f>
        <v>209</v>
      </c>
      <c r="B1999" s="85" t="str">
        <f>IFERROR(__xludf.DUMMYFUNCTION("""COMPUTED_VALUE"""),"MOSQUETÃO DE ALUMÍNIO")</f>
        <v>MOSQUETÃO DE ALUMÍNIO</v>
      </c>
      <c r="C1999" s="86">
        <f>IFERROR(__xludf.DUMMYFUNCTION("""COMPUTED_VALUE"""),2.0)</f>
        <v>2</v>
      </c>
      <c r="D1999" s="87" t="str">
        <f>IFERROR(__xludf.DUMMYFUNCTION("""COMPUTED_VALUE"""),"VIATURA")</f>
        <v>VIATURA</v>
      </c>
      <c r="E1999" s="87" t="str">
        <f>IFERROR(__xludf.DUMMYFUNCTION("""COMPUTED_VALUE"""),"1 - ASL1080")</f>
        <v>1 - ASL1080</v>
      </c>
      <c r="F1999" s="92" t="str">
        <f>IFERROR(__xludf.DUMMYFUNCTION("""COMPUTED_VALUE"""),"BOLSA DE SALV. ALTURA")</f>
        <v>BOLSA DE SALV. ALTURA</v>
      </c>
      <c r="G1999" s="89"/>
      <c r="H1999" s="87"/>
      <c r="I1999" s="87" t="str">
        <f>IFERROR(__xludf.DUMMYFUNCTION("""COMPUTED_VALUE"""),"mosquetões de alumínio de trava automática marca William")</f>
        <v>mosquetões de alumínio de trava automática marca William</v>
      </c>
    </row>
    <row r="2000">
      <c r="A2000" s="84">
        <f>IFERROR(__xludf.DUMMYFUNCTION("""COMPUTED_VALUE"""),210.0)</f>
        <v>210</v>
      </c>
      <c r="B2000" s="85" t="str">
        <f>IFERROR(__xludf.DUMMYFUNCTION("""COMPUTED_VALUE"""),"MOSQUETAO DE ALUMINIO OVAL")</f>
        <v>MOSQUETAO DE ALUMINIO OVAL</v>
      </c>
      <c r="C2000" s="86">
        <f>IFERROR(__xludf.DUMMYFUNCTION("""COMPUTED_VALUE"""),3.0)</f>
        <v>3</v>
      </c>
      <c r="D2000" s="87" t="str">
        <f>IFERROR(__xludf.DUMMYFUNCTION("""COMPUTED_VALUE"""),"VIATURA")</f>
        <v>VIATURA</v>
      </c>
      <c r="E2000" s="87" t="str">
        <f>IFERROR(__xludf.DUMMYFUNCTION("""COMPUTED_VALUE"""),"1 - ASL1080")</f>
        <v>1 - ASL1080</v>
      </c>
      <c r="F2000" s="92" t="str">
        <f>IFERROR(__xludf.DUMMYFUNCTION("""COMPUTED_VALUE"""),"BOLSA DE SALV. ALTURA")</f>
        <v>BOLSA DE SALV. ALTURA</v>
      </c>
      <c r="G2000" s="89"/>
      <c r="H2000" s="87"/>
      <c r="I2000" s="87"/>
    </row>
    <row r="2001">
      <c r="A2001" s="84">
        <f>IFERROR(__xludf.DUMMYFUNCTION("""COMPUTED_VALUE"""),211.0)</f>
        <v>211</v>
      </c>
      <c r="B2001" s="85" t="str">
        <f>IFERROR(__xludf.DUMMYFUNCTION("""COMPUTED_VALUE"""),"MOSQUETÃO DE AÇO")</f>
        <v>MOSQUETÃO DE AÇO</v>
      </c>
      <c r="C2001" s="86">
        <f>IFERROR(__xludf.DUMMYFUNCTION("""COMPUTED_VALUE"""),2.0)</f>
        <v>2</v>
      </c>
      <c r="D2001" s="87" t="str">
        <f>IFERROR(__xludf.DUMMYFUNCTION("""COMPUTED_VALUE"""),"VIATURA")</f>
        <v>VIATURA</v>
      </c>
      <c r="E2001" s="87" t="str">
        <f>IFERROR(__xludf.DUMMYFUNCTION("""COMPUTED_VALUE"""),"1 - ASL1080")</f>
        <v>1 - ASL1080</v>
      </c>
      <c r="F2001" s="92" t="str">
        <f>IFERROR(__xludf.DUMMYFUNCTION("""COMPUTED_VALUE"""),"BOLSA DE SALV. ALTURA")</f>
        <v>BOLSA DE SALV. ALTURA</v>
      </c>
      <c r="G2001" s="89"/>
      <c r="H2001" s="87"/>
      <c r="I2001" s="87"/>
    </row>
    <row r="2002">
      <c r="A2002" s="84">
        <f>IFERROR(__xludf.DUMMYFUNCTION("""COMPUTED_VALUE"""),212.0)</f>
        <v>212</v>
      </c>
      <c r="B2002" s="85" t="str">
        <f>IFERROR(__xludf.DUMMYFUNCTION("""COMPUTED_VALUE"""),"DESCENSOR AUTOBLOCANTE (RIG)")</f>
        <v>DESCENSOR AUTOBLOCANTE (RIG)</v>
      </c>
      <c r="C2002" s="86">
        <f>IFERROR(__xludf.DUMMYFUNCTION("""COMPUTED_VALUE"""),2.0)</f>
        <v>2</v>
      </c>
      <c r="D2002" s="87" t="str">
        <f>IFERROR(__xludf.DUMMYFUNCTION("""COMPUTED_VALUE"""),"VIATURA")</f>
        <v>VIATURA</v>
      </c>
      <c r="E2002" s="87" t="str">
        <f>IFERROR(__xludf.DUMMYFUNCTION("""COMPUTED_VALUE"""),"1 - ASL1080")</f>
        <v>1 - ASL1080</v>
      </c>
      <c r="F2002" s="92" t="str">
        <f>IFERROR(__xludf.DUMMYFUNCTION("""COMPUTED_VALUE"""),"BOLSA DE SALV. ALTURA")</f>
        <v>BOLSA DE SALV. ALTURA</v>
      </c>
      <c r="G2002" s="89"/>
      <c r="H2002" s="87"/>
      <c r="I2002" s="87" t="str">
        <f>IFERROR(__xludf.DUMMYFUNCTION("""COMPUTED_VALUE"""),"RIG - Descensor Autoblocante, para cordas de 10 a 11,5 mm, marca Petzl.")</f>
        <v>RIG - Descensor Autoblocante, para cordas de 10 a 11,5 mm, marca Petzl.</v>
      </c>
    </row>
    <row r="2003">
      <c r="A2003" s="84">
        <f>IFERROR(__xludf.DUMMYFUNCTION("""COMPUTED_VALUE"""),213.0)</f>
        <v>213</v>
      </c>
      <c r="B2003" s="85" t="str">
        <f>IFERROR(__xludf.DUMMYFUNCTION("""COMPUTED_VALUE"""),"POLIA SIMPLES 36 KN ")</f>
        <v>POLIA SIMPLES 36 KN </v>
      </c>
      <c r="C2003" s="86">
        <f>IFERROR(__xludf.DUMMYFUNCTION("""COMPUTED_VALUE"""),2.0)</f>
        <v>2</v>
      </c>
      <c r="D2003" s="87" t="str">
        <f>IFERROR(__xludf.DUMMYFUNCTION("""COMPUTED_VALUE"""),"VIATURA")</f>
        <v>VIATURA</v>
      </c>
      <c r="E2003" s="87" t="str">
        <f>IFERROR(__xludf.DUMMYFUNCTION("""COMPUTED_VALUE"""),"1 - ASL1080")</f>
        <v>1 - ASL1080</v>
      </c>
      <c r="F2003" s="92" t="str">
        <f>IFERROR(__xludf.DUMMYFUNCTION("""COMPUTED_VALUE"""),"BOLSA DE SALV. ALTURA")</f>
        <v>BOLSA DE SALV. ALTURA</v>
      </c>
      <c r="G2003" s="89"/>
      <c r="H2003" s="87"/>
      <c r="I2003" s="87" t="str">
        <f>IFERROR(__xludf.DUMMYFUNCTION("""COMPUTED_VALUE"""),"polias simples cor preta marca Rock Exotica 36Kn")</f>
        <v>polias simples cor preta marca Rock Exotica 36Kn</v>
      </c>
    </row>
    <row r="2004">
      <c r="A2004" s="84">
        <f>IFERROR(__xludf.DUMMYFUNCTION("""COMPUTED_VALUE"""),214.0)</f>
        <v>214</v>
      </c>
      <c r="B2004" s="85" t="str">
        <f>IFERROR(__xludf.DUMMYFUNCTION("""COMPUTED_VALUE"""),"POLIA DUPLA 40 KN (AZUL)")</f>
        <v>POLIA DUPLA 40 KN (AZUL)</v>
      </c>
      <c r="C2004" s="86">
        <f>IFERROR(__xludf.DUMMYFUNCTION("""COMPUTED_VALUE"""),2.0)</f>
        <v>2</v>
      </c>
      <c r="D2004" s="87" t="str">
        <f>IFERROR(__xludf.DUMMYFUNCTION("""COMPUTED_VALUE"""),"VIATURA")</f>
        <v>VIATURA</v>
      </c>
      <c r="E2004" s="87" t="str">
        <f>IFERROR(__xludf.DUMMYFUNCTION("""COMPUTED_VALUE"""),"1 - ASL1080")</f>
        <v>1 - ASL1080</v>
      </c>
      <c r="F2004" s="92" t="str">
        <f>IFERROR(__xludf.DUMMYFUNCTION("""COMPUTED_VALUE"""),"BOLSA DE SALV. ALTURA")</f>
        <v>BOLSA DE SALV. ALTURA</v>
      </c>
      <c r="G2004" s="89"/>
      <c r="H2004" s="87"/>
      <c r="I2004" s="87" t="str">
        <f>IFERROR(__xludf.DUMMYFUNCTION("""COMPUTED_VALUE"""),"polias duplas cor preta marca Rock Exotica 40Kn")</f>
        <v>polias duplas cor preta marca Rock Exotica 40Kn</v>
      </c>
    </row>
    <row r="2005">
      <c r="A2005" s="84">
        <f>IFERROR(__xludf.DUMMYFUNCTION("""COMPUTED_VALUE"""),215.0)</f>
        <v>215</v>
      </c>
      <c r="B2005" s="85" t="str">
        <f>IFERROR(__xludf.DUMMYFUNCTION("""COMPUTED_VALUE"""),"PASSADOR DE CORDAS SEGMENTADO")</f>
        <v>PASSADOR DE CORDAS SEGMENTADO</v>
      </c>
      <c r="C2005" s="86">
        <f>IFERROR(__xludf.DUMMYFUNCTION("""COMPUTED_VALUE"""),1.0)</f>
        <v>1</v>
      </c>
      <c r="D2005" s="87" t="str">
        <f>IFERROR(__xludf.DUMMYFUNCTION("""COMPUTED_VALUE"""),"VIATURA")</f>
        <v>VIATURA</v>
      </c>
      <c r="E2005" s="87" t="str">
        <f>IFERROR(__xludf.DUMMYFUNCTION("""COMPUTED_VALUE"""),"1 - ASL1080")</f>
        <v>1 - ASL1080</v>
      </c>
      <c r="F2005" s="92" t="str">
        <f>IFERROR(__xludf.DUMMYFUNCTION("""COMPUTED_VALUE"""),"BOLSA DE SALV. ALTURA")</f>
        <v>BOLSA DE SALV. ALTURA</v>
      </c>
      <c r="G2005" s="89"/>
      <c r="H2005" s="87"/>
      <c r="I2005" s="87" t="str">
        <f>IFERROR(__xludf.DUMMYFUNCTION("""COMPUTED_VALUE"""),"passador de cordas segmentado contendo 04 placas")</f>
        <v>passador de cordas segmentado contendo 04 placas</v>
      </c>
    </row>
    <row r="2006">
      <c r="A2006" s="84">
        <f>IFERROR(__xludf.DUMMYFUNCTION("""COMPUTED_VALUE"""),216.0)</f>
        <v>216</v>
      </c>
      <c r="B2006" s="85" t="str">
        <f>IFERROR(__xludf.DUMMYFUNCTION("""COMPUTED_VALUE"""),"PLACA MULTI ANCORAGEM ")</f>
        <v>PLACA MULTI ANCORAGEM </v>
      </c>
      <c r="C2006" s="86">
        <f>IFERROR(__xludf.DUMMYFUNCTION("""COMPUTED_VALUE"""),1.0)</f>
        <v>1</v>
      </c>
      <c r="D2006" s="87" t="str">
        <f>IFERROR(__xludf.DUMMYFUNCTION("""COMPUTED_VALUE"""),"VIATURA")</f>
        <v>VIATURA</v>
      </c>
      <c r="E2006" s="87" t="str">
        <f>IFERROR(__xludf.DUMMYFUNCTION("""COMPUTED_VALUE"""),"1 - ASL1080")</f>
        <v>1 - ASL1080</v>
      </c>
      <c r="F2006" s="92" t="str">
        <f>IFERROR(__xludf.DUMMYFUNCTION("""COMPUTED_VALUE"""),"BOLSA DE SALV. ALTURA")</f>
        <v>BOLSA DE SALV. ALTURA</v>
      </c>
      <c r="G2006" s="89"/>
      <c r="H2006" s="87"/>
      <c r="I2006" s="87" t="str">
        <f>IFERROR(__xludf.DUMMYFUNCTION("""COMPUTED_VALUE"""),"Marca: Rock exótica tipo Bolt")</f>
        <v>Marca: Rock exótica tipo Bolt</v>
      </c>
    </row>
    <row r="2007">
      <c r="A2007" s="84">
        <f>IFERROR(__xludf.DUMMYFUNCTION("""COMPUTED_VALUE"""),217.0)</f>
        <v>217</v>
      </c>
      <c r="B2007" s="85" t="str">
        <f>IFERROR(__xludf.DUMMYFUNCTION("""COMPUTED_VALUE"""),"CORDA PARA SALVAMENTO EM ALTURA - 50M")</f>
        <v>CORDA PARA SALVAMENTO EM ALTURA - 50M</v>
      </c>
      <c r="C2007" s="86">
        <f>IFERROR(__xludf.DUMMYFUNCTION("""COMPUTED_VALUE"""),1.0)</f>
        <v>1</v>
      </c>
      <c r="D2007" s="87" t="str">
        <f>IFERROR(__xludf.DUMMYFUNCTION("""COMPUTED_VALUE"""),"VIATURA")</f>
        <v>VIATURA</v>
      </c>
      <c r="E2007" s="87" t="str">
        <f>IFERROR(__xludf.DUMMYFUNCTION("""COMPUTED_VALUE"""),"1 - ASL1080")</f>
        <v>1 - ASL1080</v>
      </c>
      <c r="F2007" s="92" t="str">
        <f>IFERROR(__xludf.DUMMYFUNCTION("""COMPUTED_VALUE"""),"BOLSA DE SALV. ALTURA")</f>
        <v>BOLSA DE SALV. ALTURA</v>
      </c>
      <c r="G2007" s="89"/>
      <c r="H2007" s="87"/>
      <c r="I2007" s="87" t="str">
        <f>IFERROR(__xludf.DUMMYFUNCTION("""COMPUTED_VALUE"""),"placa de multiancoragem vermelha marca Rock Exotica tipo Bolt")</f>
        <v>placa de multiancoragem vermelha marca Rock Exotica tipo Bolt</v>
      </c>
    </row>
    <row r="2008">
      <c r="A2008" s="84">
        <f>IFERROR(__xludf.DUMMYFUNCTION("""COMPUTED_VALUE"""),218.0)</f>
        <v>218</v>
      </c>
      <c r="B2008" s="85" t="str">
        <f>IFERROR(__xludf.DUMMYFUNCTION("""COMPUTED_VALUE"""),"CORDA PARA SALVAMENTO EM ALTURA - 30M")</f>
        <v>CORDA PARA SALVAMENTO EM ALTURA - 30M</v>
      </c>
      <c r="C2008" s="86">
        <f>IFERROR(__xludf.DUMMYFUNCTION("""COMPUTED_VALUE"""),1.0)</f>
        <v>1</v>
      </c>
      <c r="D2008" s="87" t="str">
        <f>IFERROR(__xludf.DUMMYFUNCTION("""COMPUTED_VALUE"""),"VIATURA")</f>
        <v>VIATURA</v>
      </c>
      <c r="E2008" s="87" t="str">
        <f>IFERROR(__xludf.DUMMYFUNCTION("""COMPUTED_VALUE"""),"1 - ASL1080")</f>
        <v>1 - ASL1080</v>
      </c>
      <c r="F2008" s="92" t="str">
        <f>IFERROR(__xludf.DUMMYFUNCTION("""COMPUTED_VALUE"""),"BOLSA DE SALV. ALTURA")</f>
        <v>BOLSA DE SALV. ALTURA</v>
      </c>
      <c r="G2008" s="89"/>
      <c r="H2008" s="87"/>
      <c r="I2008" s="87" t="str">
        <f>IFERROR(__xludf.DUMMYFUNCTION("""COMPUTED_VALUE"""),"Corda para Salvamento em Altura (preta/branca).")</f>
        <v>Corda para Salvamento em Altura (preta/branca).</v>
      </c>
    </row>
    <row r="2009">
      <c r="A2009" s="84">
        <f>IFERROR(__xludf.DUMMYFUNCTION("""COMPUTED_VALUE"""),219.0)</f>
        <v>219</v>
      </c>
      <c r="B2009" s="85" t="str">
        <f>IFERROR(__xludf.DUMMYFUNCTION("""COMPUTED_VALUE"""),"CABO SOLTEIRO")</f>
        <v>CABO SOLTEIRO</v>
      </c>
      <c r="C2009" s="86">
        <f>IFERROR(__xludf.DUMMYFUNCTION("""COMPUTED_VALUE"""),3.0)</f>
        <v>3</v>
      </c>
      <c r="D2009" s="87" t="str">
        <f>IFERROR(__xludf.DUMMYFUNCTION("""COMPUTED_VALUE"""),"VIATURA")</f>
        <v>VIATURA</v>
      </c>
      <c r="E2009" s="87" t="str">
        <f>IFERROR(__xludf.DUMMYFUNCTION("""COMPUTED_VALUE"""),"1 - ASL1080")</f>
        <v>1 - ASL1080</v>
      </c>
      <c r="F2009" s="92" t="str">
        <f>IFERROR(__xludf.DUMMYFUNCTION("""COMPUTED_VALUE"""),"BOLSA DE SALV. ALTURA")</f>
        <v>BOLSA DE SALV. ALTURA</v>
      </c>
      <c r="G2009" s="89"/>
      <c r="H2009" s="87"/>
      <c r="I2009" s="87"/>
    </row>
    <row r="2010">
      <c r="A2010" s="84">
        <f>IFERROR(__xludf.DUMMYFUNCTION("""COMPUTED_VALUE"""),220.0)</f>
        <v>220</v>
      </c>
      <c r="B2010" s="85" t="str">
        <f>IFERROR(__xludf.DUMMYFUNCTION("""COMPUTED_VALUE"""),"PULSAR")</f>
        <v>PULSAR</v>
      </c>
      <c r="C2010" s="86">
        <f>IFERROR(__xludf.DUMMYFUNCTION("""COMPUTED_VALUE"""),1.0)</f>
        <v>1</v>
      </c>
      <c r="D2010" s="87" t="str">
        <f>IFERROR(__xludf.DUMMYFUNCTION("""COMPUTED_VALUE"""),"VIATURA")</f>
        <v>VIATURA</v>
      </c>
      <c r="E2010" s="87" t="str">
        <f>IFERROR(__xludf.DUMMYFUNCTION("""COMPUTED_VALUE"""),"1 - ASL1080")</f>
        <v>1 - ASL1080</v>
      </c>
      <c r="F2010" s="92" t="str">
        <f>IFERROR(__xludf.DUMMYFUNCTION("""COMPUTED_VALUE"""),"CARROCERIA")</f>
        <v>CARROCERIA</v>
      </c>
      <c r="G2010" s="89"/>
      <c r="H2010" s="87"/>
      <c r="I2010" s="87"/>
    </row>
    <row r="2011">
      <c r="A2011" s="84">
        <f>IFERROR(__xludf.DUMMYFUNCTION("""COMPUTED_VALUE"""),221.0)</f>
        <v>221</v>
      </c>
      <c r="B2011" s="85" t="str">
        <f>IFERROR(__xludf.DUMMYFUNCTION("""COMPUTED_VALUE"""),"PRANCHA LONGA")</f>
        <v>PRANCHA LONGA</v>
      </c>
      <c r="C2011" s="86">
        <f>IFERROR(__xludf.DUMMYFUNCTION("""COMPUTED_VALUE"""),1.0)</f>
        <v>1</v>
      </c>
      <c r="D2011" s="87" t="str">
        <f>IFERROR(__xludf.DUMMYFUNCTION("""COMPUTED_VALUE"""),"VIATURA")</f>
        <v>VIATURA</v>
      </c>
      <c r="E2011" s="87" t="str">
        <f>IFERROR(__xludf.DUMMYFUNCTION("""COMPUTED_VALUE"""),"1 - ASL1080")</f>
        <v>1 - ASL1080</v>
      </c>
      <c r="F2011" s="92" t="str">
        <f>IFERROR(__xludf.DUMMYFUNCTION("""COMPUTED_VALUE"""),"CARROCERIA")</f>
        <v>CARROCERIA</v>
      </c>
      <c r="G2011" s="89"/>
      <c r="H2011" s="87"/>
      <c r="I2011" s="87" t="str">
        <f>IFERROR(__xludf.DUMMYFUNCTION("""COMPUTED_VALUE"""),"COM TIRANTE")</f>
        <v>COM TIRANTE</v>
      </c>
    </row>
    <row r="2012">
      <c r="A2012" s="84">
        <f>IFERROR(__xludf.DUMMYFUNCTION("""COMPUTED_VALUE"""),222.0)</f>
        <v>222</v>
      </c>
      <c r="B2012" s="85" t="str">
        <f>IFERROR(__xludf.DUMMYFUNCTION("""COMPUTED_VALUE"""),"CAPTURADOR DE COBRA")</f>
        <v>CAPTURADOR DE COBRA</v>
      </c>
      <c r="C2012" s="86">
        <f>IFERROR(__xludf.DUMMYFUNCTION("""COMPUTED_VALUE"""),2.0)</f>
        <v>2</v>
      </c>
      <c r="D2012" s="87" t="str">
        <f>IFERROR(__xludf.DUMMYFUNCTION("""COMPUTED_VALUE"""),"VIATURA")</f>
        <v>VIATURA</v>
      </c>
      <c r="E2012" s="87" t="str">
        <f>IFERROR(__xludf.DUMMYFUNCTION("""COMPUTED_VALUE"""),"1 - ASL1080")</f>
        <v>1 - ASL1080</v>
      </c>
      <c r="F2012" s="92" t="str">
        <f>IFERROR(__xludf.DUMMYFUNCTION("""COMPUTED_VALUE"""),"CARROCERIA")</f>
        <v>CARROCERIA</v>
      </c>
      <c r="G2012" s="89"/>
      <c r="H2012" s="87"/>
      <c r="I2012" s="87"/>
    </row>
    <row r="2013">
      <c r="A2013" s="84">
        <f>IFERROR(__xludf.DUMMYFUNCTION("""COMPUTED_VALUE"""),223.0)</f>
        <v>223</v>
      </c>
      <c r="B2013" s="85" t="str">
        <f>IFERROR(__xludf.DUMMYFUNCTION("""COMPUTED_VALUE"""),"CHAVE DE BOCA/ESTRIA")</f>
        <v>CHAVE DE BOCA/ESTRIA</v>
      </c>
      <c r="C2013" s="86">
        <f>IFERROR(__xludf.DUMMYFUNCTION("""COMPUTED_VALUE"""),10.0)</f>
        <v>10</v>
      </c>
      <c r="D2013" s="87" t="str">
        <f>IFERROR(__xludf.DUMMYFUNCTION("""COMPUTED_VALUE"""),"VIATURA")</f>
        <v>VIATURA</v>
      </c>
      <c r="E2013" s="87" t="str">
        <f>IFERROR(__xludf.DUMMYFUNCTION("""COMPUTED_VALUE"""),"1 - ASL1080")</f>
        <v>1 - ASL1080</v>
      </c>
      <c r="F2013" s="92" t="str">
        <f>IFERROR(__xludf.DUMMYFUNCTION("""COMPUTED_VALUE"""),"CAIXA DE FERRAMENTA")</f>
        <v>CAIXA DE FERRAMENTA</v>
      </c>
      <c r="G2013" s="89"/>
      <c r="H2013" s="87"/>
      <c r="I2013" s="87"/>
    </row>
    <row r="2014">
      <c r="A2014" s="84">
        <f>IFERROR(__xludf.DUMMYFUNCTION("""COMPUTED_VALUE"""),224.0)</f>
        <v>224</v>
      </c>
      <c r="B2014" s="85" t="str">
        <f>IFERROR(__xludf.DUMMYFUNCTION("""COMPUTED_VALUE"""),"CHAVE DE BOCA")</f>
        <v>CHAVE DE BOCA</v>
      </c>
      <c r="C2014" s="86">
        <f>IFERROR(__xludf.DUMMYFUNCTION("""COMPUTED_VALUE"""),6.0)</f>
        <v>6</v>
      </c>
      <c r="D2014" s="87" t="str">
        <f>IFERROR(__xludf.DUMMYFUNCTION("""COMPUTED_VALUE"""),"VIATURA")</f>
        <v>VIATURA</v>
      </c>
      <c r="E2014" s="87" t="str">
        <f>IFERROR(__xludf.DUMMYFUNCTION("""COMPUTED_VALUE"""),"1 - ASL1080")</f>
        <v>1 - ASL1080</v>
      </c>
      <c r="F2014" s="92" t="str">
        <f>IFERROR(__xludf.DUMMYFUNCTION("""COMPUTED_VALUE"""),"CAIXA DE FERRAMENTA")</f>
        <v>CAIXA DE FERRAMENTA</v>
      </c>
      <c r="G2014" s="89"/>
      <c r="H2014" s="87"/>
      <c r="I2014" s="87"/>
    </row>
    <row r="2015">
      <c r="A2015" s="84">
        <f>IFERROR(__xludf.DUMMYFUNCTION("""COMPUTED_VALUE"""),225.0)</f>
        <v>225</v>
      </c>
      <c r="B2015" s="85" t="str">
        <f>IFERROR(__xludf.DUMMYFUNCTION("""COMPUTED_VALUE"""),"CHAVE DE ESTRIA")</f>
        <v>CHAVE DE ESTRIA</v>
      </c>
      <c r="C2015" s="86">
        <f>IFERROR(__xludf.DUMMYFUNCTION("""COMPUTED_VALUE"""),1.0)</f>
        <v>1</v>
      </c>
      <c r="D2015" s="87" t="str">
        <f>IFERROR(__xludf.DUMMYFUNCTION("""COMPUTED_VALUE"""),"VIATURA")</f>
        <v>VIATURA</v>
      </c>
      <c r="E2015" s="87" t="str">
        <f>IFERROR(__xludf.DUMMYFUNCTION("""COMPUTED_VALUE"""),"1 - ASL1080")</f>
        <v>1 - ASL1080</v>
      </c>
      <c r="F2015" s="92" t="str">
        <f>IFERROR(__xludf.DUMMYFUNCTION("""COMPUTED_VALUE"""),"CAIXA DE FERRAMENTA")</f>
        <v>CAIXA DE FERRAMENTA</v>
      </c>
      <c r="G2015" s="89"/>
      <c r="H2015" s="87"/>
      <c r="I2015" s="87"/>
    </row>
    <row r="2016">
      <c r="A2016" s="84">
        <f>IFERROR(__xludf.DUMMYFUNCTION("""COMPUTED_VALUE"""),226.0)</f>
        <v>226</v>
      </c>
      <c r="B2016" s="85" t="str">
        <f>IFERROR(__xludf.DUMMYFUNCTION("""COMPUTED_VALUE"""),"CHAVE DE VELA COMBINADA PARA MOTOSERRA")</f>
        <v>CHAVE DE VELA COMBINADA PARA MOTOSERRA</v>
      </c>
      <c r="C2016" s="86">
        <f>IFERROR(__xludf.DUMMYFUNCTION("""COMPUTED_VALUE"""),3.0)</f>
        <v>3</v>
      </c>
      <c r="D2016" s="87" t="str">
        <f>IFERROR(__xludf.DUMMYFUNCTION("""COMPUTED_VALUE"""),"VIATURA")</f>
        <v>VIATURA</v>
      </c>
      <c r="E2016" s="87" t="str">
        <f>IFERROR(__xludf.DUMMYFUNCTION("""COMPUTED_VALUE"""),"1 - ASL1080")</f>
        <v>1 - ASL1080</v>
      </c>
      <c r="F2016" s="92" t="str">
        <f>IFERROR(__xludf.DUMMYFUNCTION("""COMPUTED_VALUE"""),"CAIXA DE FERRAMENTA")</f>
        <v>CAIXA DE FERRAMENTA</v>
      </c>
      <c r="G2016" s="89"/>
      <c r="H2016" s="87"/>
      <c r="I2016" s="87"/>
    </row>
    <row r="2017">
      <c r="A2017" s="84">
        <f>IFERROR(__xludf.DUMMYFUNCTION("""COMPUTED_VALUE"""),227.0)</f>
        <v>227</v>
      </c>
      <c r="B2017" s="85" t="str">
        <f>IFERROR(__xludf.DUMMYFUNCTION("""COMPUTED_VALUE"""),"CHAVE DE FENDA PARA MOTOSSERRA")</f>
        <v>CHAVE DE FENDA PARA MOTOSSERRA</v>
      </c>
      <c r="C2017" s="86">
        <f>IFERROR(__xludf.DUMMYFUNCTION("""COMPUTED_VALUE"""),1.0)</f>
        <v>1</v>
      </c>
      <c r="D2017" s="87" t="str">
        <f>IFERROR(__xludf.DUMMYFUNCTION("""COMPUTED_VALUE"""),"VIATURA")</f>
        <v>VIATURA</v>
      </c>
      <c r="E2017" s="87" t="str">
        <f>IFERROR(__xludf.DUMMYFUNCTION("""COMPUTED_VALUE"""),"1 - ASL1080")</f>
        <v>1 - ASL1080</v>
      </c>
      <c r="F2017" s="92" t="str">
        <f>IFERROR(__xludf.DUMMYFUNCTION("""COMPUTED_VALUE"""),"CAIXA DE FERRAMENTA")</f>
        <v>CAIXA DE FERRAMENTA</v>
      </c>
      <c r="G2017" s="89"/>
      <c r="H2017" s="87"/>
      <c r="I2017" s="87"/>
    </row>
    <row r="2018">
      <c r="A2018" s="84">
        <f>IFERROR(__xludf.DUMMYFUNCTION("""COMPUTED_VALUE"""),228.0)</f>
        <v>228</v>
      </c>
      <c r="B2018" s="85" t="str">
        <f>IFERROR(__xludf.DUMMYFUNCTION("""COMPUTED_VALUE"""),"CHAVE DE FENDA")</f>
        <v>CHAVE DE FENDA</v>
      </c>
      <c r="C2018" s="86">
        <f>IFERROR(__xludf.DUMMYFUNCTION("""COMPUTED_VALUE"""),2.0)</f>
        <v>2</v>
      </c>
      <c r="D2018" s="87" t="str">
        <f>IFERROR(__xludf.DUMMYFUNCTION("""COMPUTED_VALUE"""),"VIATURA")</f>
        <v>VIATURA</v>
      </c>
      <c r="E2018" s="87" t="str">
        <f>IFERROR(__xludf.DUMMYFUNCTION("""COMPUTED_VALUE"""),"1 - ASL1080")</f>
        <v>1 - ASL1080</v>
      </c>
      <c r="F2018" s="92" t="str">
        <f>IFERROR(__xludf.DUMMYFUNCTION("""COMPUTED_VALUE"""),"CAIXA DE FERRAMENTA")</f>
        <v>CAIXA DE FERRAMENTA</v>
      </c>
      <c r="G2018" s="89"/>
      <c r="H2018" s="87"/>
      <c r="I2018" s="87"/>
    </row>
    <row r="2019">
      <c r="A2019" s="84">
        <f>IFERROR(__xludf.DUMMYFUNCTION("""COMPUTED_VALUE"""),229.0)</f>
        <v>229</v>
      </c>
      <c r="B2019" s="85" t="str">
        <f>IFERROR(__xludf.DUMMYFUNCTION("""COMPUTED_VALUE"""),"CHAVE PHILIPS")</f>
        <v>CHAVE PHILIPS</v>
      </c>
      <c r="C2019" s="86">
        <f>IFERROR(__xludf.DUMMYFUNCTION("""COMPUTED_VALUE"""),3.0)</f>
        <v>3</v>
      </c>
      <c r="D2019" s="87" t="str">
        <f>IFERROR(__xludf.DUMMYFUNCTION("""COMPUTED_VALUE"""),"VIATURA")</f>
        <v>VIATURA</v>
      </c>
      <c r="E2019" s="87" t="str">
        <f>IFERROR(__xludf.DUMMYFUNCTION("""COMPUTED_VALUE"""),"1 - ASL1080")</f>
        <v>1 - ASL1080</v>
      </c>
      <c r="F2019" s="92" t="str">
        <f>IFERROR(__xludf.DUMMYFUNCTION("""COMPUTED_VALUE"""),"CAIXA DE FERRAMENTA")</f>
        <v>CAIXA DE FERRAMENTA</v>
      </c>
      <c r="G2019" s="89"/>
      <c r="H2019" s="87"/>
      <c r="I2019" s="87"/>
    </row>
    <row r="2020">
      <c r="A2020" s="84">
        <f>IFERROR(__xludf.DUMMYFUNCTION("""COMPUTED_VALUE"""),230.0)</f>
        <v>230</v>
      </c>
      <c r="B2020" s="85" t="str">
        <f>IFERROR(__xludf.DUMMYFUNCTION("""COMPUTED_VALUE"""),"CHAVE ""L""")</f>
        <v>CHAVE "L"</v>
      </c>
      <c r="C2020" s="86">
        <f>IFERROR(__xludf.DUMMYFUNCTION("""COMPUTED_VALUE"""),3.0)</f>
        <v>3</v>
      </c>
      <c r="D2020" s="87" t="str">
        <f>IFERROR(__xludf.DUMMYFUNCTION("""COMPUTED_VALUE"""),"VIATURA")</f>
        <v>VIATURA</v>
      </c>
      <c r="E2020" s="87" t="str">
        <f>IFERROR(__xludf.DUMMYFUNCTION("""COMPUTED_VALUE"""),"1 - ASL1080")</f>
        <v>1 - ASL1080</v>
      </c>
      <c r="F2020" s="92" t="str">
        <f>IFERROR(__xludf.DUMMYFUNCTION("""COMPUTED_VALUE"""),"CAIXA DE FERRAMENTA")</f>
        <v>CAIXA DE FERRAMENTA</v>
      </c>
      <c r="G2020" s="89"/>
      <c r="H2020" s="87"/>
      <c r="I2020" s="87"/>
    </row>
    <row r="2021">
      <c r="A2021" s="84">
        <f>IFERROR(__xludf.DUMMYFUNCTION("""COMPUTED_VALUE"""),231.0)</f>
        <v>231</v>
      </c>
      <c r="B2021" s="85" t="str">
        <f>IFERROR(__xludf.DUMMYFUNCTION("""COMPUTED_VALUE"""),"CHAVE INGLESA")</f>
        <v>CHAVE INGLESA</v>
      </c>
      <c r="C2021" s="86">
        <f>IFERROR(__xludf.DUMMYFUNCTION("""COMPUTED_VALUE"""),1.0)</f>
        <v>1</v>
      </c>
      <c r="D2021" s="87" t="str">
        <f>IFERROR(__xludf.DUMMYFUNCTION("""COMPUTED_VALUE"""),"VIATURA")</f>
        <v>VIATURA</v>
      </c>
      <c r="E2021" s="87" t="str">
        <f>IFERROR(__xludf.DUMMYFUNCTION("""COMPUTED_VALUE"""),"1 - ASL1080")</f>
        <v>1 - ASL1080</v>
      </c>
      <c r="F2021" s="92" t="str">
        <f>IFERROR(__xludf.DUMMYFUNCTION("""COMPUTED_VALUE"""),"CAIXA DE FERRAMENTA")</f>
        <v>CAIXA DE FERRAMENTA</v>
      </c>
      <c r="G2021" s="89"/>
      <c r="H2021" s="87"/>
      <c r="I2021" s="87"/>
    </row>
    <row r="2022">
      <c r="A2022" s="84">
        <f>IFERROR(__xludf.DUMMYFUNCTION("""COMPUTED_VALUE"""),232.0)</f>
        <v>232</v>
      </c>
      <c r="B2022" s="85" t="str">
        <f>IFERROR(__xludf.DUMMYFUNCTION("""COMPUTED_VALUE"""),"ALICATE UNIVERSAL")</f>
        <v>ALICATE UNIVERSAL</v>
      </c>
      <c r="C2022" s="86">
        <f>IFERROR(__xludf.DUMMYFUNCTION("""COMPUTED_VALUE"""),2.0)</f>
        <v>2</v>
      </c>
      <c r="D2022" s="87" t="str">
        <f>IFERROR(__xludf.DUMMYFUNCTION("""COMPUTED_VALUE"""),"VIATURA")</f>
        <v>VIATURA</v>
      </c>
      <c r="E2022" s="87" t="str">
        <f>IFERROR(__xludf.DUMMYFUNCTION("""COMPUTED_VALUE"""),"1 - ASL1080")</f>
        <v>1 - ASL1080</v>
      </c>
      <c r="F2022" s="92" t="str">
        <f>IFERROR(__xludf.DUMMYFUNCTION("""COMPUTED_VALUE"""),"CAIXA DE FERRAMENTA")</f>
        <v>CAIXA DE FERRAMENTA</v>
      </c>
      <c r="G2022" s="89"/>
      <c r="H2022" s="87"/>
      <c r="I2022" s="87"/>
    </row>
    <row r="2023">
      <c r="A2023" s="84">
        <f>IFERROR(__xludf.DUMMYFUNCTION("""COMPUTED_VALUE"""),233.0)</f>
        <v>233</v>
      </c>
      <c r="B2023" s="85" t="str">
        <f>IFERROR(__xludf.DUMMYFUNCTION("""COMPUTED_VALUE"""),"ALICATE DE PRESSÃO")</f>
        <v>ALICATE DE PRESSÃO</v>
      </c>
      <c r="C2023" s="86">
        <f>IFERROR(__xludf.DUMMYFUNCTION("""COMPUTED_VALUE"""),1.0)</f>
        <v>1</v>
      </c>
      <c r="D2023" s="87" t="str">
        <f>IFERROR(__xludf.DUMMYFUNCTION("""COMPUTED_VALUE"""),"VIATURA")</f>
        <v>VIATURA</v>
      </c>
      <c r="E2023" s="87" t="str">
        <f>IFERROR(__xludf.DUMMYFUNCTION("""COMPUTED_VALUE"""),"1 - ASL1080")</f>
        <v>1 - ASL1080</v>
      </c>
      <c r="F2023" s="92" t="str">
        <f>IFERROR(__xludf.DUMMYFUNCTION("""COMPUTED_VALUE"""),"CAIXA DE FERRAMENTA")</f>
        <v>CAIXA DE FERRAMENTA</v>
      </c>
      <c r="G2023" s="89"/>
      <c r="H2023" s="87"/>
      <c r="I2023" s="87"/>
    </row>
    <row r="2024">
      <c r="A2024" s="84">
        <f>IFERROR(__xludf.DUMMYFUNCTION("""COMPUTED_VALUE"""),234.0)</f>
        <v>234</v>
      </c>
      <c r="B2024" s="85" t="str">
        <f>IFERROR(__xludf.DUMMYFUNCTION("""COMPUTED_VALUE"""),"ALICATE DE CORTE  ")</f>
        <v>ALICATE DE CORTE  </v>
      </c>
      <c r="C2024" s="86">
        <f>IFERROR(__xludf.DUMMYFUNCTION("""COMPUTED_VALUE"""),1.0)</f>
        <v>1</v>
      </c>
      <c r="D2024" s="87" t="str">
        <f>IFERROR(__xludf.DUMMYFUNCTION("""COMPUTED_VALUE"""),"VIATURA")</f>
        <v>VIATURA</v>
      </c>
      <c r="E2024" s="87" t="str">
        <f>IFERROR(__xludf.DUMMYFUNCTION("""COMPUTED_VALUE"""),"1 - ASL1080")</f>
        <v>1 - ASL1080</v>
      </c>
      <c r="F2024" s="92" t="str">
        <f>IFERROR(__xludf.DUMMYFUNCTION("""COMPUTED_VALUE"""),"CAIXA DE FERRAMENTA")</f>
        <v>CAIXA DE FERRAMENTA</v>
      </c>
      <c r="G2024" s="89"/>
      <c r="H2024" s="87"/>
      <c r="I2024" s="87"/>
    </row>
    <row r="2025">
      <c r="A2025" s="84">
        <f>IFERROR(__xludf.DUMMYFUNCTION("""COMPUTED_VALUE"""),235.0)</f>
        <v>235</v>
      </c>
      <c r="B2025" s="85" t="str">
        <f>IFERROR(__xludf.DUMMYFUNCTION("""COMPUTED_VALUE"""),"MARRETA PEQUENA")</f>
        <v>MARRETA PEQUENA</v>
      </c>
      <c r="C2025" s="86">
        <f>IFERROR(__xludf.DUMMYFUNCTION("""COMPUTED_VALUE"""),1.0)</f>
        <v>1</v>
      </c>
      <c r="D2025" s="87" t="str">
        <f>IFERROR(__xludf.DUMMYFUNCTION("""COMPUTED_VALUE"""),"VIATURA")</f>
        <v>VIATURA</v>
      </c>
      <c r="E2025" s="87" t="str">
        <f>IFERROR(__xludf.DUMMYFUNCTION("""COMPUTED_VALUE"""),"1 - ASL1080")</f>
        <v>1 - ASL1080</v>
      </c>
      <c r="F2025" s="92" t="str">
        <f>IFERROR(__xludf.DUMMYFUNCTION("""COMPUTED_VALUE"""),"CAIXA DE FERRAMENTA")</f>
        <v>CAIXA DE FERRAMENTA</v>
      </c>
      <c r="G2025" s="89"/>
      <c r="H2025" s="87"/>
      <c r="I2025" s="87"/>
    </row>
    <row r="2026">
      <c r="A2026" s="84">
        <f>IFERROR(__xludf.DUMMYFUNCTION("""COMPUTED_VALUE"""),236.0)</f>
        <v>236</v>
      </c>
      <c r="B2026" s="85" t="str">
        <f>IFERROR(__xludf.DUMMYFUNCTION("""COMPUTED_VALUE"""),"LIMA REDONDA")</f>
        <v>LIMA REDONDA</v>
      </c>
      <c r="C2026" s="86">
        <f>IFERROR(__xludf.DUMMYFUNCTION("""COMPUTED_VALUE"""),2.0)</f>
        <v>2</v>
      </c>
      <c r="D2026" s="87" t="str">
        <f>IFERROR(__xludf.DUMMYFUNCTION("""COMPUTED_VALUE"""),"VIATURA")</f>
        <v>VIATURA</v>
      </c>
      <c r="E2026" s="87" t="str">
        <f>IFERROR(__xludf.DUMMYFUNCTION("""COMPUTED_VALUE"""),"1 - ASL1080")</f>
        <v>1 - ASL1080</v>
      </c>
      <c r="F2026" s="92" t="str">
        <f>IFERROR(__xludf.DUMMYFUNCTION("""COMPUTED_VALUE"""),"CAIXA DE FERRAMENTA")</f>
        <v>CAIXA DE FERRAMENTA</v>
      </c>
      <c r="G2026" s="89"/>
      <c r="H2026" s="87"/>
      <c r="I2026" s="87"/>
    </row>
    <row r="2027">
      <c r="A2027" s="84">
        <f>IFERROR(__xludf.DUMMYFUNCTION("""COMPUTED_VALUE"""),237.0)</f>
        <v>237</v>
      </c>
      <c r="B2027" s="85" t="str">
        <f>IFERROR(__xludf.DUMMYFUNCTION("""COMPUTED_VALUE"""),"CHAVE ""L"" TORX")</f>
        <v>CHAVE "L" TORX</v>
      </c>
      <c r="C2027" s="86">
        <f>IFERROR(__xludf.DUMMYFUNCTION("""COMPUTED_VALUE"""),2.0)</f>
        <v>2</v>
      </c>
      <c r="D2027" s="87" t="str">
        <f>IFERROR(__xludf.DUMMYFUNCTION("""COMPUTED_VALUE"""),"VIATURA")</f>
        <v>VIATURA</v>
      </c>
      <c r="E2027" s="87" t="str">
        <f>IFERROR(__xludf.DUMMYFUNCTION("""COMPUTED_VALUE"""),"1 - ASL1080")</f>
        <v>1 - ASL1080</v>
      </c>
      <c r="F2027" s="92" t="str">
        <f>IFERROR(__xludf.DUMMYFUNCTION("""COMPUTED_VALUE"""),"CAIXA DE FERRAMENTA")</f>
        <v>CAIXA DE FERRAMENTA</v>
      </c>
      <c r="G2027" s="89"/>
      <c r="H2027" s="87"/>
      <c r="I2027" s="87"/>
    </row>
    <row r="2028">
      <c r="A2028" s="84">
        <f>IFERROR(__xludf.DUMMYFUNCTION("""COMPUTED_VALUE"""),238.0)</f>
        <v>238</v>
      </c>
      <c r="B2028" s="85" t="str">
        <f>IFERROR(__xludf.DUMMYFUNCTION("""COMPUTED_VALUE"""),"GANCHO PARA CAPTURA DE SERPENTES -")</f>
        <v>GANCHO PARA CAPTURA DE SERPENTES -</v>
      </c>
      <c r="C2028" s="86">
        <f>IFERROR(__xludf.DUMMYFUNCTION("""COMPUTED_VALUE"""),2.0)</f>
        <v>2</v>
      </c>
      <c r="D2028" s="87" t="str">
        <f>IFERROR(__xludf.DUMMYFUNCTION("""COMPUTED_VALUE"""),"VIATURA")</f>
        <v>VIATURA</v>
      </c>
      <c r="E2028" s="87" t="str">
        <f>IFERROR(__xludf.DUMMYFUNCTION("""COMPUTED_VALUE"""),"1 - ASL1080")</f>
        <v>1 - ASL1080</v>
      </c>
      <c r="F2028" s="92" t="str">
        <f>IFERROR(__xludf.DUMMYFUNCTION("""COMPUTED_VALUE"""),"BOX 02")</f>
        <v>BOX 02</v>
      </c>
      <c r="G2028" s="89"/>
      <c r="H2028" s="87" t="str">
        <f>IFERROR(__xludf.DUMMYFUNCTION("""COMPUTED_VALUE"""),"ASL1080")</f>
        <v>ASL1080</v>
      </c>
      <c r="I2028" s="87"/>
    </row>
    <row r="2029">
      <c r="A2029" s="84">
        <f>IFERROR(__xludf.DUMMYFUNCTION("""COMPUTED_VALUE"""),239.0)</f>
        <v>239</v>
      </c>
      <c r="B2029" s="85" t="str">
        <f>IFERROR(__xludf.DUMMYFUNCTION("""COMPUTED_VALUE"""),"CAMBÃO - CAPTURA DE ANIMAIS ")</f>
        <v>CAMBÃO - CAPTURA DE ANIMAIS </v>
      </c>
      <c r="C2029" s="86">
        <f>IFERROR(__xludf.DUMMYFUNCTION("""COMPUTED_VALUE"""),1.0)</f>
        <v>1</v>
      </c>
      <c r="D2029" s="87" t="str">
        <f>IFERROR(__xludf.DUMMYFUNCTION("""COMPUTED_VALUE"""),"VIATURA")</f>
        <v>VIATURA</v>
      </c>
      <c r="E2029" s="87" t="str">
        <f>IFERROR(__xludf.DUMMYFUNCTION("""COMPUTED_VALUE"""),"1 - ASL1080")</f>
        <v>1 - ASL1080</v>
      </c>
      <c r="F2029" s="92" t="str">
        <f>IFERROR(__xludf.DUMMYFUNCTION("""COMPUTED_VALUE"""),"CARROCERIA")</f>
        <v>CARROCERIA</v>
      </c>
      <c r="G2029" s="89"/>
      <c r="H2029" s="87" t="str">
        <f>IFERROR(__xludf.DUMMYFUNCTION("""COMPUTED_VALUE"""),"ASL1080")</f>
        <v>ASL1080</v>
      </c>
      <c r="I2029" s="87"/>
    </row>
    <row r="2030">
      <c r="A2030" s="84">
        <f>IFERROR(__xludf.DUMMYFUNCTION("""COMPUTED_VALUE"""),240.0)</f>
        <v>240</v>
      </c>
      <c r="B2030" s="85" t="str">
        <f>IFERROR(__xludf.DUMMYFUNCTION("""COMPUTED_VALUE"""),"ASCENSOR (PAR)")</f>
        <v>ASCENSOR (PAR)</v>
      </c>
      <c r="C2030" s="86">
        <f>IFERROR(__xludf.DUMMYFUNCTION("""COMPUTED_VALUE"""),1.0)</f>
        <v>1</v>
      </c>
      <c r="D2030" s="87" t="str">
        <f>IFERROR(__xludf.DUMMYFUNCTION("""COMPUTED_VALUE"""),"VIATURA")</f>
        <v>VIATURA</v>
      </c>
      <c r="E2030" s="87" t="str">
        <f>IFERROR(__xludf.DUMMYFUNCTION("""COMPUTED_VALUE"""),"1 - ASL1080")</f>
        <v>1 - ASL1080</v>
      </c>
      <c r="F2030" s="92" t="str">
        <f>IFERROR(__xludf.DUMMYFUNCTION("""COMPUTED_VALUE"""),"BOLSA DE SALV. ALTURA")</f>
        <v>BOLSA DE SALV. ALTURA</v>
      </c>
      <c r="G2030" s="89"/>
      <c r="H2030" s="87"/>
      <c r="I2030" s="87"/>
    </row>
    <row r="2031">
      <c r="A2031" s="84">
        <f>IFERROR(__xludf.DUMMYFUNCTION("""COMPUTED_VALUE"""),241.0)</f>
        <v>241</v>
      </c>
      <c r="B2031" s="85" t="str">
        <f>IFERROR(__xludf.DUMMYFUNCTION("""COMPUTED_VALUE"""),"DESCENSOR INDUSTRIAL (ID)")</f>
        <v>DESCENSOR INDUSTRIAL (ID)</v>
      </c>
      <c r="C2031" s="86">
        <f>IFERROR(__xludf.DUMMYFUNCTION("""COMPUTED_VALUE"""),1.0)</f>
        <v>1</v>
      </c>
      <c r="D2031" s="87" t="str">
        <f>IFERROR(__xludf.DUMMYFUNCTION("""COMPUTED_VALUE"""),"VIATURA")</f>
        <v>VIATURA</v>
      </c>
      <c r="E2031" s="87" t="str">
        <f>IFERROR(__xludf.DUMMYFUNCTION("""COMPUTED_VALUE"""),"1 - ASL1080")</f>
        <v>1 - ASL1080</v>
      </c>
      <c r="F2031" s="92" t="str">
        <f>IFERROR(__xludf.DUMMYFUNCTION("""COMPUTED_VALUE"""),"BOLSA DE SALV. ALTURA")</f>
        <v>BOLSA DE SALV. ALTURA</v>
      </c>
      <c r="G2031" s="89"/>
      <c r="H2031" s="87"/>
      <c r="I2031" s="87" t="str">
        <f>IFERROR(__xludf.DUMMYFUNCTION("""COMPUTED_VALUE"""),"RIG ID")</f>
        <v>RIG ID</v>
      </c>
    </row>
    <row r="2032">
      <c r="A2032" s="84">
        <f>IFERROR(__xludf.DUMMYFUNCTION("""COMPUTED_VALUE"""),242.0)</f>
        <v>242</v>
      </c>
      <c r="B2032" s="85" t="str">
        <f>IFERROR(__xludf.DUMMYFUNCTION("""COMPUTED_VALUE"""),"ANEL DE FITA 120 CM")</f>
        <v>ANEL DE FITA 120 CM</v>
      </c>
      <c r="C2032" s="86">
        <f>IFERROR(__xludf.DUMMYFUNCTION("""COMPUTED_VALUE"""),3.0)</f>
        <v>3</v>
      </c>
      <c r="D2032" s="87" t="str">
        <f>IFERROR(__xludf.DUMMYFUNCTION("""COMPUTED_VALUE"""),"VIATURA")</f>
        <v>VIATURA</v>
      </c>
      <c r="E2032" s="87" t="str">
        <f>IFERROR(__xludf.DUMMYFUNCTION("""COMPUTED_VALUE"""),"1 - ASM3617")</f>
        <v>1 - ASM3617</v>
      </c>
      <c r="F2032" s="92" t="str">
        <f>IFERROR(__xludf.DUMMYFUNCTION("""COMPUTED_VALUE"""),"BOLSA SALV. ALTURA (MERET)")</f>
        <v>BOLSA SALV. ALTURA (MERET)</v>
      </c>
      <c r="G2032" s="89"/>
      <c r="H2032" s="87"/>
      <c r="I2032" s="87"/>
    </row>
    <row r="2033">
      <c r="A2033" s="84">
        <f>IFERROR(__xludf.DUMMYFUNCTION("""COMPUTED_VALUE"""),243.0)</f>
        <v>243</v>
      </c>
      <c r="B2033" s="85" t="str">
        <f>IFERROR(__xludf.DUMMYFUNCTION("""COMPUTED_VALUE"""),"MOSQUETÃO DE ALUMÍNIO")</f>
        <v>MOSQUETÃO DE ALUMÍNIO</v>
      </c>
      <c r="C2033" s="86">
        <f>IFERROR(__xludf.DUMMYFUNCTION("""COMPUTED_VALUE"""),6.0)</f>
        <v>6</v>
      </c>
      <c r="D2033" s="87" t="str">
        <f>IFERROR(__xludf.DUMMYFUNCTION("""COMPUTED_VALUE"""),"VIATURA")</f>
        <v>VIATURA</v>
      </c>
      <c r="E2033" s="87" t="str">
        <f>IFERROR(__xludf.DUMMYFUNCTION("""COMPUTED_VALUE"""),"1 - ASM3617")</f>
        <v>1 - ASM3617</v>
      </c>
      <c r="F2033" s="92" t="str">
        <f>IFERROR(__xludf.DUMMYFUNCTION("""COMPUTED_VALUE"""),"BOLSA SALV. ALTURA (MERET)")</f>
        <v>BOLSA SALV. ALTURA (MERET)</v>
      </c>
      <c r="G2033" s="89"/>
      <c r="H2033" s="87"/>
      <c r="I2033" s="87"/>
    </row>
    <row r="2034">
      <c r="A2034" s="84">
        <f>IFERROR(__xludf.DUMMYFUNCTION("""COMPUTED_VALUE"""),244.0)</f>
        <v>244</v>
      </c>
      <c r="B2034" s="85" t="str">
        <f>IFERROR(__xludf.DUMMYFUNCTION("""COMPUTED_VALUE"""),"FREIO OITO -")</f>
        <v>FREIO OITO -</v>
      </c>
      <c r="C2034" s="86">
        <f>IFERROR(__xludf.DUMMYFUNCTION("""COMPUTED_VALUE"""),4.0)</f>
        <v>4</v>
      </c>
      <c r="D2034" s="87" t="str">
        <f>IFERROR(__xludf.DUMMYFUNCTION("""COMPUTED_VALUE"""),"VIATURA")</f>
        <v>VIATURA</v>
      </c>
      <c r="E2034" s="87" t="str">
        <f>IFERROR(__xludf.DUMMYFUNCTION("""COMPUTED_VALUE"""),"1 - ASM3617")</f>
        <v>1 - ASM3617</v>
      </c>
      <c r="F2034" s="92" t="str">
        <f>IFERROR(__xludf.DUMMYFUNCTION("""COMPUTED_VALUE"""),"BOLSA SALV. ALTURA (MERET)")</f>
        <v>BOLSA SALV. ALTURA (MERET)</v>
      </c>
      <c r="G2034" s="89"/>
      <c r="H2034" s="87"/>
      <c r="I2034" s="87"/>
    </row>
    <row r="2035">
      <c r="A2035" s="84">
        <f>IFERROR(__xludf.DUMMYFUNCTION("""COMPUTED_VALUE"""),245.0)</f>
        <v>245</v>
      </c>
      <c r="B2035" s="85" t="str">
        <f>IFERROR(__xludf.DUMMYFUNCTION("""COMPUTED_VALUE"""),"CORDELETE")</f>
        <v>CORDELETE</v>
      </c>
      <c r="C2035" s="86">
        <f>IFERROR(__xludf.DUMMYFUNCTION("""COMPUTED_VALUE"""),7.0)</f>
        <v>7</v>
      </c>
      <c r="D2035" s="87" t="str">
        <f>IFERROR(__xludf.DUMMYFUNCTION("""COMPUTED_VALUE"""),"VIATURA")</f>
        <v>VIATURA</v>
      </c>
      <c r="E2035" s="87" t="str">
        <f>IFERROR(__xludf.DUMMYFUNCTION("""COMPUTED_VALUE"""),"1 - ASM3617")</f>
        <v>1 - ASM3617</v>
      </c>
      <c r="F2035" s="92" t="str">
        <f>IFERROR(__xludf.DUMMYFUNCTION("""COMPUTED_VALUE"""),"BOLSA SALV. ALTURA (MERET)")</f>
        <v>BOLSA SALV. ALTURA (MERET)</v>
      </c>
      <c r="G2035" s="89"/>
      <c r="H2035" s="87"/>
      <c r="I2035" s="87"/>
    </row>
    <row r="2036">
      <c r="A2036" s="84">
        <f>IFERROR(__xludf.DUMMYFUNCTION("""COMPUTED_VALUE"""),246.0)</f>
        <v>246</v>
      </c>
      <c r="B2036" s="85" t="str">
        <f>IFERROR(__xludf.DUMMYFUNCTION("""COMPUTED_VALUE"""),"MOSQUETÃO DE AÇO")</f>
        <v>MOSQUETÃO DE AÇO</v>
      </c>
      <c r="C2036" s="86">
        <f>IFERROR(__xludf.DUMMYFUNCTION("""COMPUTED_VALUE"""),7.0)</f>
        <v>7</v>
      </c>
      <c r="D2036" s="87" t="str">
        <f>IFERROR(__xludf.DUMMYFUNCTION("""COMPUTED_VALUE"""),"VIATURA")</f>
        <v>VIATURA</v>
      </c>
      <c r="E2036" s="87" t="str">
        <f>IFERROR(__xludf.DUMMYFUNCTION("""COMPUTED_VALUE"""),"1 - ASM3617")</f>
        <v>1 - ASM3617</v>
      </c>
      <c r="F2036" s="92" t="str">
        <f>IFERROR(__xludf.DUMMYFUNCTION("""COMPUTED_VALUE"""),"BOLSA SALV. ALTURA (MERET)")</f>
        <v>BOLSA SALV. ALTURA (MERET)</v>
      </c>
      <c r="G2036" s="89"/>
      <c r="H2036" s="87"/>
      <c r="I2036" s="87"/>
    </row>
    <row r="2037">
      <c r="A2037" s="84">
        <f>IFERROR(__xludf.DUMMYFUNCTION("""COMPUTED_VALUE"""),247.0)</f>
        <v>247</v>
      </c>
      <c r="B2037" s="85" t="str">
        <f>IFERROR(__xludf.DUMMYFUNCTION("""COMPUTED_VALUE"""),"POLIA SIMPLES PLACA FIXA")</f>
        <v>POLIA SIMPLES PLACA FIXA</v>
      </c>
      <c r="C2037" s="86">
        <f>IFERROR(__xludf.DUMMYFUNCTION("""COMPUTED_VALUE"""),3.0)</f>
        <v>3</v>
      </c>
      <c r="D2037" s="87" t="str">
        <f>IFERROR(__xludf.DUMMYFUNCTION("""COMPUTED_VALUE"""),"VIATURA")</f>
        <v>VIATURA</v>
      </c>
      <c r="E2037" s="87" t="str">
        <f>IFERROR(__xludf.DUMMYFUNCTION("""COMPUTED_VALUE"""),"1 - ASM3617")</f>
        <v>1 - ASM3617</v>
      </c>
      <c r="F2037" s="92" t="str">
        <f>IFERROR(__xludf.DUMMYFUNCTION("""COMPUTED_VALUE"""),"BOLSA SALV. ALTURA (MERET)")</f>
        <v>BOLSA SALV. ALTURA (MERET)</v>
      </c>
      <c r="G2037" s="89"/>
      <c r="H2037" s="87"/>
      <c r="I2037" s="87"/>
    </row>
    <row r="2038">
      <c r="A2038" s="84">
        <f>IFERROR(__xludf.DUMMYFUNCTION("""COMPUTED_VALUE"""),248.0)</f>
        <v>248</v>
      </c>
      <c r="B2038" s="85" t="str">
        <f>IFERROR(__xludf.DUMMYFUNCTION("""COMPUTED_VALUE"""),"ANEL DE FITA 80CM")</f>
        <v>ANEL DE FITA 80CM</v>
      </c>
      <c r="C2038" s="86">
        <f>IFERROR(__xludf.DUMMYFUNCTION("""COMPUTED_VALUE"""),2.0)</f>
        <v>2</v>
      </c>
      <c r="D2038" s="87" t="str">
        <f>IFERROR(__xludf.DUMMYFUNCTION("""COMPUTED_VALUE"""),"VIATURA")</f>
        <v>VIATURA</v>
      </c>
      <c r="E2038" s="87" t="str">
        <f>IFERROR(__xludf.DUMMYFUNCTION("""COMPUTED_VALUE"""),"1 - ASM3617")</f>
        <v>1 - ASM3617</v>
      </c>
      <c r="F2038" s="92" t="str">
        <f>IFERROR(__xludf.DUMMYFUNCTION("""COMPUTED_VALUE"""),"BOLSA SALV. ALTURA (MERET)")</f>
        <v>BOLSA SALV. ALTURA (MERET)</v>
      </c>
      <c r="G2038" s="89"/>
      <c r="H2038" s="87"/>
      <c r="I2038" s="87"/>
    </row>
    <row r="2039">
      <c r="A2039" s="84">
        <f>IFERROR(__xludf.DUMMYFUNCTION("""COMPUTED_VALUE"""),249.0)</f>
        <v>249</v>
      </c>
      <c r="B2039" s="85" t="str">
        <f>IFERROR(__xludf.DUMMYFUNCTION("""COMPUTED_VALUE"""),"ANEL DE FITA 60CM")</f>
        <v>ANEL DE FITA 60CM</v>
      </c>
      <c r="C2039" s="86">
        <f>IFERROR(__xludf.DUMMYFUNCTION("""COMPUTED_VALUE"""),1.0)</f>
        <v>1</v>
      </c>
      <c r="D2039" s="87" t="str">
        <f>IFERROR(__xludf.DUMMYFUNCTION("""COMPUTED_VALUE"""),"VIATURA")</f>
        <v>VIATURA</v>
      </c>
      <c r="E2039" s="87" t="str">
        <f>IFERROR(__xludf.DUMMYFUNCTION("""COMPUTED_VALUE"""),"1 - ASM3617")</f>
        <v>1 - ASM3617</v>
      </c>
      <c r="F2039" s="92" t="str">
        <f>IFERROR(__xludf.DUMMYFUNCTION("""COMPUTED_VALUE"""),"BOLSA SALV. ALTURA (MERET)")</f>
        <v>BOLSA SALV. ALTURA (MERET)</v>
      </c>
      <c r="G2039" s="89"/>
      <c r="H2039" s="87"/>
      <c r="I2039" s="87"/>
    </row>
    <row r="2040">
      <c r="A2040" s="84">
        <f>IFERROR(__xludf.DUMMYFUNCTION("""COMPUTED_VALUE"""),250.0)</f>
        <v>250</v>
      </c>
      <c r="B2040" s="85" t="str">
        <f>IFERROR(__xludf.DUMMYFUNCTION("""COMPUTED_VALUE"""),"MANILHA CURVA COM PINO ")</f>
        <v>MANILHA CURVA COM PINO </v>
      </c>
      <c r="C2040" s="86">
        <f>IFERROR(__xludf.DUMMYFUNCTION("""COMPUTED_VALUE"""),2.0)</f>
        <v>2</v>
      </c>
      <c r="D2040" s="87" t="str">
        <f>IFERROR(__xludf.DUMMYFUNCTION("""COMPUTED_VALUE"""),"VIATURA")</f>
        <v>VIATURA</v>
      </c>
      <c r="E2040" s="87" t="str">
        <f>IFERROR(__xludf.DUMMYFUNCTION("""COMPUTED_VALUE"""),"1 - ASM3617")</f>
        <v>1 - ASM3617</v>
      </c>
      <c r="F2040" s="92" t="str">
        <f>IFERROR(__xludf.DUMMYFUNCTION("""COMPUTED_VALUE"""),"BOX 05")</f>
        <v>BOX 05</v>
      </c>
      <c r="G2040" s="89">
        <f>IFERROR(__xludf.DUMMYFUNCTION("""COMPUTED_VALUE"""),45526.0)</f>
        <v>45526</v>
      </c>
      <c r="H2040" s="87"/>
      <c r="I2040" s="87"/>
    </row>
    <row r="2041">
      <c r="A2041" s="84">
        <f>IFERROR(__xludf.DUMMYFUNCTION("""COMPUTED_VALUE"""),251.0)</f>
        <v>251</v>
      </c>
      <c r="B2041" s="85" t="str">
        <f>IFERROR(__xludf.DUMMYFUNCTION("""COMPUTED_VALUE"""),"POLIA SIMPLES DE AÇO")</f>
        <v>POLIA SIMPLES DE AÇO</v>
      </c>
      <c r="C2041" s="86">
        <f>IFERROR(__xludf.DUMMYFUNCTION("""COMPUTED_VALUE"""),1.0)</f>
        <v>1</v>
      </c>
      <c r="D2041" s="87" t="str">
        <f>IFERROR(__xludf.DUMMYFUNCTION("""COMPUTED_VALUE"""),"VIATURA")</f>
        <v>VIATURA</v>
      </c>
      <c r="E2041" s="87" t="str">
        <f>IFERROR(__xludf.DUMMYFUNCTION("""COMPUTED_VALUE"""),"1 - ASM3617")</f>
        <v>1 - ASM3617</v>
      </c>
      <c r="F2041" s="92" t="str">
        <f>IFERROR(__xludf.DUMMYFUNCTION("""COMPUTED_VALUE"""),"BOX 05")</f>
        <v>BOX 05</v>
      </c>
      <c r="G2041" s="89">
        <f>IFERROR(__xludf.DUMMYFUNCTION("""COMPUTED_VALUE"""),45526.0)</f>
        <v>45526</v>
      </c>
      <c r="H2041" s="87"/>
      <c r="I2041" s="87"/>
    </row>
    <row r="2042">
      <c r="A2042" s="84">
        <f>IFERROR(__xludf.DUMMYFUNCTION("""COMPUTED_VALUE"""),252.0)</f>
        <v>252</v>
      </c>
      <c r="B2042" s="85" t="str">
        <f>IFERROR(__xludf.DUMMYFUNCTION("""COMPUTED_VALUE"""),"CINTO PROTETOR DE AIRBAG")</f>
        <v>CINTO PROTETOR DE AIRBAG</v>
      </c>
      <c r="C2042" s="86">
        <f>IFERROR(__xludf.DUMMYFUNCTION("""COMPUTED_VALUE"""),1.0)</f>
        <v>1</v>
      </c>
      <c r="D2042" s="87" t="str">
        <f>IFERROR(__xludf.DUMMYFUNCTION("""COMPUTED_VALUE"""),"SEÇÃO")</f>
        <v>SEÇÃO</v>
      </c>
      <c r="E2042" s="87" t="str">
        <f>IFERROR(__xludf.DUMMYFUNCTION("""COMPUTED_VALUE"""),"3 - ALMOX. ESTOQUE")</f>
        <v>3 - ALMOX. ESTOQUE</v>
      </c>
      <c r="F2042" s="92"/>
      <c r="G2042" s="89">
        <f>IFERROR(__xludf.DUMMYFUNCTION("""COMPUTED_VALUE"""),46188.0)</f>
        <v>46188</v>
      </c>
      <c r="H2042" s="87"/>
      <c r="I2042" s="87" t="str">
        <f>IFERROR(__xludf.DUMMYFUNCTION("""COMPUTED_VALUE"""),"RECOLHIDO")</f>
        <v>RECOLHIDO</v>
      </c>
    </row>
    <row r="2043">
      <c r="A2043" s="84">
        <f>IFERROR(__xludf.DUMMYFUNCTION("""COMPUTED_VALUE"""),253.0)</f>
        <v>253</v>
      </c>
      <c r="B2043" s="85" t="str">
        <f>IFERROR(__xludf.DUMMYFUNCTION("""COMPUTED_VALUE"""),"ASCENSOR (PAR)")</f>
        <v>ASCENSOR (PAR)</v>
      </c>
      <c r="C2043" s="86">
        <f>IFERROR(__xludf.DUMMYFUNCTION("""COMPUTED_VALUE"""),1.0)</f>
        <v>1</v>
      </c>
      <c r="D2043" s="87" t="str">
        <f>IFERROR(__xludf.DUMMYFUNCTION("""COMPUTED_VALUE"""),"VIATURA")</f>
        <v>VIATURA</v>
      </c>
      <c r="E2043" s="87" t="str">
        <f>IFERROR(__xludf.DUMMYFUNCTION("""COMPUTED_VALUE"""),"1 - ASM3617")</f>
        <v>1 - ASM3617</v>
      </c>
      <c r="F2043" s="92" t="str">
        <f>IFERROR(__xludf.DUMMYFUNCTION("""COMPUTED_VALUE"""),"BOLSA SALV. ALTURA (MERET)")</f>
        <v>BOLSA SALV. ALTURA (MERET)</v>
      </c>
      <c r="G2043" s="89"/>
      <c r="H2043" s="87"/>
      <c r="I2043" s="87"/>
    </row>
    <row r="2044">
      <c r="A2044" s="84">
        <f>IFERROR(__xludf.DUMMYFUNCTION("""COMPUTED_VALUE"""),254.0)</f>
        <v>254</v>
      </c>
      <c r="B2044" s="85" t="str">
        <f>IFERROR(__xludf.DUMMYFUNCTION("""COMPUTED_VALUE"""),"BOTA DE BORRACHA 7 LÉGUAS")</f>
        <v>BOTA DE BORRACHA 7 LÉGUAS</v>
      </c>
      <c r="C2044" s="86">
        <f>IFERROR(__xludf.DUMMYFUNCTION("""COMPUTED_VALUE"""),3.0)</f>
        <v>3</v>
      </c>
      <c r="D2044" s="87" t="str">
        <f>IFERROR(__xludf.DUMMYFUNCTION("""COMPUTED_VALUE"""),"VIATURA")</f>
        <v>VIATURA</v>
      </c>
      <c r="E2044" s="87" t="str">
        <f>IFERROR(__xludf.DUMMYFUNCTION("""COMPUTED_VALUE"""),"1 - ASM3617")</f>
        <v>1 - ASM3617</v>
      </c>
      <c r="F2044" s="92" t="str">
        <f>IFERROR(__xludf.DUMMYFUNCTION("""COMPUTED_VALUE"""),"BOX 01")</f>
        <v>BOX 01</v>
      </c>
      <c r="G2044" s="89"/>
      <c r="H2044" s="87"/>
      <c r="I2044" s="87" t="str">
        <f>IFERROR(__xludf.DUMMYFUNCTION("""COMPUTED_VALUE"""),"PAR")</f>
        <v>PAR</v>
      </c>
    </row>
    <row r="2045">
      <c r="A2045" s="84">
        <f>IFERROR(__xludf.DUMMYFUNCTION("""COMPUTED_VALUE"""),255.0)</f>
        <v>255</v>
      </c>
      <c r="B2045" s="85" t="str">
        <f>IFERROR(__xludf.DUMMYFUNCTION("""COMPUTED_VALUE"""),"REDE TARRAFA")</f>
        <v>REDE TARRAFA</v>
      </c>
      <c r="C2045" s="86">
        <f>IFERROR(__xludf.DUMMYFUNCTION("""COMPUTED_VALUE"""),1.0)</f>
        <v>1</v>
      </c>
      <c r="D2045" s="87" t="str">
        <f>IFERROR(__xludf.DUMMYFUNCTION("""COMPUTED_VALUE"""),"VIATURA")</f>
        <v>VIATURA</v>
      </c>
      <c r="E2045" s="87" t="str">
        <f>IFERROR(__xludf.DUMMYFUNCTION("""COMPUTED_VALUE"""),"1 - ASM3617")</f>
        <v>1 - ASM3617</v>
      </c>
      <c r="F2045" s="92" t="str">
        <f>IFERROR(__xludf.DUMMYFUNCTION("""COMPUTED_VALUE"""),"BOX 05")</f>
        <v>BOX 05</v>
      </c>
      <c r="G2045" s="89"/>
      <c r="H2045" s="87"/>
      <c r="I2045" s="87"/>
    </row>
    <row r="2046">
      <c r="A2046" s="84">
        <f>IFERROR(__xludf.DUMMYFUNCTION("""COMPUTED_VALUE"""),256.0)</f>
        <v>256</v>
      </c>
      <c r="B2046" s="85" t="str">
        <f>IFERROR(__xludf.DUMMYFUNCTION("""COMPUTED_VALUE"""),"LONA PARA ACONDICIONAMENTO DE MATERIAIS")</f>
        <v>LONA PARA ACONDICIONAMENTO DE MATERIAIS</v>
      </c>
      <c r="C2046" s="86">
        <f>IFERROR(__xludf.DUMMYFUNCTION("""COMPUTED_VALUE"""),2.0)</f>
        <v>2</v>
      </c>
      <c r="D2046" s="87" t="str">
        <f>IFERROR(__xludf.DUMMYFUNCTION("""COMPUTED_VALUE"""),"VIATURA")</f>
        <v>VIATURA</v>
      </c>
      <c r="E2046" s="87" t="str">
        <f>IFERROR(__xludf.DUMMYFUNCTION("""COMPUTED_VALUE"""),"1 - ASM3617")</f>
        <v>1 - ASM3617</v>
      </c>
      <c r="F2046" s="92" t="str">
        <f>IFERROR(__xludf.DUMMYFUNCTION("""COMPUTED_VALUE"""),"BOX 05")</f>
        <v>BOX 05</v>
      </c>
      <c r="G2046" s="89"/>
      <c r="H2046" s="87"/>
      <c r="I2046" s="87" t="str">
        <f>IFERROR(__xludf.DUMMYFUNCTION("""COMPUTED_VALUE"""),"LONA VERMELHA DO CBMMG")</f>
        <v>LONA VERMELHA DO CBMMG</v>
      </c>
    </row>
    <row r="2047">
      <c r="A2047" s="84">
        <f>IFERROR(__xludf.DUMMYFUNCTION("""COMPUTED_VALUE"""),257.0)</f>
        <v>257</v>
      </c>
      <c r="B2047" s="85" t="str">
        <f>IFERROR(__xludf.DUMMYFUNCTION("""COMPUTED_VALUE"""),"CORDA -")</f>
        <v>CORDA -</v>
      </c>
      <c r="C2047" s="86">
        <f>IFERROR(__xludf.DUMMYFUNCTION("""COMPUTED_VALUE"""),2.0)</f>
        <v>2</v>
      </c>
      <c r="D2047" s="87" t="str">
        <f>IFERROR(__xludf.DUMMYFUNCTION("""COMPUTED_VALUE"""),"VIATURA")</f>
        <v>VIATURA</v>
      </c>
      <c r="E2047" s="87" t="str">
        <f>IFERROR(__xludf.DUMMYFUNCTION("""COMPUTED_VALUE"""),"1 - ASM3617")</f>
        <v>1 - ASM3617</v>
      </c>
      <c r="F2047" s="92" t="str">
        <f>IFERROR(__xludf.DUMMYFUNCTION("""COMPUTED_VALUE"""),"BOX CENTRAL")</f>
        <v>BOX CENTRAL</v>
      </c>
      <c r="G2047" s="89"/>
      <c r="H2047" s="87"/>
      <c r="I2047" s="87" t="str">
        <f>IFERROR(__xludf.DUMMYFUNCTION("""COMPUTED_VALUE"""),"100 METROS")</f>
        <v>100 METROS</v>
      </c>
    </row>
    <row r="2048">
      <c r="A2048" s="84">
        <f>IFERROR(__xludf.DUMMYFUNCTION("""COMPUTED_VALUE"""),258.0)</f>
        <v>258</v>
      </c>
      <c r="B2048" s="85" t="str">
        <f>IFERROR(__xludf.DUMMYFUNCTION("""COMPUTED_VALUE"""),"CORDA -")</f>
        <v>CORDA -</v>
      </c>
      <c r="C2048" s="86">
        <f>IFERROR(__xludf.DUMMYFUNCTION("""COMPUTED_VALUE"""),2.0)</f>
        <v>2</v>
      </c>
      <c r="D2048" s="87" t="str">
        <f>IFERROR(__xludf.DUMMYFUNCTION("""COMPUTED_VALUE"""),"VIATURA")</f>
        <v>VIATURA</v>
      </c>
      <c r="E2048" s="87" t="str">
        <f>IFERROR(__xludf.DUMMYFUNCTION("""COMPUTED_VALUE"""),"1 - ASM3617")</f>
        <v>1 - ASM3617</v>
      </c>
      <c r="F2048" s="92" t="str">
        <f>IFERROR(__xludf.DUMMYFUNCTION("""COMPUTED_VALUE"""),"BOX CENTRAL")</f>
        <v>BOX CENTRAL</v>
      </c>
      <c r="G2048" s="89"/>
      <c r="H2048" s="87"/>
      <c r="I2048" s="87" t="str">
        <f>IFERROR(__xludf.DUMMYFUNCTION("""COMPUTED_VALUE"""),"50 METROS - ")</f>
        <v>50 METROS - </v>
      </c>
    </row>
    <row r="2049">
      <c r="A2049" s="84">
        <f>IFERROR(__xludf.DUMMYFUNCTION("""COMPUTED_VALUE"""),259.0)</f>
        <v>259</v>
      </c>
      <c r="B2049" s="85" t="str">
        <f>IFERROR(__xludf.DUMMYFUNCTION("""COMPUTED_VALUE"""),"POLIA DUPLA COM DESTORCEDOR")</f>
        <v>POLIA DUPLA COM DESTORCEDOR</v>
      </c>
      <c r="C2049" s="86">
        <f>IFERROR(__xludf.DUMMYFUNCTION("""COMPUTED_VALUE"""),1.0)</f>
        <v>1</v>
      </c>
      <c r="D2049" s="87" t="str">
        <f>IFERROR(__xludf.DUMMYFUNCTION("""COMPUTED_VALUE"""),"VIATURA")</f>
        <v>VIATURA</v>
      </c>
      <c r="E2049" s="87" t="str">
        <f>IFERROR(__xludf.DUMMYFUNCTION("""COMPUTED_VALUE"""),"1 - ASM3617")</f>
        <v>1 - ASM3617</v>
      </c>
      <c r="F2049" s="92" t="str">
        <f>IFERROR(__xludf.DUMMYFUNCTION("""COMPUTED_VALUE"""),"BOX CENTRAL")</f>
        <v>BOX CENTRAL</v>
      </c>
      <c r="G2049" s="89"/>
      <c r="H2049" s="87"/>
      <c r="I2049" s="87"/>
    </row>
    <row r="2050">
      <c r="A2050" s="84">
        <f>IFERROR(__xludf.DUMMYFUNCTION("""COMPUTED_VALUE"""),260.0)</f>
        <v>260</v>
      </c>
      <c r="B2050" s="85" t="str">
        <f>IFERROR(__xludf.DUMMYFUNCTION("""COMPUTED_VALUE"""),"POLIA SIMPLES COM DESTORCEDOR")</f>
        <v>POLIA SIMPLES COM DESTORCEDOR</v>
      </c>
      <c r="C2050" s="86">
        <f>IFERROR(__xludf.DUMMYFUNCTION("""COMPUTED_VALUE"""),1.0)</f>
        <v>1</v>
      </c>
      <c r="D2050" s="87" t="str">
        <f>IFERROR(__xludf.DUMMYFUNCTION("""COMPUTED_VALUE"""),"VIATURA")</f>
        <v>VIATURA</v>
      </c>
      <c r="E2050" s="87" t="str">
        <f>IFERROR(__xludf.DUMMYFUNCTION("""COMPUTED_VALUE"""),"1 - ASM3617")</f>
        <v>1 - ASM3617</v>
      </c>
      <c r="F2050" s="92" t="str">
        <f>IFERROR(__xludf.DUMMYFUNCTION("""COMPUTED_VALUE"""),"BOX CENTRAL")</f>
        <v>BOX CENTRAL</v>
      </c>
      <c r="G2050" s="89"/>
      <c r="H2050" s="87"/>
      <c r="I2050" s="87"/>
    </row>
    <row r="2051">
      <c r="A2051" s="84">
        <f>IFERROR(__xludf.DUMMYFUNCTION("""COMPUTED_VALUE"""),261.0)</f>
        <v>261</v>
      </c>
      <c r="B2051" s="85" t="str">
        <f>IFERROR(__xludf.DUMMYFUNCTION("""COMPUTED_VALUE"""),"POLIA DUPLA 40 KN (AZUL)")</f>
        <v>POLIA DUPLA 40 KN (AZUL)</v>
      </c>
      <c r="C2051" s="86">
        <f>IFERROR(__xludf.DUMMYFUNCTION("""COMPUTED_VALUE"""),1.0)</f>
        <v>1</v>
      </c>
      <c r="D2051" s="87" t="str">
        <f>IFERROR(__xludf.DUMMYFUNCTION("""COMPUTED_VALUE"""),"VIATURA")</f>
        <v>VIATURA</v>
      </c>
      <c r="E2051" s="87" t="str">
        <f>IFERROR(__xludf.DUMMYFUNCTION("""COMPUTED_VALUE"""),"1 - ASM3617")</f>
        <v>1 - ASM3617</v>
      </c>
      <c r="F2051" s="92" t="str">
        <f>IFERROR(__xludf.DUMMYFUNCTION("""COMPUTED_VALUE"""),"BOX CENTRAL")</f>
        <v>BOX CENTRAL</v>
      </c>
      <c r="G2051" s="89"/>
      <c r="H2051" s="87"/>
      <c r="I2051" s="87"/>
    </row>
    <row r="2052">
      <c r="A2052" s="84">
        <f>IFERROR(__xludf.DUMMYFUNCTION("""COMPUTED_VALUE"""),262.0)</f>
        <v>262</v>
      </c>
      <c r="B2052" s="85" t="str">
        <f>IFERROR(__xludf.DUMMYFUNCTION("""COMPUTED_VALUE"""),"POLIA TANDEM 24 KN (VERMELHA)")</f>
        <v>POLIA TANDEM 24 KN (VERMELHA)</v>
      </c>
      <c r="C2052" s="86">
        <f>IFERROR(__xludf.DUMMYFUNCTION("""COMPUTED_VALUE"""),1.0)</f>
        <v>1</v>
      </c>
      <c r="D2052" s="87" t="str">
        <f>IFERROR(__xludf.DUMMYFUNCTION("""COMPUTED_VALUE"""),"VIATURA")</f>
        <v>VIATURA</v>
      </c>
      <c r="E2052" s="87" t="str">
        <f>IFERROR(__xludf.DUMMYFUNCTION("""COMPUTED_VALUE"""),"1 - ASM3617")</f>
        <v>1 - ASM3617</v>
      </c>
      <c r="F2052" s="92" t="str">
        <f>IFERROR(__xludf.DUMMYFUNCTION("""COMPUTED_VALUE"""),"BOX CENTRAL")</f>
        <v>BOX CENTRAL</v>
      </c>
      <c r="G2052" s="89"/>
      <c r="H2052" s="87"/>
      <c r="I2052" s="87"/>
    </row>
    <row r="2053">
      <c r="A2053" s="84">
        <f>IFERROR(__xludf.DUMMYFUNCTION("""COMPUTED_VALUE"""),263.0)</f>
        <v>263</v>
      </c>
      <c r="B2053" s="85" t="str">
        <f>IFERROR(__xludf.DUMMYFUNCTION("""COMPUTED_VALUE"""),"MOSQUETÃO DE AÇO")</f>
        <v>MOSQUETÃO DE AÇO</v>
      </c>
      <c r="C2053" s="86">
        <f>IFERROR(__xludf.DUMMYFUNCTION("""COMPUTED_VALUE"""),2.0)</f>
        <v>2</v>
      </c>
      <c r="D2053" s="87" t="str">
        <f>IFERROR(__xludf.DUMMYFUNCTION("""COMPUTED_VALUE"""),"VIATURA")</f>
        <v>VIATURA</v>
      </c>
      <c r="E2053" s="87" t="str">
        <f>IFERROR(__xludf.DUMMYFUNCTION("""COMPUTED_VALUE"""),"1 - ASM3617")</f>
        <v>1 - ASM3617</v>
      </c>
      <c r="F2053" s="92" t="str">
        <f>IFERROR(__xludf.DUMMYFUNCTION("""COMPUTED_VALUE"""),"BOX CENTRAL")</f>
        <v>BOX CENTRAL</v>
      </c>
      <c r="G2053" s="89"/>
      <c r="H2053" s="87"/>
      <c r="I2053" s="87"/>
    </row>
    <row r="2054">
      <c r="A2054" s="84">
        <f>IFERROR(__xludf.DUMMYFUNCTION("""COMPUTED_VALUE"""),264.0)</f>
        <v>264</v>
      </c>
      <c r="B2054" s="85" t="str">
        <f>IFERROR(__xludf.DUMMYFUNCTION("""COMPUTED_VALUE"""),"CABO SOLTEIRO")</f>
        <v>CABO SOLTEIRO</v>
      </c>
      <c r="C2054" s="86">
        <f>IFERROR(__xludf.DUMMYFUNCTION("""COMPUTED_VALUE"""),4.0)</f>
        <v>4</v>
      </c>
      <c r="D2054" s="87" t="str">
        <f>IFERROR(__xludf.DUMMYFUNCTION("""COMPUTED_VALUE"""),"VIATURA")</f>
        <v>VIATURA</v>
      </c>
      <c r="E2054" s="87" t="str">
        <f>IFERROR(__xludf.DUMMYFUNCTION("""COMPUTED_VALUE"""),"1 - ASM3617")</f>
        <v>1 - ASM3617</v>
      </c>
      <c r="F2054" s="92" t="str">
        <f>IFERROR(__xludf.DUMMYFUNCTION("""COMPUTED_VALUE"""),"BOX CENTRAL")</f>
        <v>BOX CENTRAL</v>
      </c>
      <c r="G2054" s="89"/>
      <c r="H2054" s="87"/>
      <c r="I2054" s="87"/>
    </row>
    <row r="2055">
      <c r="A2055" s="84">
        <f>IFERROR(__xludf.DUMMYFUNCTION("""COMPUTED_VALUE"""),265.0)</f>
        <v>265</v>
      </c>
      <c r="B2055" s="85" t="str">
        <f>IFERROR(__xludf.DUMMYFUNCTION("""COMPUTED_VALUE"""),"CADEIRINHA BAUDRIER RAPEL - NÍVEL II")</f>
        <v>CADEIRINHA BAUDRIER RAPEL - NÍVEL II</v>
      </c>
      <c r="C2055" s="86">
        <f>IFERROR(__xludf.DUMMYFUNCTION("""COMPUTED_VALUE"""),1.0)</f>
        <v>1</v>
      </c>
      <c r="D2055" s="87" t="str">
        <f>IFERROR(__xludf.DUMMYFUNCTION("""COMPUTED_VALUE"""),"VIATURA")</f>
        <v>VIATURA</v>
      </c>
      <c r="E2055" s="87" t="str">
        <f>IFERROR(__xludf.DUMMYFUNCTION("""COMPUTED_VALUE"""),"1 - ASM3617")</f>
        <v>1 - ASM3617</v>
      </c>
      <c r="F2055" s="92" t="str">
        <f>IFERROR(__xludf.DUMMYFUNCTION("""COMPUTED_VALUE"""),"BOX 03")</f>
        <v>BOX 03</v>
      </c>
      <c r="G2055" s="89"/>
      <c r="H2055" s="87"/>
      <c r="I2055" s="87"/>
    </row>
    <row r="2056">
      <c r="A2056" s="84">
        <f>IFERROR(__xludf.DUMMYFUNCTION("""COMPUTED_VALUE"""),266.0)</f>
        <v>266</v>
      </c>
      <c r="B2056" s="85" t="str">
        <f>IFERROR(__xludf.DUMMYFUNCTION("""COMPUTED_VALUE"""),"CORDA -")</f>
        <v>CORDA -</v>
      </c>
      <c r="C2056" s="86">
        <f>IFERROR(__xludf.DUMMYFUNCTION("""COMPUTED_VALUE"""),2.0)</f>
        <v>2</v>
      </c>
      <c r="D2056" s="87" t="str">
        <f>IFERROR(__xludf.DUMMYFUNCTION("""COMPUTED_VALUE"""),"VIATURA")</f>
        <v>VIATURA</v>
      </c>
      <c r="E2056" s="87" t="str">
        <f>IFERROR(__xludf.DUMMYFUNCTION("""COMPUTED_VALUE"""),"1 - ASM3617")</f>
        <v>1 - ASM3617</v>
      </c>
      <c r="F2056" s="92" t="str">
        <f>IFERROR(__xludf.DUMMYFUNCTION("""COMPUTED_VALUE"""),"BOX CENTRAL")</f>
        <v>BOX CENTRAL</v>
      </c>
      <c r="G2056" s="89"/>
      <c r="H2056" s="87"/>
      <c r="I2056" s="87" t="str">
        <f>IFERROR(__xludf.DUMMYFUNCTION("""COMPUTED_VALUE"""),"150 METROS")</f>
        <v>150 METROS</v>
      </c>
    </row>
    <row r="2057">
      <c r="A2057" s="84">
        <f>IFERROR(__xludf.DUMMYFUNCTION("""COMPUTED_VALUE"""),267.0)</f>
        <v>267</v>
      </c>
      <c r="B2057" s="85" t="str">
        <f>IFERROR(__xludf.DUMMYFUNCTION("""COMPUTED_VALUE"""),"CINTO SEGURANÇA - TIPO: PARAQUEDISTA C/ MOSQUETÃO")</f>
        <v>CINTO SEGURANÇA - TIPO: PARAQUEDISTA C/ MOSQUETÃO</v>
      </c>
      <c r="C2057" s="86">
        <f>IFERROR(__xludf.DUMMYFUNCTION("""COMPUTED_VALUE"""),2.0)</f>
        <v>2</v>
      </c>
      <c r="D2057" s="87" t="str">
        <f>IFERROR(__xludf.DUMMYFUNCTION("""COMPUTED_VALUE"""),"VIATURA")</f>
        <v>VIATURA</v>
      </c>
      <c r="E2057" s="87" t="str">
        <f>IFERROR(__xludf.DUMMYFUNCTION("""COMPUTED_VALUE"""),"1 - ASM3617")</f>
        <v>1 - ASM3617</v>
      </c>
      <c r="F2057" s="92" t="str">
        <f>IFERROR(__xludf.DUMMYFUNCTION("""COMPUTED_VALUE"""),"BOX 03")</f>
        <v>BOX 03</v>
      </c>
      <c r="G2057" s="89"/>
      <c r="H2057" s="87"/>
      <c r="I2057" s="87"/>
    </row>
    <row r="2058">
      <c r="A2058" s="84">
        <f>IFERROR(__xludf.DUMMYFUNCTION("""COMPUTED_VALUE"""),268.0)</f>
        <v>268</v>
      </c>
      <c r="B2058" s="85" t="str">
        <f>IFERROR(__xludf.DUMMYFUNCTION("""COMPUTED_VALUE"""),"BOLSA SALV. ALTURA MERET")</f>
        <v>BOLSA SALV. ALTURA MERET</v>
      </c>
      <c r="C2058" s="86">
        <f>IFERROR(__xludf.DUMMYFUNCTION("""COMPUTED_VALUE"""),1.0)</f>
        <v>1</v>
      </c>
      <c r="D2058" s="87" t="str">
        <f>IFERROR(__xludf.DUMMYFUNCTION("""COMPUTED_VALUE"""),"VIATURA")</f>
        <v>VIATURA</v>
      </c>
      <c r="E2058" s="87" t="str">
        <f>IFERROR(__xludf.DUMMYFUNCTION("""COMPUTED_VALUE"""),"1 - ASM3617")</f>
        <v>1 - ASM3617</v>
      </c>
      <c r="F2058" s="92" t="str">
        <f>IFERROR(__xludf.DUMMYFUNCTION("""COMPUTED_VALUE"""),"BOX CENTRAL")</f>
        <v>BOX CENTRAL</v>
      </c>
      <c r="G2058" s="89"/>
      <c r="H2058" s="87"/>
      <c r="I2058" s="87"/>
    </row>
    <row r="2059">
      <c r="A2059" s="84">
        <f>IFERROR(__xludf.DUMMYFUNCTION("""COMPUTED_VALUE"""),269.0)</f>
        <v>269</v>
      </c>
      <c r="B2059" s="85" t="str">
        <f>IFERROR(__xludf.DUMMYFUNCTION("""COMPUTED_VALUE"""),"CINTA PARA IÇAMENTO ")</f>
        <v>CINTA PARA IÇAMENTO </v>
      </c>
      <c r="C2059" s="86">
        <f>IFERROR(__xludf.DUMMYFUNCTION("""COMPUTED_VALUE"""),2.0)</f>
        <v>2</v>
      </c>
      <c r="D2059" s="87" t="str">
        <f>IFERROR(__xludf.DUMMYFUNCTION("""COMPUTED_VALUE"""),"VIATURA")</f>
        <v>VIATURA</v>
      </c>
      <c r="E2059" s="87" t="str">
        <f>IFERROR(__xludf.DUMMYFUNCTION("""COMPUTED_VALUE"""),"1 - ASM3617")</f>
        <v>1 - ASM3617</v>
      </c>
      <c r="F2059" s="92" t="str">
        <f>IFERROR(__xludf.DUMMYFUNCTION("""COMPUTED_VALUE"""),"BOX 05")</f>
        <v>BOX 05</v>
      </c>
      <c r="G2059" s="89">
        <f>IFERROR(__xludf.DUMMYFUNCTION("""COMPUTED_VALUE"""),45526.0)</f>
        <v>45526</v>
      </c>
      <c r="H2059" s="87"/>
      <c r="I2059" s="87"/>
    </row>
    <row r="2060">
      <c r="A2060" s="84">
        <f>IFERROR(__xludf.DUMMYFUNCTION("""COMPUTED_VALUE"""),270.0)</f>
        <v>270</v>
      </c>
      <c r="B2060" s="85" t="str">
        <f>IFERROR(__xludf.DUMMYFUNCTION("""COMPUTED_VALUE"""),"PINÇÃO CAPTURADOR DE SERPENTES ")</f>
        <v>PINÇÃO CAPTURADOR DE SERPENTES </v>
      </c>
      <c r="C2060" s="86">
        <f>IFERROR(__xludf.DUMMYFUNCTION("""COMPUTED_VALUE"""),2.0)</f>
        <v>2</v>
      </c>
      <c r="D2060" s="87" t="str">
        <f>IFERROR(__xludf.DUMMYFUNCTION("""COMPUTED_VALUE"""),"VIATURA")</f>
        <v>VIATURA</v>
      </c>
      <c r="E2060" s="87" t="str">
        <f>IFERROR(__xludf.DUMMYFUNCTION("""COMPUTED_VALUE"""),"1 - ASM3617")</f>
        <v>1 - ASM3617</v>
      </c>
      <c r="F2060" s="92" t="str">
        <f>IFERROR(__xludf.DUMMYFUNCTION("""COMPUTED_VALUE"""),"BOX SUPERIOR 01")</f>
        <v>BOX SUPERIOR 01</v>
      </c>
      <c r="G2060" s="89"/>
      <c r="H2060" s="87"/>
      <c r="I2060" s="87"/>
    </row>
    <row r="2061">
      <c r="A2061" s="84">
        <f>IFERROR(__xludf.DUMMYFUNCTION("""COMPUTED_VALUE"""),271.0)</f>
        <v>271</v>
      </c>
      <c r="B2061" s="85" t="str">
        <f>IFERROR(__xludf.DUMMYFUNCTION("""COMPUTED_VALUE"""),"PRANCHA LONGA")</f>
        <v>PRANCHA LONGA</v>
      </c>
      <c r="C2061" s="86">
        <f>IFERROR(__xludf.DUMMYFUNCTION("""COMPUTED_VALUE"""),1.0)</f>
        <v>1</v>
      </c>
      <c r="D2061" s="87" t="str">
        <f>IFERROR(__xludf.DUMMYFUNCTION("""COMPUTED_VALUE"""),"VIATURA")</f>
        <v>VIATURA</v>
      </c>
      <c r="E2061" s="87" t="str">
        <f>IFERROR(__xludf.DUMMYFUNCTION("""COMPUTED_VALUE"""),"1 - ASM3617")</f>
        <v>1 - ASM3617</v>
      </c>
      <c r="F2061" s="92" t="str">
        <f>IFERROR(__xludf.DUMMYFUNCTION("""COMPUTED_VALUE"""),"BOX CENTRAL")</f>
        <v>BOX CENTRAL</v>
      </c>
      <c r="G2061" s="89">
        <f>IFERROR(__xludf.DUMMYFUNCTION("""COMPUTED_VALUE"""),45526.0)</f>
        <v>45526</v>
      </c>
      <c r="H2061" s="87"/>
      <c r="I2061" s="87" t="str">
        <f>IFERROR(__xludf.DUMMYFUNCTION("""COMPUTED_VALUE"""),"PRANCHA DE FIBRA AMARELA C/ ENCOSTO DE CABEÇA E BACHAL")</f>
        <v>PRANCHA DE FIBRA AMARELA C/ ENCOSTO DE CABEÇA E BACHAL</v>
      </c>
    </row>
    <row r="2062">
      <c r="A2062" s="84">
        <f>IFERROR(__xludf.DUMMYFUNCTION("""COMPUTED_VALUE"""),272.0)</f>
        <v>272</v>
      </c>
      <c r="B2062" s="85" t="str">
        <f>IFERROR(__xludf.DUMMYFUNCTION("""COMPUTED_VALUE"""),"MARTELO DE BORRACHA")</f>
        <v>MARTELO DE BORRACHA</v>
      </c>
      <c r="C2062" s="86">
        <f>IFERROR(__xludf.DUMMYFUNCTION("""COMPUTED_VALUE"""),1.0)</f>
        <v>1</v>
      </c>
      <c r="D2062" s="87" t="str">
        <f>IFERROR(__xludf.DUMMYFUNCTION("""COMPUTED_VALUE"""),"VIATURA")</f>
        <v>VIATURA</v>
      </c>
      <c r="E2062" s="87" t="str">
        <f>IFERROR(__xludf.DUMMYFUNCTION("""COMPUTED_VALUE"""),"1 - ABTS1418")</f>
        <v>1 - ABTS1418</v>
      </c>
      <c r="F2062" s="92" t="str">
        <f>IFERROR(__xludf.DUMMYFUNCTION("""COMPUTED_VALUE"""),"BOX 02")</f>
        <v>BOX 02</v>
      </c>
      <c r="G2062" s="89">
        <f>IFERROR(__xludf.DUMMYFUNCTION("""COMPUTED_VALUE"""),45580.0)</f>
        <v>45580</v>
      </c>
      <c r="H2062" s="87"/>
      <c r="I2062" s="87"/>
    </row>
    <row r="2063">
      <c r="A2063" s="84">
        <f>IFERROR(__xludf.DUMMYFUNCTION("""COMPUTED_VALUE"""),273.0)</f>
        <v>273</v>
      </c>
      <c r="B2063" s="85" t="str">
        <f>IFERROR(__xludf.DUMMYFUNCTION("""COMPUTED_VALUE"""),"EXTINTOR DE INCÊNDIO 2A")</f>
        <v>EXTINTOR DE INCÊNDIO 2A</v>
      </c>
      <c r="C2063" s="86">
        <f>IFERROR(__xludf.DUMMYFUNCTION("""COMPUTED_VALUE"""),1.0)</f>
        <v>1</v>
      </c>
      <c r="D2063" s="87" t="str">
        <f>IFERROR(__xludf.DUMMYFUNCTION("""COMPUTED_VALUE"""),"VIATURA")</f>
        <v>VIATURA</v>
      </c>
      <c r="E2063" s="87" t="str">
        <f>IFERROR(__xludf.DUMMYFUNCTION("""COMPUTED_VALUE"""),"1 - ASM3617")</f>
        <v>1 - ASM3617</v>
      </c>
      <c r="F2063" s="92" t="str">
        <f>IFERROR(__xludf.DUMMYFUNCTION("""COMPUTED_VALUE"""),"BOX 02")</f>
        <v>BOX 02</v>
      </c>
      <c r="G2063" s="89"/>
      <c r="H2063" s="87"/>
      <c r="I2063" s="87" t="str">
        <f>IFERROR(__xludf.DUMMYFUNCTION("""COMPUTED_VALUE"""),"10 LITROS")</f>
        <v>10 LITROS</v>
      </c>
    </row>
    <row r="2064">
      <c r="A2064" s="84">
        <f>IFERROR(__xludf.DUMMYFUNCTION("""COMPUTED_VALUE"""),274.0)</f>
        <v>274</v>
      </c>
      <c r="B2064" s="85" t="str">
        <f>IFERROR(__xludf.DUMMYFUNCTION("""COMPUTED_VALUE"""),"CONE SINALEIRO")</f>
        <v>CONE SINALEIRO</v>
      </c>
      <c r="C2064" s="86">
        <f>IFERROR(__xludf.DUMMYFUNCTION("""COMPUTED_VALUE"""),5.0)</f>
        <v>5</v>
      </c>
      <c r="D2064" s="87" t="str">
        <f>IFERROR(__xludf.DUMMYFUNCTION("""COMPUTED_VALUE"""),"VIATURA")</f>
        <v>VIATURA</v>
      </c>
      <c r="E2064" s="87" t="str">
        <f>IFERROR(__xludf.DUMMYFUNCTION("""COMPUTED_VALUE"""),"1 - ASM3617")</f>
        <v>1 - ASM3617</v>
      </c>
      <c r="F2064" s="92" t="str">
        <f>IFERROR(__xludf.DUMMYFUNCTION("""COMPUTED_VALUE"""),"BOX 03")</f>
        <v>BOX 03</v>
      </c>
      <c r="G2064" s="89"/>
      <c r="H2064" s="87"/>
      <c r="I2064" s="87"/>
    </row>
    <row r="2065">
      <c r="A2065" s="84">
        <f>IFERROR(__xludf.DUMMYFUNCTION("""COMPUTED_VALUE"""),275.0)</f>
        <v>275</v>
      </c>
      <c r="B2065" s="85" t="str">
        <f>IFERROR(__xludf.DUMMYFUNCTION("""COMPUTED_VALUE"""),"EXTENSÃO  ")</f>
        <v>EXTENSÃO  </v>
      </c>
      <c r="C2065" s="86">
        <f>IFERROR(__xludf.DUMMYFUNCTION("""COMPUTED_VALUE"""),1.0)</f>
        <v>1</v>
      </c>
      <c r="D2065" s="87" t="str">
        <f>IFERROR(__xludf.DUMMYFUNCTION("""COMPUTED_VALUE"""),"VIATURA")</f>
        <v>VIATURA</v>
      </c>
      <c r="E2065" s="87" t="str">
        <f>IFERROR(__xludf.DUMMYFUNCTION("""COMPUTED_VALUE"""),"1 - ASM3617")</f>
        <v>1 - ASM3617</v>
      </c>
      <c r="F2065" s="92" t="str">
        <f>IFERROR(__xludf.DUMMYFUNCTION("""COMPUTED_VALUE"""),"BOX 03")</f>
        <v>BOX 03</v>
      </c>
      <c r="G2065" s="89"/>
      <c r="H2065" s="87"/>
      <c r="I2065" s="87" t="str">
        <f>IFERROR(__xludf.DUMMYFUNCTION("""COMPUTED_VALUE"""),"CARRETEL")</f>
        <v>CARRETEL</v>
      </c>
    </row>
    <row r="2066">
      <c r="A2066" s="84">
        <f>IFERROR(__xludf.DUMMYFUNCTION("""COMPUTED_VALUE"""),276.0)</f>
        <v>276</v>
      </c>
      <c r="B2066" s="85" t="str">
        <f>IFERROR(__xludf.DUMMYFUNCTION("""COMPUTED_VALUE"""),"EXTINTOR DE INCÊNDIO 2A 20BC")</f>
        <v>EXTINTOR DE INCÊNDIO 2A 20BC</v>
      </c>
      <c r="C2066" s="86">
        <f>IFERROR(__xludf.DUMMYFUNCTION("""COMPUTED_VALUE"""),1.0)</f>
        <v>1</v>
      </c>
      <c r="D2066" s="87" t="str">
        <f>IFERROR(__xludf.DUMMYFUNCTION("""COMPUTED_VALUE"""),"VIATURA")</f>
        <v>VIATURA</v>
      </c>
      <c r="E2066" s="87" t="str">
        <f>IFERROR(__xludf.DUMMYFUNCTION("""COMPUTED_VALUE"""),"1 - ASM3617")</f>
        <v>1 - ASM3617</v>
      </c>
      <c r="F2066" s="92" t="str">
        <f>IFERROR(__xludf.DUMMYFUNCTION("""COMPUTED_VALUE"""),"BOX 04")</f>
        <v>BOX 04</v>
      </c>
      <c r="G2066" s="89">
        <f>IFERROR(__xludf.DUMMYFUNCTION("""COMPUTED_VALUE"""),45525.0)</f>
        <v>45525</v>
      </c>
      <c r="H2066" s="87"/>
      <c r="I2066" s="87"/>
    </row>
    <row r="2067">
      <c r="A2067" s="84">
        <f>IFERROR(__xludf.DUMMYFUNCTION("""COMPUTED_VALUE"""),277.0)</f>
        <v>277</v>
      </c>
      <c r="B2067" s="85" t="str">
        <f>IFERROR(__xludf.DUMMYFUNCTION("""COMPUTED_VALUE"""),"FLUTUADOR PARA SALVAMENTO AQUATICO -")</f>
        <v>FLUTUADOR PARA SALVAMENTO AQUATICO -</v>
      </c>
      <c r="C2067" s="86">
        <f>IFERROR(__xludf.DUMMYFUNCTION("""COMPUTED_VALUE"""),1.0)</f>
        <v>1</v>
      </c>
      <c r="D2067" s="87" t="str">
        <f>IFERROR(__xludf.DUMMYFUNCTION("""COMPUTED_VALUE"""),"VIATURA")</f>
        <v>VIATURA</v>
      </c>
      <c r="E2067" s="87" t="str">
        <f>IFERROR(__xludf.DUMMYFUNCTION("""COMPUTED_VALUE"""),"1 - ASM3617")</f>
        <v>1 - ASM3617</v>
      </c>
      <c r="F2067" s="92" t="str">
        <f>IFERROR(__xludf.DUMMYFUNCTION("""COMPUTED_VALUE"""),"BOX 02")</f>
        <v>BOX 02</v>
      </c>
      <c r="G2067" s="89">
        <f>IFERROR(__xludf.DUMMYFUNCTION("""COMPUTED_VALUE"""),45526.0)</f>
        <v>45526</v>
      </c>
      <c r="H2067" s="87"/>
      <c r="I2067" s="87" t="str">
        <f>IFERROR(__xludf.DUMMYFUNCTION("""COMPUTED_VALUE"""),"FLUTUADOR SALVA-VIDAS SALSICHÃO EM ESPUMA DE POLIETILENO - FLUTSPUMA")</f>
        <v>FLUTUADOR SALVA-VIDAS SALSICHÃO EM ESPUMA DE POLIETILENO - FLUTSPUMA</v>
      </c>
    </row>
    <row r="2068">
      <c r="A2068" s="84">
        <f>IFERROR(__xludf.DUMMYFUNCTION("""COMPUTED_VALUE"""),278.0)</f>
        <v>278</v>
      </c>
      <c r="B2068" s="85" t="str">
        <f>IFERROR(__xludf.DUMMYFUNCTION("""COMPUTED_VALUE"""),"EXTENSÃO TOMADA INDÚSTRIAL ")</f>
        <v>EXTENSÃO TOMADA INDÚSTRIAL </v>
      </c>
      <c r="C2068" s="86">
        <f>IFERROR(__xludf.DUMMYFUNCTION("""COMPUTED_VALUE"""),1.0)</f>
        <v>1</v>
      </c>
      <c r="D2068" s="87" t="str">
        <f>IFERROR(__xludf.DUMMYFUNCTION("""COMPUTED_VALUE"""),"SEÇÃO")</f>
        <v>SEÇÃO</v>
      </c>
      <c r="E2068" s="87" t="str">
        <f>IFERROR(__xludf.DUMMYFUNCTION("""COMPUTED_VALUE"""),"3 - ALMOX. ESTOQUE")</f>
        <v>3 - ALMOX. ESTOQUE</v>
      </c>
      <c r="F2068" s="92" t="str">
        <f>IFERROR(__xludf.DUMMYFUNCTION("""COMPUTED_VALUE"""),"ALMOX. SAO (SEDE)")</f>
        <v>ALMOX. SAO (SEDE)</v>
      </c>
      <c r="G2068" s="89">
        <f>IFERROR(__xludf.DUMMYFUNCTION("""COMPUTED_VALUE"""),45526.0)</f>
        <v>45526</v>
      </c>
      <c r="H2068" s="87"/>
      <c r="I2068" s="87" t="str">
        <f>IFERROR(__xludf.DUMMYFUNCTION("""COMPUTED_VALUE"""),"plug steck 2p t Extensão Industrial 20 Metros 2p+t 16a 220v Cabo Pp 3x2,50mm")</f>
        <v>plug steck 2p t Extensão Industrial 20 Metros 2p+t 16a 220v Cabo Pp 3x2,50mm</v>
      </c>
    </row>
    <row r="2069">
      <c r="A2069" s="84">
        <f>IFERROR(__xludf.DUMMYFUNCTION("""COMPUTED_VALUE"""),279.0)</f>
        <v>279</v>
      </c>
      <c r="B2069" s="85" t="str">
        <f>IFERROR(__xludf.DUMMYFUNCTION("""COMPUTED_VALUE"""),"NADADEIRA PARA MERGULHO E SALVAMENTO FECHADA - (PAR)")</f>
        <v>NADADEIRA PARA MERGULHO E SALVAMENTO FECHADA - (PAR)</v>
      </c>
      <c r="C2069" s="86">
        <f>IFERROR(__xludf.DUMMYFUNCTION("""COMPUTED_VALUE"""),2.0)</f>
        <v>2</v>
      </c>
      <c r="D2069" s="87" t="str">
        <f>IFERROR(__xludf.DUMMYFUNCTION("""COMPUTED_VALUE"""),"VIATURA")</f>
        <v>VIATURA</v>
      </c>
      <c r="E2069" s="87" t="str">
        <f>IFERROR(__xludf.DUMMYFUNCTION("""COMPUTED_VALUE"""),"1 - ASM3617")</f>
        <v>1 - ASM3617</v>
      </c>
      <c r="F2069" s="92" t="str">
        <f>IFERROR(__xludf.DUMMYFUNCTION("""COMPUTED_VALUE"""),"BOX 02")</f>
        <v>BOX 02</v>
      </c>
      <c r="G2069" s="89">
        <f>IFERROR(__xludf.DUMMYFUNCTION("""COMPUTED_VALUE"""),45526.0)</f>
        <v>45526</v>
      </c>
      <c r="H2069" s="87"/>
      <c r="I2069" s="87" t="str">
        <f>IFERROR(__xludf.DUMMYFUNCTION("""COMPUTED_VALUE"""),"Nº 38-39/ 44-46")</f>
        <v>Nº 38-39/ 44-46</v>
      </c>
    </row>
    <row r="2070">
      <c r="A2070" s="84">
        <f>IFERROR(__xludf.DUMMYFUNCTION("""COMPUTED_VALUE"""),280.0)</f>
        <v>280</v>
      </c>
      <c r="B2070" s="85" t="str">
        <f>IFERROR(__xludf.DUMMYFUNCTION("""COMPUTED_VALUE"""),"SACO DE CORDAS PARA RESGATE AQUATICO -")</f>
        <v>SACO DE CORDAS PARA RESGATE AQUATICO -</v>
      </c>
      <c r="C2070" s="86">
        <f>IFERROR(__xludf.DUMMYFUNCTION("""COMPUTED_VALUE"""),2.0)</f>
        <v>2</v>
      </c>
      <c r="D2070" s="87" t="str">
        <f>IFERROR(__xludf.DUMMYFUNCTION("""COMPUTED_VALUE"""),"VIATURA")</f>
        <v>VIATURA</v>
      </c>
      <c r="E2070" s="87" t="str">
        <f>IFERROR(__xludf.DUMMYFUNCTION("""COMPUTED_VALUE"""),"1 - ASM3617")</f>
        <v>1 - ASM3617</v>
      </c>
      <c r="F2070" s="92" t="str">
        <f>IFERROR(__xludf.DUMMYFUNCTION("""COMPUTED_VALUE"""),"BOX 02")</f>
        <v>BOX 02</v>
      </c>
      <c r="G2070" s="89">
        <f>IFERROR(__xludf.DUMMYFUNCTION("""COMPUTED_VALUE"""),45526.0)</f>
        <v>45526</v>
      </c>
      <c r="H2070" s="87"/>
      <c r="I2070" s="87" t="str">
        <f>IFERROR(__xludf.DUMMYFUNCTION("""COMPUTED_VALUE"""),"SACO DE ARREMESSO")</f>
        <v>SACO DE ARREMESSO</v>
      </c>
    </row>
    <row r="2071">
      <c r="A2071" s="84">
        <f>IFERROR(__xludf.DUMMYFUNCTION("""COMPUTED_VALUE"""),281.0)</f>
        <v>281</v>
      </c>
      <c r="B2071" s="85" t="str">
        <f>IFERROR(__xludf.DUMMYFUNCTION("""COMPUTED_VALUE"""),"MASCARA DE CIURB SOBRESSALENTE")</f>
        <v>MASCARA DE CIURB SOBRESSALENTE</v>
      </c>
      <c r="C2071" s="86">
        <f>IFERROR(__xludf.DUMMYFUNCTION("""COMPUTED_VALUE"""),3.0)</f>
        <v>3</v>
      </c>
      <c r="D2071" s="87" t="str">
        <f>IFERROR(__xludf.DUMMYFUNCTION("""COMPUTED_VALUE"""),"VIATURA")</f>
        <v>VIATURA</v>
      </c>
      <c r="E2071" s="87" t="str">
        <f>IFERROR(__xludf.DUMMYFUNCTION("""COMPUTED_VALUE"""),"1 - ASM3617")</f>
        <v>1 - ASM3617</v>
      </c>
      <c r="F2071" s="92" t="str">
        <f>IFERROR(__xludf.DUMMYFUNCTION("""COMPUTED_VALUE"""),"BOX 03")</f>
        <v>BOX 03</v>
      </c>
      <c r="G2071" s="89">
        <f>IFERROR(__xludf.DUMMYFUNCTION("""COMPUTED_VALUE"""),45580.0)</f>
        <v>45580</v>
      </c>
      <c r="H2071" s="87"/>
      <c r="I2071" s="87" t="str">
        <f>IFERROR(__xludf.DUMMYFUNCTION("""COMPUTED_VALUE"""),"MÁSCARA CARONA")</f>
        <v>MÁSCARA CARONA</v>
      </c>
    </row>
    <row r="2072">
      <c r="A2072" s="84">
        <f>IFERROR(__xludf.DUMMYFUNCTION("""COMPUTED_VALUE"""),282.0)</f>
        <v>282</v>
      </c>
      <c r="B2072" s="85" t="str">
        <f>IFERROR(__xludf.DUMMYFUNCTION("""COMPUTED_VALUE"""),"CALÇO PARA VIATURAS (POLIETILENO)")</f>
        <v>CALÇO PARA VIATURAS (POLIETILENO)</v>
      </c>
      <c r="C2072" s="86">
        <f>IFERROR(__xludf.DUMMYFUNCTION("""COMPUTED_VALUE"""),2.0)</f>
        <v>2</v>
      </c>
      <c r="D2072" s="87" t="str">
        <f>IFERROR(__xludf.DUMMYFUNCTION("""COMPUTED_VALUE"""),"VIATURA")</f>
        <v>VIATURA</v>
      </c>
      <c r="E2072" s="87" t="str">
        <f>IFERROR(__xludf.DUMMYFUNCTION("""COMPUTED_VALUE"""),"1 - ASM3617")</f>
        <v>1 - ASM3617</v>
      </c>
      <c r="F2072" s="92" t="str">
        <f>IFERROR(__xludf.DUMMYFUNCTION("""COMPUTED_VALUE"""),"BOX 01")</f>
        <v>BOX 01</v>
      </c>
      <c r="G2072" s="89"/>
      <c r="H2072" s="87"/>
      <c r="I2072" s="87"/>
    </row>
    <row r="2073">
      <c r="A2073" s="84">
        <f>IFERROR(__xludf.DUMMYFUNCTION("""COMPUTED_VALUE"""),283.0)</f>
        <v>283</v>
      </c>
      <c r="B2073" s="85" t="str">
        <f>IFERROR(__xludf.DUMMYFUNCTION("""COMPUTED_VALUE"""),"CALÇA DE MOTOSSERRISTA XG")</f>
        <v>CALÇA DE MOTOSSERRISTA XG</v>
      </c>
      <c r="C2073" s="86">
        <f>IFERROR(__xludf.DUMMYFUNCTION("""COMPUTED_VALUE"""),2.0)</f>
        <v>2</v>
      </c>
      <c r="D2073" s="87" t="str">
        <f>IFERROR(__xludf.DUMMYFUNCTION("""COMPUTED_VALUE"""),"VIATURA")</f>
        <v>VIATURA</v>
      </c>
      <c r="E2073" s="87" t="str">
        <f>IFERROR(__xludf.DUMMYFUNCTION("""COMPUTED_VALUE"""),"1 - ASM3617")</f>
        <v>1 - ASM3617</v>
      </c>
      <c r="F2073" s="92" t="str">
        <f>IFERROR(__xludf.DUMMYFUNCTION("""COMPUTED_VALUE"""),"BOX 04")</f>
        <v>BOX 04</v>
      </c>
      <c r="G2073" s="89"/>
      <c r="H2073" s="87"/>
      <c r="I2073" s="87"/>
    </row>
    <row r="2074">
      <c r="A2074" s="84">
        <f>IFERROR(__xludf.DUMMYFUNCTION("""COMPUTED_VALUE"""),284.0)</f>
        <v>284</v>
      </c>
      <c r="B2074" s="85" t="str">
        <f>IFERROR(__xludf.DUMMYFUNCTION("""COMPUTED_VALUE"""),"IMOBILIZADOR DE NUCA E CABECA -")</f>
        <v>IMOBILIZADOR DE NUCA E CABECA -</v>
      </c>
      <c r="C2074" s="86">
        <f>IFERROR(__xludf.DUMMYFUNCTION("""COMPUTED_VALUE"""),1.0)</f>
        <v>1</v>
      </c>
      <c r="D2074" s="87" t="str">
        <f>IFERROR(__xludf.DUMMYFUNCTION("""COMPUTED_VALUE"""),"VIATURA")</f>
        <v>VIATURA</v>
      </c>
      <c r="E2074" s="87" t="str">
        <f>IFERROR(__xludf.DUMMYFUNCTION("""COMPUTED_VALUE"""),"1 - ASM3617")</f>
        <v>1 - ASM3617</v>
      </c>
      <c r="F2074" s="92" t="str">
        <f>IFERROR(__xludf.DUMMYFUNCTION("""COMPUTED_VALUE"""),"CABINE")</f>
        <v>CABINE</v>
      </c>
      <c r="G2074" s="89"/>
      <c r="H2074" s="87"/>
      <c r="I2074" s="87" t="str">
        <f>IFERROR(__xludf.DUMMYFUNCTION("""COMPUTED_VALUE"""),"O PAR, COM TIRANTES PARA FIXAÇÃO")</f>
        <v>O PAR, COM TIRANTES PARA FIXAÇÃO</v>
      </c>
    </row>
    <row r="2075">
      <c r="A2075" s="84">
        <f>IFERROR(__xludf.DUMMYFUNCTION("""COMPUTED_VALUE"""),285.0)</f>
        <v>285</v>
      </c>
      <c r="B2075" s="85" t="str">
        <f>IFERROR(__xludf.DUMMYFUNCTION("""COMPUTED_VALUE"""),"ESTACA DE AÇO")</f>
        <v>ESTACA DE AÇO</v>
      </c>
      <c r="C2075" s="86">
        <f>IFERROR(__xludf.DUMMYFUNCTION("""COMPUTED_VALUE"""),6.0)</f>
        <v>6</v>
      </c>
      <c r="D2075" s="87" t="str">
        <f>IFERROR(__xludf.DUMMYFUNCTION("""COMPUTED_VALUE"""),"VIATURA")</f>
        <v>VIATURA</v>
      </c>
      <c r="E2075" s="87" t="str">
        <f>IFERROR(__xludf.DUMMYFUNCTION("""COMPUTED_VALUE"""),"1 - ASM3617")</f>
        <v>1 - ASM3617</v>
      </c>
      <c r="F2075" s="92" t="str">
        <f>IFERROR(__xludf.DUMMYFUNCTION("""COMPUTED_VALUE"""),"BOX SUPERIOR 01")</f>
        <v>BOX SUPERIOR 01</v>
      </c>
      <c r="G2075" s="89"/>
      <c r="H2075" s="87"/>
      <c r="I2075" s="87"/>
    </row>
    <row r="2076">
      <c r="A2076" s="84">
        <f>IFERROR(__xludf.DUMMYFUNCTION("""COMPUTED_VALUE"""),286.0)</f>
        <v>286</v>
      </c>
      <c r="B2076" s="85" t="str">
        <f>IFERROR(__xludf.DUMMYFUNCTION("""COMPUTED_VALUE"""),"ABAFADOR PARA COMBATE A INCENDIO FLORESTAL")</f>
        <v>ABAFADOR PARA COMBATE A INCENDIO FLORESTAL</v>
      </c>
      <c r="C2076" s="86">
        <f>IFERROR(__xludf.DUMMYFUNCTION("""COMPUTED_VALUE"""),3.0)</f>
        <v>3</v>
      </c>
      <c r="D2076" s="87" t="str">
        <f>IFERROR(__xludf.DUMMYFUNCTION("""COMPUTED_VALUE"""),"VIATURA")</f>
        <v>VIATURA</v>
      </c>
      <c r="E2076" s="87" t="str">
        <f>IFERROR(__xludf.DUMMYFUNCTION("""COMPUTED_VALUE"""),"1 - ASM3617")</f>
        <v>1 - ASM3617</v>
      </c>
      <c r="F2076" s="92" t="str">
        <f>IFERROR(__xludf.DUMMYFUNCTION("""COMPUTED_VALUE"""),"BOX SUPERIOR 01")</f>
        <v>BOX SUPERIOR 01</v>
      </c>
      <c r="G2076" s="89"/>
      <c r="H2076" s="87"/>
      <c r="I2076" s="87"/>
    </row>
    <row r="2077">
      <c r="A2077" s="84">
        <f>IFERROR(__xludf.DUMMYFUNCTION("""COMPUTED_VALUE"""),287.0)</f>
        <v>287</v>
      </c>
      <c r="B2077" s="85" t="str">
        <f>IFERROR(__xludf.DUMMYFUNCTION("""COMPUTED_VALUE"""),"PÁ DE CAMPANHA")</f>
        <v>PÁ DE CAMPANHA</v>
      </c>
      <c r="C2077" s="86">
        <f>IFERROR(__xludf.DUMMYFUNCTION("""COMPUTED_VALUE"""),2.0)</f>
        <v>2</v>
      </c>
      <c r="D2077" s="87" t="str">
        <f>IFERROR(__xludf.DUMMYFUNCTION("""COMPUTED_VALUE"""),"VIATURA")</f>
        <v>VIATURA</v>
      </c>
      <c r="E2077" s="87" t="str">
        <f>IFERROR(__xludf.DUMMYFUNCTION("""COMPUTED_VALUE"""),"1 - ASM3617")</f>
        <v>1 - ASM3617</v>
      </c>
      <c r="F2077" s="92" t="str">
        <f>IFERROR(__xludf.DUMMYFUNCTION("""COMPUTED_VALUE"""),"BOX SUPERIOR 01")</f>
        <v>BOX SUPERIOR 01</v>
      </c>
      <c r="G2077" s="89"/>
      <c r="H2077" s="87"/>
      <c r="I2077" s="87"/>
    </row>
    <row r="2078">
      <c r="A2078" s="84">
        <f>IFERROR(__xludf.DUMMYFUNCTION("""COMPUTED_VALUE"""),288.0)</f>
        <v>288</v>
      </c>
      <c r="B2078" s="85" t="str">
        <f>IFERROR(__xludf.DUMMYFUNCTION("""COMPUTED_VALUE"""),"PÁ DE BICO")</f>
        <v>PÁ DE BICO</v>
      </c>
      <c r="C2078" s="86">
        <f>IFERROR(__xludf.DUMMYFUNCTION("""COMPUTED_VALUE"""),1.0)</f>
        <v>1</v>
      </c>
      <c r="D2078" s="87" t="str">
        <f>IFERROR(__xludf.DUMMYFUNCTION("""COMPUTED_VALUE"""),"VIATURA")</f>
        <v>VIATURA</v>
      </c>
      <c r="E2078" s="87" t="str">
        <f>IFERROR(__xludf.DUMMYFUNCTION("""COMPUTED_VALUE"""),"1 - ASM3617")</f>
        <v>1 - ASM3617</v>
      </c>
      <c r="F2078" s="92" t="str">
        <f>IFERROR(__xludf.DUMMYFUNCTION("""COMPUTED_VALUE"""),"BOX SUPERIOR 01")</f>
        <v>BOX SUPERIOR 01</v>
      </c>
      <c r="G2078" s="89"/>
      <c r="H2078" s="87"/>
      <c r="I2078" s="87"/>
    </row>
    <row r="2079">
      <c r="A2079" s="84">
        <f>IFERROR(__xludf.DUMMYFUNCTION("""COMPUTED_VALUE"""),289.0)</f>
        <v>289</v>
      </c>
      <c r="B2079" s="85" t="str">
        <f>IFERROR(__xludf.DUMMYFUNCTION("""COMPUTED_VALUE"""),"MACHADO CABO COMPRIDO")</f>
        <v>MACHADO CABO COMPRIDO</v>
      </c>
      <c r="C2079" s="86">
        <f>IFERROR(__xludf.DUMMYFUNCTION("""COMPUTED_VALUE"""),1.0)</f>
        <v>1</v>
      </c>
      <c r="D2079" s="87" t="str">
        <f>IFERROR(__xludf.DUMMYFUNCTION("""COMPUTED_VALUE"""),"VIATURA")</f>
        <v>VIATURA</v>
      </c>
      <c r="E2079" s="87" t="str">
        <f>IFERROR(__xludf.DUMMYFUNCTION("""COMPUTED_VALUE"""),"1 - ASM3617")</f>
        <v>1 - ASM3617</v>
      </c>
      <c r="F2079" s="92" t="str">
        <f>IFERROR(__xludf.DUMMYFUNCTION("""COMPUTED_VALUE"""),"BOX SUPERIOR 01")</f>
        <v>BOX SUPERIOR 01</v>
      </c>
      <c r="G2079" s="89"/>
      <c r="H2079" s="87"/>
      <c r="I2079" s="87"/>
    </row>
    <row r="2080">
      <c r="A2080" s="84">
        <f>IFERROR(__xludf.DUMMYFUNCTION("""COMPUTED_VALUE"""),290.0)</f>
        <v>290</v>
      </c>
      <c r="B2080" s="85" t="str">
        <f>IFERROR(__xludf.DUMMYFUNCTION("""COMPUTED_VALUE"""),"MACHADO CABO CURTO")</f>
        <v>MACHADO CABO CURTO</v>
      </c>
      <c r="C2080" s="86">
        <f>IFERROR(__xludf.DUMMYFUNCTION("""COMPUTED_VALUE"""),1.0)</f>
        <v>1</v>
      </c>
      <c r="D2080" s="87" t="str">
        <f>IFERROR(__xludf.DUMMYFUNCTION("""COMPUTED_VALUE"""),"VIATURA")</f>
        <v>VIATURA</v>
      </c>
      <c r="E2080" s="87" t="str">
        <f>IFERROR(__xludf.DUMMYFUNCTION("""COMPUTED_VALUE"""),"1 - ASM3617")</f>
        <v>1 - ASM3617</v>
      </c>
      <c r="F2080" s="92" t="str">
        <f>IFERROR(__xludf.DUMMYFUNCTION("""COMPUTED_VALUE"""),"BOX SUPERIOR 01")</f>
        <v>BOX SUPERIOR 01</v>
      </c>
      <c r="G2080" s="89"/>
      <c r="H2080" s="87"/>
      <c r="I2080" s="87"/>
    </row>
    <row r="2081">
      <c r="A2081" s="84">
        <f>IFERROR(__xludf.DUMMYFUNCTION("""COMPUTED_VALUE"""),291.0)</f>
        <v>291</v>
      </c>
      <c r="B2081" s="85" t="str">
        <f>IFERROR(__xludf.DUMMYFUNCTION("""COMPUTED_VALUE"""),"ENXADÃO")</f>
        <v>ENXADÃO</v>
      </c>
      <c r="C2081" s="86">
        <f>IFERROR(__xludf.DUMMYFUNCTION("""COMPUTED_VALUE"""),1.0)</f>
        <v>1</v>
      </c>
      <c r="D2081" s="87" t="str">
        <f>IFERROR(__xludf.DUMMYFUNCTION("""COMPUTED_VALUE"""),"VIATURA")</f>
        <v>VIATURA</v>
      </c>
      <c r="E2081" s="87" t="str">
        <f>IFERROR(__xludf.DUMMYFUNCTION("""COMPUTED_VALUE"""),"1 - ASM3617")</f>
        <v>1 - ASM3617</v>
      </c>
      <c r="F2081" s="92" t="str">
        <f>IFERROR(__xludf.DUMMYFUNCTION("""COMPUTED_VALUE"""),"BOX SUPERIOR 01")</f>
        <v>BOX SUPERIOR 01</v>
      </c>
      <c r="G2081" s="89"/>
      <c r="H2081" s="87"/>
      <c r="I2081" s="87"/>
    </row>
    <row r="2082">
      <c r="A2082" s="84">
        <f>IFERROR(__xludf.DUMMYFUNCTION("""COMPUTED_VALUE"""),292.0)</f>
        <v>292</v>
      </c>
      <c r="B2082" s="85" t="str">
        <f>IFERROR(__xludf.DUMMYFUNCTION("""COMPUTED_VALUE"""),"ENXADA")</f>
        <v>ENXADA</v>
      </c>
      <c r="C2082" s="86">
        <f>IFERROR(__xludf.DUMMYFUNCTION("""COMPUTED_VALUE"""),1.0)</f>
        <v>1</v>
      </c>
      <c r="D2082" s="87" t="str">
        <f>IFERROR(__xludf.DUMMYFUNCTION("""COMPUTED_VALUE"""),"VIATURA")</f>
        <v>VIATURA</v>
      </c>
      <c r="E2082" s="87" t="str">
        <f>IFERROR(__xludf.DUMMYFUNCTION("""COMPUTED_VALUE"""),"1 - ASM3617")</f>
        <v>1 - ASM3617</v>
      </c>
      <c r="F2082" s="92" t="str">
        <f>IFERROR(__xludf.DUMMYFUNCTION("""COMPUTED_VALUE"""),"BOX SUPERIOR 01")</f>
        <v>BOX SUPERIOR 01</v>
      </c>
      <c r="G2082" s="89"/>
      <c r="H2082" s="87"/>
      <c r="I2082" s="87"/>
    </row>
    <row r="2083">
      <c r="A2083" s="84">
        <f>IFERROR(__xludf.DUMMYFUNCTION("""COMPUTED_VALUE"""),293.0)</f>
        <v>293</v>
      </c>
      <c r="B2083" s="85" t="str">
        <f>IFERROR(__xludf.DUMMYFUNCTION("""COMPUTED_VALUE"""),"FOICE")</f>
        <v>FOICE</v>
      </c>
      <c r="C2083" s="86">
        <f>IFERROR(__xludf.DUMMYFUNCTION("""COMPUTED_VALUE"""),1.0)</f>
        <v>1</v>
      </c>
      <c r="D2083" s="87" t="str">
        <f>IFERROR(__xludf.DUMMYFUNCTION("""COMPUTED_VALUE"""),"VIATURA")</f>
        <v>VIATURA</v>
      </c>
      <c r="E2083" s="87" t="str">
        <f>IFERROR(__xludf.DUMMYFUNCTION("""COMPUTED_VALUE"""),"1 - ASM3617")</f>
        <v>1 - ASM3617</v>
      </c>
      <c r="F2083" s="92" t="str">
        <f>IFERROR(__xludf.DUMMYFUNCTION("""COMPUTED_VALUE"""),"BOX SUPERIOR 01")</f>
        <v>BOX SUPERIOR 01</v>
      </c>
      <c r="G2083" s="89"/>
      <c r="H2083" s="87"/>
      <c r="I2083" s="87"/>
    </row>
    <row r="2084">
      <c r="A2084" s="84">
        <f>IFERROR(__xludf.DUMMYFUNCTION("""COMPUTED_VALUE"""),294.0)</f>
        <v>294</v>
      </c>
      <c r="B2084" s="85" t="str">
        <f>IFERROR(__xludf.DUMMYFUNCTION("""COMPUTED_VALUE"""),"BASTAO ISOLADO")</f>
        <v>BASTAO ISOLADO</v>
      </c>
      <c r="C2084" s="86">
        <f>IFERROR(__xludf.DUMMYFUNCTION("""COMPUTED_VALUE"""),1.0)</f>
        <v>1</v>
      </c>
      <c r="D2084" s="87" t="str">
        <f>IFERROR(__xludf.DUMMYFUNCTION("""COMPUTED_VALUE"""),"VIATURA")</f>
        <v>VIATURA</v>
      </c>
      <c r="E2084" s="87" t="str">
        <f>IFERROR(__xludf.DUMMYFUNCTION("""COMPUTED_VALUE"""),"1 - ASM3617")</f>
        <v>1 - ASM3617</v>
      </c>
      <c r="F2084" s="92" t="str">
        <f>IFERROR(__xludf.DUMMYFUNCTION("""COMPUTED_VALUE"""),"BOX SUPERIOR 01")</f>
        <v>BOX SUPERIOR 01</v>
      </c>
      <c r="G2084" s="89"/>
      <c r="H2084" s="87"/>
      <c r="I2084" s="87"/>
    </row>
    <row r="2085">
      <c r="A2085" s="84">
        <f>IFERROR(__xludf.DUMMYFUNCTION("""COMPUTED_VALUE"""),295.0)</f>
        <v>295</v>
      </c>
      <c r="B2085" s="85" t="str">
        <f>IFERROR(__xludf.DUMMYFUNCTION("""COMPUTED_VALUE"""),"PÁ QUADRADA")</f>
        <v>PÁ QUADRADA</v>
      </c>
      <c r="C2085" s="86">
        <f>IFERROR(__xludf.DUMMYFUNCTION("""COMPUTED_VALUE"""),1.0)</f>
        <v>1</v>
      </c>
      <c r="D2085" s="87" t="str">
        <f>IFERROR(__xludf.DUMMYFUNCTION("""COMPUTED_VALUE"""),"VIATURA")</f>
        <v>VIATURA</v>
      </c>
      <c r="E2085" s="87" t="str">
        <f>IFERROR(__xludf.DUMMYFUNCTION("""COMPUTED_VALUE"""),"1 - ASM3617")</f>
        <v>1 - ASM3617</v>
      </c>
      <c r="F2085" s="92" t="str">
        <f>IFERROR(__xludf.DUMMYFUNCTION("""COMPUTED_VALUE"""),"BOX SUPERIOR 01")</f>
        <v>BOX SUPERIOR 01</v>
      </c>
      <c r="G2085" s="89"/>
      <c r="H2085" s="87"/>
      <c r="I2085" s="87"/>
    </row>
    <row r="2086">
      <c r="A2086" s="84">
        <f>IFERROR(__xludf.DUMMYFUNCTION("""COMPUTED_VALUE"""),296.0)</f>
        <v>296</v>
      </c>
      <c r="B2086" s="85" t="str">
        <f>IFERROR(__xludf.DUMMYFUNCTION("""COMPUTED_VALUE"""),"ESCADA DE DOIS GANCHOS - ALUMÍNIO")</f>
        <v>ESCADA DE DOIS GANCHOS - ALUMÍNIO</v>
      </c>
      <c r="C2086" s="86">
        <f>IFERROR(__xludf.DUMMYFUNCTION("""COMPUTED_VALUE"""),1.0)</f>
        <v>1</v>
      </c>
      <c r="D2086" s="87" t="str">
        <f>IFERROR(__xludf.DUMMYFUNCTION("""COMPUTED_VALUE"""),"VIATURA")</f>
        <v>VIATURA</v>
      </c>
      <c r="E2086" s="87" t="str">
        <f>IFERROR(__xludf.DUMMYFUNCTION("""COMPUTED_VALUE"""),"1 - ASM3617")</f>
        <v>1 - ASM3617</v>
      </c>
      <c r="F2086" s="92" t="str">
        <f>IFERROR(__xludf.DUMMYFUNCTION("""COMPUTED_VALUE"""),"BOX SUPERIOR 01")</f>
        <v>BOX SUPERIOR 01</v>
      </c>
      <c r="G2086" s="89"/>
      <c r="H2086" s="87"/>
      <c r="I2086" s="87"/>
    </row>
    <row r="2087">
      <c r="A2087" s="84">
        <f>IFERROR(__xludf.DUMMYFUNCTION("""COMPUTED_VALUE"""),297.0)</f>
        <v>297</v>
      </c>
      <c r="B2087" s="85" t="str">
        <f>IFERROR(__xludf.DUMMYFUNCTION("""COMPUTED_VALUE"""),"MACHADINHA")</f>
        <v>MACHADINHA</v>
      </c>
      <c r="C2087" s="86">
        <f>IFERROR(__xludf.DUMMYFUNCTION("""COMPUTED_VALUE"""),1.0)</f>
        <v>1</v>
      </c>
      <c r="D2087" s="87" t="str">
        <f>IFERROR(__xludf.DUMMYFUNCTION("""COMPUTED_VALUE"""),"VIATURA")</f>
        <v>VIATURA</v>
      </c>
      <c r="E2087" s="87" t="str">
        <f>IFERROR(__xludf.DUMMYFUNCTION("""COMPUTED_VALUE"""),"1 - ASM3617")</f>
        <v>1 - ASM3617</v>
      </c>
      <c r="F2087" s="92" t="str">
        <f>IFERROR(__xludf.DUMMYFUNCTION("""COMPUTED_VALUE"""),"BOX SUPERIOR 01")</f>
        <v>BOX SUPERIOR 01</v>
      </c>
      <c r="G2087" s="89"/>
      <c r="H2087" s="87"/>
      <c r="I2087" s="87"/>
    </row>
    <row r="2088">
      <c r="A2088" s="84">
        <f>IFERROR(__xludf.DUMMYFUNCTION("""COMPUTED_VALUE"""),298.0)</f>
        <v>298</v>
      </c>
      <c r="B2088" s="85" t="str">
        <f>IFERROR(__xludf.DUMMYFUNCTION("""COMPUTED_VALUE"""),"GORGUI")</f>
        <v>GORGUI</v>
      </c>
      <c r="C2088" s="86">
        <f>IFERROR(__xludf.DUMMYFUNCTION("""COMPUTED_VALUE"""),2.0)</f>
        <v>2</v>
      </c>
      <c r="D2088" s="87" t="str">
        <f>IFERROR(__xludf.DUMMYFUNCTION("""COMPUTED_VALUE"""),"VIATURA")</f>
        <v>VIATURA</v>
      </c>
      <c r="E2088" s="87" t="str">
        <f>IFERROR(__xludf.DUMMYFUNCTION("""COMPUTED_VALUE"""),"1 - ASM3617")</f>
        <v>1 - ASM3617</v>
      </c>
      <c r="F2088" s="92" t="str">
        <f>IFERROR(__xludf.DUMMYFUNCTION("""COMPUTED_VALUE"""),"BOX SUPERIOR 01")</f>
        <v>BOX SUPERIOR 01</v>
      </c>
      <c r="G2088" s="89"/>
      <c r="H2088" s="87"/>
      <c r="I2088" s="87"/>
    </row>
    <row r="2089">
      <c r="A2089" s="84">
        <f>IFERROR(__xludf.DUMMYFUNCTION("""COMPUTED_VALUE"""),299.0)</f>
        <v>299</v>
      </c>
      <c r="B2089" s="85" t="str">
        <f>IFERROR(__xludf.DUMMYFUNCTION("""COMPUTED_VALUE"""),"GANCHO PARA CAPTURA DE SERPENTES -")</f>
        <v>GANCHO PARA CAPTURA DE SERPENTES -</v>
      </c>
      <c r="C2089" s="86">
        <f>IFERROR(__xludf.DUMMYFUNCTION("""COMPUTED_VALUE"""),1.0)</f>
        <v>1</v>
      </c>
      <c r="D2089" s="87" t="str">
        <f>IFERROR(__xludf.DUMMYFUNCTION("""COMPUTED_VALUE"""),"VIATURA")</f>
        <v>VIATURA</v>
      </c>
      <c r="E2089" s="87" t="str">
        <f>IFERROR(__xludf.DUMMYFUNCTION("""COMPUTED_VALUE"""),"1 - ASM3617")</f>
        <v>1 - ASM3617</v>
      </c>
      <c r="F2089" s="92" t="str">
        <f>IFERROR(__xludf.DUMMYFUNCTION("""COMPUTED_VALUE"""),"BOX SUPERIOR 01")</f>
        <v>BOX SUPERIOR 01</v>
      </c>
      <c r="G2089" s="89"/>
      <c r="H2089" s="87"/>
      <c r="I2089" s="87"/>
    </row>
    <row r="2090">
      <c r="A2090" s="84">
        <f>IFERROR(__xludf.DUMMYFUNCTION("""COMPUTED_VALUE"""),300.0)</f>
        <v>300</v>
      </c>
      <c r="B2090" s="85" t="str">
        <f>IFERROR(__xludf.DUMMYFUNCTION("""COMPUTED_VALUE"""),"FACÕES")</f>
        <v>FACÕES</v>
      </c>
      <c r="C2090" s="86">
        <f>IFERROR(__xludf.DUMMYFUNCTION("""COMPUTED_VALUE"""),2.0)</f>
        <v>2</v>
      </c>
      <c r="D2090" s="87" t="str">
        <f>IFERROR(__xludf.DUMMYFUNCTION("""COMPUTED_VALUE"""),"VIATURA")</f>
        <v>VIATURA</v>
      </c>
      <c r="E2090" s="87" t="str">
        <f>IFERROR(__xludf.DUMMYFUNCTION("""COMPUTED_VALUE"""),"1 - ASM3617")</f>
        <v>1 - ASM3617</v>
      </c>
      <c r="F2090" s="92" t="str">
        <f>IFERROR(__xludf.DUMMYFUNCTION("""COMPUTED_VALUE"""),"BOX SUPERIOR 01")</f>
        <v>BOX SUPERIOR 01</v>
      </c>
      <c r="G2090" s="89"/>
      <c r="H2090" s="87"/>
      <c r="I2090" s="87"/>
    </row>
    <row r="2091">
      <c r="A2091" s="84">
        <f>IFERROR(__xludf.DUMMYFUNCTION("""COMPUTED_VALUE"""),301.0)</f>
        <v>301</v>
      </c>
      <c r="B2091" s="85" t="str">
        <f>IFERROR(__xludf.DUMMYFUNCTION("""COMPUTED_VALUE"""),"CAMBÃO - CAPTURA DE ANIMAIS ")</f>
        <v>CAMBÃO - CAPTURA DE ANIMAIS </v>
      </c>
      <c r="C2091" s="86">
        <f>IFERROR(__xludf.DUMMYFUNCTION("""COMPUTED_VALUE"""),2.0)</f>
        <v>2</v>
      </c>
      <c r="D2091" s="87" t="str">
        <f>IFERROR(__xludf.DUMMYFUNCTION("""COMPUTED_VALUE"""),"VIATURA")</f>
        <v>VIATURA</v>
      </c>
      <c r="E2091" s="87" t="str">
        <f>IFERROR(__xludf.DUMMYFUNCTION("""COMPUTED_VALUE"""),"1 - ASM3617")</f>
        <v>1 - ASM3617</v>
      </c>
      <c r="F2091" s="92" t="str">
        <f>IFERROR(__xludf.DUMMYFUNCTION("""COMPUTED_VALUE"""),"BOX SUPERIOR 01")</f>
        <v>BOX SUPERIOR 01</v>
      </c>
      <c r="G2091" s="89"/>
      <c r="H2091" s="87"/>
      <c r="I2091" s="87"/>
    </row>
    <row r="2092">
      <c r="A2092" s="84">
        <f>IFERROR(__xludf.DUMMYFUNCTION("""COMPUTED_VALUE"""),302.0)</f>
        <v>302</v>
      </c>
      <c r="B2092" s="85" t="str">
        <f>IFERROR(__xludf.DUMMYFUNCTION("""COMPUTED_VALUE"""),"LIMA REDONDA")</f>
        <v>LIMA REDONDA</v>
      </c>
      <c r="C2092" s="86">
        <f>IFERROR(__xludf.DUMMYFUNCTION("""COMPUTED_VALUE"""),4.0)</f>
        <v>4</v>
      </c>
      <c r="D2092" s="87" t="str">
        <f>IFERROR(__xludf.DUMMYFUNCTION("""COMPUTED_VALUE"""),"VIATURA")</f>
        <v>VIATURA</v>
      </c>
      <c r="E2092" s="87" t="str">
        <f>IFERROR(__xludf.DUMMYFUNCTION("""COMPUTED_VALUE"""),"1 - ASM3617")</f>
        <v>1 - ASM3617</v>
      </c>
      <c r="F2092" s="92" t="str">
        <f>IFERROR(__xludf.DUMMYFUNCTION("""COMPUTED_VALUE"""),"BOX 04")</f>
        <v>BOX 04</v>
      </c>
      <c r="G2092" s="89">
        <f>IFERROR(__xludf.DUMMYFUNCTION("""COMPUTED_VALUE"""),45527.0)</f>
        <v>45527</v>
      </c>
      <c r="H2092" s="87"/>
      <c r="I2092" s="87"/>
    </row>
    <row r="2093">
      <c r="A2093" s="84">
        <f>IFERROR(__xludf.DUMMYFUNCTION("""COMPUTED_VALUE"""),303.0)</f>
        <v>303</v>
      </c>
      <c r="B2093" s="85" t="str">
        <f>IFERROR(__xludf.DUMMYFUNCTION("""COMPUTED_VALUE"""),"CHAVE DE VELA COMBINADA PARA MOTOSERRA")</f>
        <v>CHAVE DE VELA COMBINADA PARA MOTOSERRA</v>
      </c>
      <c r="C2093" s="86">
        <f>IFERROR(__xludf.DUMMYFUNCTION("""COMPUTED_VALUE"""),2.0)</f>
        <v>2</v>
      </c>
      <c r="D2093" s="87" t="str">
        <f>IFERROR(__xludf.DUMMYFUNCTION("""COMPUTED_VALUE"""),"VIATURA")</f>
        <v>VIATURA</v>
      </c>
      <c r="E2093" s="87" t="str">
        <f>IFERROR(__xludf.DUMMYFUNCTION("""COMPUTED_VALUE"""),"1 - ASM3617")</f>
        <v>1 - ASM3617</v>
      </c>
      <c r="F2093" s="92" t="str">
        <f>IFERROR(__xludf.DUMMYFUNCTION("""COMPUTED_VALUE"""),"BOX 04")</f>
        <v>BOX 04</v>
      </c>
      <c r="G2093" s="89">
        <f>IFERROR(__xludf.DUMMYFUNCTION("""COMPUTED_VALUE"""),45527.0)</f>
        <v>45527</v>
      </c>
      <c r="H2093" s="87"/>
      <c r="I2093" s="87"/>
    </row>
    <row r="2094">
      <c r="A2094" s="84">
        <f>IFERROR(__xludf.DUMMYFUNCTION("""COMPUTED_VALUE"""),304.0)</f>
        <v>304</v>
      </c>
      <c r="B2094" s="85" t="str">
        <f>IFERROR(__xludf.DUMMYFUNCTION("""COMPUTED_VALUE"""),"CHAVE PHILIPS")</f>
        <v>CHAVE PHILIPS</v>
      </c>
      <c r="C2094" s="86">
        <f>IFERROR(__xludf.DUMMYFUNCTION("""COMPUTED_VALUE"""),1.0)</f>
        <v>1</v>
      </c>
      <c r="D2094" s="87" t="str">
        <f>IFERROR(__xludf.DUMMYFUNCTION("""COMPUTED_VALUE"""),"VIATURA")</f>
        <v>VIATURA</v>
      </c>
      <c r="E2094" s="87" t="str">
        <f>IFERROR(__xludf.DUMMYFUNCTION("""COMPUTED_VALUE"""),"1 - ASM3617")</f>
        <v>1 - ASM3617</v>
      </c>
      <c r="F2094" s="92" t="str">
        <f>IFERROR(__xludf.DUMMYFUNCTION("""COMPUTED_VALUE"""),"BOX 04")</f>
        <v>BOX 04</v>
      </c>
      <c r="G2094" s="89"/>
      <c r="H2094" s="87"/>
      <c r="I2094" s="87"/>
    </row>
    <row r="2095">
      <c r="A2095" s="84">
        <f>IFERROR(__xludf.DUMMYFUNCTION("""COMPUTED_VALUE"""),305.0)</f>
        <v>305</v>
      </c>
      <c r="B2095" s="85" t="str">
        <f>IFERROR(__xludf.DUMMYFUNCTION("""COMPUTED_VALUE"""),"MARTELO DE BORRACHA")</f>
        <v>MARTELO DE BORRACHA</v>
      </c>
      <c r="C2095" s="86">
        <f>IFERROR(__xludf.DUMMYFUNCTION("""COMPUTED_VALUE"""),1.0)</f>
        <v>1</v>
      </c>
      <c r="D2095" s="87" t="str">
        <f>IFERROR(__xludf.DUMMYFUNCTION("""COMPUTED_VALUE"""),"VIATURA")</f>
        <v>VIATURA</v>
      </c>
      <c r="E2095" s="87" t="str">
        <f>IFERROR(__xludf.DUMMYFUNCTION("""COMPUTED_VALUE"""),"1 - ASM3617")</f>
        <v>1 - ASM3617</v>
      </c>
      <c r="F2095" s="92" t="str">
        <f>IFERROR(__xludf.DUMMYFUNCTION("""COMPUTED_VALUE"""),"CAIXA DE FERRAMENTA")</f>
        <v>CAIXA DE FERRAMENTA</v>
      </c>
      <c r="G2095" s="89"/>
      <c r="H2095" s="87"/>
      <c r="I2095" s="87"/>
    </row>
    <row r="2096">
      <c r="A2096" s="84">
        <f>IFERROR(__xludf.DUMMYFUNCTION("""COMPUTED_VALUE"""),306.0)</f>
        <v>306</v>
      </c>
      <c r="B2096" s="85" t="str">
        <f>IFERROR(__xludf.DUMMYFUNCTION("""COMPUTED_VALUE"""),"CHAVE DE FENDA")</f>
        <v>CHAVE DE FENDA</v>
      </c>
      <c r="C2096" s="86">
        <f>IFERROR(__xludf.DUMMYFUNCTION("""COMPUTED_VALUE"""),5.0)</f>
        <v>5</v>
      </c>
      <c r="D2096" s="87" t="str">
        <f>IFERROR(__xludf.DUMMYFUNCTION("""COMPUTED_VALUE"""),"VIATURA")</f>
        <v>VIATURA</v>
      </c>
      <c r="E2096" s="87" t="str">
        <f>IFERROR(__xludf.DUMMYFUNCTION("""COMPUTED_VALUE"""),"1 - ASM3617")</f>
        <v>1 - ASM3617</v>
      </c>
      <c r="F2096" s="92" t="str">
        <f>IFERROR(__xludf.DUMMYFUNCTION("""COMPUTED_VALUE"""),"CAIXA DE FERRAMENTA")</f>
        <v>CAIXA DE FERRAMENTA</v>
      </c>
      <c r="G2096" s="89"/>
      <c r="H2096" s="87"/>
      <c r="I2096" s="87" t="str">
        <f>IFERROR(__xludf.DUMMYFUNCTION("""COMPUTED_VALUE"""),"05 CHAVES PERTENCIAM À ABTS5911")</f>
        <v>05 CHAVES PERTENCIAM À ABTS5911</v>
      </c>
    </row>
    <row r="2097">
      <c r="A2097" s="84">
        <f>IFERROR(__xludf.DUMMYFUNCTION("""COMPUTED_VALUE"""),307.0)</f>
        <v>307</v>
      </c>
      <c r="B2097" s="85" t="str">
        <f>IFERROR(__xludf.DUMMYFUNCTION("""COMPUTED_VALUE"""),"JOGO DE CHAVE ESTRIA DE 6"" À 22"" (17 PEÇAS)")</f>
        <v>JOGO DE CHAVE ESTRIA DE 6" À 22" (17 PEÇAS)</v>
      </c>
      <c r="C2097" s="86">
        <f>IFERROR(__xludf.DUMMYFUNCTION("""COMPUTED_VALUE"""),1.0)</f>
        <v>1</v>
      </c>
      <c r="D2097" s="87" t="str">
        <f>IFERROR(__xludf.DUMMYFUNCTION("""COMPUTED_VALUE"""),"VIATURA")</f>
        <v>VIATURA</v>
      </c>
      <c r="E2097" s="87" t="str">
        <f>IFERROR(__xludf.DUMMYFUNCTION("""COMPUTED_VALUE"""),"1 - ASM3617")</f>
        <v>1 - ASM3617</v>
      </c>
      <c r="F2097" s="92" t="str">
        <f>IFERROR(__xludf.DUMMYFUNCTION("""COMPUTED_VALUE"""),"CAIXA DE FERRAMENTA")</f>
        <v>CAIXA DE FERRAMENTA</v>
      </c>
      <c r="G2097" s="89"/>
      <c r="H2097" s="87"/>
      <c r="I2097" s="87"/>
    </row>
    <row r="2098">
      <c r="A2098" s="84">
        <f>IFERROR(__xludf.DUMMYFUNCTION("""COMPUTED_VALUE"""),308.0)</f>
        <v>308</v>
      </c>
      <c r="B2098" s="85" t="str">
        <f>IFERROR(__xludf.DUMMYFUNCTION("""COMPUTED_VALUE"""),"EXTINTOR DE INCÊNDIO 2A")</f>
        <v>EXTINTOR DE INCÊNDIO 2A</v>
      </c>
      <c r="C2098" s="86">
        <f>IFERROR(__xludf.DUMMYFUNCTION("""COMPUTED_VALUE"""),0.0)</f>
        <v>0</v>
      </c>
      <c r="D2098" s="87" t="str">
        <f>IFERROR(__xludf.DUMMYFUNCTION("""COMPUTED_VALUE"""),"VIATURA")</f>
        <v>VIATURA</v>
      </c>
      <c r="E2098" s="87" t="str">
        <f>IFERROR(__xludf.DUMMYFUNCTION("""COMPUTED_VALUE"""),"1 - ASM3617")</f>
        <v>1 - ASM3617</v>
      </c>
      <c r="F2098" s="92" t="str">
        <f>IFERROR(__xludf.DUMMYFUNCTION("""COMPUTED_VALUE"""),"BOX 04")</f>
        <v>BOX 04</v>
      </c>
      <c r="G2098" s="89"/>
      <c r="H2098" s="87"/>
      <c r="I2098" s="87"/>
    </row>
    <row r="2099">
      <c r="A2099" s="84">
        <f>IFERROR(__xludf.DUMMYFUNCTION("""COMPUTED_VALUE"""),309.0)</f>
        <v>309</v>
      </c>
      <c r="B2099" s="85" t="str">
        <f>IFERROR(__xludf.DUMMYFUNCTION("""COMPUTED_VALUE"""),"CHAVE ""L"" TORX")</f>
        <v>CHAVE "L" TORX</v>
      </c>
      <c r="C2099" s="86">
        <f>IFERROR(__xludf.DUMMYFUNCTION("""COMPUTED_VALUE"""),2.0)</f>
        <v>2</v>
      </c>
      <c r="D2099" s="87" t="str">
        <f>IFERROR(__xludf.DUMMYFUNCTION("""COMPUTED_VALUE"""),"VIATURA")</f>
        <v>VIATURA</v>
      </c>
      <c r="E2099" s="87" t="str">
        <f>IFERROR(__xludf.DUMMYFUNCTION("""COMPUTED_VALUE"""),"1 - ASM3617")</f>
        <v>1 - ASM3617</v>
      </c>
      <c r="F2099" s="92" t="str">
        <f>IFERROR(__xludf.DUMMYFUNCTION("""COMPUTED_VALUE"""),"BOX 04")</f>
        <v>BOX 04</v>
      </c>
      <c r="G2099" s="89">
        <f>IFERROR(__xludf.DUMMYFUNCTION("""COMPUTED_VALUE"""),45527.0)</f>
        <v>45527</v>
      </c>
      <c r="H2099" s="87"/>
      <c r="I2099" s="87"/>
    </row>
    <row r="2100">
      <c r="A2100" s="84">
        <f>IFERROR(__xludf.DUMMYFUNCTION("""COMPUTED_VALUE"""),310.0)</f>
        <v>310</v>
      </c>
      <c r="B2100" s="85" t="str">
        <f>IFERROR(__xludf.DUMMYFUNCTION("""COMPUTED_VALUE"""),"CORTA FRIO 36''")</f>
        <v>CORTA FRIO 36''</v>
      </c>
      <c r="C2100" s="86">
        <f>IFERROR(__xludf.DUMMYFUNCTION("""COMPUTED_VALUE"""),1.0)</f>
        <v>1</v>
      </c>
      <c r="D2100" s="87" t="str">
        <f>IFERROR(__xludf.DUMMYFUNCTION("""COMPUTED_VALUE"""),"SEÇÃO")</f>
        <v>SEÇÃO</v>
      </c>
      <c r="E2100" s="87" t="str">
        <f>IFERROR(__xludf.DUMMYFUNCTION("""COMPUTED_VALUE"""),"3 - ALMOX. ESTOQUE")</f>
        <v>3 - ALMOX. ESTOQUE</v>
      </c>
      <c r="F2100" s="92" t="str">
        <f>IFERROR(__xludf.DUMMYFUNCTION("""COMPUTED_VALUE"""),"ALMOX. SAO (SEDE)")</f>
        <v>ALMOX. SAO (SEDE)</v>
      </c>
      <c r="G2100" s="89">
        <f>IFERROR(__xludf.DUMMYFUNCTION("""COMPUTED_VALUE"""),45646.0)</f>
        <v>45646</v>
      </c>
      <c r="H2100" s="87"/>
      <c r="I2100" s="87"/>
    </row>
    <row r="2101">
      <c r="A2101" s="84">
        <f>IFERROR(__xludf.DUMMYFUNCTION("""COMPUTED_VALUE"""),311.0)</f>
        <v>311</v>
      </c>
      <c r="B2101" s="85" t="str">
        <f>IFERROR(__xludf.DUMMYFUNCTION("""COMPUTED_VALUE"""),"BIDÃO")</f>
        <v>BIDÃO</v>
      </c>
      <c r="C2101" s="86">
        <f>IFERROR(__xludf.DUMMYFUNCTION("""COMPUTED_VALUE"""),1.0)</f>
        <v>1</v>
      </c>
      <c r="D2101" s="87" t="str">
        <f>IFERROR(__xludf.DUMMYFUNCTION("""COMPUTED_VALUE"""),"VIATURA")</f>
        <v>VIATURA</v>
      </c>
      <c r="E2101" s="87" t="str">
        <f>IFERROR(__xludf.DUMMYFUNCTION("""COMPUTED_VALUE"""),"1 - ASM3617")</f>
        <v>1 - ASM3617</v>
      </c>
      <c r="F2101" s="92" t="str">
        <f>IFERROR(__xludf.DUMMYFUNCTION("""COMPUTED_VALUE"""),"BOX 04")</f>
        <v>BOX 04</v>
      </c>
      <c r="G2101" s="89">
        <f>IFERROR(__xludf.DUMMYFUNCTION("""COMPUTED_VALUE"""),45558.0)</f>
        <v>45558</v>
      </c>
      <c r="H2101" s="87"/>
      <c r="I2101" s="87"/>
    </row>
    <row r="2102">
      <c r="A2102" s="84">
        <f>IFERROR(__xludf.DUMMYFUNCTION("""COMPUTED_VALUE"""),312.0)</f>
        <v>312</v>
      </c>
      <c r="B2102" s="85" t="str">
        <f>IFERROR(__xludf.DUMMYFUNCTION("""COMPUTED_VALUE"""),"PROTETOR DE QUINA SALV. VEICULAR")</f>
        <v>PROTETOR DE QUINA SALV. VEICULAR</v>
      </c>
      <c r="C2102" s="86">
        <f>IFERROR(__xludf.DUMMYFUNCTION("""COMPUTED_VALUE"""),3.0)</f>
        <v>3</v>
      </c>
      <c r="D2102" s="87" t="str">
        <f>IFERROR(__xludf.DUMMYFUNCTION("""COMPUTED_VALUE"""),"VIATURA")</f>
        <v>VIATURA</v>
      </c>
      <c r="E2102" s="87" t="str">
        <f>IFERROR(__xludf.DUMMYFUNCTION("""COMPUTED_VALUE"""),"1 - ASM3617")</f>
        <v>1 - ASM3617</v>
      </c>
      <c r="F2102" s="92" t="str">
        <f>IFERROR(__xludf.DUMMYFUNCTION("""COMPUTED_VALUE"""),"BOX 05")</f>
        <v>BOX 05</v>
      </c>
      <c r="G2102" s="89">
        <f>IFERROR(__xludf.DUMMYFUNCTION("""COMPUTED_VALUE"""),45726.0)</f>
        <v>45726</v>
      </c>
      <c r="H2102" s="87"/>
      <c r="I2102" s="87"/>
    </row>
    <row r="2103">
      <c r="A2103" s="84">
        <f>IFERROR(__xludf.DUMMYFUNCTION("""COMPUTED_VALUE"""),313.0)</f>
        <v>313</v>
      </c>
      <c r="B2103" s="85" t="str">
        <f>IFERROR(__xludf.DUMMYFUNCTION("""COMPUTED_VALUE"""),"PROTETOR DE VÍTIMA SAL. VEICULAR")</f>
        <v>PROTETOR DE VÍTIMA SAL. VEICULAR</v>
      </c>
      <c r="C2103" s="86">
        <f>IFERROR(__xludf.DUMMYFUNCTION("""COMPUTED_VALUE"""),2.0)</f>
        <v>2</v>
      </c>
      <c r="D2103" s="87" t="str">
        <f>IFERROR(__xludf.DUMMYFUNCTION("""COMPUTED_VALUE"""),"VIATURA")</f>
        <v>VIATURA</v>
      </c>
      <c r="E2103" s="87" t="str">
        <f>IFERROR(__xludf.DUMMYFUNCTION("""COMPUTED_VALUE"""),"1 - ASM3617")</f>
        <v>1 - ASM3617</v>
      </c>
      <c r="F2103" s="92" t="str">
        <f>IFERROR(__xludf.DUMMYFUNCTION("""COMPUTED_VALUE"""),"BOX 05")</f>
        <v>BOX 05</v>
      </c>
      <c r="G2103" s="89">
        <f>IFERROR(__xludf.DUMMYFUNCTION("""COMPUTED_VALUE"""),45726.0)</f>
        <v>45726</v>
      </c>
      <c r="H2103" s="87"/>
      <c r="I2103" s="87"/>
    </row>
    <row r="2104">
      <c r="A2104" s="84">
        <f>IFERROR(__xludf.DUMMYFUNCTION("""COMPUTED_VALUE"""),314.0)</f>
        <v>314</v>
      </c>
      <c r="B2104" s="85" t="str">
        <f>IFERROR(__xludf.DUMMYFUNCTION("""COMPUTED_VALUE"""),"MACA ENVELOPE (SKED)")</f>
        <v>MACA ENVELOPE (SKED)</v>
      </c>
      <c r="C2104" s="86">
        <f>IFERROR(__xludf.DUMMYFUNCTION("""COMPUTED_VALUE"""),1.0)</f>
        <v>1</v>
      </c>
      <c r="D2104" s="87" t="str">
        <f>IFERROR(__xludf.DUMMYFUNCTION("""COMPUTED_VALUE"""),"VIATURA")</f>
        <v>VIATURA</v>
      </c>
      <c r="E2104" s="87" t="str">
        <f>IFERROR(__xludf.DUMMYFUNCTION("""COMPUTED_VALUE"""),"1 - ASM3617")</f>
        <v>1 - ASM3617</v>
      </c>
      <c r="F2104" s="92" t="str">
        <f>IFERROR(__xludf.DUMMYFUNCTION("""COMPUTED_VALUE"""),"BOX CENTRAL")</f>
        <v>BOX CENTRAL</v>
      </c>
      <c r="G2104" s="89"/>
      <c r="H2104" s="87"/>
      <c r="I2104" s="87" t="str">
        <f>IFERROR(__xludf.DUMMYFUNCTION("""COMPUTED_VALUE"""),"MACA SKED COM UMA CORDA, 02 CINTAS PARA IÇAMENTO E 01 MOSQUETÃO DE AÇO.")</f>
        <v>MACA SKED COM UMA CORDA, 02 CINTAS PARA IÇAMENTO E 01 MOSQUETÃO DE AÇO.</v>
      </c>
    </row>
    <row r="2105">
      <c r="A2105" s="84">
        <f>IFERROR(__xludf.DUMMYFUNCTION("""COMPUTED_VALUE"""),315.0)</f>
        <v>315</v>
      </c>
      <c r="B2105" s="85" t="str">
        <f>IFERROR(__xludf.DUMMYFUNCTION("""COMPUTED_VALUE"""),"MARTELO DE BORRACHA")</f>
        <v>MARTELO DE BORRACHA</v>
      </c>
      <c r="C2105" s="86">
        <f>IFERROR(__xludf.DUMMYFUNCTION("""COMPUTED_VALUE"""),1.0)</f>
        <v>1</v>
      </c>
      <c r="D2105" s="87" t="str">
        <f>IFERROR(__xludf.DUMMYFUNCTION("""COMPUTED_VALUE"""),"VIATURA")</f>
        <v>VIATURA</v>
      </c>
      <c r="E2105" s="87" t="str">
        <f>IFERROR(__xludf.DUMMYFUNCTION("""COMPUTED_VALUE"""),"1 - ASM3617")</f>
        <v>1 - ASM3617</v>
      </c>
      <c r="F2105" s="92" t="str">
        <f>IFERROR(__xludf.DUMMYFUNCTION("""COMPUTED_VALUE"""),"BOX 01")</f>
        <v>BOX 01</v>
      </c>
      <c r="G2105" s="89"/>
      <c r="H2105" s="87"/>
      <c r="I2105" s="87" t="str">
        <f>IFERROR(__xludf.DUMMYFUNCTION("""COMPUTED_VALUE"""),"PERTENCE À ABTS5911")</f>
        <v>PERTENCE À ABTS5911</v>
      </c>
    </row>
    <row r="2106">
      <c r="A2106" s="84">
        <f>IFERROR(__xludf.DUMMYFUNCTION("""COMPUTED_VALUE"""),316.0)</f>
        <v>316</v>
      </c>
      <c r="B2106" s="85" t="str">
        <f>IFERROR(__xludf.DUMMYFUNCTION("""COMPUTED_VALUE"""),"ESCORA DE ESTABILIZAÇÃO")</f>
        <v>ESCORA DE ESTABILIZAÇÃO</v>
      </c>
      <c r="C2106" s="86">
        <f>IFERROR(__xludf.DUMMYFUNCTION("""COMPUTED_VALUE"""),3.0)</f>
        <v>3</v>
      </c>
      <c r="D2106" s="87" t="str">
        <f>IFERROR(__xludf.DUMMYFUNCTION("""COMPUTED_VALUE"""),"VIATURA")</f>
        <v>VIATURA</v>
      </c>
      <c r="E2106" s="87" t="str">
        <f>IFERROR(__xludf.DUMMYFUNCTION("""COMPUTED_VALUE"""),"1 - ASM3617")</f>
        <v>1 - ASM3617</v>
      </c>
      <c r="F2106" s="92" t="str">
        <f>IFERROR(__xludf.DUMMYFUNCTION("""COMPUTED_VALUE"""),"BOX CENTRAL")</f>
        <v>BOX CENTRAL</v>
      </c>
      <c r="G2106" s="89">
        <f>IFERROR(__xludf.DUMMYFUNCTION("""COMPUTED_VALUE"""),45723.0)</f>
        <v>45723</v>
      </c>
      <c r="H2106" s="87"/>
      <c r="I2106" s="87" t="str">
        <f>IFERROR(__xludf.DUMMYFUNCTION("""COMPUTED_VALUE"""),"HOLMATRO MODELO: V-STRUT")</f>
        <v>HOLMATRO MODELO: V-STRUT</v>
      </c>
    </row>
    <row r="2107">
      <c r="A2107" s="84">
        <f>IFERROR(__xludf.DUMMYFUNCTION("""COMPUTED_VALUE"""),317.0)</f>
        <v>317</v>
      </c>
      <c r="B2107" s="85" t="str">
        <f>IFERROR(__xludf.DUMMYFUNCTION("""COMPUTED_VALUE"""),"CHAVE DE REGULAGEM DE MOTOSSERRA")</f>
        <v>CHAVE DE REGULAGEM DE MOTOSSERRA</v>
      </c>
      <c r="C2107" s="86">
        <f>IFERROR(__xludf.DUMMYFUNCTION("""COMPUTED_VALUE"""),1.0)</f>
        <v>1</v>
      </c>
      <c r="D2107" s="87" t="str">
        <f>IFERROR(__xludf.DUMMYFUNCTION("""COMPUTED_VALUE"""),"VIATURA")</f>
        <v>VIATURA</v>
      </c>
      <c r="E2107" s="87" t="str">
        <f>IFERROR(__xludf.DUMMYFUNCTION("""COMPUTED_VALUE"""),"1 - ASM3617")</f>
        <v>1 - ASM3617</v>
      </c>
      <c r="F2107" s="92" t="str">
        <f>IFERROR(__xludf.DUMMYFUNCTION("""COMPUTED_VALUE"""),"BOX 04")</f>
        <v>BOX 04</v>
      </c>
      <c r="G2107" s="89"/>
      <c r="H2107" s="87"/>
      <c r="I2107" s="87"/>
    </row>
    <row r="2108">
      <c r="A2108" s="84">
        <f>IFERROR(__xludf.DUMMYFUNCTION("""COMPUTED_VALUE"""),318.0)</f>
        <v>318</v>
      </c>
      <c r="B2108" s="85" t="str">
        <f>IFERROR(__xludf.DUMMYFUNCTION("""COMPUTED_VALUE"""),"ROUPÃO SANITÁRIO")</f>
        <v>ROUPÃO SANITÁRIO</v>
      </c>
      <c r="C2108" s="86">
        <f>IFERROR(__xludf.DUMMYFUNCTION("""COMPUTED_VALUE"""),2.0)</f>
        <v>2</v>
      </c>
      <c r="D2108" s="87" t="str">
        <f>IFERROR(__xludf.DUMMYFUNCTION("""COMPUTED_VALUE"""),"VIATURA")</f>
        <v>VIATURA</v>
      </c>
      <c r="E2108" s="87" t="str">
        <f>IFERROR(__xludf.DUMMYFUNCTION("""COMPUTED_VALUE"""),"1 - ASM3617")</f>
        <v>1 - ASM3617</v>
      </c>
      <c r="F2108" s="92" t="str">
        <f>IFERROR(__xludf.DUMMYFUNCTION("""COMPUTED_VALUE"""),"BOX 05")</f>
        <v>BOX 05</v>
      </c>
      <c r="G2108" s="89"/>
      <c r="H2108" s="87"/>
      <c r="I2108" s="87"/>
    </row>
    <row r="2109">
      <c r="A2109" s="84">
        <f>IFERROR(__xludf.DUMMYFUNCTION("""COMPUTED_VALUE"""),319.0)</f>
        <v>319</v>
      </c>
      <c r="B2109" s="85" t="str">
        <f>IFERROR(__xludf.DUMMYFUNCTION("""COMPUTED_VALUE"""),"TRIÂNGULO DE SINALIZAÇÃO")</f>
        <v>TRIÂNGULO DE SINALIZAÇÃO</v>
      </c>
      <c r="C2109" s="86">
        <f>IFERROR(__xludf.DUMMYFUNCTION("""COMPUTED_VALUE"""),1.0)</f>
        <v>1</v>
      </c>
      <c r="D2109" s="87" t="str">
        <f>IFERROR(__xludf.DUMMYFUNCTION("""COMPUTED_VALUE"""),"VIATURA")</f>
        <v>VIATURA</v>
      </c>
      <c r="E2109" s="87" t="str">
        <f>IFERROR(__xludf.DUMMYFUNCTION("""COMPUTED_VALUE"""),"1 - ATB0722")</f>
        <v>1 - ATB0722</v>
      </c>
      <c r="F2109" s="92" t="str">
        <f>IFERROR(__xludf.DUMMYFUNCTION("""COMPUTED_VALUE"""),"CABINE")</f>
        <v>CABINE</v>
      </c>
      <c r="G2109" s="89"/>
      <c r="H2109" s="87"/>
      <c r="I2109" s="87"/>
    </row>
    <row r="2110">
      <c r="A2110" s="84">
        <f>IFERROR(__xludf.DUMMYFUNCTION("""COMPUTED_VALUE"""),320.0)</f>
        <v>320</v>
      </c>
      <c r="B2110" s="85" t="str">
        <f>IFERROR(__xludf.DUMMYFUNCTION("""COMPUTED_VALUE"""),"EXTINTOR DE INCÊNDIO 2A 20BC")</f>
        <v>EXTINTOR DE INCÊNDIO 2A 20BC</v>
      </c>
      <c r="C2110" s="86">
        <f>IFERROR(__xludf.DUMMYFUNCTION("""COMPUTED_VALUE"""),1.0)</f>
        <v>1</v>
      </c>
      <c r="D2110" s="87" t="str">
        <f>IFERROR(__xludf.DUMMYFUNCTION("""COMPUTED_VALUE"""),"VIATURA")</f>
        <v>VIATURA</v>
      </c>
      <c r="E2110" s="87" t="str">
        <f>IFERROR(__xludf.DUMMYFUNCTION("""COMPUTED_VALUE"""),"1 - ATB0722")</f>
        <v>1 - ATB0722</v>
      </c>
      <c r="F2110" s="92" t="str">
        <f>IFERROR(__xludf.DUMMYFUNCTION("""COMPUTED_VALUE"""),"CABINE")</f>
        <v>CABINE</v>
      </c>
      <c r="G2110" s="89"/>
      <c r="H2110" s="87"/>
      <c r="I2110" s="87"/>
    </row>
    <row r="2111">
      <c r="A2111" s="84">
        <f>IFERROR(__xludf.DUMMYFUNCTION("""COMPUTED_VALUE"""),321.0)</f>
        <v>321</v>
      </c>
      <c r="B2111" s="85" t="str">
        <f>IFERROR(__xludf.DUMMYFUNCTION("""COMPUTED_VALUE"""),"PASTA DE MOVIMENTAÇÃO DA VTR")</f>
        <v>PASTA DE MOVIMENTAÇÃO DA VTR</v>
      </c>
      <c r="C2111" s="86">
        <f>IFERROR(__xludf.DUMMYFUNCTION("""COMPUTED_VALUE"""),1.0)</f>
        <v>1</v>
      </c>
      <c r="D2111" s="87" t="str">
        <f>IFERROR(__xludf.DUMMYFUNCTION("""COMPUTED_VALUE"""),"VIATURA")</f>
        <v>VIATURA</v>
      </c>
      <c r="E2111" s="87" t="str">
        <f>IFERROR(__xludf.DUMMYFUNCTION("""COMPUTED_VALUE"""),"1 - ATB0722")</f>
        <v>1 - ATB0722</v>
      </c>
      <c r="F2111" s="92" t="str">
        <f>IFERROR(__xludf.DUMMYFUNCTION("""COMPUTED_VALUE"""),"CABINE")</f>
        <v>CABINE</v>
      </c>
      <c r="G2111" s="89"/>
      <c r="H2111" s="87"/>
      <c r="I2111" s="87"/>
    </row>
    <row r="2112">
      <c r="A2112" s="84">
        <f>IFERROR(__xludf.DUMMYFUNCTION("""COMPUTED_VALUE"""),322.0)</f>
        <v>322</v>
      </c>
      <c r="B2112" s="85" t="str">
        <f>IFERROR(__xludf.DUMMYFUNCTION("""COMPUTED_VALUE"""),"FICHA DE ACIDENTE DE TRÂNSITO ")</f>
        <v>FICHA DE ACIDENTE DE TRÂNSITO </v>
      </c>
      <c r="C2112" s="86">
        <f>IFERROR(__xludf.DUMMYFUNCTION("""COMPUTED_VALUE"""),1.0)</f>
        <v>1</v>
      </c>
      <c r="D2112" s="87" t="str">
        <f>IFERROR(__xludf.DUMMYFUNCTION("""COMPUTED_VALUE"""),"VIATURA")</f>
        <v>VIATURA</v>
      </c>
      <c r="E2112" s="87" t="str">
        <f>IFERROR(__xludf.DUMMYFUNCTION("""COMPUTED_VALUE"""),"1 - ATB0722")</f>
        <v>1 - ATB0722</v>
      </c>
      <c r="F2112" s="92" t="str">
        <f>IFERROR(__xludf.DUMMYFUNCTION("""COMPUTED_VALUE"""),"CABINE")</f>
        <v>CABINE</v>
      </c>
      <c r="G2112" s="89"/>
      <c r="H2112" s="87"/>
      <c r="I2112" s="87"/>
    </row>
    <row r="2113">
      <c r="A2113" s="84">
        <f>IFERROR(__xludf.DUMMYFUNCTION("""COMPUTED_VALUE"""),323.0)</f>
        <v>323</v>
      </c>
      <c r="B2113" s="85" t="str">
        <f>IFERROR(__xludf.DUMMYFUNCTION("""COMPUTED_VALUE"""),"RÁDIO MOTOROLA")</f>
        <v>RÁDIO MOTOROLA</v>
      </c>
      <c r="C2113" s="86">
        <f>IFERROR(__xludf.DUMMYFUNCTION("""COMPUTED_VALUE"""),1.0)</f>
        <v>1</v>
      </c>
      <c r="D2113" s="87" t="str">
        <f>IFERROR(__xludf.DUMMYFUNCTION("""COMPUTED_VALUE"""),"VIATURA")</f>
        <v>VIATURA</v>
      </c>
      <c r="E2113" s="87" t="str">
        <f>IFERROR(__xludf.DUMMYFUNCTION("""COMPUTED_VALUE"""),"1 - ATB0722")</f>
        <v>1 - ATB0722</v>
      </c>
      <c r="F2113" s="92" t="str">
        <f>IFERROR(__xludf.DUMMYFUNCTION("""COMPUTED_VALUE"""),"CABINE")</f>
        <v>CABINE</v>
      </c>
      <c r="G2113" s="89"/>
      <c r="H2113" s="87"/>
      <c r="I2113" s="87"/>
    </row>
    <row r="2114">
      <c r="A2114" s="84">
        <f>IFERROR(__xludf.DUMMYFUNCTION("""COMPUTED_VALUE"""),324.0)</f>
        <v>324</v>
      </c>
      <c r="B2114" s="85" t="str">
        <f>IFERROR(__xludf.DUMMYFUNCTION("""COMPUTED_VALUE"""),"CARTÃO DE ABASTECIMENTO")</f>
        <v>CARTÃO DE ABASTECIMENTO</v>
      </c>
      <c r="C2114" s="86">
        <f>IFERROR(__xludf.DUMMYFUNCTION("""COMPUTED_VALUE"""),1.0)</f>
        <v>1</v>
      </c>
      <c r="D2114" s="87" t="str">
        <f>IFERROR(__xludf.DUMMYFUNCTION("""COMPUTED_VALUE"""),"VIATURA")</f>
        <v>VIATURA</v>
      </c>
      <c r="E2114" s="87" t="str">
        <f>IFERROR(__xludf.DUMMYFUNCTION("""COMPUTED_VALUE"""),"1 - ATB0722")</f>
        <v>1 - ATB0722</v>
      </c>
      <c r="F2114" s="92" t="str">
        <f>IFERROR(__xludf.DUMMYFUNCTION("""COMPUTED_VALUE"""),"CABINE")</f>
        <v>CABINE</v>
      </c>
      <c r="G2114" s="89">
        <f>IFERROR(__xludf.DUMMYFUNCTION("""COMPUTED_VALUE"""),45580.0)</f>
        <v>45580</v>
      </c>
      <c r="H2114" s="87"/>
      <c r="I2114" s="87"/>
    </row>
    <row r="2115">
      <c r="A2115" s="84">
        <f>IFERROR(__xludf.DUMMYFUNCTION("""COMPUTED_VALUE"""),325.0)</f>
        <v>325</v>
      </c>
      <c r="B2115" s="85" t="str">
        <f>IFERROR(__xludf.DUMMYFUNCTION("""COMPUTED_VALUE"""),"CABO SOLTEIRO")</f>
        <v>CABO SOLTEIRO</v>
      </c>
      <c r="C2115" s="86">
        <f>IFERROR(__xludf.DUMMYFUNCTION("""COMPUTED_VALUE"""),1.0)</f>
        <v>1</v>
      </c>
      <c r="D2115" s="87" t="str">
        <f>IFERROR(__xludf.DUMMYFUNCTION("""COMPUTED_VALUE"""),"VIATURA")</f>
        <v>VIATURA</v>
      </c>
      <c r="E2115" s="87" t="str">
        <f>IFERROR(__xludf.DUMMYFUNCTION("""COMPUTED_VALUE"""),"1 - ATB0722")</f>
        <v>1 - ATB0722</v>
      </c>
      <c r="F2115" s="92" t="str">
        <f>IFERROR(__xludf.DUMMYFUNCTION("""COMPUTED_VALUE"""),"BOX 01")</f>
        <v>BOX 01</v>
      </c>
      <c r="G2115" s="89">
        <f>IFERROR(__xludf.DUMMYFUNCTION("""COMPUTED_VALUE"""),45580.0)</f>
        <v>45580</v>
      </c>
      <c r="H2115" s="87"/>
      <c r="I2115" s="87"/>
    </row>
    <row r="2116">
      <c r="A2116" s="84">
        <f>IFERROR(__xludf.DUMMYFUNCTION("""COMPUTED_VALUE"""),326.0)</f>
        <v>326</v>
      </c>
      <c r="B2116" s="85" t="str">
        <f>IFERROR(__xludf.DUMMYFUNCTION("""COMPUTED_VALUE"""),"CORDA -")</f>
        <v>CORDA -</v>
      </c>
      <c r="C2116" s="86">
        <f>IFERROR(__xludf.DUMMYFUNCTION("""COMPUTED_VALUE"""),1.0)</f>
        <v>1</v>
      </c>
      <c r="D2116" s="87" t="str">
        <f>IFERROR(__xludf.DUMMYFUNCTION("""COMPUTED_VALUE"""),"VIATURA")</f>
        <v>VIATURA</v>
      </c>
      <c r="E2116" s="87" t="str">
        <f>IFERROR(__xludf.DUMMYFUNCTION("""COMPUTED_VALUE"""),"1 - ATB0722")</f>
        <v>1 - ATB0722</v>
      </c>
      <c r="F2116" s="92" t="str">
        <f>IFERROR(__xludf.DUMMYFUNCTION("""COMPUTED_VALUE"""),"BOX 01")</f>
        <v>BOX 01</v>
      </c>
      <c r="G2116" s="89">
        <f>IFERROR(__xludf.DUMMYFUNCTION("""COMPUTED_VALUE"""),45580.0)</f>
        <v>45580</v>
      </c>
      <c r="H2116" s="87"/>
      <c r="I2116" s="87" t="str">
        <f>IFERROR(__xludf.DUMMYFUNCTION("""COMPUTED_VALUE"""),"30 METROS")</f>
        <v>30 METROS</v>
      </c>
    </row>
    <row r="2117">
      <c r="A2117" s="84">
        <f>IFERROR(__xludf.DUMMYFUNCTION("""COMPUTED_VALUE"""),327.0)</f>
        <v>327</v>
      </c>
      <c r="B2117" s="85" t="str">
        <f>IFERROR(__xludf.DUMMYFUNCTION("""COMPUTED_VALUE"""),"CADEIRINHA BAUDRIER RAPEL - NÍVEL II")</f>
        <v>CADEIRINHA BAUDRIER RAPEL - NÍVEL II</v>
      </c>
      <c r="C2117" s="86">
        <f>IFERROR(__xludf.DUMMYFUNCTION("""COMPUTED_VALUE"""),1.0)</f>
        <v>1</v>
      </c>
      <c r="D2117" s="87" t="str">
        <f>IFERROR(__xludf.DUMMYFUNCTION("""COMPUTED_VALUE"""),"VIATURA")</f>
        <v>VIATURA</v>
      </c>
      <c r="E2117" s="87" t="str">
        <f>IFERROR(__xludf.DUMMYFUNCTION("""COMPUTED_VALUE"""),"1 - ATB0722")</f>
        <v>1 - ATB0722</v>
      </c>
      <c r="F2117" s="92" t="str">
        <f>IFERROR(__xludf.DUMMYFUNCTION("""COMPUTED_VALUE"""),"BOX 01")</f>
        <v>BOX 01</v>
      </c>
      <c r="G2117" s="89">
        <f>IFERROR(__xludf.DUMMYFUNCTION("""COMPUTED_VALUE"""),45580.0)</f>
        <v>45580</v>
      </c>
      <c r="H2117" s="87"/>
      <c r="I2117" s="87"/>
    </row>
    <row r="2118">
      <c r="A2118" s="84">
        <f>IFERROR(__xludf.DUMMYFUNCTION("""COMPUTED_VALUE"""),328.0)</f>
        <v>328</v>
      </c>
      <c r="B2118" s="85" t="str">
        <f>IFERROR(__xludf.DUMMYFUNCTION("""COMPUTED_VALUE"""),"LUVA DE VAQUETA")</f>
        <v>LUVA DE VAQUETA</v>
      </c>
      <c r="C2118" s="86">
        <f>IFERROR(__xludf.DUMMYFUNCTION("""COMPUTED_VALUE"""),1.0)</f>
        <v>1</v>
      </c>
      <c r="D2118" s="87" t="str">
        <f>IFERROR(__xludf.DUMMYFUNCTION("""COMPUTED_VALUE"""),"VIATURA")</f>
        <v>VIATURA</v>
      </c>
      <c r="E2118" s="87" t="str">
        <f>IFERROR(__xludf.DUMMYFUNCTION("""COMPUTED_VALUE"""),"1 - ATB0722")</f>
        <v>1 - ATB0722</v>
      </c>
      <c r="F2118" s="92" t="str">
        <f>IFERROR(__xludf.DUMMYFUNCTION("""COMPUTED_VALUE"""),"BOX 01")</f>
        <v>BOX 01</v>
      </c>
      <c r="G2118" s="89">
        <f>IFERROR(__xludf.DUMMYFUNCTION("""COMPUTED_VALUE"""),45580.0)</f>
        <v>45580</v>
      </c>
      <c r="H2118" s="87"/>
      <c r="I2118" s="87"/>
    </row>
    <row r="2119">
      <c r="A2119" s="84">
        <f>IFERROR(__xludf.DUMMYFUNCTION("""COMPUTED_VALUE"""),329.0)</f>
        <v>329</v>
      </c>
      <c r="B2119" s="85" t="str">
        <f>IFERROR(__xludf.DUMMYFUNCTION("""COMPUTED_VALUE"""),"FREIO OITO -")</f>
        <v>FREIO OITO -</v>
      </c>
      <c r="C2119" s="86">
        <f>IFERROR(__xludf.DUMMYFUNCTION("""COMPUTED_VALUE"""),1.0)</f>
        <v>1</v>
      </c>
      <c r="D2119" s="87" t="str">
        <f>IFERROR(__xludf.DUMMYFUNCTION("""COMPUTED_VALUE"""),"VIATURA")</f>
        <v>VIATURA</v>
      </c>
      <c r="E2119" s="87" t="str">
        <f>IFERROR(__xludf.DUMMYFUNCTION("""COMPUTED_VALUE"""),"1 - ATB0722")</f>
        <v>1 - ATB0722</v>
      </c>
      <c r="F2119" s="92" t="str">
        <f>IFERROR(__xludf.DUMMYFUNCTION("""COMPUTED_VALUE"""),"BOX 01")</f>
        <v>BOX 01</v>
      </c>
      <c r="G2119" s="89">
        <f>IFERROR(__xludf.DUMMYFUNCTION("""COMPUTED_VALUE"""),45580.0)</f>
        <v>45580</v>
      </c>
      <c r="H2119" s="87"/>
      <c r="I2119" s="87"/>
    </row>
    <row r="2120">
      <c r="A2120" s="84">
        <f>IFERROR(__xludf.DUMMYFUNCTION("""COMPUTED_VALUE"""),330.0)</f>
        <v>330</v>
      </c>
      <c r="B2120" s="85" t="str">
        <f>IFERROR(__xludf.DUMMYFUNCTION("""COMPUTED_VALUE"""),"MOSQUETÃO DE ALUMÍNIO")</f>
        <v>MOSQUETÃO DE ALUMÍNIO</v>
      </c>
      <c r="C2120" s="86">
        <f>IFERROR(__xludf.DUMMYFUNCTION("""COMPUTED_VALUE"""),1.0)</f>
        <v>1</v>
      </c>
      <c r="D2120" s="87" t="str">
        <f>IFERROR(__xludf.DUMMYFUNCTION("""COMPUTED_VALUE"""),"VIATURA")</f>
        <v>VIATURA</v>
      </c>
      <c r="E2120" s="87" t="str">
        <f>IFERROR(__xludf.DUMMYFUNCTION("""COMPUTED_VALUE"""),"1 - ATB0722")</f>
        <v>1 - ATB0722</v>
      </c>
      <c r="F2120" s="92" t="str">
        <f>IFERROR(__xludf.DUMMYFUNCTION("""COMPUTED_VALUE"""),"BOX 01")</f>
        <v>BOX 01</v>
      </c>
      <c r="G2120" s="89">
        <f>IFERROR(__xludf.DUMMYFUNCTION("""COMPUTED_VALUE"""),45580.0)</f>
        <v>45580</v>
      </c>
      <c r="H2120" s="87"/>
      <c r="I2120" s="87"/>
    </row>
    <row r="2121">
      <c r="A2121" s="84">
        <f>IFERROR(__xludf.DUMMYFUNCTION("""COMPUTED_VALUE"""),331.0)</f>
        <v>331</v>
      </c>
      <c r="B2121" s="85" t="str">
        <f>IFERROR(__xludf.DUMMYFUNCTION("""COMPUTED_VALUE"""),"ANEL DE FITA 120 CM")</f>
        <v>ANEL DE FITA 120 CM</v>
      </c>
      <c r="C2121" s="86">
        <f>IFERROR(__xludf.DUMMYFUNCTION("""COMPUTED_VALUE"""),1.0)</f>
        <v>1</v>
      </c>
      <c r="D2121" s="87" t="str">
        <f>IFERROR(__xludf.DUMMYFUNCTION("""COMPUTED_VALUE"""),"VIATURA")</f>
        <v>VIATURA</v>
      </c>
      <c r="E2121" s="87" t="str">
        <f>IFERROR(__xludf.DUMMYFUNCTION("""COMPUTED_VALUE"""),"1 - ATB0722")</f>
        <v>1 - ATB0722</v>
      </c>
      <c r="F2121" s="92" t="str">
        <f>IFERROR(__xludf.DUMMYFUNCTION("""COMPUTED_VALUE"""),"BOX 01")</f>
        <v>BOX 01</v>
      </c>
      <c r="G2121" s="89">
        <f>IFERROR(__xludf.DUMMYFUNCTION("""COMPUTED_VALUE"""),45580.0)</f>
        <v>45580</v>
      </c>
      <c r="H2121" s="87"/>
      <c r="I2121" s="87"/>
    </row>
    <row r="2122">
      <c r="A2122" s="84">
        <f>IFERROR(__xludf.DUMMYFUNCTION("""COMPUTED_VALUE"""),332.0)</f>
        <v>332</v>
      </c>
      <c r="B2122" s="85" t="str">
        <f>IFERROR(__xludf.DUMMYFUNCTION("""COMPUTED_VALUE"""),"CORDELETE")</f>
        <v>CORDELETE</v>
      </c>
      <c r="C2122" s="86">
        <f>IFERROR(__xludf.DUMMYFUNCTION("""COMPUTED_VALUE"""),2.0)</f>
        <v>2</v>
      </c>
      <c r="D2122" s="87" t="str">
        <f>IFERROR(__xludf.DUMMYFUNCTION("""COMPUTED_VALUE"""),"VIATURA")</f>
        <v>VIATURA</v>
      </c>
      <c r="E2122" s="87" t="str">
        <f>IFERROR(__xludf.DUMMYFUNCTION("""COMPUTED_VALUE"""),"1 - ATB0722")</f>
        <v>1 - ATB0722</v>
      </c>
      <c r="F2122" s="92" t="str">
        <f>IFERROR(__xludf.DUMMYFUNCTION("""COMPUTED_VALUE"""),"BOX 01")</f>
        <v>BOX 01</v>
      </c>
      <c r="G2122" s="89">
        <f>IFERROR(__xludf.DUMMYFUNCTION("""COMPUTED_VALUE"""),45580.0)</f>
        <v>45580</v>
      </c>
      <c r="H2122" s="87"/>
      <c r="I2122" s="87"/>
    </row>
    <row r="2123">
      <c r="A2123" s="84">
        <f>IFERROR(__xludf.DUMMYFUNCTION("""COMPUTED_VALUE"""),333.0)</f>
        <v>333</v>
      </c>
      <c r="B2123" s="85" t="str">
        <f>IFERROR(__xludf.DUMMYFUNCTION("""COMPUTED_VALUE"""),"BOTA DE BORRACHA 7 LÉGUAS")</f>
        <v>BOTA DE BORRACHA 7 LÉGUAS</v>
      </c>
      <c r="C2123" s="86">
        <f>IFERROR(__xludf.DUMMYFUNCTION("""COMPUTED_VALUE"""),2.0)</f>
        <v>2</v>
      </c>
      <c r="D2123" s="87" t="str">
        <f>IFERROR(__xludf.DUMMYFUNCTION("""COMPUTED_VALUE"""),"VIATURA")</f>
        <v>VIATURA</v>
      </c>
      <c r="E2123" s="87" t="str">
        <f>IFERROR(__xludf.DUMMYFUNCTION("""COMPUTED_VALUE"""),"1 - ATB0722")</f>
        <v>1 - ATB0722</v>
      </c>
      <c r="F2123" s="92" t="str">
        <f>IFERROR(__xludf.DUMMYFUNCTION("""COMPUTED_VALUE"""),"BOX TRASEIRO")</f>
        <v>BOX TRASEIRO</v>
      </c>
      <c r="G2123" s="89">
        <f>IFERROR(__xludf.DUMMYFUNCTION("""COMPUTED_VALUE"""),45580.0)</f>
        <v>45580</v>
      </c>
      <c r="H2123" s="87"/>
      <c r="I2123" s="87"/>
    </row>
    <row r="2124">
      <c r="A2124" s="84">
        <f>IFERROR(__xludf.DUMMYFUNCTION("""COMPUTED_VALUE"""),334.0)</f>
        <v>334</v>
      </c>
      <c r="B2124" s="85" t="str">
        <f>IFERROR(__xludf.DUMMYFUNCTION("""COMPUTED_VALUE"""),"LUVA DE RASPA")</f>
        <v>LUVA DE RASPA</v>
      </c>
      <c r="C2124" s="86">
        <f>IFERROR(__xludf.DUMMYFUNCTION("""COMPUTED_VALUE"""),2.0)</f>
        <v>2</v>
      </c>
      <c r="D2124" s="87" t="str">
        <f>IFERROR(__xludf.DUMMYFUNCTION("""COMPUTED_VALUE"""),"VIATURA")</f>
        <v>VIATURA</v>
      </c>
      <c r="E2124" s="87" t="str">
        <f>IFERROR(__xludf.DUMMYFUNCTION("""COMPUTED_VALUE"""),"1 - ATB0722")</f>
        <v>1 - ATB0722</v>
      </c>
      <c r="F2124" s="92" t="str">
        <f>IFERROR(__xludf.DUMMYFUNCTION("""COMPUTED_VALUE"""),"BOX TRASEIRO")</f>
        <v>BOX TRASEIRO</v>
      </c>
      <c r="G2124" s="89">
        <f>IFERROR(__xludf.DUMMYFUNCTION("""COMPUTED_VALUE"""),45580.0)</f>
        <v>45580</v>
      </c>
      <c r="H2124" s="87"/>
      <c r="I2124" s="87"/>
    </row>
    <row r="2125">
      <c r="A2125" s="84">
        <f>IFERROR(__xludf.DUMMYFUNCTION("""COMPUTED_VALUE"""),335.0)</f>
        <v>335</v>
      </c>
      <c r="B2125" s="85" t="str">
        <f>IFERROR(__xludf.DUMMYFUNCTION("""COMPUTED_VALUE"""),"LUVA DE AMIANTO")</f>
        <v>LUVA DE AMIANTO</v>
      </c>
      <c r="C2125" s="86">
        <f>IFERROR(__xludf.DUMMYFUNCTION("""COMPUTED_VALUE"""),1.0)</f>
        <v>1</v>
      </c>
      <c r="D2125" s="87" t="str">
        <f>IFERROR(__xludf.DUMMYFUNCTION("""COMPUTED_VALUE"""),"VIATURA")</f>
        <v>VIATURA</v>
      </c>
      <c r="E2125" s="87" t="str">
        <f>IFERROR(__xludf.DUMMYFUNCTION("""COMPUTED_VALUE"""),"1 - ATB0722")</f>
        <v>1 - ATB0722</v>
      </c>
      <c r="F2125" s="92" t="str">
        <f>IFERROR(__xludf.DUMMYFUNCTION("""COMPUTED_VALUE"""),"BOX TRASEIRO")</f>
        <v>BOX TRASEIRO</v>
      </c>
      <c r="G2125" s="89">
        <f>IFERROR(__xludf.DUMMYFUNCTION("""COMPUTED_VALUE"""),45580.0)</f>
        <v>45580</v>
      </c>
      <c r="H2125" s="87"/>
      <c r="I2125" s="87"/>
    </row>
    <row r="2126">
      <c r="A2126" s="84">
        <f>IFERROR(__xludf.DUMMYFUNCTION("""COMPUTED_VALUE"""),336.0)</f>
        <v>336</v>
      </c>
      <c r="B2126" s="85" t="str">
        <f>IFERROR(__xludf.DUMMYFUNCTION("""COMPUTED_VALUE"""),"CONE SINALEIRO")</f>
        <v>CONE SINALEIRO</v>
      </c>
      <c r="C2126" s="86">
        <f>IFERROR(__xludf.DUMMYFUNCTION("""COMPUTED_VALUE"""),6.0)</f>
        <v>6</v>
      </c>
      <c r="D2126" s="87" t="str">
        <f>IFERROR(__xludf.DUMMYFUNCTION("""COMPUTED_VALUE"""),"VIATURA")</f>
        <v>VIATURA</v>
      </c>
      <c r="E2126" s="87" t="str">
        <f>IFERROR(__xludf.DUMMYFUNCTION("""COMPUTED_VALUE"""),"1 - ATB0722")</f>
        <v>1 - ATB0722</v>
      </c>
      <c r="F2126" s="92" t="str">
        <f>IFERROR(__xludf.DUMMYFUNCTION("""COMPUTED_VALUE"""),"BOX TRASEIRO")</f>
        <v>BOX TRASEIRO</v>
      </c>
      <c r="G2126" s="89">
        <f>IFERROR(__xludf.DUMMYFUNCTION("""COMPUTED_VALUE"""),45580.0)</f>
        <v>45580</v>
      </c>
      <c r="H2126" s="87"/>
      <c r="I2126" s="87"/>
    </row>
    <row r="2127">
      <c r="A2127" s="84">
        <f>IFERROR(__xludf.DUMMYFUNCTION("""COMPUTED_VALUE"""),337.0)</f>
        <v>337</v>
      </c>
      <c r="B2127" s="85" t="str">
        <f>IFERROR(__xludf.DUMMYFUNCTION("""COMPUTED_VALUE"""),"REGULADOR DE AR - EPR (RESERVA)")</f>
        <v>REGULADOR DE AR - EPR (RESERVA)</v>
      </c>
      <c r="C2127" s="86">
        <f>IFERROR(__xludf.DUMMYFUNCTION("""COMPUTED_VALUE"""),3.0)</f>
        <v>3</v>
      </c>
      <c r="D2127" s="87" t="str">
        <f>IFERROR(__xludf.DUMMYFUNCTION("""COMPUTED_VALUE"""),"VIATURA")</f>
        <v>VIATURA</v>
      </c>
      <c r="E2127" s="87" t="str">
        <f>IFERROR(__xludf.DUMMYFUNCTION("""COMPUTED_VALUE"""),"1 - ASM3617")</f>
        <v>1 - ASM3617</v>
      </c>
      <c r="F2127" s="92" t="str">
        <f>IFERROR(__xludf.DUMMYFUNCTION("""COMPUTED_VALUE"""),"BOX 03")</f>
        <v>BOX 03</v>
      </c>
      <c r="G2127" s="89">
        <f>IFERROR(__xludf.DUMMYFUNCTION("""COMPUTED_VALUE"""),45526.0)</f>
        <v>45526</v>
      </c>
      <c r="H2127" s="87"/>
      <c r="I2127" s="87" t="str">
        <f>IFERROR(__xludf.DUMMYFUNCTION("""COMPUTED_VALUE"""),"REGULADOR SCOTT COM MANGEIRA DE DEMANDA")</f>
        <v>REGULADOR SCOTT COM MANGEIRA DE DEMANDA</v>
      </c>
    </row>
    <row r="2128">
      <c r="A2128" s="84">
        <f>IFERROR(__xludf.DUMMYFUNCTION("""COMPUTED_VALUE"""),338.0)</f>
        <v>338</v>
      </c>
      <c r="B2128" s="85" t="str">
        <f>IFERROR(__xludf.DUMMYFUNCTION("""COMPUTED_VALUE"""),"MANGUEIRA DE 1 ¹/²")</f>
        <v>MANGUEIRA DE 1 ¹/²</v>
      </c>
      <c r="C2128" s="86">
        <f>IFERROR(__xludf.DUMMYFUNCTION("""COMPUTED_VALUE"""),4.0)</f>
        <v>4</v>
      </c>
      <c r="D2128" s="87" t="str">
        <f>IFERROR(__xludf.DUMMYFUNCTION("""COMPUTED_VALUE"""),"VIATURA")</f>
        <v>VIATURA</v>
      </c>
      <c r="E2128" s="87" t="str">
        <f>IFERROR(__xludf.DUMMYFUNCTION("""COMPUTED_VALUE"""),"1 - ATB0722")</f>
        <v>1 - ATB0722</v>
      </c>
      <c r="F2128" s="92" t="str">
        <f>IFERROR(__xludf.DUMMYFUNCTION("""COMPUTED_VALUE"""),"BOX 02")</f>
        <v>BOX 02</v>
      </c>
      <c r="G2128" s="89">
        <f>IFERROR(__xludf.DUMMYFUNCTION("""COMPUTED_VALUE"""),45580.0)</f>
        <v>45580</v>
      </c>
      <c r="H2128" s="87"/>
      <c r="I2128" s="87"/>
    </row>
    <row r="2129">
      <c r="A2129" s="84">
        <f>IFERROR(__xludf.DUMMYFUNCTION("""COMPUTED_VALUE"""),339.0)</f>
        <v>339</v>
      </c>
      <c r="B2129" s="85" t="str">
        <f>IFERROR(__xludf.DUMMYFUNCTION("""COMPUTED_VALUE"""),"MANGUEIRA DE 2 ¹/²")</f>
        <v>MANGUEIRA DE 2 ¹/²</v>
      </c>
      <c r="C2129" s="86">
        <f>IFERROR(__xludf.DUMMYFUNCTION("""COMPUTED_VALUE"""),3.0)</f>
        <v>3</v>
      </c>
      <c r="D2129" s="87" t="str">
        <f>IFERROR(__xludf.DUMMYFUNCTION("""COMPUTED_VALUE"""),"VIATURA")</f>
        <v>VIATURA</v>
      </c>
      <c r="E2129" s="87" t="str">
        <f>IFERROR(__xludf.DUMMYFUNCTION("""COMPUTED_VALUE"""),"1 - ATB0722")</f>
        <v>1 - ATB0722</v>
      </c>
      <c r="F2129" s="92" t="str">
        <f>IFERROR(__xludf.DUMMYFUNCTION("""COMPUTED_VALUE"""),"BOX 02")</f>
        <v>BOX 02</v>
      </c>
      <c r="G2129" s="89">
        <f>IFERROR(__xludf.DUMMYFUNCTION("""COMPUTED_VALUE"""),45580.0)</f>
        <v>45580</v>
      </c>
      <c r="H2129" s="87"/>
      <c r="I2129" s="87"/>
    </row>
    <row r="2130">
      <c r="A2130" s="84">
        <f>IFERROR(__xludf.DUMMYFUNCTION("""COMPUTED_VALUE"""),340.0)</f>
        <v>340</v>
      </c>
      <c r="B2130" s="85" t="str">
        <f>IFERROR(__xludf.DUMMYFUNCTION("""COMPUTED_VALUE"""),"ADAPTADOR STORZ 2 ¹/²"" PARA ROSCA 3 FIOS")</f>
        <v>ADAPTADOR STORZ 2 ¹/²" PARA ROSCA 3 FIOS</v>
      </c>
      <c r="C2130" s="86">
        <f>IFERROR(__xludf.DUMMYFUNCTION("""COMPUTED_VALUE"""),1.0)</f>
        <v>1</v>
      </c>
      <c r="D2130" s="87" t="str">
        <f>IFERROR(__xludf.DUMMYFUNCTION("""COMPUTED_VALUE"""),"VIATURA")</f>
        <v>VIATURA</v>
      </c>
      <c r="E2130" s="87" t="str">
        <f>IFERROR(__xludf.DUMMYFUNCTION("""COMPUTED_VALUE"""),"1 - ATB0722")</f>
        <v>1 - ATB0722</v>
      </c>
      <c r="F2130" s="92" t="str">
        <f>IFERROR(__xludf.DUMMYFUNCTION("""COMPUTED_VALUE"""),"BOX 03")</f>
        <v>BOX 03</v>
      </c>
      <c r="G2130" s="89">
        <f>IFERROR(__xludf.DUMMYFUNCTION("""COMPUTED_VALUE"""),45580.0)</f>
        <v>45580</v>
      </c>
      <c r="H2130" s="87"/>
      <c r="I2130" s="87"/>
    </row>
    <row r="2131">
      <c r="A2131" s="84">
        <f>IFERROR(__xludf.DUMMYFUNCTION("""COMPUTED_VALUE"""),341.0)</f>
        <v>341</v>
      </c>
      <c r="B2131" s="85" t="str">
        <f>IFERROR(__xludf.DUMMYFUNCTION("""COMPUTED_VALUE"""),"REDUÇÃO 2 ¹/² P/ 1¹/² ")</f>
        <v>REDUÇÃO 2 ¹/² P/ 1¹/² </v>
      </c>
      <c r="C2131" s="86">
        <f>IFERROR(__xludf.DUMMYFUNCTION("""COMPUTED_VALUE"""),2.0)</f>
        <v>2</v>
      </c>
      <c r="D2131" s="87" t="str">
        <f>IFERROR(__xludf.DUMMYFUNCTION("""COMPUTED_VALUE"""),"VIATURA")</f>
        <v>VIATURA</v>
      </c>
      <c r="E2131" s="87" t="str">
        <f>IFERROR(__xludf.DUMMYFUNCTION("""COMPUTED_VALUE"""),"1 - ATB0722")</f>
        <v>1 - ATB0722</v>
      </c>
      <c r="F2131" s="92" t="str">
        <f>IFERROR(__xludf.DUMMYFUNCTION("""COMPUTED_VALUE"""),"BOX 03")</f>
        <v>BOX 03</v>
      </c>
      <c r="G2131" s="89">
        <f>IFERROR(__xludf.DUMMYFUNCTION("""COMPUTED_VALUE"""),45580.0)</f>
        <v>45580</v>
      </c>
      <c r="H2131" s="87"/>
      <c r="I2131" s="87"/>
    </row>
    <row r="2132">
      <c r="A2132" s="84">
        <f>IFERROR(__xludf.DUMMYFUNCTION("""COMPUTED_VALUE"""),342.0)</f>
        <v>342</v>
      </c>
      <c r="B2132" s="85" t="str">
        <f>IFERROR(__xludf.DUMMYFUNCTION("""COMPUTED_VALUE"""),"ESGUICHO DE 1¹/² ")</f>
        <v>ESGUICHO DE 1¹/² </v>
      </c>
      <c r="C2132" s="86">
        <f>IFERROR(__xludf.DUMMYFUNCTION("""COMPUTED_VALUE"""),1.0)</f>
        <v>1</v>
      </c>
      <c r="D2132" s="87" t="str">
        <f>IFERROR(__xludf.DUMMYFUNCTION("""COMPUTED_VALUE"""),"VIATURA")</f>
        <v>VIATURA</v>
      </c>
      <c r="E2132" s="87" t="str">
        <f>IFERROR(__xludf.DUMMYFUNCTION("""COMPUTED_VALUE"""),"1 - ATB0722")</f>
        <v>1 - ATB0722</v>
      </c>
      <c r="F2132" s="92" t="str">
        <f>IFERROR(__xludf.DUMMYFUNCTION("""COMPUTED_VALUE"""),"BOX 03")</f>
        <v>BOX 03</v>
      </c>
      <c r="G2132" s="89">
        <f>IFERROR(__xludf.DUMMYFUNCTION("""COMPUTED_VALUE"""),45580.0)</f>
        <v>45580</v>
      </c>
      <c r="H2132" s="87"/>
      <c r="I2132" s="87"/>
    </row>
    <row r="2133">
      <c r="A2133" s="84">
        <f>IFERROR(__xludf.DUMMYFUNCTION("""COMPUTED_VALUE"""),343.0)</f>
        <v>343</v>
      </c>
      <c r="B2133" s="85" t="str">
        <f>IFERROR(__xludf.DUMMYFUNCTION("""COMPUTED_VALUE"""),"ESGUICHO DE 2¹/² ")</f>
        <v>ESGUICHO DE 2¹/² </v>
      </c>
      <c r="C2133" s="86">
        <f>IFERROR(__xludf.DUMMYFUNCTION("""COMPUTED_VALUE"""),1.0)</f>
        <v>1</v>
      </c>
      <c r="D2133" s="87" t="str">
        <f>IFERROR(__xludf.DUMMYFUNCTION("""COMPUTED_VALUE"""),"VIATURA")</f>
        <v>VIATURA</v>
      </c>
      <c r="E2133" s="87" t="str">
        <f>IFERROR(__xludf.DUMMYFUNCTION("""COMPUTED_VALUE"""),"1 - ATB0722")</f>
        <v>1 - ATB0722</v>
      </c>
      <c r="F2133" s="92" t="str">
        <f>IFERROR(__xludf.DUMMYFUNCTION("""COMPUTED_VALUE"""),"BOX 03")</f>
        <v>BOX 03</v>
      </c>
      <c r="G2133" s="89">
        <f>IFERROR(__xludf.DUMMYFUNCTION("""COMPUTED_VALUE"""),45580.0)</f>
        <v>45580</v>
      </c>
      <c r="H2133" s="87"/>
      <c r="I2133" s="87"/>
    </row>
    <row r="2134">
      <c r="A2134" s="84">
        <f>IFERROR(__xludf.DUMMYFUNCTION("""COMPUTED_VALUE"""),344.0)</f>
        <v>344</v>
      </c>
      <c r="B2134" s="85" t="str">
        <f>IFERROR(__xludf.DUMMYFUNCTION("""COMPUTED_VALUE"""),"NIPS")</f>
        <v>NIPS</v>
      </c>
      <c r="C2134" s="86">
        <f>IFERROR(__xludf.DUMMYFUNCTION("""COMPUTED_VALUE"""),2.0)</f>
        <v>2</v>
      </c>
      <c r="D2134" s="87" t="str">
        <f>IFERROR(__xludf.DUMMYFUNCTION("""COMPUTED_VALUE"""),"VIATURA")</f>
        <v>VIATURA</v>
      </c>
      <c r="E2134" s="87" t="str">
        <f>IFERROR(__xludf.DUMMYFUNCTION("""COMPUTED_VALUE"""),"1 - ATB0722")</f>
        <v>1 - ATB0722</v>
      </c>
      <c r="F2134" s="92" t="str">
        <f>IFERROR(__xludf.DUMMYFUNCTION("""COMPUTED_VALUE"""),"BOX 03")</f>
        <v>BOX 03</v>
      </c>
      <c r="G2134" s="89">
        <f>IFERROR(__xludf.DUMMYFUNCTION("""COMPUTED_VALUE"""),45580.0)</f>
        <v>45580</v>
      </c>
      <c r="H2134" s="87"/>
      <c r="I2134" s="87"/>
    </row>
    <row r="2135">
      <c r="A2135" s="84">
        <f>IFERROR(__xludf.DUMMYFUNCTION("""COMPUTED_VALUE"""),345.0)</f>
        <v>345</v>
      </c>
      <c r="B2135" s="85" t="str">
        <f>IFERROR(__xludf.DUMMYFUNCTION("""COMPUTED_VALUE"""),"CHAVE DE TAMPÃO DE HIRANTE")</f>
        <v>CHAVE DE TAMPÃO DE HIRANTE</v>
      </c>
      <c r="C2135" s="86">
        <f>IFERROR(__xludf.DUMMYFUNCTION("""COMPUTED_VALUE"""),1.0)</f>
        <v>1</v>
      </c>
      <c r="D2135" s="87" t="str">
        <f>IFERROR(__xludf.DUMMYFUNCTION("""COMPUTED_VALUE"""),"VIATURA")</f>
        <v>VIATURA</v>
      </c>
      <c r="E2135" s="87" t="str">
        <f>IFERROR(__xludf.DUMMYFUNCTION("""COMPUTED_VALUE"""),"1 - ATB0722")</f>
        <v>1 - ATB0722</v>
      </c>
      <c r="F2135" s="92" t="str">
        <f>IFERROR(__xludf.DUMMYFUNCTION("""COMPUTED_VALUE"""),"BOX 03")</f>
        <v>BOX 03</v>
      </c>
      <c r="G2135" s="89">
        <f>IFERROR(__xludf.DUMMYFUNCTION("""COMPUTED_VALUE"""),45580.0)</f>
        <v>45580</v>
      </c>
      <c r="H2135" s="87"/>
      <c r="I2135" s="87"/>
    </row>
    <row r="2136">
      <c r="A2136" s="84">
        <f>IFERROR(__xludf.DUMMYFUNCTION("""COMPUTED_VALUE"""),346.0)</f>
        <v>346</v>
      </c>
      <c r="B2136" s="85" t="str">
        <f>IFERROR(__xludf.DUMMYFUNCTION("""COMPUTED_VALUE"""),"DIVISOR 3 BOCAS")</f>
        <v>DIVISOR 3 BOCAS</v>
      </c>
      <c r="C2136" s="86">
        <f>IFERROR(__xludf.DUMMYFUNCTION("""COMPUTED_VALUE"""),1.0)</f>
        <v>1</v>
      </c>
      <c r="D2136" s="87" t="str">
        <f>IFERROR(__xludf.DUMMYFUNCTION("""COMPUTED_VALUE"""),"VIATURA")</f>
        <v>VIATURA</v>
      </c>
      <c r="E2136" s="87" t="str">
        <f>IFERROR(__xludf.DUMMYFUNCTION("""COMPUTED_VALUE"""),"1 - ATB0722")</f>
        <v>1 - ATB0722</v>
      </c>
      <c r="F2136" s="92" t="str">
        <f>IFERROR(__xludf.DUMMYFUNCTION("""COMPUTED_VALUE"""),"BOX 03")</f>
        <v>BOX 03</v>
      </c>
      <c r="G2136" s="89">
        <f>IFERROR(__xludf.DUMMYFUNCTION("""COMPUTED_VALUE"""),45580.0)</f>
        <v>45580</v>
      </c>
      <c r="H2136" s="87"/>
      <c r="I2136" s="87"/>
    </row>
    <row r="2137">
      <c r="A2137" s="84">
        <f>IFERROR(__xludf.DUMMYFUNCTION("""COMPUTED_VALUE"""),347.0)</f>
        <v>347</v>
      </c>
      <c r="B2137" s="85" t="str">
        <f>IFERROR(__xludf.DUMMYFUNCTION("""COMPUTED_VALUE"""),"CHAVE DE MANGOTE")</f>
        <v>CHAVE DE MANGOTE</v>
      </c>
      <c r="C2137" s="86">
        <f>IFERROR(__xludf.DUMMYFUNCTION("""COMPUTED_VALUE"""),1.0)</f>
        <v>1</v>
      </c>
      <c r="D2137" s="87" t="str">
        <f>IFERROR(__xludf.DUMMYFUNCTION("""COMPUTED_VALUE"""),"VIATURA")</f>
        <v>VIATURA</v>
      </c>
      <c r="E2137" s="87" t="str">
        <f>IFERROR(__xludf.DUMMYFUNCTION("""COMPUTED_VALUE"""),"1 - ATB0722")</f>
        <v>1 - ATB0722</v>
      </c>
      <c r="F2137" s="92" t="str">
        <f>IFERROR(__xludf.DUMMYFUNCTION("""COMPUTED_VALUE"""),"BOX 03")</f>
        <v>BOX 03</v>
      </c>
      <c r="G2137" s="89">
        <f>IFERROR(__xludf.DUMMYFUNCTION("""COMPUTED_VALUE"""),45580.0)</f>
        <v>45580</v>
      </c>
      <c r="H2137" s="87"/>
      <c r="I2137" s="87"/>
    </row>
    <row r="2138">
      <c r="A2138" s="84">
        <f>IFERROR(__xludf.DUMMYFUNCTION("""COMPUTED_VALUE"""),348.0)</f>
        <v>348</v>
      </c>
      <c r="B2138" s="85" t="str">
        <f>IFERROR(__xludf.DUMMYFUNCTION("""COMPUTED_VALUE"""),"RALO DE 1 ¹/²""")</f>
        <v>RALO DE 1 ¹/²"</v>
      </c>
      <c r="C2138" s="86">
        <f>IFERROR(__xludf.DUMMYFUNCTION("""COMPUTED_VALUE"""),1.0)</f>
        <v>1</v>
      </c>
      <c r="D2138" s="87" t="str">
        <f>IFERROR(__xludf.DUMMYFUNCTION("""COMPUTED_VALUE"""),"VIATURA")</f>
        <v>VIATURA</v>
      </c>
      <c r="E2138" s="87" t="str">
        <f>IFERROR(__xludf.DUMMYFUNCTION("""COMPUTED_VALUE"""),"1 - ATB0722")</f>
        <v>1 - ATB0722</v>
      </c>
      <c r="F2138" s="92" t="str">
        <f>IFERROR(__xludf.DUMMYFUNCTION("""COMPUTED_VALUE"""),"BOX 03")</f>
        <v>BOX 03</v>
      </c>
      <c r="G2138" s="89">
        <f>IFERROR(__xludf.DUMMYFUNCTION("""COMPUTED_VALUE"""),45580.0)</f>
        <v>45580</v>
      </c>
      <c r="H2138" s="87"/>
      <c r="I2138" s="87"/>
    </row>
    <row r="2139">
      <c r="A2139" s="84">
        <f>IFERROR(__xludf.DUMMYFUNCTION("""COMPUTED_VALUE"""),349.0)</f>
        <v>349</v>
      </c>
      <c r="B2139" s="85" t="str">
        <f>IFERROR(__xludf.DUMMYFUNCTION("""COMPUTED_VALUE"""),"CHAVE DE MANGUEIRA")</f>
        <v>CHAVE DE MANGUEIRA</v>
      </c>
      <c r="C2139" s="86">
        <f>IFERROR(__xludf.DUMMYFUNCTION("""COMPUTED_VALUE"""),3.0)</f>
        <v>3</v>
      </c>
      <c r="D2139" s="87" t="str">
        <f>IFERROR(__xludf.DUMMYFUNCTION("""COMPUTED_VALUE"""),"VIATURA")</f>
        <v>VIATURA</v>
      </c>
      <c r="E2139" s="87" t="str">
        <f>IFERROR(__xludf.DUMMYFUNCTION("""COMPUTED_VALUE"""),"1 - ATB0722")</f>
        <v>1 - ATB0722</v>
      </c>
      <c r="F2139" s="92" t="str">
        <f>IFERROR(__xludf.DUMMYFUNCTION("""COMPUTED_VALUE"""),"BOX 03")</f>
        <v>BOX 03</v>
      </c>
      <c r="G2139" s="89">
        <f>IFERROR(__xludf.DUMMYFUNCTION("""COMPUTED_VALUE"""),45580.0)</f>
        <v>45580</v>
      </c>
      <c r="H2139" s="87"/>
      <c r="I2139" s="87"/>
    </row>
    <row r="2140">
      <c r="A2140" s="84">
        <f>IFERROR(__xludf.DUMMYFUNCTION("""COMPUTED_VALUE"""),350.0)</f>
        <v>350</v>
      </c>
      <c r="B2140" s="85" t="str">
        <f>IFERROR(__xludf.DUMMYFUNCTION("""COMPUTED_VALUE"""),"ENXADA")</f>
        <v>ENXADA</v>
      </c>
      <c r="C2140" s="86">
        <f>IFERROR(__xludf.DUMMYFUNCTION("""COMPUTED_VALUE"""),2.0)</f>
        <v>2</v>
      </c>
      <c r="D2140" s="87" t="str">
        <f>IFERROR(__xludf.DUMMYFUNCTION("""COMPUTED_VALUE"""),"VIATURA")</f>
        <v>VIATURA</v>
      </c>
      <c r="E2140" s="87" t="str">
        <f>IFERROR(__xludf.DUMMYFUNCTION("""COMPUTED_VALUE"""),"1 - ATB0722")</f>
        <v>1 - ATB0722</v>
      </c>
      <c r="F2140" s="92" t="str">
        <f>IFERROR(__xludf.DUMMYFUNCTION("""COMPUTED_VALUE"""),"BOX SUPERIOR 01")</f>
        <v>BOX SUPERIOR 01</v>
      </c>
      <c r="G2140" s="89">
        <f>IFERROR(__xludf.DUMMYFUNCTION("""COMPUTED_VALUE"""),45580.0)</f>
        <v>45580</v>
      </c>
      <c r="H2140" s="87"/>
      <c r="I2140" s="87"/>
    </row>
    <row r="2141">
      <c r="A2141" s="84">
        <f>IFERROR(__xludf.DUMMYFUNCTION("""COMPUTED_VALUE"""),351.0)</f>
        <v>351</v>
      </c>
      <c r="B2141" s="85" t="str">
        <f>IFERROR(__xludf.DUMMYFUNCTION("""COMPUTED_VALUE"""),"GADANHO")</f>
        <v>GADANHO</v>
      </c>
      <c r="C2141" s="86">
        <f>IFERROR(__xludf.DUMMYFUNCTION("""COMPUTED_VALUE"""),2.0)</f>
        <v>2</v>
      </c>
      <c r="D2141" s="87" t="str">
        <f>IFERROR(__xludf.DUMMYFUNCTION("""COMPUTED_VALUE"""),"VIATURA")</f>
        <v>VIATURA</v>
      </c>
      <c r="E2141" s="87" t="str">
        <f>IFERROR(__xludf.DUMMYFUNCTION("""COMPUTED_VALUE"""),"1 - ATB0722")</f>
        <v>1 - ATB0722</v>
      </c>
      <c r="F2141" s="92" t="str">
        <f>IFERROR(__xludf.DUMMYFUNCTION("""COMPUTED_VALUE"""),"BOX SUPERIOR 01")</f>
        <v>BOX SUPERIOR 01</v>
      </c>
      <c r="G2141" s="89">
        <f>IFERROR(__xludf.DUMMYFUNCTION("""COMPUTED_VALUE"""),45580.0)</f>
        <v>45580</v>
      </c>
      <c r="H2141" s="87"/>
      <c r="I2141" s="87"/>
    </row>
    <row r="2142">
      <c r="A2142" s="84">
        <f>IFERROR(__xludf.DUMMYFUNCTION("""COMPUTED_VALUE"""),352.0)</f>
        <v>352</v>
      </c>
      <c r="B2142" s="85" t="str">
        <f>IFERROR(__xludf.DUMMYFUNCTION("""COMPUTED_VALUE"""),"GARFO COM 10 DENTES")</f>
        <v>GARFO COM 10 DENTES</v>
      </c>
      <c r="C2142" s="86">
        <f>IFERROR(__xludf.DUMMYFUNCTION("""COMPUTED_VALUE"""),1.0)</f>
        <v>1</v>
      </c>
      <c r="D2142" s="87" t="str">
        <f>IFERROR(__xludf.DUMMYFUNCTION("""COMPUTED_VALUE"""),"VIATURA")</f>
        <v>VIATURA</v>
      </c>
      <c r="E2142" s="87" t="str">
        <f>IFERROR(__xludf.DUMMYFUNCTION("""COMPUTED_VALUE"""),"1 - ATB0722")</f>
        <v>1 - ATB0722</v>
      </c>
      <c r="F2142" s="92" t="str">
        <f>IFERROR(__xludf.DUMMYFUNCTION("""COMPUTED_VALUE"""),"BOX SUPERIOR 01")</f>
        <v>BOX SUPERIOR 01</v>
      </c>
      <c r="G2142" s="89">
        <f>IFERROR(__xludf.DUMMYFUNCTION("""COMPUTED_VALUE"""),45580.0)</f>
        <v>45580</v>
      </c>
      <c r="H2142" s="87"/>
      <c r="I2142" s="87"/>
    </row>
    <row r="2143">
      <c r="A2143" s="84">
        <f>IFERROR(__xludf.DUMMYFUNCTION("""COMPUTED_VALUE"""),353.0)</f>
        <v>353</v>
      </c>
      <c r="B2143" s="85" t="str">
        <f>IFERROR(__xludf.DUMMYFUNCTION("""COMPUTED_VALUE"""),"ALAVANCA CORTE E PONTEIRA")</f>
        <v>ALAVANCA CORTE E PONTEIRA</v>
      </c>
      <c r="C2143" s="86">
        <f>IFERROR(__xludf.DUMMYFUNCTION("""COMPUTED_VALUE"""),1.0)</f>
        <v>1</v>
      </c>
      <c r="D2143" s="87" t="str">
        <f>IFERROR(__xludf.DUMMYFUNCTION("""COMPUTED_VALUE"""),"VIATURA")</f>
        <v>VIATURA</v>
      </c>
      <c r="E2143" s="87" t="str">
        <f>IFERROR(__xludf.DUMMYFUNCTION("""COMPUTED_VALUE"""),"1 - ATB0722")</f>
        <v>1 - ATB0722</v>
      </c>
      <c r="F2143" s="92" t="str">
        <f>IFERROR(__xludf.DUMMYFUNCTION("""COMPUTED_VALUE"""),"BOX SUPERIOR 01")</f>
        <v>BOX SUPERIOR 01</v>
      </c>
      <c r="G2143" s="89">
        <f>IFERROR(__xludf.DUMMYFUNCTION("""COMPUTED_VALUE"""),45580.0)</f>
        <v>45580</v>
      </c>
      <c r="H2143" s="87"/>
      <c r="I2143" s="87"/>
    </row>
    <row r="2144">
      <c r="A2144" s="84">
        <f>IFERROR(__xludf.DUMMYFUNCTION("""COMPUTED_VALUE"""),354.0)</f>
        <v>354</v>
      </c>
      <c r="B2144" s="85" t="str">
        <f>IFERROR(__xludf.DUMMYFUNCTION("""COMPUTED_VALUE"""),"CORTA FRIO 24''")</f>
        <v>CORTA FRIO 24''</v>
      </c>
      <c r="C2144" s="86">
        <f>IFERROR(__xludf.DUMMYFUNCTION("""COMPUTED_VALUE"""),1.0)</f>
        <v>1</v>
      </c>
      <c r="D2144" s="87" t="str">
        <f>IFERROR(__xludf.DUMMYFUNCTION("""COMPUTED_VALUE"""),"VIATURA")</f>
        <v>VIATURA</v>
      </c>
      <c r="E2144" s="87" t="str">
        <f>IFERROR(__xludf.DUMMYFUNCTION("""COMPUTED_VALUE"""),"1 - ATB0722")</f>
        <v>1 - ATB0722</v>
      </c>
      <c r="F2144" s="92" t="str">
        <f>IFERROR(__xludf.DUMMYFUNCTION("""COMPUTED_VALUE"""),"BOX SUPERIOR 01")</f>
        <v>BOX SUPERIOR 01</v>
      </c>
      <c r="G2144" s="89">
        <f>IFERROR(__xludf.DUMMYFUNCTION("""COMPUTED_VALUE"""),45580.0)</f>
        <v>45580</v>
      </c>
      <c r="H2144" s="87"/>
      <c r="I2144" s="87"/>
    </row>
    <row r="2145">
      <c r="A2145" s="84">
        <f>IFERROR(__xludf.DUMMYFUNCTION("""COMPUTED_VALUE"""),355.0)</f>
        <v>355</v>
      </c>
      <c r="B2145" s="85" t="str">
        <f>IFERROR(__xludf.DUMMYFUNCTION("""COMPUTED_VALUE"""),"ALAVANCA PÉ DE CABRA")</f>
        <v>ALAVANCA PÉ DE CABRA</v>
      </c>
      <c r="C2145" s="86">
        <f>IFERROR(__xludf.DUMMYFUNCTION("""COMPUTED_VALUE"""),1.0)</f>
        <v>1</v>
      </c>
      <c r="D2145" s="87" t="str">
        <f>IFERROR(__xludf.DUMMYFUNCTION("""COMPUTED_VALUE"""),"VIATURA")</f>
        <v>VIATURA</v>
      </c>
      <c r="E2145" s="87" t="str">
        <f>IFERROR(__xludf.DUMMYFUNCTION("""COMPUTED_VALUE"""),"1 - ATB0722")</f>
        <v>1 - ATB0722</v>
      </c>
      <c r="F2145" s="92" t="str">
        <f>IFERROR(__xludf.DUMMYFUNCTION("""COMPUTED_VALUE"""),"BOX SUPERIOR 01")</f>
        <v>BOX SUPERIOR 01</v>
      </c>
      <c r="G2145" s="89">
        <f>IFERROR(__xludf.DUMMYFUNCTION("""COMPUTED_VALUE"""),45580.0)</f>
        <v>45580</v>
      </c>
      <c r="H2145" s="87"/>
      <c r="I2145" s="87"/>
    </row>
    <row r="2146">
      <c r="A2146" s="84">
        <f>IFERROR(__xludf.DUMMYFUNCTION("""COMPUTED_VALUE"""),356.0)</f>
        <v>356</v>
      </c>
      <c r="B2146" s="85" t="str">
        <f>IFERROR(__xludf.DUMMYFUNCTION("""COMPUTED_VALUE"""),"PÁ DE BICO")</f>
        <v>PÁ DE BICO</v>
      </c>
      <c r="C2146" s="86">
        <f>IFERROR(__xludf.DUMMYFUNCTION("""COMPUTED_VALUE"""),2.0)</f>
        <v>2</v>
      </c>
      <c r="D2146" s="87" t="str">
        <f>IFERROR(__xludf.DUMMYFUNCTION("""COMPUTED_VALUE"""),"VIATURA")</f>
        <v>VIATURA</v>
      </c>
      <c r="E2146" s="87" t="str">
        <f>IFERROR(__xludf.DUMMYFUNCTION("""COMPUTED_VALUE"""),"1 - ATB0722")</f>
        <v>1 - ATB0722</v>
      </c>
      <c r="F2146" s="92" t="str">
        <f>IFERROR(__xludf.DUMMYFUNCTION("""COMPUTED_VALUE"""),"BOX SUPERIOR 01")</f>
        <v>BOX SUPERIOR 01</v>
      </c>
      <c r="G2146" s="89">
        <f>IFERROR(__xludf.DUMMYFUNCTION("""COMPUTED_VALUE"""),45580.0)</f>
        <v>45580</v>
      </c>
      <c r="H2146" s="87"/>
      <c r="I2146" s="87"/>
    </row>
    <row r="2147">
      <c r="A2147" s="84">
        <f>IFERROR(__xludf.DUMMYFUNCTION("""COMPUTED_VALUE"""),357.0)</f>
        <v>357</v>
      </c>
      <c r="B2147" s="85" t="str">
        <f>IFERROR(__xludf.DUMMYFUNCTION("""COMPUTED_VALUE"""),"MACHADO CABO COMPRIDO")</f>
        <v>MACHADO CABO COMPRIDO</v>
      </c>
      <c r="C2147" s="86">
        <f>IFERROR(__xludf.DUMMYFUNCTION("""COMPUTED_VALUE"""),1.0)</f>
        <v>1</v>
      </c>
      <c r="D2147" s="87" t="str">
        <f>IFERROR(__xludf.DUMMYFUNCTION("""COMPUTED_VALUE"""),"VIATURA")</f>
        <v>VIATURA</v>
      </c>
      <c r="E2147" s="87" t="str">
        <f>IFERROR(__xludf.DUMMYFUNCTION("""COMPUTED_VALUE"""),"1 - ATB0722")</f>
        <v>1 - ATB0722</v>
      </c>
      <c r="F2147" s="92" t="str">
        <f>IFERROR(__xludf.DUMMYFUNCTION("""COMPUTED_VALUE"""),"BOX SUPERIOR 01")</f>
        <v>BOX SUPERIOR 01</v>
      </c>
      <c r="G2147" s="89">
        <f>IFERROR(__xludf.DUMMYFUNCTION("""COMPUTED_VALUE"""),45580.0)</f>
        <v>45580</v>
      </c>
      <c r="H2147" s="87"/>
      <c r="I2147" s="87"/>
    </row>
    <row r="2148">
      <c r="A2148" s="84">
        <f>IFERROR(__xludf.DUMMYFUNCTION("""COMPUTED_VALUE"""),358.0)</f>
        <v>358</v>
      </c>
      <c r="B2148" s="85" t="str">
        <f>IFERROR(__xludf.DUMMYFUNCTION("""COMPUTED_VALUE"""),"MACHADO CABO CURTO")</f>
        <v>MACHADO CABO CURTO</v>
      </c>
      <c r="C2148" s="86">
        <f>IFERROR(__xludf.DUMMYFUNCTION("""COMPUTED_VALUE"""),1.0)</f>
        <v>1</v>
      </c>
      <c r="D2148" s="87" t="str">
        <f>IFERROR(__xludf.DUMMYFUNCTION("""COMPUTED_VALUE"""),"VIATURA")</f>
        <v>VIATURA</v>
      </c>
      <c r="E2148" s="87" t="str">
        <f>IFERROR(__xludf.DUMMYFUNCTION("""COMPUTED_VALUE"""),"1 - ATB0722")</f>
        <v>1 - ATB0722</v>
      </c>
      <c r="F2148" s="92" t="str">
        <f>IFERROR(__xludf.DUMMYFUNCTION("""COMPUTED_VALUE"""),"BOX SUPERIOR 01")</f>
        <v>BOX SUPERIOR 01</v>
      </c>
      <c r="G2148" s="89">
        <f>IFERROR(__xludf.DUMMYFUNCTION("""COMPUTED_VALUE"""),45580.0)</f>
        <v>45580</v>
      </c>
      <c r="H2148" s="87"/>
      <c r="I2148" s="87"/>
    </row>
    <row r="2149">
      <c r="A2149" s="84">
        <f>IFERROR(__xludf.DUMMYFUNCTION("""COMPUTED_VALUE"""),359.0)</f>
        <v>359</v>
      </c>
      <c r="B2149" s="85" t="str">
        <f>IFERROR(__xludf.DUMMYFUNCTION("""COMPUTED_VALUE"""),"CHAVE DE REGISTRO DE HIDRANTE TIPO “T”")</f>
        <v>CHAVE DE REGISTRO DE HIDRANTE TIPO “T”</v>
      </c>
      <c r="C2149" s="86">
        <f>IFERROR(__xludf.DUMMYFUNCTION("""COMPUTED_VALUE"""),1.0)</f>
        <v>1</v>
      </c>
      <c r="D2149" s="87" t="str">
        <f>IFERROR(__xludf.DUMMYFUNCTION("""COMPUTED_VALUE"""),"VIATURA")</f>
        <v>VIATURA</v>
      </c>
      <c r="E2149" s="87" t="str">
        <f>IFERROR(__xludf.DUMMYFUNCTION("""COMPUTED_VALUE"""),"1 - ATB0722")</f>
        <v>1 - ATB0722</v>
      </c>
      <c r="F2149" s="92" t="str">
        <f>IFERROR(__xludf.DUMMYFUNCTION("""COMPUTED_VALUE"""),"BOX SUPERIOR 01")</f>
        <v>BOX SUPERIOR 01</v>
      </c>
      <c r="G2149" s="89">
        <f>IFERROR(__xludf.DUMMYFUNCTION("""COMPUTED_VALUE"""),45580.0)</f>
        <v>45580</v>
      </c>
      <c r="H2149" s="87"/>
      <c r="I2149" s="87"/>
    </row>
    <row r="2150">
      <c r="A2150" s="84">
        <f>IFERROR(__xludf.DUMMYFUNCTION("""COMPUTED_VALUE"""),360.0)</f>
        <v>360</v>
      </c>
      <c r="B2150" s="85" t="str">
        <f>IFERROR(__xludf.DUMMYFUNCTION("""COMPUTED_VALUE"""),"FOICE")</f>
        <v>FOICE</v>
      </c>
      <c r="C2150" s="86">
        <f>IFERROR(__xludf.DUMMYFUNCTION("""COMPUTED_VALUE"""),1.0)</f>
        <v>1</v>
      </c>
      <c r="D2150" s="87" t="str">
        <f>IFERROR(__xludf.DUMMYFUNCTION("""COMPUTED_VALUE"""),"VIATURA")</f>
        <v>VIATURA</v>
      </c>
      <c r="E2150" s="87" t="str">
        <f>IFERROR(__xludf.DUMMYFUNCTION("""COMPUTED_VALUE"""),"1 - ATB0722")</f>
        <v>1 - ATB0722</v>
      </c>
      <c r="F2150" s="92" t="str">
        <f>IFERROR(__xludf.DUMMYFUNCTION("""COMPUTED_VALUE"""),"BOX SUPERIOR 01")</f>
        <v>BOX SUPERIOR 01</v>
      </c>
      <c r="G2150" s="89">
        <f>IFERROR(__xludf.DUMMYFUNCTION("""COMPUTED_VALUE"""),45580.0)</f>
        <v>45580</v>
      </c>
      <c r="H2150" s="87"/>
      <c r="I2150" s="87"/>
    </row>
    <row r="2151">
      <c r="A2151" s="84">
        <f>IFERROR(__xludf.DUMMYFUNCTION("""COMPUTED_VALUE"""),361.0)</f>
        <v>361</v>
      </c>
      <c r="B2151" s="85" t="str">
        <f>IFERROR(__xludf.DUMMYFUNCTION("""COMPUTED_VALUE"""),"FACÕES")</f>
        <v>FACÕES</v>
      </c>
      <c r="C2151" s="86">
        <f>IFERROR(__xludf.DUMMYFUNCTION("""COMPUTED_VALUE"""),2.0)</f>
        <v>2</v>
      </c>
      <c r="D2151" s="87" t="str">
        <f>IFERROR(__xludf.DUMMYFUNCTION("""COMPUTED_VALUE"""),"VIATURA")</f>
        <v>VIATURA</v>
      </c>
      <c r="E2151" s="87" t="str">
        <f>IFERROR(__xludf.DUMMYFUNCTION("""COMPUTED_VALUE"""),"1 - ATB0722")</f>
        <v>1 - ATB0722</v>
      </c>
      <c r="F2151" s="92" t="str">
        <f>IFERROR(__xludf.DUMMYFUNCTION("""COMPUTED_VALUE"""),"BOX SUPERIOR 01")</f>
        <v>BOX SUPERIOR 01</v>
      </c>
      <c r="G2151" s="89">
        <f>IFERROR(__xludf.DUMMYFUNCTION("""COMPUTED_VALUE"""),45580.0)</f>
        <v>45580</v>
      </c>
      <c r="H2151" s="87"/>
      <c r="I2151" s="87"/>
    </row>
    <row r="2152">
      <c r="A2152" s="84">
        <f>IFERROR(__xludf.DUMMYFUNCTION("""COMPUTED_VALUE"""),362.0)</f>
        <v>362</v>
      </c>
      <c r="B2152" s="85" t="str">
        <f>IFERROR(__xludf.DUMMYFUNCTION("""COMPUTED_VALUE"""),"ESCADA DE DOIS GANCHOS - ALUMÍNIO")</f>
        <v>ESCADA DE DOIS GANCHOS - ALUMÍNIO</v>
      </c>
      <c r="C2152" s="86">
        <f>IFERROR(__xludf.DUMMYFUNCTION("""COMPUTED_VALUE"""),1.0)</f>
        <v>1</v>
      </c>
      <c r="D2152" s="87" t="str">
        <f>IFERROR(__xludf.DUMMYFUNCTION("""COMPUTED_VALUE"""),"VIATURA")</f>
        <v>VIATURA</v>
      </c>
      <c r="E2152" s="87" t="str">
        <f>IFERROR(__xludf.DUMMYFUNCTION("""COMPUTED_VALUE"""),"1 - ATB0722")</f>
        <v>1 - ATB0722</v>
      </c>
      <c r="F2152" s="92" t="str">
        <f>IFERROR(__xludf.DUMMYFUNCTION("""COMPUTED_VALUE"""),"BOX SUPERIOR 01")</f>
        <v>BOX SUPERIOR 01</v>
      </c>
      <c r="G2152" s="89">
        <f>IFERROR(__xludf.DUMMYFUNCTION("""COMPUTED_VALUE"""),45580.0)</f>
        <v>45580</v>
      </c>
      <c r="H2152" s="87"/>
      <c r="I2152" s="87"/>
    </row>
    <row r="2153">
      <c r="A2153" s="84">
        <f>IFERROR(__xludf.DUMMYFUNCTION("""COMPUTED_VALUE"""),363.0)</f>
        <v>363</v>
      </c>
      <c r="B2153" s="85" t="str">
        <f>IFERROR(__xludf.DUMMYFUNCTION("""COMPUTED_VALUE"""),"EXTINTOR DE INCÊNDIO 2A 20BC")</f>
        <v>EXTINTOR DE INCÊNDIO 2A 20BC</v>
      </c>
      <c r="C2153" s="86">
        <f>IFERROR(__xludf.DUMMYFUNCTION("""COMPUTED_VALUE"""),1.0)</f>
        <v>1</v>
      </c>
      <c r="D2153" s="87" t="str">
        <f>IFERROR(__xludf.DUMMYFUNCTION("""COMPUTED_VALUE"""),"SEÇÃO")</f>
        <v>SEÇÃO</v>
      </c>
      <c r="E2153" s="87" t="str">
        <f>IFERROR(__xludf.DUMMYFUNCTION("""COMPUTED_VALUE"""),"3 - ALMOX. ESTOQUE")</f>
        <v>3 - ALMOX. ESTOQUE</v>
      </c>
      <c r="F2153" s="92" t="str">
        <f>IFERROR(__xludf.DUMMYFUNCTION("""COMPUTED_VALUE"""),"ALMOX. SAO (SEDE)")</f>
        <v>ALMOX. SAO (SEDE)</v>
      </c>
      <c r="G2153" s="89">
        <f>IFERROR(__xludf.DUMMYFUNCTION("""COMPUTED_VALUE"""),45533.0)</f>
        <v>45533</v>
      </c>
      <c r="H2153" s="87"/>
      <c r="I2153" s="87"/>
    </row>
    <row r="2154">
      <c r="A2154" s="84">
        <f>IFERROR(__xludf.DUMMYFUNCTION("""COMPUTED_VALUE"""),364.0)</f>
        <v>364</v>
      </c>
      <c r="B2154" s="85" t="str">
        <f>IFERROR(__xludf.DUMMYFUNCTION("""COMPUTED_VALUE"""),"FLUXÔMETRO")</f>
        <v>FLUXÔMETRO</v>
      </c>
      <c r="C2154" s="86">
        <f>IFERROR(__xludf.DUMMYFUNCTION("""COMPUTED_VALUE"""),1.0)</f>
        <v>1</v>
      </c>
      <c r="D2154" s="87" t="str">
        <f>IFERROR(__xludf.DUMMYFUNCTION("""COMPUTED_VALUE"""),"VIATURA")</f>
        <v>VIATURA</v>
      </c>
      <c r="E2154" s="87" t="str">
        <f>IFERROR(__xludf.DUMMYFUNCTION("""COMPUTED_VALUE"""),"1 - UR3486")</f>
        <v>1 - UR3486</v>
      </c>
      <c r="F2154" s="92" t="str">
        <f>IFERROR(__xludf.DUMMYFUNCTION("""COMPUTED_VALUE"""),"PRATELEIRAS E GAVETAS")</f>
        <v>PRATELEIRAS E GAVETAS</v>
      </c>
      <c r="G2154" s="89">
        <f>IFERROR(__xludf.DUMMYFUNCTION("""COMPUTED_VALUE"""),45533.0)</f>
        <v>45533</v>
      </c>
      <c r="H2154" s="87"/>
      <c r="I2154" s="87"/>
    </row>
    <row r="2155">
      <c r="A2155" s="84">
        <f>IFERROR(__xludf.DUMMYFUNCTION("""COMPUTED_VALUE"""),365.0)</f>
        <v>365</v>
      </c>
      <c r="B2155" s="85" t="str">
        <f>IFERROR(__xludf.DUMMYFUNCTION("""COMPUTED_VALUE"""),"UMIDIFICADOR")</f>
        <v>UMIDIFICADOR</v>
      </c>
      <c r="C2155" s="86">
        <f>IFERROR(__xludf.DUMMYFUNCTION("""COMPUTED_VALUE"""),1.0)</f>
        <v>1</v>
      </c>
      <c r="D2155" s="87" t="str">
        <f>IFERROR(__xludf.DUMMYFUNCTION("""COMPUTED_VALUE"""),"VIATURA")</f>
        <v>VIATURA</v>
      </c>
      <c r="E2155" s="87" t="str">
        <f>IFERROR(__xludf.DUMMYFUNCTION("""COMPUTED_VALUE"""),"1 - UR3486")</f>
        <v>1 - UR3486</v>
      </c>
      <c r="F2155" s="92" t="str">
        <f>IFERROR(__xludf.DUMMYFUNCTION("""COMPUTED_VALUE"""),"PRATELEIRAS E GAVETAS")</f>
        <v>PRATELEIRAS E GAVETAS</v>
      </c>
      <c r="G2155" s="89">
        <f>IFERROR(__xludf.DUMMYFUNCTION("""COMPUTED_VALUE"""),45533.0)</f>
        <v>45533</v>
      </c>
      <c r="H2155" s="87"/>
      <c r="I2155" s="87"/>
    </row>
    <row r="2156">
      <c r="A2156" s="84">
        <f>IFERROR(__xludf.DUMMYFUNCTION("""COMPUTED_VALUE"""),366.0)</f>
        <v>366</v>
      </c>
      <c r="B2156" s="85" t="str">
        <f>IFERROR(__xludf.DUMMYFUNCTION("""COMPUTED_VALUE"""),"FAROL DE MAEJO (LED)")</f>
        <v>FAROL DE MAEJO (LED)</v>
      </c>
      <c r="C2156" s="86">
        <f>IFERROR(__xludf.DUMMYFUNCTION("""COMPUTED_VALUE"""),1.0)</f>
        <v>1</v>
      </c>
      <c r="D2156" s="87" t="str">
        <f>IFERROR(__xludf.DUMMYFUNCTION("""COMPUTED_VALUE"""),"VIATURA")</f>
        <v>VIATURA</v>
      </c>
      <c r="E2156" s="87" t="str">
        <f>IFERROR(__xludf.DUMMYFUNCTION("""COMPUTED_VALUE"""),"1 - UR3486")</f>
        <v>1 - UR3486</v>
      </c>
      <c r="F2156" s="92" t="str">
        <f>IFERROR(__xludf.DUMMYFUNCTION("""COMPUTED_VALUE"""),"VIATURA")</f>
        <v>VIATURA</v>
      </c>
      <c r="G2156" s="89">
        <f>IFERROR(__xludf.DUMMYFUNCTION("""COMPUTED_VALUE"""),45533.0)</f>
        <v>45533</v>
      </c>
      <c r="H2156" s="87"/>
      <c r="I2156" s="87"/>
    </row>
    <row r="2157">
      <c r="A2157" s="84">
        <f>IFERROR(__xludf.DUMMYFUNCTION("""COMPUTED_VALUE"""),367.0)</f>
        <v>367</v>
      </c>
      <c r="B2157" s="85" t="str">
        <f>IFERROR(__xludf.DUMMYFUNCTION("""COMPUTED_VALUE"""),"CHAVE DE BOCA/ESTRIA")</f>
        <v>CHAVE DE BOCA/ESTRIA</v>
      </c>
      <c r="C2157" s="86">
        <f>IFERROR(__xludf.DUMMYFUNCTION("""COMPUTED_VALUE"""),1.0)</f>
        <v>1</v>
      </c>
      <c r="D2157" s="87" t="str">
        <f>IFERROR(__xludf.DUMMYFUNCTION("""COMPUTED_VALUE"""),"VIATURA")</f>
        <v>VIATURA</v>
      </c>
      <c r="E2157" s="87" t="str">
        <f>IFERROR(__xludf.DUMMYFUNCTION("""COMPUTED_VALUE"""),"1 - UR3486")</f>
        <v>1 - UR3486</v>
      </c>
      <c r="F2157" s="92" t="str">
        <f>IFERROR(__xludf.DUMMYFUNCTION("""COMPUTED_VALUE"""),"BOLSA DE OXIGÊNIO")</f>
        <v>BOLSA DE OXIGÊNIO</v>
      </c>
      <c r="G2157" s="89">
        <f>IFERROR(__xludf.DUMMYFUNCTION("""COMPUTED_VALUE"""),45533.0)</f>
        <v>45533</v>
      </c>
      <c r="H2157" s="87"/>
      <c r="I2157" s="87"/>
    </row>
    <row r="2158">
      <c r="A2158" s="84">
        <f>IFERROR(__xludf.DUMMYFUNCTION("""COMPUTED_VALUE"""),368.0)</f>
        <v>368</v>
      </c>
      <c r="B2158" s="85" t="str">
        <f>IFERROR(__xludf.DUMMYFUNCTION("""COMPUTED_VALUE"""),"MASCARA FACIAL PARA OXIGÊNIO")</f>
        <v>MASCARA FACIAL PARA OXIGÊNIO</v>
      </c>
      <c r="C2158" s="86">
        <f>IFERROR(__xludf.DUMMYFUNCTION("""COMPUTED_VALUE"""),1.0)</f>
        <v>1</v>
      </c>
      <c r="D2158" s="87" t="str">
        <f>IFERROR(__xludf.DUMMYFUNCTION("""COMPUTED_VALUE"""),"VIATURA")</f>
        <v>VIATURA</v>
      </c>
      <c r="E2158" s="87" t="str">
        <f>IFERROR(__xludf.DUMMYFUNCTION("""COMPUTED_VALUE"""),"1 - UR3486")</f>
        <v>1 - UR3486</v>
      </c>
      <c r="F2158" s="92" t="str">
        <f>IFERROR(__xludf.DUMMYFUNCTION("""COMPUTED_VALUE"""),"BOLSA DE OXIGÊNIO")</f>
        <v>BOLSA DE OXIGÊNIO</v>
      </c>
      <c r="G2158" s="89">
        <f>IFERROR(__xludf.DUMMYFUNCTION("""COMPUTED_VALUE"""),45533.0)</f>
        <v>45533</v>
      </c>
      <c r="H2158" s="87"/>
      <c r="I2158" s="87"/>
    </row>
    <row r="2159">
      <c r="A2159" s="84">
        <f>IFERROR(__xludf.DUMMYFUNCTION("""COMPUTED_VALUE"""),369.0)</f>
        <v>369</v>
      </c>
      <c r="B2159" s="85" t="str">
        <f>IFERROR(__xludf.DUMMYFUNCTION("""COMPUTED_VALUE"""),"KED AULTO")</f>
        <v>KED AULTO</v>
      </c>
      <c r="C2159" s="86">
        <f>IFERROR(__xludf.DUMMYFUNCTION("""COMPUTED_VALUE"""),1.0)</f>
        <v>1</v>
      </c>
      <c r="D2159" s="87" t="str">
        <f>IFERROR(__xludf.DUMMYFUNCTION("""COMPUTED_VALUE"""),"VIATURA")</f>
        <v>VIATURA</v>
      </c>
      <c r="E2159" s="87" t="str">
        <f>IFERROR(__xludf.DUMMYFUNCTION("""COMPUTED_VALUE"""),"1 - UR3486")</f>
        <v>1 - UR3486</v>
      </c>
      <c r="F2159" s="92" t="str">
        <f>IFERROR(__xludf.DUMMYFUNCTION("""COMPUTED_VALUE"""),"BANCO")</f>
        <v>BANCO</v>
      </c>
      <c r="G2159" s="89">
        <f>IFERROR(__xludf.DUMMYFUNCTION("""COMPUTED_VALUE"""),45533.0)</f>
        <v>45533</v>
      </c>
      <c r="H2159" s="87"/>
      <c r="I2159" s="87"/>
    </row>
    <row r="2160">
      <c r="A2160" s="84">
        <f>IFERROR(__xludf.DUMMYFUNCTION("""COMPUTED_VALUE"""),370.0)</f>
        <v>370</v>
      </c>
      <c r="B2160" s="85" t="str">
        <f>IFERROR(__xludf.DUMMYFUNCTION("""COMPUTED_VALUE"""),"KED INFANTIL")</f>
        <v>KED INFANTIL</v>
      </c>
      <c r="C2160" s="86">
        <f>IFERROR(__xludf.DUMMYFUNCTION("""COMPUTED_VALUE"""),1.0)</f>
        <v>1</v>
      </c>
      <c r="D2160" s="87" t="str">
        <f>IFERROR(__xludf.DUMMYFUNCTION("""COMPUTED_VALUE"""),"SEÇÃO")</f>
        <v>SEÇÃO</v>
      </c>
      <c r="E2160" s="87" t="str">
        <f>IFERROR(__xludf.DUMMYFUNCTION("""COMPUTED_VALUE"""),"3 - ALMOX. ESTOQUE")</f>
        <v>3 - ALMOX. ESTOQUE</v>
      </c>
      <c r="F2160" s="92" t="str">
        <f>IFERROR(__xludf.DUMMYFUNCTION("""COMPUTED_VALUE"""),"ALMOX. SAO (SEDE)")</f>
        <v>ALMOX. SAO (SEDE)</v>
      </c>
      <c r="G2160" s="89">
        <f>IFERROR(__xludf.DUMMYFUNCTION("""COMPUTED_VALUE"""),45533.0)</f>
        <v>45533</v>
      </c>
      <c r="H2160" s="87"/>
      <c r="I2160" s="87"/>
    </row>
    <row r="2161">
      <c r="A2161" s="84">
        <f>IFERROR(__xludf.DUMMYFUNCTION("""COMPUTED_VALUE"""),371.0)</f>
        <v>371</v>
      </c>
      <c r="B2161" s="85" t="str">
        <f>IFERROR(__xludf.DUMMYFUNCTION("""COMPUTED_VALUE"""),"TRACIONADOR DE FEMUR ADULTO")</f>
        <v>TRACIONADOR DE FEMUR ADULTO</v>
      </c>
      <c r="C2161" s="86">
        <f>IFERROR(__xludf.DUMMYFUNCTION("""COMPUTED_VALUE"""),1.0)</f>
        <v>1</v>
      </c>
      <c r="D2161" s="87" t="str">
        <f>IFERROR(__xludf.DUMMYFUNCTION("""COMPUTED_VALUE"""),"SEÇÃO")</f>
        <v>SEÇÃO</v>
      </c>
      <c r="E2161" s="87" t="str">
        <f>IFERROR(__xludf.DUMMYFUNCTION("""COMPUTED_VALUE"""),"3 - ALMOX. ESTOQUE")</f>
        <v>3 - ALMOX. ESTOQUE</v>
      </c>
      <c r="F2161" s="92" t="str">
        <f>IFERROR(__xludf.DUMMYFUNCTION("""COMPUTED_VALUE"""),"ALMOX. APH")</f>
        <v>ALMOX. APH</v>
      </c>
      <c r="G2161" s="89">
        <f>IFERROR(__xludf.DUMMYFUNCTION("""COMPUTED_VALUE"""),45533.0)</f>
        <v>45533</v>
      </c>
      <c r="H2161" s="87"/>
      <c r="I2161" s="87"/>
    </row>
    <row r="2162">
      <c r="A2162" s="84">
        <f>IFERROR(__xludf.DUMMYFUNCTION("""COMPUTED_VALUE"""),372.0)</f>
        <v>372</v>
      </c>
      <c r="B2162" s="85" t="str">
        <f>IFERROR(__xludf.DUMMYFUNCTION("""COMPUTED_VALUE"""),"CAIXA DE LUVAS DESCARTÁVEIS G")</f>
        <v>CAIXA DE LUVAS DESCARTÁVEIS G</v>
      </c>
      <c r="C2162" s="86">
        <f>IFERROR(__xludf.DUMMYFUNCTION("""COMPUTED_VALUE"""),109.0)</f>
        <v>109</v>
      </c>
      <c r="D2162" s="87" t="str">
        <f>IFERROR(__xludf.DUMMYFUNCTION("""COMPUTED_VALUE"""),"SEÇÃO")</f>
        <v>SEÇÃO</v>
      </c>
      <c r="E2162" s="87" t="str">
        <f>IFERROR(__xludf.DUMMYFUNCTION("""COMPUTED_VALUE"""),"3 - ALMOX. ESTOQUE")</f>
        <v>3 - ALMOX. ESTOQUE</v>
      </c>
      <c r="F2162" s="92" t="str">
        <f>IFERROR(__xludf.DUMMYFUNCTION("""COMPUTED_VALUE"""),"ALMOX. APH")</f>
        <v>ALMOX. APH</v>
      </c>
      <c r="G2162" s="89">
        <f>IFERROR(__xludf.DUMMYFUNCTION("""COMPUTED_VALUE"""),45778.0)</f>
        <v>45778</v>
      </c>
      <c r="H2162" s="87"/>
      <c r="I2162" s="87"/>
    </row>
    <row r="2163">
      <c r="A2163" s="84">
        <f>IFERROR(__xludf.DUMMYFUNCTION("""COMPUTED_VALUE"""),373.0)</f>
        <v>373</v>
      </c>
      <c r="B2163" s="85" t="str">
        <f>IFERROR(__xludf.DUMMYFUNCTION("""COMPUTED_VALUE"""),"CAIXA DE LUVAS DESCARTÁVEIS M")</f>
        <v>CAIXA DE LUVAS DESCARTÁVEIS M</v>
      </c>
      <c r="C2163" s="86">
        <f>IFERROR(__xludf.DUMMYFUNCTION("""COMPUTED_VALUE"""),63.0)</f>
        <v>63</v>
      </c>
      <c r="D2163" s="87" t="str">
        <f>IFERROR(__xludf.DUMMYFUNCTION("""COMPUTED_VALUE"""),"SEÇÃO")</f>
        <v>SEÇÃO</v>
      </c>
      <c r="E2163" s="87" t="str">
        <f>IFERROR(__xludf.DUMMYFUNCTION("""COMPUTED_VALUE"""),"3 - ALMOX. ESTOQUE")</f>
        <v>3 - ALMOX. ESTOQUE</v>
      </c>
      <c r="F2163" s="92" t="str">
        <f>IFERROR(__xludf.DUMMYFUNCTION("""COMPUTED_VALUE"""),"ALMOX. APH")</f>
        <v>ALMOX. APH</v>
      </c>
      <c r="G2163" s="89">
        <f>IFERROR(__xludf.DUMMYFUNCTION("""COMPUTED_VALUE"""),45778.0)</f>
        <v>45778</v>
      </c>
      <c r="H2163" s="87"/>
      <c r="I2163" s="87"/>
    </row>
    <row r="2164">
      <c r="A2164" s="84">
        <f>IFERROR(__xludf.DUMMYFUNCTION("""COMPUTED_VALUE"""),374.0)</f>
        <v>374</v>
      </c>
      <c r="B2164" s="85" t="str">
        <f>IFERROR(__xludf.DUMMYFUNCTION("""COMPUTED_VALUE"""),"CAIXA DE LUVAS DESCARTÁVEIS P")</f>
        <v>CAIXA DE LUVAS DESCARTÁVEIS P</v>
      </c>
      <c r="C2164" s="86">
        <f>IFERROR(__xludf.DUMMYFUNCTION("""COMPUTED_VALUE"""),17.0)</f>
        <v>17</v>
      </c>
      <c r="D2164" s="87" t="str">
        <f>IFERROR(__xludf.DUMMYFUNCTION("""COMPUTED_VALUE"""),"SEÇÃO")</f>
        <v>SEÇÃO</v>
      </c>
      <c r="E2164" s="87" t="str">
        <f>IFERROR(__xludf.DUMMYFUNCTION("""COMPUTED_VALUE"""),"3 - ALMOX. ESTOQUE")</f>
        <v>3 - ALMOX. ESTOQUE</v>
      </c>
      <c r="F2164" s="92" t="str">
        <f>IFERROR(__xludf.DUMMYFUNCTION("""COMPUTED_VALUE"""),"ALMOX. APH")</f>
        <v>ALMOX. APH</v>
      </c>
      <c r="G2164" s="89">
        <f>IFERROR(__xludf.DUMMYFUNCTION("""COMPUTED_VALUE"""),45778.0)</f>
        <v>45778</v>
      </c>
      <c r="H2164" s="87"/>
      <c r="I2164" s="87"/>
    </row>
    <row r="2165">
      <c r="A2165" s="84">
        <f>IFERROR(__xludf.DUMMYFUNCTION("""COMPUTED_VALUE"""),375.0)</f>
        <v>375</v>
      </c>
      <c r="B2165" s="85" t="str">
        <f>IFERROR(__xludf.DUMMYFUNCTION("""COMPUTED_VALUE"""),"CADEIRINHA BAUDRIER RAPEL - NÍVEL II")</f>
        <v>CADEIRINHA BAUDRIER RAPEL - NÍVEL II</v>
      </c>
      <c r="C2165" s="86">
        <f>IFERROR(__xludf.DUMMYFUNCTION("""COMPUTED_VALUE"""),1.0)</f>
        <v>1</v>
      </c>
      <c r="D2165" s="87" t="str">
        <f>IFERROR(__xludf.DUMMYFUNCTION("""COMPUTED_VALUE"""),"VIATURA")</f>
        <v>VIATURA</v>
      </c>
      <c r="E2165" s="87" t="str">
        <f>IFERROR(__xludf.DUMMYFUNCTION("""COMPUTED_VALUE"""),"1 - UR3486")</f>
        <v>1 - UR3486</v>
      </c>
      <c r="F2165" s="92" t="str">
        <f>IFERROR(__xludf.DUMMYFUNCTION("""COMPUTED_VALUE"""),"BANCO")</f>
        <v>BANCO</v>
      </c>
      <c r="G2165" s="89">
        <f>IFERROR(__xludf.DUMMYFUNCTION("""COMPUTED_VALUE"""),45533.0)</f>
        <v>45533</v>
      </c>
      <c r="H2165" s="87"/>
      <c r="I2165" s="87"/>
    </row>
    <row r="2166">
      <c r="A2166" s="84">
        <f>IFERROR(__xludf.DUMMYFUNCTION("""COMPUTED_VALUE"""),376.0)</f>
        <v>376</v>
      </c>
      <c r="B2166" s="85" t="str">
        <f>IFERROR(__xludf.DUMMYFUNCTION("""COMPUTED_VALUE"""),"MOSQUETÃO DE AÇO")</f>
        <v>MOSQUETÃO DE AÇO</v>
      </c>
      <c r="C2166" s="86">
        <f>IFERROR(__xludf.DUMMYFUNCTION("""COMPUTED_VALUE"""),4.0)</f>
        <v>4</v>
      </c>
      <c r="D2166" s="87" t="str">
        <f>IFERROR(__xludf.DUMMYFUNCTION("""COMPUTED_VALUE"""),"VIATURA")</f>
        <v>VIATURA</v>
      </c>
      <c r="E2166" s="87" t="str">
        <f>IFERROR(__xludf.DUMMYFUNCTION("""COMPUTED_VALUE"""),"1 - UR3486")</f>
        <v>1 - UR3486</v>
      </c>
      <c r="F2166" s="92" t="str">
        <f>IFERROR(__xludf.DUMMYFUNCTION("""COMPUTED_VALUE"""),"BANCO")</f>
        <v>BANCO</v>
      </c>
      <c r="G2166" s="89">
        <f>IFERROR(__xludf.DUMMYFUNCTION("""COMPUTED_VALUE"""),45533.0)</f>
        <v>45533</v>
      </c>
      <c r="H2166" s="87"/>
      <c r="I2166" s="87"/>
    </row>
    <row r="2167">
      <c r="A2167" s="84">
        <f>IFERROR(__xludf.DUMMYFUNCTION("""COMPUTED_VALUE"""),377.0)</f>
        <v>377</v>
      </c>
      <c r="B2167" s="85" t="str">
        <f>IFERROR(__xludf.DUMMYFUNCTION("""COMPUTED_VALUE"""),"MOSQUETÃO DE ALUMÍNIO")</f>
        <v>MOSQUETÃO DE ALUMÍNIO</v>
      </c>
      <c r="C2167" s="86">
        <f>IFERROR(__xludf.DUMMYFUNCTION("""COMPUTED_VALUE"""),1.0)</f>
        <v>1</v>
      </c>
      <c r="D2167" s="87" t="str">
        <f>IFERROR(__xludf.DUMMYFUNCTION("""COMPUTED_VALUE"""),"VIATURA")</f>
        <v>VIATURA</v>
      </c>
      <c r="E2167" s="87" t="str">
        <f>IFERROR(__xludf.DUMMYFUNCTION("""COMPUTED_VALUE"""),"1 - UR3486")</f>
        <v>1 - UR3486</v>
      </c>
      <c r="F2167" s="92" t="str">
        <f>IFERROR(__xludf.DUMMYFUNCTION("""COMPUTED_VALUE"""),"BANCO")</f>
        <v>BANCO</v>
      </c>
      <c r="G2167" s="89"/>
      <c r="H2167" s="87"/>
      <c r="I2167" s="87"/>
    </row>
    <row r="2168">
      <c r="A2168" s="84">
        <f>IFERROR(__xludf.DUMMYFUNCTION("""COMPUTED_VALUE"""),378.0)</f>
        <v>378</v>
      </c>
      <c r="B2168" s="85" t="str">
        <f>IFERROR(__xludf.DUMMYFUNCTION("""COMPUTED_VALUE"""),"POLIA SIMPLES PLACA FIXA")</f>
        <v>POLIA SIMPLES PLACA FIXA</v>
      </c>
      <c r="C2168" s="86">
        <f>IFERROR(__xludf.DUMMYFUNCTION("""COMPUTED_VALUE"""),2.0)</f>
        <v>2</v>
      </c>
      <c r="D2168" s="87" t="str">
        <f>IFERROR(__xludf.DUMMYFUNCTION("""COMPUTED_VALUE"""),"VIATURA")</f>
        <v>VIATURA</v>
      </c>
      <c r="E2168" s="87" t="str">
        <f>IFERROR(__xludf.DUMMYFUNCTION("""COMPUTED_VALUE"""),"1 - UR3486")</f>
        <v>1 - UR3486</v>
      </c>
      <c r="F2168" s="92" t="str">
        <f>IFERROR(__xludf.DUMMYFUNCTION("""COMPUTED_VALUE"""),"BANCO")</f>
        <v>BANCO</v>
      </c>
      <c r="G2168" s="89">
        <f>IFERROR(__xludf.DUMMYFUNCTION("""COMPUTED_VALUE"""),45533.0)</f>
        <v>45533</v>
      </c>
      <c r="H2168" s="87"/>
      <c r="I2168" s="87"/>
    </row>
    <row r="2169">
      <c r="A2169" s="84">
        <f>IFERROR(__xludf.DUMMYFUNCTION("""COMPUTED_VALUE"""),379.0)</f>
        <v>379</v>
      </c>
      <c r="B2169" s="85" t="str">
        <f>IFERROR(__xludf.DUMMYFUNCTION("""COMPUTED_VALUE"""),"FREIO OITO -")</f>
        <v>FREIO OITO -</v>
      </c>
      <c r="C2169" s="86">
        <f>IFERROR(__xludf.DUMMYFUNCTION("""COMPUTED_VALUE"""),1.0)</f>
        <v>1</v>
      </c>
      <c r="D2169" s="87" t="str">
        <f>IFERROR(__xludf.DUMMYFUNCTION("""COMPUTED_VALUE"""),"VIATURA")</f>
        <v>VIATURA</v>
      </c>
      <c r="E2169" s="87" t="str">
        <f>IFERROR(__xludf.DUMMYFUNCTION("""COMPUTED_VALUE"""),"1 - UR3486")</f>
        <v>1 - UR3486</v>
      </c>
      <c r="F2169" s="92" t="str">
        <f>IFERROR(__xludf.DUMMYFUNCTION("""COMPUTED_VALUE"""),"BANCO")</f>
        <v>BANCO</v>
      </c>
      <c r="G2169" s="89">
        <f>IFERROR(__xludf.DUMMYFUNCTION("""COMPUTED_VALUE"""),45533.0)</f>
        <v>45533</v>
      </c>
      <c r="H2169" s="87"/>
      <c r="I2169" s="87"/>
    </row>
    <row r="2170">
      <c r="A2170" s="84">
        <f>IFERROR(__xludf.DUMMYFUNCTION("""COMPUTED_VALUE"""),380.0)</f>
        <v>380</v>
      </c>
      <c r="B2170" s="85" t="str">
        <f>IFERROR(__xludf.DUMMYFUNCTION("""COMPUTED_VALUE"""),"CORDELETE")</f>
        <v>CORDELETE</v>
      </c>
      <c r="C2170" s="86">
        <f>IFERROR(__xludf.DUMMYFUNCTION("""COMPUTED_VALUE"""),2.0)</f>
        <v>2</v>
      </c>
      <c r="D2170" s="87" t="str">
        <f>IFERROR(__xludf.DUMMYFUNCTION("""COMPUTED_VALUE"""),"VIATURA")</f>
        <v>VIATURA</v>
      </c>
      <c r="E2170" s="87" t="str">
        <f>IFERROR(__xludf.DUMMYFUNCTION("""COMPUTED_VALUE"""),"1 - UR3486")</f>
        <v>1 - UR3486</v>
      </c>
      <c r="F2170" s="92" t="str">
        <f>IFERROR(__xludf.DUMMYFUNCTION("""COMPUTED_VALUE"""),"BANCO")</f>
        <v>BANCO</v>
      </c>
      <c r="G2170" s="89">
        <f>IFERROR(__xludf.DUMMYFUNCTION("""COMPUTED_VALUE"""),45533.0)</f>
        <v>45533</v>
      </c>
      <c r="H2170" s="87"/>
      <c r="I2170" s="87"/>
    </row>
    <row r="2171">
      <c r="A2171" s="84">
        <f>IFERROR(__xludf.DUMMYFUNCTION("""COMPUTED_VALUE"""),381.0)</f>
        <v>381</v>
      </c>
      <c r="B2171" s="85" t="str">
        <f>IFERROR(__xludf.DUMMYFUNCTION("""COMPUTED_VALUE"""),"CORDA PARA SALVAMENTO EM ALTURA - 30M")</f>
        <v>CORDA PARA SALVAMENTO EM ALTURA - 30M</v>
      </c>
      <c r="C2171" s="86">
        <f>IFERROR(__xludf.DUMMYFUNCTION("""COMPUTED_VALUE"""),1.0)</f>
        <v>1</v>
      </c>
      <c r="D2171" s="87" t="str">
        <f>IFERROR(__xludf.DUMMYFUNCTION("""COMPUTED_VALUE"""),"VIATURA")</f>
        <v>VIATURA</v>
      </c>
      <c r="E2171" s="87" t="str">
        <f>IFERROR(__xludf.DUMMYFUNCTION("""COMPUTED_VALUE"""),"1 - UR3486")</f>
        <v>1 - UR3486</v>
      </c>
      <c r="F2171" s="92" t="str">
        <f>IFERROR(__xludf.DUMMYFUNCTION("""COMPUTED_VALUE"""),"BANCO")</f>
        <v>BANCO</v>
      </c>
      <c r="G2171" s="89">
        <f>IFERROR(__xludf.DUMMYFUNCTION("""COMPUTED_VALUE"""),45533.0)</f>
        <v>45533</v>
      </c>
      <c r="H2171" s="87"/>
      <c r="I2171" s="87"/>
    </row>
    <row r="2172">
      <c r="A2172" s="84">
        <f>IFERROR(__xludf.DUMMYFUNCTION("""COMPUTED_VALUE"""),382.0)</f>
        <v>382</v>
      </c>
      <c r="B2172" s="85" t="str">
        <f>IFERROR(__xludf.DUMMYFUNCTION("""COMPUTED_VALUE"""),"CONE SINALEIRO")</f>
        <v>CONE SINALEIRO</v>
      </c>
      <c r="C2172" s="86">
        <f>IFERROR(__xludf.DUMMYFUNCTION("""COMPUTED_VALUE"""),4.0)</f>
        <v>4</v>
      </c>
      <c r="D2172" s="87" t="str">
        <f>IFERROR(__xludf.DUMMYFUNCTION("""COMPUTED_VALUE"""),"VIATURA")</f>
        <v>VIATURA</v>
      </c>
      <c r="E2172" s="87" t="str">
        <f>IFERROR(__xludf.DUMMYFUNCTION("""COMPUTED_VALUE"""),"1 - UR3486")</f>
        <v>1 - UR3486</v>
      </c>
      <c r="F2172" s="92" t="str">
        <f>IFERROR(__xludf.DUMMYFUNCTION("""COMPUTED_VALUE"""),"BANCO")</f>
        <v>BANCO</v>
      </c>
      <c r="G2172" s="89">
        <f>IFERROR(__xludf.DUMMYFUNCTION("""COMPUTED_VALUE"""),45533.0)</f>
        <v>45533</v>
      </c>
      <c r="H2172" s="87"/>
      <c r="I2172" s="87"/>
    </row>
    <row r="2173">
      <c r="A2173" s="84">
        <f>IFERROR(__xludf.DUMMYFUNCTION("""COMPUTED_VALUE"""),383.0)</f>
        <v>383</v>
      </c>
      <c r="B2173" s="85" t="str">
        <f>IFERROR(__xludf.DUMMYFUNCTION("""COMPUTED_VALUE"""),"PRANCHA LONGA")</f>
        <v>PRANCHA LONGA</v>
      </c>
      <c r="C2173" s="86">
        <f>IFERROR(__xludf.DUMMYFUNCTION("""COMPUTED_VALUE"""),2.0)</f>
        <v>2</v>
      </c>
      <c r="D2173" s="87" t="str">
        <f>IFERROR(__xludf.DUMMYFUNCTION("""COMPUTED_VALUE"""),"VIATURA")</f>
        <v>VIATURA</v>
      </c>
      <c r="E2173" s="87" t="str">
        <f>IFERROR(__xludf.DUMMYFUNCTION("""COMPUTED_VALUE"""),"1 - UR3486")</f>
        <v>1 - UR3486</v>
      </c>
      <c r="F2173" s="92" t="str">
        <f>IFERROR(__xludf.DUMMYFUNCTION("""COMPUTED_VALUE"""),"BANCO")</f>
        <v>BANCO</v>
      </c>
      <c r="G2173" s="89">
        <f>IFERROR(__xludf.DUMMYFUNCTION("""COMPUTED_VALUE"""),45533.0)</f>
        <v>45533</v>
      </c>
      <c r="H2173" s="87"/>
      <c r="I2173" s="87" t="str">
        <f>IFERROR(__xludf.DUMMYFUNCTION("""COMPUTED_VALUE"""),"COM ENCOSTO DE CABEÇA, TIRANTES DE CABEÇA, BACHAL E TIRANTE ARANHA")</f>
        <v>COM ENCOSTO DE CABEÇA, TIRANTES DE CABEÇA, BACHAL E TIRANTE ARANHA</v>
      </c>
    </row>
    <row r="2174">
      <c r="A2174" s="84">
        <f>IFERROR(__xludf.DUMMYFUNCTION("""COMPUTED_VALUE"""),384.0)</f>
        <v>384</v>
      </c>
      <c r="B2174" s="85" t="str">
        <f>IFERROR(__xludf.DUMMYFUNCTION("""COMPUTED_VALUE"""),"PRANCHA LONGA (ESTOQUE)")</f>
        <v>PRANCHA LONGA (ESTOQUE)</v>
      </c>
      <c r="C2174" s="86">
        <f>IFERROR(__xludf.DUMMYFUNCTION("""COMPUTED_VALUE"""),3.0)</f>
        <v>3</v>
      </c>
      <c r="D2174" s="87" t="str">
        <f>IFERROR(__xludf.DUMMYFUNCTION("""COMPUTED_VALUE"""),"VIATURA")</f>
        <v>VIATURA</v>
      </c>
      <c r="E2174" s="87" t="str">
        <f>IFERROR(__xludf.DUMMYFUNCTION("""COMPUTED_VALUE"""),"1 - UR3486")</f>
        <v>1 - UR3486</v>
      </c>
      <c r="F2174" s="92" t="str">
        <f>IFERROR(__xludf.DUMMYFUNCTION("""COMPUTED_VALUE"""),"SALA DE ASSEPSIA")</f>
        <v>SALA DE ASSEPSIA</v>
      </c>
      <c r="G2174" s="89">
        <f>IFERROR(__xludf.DUMMYFUNCTION("""COMPUTED_VALUE"""),45579.0)</f>
        <v>45579</v>
      </c>
      <c r="H2174" s="87"/>
      <c r="I2174" s="87" t="str">
        <f>IFERROR(__xludf.DUMMYFUNCTION("""COMPUTED_VALUE"""),"DE FIBRA (AMARELA)  ")</f>
        <v>DE FIBRA (AMARELA)  </v>
      </c>
    </row>
    <row r="2175">
      <c r="A2175" s="84">
        <f>IFERROR(__xludf.DUMMYFUNCTION("""COMPUTED_VALUE"""),385.0)</f>
        <v>385</v>
      </c>
      <c r="B2175" s="85" t="str">
        <f>IFERROR(__xludf.DUMMYFUNCTION("""COMPUTED_VALUE"""),"MACA ARTICULÁVEL ")</f>
        <v>MACA ARTICULÁVEL </v>
      </c>
      <c r="C2175" s="86">
        <f>IFERROR(__xludf.DUMMYFUNCTION("""COMPUTED_VALUE"""),1.0)</f>
        <v>1</v>
      </c>
      <c r="D2175" s="87" t="str">
        <f>IFERROR(__xludf.DUMMYFUNCTION("""COMPUTED_VALUE"""),"VIATURA")</f>
        <v>VIATURA</v>
      </c>
      <c r="E2175" s="87" t="str">
        <f>IFERROR(__xludf.DUMMYFUNCTION("""COMPUTED_VALUE"""),"1 - UR3486")</f>
        <v>1 - UR3486</v>
      </c>
      <c r="F2175" s="92" t="str">
        <f>IFERROR(__xludf.DUMMYFUNCTION("""COMPUTED_VALUE"""),"VIATURA")</f>
        <v>VIATURA</v>
      </c>
      <c r="G2175" s="89"/>
      <c r="H2175" s="87"/>
      <c r="I2175" s="87"/>
    </row>
    <row r="2176">
      <c r="A2176" s="84">
        <f>IFERROR(__xludf.DUMMYFUNCTION("""COMPUTED_VALUE"""),386.0)</f>
        <v>386</v>
      </c>
      <c r="B2176" s="85" t="str">
        <f>IFERROR(__xludf.DUMMYFUNCTION("""COMPUTED_VALUE"""),"CADEIRA ARTICULÁVEL")</f>
        <v>CADEIRA ARTICULÁVEL</v>
      </c>
      <c r="C2176" s="86">
        <f>IFERROR(__xludf.DUMMYFUNCTION("""COMPUTED_VALUE"""),1.0)</f>
        <v>1</v>
      </c>
      <c r="D2176" s="87" t="str">
        <f>IFERROR(__xludf.DUMMYFUNCTION("""COMPUTED_VALUE"""),"VIATURA")</f>
        <v>VIATURA</v>
      </c>
      <c r="E2176" s="87" t="str">
        <f>IFERROR(__xludf.DUMMYFUNCTION("""COMPUTED_VALUE"""),"1 - UR3486")</f>
        <v>1 - UR3486</v>
      </c>
      <c r="F2176" s="92" t="str">
        <f>IFERROR(__xludf.DUMMYFUNCTION("""COMPUTED_VALUE"""),"VIATURA")</f>
        <v>VIATURA</v>
      </c>
      <c r="G2176" s="89"/>
      <c r="H2176" s="87"/>
      <c r="I2176" s="87"/>
    </row>
    <row r="2177">
      <c r="A2177" s="84">
        <f>IFERROR(__xludf.DUMMYFUNCTION("""COMPUTED_VALUE"""),387.0)</f>
        <v>387</v>
      </c>
      <c r="B2177" s="85" t="str">
        <f>IFERROR(__xludf.DUMMYFUNCTION("""COMPUTED_VALUE"""),"TERMÔMETRO DIGITAL")</f>
        <v>TERMÔMETRO DIGITAL</v>
      </c>
      <c r="C2177" s="86">
        <f>IFERROR(__xludf.DUMMYFUNCTION("""COMPUTED_VALUE"""),2.0)</f>
        <v>2</v>
      </c>
      <c r="D2177" s="87" t="str">
        <f>IFERROR(__xludf.DUMMYFUNCTION("""COMPUTED_VALUE"""),"VIATURA")</f>
        <v>VIATURA</v>
      </c>
      <c r="E2177" s="87" t="str">
        <f>IFERROR(__xludf.DUMMYFUNCTION("""COMPUTED_VALUE"""),"1 - UR3486")</f>
        <v>1 - UR3486</v>
      </c>
      <c r="F2177" s="92" t="str">
        <f>IFERROR(__xludf.DUMMYFUNCTION("""COMPUTED_VALUE"""),"BOLSA DE RESGATE")</f>
        <v>BOLSA DE RESGATE</v>
      </c>
      <c r="G2177" s="89">
        <f>IFERROR(__xludf.DUMMYFUNCTION("""COMPUTED_VALUE"""),45533.0)</f>
        <v>45533</v>
      </c>
      <c r="H2177" s="87"/>
      <c r="I2177" s="87"/>
    </row>
    <row r="2178">
      <c r="A2178" s="84">
        <f>IFERROR(__xludf.DUMMYFUNCTION("""COMPUTED_VALUE"""),388.0)</f>
        <v>388</v>
      </c>
      <c r="B2178" s="85" t="str">
        <f>IFERROR(__xludf.DUMMYFUNCTION("""COMPUTED_VALUE"""),"OXÍMETRO")</f>
        <v>OXÍMETRO</v>
      </c>
      <c r="C2178" s="86">
        <f>IFERROR(__xludf.DUMMYFUNCTION("""COMPUTED_VALUE"""),1.0)</f>
        <v>1</v>
      </c>
      <c r="D2178" s="87" t="str">
        <f>IFERROR(__xludf.DUMMYFUNCTION("""COMPUTED_VALUE"""),"VIATURA")</f>
        <v>VIATURA</v>
      </c>
      <c r="E2178" s="87" t="str">
        <f>IFERROR(__xludf.DUMMYFUNCTION("""COMPUTED_VALUE"""),"1 - UR3486")</f>
        <v>1 - UR3486</v>
      </c>
      <c r="F2178" s="92" t="str">
        <f>IFERROR(__xludf.DUMMYFUNCTION("""COMPUTED_VALUE"""),"BOLSA DE RESGATE")</f>
        <v>BOLSA DE RESGATE</v>
      </c>
      <c r="G2178" s="89">
        <f>IFERROR(__xludf.DUMMYFUNCTION("""COMPUTED_VALUE"""),45533.0)</f>
        <v>45533</v>
      </c>
      <c r="H2178" s="87"/>
      <c r="I2178" s="87"/>
    </row>
    <row r="2179">
      <c r="A2179" s="84">
        <f>IFERROR(__xludf.DUMMYFUNCTION("""COMPUTED_VALUE"""),389.0)</f>
        <v>389</v>
      </c>
      <c r="B2179" s="85" t="str">
        <f>IFERROR(__xludf.DUMMYFUNCTION("""COMPUTED_VALUE"""),"OCULOS DE SEGURANCA -")</f>
        <v>OCULOS DE SEGURANCA -</v>
      </c>
      <c r="C2179" s="86">
        <f>IFERROR(__xludf.DUMMYFUNCTION("""COMPUTED_VALUE"""),3.0)</f>
        <v>3</v>
      </c>
      <c r="D2179" s="87" t="str">
        <f>IFERROR(__xludf.DUMMYFUNCTION("""COMPUTED_VALUE"""),"VIATURA")</f>
        <v>VIATURA</v>
      </c>
      <c r="E2179" s="87" t="str">
        <f>IFERROR(__xludf.DUMMYFUNCTION("""COMPUTED_VALUE"""),"1 - UR3486")</f>
        <v>1 - UR3486</v>
      </c>
      <c r="F2179" s="92" t="str">
        <f>IFERROR(__xludf.DUMMYFUNCTION("""COMPUTED_VALUE"""),"BOLSA DE RESGATE")</f>
        <v>BOLSA DE RESGATE</v>
      </c>
      <c r="G2179" s="89">
        <f>IFERROR(__xludf.DUMMYFUNCTION("""COMPUTED_VALUE"""),45533.0)</f>
        <v>45533</v>
      </c>
      <c r="H2179" s="87"/>
      <c r="I2179" s="87"/>
    </row>
    <row r="2180">
      <c r="A2180" s="84">
        <f>IFERROR(__xludf.DUMMYFUNCTION("""COMPUTED_VALUE"""),390.0)</f>
        <v>390</v>
      </c>
      <c r="B2180" s="85" t="str">
        <f>IFERROR(__xludf.DUMMYFUNCTION("""COMPUTED_VALUE"""),"CÂNULA DE GUEDEL")</f>
        <v>CÂNULA DE GUEDEL</v>
      </c>
      <c r="C2180" s="86">
        <f>IFERROR(__xludf.DUMMYFUNCTION("""COMPUTED_VALUE"""),12.0)</f>
        <v>12</v>
      </c>
      <c r="D2180" s="87" t="str">
        <f>IFERROR(__xludf.DUMMYFUNCTION("""COMPUTED_VALUE"""),"VIATURA")</f>
        <v>VIATURA</v>
      </c>
      <c r="E2180" s="87" t="str">
        <f>IFERROR(__xludf.DUMMYFUNCTION("""COMPUTED_VALUE"""),"1 - UR3486")</f>
        <v>1 - UR3486</v>
      </c>
      <c r="F2180" s="92" t="str">
        <f>IFERROR(__xludf.DUMMYFUNCTION("""COMPUTED_VALUE"""),"BOLSA DE RESGATE")</f>
        <v>BOLSA DE RESGATE</v>
      </c>
      <c r="G2180" s="89">
        <f>IFERROR(__xludf.DUMMYFUNCTION("""COMPUTED_VALUE"""),45533.0)</f>
        <v>45533</v>
      </c>
      <c r="H2180" s="87"/>
      <c r="I2180" s="87"/>
    </row>
    <row r="2181">
      <c r="A2181" s="84">
        <f>IFERROR(__xludf.DUMMYFUNCTION("""COMPUTED_VALUE"""),391.0)</f>
        <v>391</v>
      </c>
      <c r="B2181" s="85" t="str">
        <f>IFERROR(__xludf.DUMMYFUNCTION("""COMPUTED_VALUE"""),"TESOURA -")</f>
        <v>TESOURA -</v>
      </c>
      <c r="C2181" s="86">
        <f>IFERROR(__xludf.DUMMYFUNCTION("""COMPUTED_VALUE"""),1.0)</f>
        <v>1</v>
      </c>
      <c r="D2181" s="87" t="str">
        <f>IFERROR(__xludf.DUMMYFUNCTION("""COMPUTED_VALUE"""),"VIATURA")</f>
        <v>VIATURA</v>
      </c>
      <c r="E2181" s="87" t="str">
        <f>IFERROR(__xludf.DUMMYFUNCTION("""COMPUTED_VALUE"""),"1 - UR3486")</f>
        <v>1 - UR3486</v>
      </c>
      <c r="F2181" s="92" t="str">
        <f>IFERROR(__xludf.DUMMYFUNCTION("""COMPUTED_VALUE"""),"BOLSA DE RESGATE")</f>
        <v>BOLSA DE RESGATE</v>
      </c>
      <c r="G2181" s="89">
        <f>IFERROR(__xludf.DUMMYFUNCTION("""COMPUTED_VALUE"""),45533.0)</f>
        <v>45533</v>
      </c>
      <c r="H2181" s="87"/>
      <c r="I2181" s="87"/>
    </row>
    <row r="2182">
      <c r="A2182" s="84">
        <f>IFERROR(__xludf.DUMMYFUNCTION("""COMPUTED_VALUE"""),392.0)</f>
        <v>392</v>
      </c>
      <c r="B2182" s="85" t="str">
        <f>IFERROR(__xludf.DUMMYFUNCTION("""COMPUTED_VALUE"""),"PINÇA TIPO TESOURA")</f>
        <v>PINÇA TIPO TESOURA</v>
      </c>
      <c r="C2182" s="86">
        <f>IFERROR(__xludf.DUMMYFUNCTION("""COMPUTED_VALUE"""),1.0)</f>
        <v>1</v>
      </c>
      <c r="D2182" s="87" t="str">
        <f>IFERROR(__xludf.DUMMYFUNCTION("""COMPUTED_VALUE"""),"VIATURA")</f>
        <v>VIATURA</v>
      </c>
      <c r="E2182" s="87" t="str">
        <f>IFERROR(__xludf.DUMMYFUNCTION("""COMPUTED_VALUE"""),"1 - UR3486")</f>
        <v>1 - UR3486</v>
      </c>
      <c r="F2182" s="92" t="str">
        <f>IFERROR(__xludf.DUMMYFUNCTION("""COMPUTED_VALUE"""),"BOLSA DE RESGATE")</f>
        <v>BOLSA DE RESGATE</v>
      </c>
      <c r="G2182" s="89">
        <f>IFERROR(__xludf.DUMMYFUNCTION("""COMPUTED_VALUE"""),45533.0)</f>
        <v>45533</v>
      </c>
      <c r="H2182" s="87"/>
      <c r="I2182" s="87"/>
    </row>
    <row r="2183">
      <c r="A2183" s="84">
        <f>IFERROR(__xludf.DUMMYFUNCTION("""COMPUTED_VALUE"""),393.0)</f>
        <v>393</v>
      </c>
      <c r="B2183" s="85" t="str">
        <f>IFERROR(__xludf.DUMMYFUNCTION("""COMPUTED_VALUE"""),"PINÇA  ")</f>
        <v>PINÇA  </v>
      </c>
      <c r="C2183" s="86">
        <f>IFERROR(__xludf.DUMMYFUNCTION("""COMPUTED_VALUE"""),1.0)</f>
        <v>1</v>
      </c>
      <c r="D2183" s="87" t="str">
        <f>IFERROR(__xludf.DUMMYFUNCTION("""COMPUTED_VALUE"""),"VIATURA")</f>
        <v>VIATURA</v>
      </c>
      <c r="E2183" s="87" t="str">
        <f>IFERROR(__xludf.DUMMYFUNCTION("""COMPUTED_VALUE"""),"1 - UR3486")</f>
        <v>1 - UR3486</v>
      </c>
      <c r="F2183" s="92" t="str">
        <f>IFERROR(__xludf.DUMMYFUNCTION("""COMPUTED_VALUE"""),"BOLSA DE RESGATE")</f>
        <v>BOLSA DE RESGATE</v>
      </c>
      <c r="G2183" s="89">
        <f>IFERROR(__xludf.DUMMYFUNCTION("""COMPUTED_VALUE"""),45533.0)</f>
        <v>45533</v>
      </c>
      <c r="H2183" s="87"/>
      <c r="I2183" s="87"/>
    </row>
    <row r="2184">
      <c r="A2184" s="84">
        <f>IFERROR(__xludf.DUMMYFUNCTION("""COMPUTED_VALUE"""),394.0)</f>
        <v>394</v>
      </c>
      <c r="B2184" s="85" t="str">
        <f>IFERROR(__xludf.DUMMYFUNCTION("""COMPUTED_VALUE"""),"CORTADOR DE ANEL MANUAL")</f>
        <v>CORTADOR DE ANEL MANUAL</v>
      </c>
      <c r="C2184" s="86">
        <f>IFERROR(__xludf.DUMMYFUNCTION("""COMPUTED_VALUE"""),1.0)</f>
        <v>1</v>
      </c>
      <c r="D2184" s="87" t="str">
        <f>IFERROR(__xludf.DUMMYFUNCTION("""COMPUTED_VALUE"""),"VIATURA")</f>
        <v>VIATURA</v>
      </c>
      <c r="E2184" s="87" t="str">
        <f>IFERROR(__xludf.DUMMYFUNCTION("""COMPUTED_VALUE"""),"1 - UR3486")</f>
        <v>1 - UR3486</v>
      </c>
      <c r="F2184" s="92" t="str">
        <f>IFERROR(__xludf.DUMMYFUNCTION("""COMPUTED_VALUE"""),"BOLSA DE RESGATE")</f>
        <v>BOLSA DE RESGATE</v>
      </c>
      <c r="G2184" s="89"/>
      <c r="H2184" s="87"/>
      <c r="I2184" s="87"/>
    </row>
    <row r="2185">
      <c r="A2185" s="84">
        <f>IFERROR(__xludf.DUMMYFUNCTION("""COMPUTED_VALUE"""),395.0)</f>
        <v>395</v>
      </c>
      <c r="B2185" s="85" t="str">
        <f>IFERROR(__xludf.DUMMYFUNCTION("""COMPUTED_VALUE"""),"CANIVETE MULTIUSO")</f>
        <v>CANIVETE MULTIUSO</v>
      </c>
      <c r="C2185" s="86">
        <f>IFERROR(__xludf.DUMMYFUNCTION("""COMPUTED_VALUE"""),1.0)</f>
        <v>1</v>
      </c>
      <c r="D2185" s="87" t="str">
        <f>IFERROR(__xludf.DUMMYFUNCTION("""COMPUTED_VALUE"""),"VIATURA")</f>
        <v>VIATURA</v>
      </c>
      <c r="E2185" s="87" t="str">
        <f>IFERROR(__xludf.DUMMYFUNCTION("""COMPUTED_VALUE"""),"1 - UR3486")</f>
        <v>1 - UR3486</v>
      </c>
      <c r="F2185" s="92" t="str">
        <f>IFERROR(__xludf.DUMMYFUNCTION("""COMPUTED_VALUE"""),"BOLSA DE RESGATE")</f>
        <v>BOLSA DE RESGATE</v>
      </c>
      <c r="G2185" s="89">
        <f>IFERROR(__xludf.DUMMYFUNCTION("""COMPUTED_VALUE"""),45533.0)</f>
        <v>45533</v>
      </c>
      <c r="H2185" s="87"/>
      <c r="I2185" s="87"/>
    </row>
    <row r="2186">
      <c r="A2186" s="84">
        <f>IFERROR(__xludf.DUMMYFUNCTION("""COMPUTED_VALUE"""),396.0)</f>
        <v>396</v>
      </c>
      <c r="B2186" s="85" t="str">
        <f>IFERROR(__xludf.DUMMYFUNCTION("""COMPUTED_VALUE"""),"ABRIDOR DE MANDÍBULA")</f>
        <v>ABRIDOR DE MANDÍBULA</v>
      </c>
      <c r="C2186" s="86">
        <f>IFERROR(__xludf.DUMMYFUNCTION("""COMPUTED_VALUE"""),1.0)</f>
        <v>1</v>
      </c>
      <c r="D2186" s="87" t="str">
        <f>IFERROR(__xludf.DUMMYFUNCTION("""COMPUTED_VALUE"""),"VIATURA")</f>
        <v>VIATURA</v>
      </c>
      <c r="E2186" s="87" t="str">
        <f>IFERROR(__xludf.DUMMYFUNCTION("""COMPUTED_VALUE"""),"1 - UR3486")</f>
        <v>1 - UR3486</v>
      </c>
      <c r="F2186" s="92" t="str">
        <f>IFERROR(__xludf.DUMMYFUNCTION("""COMPUTED_VALUE"""),"BOLSA DE RESGATE")</f>
        <v>BOLSA DE RESGATE</v>
      </c>
      <c r="G2186" s="89">
        <f>IFERROR(__xludf.DUMMYFUNCTION("""COMPUTED_VALUE"""),45533.0)</f>
        <v>45533</v>
      </c>
      <c r="H2186" s="87"/>
      <c r="I2186" s="87"/>
    </row>
    <row r="2187">
      <c r="A2187" s="84">
        <f>IFERROR(__xludf.DUMMYFUNCTION("""COMPUTED_VALUE"""),397.0)</f>
        <v>397</v>
      </c>
      <c r="B2187" s="85" t="str">
        <f>IFERROR(__xludf.DUMMYFUNCTION("""COMPUTED_VALUE"""),"AMBÚ  ADULTO")</f>
        <v>AMBÚ  ADULTO</v>
      </c>
      <c r="C2187" s="86">
        <f>IFERROR(__xludf.DUMMYFUNCTION("""COMPUTED_VALUE"""),1.0)</f>
        <v>1</v>
      </c>
      <c r="D2187" s="87" t="str">
        <f>IFERROR(__xludf.DUMMYFUNCTION("""COMPUTED_VALUE"""),"VIATURA")</f>
        <v>VIATURA</v>
      </c>
      <c r="E2187" s="87" t="str">
        <f>IFERROR(__xludf.DUMMYFUNCTION("""COMPUTED_VALUE"""),"1 - UR3486")</f>
        <v>1 - UR3486</v>
      </c>
      <c r="F2187" s="92" t="str">
        <f>IFERROR(__xludf.DUMMYFUNCTION("""COMPUTED_VALUE"""),"BOLSA DE RESGATE")</f>
        <v>BOLSA DE RESGATE</v>
      </c>
      <c r="G2187" s="89">
        <f>IFERROR(__xludf.DUMMYFUNCTION("""COMPUTED_VALUE"""),45533.0)</f>
        <v>45533</v>
      </c>
      <c r="H2187" s="87"/>
      <c r="I2187" s="87"/>
    </row>
    <row r="2188">
      <c r="A2188" s="84">
        <f>IFERROR(__xludf.DUMMYFUNCTION("""COMPUTED_VALUE"""),398.0)</f>
        <v>398</v>
      </c>
      <c r="B2188" s="85" t="str">
        <f>IFERROR(__xludf.DUMMYFUNCTION("""COMPUTED_VALUE"""),"AMBÚ INFANTIL")</f>
        <v>AMBÚ INFANTIL</v>
      </c>
      <c r="C2188" s="86">
        <f>IFERROR(__xludf.DUMMYFUNCTION("""COMPUTED_VALUE"""),1.0)</f>
        <v>1</v>
      </c>
      <c r="D2188" s="87" t="str">
        <f>IFERROR(__xludf.DUMMYFUNCTION("""COMPUTED_VALUE"""),"VIATURA")</f>
        <v>VIATURA</v>
      </c>
      <c r="E2188" s="87" t="str">
        <f>IFERROR(__xludf.DUMMYFUNCTION("""COMPUTED_VALUE"""),"1 - UR3486")</f>
        <v>1 - UR3486</v>
      </c>
      <c r="F2188" s="92" t="str">
        <f>IFERROR(__xludf.DUMMYFUNCTION("""COMPUTED_VALUE"""),"BOLSA DE RESGATE")</f>
        <v>BOLSA DE RESGATE</v>
      </c>
      <c r="G2188" s="89">
        <f>IFERROR(__xludf.DUMMYFUNCTION("""COMPUTED_VALUE"""),45533.0)</f>
        <v>45533</v>
      </c>
      <c r="H2188" s="87"/>
      <c r="I2188" s="87"/>
    </row>
    <row r="2189">
      <c r="A2189" s="84">
        <f>IFERROR(__xludf.DUMMYFUNCTION("""COMPUTED_VALUE"""),399.0)</f>
        <v>399</v>
      </c>
      <c r="B2189" s="85" t="str">
        <f>IFERROR(__xludf.DUMMYFUNCTION("""COMPUTED_VALUE"""),"QUEBRA VIDRO")</f>
        <v>QUEBRA VIDRO</v>
      </c>
      <c r="C2189" s="86">
        <f>IFERROR(__xludf.DUMMYFUNCTION("""COMPUTED_VALUE"""),1.0)</f>
        <v>1</v>
      </c>
      <c r="D2189" s="87" t="str">
        <f>IFERROR(__xludf.DUMMYFUNCTION("""COMPUTED_VALUE"""),"VIATURA")</f>
        <v>VIATURA</v>
      </c>
      <c r="E2189" s="87" t="str">
        <f>IFERROR(__xludf.DUMMYFUNCTION("""COMPUTED_VALUE"""),"1 - UR3486")</f>
        <v>1 - UR3486</v>
      </c>
      <c r="F2189" s="92" t="str">
        <f>IFERROR(__xludf.DUMMYFUNCTION("""COMPUTED_VALUE"""),"BOLSA DE RESGATE")</f>
        <v>BOLSA DE RESGATE</v>
      </c>
      <c r="G2189" s="89">
        <f>IFERROR(__xludf.DUMMYFUNCTION("""COMPUTED_VALUE"""),45533.0)</f>
        <v>45533</v>
      </c>
      <c r="H2189" s="87"/>
      <c r="I2189" s="87"/>
    </row>
    <row r="2190">
      <c r="A2190" s="84">
        <f>IFERROR(__xludf.DUMMYFUNCTION("""COMPUTED_VALUE"""),400.0)</f>
        <v>400</v>
      </c>
      <c r="B2190" s="85" t="str">
        <f>IFERROR(__xludf.DUMMYFUNCTION("""COMPUTED_VALUE"""),"ASPIRADOR DE SECREÇÃO MANUAL TIPO PERA")</f>
        <v>ASPIRADOR DE SECREÇÃO MANUAL TIPO PERA</v>
      </c>
      <c r="C2190" s="86">
        <f>IFERROR(__xludf.DUMMYFUNCTION("""COMPUTED_VALUE"""),1.0)</f>
        <v>1</v>
      </c>
      <c r="D2190" s="87" t="str">
        <f>IFERROR(__xludf.DUMMYFUNCTION("""COMPUTED_VALUE"""),"VIATURA")</f>
        <v>VIATURA</v>
      </c>
      <c r="E2190" s="87" t="str">
        <f>IFERROR(__xludf.DUMMYFUNCTION("""COMPUTED_VALUE"""),"1 - UR3486")</f>
        <v>1 - UR3486</v>
      </c>
      <c r="F2190" s="92" t="str">
        <f>IFERROR(__xludf.DUMMYFUNCTION("""COMPUTED_VALUE"""),"BOLSA DE RESGATE")</f>
        <v>BOLSA DE RESGATE</v>
      </c>
      <c r="G2190" s="89">
        <f>IFERROR(__xludf.DUMMYFUNCTION("""COMPUTED_VALUE"""),45533.0)</f>
        <v>45533</v>
      </c>
      <c r="H2190" s="87"/>
      <c r="I2190" s="87"/>
    </row>
    <row r="2191">
      <c r="A2191" s="84">
        <f>IFERROR(__xludf.DUMMYFUNCTION("""COMPUTED_VALUE"""),401.0)</f>
        <v>401</v>
      </c>
      <c r="B2191" s="85" t="str">
        <f>IFERROR(__xludf.DUMMYFUNCTION("""COMPUTED_VALUE"""),"MASCARA PARA PCR - POCKET MASK")</f>
        <v>MASCARA PARA PCR - POCKET MASK</v>
      </c>
      <c r="C2191" s="86">
        <f>IFERROR(__xludf.DUMMYFUNCTION("""COMPUTED_VALUE"""),1.0)</f>
        <v>1</v>
      </c>
      <c r="D2191" s="87" t="str">
        <f>IFERROR(__xludf.DUMMYFUNCTION("""COMPUTED_VALUE"""),"VIATURA")</f>
        <v>VIATURA</v>
      </c>
      <c r="E2191" s="87" t="str">
        <f>IFERROR(__xludf.DUMMYFUNCTION("""COMPUTED_VALUE"""),"1 - UR3486")</f>
        <v>1 - UR3486</v>
      </c>
      <c r="F2191" s="92" t="str">
        <f>IFERROR(__xludf.DUMMYFUNCTION("""COMPUTED_VALUE"""),"BOLSA DE RESGATE")</f>
        <v>BOLSA DE RESGATE</v>
      </c>
      <c r="G2191" s="89">
        <f>IFERROR(__xludf.DUMMYFUNCTION("""COMPUTED_VALUE"""),45533.0)</f>
        <v>45533</v>
      </c>
      <c r="H2191" s="87"/>
      <c r="I2191" s="87"/>
    </row>
    <row r="2192">
      <c r="A2192" s="84">
        <f>IFERROR(__xludf.DUMMYFUNCTION("""COMPUTED_VALUE"""),402.0)</f>
        <v>402</v>
      </c>
      <c r="B2192" s="85" t="str">
        <f>IFERROR(__xludf.DUMMYFUNCTION("""COMPUTED_VALUE"""),"FLUTUADOR PARA SALVAMENTO AQUATICO -")</f>
        <v>FLUTUADOR PARA SALVAMENTO AQUATICO -</v>
      </c>
      <c r="C2192" s="86">
        <f>IFERROR(__xludf.DUMMYFUNCTION("""COMPUTED_VALUE"""),1.0)</f>
        <v>1</v>
      </c>
      <c r="D2192" s="87" t="str">
        <f>IFERROR(__xludf.DUMMYFUNCTION("""COMPUTED_VALUE"""),"SEÇÃO")</f>
        <v>SEÇÃO</v>
      </c>
      <c r="E2192" s="87" t="str">
        <f>IFERROR(__xludf.DUMMYFUNCTION("""COMPUTED_VALUE"""),"3 - ALMOX. ESTOQUE")</f>
        <v>3 - ALMOX. ESTOQUE</v>
      </c>
      <c r="F2192" s="92" t="str">
        <f>IFERROR(__xludf.DUMMYFUNCTION("""COMPUTED_VALUE"""),"ALMOX. SAO (SEDE)")</f>
        <v>ALMOX. SAO (SEDE)</v>
      </c>
      <c r="G2192" s="89">
        <f>IFERROR(__xludf.DUMMYFUNCTION("""COMPUTED_VALUE"""),45533.0)</f>
        <v>45533</v>
      </c>
      <c r="H2192" s="87"/>
      <c r="I2192" s="87"/>
    </row>
    <row r="2193">
      <c r="A2193" s="84">
        <f>IFERROR(__xludf.DUMMYFUNCTION("""COMPUTED_VALUE"""),403.0)</f>
        <v>403</v>
      </c>
      <c r="B2193" s="85" t="str">
        <f>IFERROR(__xludf.DUMMYFUNCTION("""COMPUTED_VALUE"""),"LUVA DE VAQUETA")</f>
        <v>LUVA DE VAQUETA</v>
      </c>
      <c r="C2193" s="86">
        <f>IFERROR(__xludf.DUMMYFUNCTION("""COMPUTED_VALUE"""),1.0)</f>
        <v>1</v>
      </c>
      <c r="D2193" s="87" t="str">
        <f>IFERROR(__xludf.DUMMYFUNCTION("""COMPUTED_VALUE"""),"VIATURA")</f>
        <v>VIATURA</v>
      </c>
      <c r="E2193" s="87" t="str">
        <f>IFERROR(__xludf.DUMMYFUNCTION("""COMPUTED_VALUE"""),"1 - UR3486")</f>
        <v>1 - UR3486</v>
      </c>
      <c r="F2193" s="92" t="str">
        <f>IFERROR(__xludf.DUMMYFUNCTION("""COMPUTED_VALUE"""),"BANCO")</f>
        <v>BANCO</v>
      </c>
      <c r="G2193" s="89">
        <f>IFERROR(__xludf.DUMMYFUNCTION("""COMPUTED_VALUE"""),45533.0)</f>
        <v>45533</v>
      </c>
      <c r="H2193" s="87"/>
      <c r="I2193" s="87" t="str">
        <f>IFERROR(__xludf.DUMMYFUNCTION("""COMPUTED_VALUE"""),"PAR")</f>
        <v>PAR</v>
      </c>
    </row>
    <row r="2194">
      <c r="A2194" s="84">
        <f>IFERROR(__xludf.DUMMYFUNCTION("""COMPUTED_VALUE"""),404.0)</f>
        <v>404</v>
      </c>
      <c r="B2194" s="85" t="str">
        <f>IFERROR(__xludf.DUMMYFUNCTION("""COMPUTED_VALUE"""),"CADEIRINHA BAUDRIER RAPEL - NÍVEL III")</f>
        <v>CADEIRINHA BAUDRIER RAPEL - NÍVEL III</v>
      </c>
      <c r="C2194" s="86">
        <f>IFERROR(__xludf.DUMMYFUNCTION("""COMPUTED_VALUE"""),1.0)</f>
        <v>1</v>
      </c>
      <c r="D2194" s="87" t="str">
        <f>IFERROR(__xludf.DUMMYFUNCTION("""COMPUTED_VALUE"""),"VIATURA")</f>
        <v>VIATURA</v>
      </c>
      <c r="E2194" s="87" t="str">
        <f>IFERROR(__xludf.DUMMYFUNCTION("""COMPUTED_VALUE"""),"1 - UR3486")</f>
        <v>1 - UR3486</v>
      </c>
      <c r="F2194" s="92" t="str">
        <f>IFERROR(__xludf.DUMMYFUNCTION("""COMPUTED_VALUE"""),"BANCO")</f>
        <v>BANCO</v>
      </c>
      <c r="G2194" s="89">
        <f>IFERROR(__xludf.DUMMYFUNCTION("""COMPUTED_VALUE"""),45533.0)</f>
        <v>45533</v>
      </c>
      <c r="H2194" s="87"/>
      <c r="I2194" s="87"/>
    </row>
    <row r="2195">
      <c r="A2195" s="84">
        <f>IFERROR(__xludf.DUMMYFUNCTION("""COMPUTED_VALUE"""),405.0)</f>
        <v>405</v>
      </c>
      <c r="B2195" s="85" t="str">
        <f>IFERROR(__xludf.DUMMYFUNCTION("""COMPUTED_VALUE"""),"TORNIQUETE")</f>
        <v>TORNIQUETE</v>
      </c>
      <c r="C2195" s="86">
        <f>IFERROR(__xludf.DUMMYFUNCTION("""COMPUTED_VALUE"""),1.0)</f>
        <v>1</v>
      </c>
      <c r="D2195" s="87" t="str">
        <f>IFERROR(__xludf.DUMMYFUNCTION("""COMPUTED_VALUE"""),"VIATURA")</f>
        <v>VIATURA</v>
      </c>
      <c r="E2195" s="87" t="str">
        <f>IFERROR(__xludf.DUMMYFUNCTION("""COMPUTED_VALUE"""),"1 - UR3486")</f>
        <v>1 - UR3486</v>
      </c>
      <c r="F2195" s="92" t="str">
        <f>IFERROR(__xludf.DUMMYFUNCTION("""COMPUTED_VALUE"""),"BOLSA DE RESGATE")</f>
        <v>BOLSA DE RESGATE</v>
      </c>
      <c r="G2195" s="89">
        <f>IFERROR(__xludf.DUMMYFUNCTION("""COMPUTED_VALUE"""),45533.0)</f>
        <v>45533</v>
      </c>
      <c r="H2195" s="87"/>
      <c r="I2195" s="87"/>
    </row>
    <row r="2196">
      <c r="A2196" s="84">
        <f>IFERROR(__xludf.DUMMYFUNCTION("""COMPUTED_VALUE"""),406.0)</f>
        <v>406</v>
      </c>
      <c r="B2196" s="85" t="str">
        <f>IFERROR(__xludf.DUMMYFUNCTION("""COMPUTED_VALUE"""),"LANTERNA DE PUPILA")</f>
        <v>LANTERNA DE PUPILA</v>
      </c>
      <c r="C2196" s="86">
        <f>IFERROR(__xludf.DUMMYFUNCTION("""COMPUTED_VALUE"""),3.0)</f>
        <v>3</v>
      </c>
      <c r="D2196" s="87" t="str">
        <f>IFERROR(__xludf.DUMMYFUNCTION("""COMPUTED_VALUE"""),"VIATURA")</f>
        <v>VIATURA</v>
      </c>
      <c r="E2196" s="87" t="str">
        <f>IFERROR(__xludf.DUMMYFUNCTION("""COMPUTED_VALUE"""),"1 - UR3486")</f>
        <v>1 - UR3486</v>
      </c>
      <c r="F2196" s="92" t="str">
        <f>IFERROR(__xludf.DUMMYFUNCTION("""COMPUTED_VALUE"""),"BOLSA DE RESGATE")</f>
        <v>BOLSA DE RESGATE</v>
      </c>
      <c r="G2196" s="89">
        <f>IFERROR(__xludf.DUMMYFUNCTION("""COMPUTED_VALUE"""),45533.0)</f>
        <v>45533</v>
      </c>
      <c r="H2196" s="87"/>
      <c r="I2196" s="87"/>
    </row>
    <row r="2197">
      <c r="A2197" s="84">
        <f>IFERROR(__xludf.DUMMYFUNCTION("""COMPUTED_VALUE"""),407.0)</f>
        <v>407</v>
      </c>
      <c r="B2197" s="85" t="str">
        <f>IFERROR(__xludf.DUMMYFUNCTION("""COMPUTED_VALUE"""),"TERMÔMETRO A LASER")</f>
        <v>TERMÔMETRO A LASER</v>
      </c>
      <c r="C2197" s="86">
        <f>IFERROR(__xludf.DUMMYFUNCTION("""COMPUTED_VALUE"""),1.0)</f>
        <v>1</v>
      </c>
      <c r="D2197" s="87" t="str">
        <f>IFERROR(__xludf.DUMMYFUNCTION("""COMPUTED_VALUE"""),"VIATURA")</f>
        <v>VIATURA</v>
      </c>
      <c r="E2197" s="87" t="str">
        <f>IFERROR(__xludf.DUMMYFUNCTION("""COMPUTED_VALUE"""),"1 - UR3486")</f>
        <v>1 - UR3486</v>
      </c>
      <c r="F2197" s="92" t="str">
        <f>IFERROR(__xludf.DUMMYFUNCTION("""COMPUTED_VALUE"""),"BOLSA DE RESGATE")</f>
        <v>BOLSA DE RESGATE</v>
      </c>
      <c r="G2197" s="89">
        <f>IFERROR(__xludf.DUMMYFUNCTION("""COMPUTED_VALUE"""),45533.0)</f>
        <v>45533</v>
      </c>
      <c r="H2197" s="87"/>
      <c r="I2197" s="87"/>
    </row>
    <row r="2198">
      <c r="A2198" s="84">
        <f>IFERROR(__xludf.DUMMYFUNCTION("""COMPUTED_VALUE"""),408.0)</f>
        <v>408</v>
      </c>
      <c r="B2198" s="85" t="str">
        <f>IFERROR(__xludf.DUMMYFUNCTION("""COMPUTED_VALUE"""),"IMOBILIZADOR DE NUCA E CABECA -")</f>
        <v>IMOBILIZADOR DE NUCA E CABECA -</v>
      </c>
      <c r="C2198" s="86">
        <f>IFERROR(__xludf.DUMMYFUNCTION("""COMPUTED_VALUE"""),1.0)</f>
        <v>1</v>
      </c>
      <c r="D2198" s="87" t="str">
        <f>IFERROR(__xludf.DUMMYFUNCTION("""COMPUTED_VALUE"""),"VIATURA")</f>
        <v>VIATURA</v>
      </c>
      <c r="E2198" s="87" t="str">
        <f>IFERROR(__xludf.DUMMYFUNCTION("""COMPUTED_VALUE"""),"1 - UR3486")</f>
        <v>1 - UR3486</v>
      </c>
      <c r="F2198" s="92" t="str">
        <f>IFERROR(__xludf.DUMMYFUNCTION("""COMPUTED_VALUE"""),"PRATELEIRAS E GAVETAS")</f>
        <v>PRATELEIRAS E GAVETAS</v>
      </c>
      <c r="G2198" s="89">
        <f>IFERROR(__xludf.DUMMYFUNCTION("""COMPUTED_VALUE"""),45533.0)</f>
        <v>45533</v>
      </c>
      <c r="H2198" s="87"/>
      <c r="I2198" s="87" t="str">
        <f>IFERROR(__xludf.DUMMYFUNCTION("""COMPUTED_VALUE"""),"IMOBILIZADOR RESERVA")</f>
        <v>IMOBILIZADOR RESERVA</v>
      </c>
    </row>
    <row r="2199">
      <c r="A2199" s="84">
        <f>IFERROR(__xludf.DUMMYFUNCTION("""COMPUTED_VALUE"""),409.0)</f>
        <v>409</v>
      </c>
      <c r="B2199" s="85" t="str">
        <f>IFERROR(__xludf.DUMMYFUNCTION("""COMPUTED_VALUE"""),"EXTENSÃO TOMADA INDÚSTRIAL ")</f>
        <v>EXTENSÃO TOMADA INDÚSTRIAL </v>
      </c>
      <c r="C2199" s="86">
        <f>IFERROR(__xludf.DUMMYFUNCTION("""COMPUTED_VALUE"""),1.0)</f>
        <v>1</v>
      </c>
      <c r="D2199" s="87" t="str">
        <f>IFERROR(__xludf.DUMMYFUNCTION("""COMPUTED_VALUE"""),"SEÇÃO")</f>
        <v>SEÇÃO</v>
      </c>
      <c r="E2199" s="87" t="str">
        <f>IFERROR(__xludf.DUMMYFUNCTION("""COMPUTED_VALUE"""),"3 - ALMOX. ESTOQUE")</f>
        <v>3 - ALMOX. ESTOQUE</v>
      </c>
      <c r="F2199" s="92" t="str">
        <f>IFERROR(__xludf.DUMMYFUNCTION("""COMPUTED_VALUE"""),"ALMOX. SAO (SEDE)")</f>
        <v>ALMOX. SAO (SEDE)</v>
      </c>
      <c r="G2199" s="89">
        <f>IFERROR(__xludf.DUMMYFUNCTION("""COMPUTED_VALUE"""),45533.0)</f>
        <v>45533</v>
      </c>
      <c r="H2199" s="87"/>
      <c r="I2199" s="87"/>
    </row>
    <row r="2200">
      <c r="A2200" s="84">
        <f>IFERROR(__xludf.DUMMYFUNCTION("""COMPUTED_VALUE"""),410.0)</f>
        <v>410</v>
      </c>
      <c r="B2200" s="85" t="str">
        <f>IFERROR(__xludf.DUMMYFUNCTION("""COMPUTED_VALUE"""),"ALMOTOLIA DE PLÁSTICO")</f>
        <v>ALMOTOLIA DE PLÁSTICO</v>
      </c>
      <c r="C2200" s="86">
        <f>IFERROR(__xludf.DUMMYFUNCTION("""COMPUTED_VALUE"""),2.0)</f>
        <v>2</v>
      </c>
      <c r="D2200" s="87" t="str">
        <f>IFERROR(__xludf.DUMMYFUNCTION("""COMPUTED_VALUE"""),"VIATURA")</f>
        <v>VIATURA</v>
      </c>
      <c r="E2200" s="87" t="str">
        <f>IFERROR(__xludf.DUMMYFUNCTION("""COMPUTED_VALUE"""),"1 - UR3486")</f>
        <v>1 - UR3486</v>
      </c>
      <c r="F2200" s="92" t="str">
        <f>IFERROR(__xludf.DUMMYFUNCTION("""COMPUTED_VALUE"""),"VIATURA")</f>
        <v>VIATURA</v>
      </c>
      <c r="G2200" s="89">
        <f>IFERROR(__xludf.DUMMYFUNCTION("""COMPUTED_VALUE"""),45533.0)</f>
        <v>45533</v>
      </c>
      <c r="H2200" s="87"/>
      <c r="I2200" s="87"/>
    </row>
    <row r="2201">
      <c r="A2201" s="84">
        <f>IFERROR(__xludf.DUMMYFUNCTION("""COMPUTED_VALUE"""),411.0)</f>
        <v>411</v>
      </c>
      <c r="B2201" s="85" t="str">
        <f>IFERROR(__xludf.DUMMYFUNCTION("""COMPUTED_VALUE"""),"KIT OBRIGATÓRIO VEÍCULAR")</f>
        <v>KIT OBRIGATÓRIO VEÍCULAR</v>
      </c>
      <c r="C2201" s="86">
        <f>IFERROR(__xludf.DUMMYFUNCTION("""COMPUTED_VALUE"""),1.0)</f>
        <v>1</v>
      </c>
      <c r="D2201" s="87" t="str">
        <f>IFERROR(__xludf.DUMMYFUNCTION("""COMPUTED_VALUE"""),"VIATURA")</f>
        <v>VIATURA</v>
      </c>
      <c r="E2201" s="87" t="str">
        <f>IFERROR(__xludf.DUMMYFUNCTION("""COMPUTED_VALUE"""),"1 - UR3486")</f>
        <v>1 - UR3486</v>
      </c>
      <c r="F2201" s="92" t="str">
        <f>IFERROR(__xludf.DUMMYFUNCTION("""COMPUTED_VALUE"""),"VIATURA")</f>
        <v>VIATURA</v>
      </c>
      <c r="G2201" s="89">
        <f>IFERROR(__xludf.DUMMYFUNCTION("""COMPUTED_VALUE"""),45533.0)</f>
        <v>45533</v>
      </c>
      <c r="H2201" s="87"/>
      <c r="I2201" s="87" t="str">
        <f>IFERROR(__xludf.DUMMYFUNCTION("""COMPUTED_VALUE"""),"01- CHAVE DE RODA, 01 MACACO, 01 TRIÂNGULO")</f>
        <v>01- CHAVE DE RODA, 01 MACACO, 01 TRIÂNGULO</v>
      </c>
    </row>
    <row r="2202">
      <c r="A2202" s="84">
        <f>IFERROR(__xludf.DUMMYFUNCTION("""COMPUTED_VALUE"""),412.0)</f>
        <v>412</v>
      </c>
      <c r="B2202" s="85" t="str">
        <f>IFERROR(__xludf.DUMMYFUNCTION("""COMPUTED_VALUE"""),"CINTA PARA ESTABILIZAÇÃO PÉLVICA")</f>
        <v>CINTA PARA ESTABILIZAÇÃO PÉLVICA</v>
      </c>
      <c r="C2202" s="86">
        <f>IFERROR(__xludf.DUMMYFUNCTION("""COMPUTED_VALUE"""),1.0)</f>
        <v>1</v>
      </c>
      <c r="D2202" s="87" t="str">
        <f>IFERROR(__xludf.DUMMYFUNCTION("""COMPUTED_VALUE"""),"VIATURA")</f>
        <v>VIATURA</v>
      </c>
      <c r="E2202" s="87" t="str">
        <f>IFERROR(__xludf.DUMMYFUNCTION("""COMPUTED_VALUE"""),"1 - UR3486")</f>
        <v>1 - UR3486</v>
      </c>
      <c r="F2202" s="92" t="str">
        <f>IFERROR(__xludf.DUMMYFUNCTION("""COMPUTED_VALUE"""),"PRATELEIRAS E GAVETAS")</f>
        <v>PRATELEIRAS E GAVETAS</v>
      </c>
      <c r="G2202" s="89">
        <f>IFERROR(__xludf.DUMMYFUNCTION("""COMPUTED_VALUE"""),46062.0)</f>
        <v>46062</v>
      </c>
      <c r="H2202" s="87"/>
      <c r="I2202" s="87"/>
    </row>
    <row r="2203">
      <c r="A2203" s="84">
        <f>IFERROR(__xludf.DUMMYFUNCTION("""COMPUTED_VALUE"""),413.0)</f>
        <v>413</v>
      </c>
      <c r="B2203" s="85" t="str">
        <f>IFERROR(__xludf.DUMMYFUNCTION("""COMPUTED_VALUE"""),"CINTO SEGURANÇA - TIPO: PARAQUEDISTA C/ MOSQUETÃO")</f>
        <v>CINTO SEGURANÇA - TIPO: PARAQUEDISTA C/ MOSQUETÃO</v>
      </c>
      <c r="C2203" s="86">
        <f>IFERROR(__xludf.DUMMYFUNCTION("""COMPUTED_VALUE"""),1.0)</f>
        <v>1</v>
      </c>
      <c r="D2203" s="87" t="str">
        <f>IFERROR(__xludf.DUMMYFUNCTION("""COMPUTED_VALUE"""),"MILITAR")</f>
        <v>MILITAR</v>
      </c>
      <c r="E2203" s="87" t="str">
        <f>IFERROR(__xludf.DUMMYFUNCTION("""COMPUTED_VALUE"""),"2 - 2º TEN RODRIGO ALVES TEIXEIRA")</f>
        <v>2 - 2º TEN RODRIGO ALVES TEIXEIRA</v>
      </c>
      <c r="F2203" s="92"/>
      <c r="G2203" s="89">
        <f>IFERROR(__xludf.DUMMYFUNCTION("""COMPUTED_VALUE"""),45259.0)</f>
        <v>45259</v>
      </c>
      <c r="H2203" s="87"/>
      <c r="I2203" s="87" t="str">
        <f>IFERROR(__xludf.DUMMYFUNCTION("""COMPUTED_VALUE"""),"(CONSUMO CONTROLADO) MARCA TASK")</f>
        <v>(CONSUMO CONTROLADO) MARCA TASK</v>
      </c>
    </row>
    <row r="2204">
      <c r="A2204" s="84">
        <f>IFERROR(__xludf.DUMMYFUNCTION("""COMPUTED_VALUE"""),414.0)</f>
        <v>414</v>
      </c>
      <c r="B2204" s="85" t="str">
        <f>IFERROR(__xludf.DUMMYFUNCTION("""COMPUTED_VALUE"""),"ANEL DE FITA 80CM")</f>
        <v>ANEL DE FITA 80CM</v>
      </c>
      <c r="C2204" s="86">
        <f>IFERROR(__xludf.DUMMYFUNCTION("""COMPUTED_VALUE"""),1.0)</f>
        <v>1</v>
      </c>
      <c r="D2204" s="87" t="str">
        <f>IFERROR(__xludf.DUMMYFUNCTION("""COMPUTED_VALUE"""),"MILITAR")</f>
        <v>MILITAR</v>
      </c>
      <c r="E2204" s="87" t="str">
        <f>IFERROR(__xludf.DUMMYFUNCTION("""COMPUTED_VALUE"""),"2 - 2º TEN RODRIGO ALVES TEIXEIRA")</f>
        <v>2 - 2º TEN RODRIGO ALVES TEIXEIRA</v>
      </c>
      <c r="F2204" s="92"/>
      <c r="G2204" s="89">
        <f>IFERROR(__xludf.DUMMYFUNCTION("""COMPUTED_VALUE"""),45259.0)</f>
        <v>45259</v>
      </c>
      <c r="H2204" s="87"/>
      <c r="I2204" s="87" t="str">
        <f>IFERROR(__xludf.DUMMYFUNCTION("""COMPUTED_VALUE"""),"(CONSUMO CONTROLADO)")</f>
        <v>(CONSUMO CONTROLADO)</v>
      </c>
    </row>
    <row r="2205">
      <c r="A2205" s="84">
        <f>IFERROR(__xludf.DUMMYFUNCTION("""COMPUTED_VALUE"""),415.0)</f>
        <v>415</v>
      </c>
      <c r="B2205" s="85" t="str">
        <f>IFERROR(__xludf.DUMMYFUNCTION("""COMPUTED_VALUE"""),"ANEL DE FITA 60CM")</f>
        <v>ANEL DE FITA 60CM</v>
      </c>
      <c r="C2205" s="86">
        <f>IFERROR(__xludf.DUMMYFUNCTION("""COMPUTED_VALUE"""),1.0)</f>
        <v>1</v>
      </c>
      <c r="D2205" s="87" t="str">
        <f>IFERROR(__xludf.DUMMYFUNCTION("""COMPUTED_VALUE"""),"MILITAR")</f>
        <v>MILITAR</v>
      </c>
      <c r="E2205" s="87" t="str">
        <f>IFERROR(__xludf.DUMMYFUNCTION("""COMPUTED_VALUE"""),"2 - 2º TEN RODRIGO ALVES TEIXEIRA")</f>
        <v>2 - 2º TEN RODRIGO ALVES TEIXEIRA</v>
      </c>
      <c r="F2205" s="92"/>
      <c r="G2205" s="89">
        <f>IFERROR(__xludf.DUMMYFUNCTION("""COMPUTED_VALUE"""),45259.0)</f>
        <v>45259</v>
      </c>
      <c r="H2205" s="87"/>
      <c r="I2205" s="87" t="str">
        <f>IFERROR(__xludf.DUMMYFUNCTION("""COMPUTED_VALUE"""),"(CONSUMO CONTROLADO)")</f>
        <v>(CONSUMO CONTROLADO)</v>
      </c>
    </row>
    <row r="2206">
      <c r="A2206" s="84">
        <f>IFERROR(__xludf.DUMMYFUNCTION("""COMPUTED_VALUE"""),416.0)</f>
        <v>416</v>
      </c>
      <c r="B2206" s="85" t="str">
        <f>IFERROR(__xludf.DUMMYFUNCTION("""COMPUTED_VALUE"""),"ANEL DE FITA 120 CM")</f>
        <v>ANEL DE FITA 120 CM</v>
      </c>
      <c r="C2206" s="86">
        <f>IFERROR(__xludf.DUMMYFUNCTION("""COMPUTED_VALUE"""),1.0)</f>
        <v>1</v>
      </c>
      <c r="D2206" s="87" t="str">
        <f>IFERROR(__xludf.DUMMYFUNCTION("""COMPUTED_VALUE"""),"MILITAR")</f>
        <v>MILITAR</v>
      </c>
      <c r="E2206" s="87" t="str">
        <f>IFERROR(__xludf.DUMMYFUNCTION("""COMPUTED_VALUE"""),"2 - 2º TEN RODRIGO ALVES TEIXEIRA")</f>
        <v>2 - 2º TEN RODRIGO ALVES TEIXEIRA</v>
      </c>
      <c r="F2206" s="92"/>
      <c r="G2206" s="89">
        <f>IFERROR(__xludf.DUMMYFUNCTION("""COMPUTED_VALUE"""),45259.0)</f>
        <v>45259</v>
      </c>
      <c r="H2206" s="87"/>
      <c r="I2206" s="87" t="str">
        <f>IFERROR(__xludf.DUMMYFUNCTION("""COMPUTED_VALUE"""),"(CONSUMO CONTROLADO)")</f>
        <v>(CONSUMO CONTROLADO)</v>
      </c>
    </row>
    <row r="2207">
      <c r="A2207" s="84">
        <f>IFERROR(__xludf.DUMMYFUNCTION("""COMPUTED_VALUE"""),417.0)</f>
        <v>417</v>
      </c>
      <c r="B2207" s="85" t="str">
        <f>IFERROR(__xludf.DUMMYFUNCTION("""COMPUTED_VALUE"""),"MASCARAS PARA MERGULHADORES -")</f>
        <v>MASCARAS PARA MERGULHADORES -</v>
      </c>
      <c r="C2207" s="86">
        <f>IFERROR(__xludf.DUMMYFUNCTION("""COMPUTED_VALUE"""),1.0)</f>
        <v>1</v>
      </c>
      <c r="D2207" s="87" t="str">
        <f>IFERROR(__xludf.DUMMYFUNCTION("""COMPUTED_VALUE"""),"MILITAR")</f>
        <v>MILITAR</v>
      </c>
      <c r="E2207" s="87" t="str">
        <f>IFERROR(__xludf.DUMMYFUNCTION("""COMPUTED_VALUE"""),"2 - 3º SGT JORGE ANDRÉ RUAS DE OLIVEIRA")</f>
        <v>2 - 3º SGT JORGE ANDRÉ RUAS DE OLIVEIRA</v>
      </c>
      <c r="F2207" s="92"/>
      <c r="G2207" s="89"/>
      <c r="H2207" s="87"/>
      <c r="I2207" s="87" t="str">
        <f>IFERROR(__xludf.DUMMYFUNCTION("""COMPUTED_VALUE"""),"(CONSUMO CONTROLADO)")</f>
        <v>(CONSUMO CONTROLADO)</v>
      </c>
    </row>
    <row r="2208">
      <c r="A2208" s="84">
        <f>IFERROR(__xludf.DUMMYFUNCTION("""COMPUTED_VALUE"""),418.0)</f>
        <v>418</v>
      </c>
      <c r="B2208" s="85" t="str">
        <f>IFERROR(__xludf.DUMMYFUNCTION("""COMPUTED_VALUE"""),"SNORKEL BOCAL, PARA MERGULHADOR -")</f>
        <v>SNORKEL BOCAL, PARA MERGULHADOR -</v>
      </c>
      <c r="C2208" s="86">
        <f>IFERROR(__xludf.DUMMYFUNCTION("""COMPUTED_VALUE"""),1.0)</f>
        <v>1</v>
      </c>
      <c r="D2208" s="87" t="str">
        <f>IFERROR(__xludf.DUMMYFUNCTION("""COMPUTED_VALUE"""),"MILITAR")</f>
        <v>MILITAR</v>
      </c>
      <c r="E2208" s="87" t="str">
        <f>IFERROR(__xludf.DUMMYFUNCTION("""COMPUTED_VALUE"""),"2 - 3º SGT JORGE ANDRÉ RUAS DE OLIVEIRA")</f>
        <v>2 - 3º SGT JORGE ANDRÉ RUAS DE OLIVEIRA</v>
      </c>
      <c r="F2208" s="92"/>
      <c r="G2208" s="89"/>
      <c r="H2208" s="87"/>
      <c r="I2208" s="87" t="str">
        <f>IFERROR(__xludf.DUMMYFUNCTION("""COMPUTED_VALUE"""),"(CONSUMO CONTROLADO)")</f>
        <v>(CONSUMO CONTROLADO)</v>
      </c>
    </row>
    <row r="2209">
      <c r="A2209" s="84">
        <f>IFERROR(__xludf.DUMMYFUNCTION("""COMPUTED_VALUE"""),419.0)</f>
        <v>419</v>
      </c>
      <c r="B2209" s="85" t="str">
        <f>IFERROR(__xludf.DUMMYFUNCTION("""COMPUTED_VALUE"""),"NADADEIRA PARA MERGULHO E SALVAMENTO FECHADA - (PAR)")</f>
        <v>NADADEIRA PARA MERGULHO E SALVAMENTO FECHADA - (PAR)</v>
      </c>
      <c r="C2209" s="86">
        <f>IFERROR(__xludf.DUMMYFUNCTION("""COMPUTED_VALUE"""),1.0)</f>
        <v>1</v>
      </c>
      <c r="D2209" s="87" t="str">
        <f>IFERROR(__xludf.DUMMYFUNCTION("""COMPUTED_VALUE"""),"MILITAR")</f>
        <v>MILITAR</v>
      </c>
      <c r="E2209" s="87" t="str">
        <f>IFERROR(__xludf.DUMMYFUNCTION("""COMPUTED_VALUE"""),"2 - 3º SGT JORGE ANDRÉ RUAS DE OLIVEIRA")</f>
        <v>2 - 3º SGT JORGE ANDRÉ RUAS DE OLIVEIRA</v>
      </c>
      <c r="F2209" s="92"/>
      <c r="G2209" s="89"/>
      <c r="H2209" s="87"/>
      <c r="I2209" s="87" t="str">
        <f>IFERROR(__xludf.DUMMYFUNCTION("""COMPUTED_VALUE"""),"(CONSUMO CONTROLADO)")</f>
        <v>(CONSUMO CONTROLADO)</v>
      </c>
    </row>
    <row r="2210">
      <c r="A2210" s="84">
        <f>IFERROR(__xludf.DUMMYFUNCTION("""COMPUTED_VALUE"""),420.0)</f>
        <v>420</v>
      </c>
      <c r="B2210" s="85" t="str">
        <f>IFERROR(__xludf.DUMMYFUNCTION("""COMPUTED_VALUE"""),"MASCARAS PARA MERGULHADORES -")</f>
        <v>MASCARAS PARA MERGULHADORES -</v>
      </c>
      <c r="C2210" s="86">
        <f>IFERROR(__xludf.DUMMYFUNCTION("""COMPUTED_VALUE"""),1.0)</f>
        <v>1</v>
      </c>
      <c r="D2210" s="87" t="str">
        <f>IFERROR(__xludf.DUMMYFUNCTION("""COMPUTED_VALUE"""),"MILITAR")</f>
        <v>MILITAR</v>
      </c>
      <c r="E2210" s="87" t="str">
        <f>IFERROR(__xludf.DUMMYFUNCTION("""COMPUTED_VALUE"""),"2 - CB ALEX COSTA MACHADO")</f>
        <v>2 - CB ALEX COSTA MACHADO</v>
      </c>
      <c r="F2210" s="92"/>
      <c r="G2210" s="89"/>
      <c r="H2210" s="87"/>
      <c r="I2210" s="87" t="str">
        <f>IFERROR(__xludf.DUMMYFUNCTION("""COMPUTED_VALUE"""),"(CONSUMO CONTROLADO)")</f>
        <v>(CONSUMO CONTROLADO)</v>
      </c>
    </row>
    <row r="2211">
      <c r="A2211" s="84">
        <f>IFERROR(__xludf.DUMMYFUNCTION("""COMPUTED_VALUE"""),421.0)</f>
        <v>421</v>
      </c>
      <c r="B2211" s="85" t="str">
        <f>IFERROR(__xludf.DUMMYFUNCTION("""COMPUTED_VALUE"""),"SNORKEL BOCAL, PARA MERGULHADOR -")</f>
        <v>SNORKEL BOCAL, PARA MERGULHADOR -</v>
      </c>
      <c r="C2211" s="86">
        <f>IFERROR(__xludf.DUMMYFUNCTION("""COMPUTED_VALUE"""),1.0)</f>
        <v>1</v>
      </c>
      <c r="D2211" s="87" t="str">
        <f>IFERROR(__xludf.DUMMYFUNCTION("""COMPUTED_VALUE"""),"MILITAR")</f>
        <v>MILITAR</v>
      </c>
      <c r="E2211" s="87" t="str">
        <f>IFERROR(__xludf.DUMMYFUNCTION("""COMPUTED_VALUE"""),"2 - CB ALEX COSTA MACHADO")</f>
        <v>2 - CB ALEX COSTA MACHADO</v>
      </c>
      <c r="F2211" s="92"/>
      <c r="G2211" s="89"/>
      <c r="H2211" s="87"/>
      <c r="I2211" s="87" t="str">
        <f>IFERROR(__xludf.DUMMYFUNCTION("""COMPUTED_VALUE"""),"(CONSUMO CONTROLADO)")</f>
        <v>(CONSUMO CONTROLADO)</v>
      </c>
    </row>
    <row r="2212">
      <c r="A2212" s="84">
        <f>IFERROR(__xludf.DUMMYFUNCTION("""COMPUTED_VALUE"""),422.0)</f>
        <v>422</v>
      </c>
      <c r="B2212" s="85" t="str">
        <f>IFERROR(__xludf.DUMMYFUNCTION("""COMPUTED_VALUE"""),"NADADEIRA PARA MERGULHO E SALVAMENTO FECHADA - (PAR)")</f>
        <v>NADADEIRA PARA MERGULHO E SALVAMENTO FECHADA - (PAR)</v>
      </c>
      <c r="C2212" s="86">
        <f>IFERROR(__xludf.DUMMYFUNCTION("""COMPUTED_VALUE"""),1.0)</f>
        <v>1</v>
      </c>
      <c r="D2212" s="87" t="str">
        <f>IFERROR(__xludf.DUMMYFUNCTION("""COMPUTED_VALUE"""),"MILITAR")</f>
        <v>MILITAR</v>
      </c>
      <c r="E2212" s="87" t="str">
        <f>IFERROR(__xludf.DUMMYFUNCTION("""COMPUTED_VALUE"""),"2 - CB ALEX COSTA MACHADO")</f>
        <v>2 - CB ALEX COSTA MACHADO</v>
      </c>
      <c r="F2212" s="92"/>
      <c r="G2212" s="89"/>
      <c r="H2212" s="87"/>
      <c r="I2212" s="87" t="str">
        <f>IFERROR(__xludf.DUMMYFUNCTION("""COMPUTED_VALUE"""),"(CONSUMO CONTROLADO)")</f>
        <v>(CONSUMO CONTROLADO)</v>
      </c>
    </row>
    <row r="2213">
      <c r="A2213" s="84">
        <f>IFERROR(__xludf.DUMMYFUNCTION("""COMPUTED_VALUE"""),423.0)</f>
        <v>423</v>
      </c>
      <c r="B2213" s="85" t="str">
        <f>IFERROR(__xludf.DUMMYFUNCTION("""COMPUTED_VALUE"""),"MASCARAS PARA MERGULHADORES -")</f>
        <v>MASCARAS PARA MERGULHADORES -</v>
      </c>
      <c r="C2213" s="86">
        <f>IFERROR(__xludf.DUMMYFUNCTION("""COMPUTED_VALUE"""),1.0)</f>
        <v>1</v>
      </c>
      <c r="D2213" s="87" t="str">
        <f>IFERROR(__xludf.DUMMYFUNCTION("""COMPUTED_VALUE"""),"MILITAR")</f>
        <v>MILITAR</v>
      </c>
      <c r="E2213" s="87" t="str">
        <f>IFERROR(__xludf.DUMMYFUNCTION("""COMPUTED_VALUE"""),"2 - CB FÁBIO DA CUNHA LARA")</f>
        <v>2 - CB FÁBIO DA CUNHA LARA</v>
      </c>
      <c r="F2213" s="92"/>
      <c r="G2213" s="89"/>
      <c r="H2213" s="87"/>
      <c r="I2213" s="87" t="str">
        <f>IFERROR(__xludf.DUMMYFUNCTION("""COMPUTED_VALUE"""),"(CONSUMO CONTROLADO)")</f>
        <v>(CONSUMO CONTROLADO)</v>
      </c>
    </row>
    <row r="2214">
      <c r="A2214" s="84">
        <f>IFERROR(__xludf.DUMMYFUNCTION("""COMPUTED_VALUE"""),424.0)</f>
        <v>424</v>
      </c>
      <c r="B2214" s="85" t="str">
        <f>IFERROR(__xludf.DUMMYFUNCTION("""COMPUTED_VALUE"""),"SNORKEL BOCAL, PARA MERGULHADOR -")</f>
        <v>SNORKEL BOCAL, PARA MERGULHADOR -</v>
      </c>
      <c r="C2214" s="86">
        <f>IFERROR(__xludf.DUMMYFUNCTION("""COMPUTED_VALUE"""),1.0)</f>
        <v>1</v>
      </c>
      <c r="D2214" s="87" t="str">
        <f>IFERROR(__xludf.DUMMYFUNCTION("""COMPUTED_VALUE"""),"MILITAR")</f>
        <v>MILITAR</v>
      </c>
      <c r="E2214" s="87" t="str">
        <f>IFERROR(__xludf.DUMMYFUNCTION("""COMPUTED_VALUE"""),"2 - CB FÁBIO DA CUNHA LARA")</f>
        <v>2 - CB FÁBIO DA CUNHA LARA</v>
      </c>
      <c r="F2214" s="92"/>
      <c r="G2214" s="89"/>
      <c r="H2214" s="87"/>
      <c r="I2214" s="87" t="str">
        <f>IFERROR(__xludf.DUMMYFUNCTION("""COMPUTED_VALUE"""),"(CONSUMO CONTROLADO)")</f>
        <v>(CONSUMO CONTROLADO)</v>
      </c>
    </row>
    <row r="2215">
      <c r="A2215" s="84">
        <f>IFERROR(__xludf.DUMMYFUNCTION("""COMPUTED_VALUE"""),425.0)</f>
        <v>425</v>
      </c>
      <c r="B2215" s="85" t="str">
        <f>IFERROR(__xludf.DUMMYFUNCTION("""COMPUTED_VALUE"""),"NADADEIRA PARA MERGULHO E SALVAMENTO FECHADA - (PAR)")</f>
        <v>NADADEIRA PARA MERGULHO E SALVAMENTO FECHADA - (PAR)</v>
      </c>
      <c r="C2215" s="86">
        <f>IFERROR(__xludf.DUMMYFUNCTION("""COMPUTED_VALUE"""),1.0)</f>
        <v>1</v>
      </c>
      <c r="D2215" s="87" t="str">
        <f>IFERROR(__xludf.DUMMYFUNCTION("""COMPUTED_VALUE"""),"MILITAR")</f>
        <v>MILITAR</v>
      </c>
      <c r="E2215" s="87" t="str">
        <f>IFERROR(__xludf.DUMMYFUNCTION("""COMPUTED_VALUE"""),"2 - CB FÁBIO DA CUNHA LARA")</f>
        <v>2 - CB FÁBIO DA CUNHA LARA</v>
      </c>
      <c r="F2215" s="92"/>
      <c r="G2215" s="89"/>
      <c r="H2215" s="87"/>
      <c r="I2215" s="87" t="str">
        <f>IFERROR(__xludf.DUMMYFUNCTION("""COMPUTED_VALUE"""),"(CONSUMO CONTROLADO)")</f>
        <v>(CONSUMO CONTROLADO)</v>
      </c>
    </row>
    <row r="2216">
      <c r="A2216" s="84">
        <f>IFERROR(__xludf.DUMMYFUNCTION("""COMPUTED_VALUE"""),426.0)</f>
        <v>426</v>
      </c>
      <c r="B2216" s="85" t="str">
        <f>IFERROR(__xludf.DUMMYFUNCTION("""COMPUTED_VALUE"""),"MASCARAS PARA MERGULHADORES -")</f>
        <v>MASCARAS PARA MERGULHADORES -</v>
      </c>
      <c r="C2216" s="86">
        <f>IFERROR(__xludf.DUMMYFUNCTION("""COMPUTED_VALUE"""),1.0)</f>
        <v>1</v>
      </c>
      <c r="D2216" s="87" t="str">
        <f>IFERROR(__xludf.DUMMYFUNCTION("""COMPUTED_VALUE"""),"MILITAR")</f>
        <v>MILITAR</v>
      </c>
      <c r="E2216" s="87" t="str">
        <f>IFERROR(__xludf.DUMMYFUNCTION("""COMPUTED_VALUE"""),"2 - CB PAULO HENRIQUE DA ROCHA RODRIGUES")</f>
        <v>2 - CB PAULO HENRIQUE DA ROCHA RODRIGUES</v>
      </c>
      <c r="F2216" s="92"/>
      <c r="G2216" s="89"/>
      <c r="H2216" s="87"/>
      <c r="I2216" s="87" t="str">
        <f>IFERROR(__xludf.DUMMYFUNCTION("""COMPUTED_VALUE"""),"(CONSUMO CONTROLADO)")</f>
        <v>(CONSUMO CONTROLADO)</v>
      </c>
    </row>
    <row r="2217">
      <c r="A2217" s="84">
        <f>IFERROR(__xludf.DUMMYFUNCTION("""COMPUTED_VALUE"""),427.0)</f>
        <v>427</v>
      </c>
      <c r="B2217" s="85" t="str">
        <f>IFERROR(__xludf.DUMMYFUNCTION("""COMPUTED_VALUE"""),"SNORKEL BOCAL, PARA MERGULHADOR -")</f>
        <v>SNORKEL BOCAL, PARA MERGULHADOR -</v>
      </c>
      <c r="C2217" s="86">
        <f>IFERROR(__xludf.DUMMYFUNCTION("""COMPUTED_VALUE"""),1.0)</f>
        <v>1</v>
      </c>
      <c r="D2217" s="87" t="str">
        <f>IFERROR(__xludf.DUMMYFUNCTION("""COMPUTED_VALUE"""),"MILITAR")</f>
        <v>MILITAR</v>
      </c>
      <c r="E2217" s="87" t="str">
        <f>IFERROR(__xludf.DUMMYFUNCTION("""COMPUTED_VALUE"""),"2 - CB PAULO HENRIQUE DA ROCHA RODRIGUES")</f>
        <v>2 - CB PAULO HENRIQUE DA ROCHA RODRIGUES</v>
      </c>
      <c r="F2217" s="92"/>
      <c r="G2217" s="89"/>
      <c r="H2217" s="87"/>
      <c r="I2217" s="87" t="str">
        <f>IFERROR(__xludf.DUMMYFUNCTION("""COMPUTED_VALUE"""),"(CONSUMO CONTROLADO)")</f>
        <v>(CONSUMO CONTROLADO)</v>
      </c>
    </row>
    <row r="2218">
      <c r="A2218" s="84">
        <f>IFERROR(__xludf.DUMMYFUNCTION("""COMPUTED_VALUE"""),428.0)</f>
        <v>428</v>
      </c>
      <c r="B2218" s="85" t="str">
        <f>IFERROR(__xludf.DUMMYFUNCTION("""COMPUTED_VALUE"""),"CINTO SEGURANÇA - TIPO: PARAQUEDISTA C/ MOSQUETÃO")</f>
        <v>CINTO SEGURANÇA - TIPO: PARAQUEDISTA C/ MOSQUETÃO</v>
      </c>
      <c r="C2218" s="86">
        <f>IFERROR(__xludf.DUMMYFUNCTION("""COMPUTED_VALUE"""),1.0)</f>
        <v>1</v>
      </c>
      <c r="D2218" s="87" t="str">
        <f>IFERROR(__xludf.DUMMYFUNCTION("""COMPUTED_VALUE"""),"MILITAR")</f>
        <v>MILITAR</v>
      </c>
      <c r="E2218" s="87" t="str">
        <f>IFERROR(__xludf.DUMMYFUNCTION("""COMPUTED_VALUE"""),"2 - SD CAIO GABRIEL CARVALHO DE ALMEIDA")</f>
        <v>2 - SD CAIO GABRIEL CARVALHO DE ALMEIDA</v>
      </c>
      <c r="F2218" s="92"/>
      <c r="G2218" s="89">
        <f>IFERROR(__xludf.DUMMYFUNCTION("""COMPUTED_VALUE"""),45259.0)</f>
        <v>45259</v>
      </c>
      <c r="H2218" s="87"/>
      <c r="I2218" s="87" t="str">
        <f>IFERROR(__xludf.DUMMYFUNCTION("""COMPUTED_VALUE"""),"(CONSUMO CONTROLADO) MARCA TASK")</f>
        <v>(CONSUMO CONTROLADO) MARCA TASK</v>
      </c>
    </row>
    <row r="2219">
      <c r="A2219" s="84">
        <f>IFERROR(__xludf.DUMMYFUNCTION("""COMPUTED_VALUE"""),429.0)</f>
        <v>429</v>
      </c>
      <c r="B2219" s="85" t="str">
        <f>IFERROR(__xludf.DUMMYFUNCTION("""COMPUTED_VALUE"""),"MOSQUETÃO DE ALUMÍNIO")</f>
        <v>MOSQUETÃO DE ALUMÍNIO</v>
      </c>
      <c r="C2219" s="86">
        <f>IFERROR(__xludf.DUMMYFUNCTION("""COMPUTED_VALUE"""),2.0)</f>
        <v>2</v>
      </c>
      <c r="D2219" s="87" t="str">
        <f>IFERROR(__xludf.DUMMYFUNCTION("""COMPUTED_VALUE"""),"MILITAR")</f>
        <v>MILITAR</v>
      </c>
      <c r="E2219" s="87" t="str">
        <f>IFERROR(__xludf.DUMMYFUNCTION("""COMPUTED_VALUE"""),"2 - SD CAIO GABRIEL CARVALHO DE ALMEIDA")</f>
        <v>2 - SD CAIO GABRIEL CARVALHO DE ALMEIDA</v>
      </c>
      <c r="F2219" s="92"/>
      <c r="G2219" s="89">
        <f>IFERROR(__xludf.DUMMYFUNCTION("""COMPUTED_VALUE"""),45259.0)</f>
        <v>45259</v>
      </c>
      <c r="H2219" s="87"/>
      <c r="I2219" s="87" t="str">
        <f>IFERROR(__xludf.DUMMYFUNCTION("""COMPUTED_VALUE"""),"(CONSUMO CONTROLADO)")</f>
        <v>(CONSUMO CONTROLADO)</v>
      </c>
    </row>
    <row r="2220">
      <c r="A2220" s="84">
        <f>IFERROR(__xludf.DUMMYFUNCTION("""COMPUTED_VALUE"""),430.0)</f>
        <v>430</v>
      </c>
      <c r="B2220" s="85" t="str">
        <f>IFERROR(__xludf.DUMMYFUNCTION("""COMPUTED_VALUE"""),"BIG OITO")</f>
        <v>BIG OITO</v>
      </c>
      <c r="C2220" s="86">
        <f>IFERROR(__xludf.DUMMYFUNCTION("""COMPUTED_VALUE"""),1.0)</f>
        <v>1</v>
      </c>
      <c r="D2220" s="87" t="str">
        <f>IFERROR(__xludf.DUMMYFUNCTION("""COMPUTED_VALUE"""),"MILITAR")</f>
        <v>MILITAR</v>
      </c>
      <c r="E2220" s="87" t="str">
        <f>IFERROR(__xludf.DUMMYFUNCTION("""COMPUTED_VALUE"""),"2 - SD CAIO GABRIEL CARVALHO DE ALMEIDA")</f>
        <v>2 - SD CAIO GABRIEL CARVALHO DE ALMEIDA</v>
      </c>
      <c r="F2220" s="92"/>
      <c r="G2220" s="89">
        <f>IFERROR(__xludf.DUMMYFUNCTION("""COMPUTED_VALUE"""),45259.0)</f>
        <v>45259</v>
      </c>
      <c r="H2220" s="87"/>
      <c r="I2220" s="87" t="str">
        <f>IFERROR(__xludf.DUMMYFUNCTION("""COMPUTED_VALUE"""),"(CONSUMO CONTROLADO)")</f>
        <v>(CONSUMO CONTROLADO)</v>
      </c>
    </row>
    <row r="2221">
      <c r="A2221" s="84">
        <f>IFERROR(__xludf.DUMMYFUNCTION("""COMPUTED_VALUE"""),431.0)</f>
        <v>431</v>
      </c>
      <c r="B2221" s="85" t="str">
        <f>IFERROR(__xludf.DUMMYFUNCTION("""COMPUTED_VALUE"""),"ANEL DE FITA 80CM")</f>
        <v>ANEL DE FITA 80CM</v>
      </c>
      <c r="C2221" s="86">
        <f>IFERROR(__xludf.DUMMYFUNCTION("""COMPUTED_VALUE"""),1.0)</f>
        <v>1</v>
      </c>
      <c r="D2221" s="87" t="str">
        <f>IFERROR(__xludf.DUMMYFUNCTION("""COMPUTED_VALUE"""),"MILITAR")</f>
        <v>MILITAR</v>
      </c>
      <c r="E2221" s="87" t="str">
        <f>IFERROR(__xludf.DUMMYFUNCTION("""COMPUTED_VALUE"""),"2 - SD CAIO GABRIEL CARVALHO DE ALMEIDA")</f>
        <v>2 - SD CAIO GABRIEL CARVALHO DE ALMEIDA</v>
      </c>
      <c r="F2221" s="92"/>
      <c r="G2221" s="89">
        <f>IFERROR(__xludf.DUMMYFUNCTION("""COMPUTED_VALUE"""),45259.0)</f>
        <v>45259</v>
      </c>
      <c r="H2221" s="87"/>
      <c r="I2221" s="87" t="str">
        <f>IFERROR(__xludf.DUMMYFUNCTION("""COMPUTED_VALUE"""),"(CONSUMO CONTROLADO)")</f>
        <v>(CONSUMO CONTROLADO)</v>
      </c>
    </row>
    <row r="2222">
      <c r="A2222" s="84">
        <f>IFERROR(__xludf.DUMMYFUNCTION("""COMPUTED_VALUE"""),432.0)</f>
        <v>432</v>
      </c>
      <c r="B2222" s="85" t="str">
        <f>IFERROR(__xludf.DUMMYFUNCTION("""COMPUTED_VALUE"""),"ANEL DE FITA 60CM")</f>
        <v>ANEL DE FITA 60CM</v>
      </c>
      <c r="C2222" s="86">
        <f>IFERROR(__xludf.DUMMYFUNCTION("""COMPUTED_VALUE"""),1.0)</f>
        <v>1</v>
      </c>
      <c r="D2222" s="87" t="str">
        <f>IFERROR(__xludf.DUMMYFUNCTION("""COMPUTED_VALUE"""),"MILITAR")</f>
        <v>MILITAR</v>
      </c>
      <c r="E2222" s="87" t="str">
        <f>IFERROR(__xludf.DUMMYFUNCTION("""COMPUTED_VALUE"""),"2 - SD CAIO GABRIEL CARVALHO DE ALMEIDA")</f>
        <v>2 - SD CAIO GABRIEL CARVALHO DE ALMEIDA</v>
      </c>
      <c r="F2222" s="92"/>
      <c r="G2222" s="89">
        <f>IFERROR(__xludf.DUMMYFUNCTION("""COMPUTED_VALUE"""),45259.0)</f>
        <v>45259</v>
      </c>
      <c r="H2222" s="87"/>
      <c r="I2222" s="87" t="str">
        <f>IFERROR(__xludf.DUMMYFUNCTION("""COMPUTED_VALUE"""),"(CONSUMO CONTROLADO)")</f>
        <v>(CONSUMO CONTROLADO)</v>
      </c>
    </row>
    <row r="2223">
      <c r="A2223" s="84">
        <f>IFERROR(__xludf.DUMMYFUNCTION("""COMPUTED_VALUE"""),433.0)</f>
        <v>433</v>
      </c>
      <c r="B2223" s="85" t="str">
        <f>IFERROR(__xludf.DUMMYFUNCTION("""COMPUTED_VALUE"""),"MASCARAS PARA MERGULHADORES -")</f>
        <v>MASCARAS PARA MERGULHADORES -</v>
      </c>
      <c r="C2223" s="86">
        <f>IFERROR(__xludf.DUMMYFUNCTION("""COMPUTED_VALUE"""),1.0)</f>
        <v>1</v>
      </c>
      <c r="D2223" s="87" t="str">
        <f>IFERROR(__xludf.DUMMYFUNCTION("""COMPUTED_VALUE"""),"MILITAR")</f>
        <v>MILITAR</v>
      </c>
      <c r="E2223" s="87" t="str">
        <f>IFERROR(__xludf.DUMMYFUNCTION("""COMPUTED_VALUE"""),"2 - SD CAIO GABRIEL CARVALHO DE ALMEIDA")</f>
        <v>2 - SD CAIO GABRIEL CARVALHO DE ALMEIDA</v>
      </c>
      <c r="F2223" s="92"/>
      <c r="G2223" s="89"/>
      <c r="H2223" s="87"/>
      <c r="I2223" s="87" t="str">
        <f>IFERROR(__xludf.DUMMYFUNCTION("""COMPUTED_VALUE"""),"(CONSUMO CONTROLADO)")</f>
        <v>(CONSUMO CONTROLADO)</v>
      </c>
    </row>
    <row r="2224">
      <c r="A2224" s="84">
        <f>IFERROR(__xludf.DUMMYFUNCTION("""COMPUTED_VALUE"""),434.0)</f>
        <v>434</v>
      </c>
      <c r="B2224" s="85" t="str">
        <f>IFERROR(__xludf.DUMMYFUNCTION("""COMPUTED_VALUE"""),"SNORKEL BOCAL, PARA MERGULHADOR -")</f>
        <v>SNORKEL BOCAL, PARA MERGULHADOR -</v>
      </c>
      <c r="C2224" s="86">
        <f>IFERROR(__xludf.DUMMYFUNCTION("""COMPUTED_VALUE"""),1.0)</f>
        <v>1</v>
      </c>
      <c r="D2224" s="87" t="str">
        <f>IFERROR(__xludf.DUMMYFUNCTION("""COMPUTED_VALUE"""),"MILITAR")</f>
        <v>MILITAR</v>
      </c>
      <c r="E2224" s="87" t="str">
        <f>IFERROR(__xludf.DUMMYFUNCTION("""COMPUTED_VALUE"""),"2 - SD CAIO GABRIEL CARVALHO DE ALMEIDA")</f>
        <v>2 - SD CAIO GABRIEL CARVALHO DE ALMEIDA</v>
      </c>
      <c r="F2224" s="92"/>
      <c r="G2224" s="89"/>
      <c r="H2224" s="87"/>
      <c r="I2224" s="87" t="str">
        <f>IFERROR(__xludf.DUMMYFUNCTION("""COMPUTED_VALUE"""),"(CONSUMO CONTROLADO)")</f>
        <v>(CONSUMO CONTROLADO)</v>
      </c>
    </row>
    <row r="2225">
      <c r="A2225" s="84">
        <f>IFERROR(__xludf.DUMMYFUNCTION("""COMPUTED_VALUE"""),435.0)</f>
        <v>435</v>
      </c>
      <c r="B2225" s="85" t="str">
        <f>IFERROR(__xludf.DUMMYFUNCTION("""COMPUTED_VALUE"""),"NADADEIRA PARA MERGULHO E SALVAMENTO FECHADA - (PAR)")</f>
        <v>NADADEIRA PARA MERGULHO E SALVAMENTO FECHADA - (PAR)</v>
      </c>
      <c r="C2225" s="86">
        <f>IFERROR(__xludf.DUMMYFUNCTION("""COMPUTED_VALUE"""),1.0)</f>
        <v>1</v>
      </c>
      <c r="D2225" s="87" t="str">
        <f>IFERROR(__xludf.DUMMYFUNCTION("""COMPUTED_VALUE"""),"MILITAR")</f>
        <v>MILITAR</v>
      </c>
      <c r="E2225" s="87" t="str">
        <f>IFERROR(__xludf.DUMMYFUNCTION("""COMPUTED_VALUE"""),"2 - SD CAIO GABRIEL CARVALHO DE ALMEIDA")</f>
        <v>2 - SD CAIO GABRIEL CARVALHO DE ALMEIDA</v>
      </c>
      <c r="F2225" s="92"/>
      <c r="G2225" s="89"/>
      <c r="H2225" s="87"/>
      <c r="I2225" s="87" t="str">
        <f>IFERROR(__xludf.DUMMYFUNCTION("""COMPUTED_VALUE"""),"(CONSUMO CONTROLADO)")</f>
        <v>(CONSUMO CONTROLADO)</v>
      </c>
    </row>
    <row r="2226">
      <c r="A2226" s="84">
        <f>IFERROR(__xludf.DUMMYFUNCTION("""COMPUTED_VALUE"""),436.0)</f>
        <v>436</v>
      </c>
      <c r="B2226" s="85" t="str">
        <f>IFERROR(__xludf.DUMMYFUNCTION("""COMPUTED_VALUE"""),"BALACLAVA")</f>
        <v>BALACLAVA</v>
      </c>
      <c r="C2226" s="86">
        <f>IFERROR(__xludf.DUMMYFUNCTION("""COMPUTED_VALUE"""),1.0)</f>
        <v>1</v>
      </c>
      <c r="D2226" s="87" t="str">
        <f>IFERROR(__xludf.DUMMYFUNCTION("""COMPUTED_VALUE"""),"MILITAR")</f>
        <v>MILITAR</v>
      </c>
      <c r="E2226" s="87" t="str">
        <f>IFERROR(__xludf.DUMMYFUNCTION("""COMPUTED_VALUE"""),"2 - SUBTEN WALISTON ALEX DOURADO SIQUEIRA")</f>
        <v>2 - SUBTEN WALISTON ALEX DOURADO SIQUEIRA</v>
      </c>
      <c r="F2226" s="92"/>
      <c r="G2226" s="89">
        <f>IFERROR(__xludf.DUMMYFUNCTION("""COMPUTED_VALUE"""),45561.0)</f>
        <v>45561</v>
      </c>
      <c r="H2226" s="87"/>
      <c r="I2226" s="87"/>
    </row>
    <row r="2227">
      <c r="A2227" s="84">
        <f>IFERROR(__xludf.DUMMYFUNCTION("""COMPUTED_VALUE"""),437.0)</f>
        <v>437</v>
      </c>
      <c r="B2227" s="85" t="str">
        <f>IFERROR(__xludf.DUMMYFUNCTION("""COMPUTED_VALUE"""),"MISTURADOR DE COMBUSTÍVEL STIHL")</f>
        <v>MISTURADOR DE COMBUSTÍVEL STIHL</v>
      </c>
      <c r="C2227" s="86">
        <f>IFERROR(__xludf.DUMMYFUNCTION("""COMPUTED_VALUE"""),1.0)</f>
        <v>1</v>
      </c>
      <c r="D2227" s="87" t="str">
        <f>IFERROR(__xludf.DUMMYFUNCTION("""COMPUTED_VALUE"""),"SEÇÃO")</f>
        <v>SEÇÃO</v>
      </c>
      <c r="E2227" s="87" t="str">
        <f>IFERROR(__xludf.DUMMYFUNCTION("""COMPUTED_VALUE"""),"3 - 1ª ALA OP.")</f>
        <v>3 - 1ª ALA OP.</v>
      </c>
      <c r="F2227" s="92"/>
      <c r="G2227" s="89">
        <f>IFERROR(__xludf.DUMMYFUNCTION("""COMPUTED_VALUE"""),45551.0)</f>
        <v>45551</v>
      </c>
      <c r="H2227" s="87"/>
      <c r="I2227" s="87"/>
    </row>
    <row r="2228">
      <c r="A2228" s="84">
        <f>IFERROR(__xludf.DUMMYFUNCTION("""COMPUTED_VALUE"""),438.0)</f>
        <v>438</v>
      </c>
      <c r="B2228" s="85" t="str">
        <f>IFERROR(__xludf.DUMMYFUNCTION("""COMPUTED_VALUE"""),"MANGO PARA LIMA")</f>
        <v>MANGO PARA LIMA</v>
      </c>
      <c r="C2228" s="86">
        <f>IFERROR(__xludf.DUMMYFUNCTION("""COMPUTED_VALUE"""),1.0)</f>
        <v>1</v>
      </c>
      <c r="D2228" s="87" t="str">
        <f>IFERROR(__xludf.DUMMYFUNCTION("""COMPUTED_VALUE"""),"SEÇÃO")</f>
        <v>SEÇÃO</v>
      </c>
      <c r="E2228" s="87" t="str">
        <f>IFERROR(__xludf.DUMMYFUNCTION("""COMPUTED_VALUE"""),"3 - 1ª ALA OP.")</f>
        <v>3 - 1ª ALA OP.</v>
      </c>
      <c r="F2228" s="92"/>
      <c r="G2228" s="89">
        <f>IFERROR(__xludf.DUMMYFUNCTION("""COMPUTED_VALUE"""),45555.0)</f>
        <v>45555</v>
      </c>
      <c r="H2228" s="87"/>
      <c r="I2228" s="87"/>
    </row>
    <row r="2229">
      <c r="A2229" s="84">
        <f>IFERROR(__xludf.DUMMYFUNCTION("""COMPUTED_VALUE"""),439.0)</f>
        <v>439</v>
      </c>
      <c r="B2229" s="85" t="str">
        <f>IFERROR(__xludf.DUMMYFUNCTION("""COMPUTED_VALUE"""),"ROUPA DE APICULTOR XG")</f>
        <v>ROUPA DE APICULTOR XG</v>
      </c>
      <c r="C2229" s="86">
        <f>IFERROR(__xludf.DUMMYFUNCTION("""COMPUTED_VALUE"""),2.0)</f>
        <v>2</v>
      </c>
      <c r="D2229" s="87" t="str">
        <f>IFERROR(__xludf.DUMMYFUNCTION("""COMPUTED_VALUE"""),"SEÇÃO")</f>
        <v>SEÇÃO</v>
      </c>
      <c r="E2229" s="87" t="str">
        <f>IFERROR(__xludf.DUMMYFUNCTION("""COMPUTED_VALUE"""),"3 - 1ª ALA OP.")</f>
        <v>3 - 1ª ALA OP.</v>
      </c>
      <c r="F2229" s="92"/>
      <c r="G2229" s="89">
        <f>IFERROR(__xludf.DUMMYFUNCTION("""COMPUTED_VALUE"""),45691.0)</f>
        <v>45691</v>
      </c>
      <c r="H2229" s="87"/>
      <c r="I2229" s="87"/>
    </row>
    <row r="2230">
      <c r="A2230" s="84">
        <f>IFERROR(__xludf.DUMMYFUNCTION("""COMPUTED_VALUE"""),440.0)</f>
        <v>440</v>
      </c>
      <c r="B2230" s="85" t="str">
        <f>IFERROR(__xludf.DUMMYFUNCTION("""COMPUTED_VALUE"""),"TRAVA CORRENTE HOLMATRO")</f>
        <v>TRAVA CORRENTE HOLMATRO</v>
      </c>
      <c r="C2230" s="86">
        <f>IFERROR(__xludf.DUMMYFUNCTION("""COMPUTED_VALUE"""),2.0)</f>
        <v>2</v>
      </c>
      <c r="D2230" s="87" t="str">
        <f>IFERROR(__xludf.DUMMYFUNCTION("""COMPUTED_VALUE"""),"SEÇÃO")</f>
        <v>SEÇÃO</v>
      </c>
      <c r="E2230" s="87" t="str">
        <f>IFERROR(__xludf.DUMMYFUNCTION("""COMPUTED_VALUE"""),"3 - 1ª CIA OP")</f>
        <v>3 - 1ª CIA OP</v>
      </c>
      <c r="F2230" s="92" t="str">
        <f>IFERROR(__xludf.DUMMYFUNCTION("""COMPUTED_VALUE"""),"BOX 03 - SAO")</f>
        <v>BOX 03 - SAO</v>
      </c>
      <c r="G2230" s="89">
        <f>IFERROR(__xludf.DUMMYFUNCTION("""COMPUTED_VALUE"""),45527.0)</f>
        <v>45527</v>
      </c>
      <c r="H2230" s="87"/>
      <c r="I2230" s="87"/>
    </row>
    <row r="2231">
      <c r="A2231" s="84">
        <f>IFERROR(__xludf.DUMMYFUNCTION("""COMPUTED_VALUE"""),441.0)</f>
        <v>441</v>
      </c>
      <c r="B2231" s="85" t="str">
        <f>IFERROR(__xludf.DUMMYFUNCTION("""COMPUTED_VALUE"""),"MALHO 5KG")</f>
        <v>MALHO 5KG</v>
      </c>
      <c r="C2231" s="86">
        <f>IFERROR(__xludf.DUMMYFUNCTION("""COMPUTED_VALUE"""),1.0)</f>
        <v>1</v>
      </c>
      <c r="D2231" s="87" t="str">
        <f>IFERROR(__xludf.DUMMYFUNCTION("""COMPUTED_VALUE"""),"SEÇÃO")</f>
        <v>SEÇÃO</v>
      </c>
      <c r="E2231" s="87" t="str">
        <f>IFERROR(__xludf.DUMMYFUNCTION("""COMPUTED_VALUE"""),"3 - 1ª CIA OP")</f>
        <v>3 - 1ª CIA OP</v>
      </c>
      <c r="F2231" s="92" t="str">
        <f>IFERROR(__xludf.DUMMYFUNCTION("""COMPUTED_VALUE"""),"BOX 03 - SAO")</f>
        <v>BOX 03 - SAO</v>
      </c>
      <c r="G2231" s="89">
        <f>IFERROR(__xludf.DUMMYFUNCTION("""COMPUTED_VALUE"""),45527.0)</f>
        <v>45527</v>
      </c>
      <c r="H2231" s="87"/>
      <c r="I2231" s="87"/>
    </row>
    <row r="2232">
      <c r="A2232" s="84">
        <f>IFERROR(__xludf.DUMMYFUNCTION("""COMPUTED_VALUE"""),442.0)</f>
        <v>442</v>
      </c>
      <c r="B2232" s="85" t="str">
        <f>IFERROR(__xludf.DUMMYFUNCTION("""COMPUTED_VALUE"""),"LUVA DE AMIANTO")</f>
        <v>LUVA DE AMIANTO</v>
      </c>
      <c r="C2232" s="86">
        <f>IFERROR(__xludf.DUMMYFUNCTION("""COMPUTED_VALUE"""),1.0)</f>
        <v>1</v>
      </c>
      <c r="D2232" s="87" t="str">
        <f>IFERROR(__xludf.DUMMYFUNCTION("""COMPUTED_VALUE"""),"SEÇÃO")</f>
        <v>SEÇÃO</v>
      </c>
      <c r="E2232" s="87" t="str">
        <f>IFERROR(__xludf.DUMMYFUNCTION("""COMPUTED_VALUE"""),"3 - 1ª CIA OP")</f>
        <v>3 - 1ª CIA OP</v>
      </c>
      <c r="F2232" s="92" t="str">
        <f>IFERROR(__xludf.DUMMYFUNCTION("""COMPUTED_VALUE"""),"ALMOX. SAO (SEDE)")</f>
        <v>ALMOX. SAO (SEDE)</v>
      </c>
      <c r="G2232" s="89">
        <f>IFERROR(__xludf.DUMMYFUNCTION("""COMPUTED_VALUE"""),45527.0)</f>
        <v>45527</v>
      </c>
      <c r="H2232" s="87"/>
      <c r="I2232" s="87"/>
    </row>
    <row r="2233">
      <c r="A2233" s="84">
        <f>IFERROR(__xludf.DUMMYFUNCTION("""COMPUTED_VALUE"""),443.0)</f>
        <v>443</v>
      </c>
      <c r="B2233" s="85" t="str">
        <f>IFERROR(__xludf.DUMMYFUNCTION("""COMPUTED_VALUE"""),"LUVA DE RASPA")</f>
        <v>LUVA DE RASPA</v>
      </c>
      <c r="C2233" s="86">
        <f>IFERROR(__xludf.DUMMYFUNCTION("""COMPUTED_VALUE"""),1.0)</f>
        <v>1</v>
      </c>
      <c r="D2233" s="87" t="str">
        <f>IFERROR(__xludf.DUMMYFUNCTION("""COMPUTED_VALUE"""),"SEÇÃO")</f>
        <v>SEÇÃO</v>
      </c>
      <c r="E2233" s="87" t="str">
        <f>IFERROR(__xludf.DUMMYFUNCTION("""COMPUTED_VALUE"""),"3 - 1ª CIA OP")</f>
        <v>3 - 1ª CIA OP</v>
      </c>
      <c r="F2233" s="92" t="str">
        <f>IFERROR(__xludf.DUMMYFUNCTION("""COMPUTED_VALUE"""),"ALMOX. SAO (SEDE)")</f>
        <v>ALMOX. SAO (SEDE)</v>
      </c>
      <c r="G2233" s="89">
        <f>IFERROR(__xludf.DUMMYFUNCTION("""COMPUTED_VALUE"""),45527.0)</f>
        <v>45527</v>
      </c>
      <c r="H2233" s="87"/>
      <c r="I2233" s="87"/>
    </row>
    <row r="2234">
      <c r="A2234" s="84">
        <f>IFERROR(__xludf.DUMMYFUNCTION("""COMPUTED_VALUE"""),444.0)</f>
        <v>444</v>
      </c>
      <c r="B2234" s="85" t="str">
        <f>IFERROR(__xludf.DUMMYFUNCTION("""COMPUTED_VALUE"""),"LUVA DE VAQUETA")</f>
        <v>LUVA DE VAQUETA</v>
      </c>
      <c r="C2234" s="86">
        <f>IFERROR(__xludf.DUMMYFUNCTION("""COMPUTED_VALUE"""),1.0)</f>
        <v>1</v>
      </c>
      <c r="D2234" s="87" t="str">
        <f>IFERROR(__xludf.DUMMYFUNCTION("""COMPUTED_VALUE"""),"SEÇÃO")</f>
        <v>SEÇÃO</v>
      </c>
      <c r="E2234" s="87" t="str">
        <f>IFERROR(__xludf.DUMMYFUNCTION("""COMPUTED_VALUE"""),"3 - 1ª CIA OP")</f>
        <v>3 - 1ª CIA OP</v>
      </c>
      <c r="F2234" s="92" t="str">
        <f>IFERROR(__xludf.DUMMYFUNCTION("""COMPUTED_VALUE"""),"ALMOX. SAO (SEDE)")</f>
        <v>ALMOX. SAO (SEDE)</v>
      </c>
      <c r="G2234" s="89">
        <f>IFERROR(__xludf.DUMMYFUNCTION("""COMPUTED_VALUE"""),45527.0)</f>
        <v>45527</v>
      </c>
      <c r="H2234" s="87"/>
      <c r="I2234" s="87"/>
    </row>
    <row r="2235">
      <c r="A2235" s="84">
        <f>IFERROR(__xludf.DUMMYFUNCTION("""COMPUTED_VALUE"""),445.0)</f>
        <v>445</v>
      </c>
      <c r="B2235" s="85" t="str">
        <f>IFERROR(__xludf.DUMMYFUNCTION("""COMPUTED_VALUE"""),"MOTOPODA")</f>
        <v>MOTOPODA</v>
      </c>
      <c r="C2235" s="86">
        <f>IFERROR(__xludf.DUMMYFUNCTION("""COMPUTED_VALUE"""),1.0)</f>
        <v>1</v>
      </c>
      <c r="D2235" s="87" t="str">
        <f>IFERROR(__xludf.DUMMYFUNCTION("""COMPUTED_VALUE"""),"SEÇÃO")</f>
        <v>SEÇÃO</v>
      </c>
      <c r="E2235" s="87" t="str">
        <f>IFERROR(__xludf.DUMMYFUNCTION("""COMPUTED_VALUE"""),"3 - 1ª CIA OP")</f>
        <v>3 - 1ª CIA OP</v>
      </c>
      <c r="F2235" s="92"/>
      <c r="G2235" s="89"/>
      <c r="H2235" s="87"/>
      <c r="I2235" s="87" t="str">
        <f>IFERROR(__xludf.DUMMYFUNCTION("""COMPUTED_VALUE"""),"N.S. 537860401 STIHL HT 135")</f>
        <v>N.S. 537860401 STIHL HT 135</v>
      </c>
    </row>
    <row r="2236">
      <c r="A2236" s="84">
        <f>IFERROR(__xludf.DUMMYFUNCTION("""COMPUTED_VALUE"""),446.0)</f>
        <v>446</v>
      </c>
      <c r="B2236" s="85" t="str">
        <f>IFERROR(__xludf.DUMMYFUNCTION("""COMPUTED_VALUE"""),"COMPRESSA TIPO CAMPO OPERATORIO -")</f>
        <v>COMPRESSA TIPO CAMPO OPERATORIO -</v>
      </c>
      <c r="C2236" s="86">
        <f>IFERROR(__xludf.DUMMYFUNCTION("""COMPUTED_VALUE"""),1.0)</f>
        <v>1</v>
      </c>
      <c r="D2236" s="87" t="str">
        <f>IFERROR(__xludf.DUMMYFUNCTION("""COMPUTED_VALUE"""),"SEÇÃO")</f>
        <v>SEÇÃO</v>
      </c>
      <c r="E2236" s="87" t="str">
        <f>IFERROR(__xludf.DUMMYFUNCTION("""COMPUTED_VALUE"""),"3 - 1ª CIA OP")</f>
        <v>3 - 1ª CIA OP</v>
      </c>
      <c r="F2236" s="92"/>
      <c r="G2236" s="89">
        <f>IFERROR(__xludf.DUMMYFUNCTION("""COMPUTED_VALUE"""),45555.0)</f>
        <v>45555</v>
      </c>
      <c r="H2236" s="87"/>
      <c r="I2236" s="87"/>
    </row>
    <row r="2237">
      <c r="A2237" s="84">
        <f>IFERROR(__xludf.DUMMYFUNCTION("""COMPUTED_VALUE"""),447.0)</f>
        <v>447</v>
      </c>
      <c r="B2237" s="85" t="str">
        <f>IFERROR(__xludf.DUMMYFUNCTION("""COMPUTED_VALUE"""),"AMBÚ  ADULTO")</f>
        <v>AMBÚ  ADULTO</v>
      </c>
      <c r="C2237" s="86">
        <f>IFERROR(__xludf.DUMMYFUNCTION("""COMPUTED_VALUE"""),1.0)</f>
        <v>1</v>
      </c>
      <c r="D2237" s="87" t="str">
        <f>IFERROR(__xludf.DUMMYFUNCTION("""COMPUTED_VALUE"""),"SEÇÃO")</f>
        <v>SEÇÃO</v>
      </c>
      <c r="E2237" s="87" t="str">
        <f>IFERROR(__xludf.DUMMYFUNCTION("""COMPUTED_VALUE"""),"3 - 1ª CIA OP")</f>
        <v>3 - 1ª CIA OP</v>
      </c>
      <c r="F2237" s="92"/>
      <c r="G2237" s="89">
        <f>IFERROR(__xludf.DUMMYFUNCTION("""COMPUTED_VALUE"""),45555.0)</f>
        <v>45555</v>
      </c>
      <c r="H2237" s="87"/>
      <c r="I2237" s="87"/>
    </row>
    <row r="2238">
      <c r="A2238" s="84">
        <f>IFERROR(__xludf.DUMMYFUNCTION("""COMPUTED_VALUE"""),448.0)</f>
        <v>448</v>
      </c>
      <c r="B2238" s="85" t="str">
        <f>IFERROR(__xludf.DUMMYFUNCTION("""COMPUTED_VALUE"""),"LIMA REDONDA")</f>
        <v>LIMA REDONDA</v>
      </c>
      <c r="C2238" s="86">
        <f>IFERROR(__xludf.DUMMYFUNCTION("""COMPUTED_VALUE"""),1.0)</f>
        <v>1</v>
      </c>
      <c r="D2238" s="87" t="str">
        <f>IFERROR(__xludf.DUMMYFUNCTION("""COMPUTED_VALUE"""),"SEÇÃO")</f>
        <v>SEÇÃO</v>
      </c>
      <c r="E2238" s="87" t="str">
        <f>IFERROR(__xludf.DUMMYFUNCTION("""COMPUTED_VALUE"""),"3 - 1ª CIA OP")</f>
        <v>3 - 1ª CIA OP</v>
      </c>
      <c r="F2238" s="92"/>
      <c r="G2238" s="89">
        <f>IFERROR(__xludf.DUMMYFUNCTION("""COMPUTED_VALUE"""),45555.0)</f>
        <v>45555</v>
      </c>
      <c r="H2238" s="87"/>
      <c r="I2238" s="87"/>
    </row>
    <row r="2239">
      <c r="A2239" s="84">
        <f>IFERROR(__xludf.DUMMYFUNCTION("""COMPUTED_VALUE"""),449.0)</f>
        <v>449</v>
      </c>
      <c r="B2239" s="85" t="str">
        <f>IFERROR(__xludf.DUMMYFUNCTION("""COMPUTED_VALUE"""),"CILINDRO DE MERGULHO")</f>
        <v>CILINDRO DE MERGULHO</v>
      </c>
      <c r="C2239" s="86">
        <f>IFERROR(__xludf.DUMMYFUNCTION("""COMPUTED_VALUE"""),26.0)</f>
        <v>26</v>
      </c>
      <c r="D2239" s="87" t="str">
        <f>IFERROR(__xludf.DUMMYFUNCTION("""COMPUTED_VALUE"""),"SEÇÃO")</f>
        <v>SEÇÃO</v>
      </c>
      <c r="E2239" s="87" t="str">
        <f>IFERROR(__xludf.DUMMYFUNCTION("""COMPUTED_VALUE"""),"3 - 1ª CIA OP")</f>
        <v>3 - 1ª CIA OP</v>
      </c>
      <c r="F2239" s="92" t="str">
        <f>IFERROR(__xludf.DUMMYFUNCTION("""COMPUTED_VALUE"""),"SALA DE MERGULHO")</f>
        <v>SALA DE MERGULHO</v>
      </c>
      <c r="G2239" s="89">
        <f>IFERROR(__xludf.DUMMYFUNCTION("""COMPUTED_VALUE"""),45623.0)</f>
        <v>45623</v>
      </c>
      <c r="H2239" s="87"/>
      <c r="I2239" s="87" t="str">
        <f>IFERROR(__xludf.DUMMYFUNCTION("""COMPUTED_VALUE"""),"OBS: UM DOS CILINDROS PERTENCE AO TEN ALVES")</f>
        <v>OBS: UM DOS CILINDROS PERTENCE AO TEN ALVES</v>
      </c>
    </row>
    <row r="2240">
      <c r="A2240" s="84">
        <f>IFERROR(__xludf.DUMMYFUNCTION("""COMPUTED_VALUE"""),450.0)</f>
        <v>450</v>
      </c>
      <c r="B2240" s="85" t="str">
        <f>IFERROR(__xludf.DUMMYFUNCTION("""COMPUTED_VALUE"""),"ADAPTADOR PARA ROSCA DO COMPRESSOR")</f>
        <v>ADAPTADOR PARA ROSCA DO COMPRESSOR</v>
      </c>
      <c r="C2240" s="86">
        <f>IFERROR(__xludf.DUMMYFUNCTION("""COMPUTED_VALUE"""),8.0)</f>
        <v>8</v>
      </c>
      <c r="D2240" s="87" t="str">
        <f>IFERROR(__xludf.DUMMYFUNCTION("""COMPUTED_VALUE"""),"SEÇÃO")</f>
        <v>SEÇÃO</v>
      </c>
      <c r="E2240" s="87" t="str">
        <f>IFERROR(__xludf.DUMMYFUNCTION("""COMPUTED_VALUE"""),"3 - 1ª CIA OP")</f>
        <v>3 - 1ª CIA OP</v>
      </c>
      <c r="F2240" s="92" t="str">
        <f>IFERROR(__xludf.DUMMYFUNCTION("""COMPUTED_VALUE"""),"SALA DE MERGULHO")</f>
        <v>SALA DE MERGULHO</v>
      </c>
      <c r="G2240" s="89">
        <f>IFERROR(__xludf.DUMMYFUNCTION("""COMPUTED_VALUE"""),45912.0)</f>
        <v>45912</v>
      </c>
      <c r="H2240" s="87"/>
      <c r="I2240" s="87"/>
    </row>
    <row r="2241">
      <c r="A2241" s="84">
        <f>IFERROR(__xludf.DUMMYFUNCTION("""COMPUTED_VALUE"""),451.0)</f>
        <v>451</v>
      </c>
      <c r="B2241" s="85" t="str">
        <f>IFERROR(__xludf.DUMMYFUNCTION("""COMPUTED_VALUE"""),"SACO DE ARREMESSO")</f>
        <v>SACO DE ARREMESSO</v>
      </c>
      <c r="C2241" s="86">
        <f>IFERROR(__xludf.DUMMYFUNCTION("""COMPUTED_VALUE"""),12.0)</f>
        <v>12</v>
      </c>
      <c r="D2241" s="87" t="str">
        <f>IFERROR(__xludf.DUMMYFUNCTION("""COMPUTED_VALUE"""),"SEÇÃO")</f>
        <v>SEÇÃO</v>
      </c>
      <c r="E2241" s="87" t="str">
        <f>IFERROR(__xludf.DUMMYFUNCTION("""COMPUTED_VALUE"""),"3 - ALMOX. ESTOQUE")</f>
        <v>3 - ALMOX. ESTOQUE</v>
      </c>
      <c r="F2241" s="92" t="str">
        <f>IFERROR(__xludf.DUMMYFUNCTION("""COMPUTED_VALUE"""),"ALMOX. SAO (SEDE)")</f>
        <v>ALMOX. SAO (SEDE)</v>
      </c>
      <c r="G2241" s="89">
        <f>IFERROR(__xludf.DUMMYFUNCTION("""COMPUTED_VALUE"""),45623.0)</f>
        <v>45623</v>
      </c>
      <c r="H2241" s="87"/>
      <c r="I2241" s="87"/>
    </row>
    <row r="2242">
      <c r="A2242" s="84">
        <f>IFERROR(__xludf.DUMMYFUNCTION("""COMPUTED_VALUE"""),452.0)</f>
        <v>452</v>
      </c>
      <c r="B2242" s="85" t="str">
        <f>IFERROR(__xludf.DUMMYFUNCTION("""COMPUTED_VALUE"""),"BASTAO ISOLADO")</f>
        <v>BASTAO ISOLADO</v>
      </c>
      <c r="C2242" s="86">
        <f>IFERROR(__xludf.DUMMYFUNCTION("""COMPUTED_VALUE"""),1.0)</f>
        <v>1</v>
      </c>
      <c r="D2242" s="87" t="str">
        <f>IFERROR(__xludf.DUMMYFUNCTION("""COMPUTED_VALUE"""),"SEÇÃO")</f>
        <v>SEÇÃO</v>
      </c>
      <c r="E2242" s="87" t="str">
        <f>IFERROR(__xludf.DUMMYFUNCTION("""COMPUTED_VALUE"""),"3 - SETOR DE MEIOS")</f>
        <v>3 - SETOR DE MEIOS</v>
      </c>
      <c r="F2242" s="92" t="str">
        <f>IFERROR(__xludf.DUMMYFUNCTION("""COMPUTED_VALUE"""),"MATERIAL DE MERGULHO")</f>
        <v>MATERIAL DE MERGULHO</v>
      </c>
      <c r="G2242" s="89">
        <f>IFERROR(__xludf.DUMMYFUNCTION("""COMPUTED_VALUE"""),45623.0)</f>
        <v>45623</v>
      </c>
      <c r="H2242" s="87"/>
      <c r="I2242" s="87" t="str">
        <f>IFERROR(__xludf.DUMMYFUNCTION("""COMPUTED_VALUE"""),"COM TRÊS PEÇAS")</f>
        <v>COM TRÊS PEÇAS</v>
      </c>
    </row>
    <row r="2243">
      <c r="A2243" s="84">
        <f>IFERROR(__xludf.DUMMYFUNCTION("""COMPUTED_VALUE"""),453.0)</f>
        <v>453</v>
      </c>
      <c r="B2243" s="85" t="str">
        <f>IFERROR(__xludf.DUMMYFUNCTION("""COMPUTED_VALUE"""),"BOIA PARA MERGULHO")</f>
        <v>BOIA PARA MERGULHO</v>
      </c>
      <c r="C2243" s="86">
        <f>IFERROR(__xludf.DUMMYFUNCTION("""COMPUTED_VALUE"""),1.0)</f>
        <v>1</v>
      </c>
      <c r="D2243" s="87" t="str">
        <f>IFERROR(__xludf.DUMMYFUNCTION("""COMPUTED_VALUE"""),"SEÇÃO")</f>
        <v>SEÇÃO</v>
      </c>
      <c r="E2243" s="87" t="str">
        <f>IFERROR(__xludf.DUMMYFUNCTION("""COMPUTED_VALUE"""),"3 - SETOR DE MEIOS")</f>
        <v>3 - SETOR DE MEIOS</v>
      </c>
      <c r="F2243" s="92" t="str">
        <f>IFERROR(__xludf.DUMMYFUNCTION("""COMPUTED_VALUE"""),"MATERIAL DE MERGULHO")</f>
        <v>MATERIAL DE MERGULHO</v>
      </c>
      <c r="G2243" s="89">
        <f>IFERROR(__xludf.DUMMYFUNCTION("""COMPUTED_VALUE"""),45786.0)</f>
        <v>45786</v>
      </c>
      <c r="H2243" s="87"/>
      <c r="I2243" s="87"/>
    </row>
    <row r="2244">
      <c r="A2244" s="84">
        <f>IFERROR(__xludf.DUMMYFUNCTION("""COMPUTED_VALUE"""),454.0)</f>
        <v>454</v>
      </c>
      <c r="B2244" s="85" t="str">
        <f>IFERROR(__xludf.DUMMYFUNCTION("""COMPUTED_VALUE"""),"BOIA SALVA VIDAS CIRCULAR")</f>
        <v>BOIA SALVA VIDAS CIRCULAR</v>
      </c>
      <c r="C2244" s="86">
        <f>IFERROR(__xludf.DUMMYFUNCTION("""COMPUTED_VALUE"""),1.0)</f>
        <v>1</v>
      </c>
      <c r="D2244" s="87" t="str">
        <f>IFERROR(__xludf.DUMMYFUNCTION("""COMPUTED_VALUE"""),"SEÇÃO")</f>
        <v>SEÇÃO</v>
      </c>
      <c r="E2244" s="87" t="str">
        <f>IFERROR(__xludf.DUMMYFUNCTION("""COMPUTED_VALUE"""),"3 - SETOR DE MEIOS")</f>
        <v>3 - SETOR DE MEIOS</v>
      </c>
      <c r="F2244" s="92" t="str">
        <f>IFERROR(__xludf.DUMMYFUNCTION("""COMPUTED_VALUE"""),"MATERIAL DE MERGULHO")</f>
        <v>MATERIAL DE MERGULHO</v>
      </c>
      <c r="G2244" s="89">
        <f>IFERROR(__xludf.DUMMYFUNCTION("""COMPUTED_VALUE"""),45623.0)</f>
        <v>45623</v>
      </c>
      <c r="H2244" s="87"/>
      <c r="I2244" s="87"/>
    </row>
    <row r="2245">
      <c r="A2245" s="84">
        <f>IFERROR(__xludf.DUMMYFUNCTION("""COMPUTED_VALUE"""),455.0)</f>
        <v>455</v>
      </c>
      <c r="B2245" s="85" t="str">
        <f>IFERROR(__xludf.DUMMYFUNCTION("""COMPUTED_VALUE"""),"ADAPTADOR STORZ 1 ¹/²"" PARA ROSCA 3 FIOS")</f>
        <v>ADAPTADOR STORZ 1 ¹/²" PARA ROSCA 3 FIOS</v>
      </c>
      <c r="C2245" s="86">
        <f>IFERROR(__xludf.DUMMYFUNCTION("""COMPUTED_VALUE"""),1.0)</f>
        <v>1</v>
      </c>
      <c r="D2245" s="87" t="str">
        <f>IFERROR(__xludf.DUMMYFUNCTION("""COMPUTED_VALUE"""),"SEÇÃO")</f>
        <v>SEÇÃO</v>
      </c>
      <c r="E2245" s="87" t="str">
        <f>IFERROR(__xludf.DUMMYFUNCTION("""COMPUTED_VALUE"""),"3 - SOU")</f>
        <v>3 - SOU</v>
      </c>
      <c r="F2245" s="92"/>
      <c r="G2245" s="89">
        <f>IFERROR(__xludf.DUMMYFUNCTION("""COMPUTED_VALUE"""),45908.0)</f>
        <v>45908</v>
      </c>
      <c r="H2245" s="87"/>
      <c r="I2245" s="87"/>
    </row>
    <row r="2246">
      <c r="A2246" s="84">
        <f>IFERROR(__xludf.DUMMYFUNCTION("""COMPUTED_VALUE"""),456.0)</f>
        <v>456</v>
      </c>
      <c r="B2246" s="85" t="str">
        <f>IFERROR(__xludf.DUMMYFUNCTION("""COMPUTED_VALUE"""),"BOLSA DE RESGATE")</f>
        <v>BOLSA DE RESGATE</v>
      </c>
      <c r="C2246" s="86">
        <f>IFERROR(__xludf.DUMMYFUNCTION("""COMPUTED_VALUE"""),1.0)</f>
        <v>1</v>
      </c>
      <c r="D2246" s="87" t="str">
        <f>IFERROR(__xludf.DUMMYFUNCTION("""COMPUTED_VALUE"""),"SEÇÃO")</f>
        <v>SEÇÃO</v>
      </c>
      <c r="E2246" s="87" t="str">
        <f>IFERROR(__xludf.DUMMYFUNCTION("""COMPUTED_VALUE"""),"3 - SETOR DE MEIOS")</f>
        <v>3 - SETOR DE MEIOS</v>
      </c>
      <c r="F2246" s="92" t="str">
        <f>IFERROR(__xludf.DUMMYFUNCTION("""COMPUTED_VALUE"""),"MATERIAL DE MERGULHO")</f>
        <v>MATERIAL DE MERGULHO</v>
      </c>
      <c r="G2246" s="89">
        <f>IFERROR(__xludf.DUMMYFUNCTION("""COMPUTED_VALUE"""),45623.0)</f>
        <v>45623</v>
      </c>
      <c r="H2246" s="87"/>
      <c r="I2246" s="87" t="str">
        <f>IFERROR(__xludf.DUMMYFUNCTION("""COMPUTED_VALUE"""),"COM MATERIAIS DIVERSOS;")</f>
        <v>COM MATERIAIS DIVERSOS;</v>
      </c>
    </row>
    <row r="2247">
      <c r="A2247" s="84">
        <f>IFERROR(__xludf.DUMMYFUNCTION("""COMPUTED_VALUE"""),457.0)</f>
        <v>457</v>
      </c>
      <c r="B2247" s="85" t="str">
        <f>IFERROR(__xludf.DUMMYFUNCTION("""COMPUTED_VALUE"""),"BOLSA VERDE")</f>
        <v>BOLSA VERDE</v>
      </c>
      <c r="C2247" s="86">
        <f>IFERROR(__xludf.DUMMYFUNCTION("""COMPUTED_VALUE"""),1.0)</f>
        <v>1</v>
      </c>
      <c r="D2247" s="87" t="str">
        <f>IFERROR(__xludf.DUMMYFUNCTION("""COMPUTED_VALUE"""),"SEÇÃO")</f>
        <v>SEÇÃO</v>
      </c>
      <c r="E2247" s="87" t="str">
        <f>IFERROR(__xludf.DUMMYFUNCTION("""COMPUTED_VALUE"""),"3 - SETOR DE MEIOS")</f>
        <v>3 - SETOR DE MEIOS</v>
      </c>
      <c r="F2247" s="92" t="str">
        <f>IFERROR(__xludf.DUMMYFUNCTION("""COMPUTED_VALUE"""),"MATERIAL DE MERGULHO")</f>
        <v>MATERIAL DE MERGULHO</v>
      </c>
      <c r="G2247" s="89"/>
      <c r="H2247" s="87"/>
      <c r="I2247" s="87"/>
    </row>
    <row r="2248">
      <c r="A2248" s="84">
        <f>IFERROR(__xludf.DUMMYFUNCTION("""COMPUTED_VALUE"""),458.0)</f>
        <v>458</v>
      </c>
      <c r="B2248" s="85" t="str">
        <f>IFERROR(__xludf.DUMMYFUNCTION("""COMPUTED_VALUE"""),"CABO SOLTEIRO")</f>
        <v>CABO SOLTEIRO</v>
      </c>
      <c r="C2248" s="86">
        <f>IFERROR(__xludf.DUMMYFUNCTION("""COMPUTED_VALUE"""),8.0)</f>
        <v>8</v>
      </c>
      <c r="D2248" s="87" t="str">
        <f>IFERROR(__xludf.DUMMYFUNCTION("""COMPUTED_VALUE"""),"SEÇÃO")</f>
        <v>SEÇÃO</v>
      </c>
      <c r="E2248" s="87" t="str">
        <f>IFERROR(__xludf.DUMMYFUNCTION("""COMPUTED_VALUE"""),"3 - SETOR DE MEIOS")</f>
        <v>3 - SETOR DE MEIOS</v>
      </c>
      <c r="F2248" s="92" t="str">
        <f>IFERROR(__xludf.DUMMYFUNCTION("""COMPUTED_VALUE"""),"MATERIAL DE MERGULHO")</f>
        <v>MATERIAL DE MERGULHO</v>
      </c>
      <c r="G2248" s="89">
        <f>IFERROR(__xludf.DUMMYFUNCTION("""COMPUTED_VALUE"""),45623.0)</f>
        <v>45623</v>
      </c>
      <c r="H2248" s="87"/>
      <c r="I2248" s="87" t="str">
        <f>IFERROR(__xludf.DUMMYFUNCTION("""COMPUTED_VALUE""")," DOIS ENCONTRAM-SE AMARRANDO O BOTE *(BOLSA VERDE)")</f>
        <v> DOIS ENCONTRAM-SE AMARRANDO O BOTE *(BOLSA VERDE)</v>
      </c>
    </row>
    <row r="2249">
      <c r="A2249" s="84">
        <f>IFERROR(__xludf.DUMMYFUNCTION("""COMPUTED_VALUE"""),459.0)</f>
        <v>459</v>
      </c>
      <c r="B2249" s="85" t="str">
        <f>IFERROR(__xludf.DUMMYFUNCTION("""COMPUTED_VALUE"""),"CARRETILHA ")</f>
        <v>CARRETILHA </v>
      </c>
      <c r="C2249" s="86">
        <f>IFERROR(__xludf.DUMMYFUNCTION("""COMPUTED_VALUE"""),2.0)</f>
        <v>2</v>
      </c>
      <c r="D2249" s="87" t="str">
        <f>IFERROR(__xludf.DUMMYFUNCTION("""COMPUTED_VALUE"""),"SEÇÃO")</f>
        <v>SEÇÃO</v>
      </c>
      <c r="E2249" s="87" t="str">
        <f>IFERROR(__xludf.DUMMYFUNCTION("""COMPUTED_VALUE"""),"3 - SETOR DE MEIOS")</f>
        <v>3 - SETOR DE MEIOS</v>
      </c>
      <c r="F2249" s="92" t="str">
        <f>IFERROR(__xludf.DUMMYFUNCTION("""COMPUTED_VALUE"""),"MATERIAL DE MERGULHO")</f>
        <v>MATERIAL DE MERGULHO</v>
      </c>
      <c r="G2249" s="89">
        <f>IFERROR(__xludf.DUMMYFUNCTION("""COMPUTED_VALUE"""),45786.0)</f>
        <v>45786</v>
      </c>
      <c r="H2249" s="87"/>
      <c r="I2249" s="87"/>
    </row>
    <row r="2250">
      <c r="A2250" s="84">
        <f>IFERROR(__xludf.DUMMYFUNCTION("""COMPUTED_VALUE"""),460.0)</f>
        <v>460</v>
      </c>
      <c r="B2250" s="85" t="str">
        <f>IFERROR(__xludf.DUMMYFUNCTION("""COMPUTED_VALUE"""),"CARRINHO SUPORTE PARA MOTOR DE POPA")</f>
        <v>CARRINHO SUPORTE PARA MOTOR DE POPA</v>
      </c>
      <c r="C2250" s="86">
        <f>IFERROR(__xludf.DUMMYFUNCTION("""COMPUTED_VALUE"""),1.0)</f>
        <v>1</v>
      </c>
      <c r="D2250" s="87" t="str">
        <f>IFERROR(__xludf.DUMMYFUNCTION("""COMPUTED_VALUE"""),"SEÇÃO")</f>
        <v>SEÇÃO</v>
      </c>
      <c r="E2250" s="87" t="str">
        <f>IFERROR(__xludf.DUMMYFUNCTION("""COMPUTED_VALUE"""),"3 - SETOR DE MEIOS")</f>
        <v>3 - SETOR DE MEIOS</v>
      </c>
      <c r="F2250" s="92" t="str">
        <f>IFERROR(__xludf.DUMMYFUNCTION("""COMPUTED_VALUE"""),"MATERIAL DE MERGULHO")</f>
        <v>MATERIAL DE MERGULHO</v>
      </c>
      <c r="G2250" s="89"/>
      <c r="H2250" s="87"/>
      <c r="I2250" s="87"/>
    </row>
    <row r="2251">
      <c r="A2251" s="84">
        <f>IFERROR(__xludf.DUMMYFUNCTION("""COMPUTED_VALUE"""),461.0)</f>
        <v>461</v>
      </c>
      <c r="B2251" s="85" t="str">
        <f>IFERROR(__xludf.DUMMYFUNCTION("""COMPUTED_VALUE"""),"CATRACA 05 TON")</f>
        <v>CATRACA 05 TON</v>
      </c>
      <c r="C2251" s="86">
        <f>IFERROR(__xludf.DUMMYFUNCTION("""COMPUTED_VALUE"""),1.0)</f>
        <v>1</v>
      </c>
      <c r="D2251" s="87" t="str">
        <f>IFERROR(__xludf.DUMMYFUNCTION("""COMPUTED_VALUE"""),"SEÇÃO")</f>
        <v>SEÇÃO</v>
      </c>
      <c r="E2251" s="87" t="str">
        <f>IFERROR(__xludf.DUMMYFUNCTION("""COMPUTED_VALUE"""),"3 - SETOR DE MEIOS")</f>
        <v>3 - SETOR DE MEIOS</v>
      </c>
      <c r="F2251" s="92" t="str">
        <f>IFERROR(__xludf.DUMMYFUNCTION("""COMPUTED_VALUE"""),"MATERIAL DE MERGULHO")</f>
        <v>MATERIAL DE MERGULHO</v>
      </c>
      <c r="G2251" s="89">
        <f>IFERROR(__xludf.DUMMYFUNCTION("""COMPUTED_VALUE"""),45729.0)</f>
        <v>45729</v>
      </c>
      <c r="H2251" s="87"/>
      <c r="I2251" s="87"/>
    </row>
    <row r="2252">
      <c r="A2252" s="84">
        <f>IFERROR(__xludf.DUMMYFUNCTION("""COMPUTED_VALUE"""),462.0)</f>
        <v>462</v>
      </c>
      <c r="B2252" s="85" t="str">
        <f>IFERROR(__xludf.DUMMYFUNCTION("""COMPUTED_VALUE"""),"CATRACA 1,5 TON")</f>
        <v>CATRACA 1,5 TON</v>
      </c>
      <c r="C2252" s="86">
        <f>IFERROR(__xludf.DUMMYFUNCTION("""COMPUTED_VALUE"""),1.0)</f>
        <v>1</v>
      </c>
      <c r="D2252" s="87" t="str">
        <f>IFERROR(__xludf.DUMMYFUNCTION("""COMPUTED_VALUE"""),"SEÇÃO")</f>
        <v>SEÇÃO</v>
      </c>
      <c r="E2252" s="87" t="str">
        <f>IFERROR(__xludf.DUMMYFUNCTION("""COMPUTED_VALUE"""),"3 - SETOR DE MEIOS")</f>
        <v>3 - SETOR DE MEIOS</v>
      </c>
      <c r="F2252" s="92" t="str">
        <f>IFERROR(__xludf.DUMMYFUNCTION("""COMPUTED_VALUE"""),"MATERIAL DE MERGULHO")</f>
        <v>MATERIAL DE MERGULHO</v>
      </c>
      <c r="G2252" s="89">
        <f>IFERROR(__xludf.DUMMYFUNCTION("""COMPUTED_VALUE"""),45729.0)</f>
        <v>45729</v>
      </c>
      <c r="H2252" s="87"/>
      <c r="I2252" s="87"/>
    </row>
    <row r="2253">
      <c r="A2253" s="84">
        <f>IFERROR(__xludf.DUMMYFUNCTION("""COMPUTED_VALUE"""),463.0)</f>
        <v>463</v>
      </c>
      <c r="B2253" s="85" t="str">
        <f>IFERROR(__xludf.DUMMYFUNCTION("""COMPUTED_VALUE"""),"CAVALETE PARA SUPORTE DO MOTOR DE POPA")</f>
        <v>CAVALETE PARA SUPORTE DO MOTOR DE POPA</v>
      </c>
      <c r="C2253" s="86">
        <f>IFERROR(__xludf.DUMMYFUNCTION("""COMPUTED_VALUE"""),1.0)</f>
        <v>1</v>
      </c>
      <c r="D2253" s="87" t="str">
        <f>IFERROR(__xludf.DUMMYFUNCTION("""COMPUTED_VALUE"""),"SEÇÃO")</f>
        <v>SEÇÃO</v>
      </c>
      <c r="E2253" s="87" t="str">
        <f>IFERROR(__xludf.DUMMYFUNCTION("""COMPUTED_VALUE"""),"3 - SETOR DE MEIOS")</f>
        <v>3 - SETOR DE MEIOS</v>
      </c>
      <c r="F2253" s="92" t="str">
        <f>IFERROR(__xludf.DUMMYFUNCTION("""COMPUTED_VALUE"""),"MATERIAL DE MERGULHO")</f>
        <v>MATERIAL DE MERGULHO</v>
      </c>
      <c r="G2253" s="89"/>
      <c r="H2253" s="87"/>
      <c r="I2253" s="87"/>
    </row>
    <row r="2254">
      <c r="A2254" s="84">
        <f>IFERROR(__xludf.DUMMYFUNCTION("""COMPUTED_VALUE"""),464.0)</f>
        <v>464</v>
      </c>
      <c r="B2254" s="85" t="str">
        <f>IFERROR(__xludf.DUMMYFUNCTION("""COMPUTED_VALUE"""),"CHAVE DE BOCA/ESTRIA")</f>
        <v>CHAVE DE BOCA/ESTRIA</v>
      </c>
      <c r="C2254" s="86">
        <f>IFERROR(__xludf.DUMMYFUNCTION("""COMPUTED_VALUE"""),2.0)</f>
        <v>2</v>
      </c>
      <c r="D2254" s="87" t="str">
        <f>IFERROR(__xludf.DUMMYFUNCTION("""COMPUTED_VALUE"""),"SEÇÃO")</f>
        <v>SEÇÃO</v>
      </c>
      <c r="E2254" s="87" t="str">
        <f>IFERROR(__xludf.DUMMYFUNCTION("""COMPUTED_VALUE"""),"3 - SETOR DE MEIOS")</f>
        <v>3 - SETOR DE MEIOS</v>
      </c>
      <c r="F2254" s="92" t="str">
        <f>IFERROR(__xludf.DUMMYFUNCTION("""COMPUTED_VALUE"""),"MATERIAL DE MERGULHO")</f>
        <v>MATERIAL DE MERGULHO</v>
      </c>
      <c r="G2254" s="89">
        <f>IFERROR(__xludf.DUMMYFUNCTION("""COMPUTED_VALUE"""),45623.0)</f>
        <v>45623</v>
      </c>
      <c r="H2254" s="87"/>
      <c r="I2254" s="87" t="str">
        <f>IFERROR(__xludf.DUMMYFUNCTION("""COMPUTED_VALUE"""),"TAMANHO 11/8 (TRANCANDO A JANELA)")</f>
        <v>TAMANHO 11/8 (TRANCANDO A JANELA)</v>
      </c>
    </row>
    <row r="2255">
      <c r="A2255" s="84">
        <f>IFERROR(__xludf.DUMMYFUNCTION("""COMPUTED_VALUE"""),465.0)</f>
        <v>465</v>
      </c>
      <c r="B2255" s="85" t="str">
        <f>IFERROR(__xludf.DUMMYFUNCTION("""COMPUTED_VALUE"""),"CILINDRO INUTILIZADO C/ BANDEIRA DA 5ª CIA IND BM")</f>
        <v>CILINDRO INUTILIZADO C/ BANDEIRA DA 5ª CIA IND BM</v>
      </c>
      <c r="C2255" s="86">
        <f>IFERROR(__xludf.DUMMYFUNCTION("""COMPUTED_VALUE"""),1.0)</f>
        <v>1</v>
      </c>
      <c r="D2255" s="87" t="str">
        <f>IFERROR(__xludf.DUMMYFUNCTION("""COMPUTED_VALUE"""),"SEÇÃO")</f>
        <v>SEÇÃO</v>
      </c>
      <c r="E2255" s="87" t="str">
        <f>IFERROR(__xludf.DUMMYFUNCTION("""COMPUTED_VALUE"""),"3 - SETOR DE MEIOS")</f>
        <v>3 - SETOR DE MEIOS</v>
      </c>
      <c r="F2255" s="92" t="str">
        <f>IFERROR(__xludf.DUMMYFUNCTION("""COMPUTED_VALUE"""),"MATERIAL DE MERGULHO")</f>
        <v>MATERIAL DE MERGULHO</v>
      </c>
      <c r="G2255" s="89">
        <f>IFERROR(__xludf.DUMMYFUNCTION("""COMPUTED_VALUE"""),45623.0)</f>
        <v>45623</v>
      </c>
      <c r="H2255" s="87"/>
      <c r="I2255" s="87"/>
    </row>
    <row r="2256">
      <c r="A2256" s="84">
        <f>IFERROR(__xludf.DUMMYFUNCTION("""COMPUTED_VALUE"""),466.0)</f>
        <v>466</v>
      </c>
      <c r="B2256" s="85" t="str">
        <f>IFERROR(__xludf.DUMMYFUNCTION("""COMPUTED_VALUE"""),"CINTO DE LASTRO")</f>
        <v>CINTO DE LASTRO</v>
      </c>
      <c r="C2256" s="86">
        <f>IFERROR(__xludf.DUMMYFUNCTION("""COMPUTED_VALUE"""),7.0)</f>
        <v>7</v>
      </c>
      <c r="D2256" s="87" t="str">
        <f>IFERROR(__xludf.DUMMYFUNCTION("""COMPUTED_VALUE"""),"SEÇÃO")</f>
        <v>SEÇÃO</v>
      </c>
      <c r="E2256" s="87" t="str">
        <f>IFERROR(__xludf.DUMMYFUNCTION("""COMPUTED_VALUE"""),"3 - SETOR DE MEIOS")</f>
        <v>3 - SETOR DE MEIOS</v>
      </c>
      <c r="F2256" s="92" t="str">
        <f>IFERROR(__xludf.DUMMYFUNCTION("""COMPUTED_VALUE"""),"MATERIAL DE MERGULHO")</f>
        <v>MATERIAL DE MERGULHO</v>
      </c>
      <c r="G2256" s="89">
        <f>IFERROR(__xludf.DUMMYFUNCTION("""COMPUTED_VALUE"""),45623.0)</f>
        <v>45623</v>
      </c>
      <c r="H2256" s="87"/>
      <c r="I2256" s="87"/>
    </row>
    <row r="2257">
      <c r="A2257" s="84">
        <f>IFERROR(__xludf.DUMMYFUNCTION("""COMPUTED_VALUE"""),467.0)</f>
        <v>467</v>
      </c>
      <c r="B2257" s="85" t="str">
        <f>IFERROR(__xludf.DUMMYFUNCTION("""COMPUTED_VALUE"""),"COLETE EQUILIBRADOR PARA MERGULHO")</f>
        <v>COLETE EQUILIBRADOR PARA MERGULHO</v>
      </c>
      <c r="C2257" s="86">
        <f>IFERROR(__xludf.DUMMYFUNCTION("""COMPUTED_VALUE"""),3.0)</f>
        <v>3</v>
      </c>
      <c r="D2257" s="87" t="str">
        <f>IFERROR(__xludf.DUMMYFUNCTION("""COMPUTED_VALUE"""),"SEÇÃO")</f>
        <v>SEÇÃO</v>
      </c>
      <c r="E2257" s="87" t="str">
        <f>IFERROR(__xludf.DUMMYFUNCTION("""COMPUTED_VALUE"""),"3 - SETOR DE MEIOS")</f>
        <v>3 - SETOR DE MEIOS</v>
      </c>
      <c r="F2257" s="92" t="str">
        <f>IFERROR(__xludf.DUMMYFUNCTION("""COMPUTED_VALUE"""),"MATERIAL DE MERGULHO")</f>
        <v>MATERIAL DE MERGULHO</v>
      </c>
      <c r="G2257" s="89"/>
      <c r="H2257" s="87"/>
      <c r="I2257" s="87" t="str">
        <f>IFERROR(__xludf.DUMMYFUNCTION("""COMPUTED_VALUE"""),"TIPO JACKET")</f>
        <v>TIPO JACKET</v>
      </c>
    </row>
    <row r="2258">
      <c r="A2258" s="84">
        <f>IFERROR(__xludf.DUMMYFUNCTION("""COMPUTED_VALUE"""),468.0)</f>
        <v>468</v>
      </c>
      <c r="B2258" s="85" t="str">
        <f>IFERROR(__xludf.DUMMYFUNCTION("""COMPUTED_VALUE"""),"COLETE RESGATE AQUATICO -")</f>
        <v>COLETE RESGATE AQUATICO -</v>
      </c>
      <c r="C2258" s="86">
        <f>IFERROR(__xludf.DUMMYFUNCTION("""COMPUTED_VALUE"""),3.0)</f>
        <v>3</v>
      </c>
      <c r="D2258" s="87" t="str">
        <f>IFERROR(__xludf.DUMMYFUNCTION("""COMPUTED_VALUE"""),"SEÇÃO")</f>
        <v>SEÇÃO</v>
      </c>
      <c r="E2258" s="87" t="str">
        <f>IFERROR(__xludf.DUMMYFUNCTION("""COMPUTED_VALUE"""),"3 - SETOR DE MEIOS")</f>
        <v>3 - SETOR DE MEIOS</v>
      </c>
      <c r="F2258" s="92" t="str">
        <f>IFERROR(__xludf.DUMMYFUNCTION("""COMPUTED_VALUE"""),"MATERIAL DE MERGULHO")</f>
        <v>MATERIAL DE MERGULHO</v>
      </c>
      <c r="G2258" s="89">
        <f>IFERROR(__xludf.DUMMYFUNCTION("""COMPUTED_VALUE"""),45623.0)</f>
        <v>45623</v>
      </c>
      <c r="H2258" s="87"/>
      <c r="I2258" s="87" t="str">
        <f>IFERROR(__xludf.DUMMYFUNCTION("""COMPUTED_VALUE"""),"ISCA-VIVA")</f>
        <v>ISCA-VIVA</v>
      </c>
    </row>
    <row r="2259">
      <c r="A2259" s="84">
        <f>IFERROR(__xludf.DUMMYFUNCTION("""COMPUTED_VALUE"""),469.0)</f>
        <v>469</v>
      </c>
      <c r="B2259" s="85" t="str">
        <f>IFERROR(__xludf.DUMMYFUNCTION("""COMPUTED_VALUE"""),"CORDA PARA SALVAMENTO EM ALTURA - 30M")</f>
        <v>CORDA PARA SALVAMENTO EM ALTURA - 30M</v>
      </c>
      <c r="C2259" s="86">
        <f>IFERROR(__xludf.DUMMYFUNCTION("""COMPUTED_VALUE"""),2.0)</f>
        <v>2</v>
      </c>
      <c r="D2259" s="87" t="str">
        <f>IFERROR(__xludf.DUMMYFUNCTION("""COMPUTED_VALUE"""),"SEÇÃO")</f>
        <v>SEÇÃO</v>
      </c>
      <c r="E2259" s="87" t="str">
        <f>IFERROR(__xludf.DUMMYFUNCTION("""COMPUTED_VALUE"""),"3 - SETOR DE MEIOS")</f>
        <v>3 - SETOR DE MEIOS</v>
      </c>
      <c r="F2259" s="92" t="str">
        <f>IFERROR(__xludf.DUMMYFUNCTION("""COMPUTED_VALUE"""),"MATERIAL DE MERGULHO")</f>
        <v>MATERIAL DE MERGULHO</v>
      </c>
      <c r="G2259" s="89"/>
      <c r="H2259" s="87"/>
      <c r="I2259" s="87" t="str">
        <f>IFERROR(__xludf.DUMMYFUNCTION("""COMPUTED_VALUE"""),"*(BOLSA VERDE)")</f>
        <v>*(BOLSA VERDE)</v>
      </c>
    </row>
    <row r="2260">
      <c r="A2260" s="84">
        <f>IFERROR(__xludf.DUMMYFUNCTION("""COMPUTED_VALUE"""),470.0)</f>
        <v>470</v>
      </c>
      <c r="B2260" s="85" t="str">
        <f>IFERROR(__xludf.DUMMYFUNCTION("""COMPUTED_VALUE"""),"CROQUI")</f>
        <v>CROQUI</v>
      </c>
      <c r="C2260" s="86">
        <f>IFERROR(__xludf.DUMMYFUNCTION("""COMPUTED_VALUE"""),1.0)</f>
        <v>1</v>
      </c>
      <c r="D2260" s="87" t="str">
        <f>IFERROR(__xludf.DUMMYFUNCTION("""COMPUTED_VALUE"""),"SEÇÃO")</f>
        <v>SEÇÃO</v>
      </c>
      <c r="E2260" s="87" t="str">
        <f>IFERROR(__xludf.DUMMYFUNCTION("""COMPUTED_VALUE"""),"3 - SETOR DE MEIOS")</f>
        <v>3 - SETOR DE MEIOS</v>
      </c>
      <c r="F2260" s="92" t="str">
        <f>IFERROR(__xludf.DUMMYFUNCTION("""COMPUTED_VALUE"""),"MATERIAL DE MERGULHO")</f>
        <v>MATERIAL DE MERGULHO</v>
      </c>
      <c r="G2260" s="89">
        <f>IFERROR(__xludf.DUMMYFUNCTION("""COMPUTED_VALUE"""),45623.0)</f>
        <v>45623</v>
      </c>
      <c r="H2260" s="87"/>
      <c r="I2260" s="87" t="str">
        <f>IFERROR(__xludf.DUMMYFUNCTION("""COMPUTED_VALUE"""),"COM DUAS PEÇAS APENAS")</f>
        <v>COM DUAS PEÇAS APENAS</v>
      </c>
    </row>
    <row r="2261">
      <c r="A2261" s="84">
        <f>IFERROR(__xludf.DUMMYFUNCTION("""COMPUTED_VALUE"""),471.0)</f>
        <v>471</v>
      </c>
      <c r="B2261" s="85" t="str">
        <f>IFERROR(__xludf.DUMMYFUNCTION("""COMPUTED_VALUE"""),"DECO MARKER")</f>
        <v>DECO MARKER</v>
      </c>
      <c r="C2261" s="86">
        <f>IFERROR(__xludf.DUMMYFUNCTION("""COMPUTED_VALUE"""),1.0)</f>
        <v>1</v>
      </c>
      <c r="D2261" s="87" t="str">
        <f>IFERROR(__xludf.DUMMYFUNCTION("""COMPUTED_VALUE"""),"SEÇÃO")</f>
        <v>SEÇÃO</v>
      </c>
      <c r="E2261" s="87" t="str">
        <f>IFERROR(__xludf.DUMMYFUNCTION("""COMPUTED_VALUE"""),"3 - SETOR DE MEIOS")</f>
        <v>3 - SETOR DE MEIOS</v>
      </c>
      <c r="F2261" s="92" t="str">
        <f>IFERROR(__xludf.DUMMYFUNCTION("""COMPUTED_VALUE"""),"MATERIAL DE MERGULHO")</f>
        <v>MATERIAL DE MERGULHO</v>
      </c>
      <c r="G2261" s="89">
        <f>IFERROR(__xludf.DUMMYFUNCTION("""COMPUTED_VALUE"""),45786.0)</f>
        <v>45786</v>
      </c>
      <c r="H2261" s="87"/>
      <c r="I2261" s="87" t="str">
        <f>IFERROR(__xludf.DUMMYFUNCTION("""COMPUTED_VALUE"""),"VERDE")</f>
        <v>VERDE</v>
      </c>
    </row>
    <row r="2262">
      <c r="A2262" s="84">
        <f>IFERROR(__xludf.DUMMYFUNCTION("""COMPUTED_VALUE"""),472.0)</f>
        <v>472</v>
      </c>
      <c r="B2262" s="85" t="str">
        <f>IFERROR(__xludf.DUMMYFUNCTION("""COMPUTED_VALUE"""),"DECO MARKER")</f>
        <v>DECO MARKER</v>
      </c>
      <c r="C2262" s="86">
        <f>IFERROR(__xludf.DUMMYFUNCTION("""COMPUTED_VALUE"""),1.0)</f>
        <v>1</v>
      </c>
      <c r="D2262" s="87" t="str">
        <f>IFERROR(__xludf.DUMMYFUNCTION("""COMPUTED_VALUE"""),"SEÇÃO")</f>
        <v>SEÇÃO</v>
      </c>
      <c r="E2262" s="87" t="str">
        <f>IFERROR(__xludf.DUMMYFUNCTION("""COMPUTED_VALUE"""),"3 - SETOR DE MEIOS")</f>
        <v>3 - SETOR DE MEIOS</v>
      </c>
      <c r="F2262" s="92" t="str">
        <f>IFERROR(__xludf.DUMMYFUNCTION("""COMPUTED_VALUE"""),"MATERIAL DE MERGULHO")</f>
        <v>MATERIAL DE MERGULHO</v>
      </c>
      <c r="G2262" s="89">
        <f>IFERROR(__xludf.DUMMYFUNCTION("""COMPUTED_VALUE"""),45786.0)</f>
        <v>45786</v>
      </c>
      <c r="H2262" s="87"/>
      <c r="I2262" s="87" t="str">
        <f>IFERROR(__xludf.DUMMYFUNCTION("""COMPUTED_VALUE"""),"VERMELHO")</f>
        <v>VERMELHO</v>
      </c>
    </row>
    <row r="2263">
      <c r="A2263" s="84">
        <f>IFERROR(__xludf.DUMMYFUNCTION("""COMPUTED_VALUE"""),473.0)</f>
        <v>473</v>
      </c>
      <c r="B2263" s="85" t="str">
        <f>IFERROR(__xludf.DUMMYFUNCTION("""COMPUTED_VALUE"""),"ESTANTE DE MADEIRA")</f>
        <v>ESTANTE DE MADEIRA</v>
      </c>
      <c r="C2263" s="86">
        <f>IFERROR(__xludf.DUMMYFUNCTION("""COMPUTED_VALUE"""),1.0)</f>
        <v>1</v>
      </c>
      <c r="D2263" s="87" t="str">
        <f>IFERROR(__xludf.DUMMYFUNCTION("""COMPUTED_VALUE"""),"SEÇÃO")</f>
        <v>SEÇÃO</v>
      </c>
      <c r="E2263" s="87" t="str">
        <f>IFERROR(__xludf.DUMMYFUNCTION("""COMPUTED_VALUE"""),"3 - SETOR DE MEIOS")</f>
        <v>3 - SETOR DE MEIOS</v>
      </c>
      <c r="F2263" s="92" t="str">
        <f>IFERROR(__xludf.DUMMYFUNCTION("""COMPUTED_VALUE"""),"MATERIAL DE MERGULHO")</f>
        <v>MATERIAL DE MERGULHO</v>
      </c>
      <c r="G2263" s="89">
        <f>IFERROR(__xludf.DUMMYFUNCTION("""COMPUTED_VALUE"""),45623.0)</f>
        <v>45623</v>
      </c>
      <c r="H2263" s="87"/>
      <c r="I2263" s="87"/>
    </row>
    <row r="2264">
      <c r="A2264" s="84">
        <f>IFERROR(__xludf.DUMMYFUNCTION("""COMPUTED_VALUE"""),474.0)</f>
        <v>474</v>
      </c>
      <c r="B2264" s="85" t="str">
        <f>IFERROR(__xludf.DUMMYFUNCTION("""COMPUTED_VALUE"""),"FACA DE MERGULHO")</f>
        <v>FACA DE MERGULHO</v>
      </c>
      <c r="C2264" s="86">
        <f>IFERROR(__xludf.DUMMYFUNCTION("""COMPUTED_VALUE"""),2.0)</f>
        <v>2</v>
      </c>
      <c r="D2264" s="87" t="str">
        <f>IFERROR(__xludf.DUMMYFUNCTION("""COMPUTED_VALUE"""),"SEÇÃO")</f>
        <v>SEÇÃO</v>
      </c>
      <c r="E2264" s="87" t="str">
        <f>IFERROR(__xludf.DUMMYFUNCTION("""COMPUTED_VALUE"""),"3 - SETOR DE MEIOS")</f>
        <v>3 - SETOR DE MEIOS</v>
      </c>
      <c r="F2264" s="92" t="str">
        <f>IFERROR(__xludf.DUMMYFUNCTION("""COMPUTED_VALUE"""),"MATERIAL DE MERGULHO")</f>
        <v>MATERIAL DE MERGULHO</v>
      </c>
      <c r="G2264" s="89">
        <f>IFERROR(__xludf.DUMMYFUNCTION("""COMPUTED_VALUE"""),45786.0)</f>
        <v>45786</v>
      </c>
      <c r="H2264" s="87"/>
      <c r="I2264" s="87"/>
    </row>
    <row r="2265">
      <c r="A2265" s="84">
        <f>IFERROR(__xludf.DUMMYFUNCTION("""COMPUTED_VALUE"""),475.0)</f>
        <v>475</v>
      </c>
      <c r="B2265" s="85" t="str">
        <f>IFERROR(__xludf.DUMMYFUNCTION("""COMPUTED_VALUE"""),"FLUTUADOR PARA SALVAMENTO AQUATICO -")</f>
        <v>FLUTUADOR PARA SALVAMENTO AQUATICO -</v>
      </c>
      <c r="C2265" s="86">
        <f>IFERROR(__xludf.DUMMYFUNCTION("""COMPUTED_VALUE"""),2.0)</f>
        <v>2</v>
      </c>
      <c r="D2265" s="87" t="str">
        <f>IFERROR(__xludf.DUMMYFUNCTION("""COMPUTED_VALUE"""),"SEÇÃO")</f>
        <v>SEÇÃO</v>
      </c>
      <c r="E2265" s="87" t="str">
        <f>IFERROR(__xludf.DUMMYFUNCTION("""COMPUTED_VALUE"""),"3 - SETOR DE MEIOS")</f>
        <v>3 - SETOR DE MEIOS</v>
      </c>
      <c r="F2265" s="92" t="str">
        <f>IFERROR(__xludf.DUMMYFUNCTION("""COMPUTED_VALUE"""),"MATERIAL DE MERGULHO")</f>
        <v>MATERIAL DE MERGULHO</v>
      </c>
      <c r="G2265" s="89">
        <f>IFERROR(__xludf.DUMMYFUNCTION("""COMPUTED_VALUE"""),45623.0)</f>
        <v>45623</v>
      </c>
      <c r="H2265" s="87"/>
      <c r="I2265" s="87" t="str">
        <f>IFERROR(__xludf.DUMMYFUNCTION("""COMPUTED_VALUE"""),"FLUT-SPUMA")</f>
        <v>FLUT-SPUMA</v>
      </c>
    </row>
    <row r="2266">
      <c r="A2266" s="84">
        <f>IFERROR(__xludf.DUMMYFUNCTION("""COMPUTED_VALUE"""),476.0)</f>
        <v>476</v>
      </c>
      <c r="B2266" s="85" t="str">
        <f>IFERROR(__xludf.DUMMYFUNCTION("""COMPUTED_VALUE"""),"GARATEIA")</f>
        <v>GARATEIA</v>
      </c>
      <c r="C2266" s="86">
        <f>IFERROR(__xludf.DUMMYFUNCTION("""COMPUTED_VALUE"""),2.0)</f>
        <v>2</v>
      </c>
      <c r="D2266" s="87" t="str">
        <f>IFERROR(__xludf.DUMMYFUNCTION("""COMPUTED_VALUE"""),"SEÇÃO")</f>
        <v>SEÇÃO</v>
      </c>
      <c r="E2266" s="87" t="str">
        <f>IFERROR(__xludf.DUMMYFUNCTION("""COMPUTED_VALUE"""),"3 - SETOR DE MEIOS")</f>
        <v>3 - SETOR DE MEIOS</v>
      </c>
      <c r="F2266" s="92" t="str">
        <f>IFERROR(__xludf.DUMMYFUNCTION("""COMPUTED_VALUE"""),"MATERIAL DE MERGULHO")</f>
        <v>MATERIAL DE MERGULHO</v>
      </c>
      <c r="G2266" s="89">
        <f>IFERROR(__xludf.DUMMYFUNCTION("""COMPUTED_VALUE"""),45623.0)</f>
        <v>45623</v>
      </c>
      <c r="H2266" s="87"/>
      <c r="I2266" s="87"/>
    </row>
    <row r="2267">
      <c r="A2267" s="84">
        <f>IFERROR(__xludf.DUMMYFUNCTION("""COMPUTED_VALUE"""),477.0)</f>
        <v>477</v>
      </c>
      <c r="B2267" s="85" t="str">
        <f>IFERROR(__xludf.DUMMYFUNCTION("""COMPUTED_VALUE"""),"LANTERNA DE MERGULHO")</f>
        <v>LANTERNA DE MERGULHO</v>
      </c>
      <c r="C2267" s="86">
        <f>IFERROR(__xludf.DUMMYFUNCTION("""COMPUTED_VALUE"""),2.0)</f>
        <v>2</v>
      </c>
      <c r="D2267" s="87" t="str">
        <f>IFERROR(__xludf.DUMMYFUNCTION("""COMPUTED_VALUE"""),"SEÇÃO")</f>
        <v>SEÇÃO</v>
      </c>
      <c r="E2267" s="87" t="str">
        <f>IFERROR(__xludf.DUMMYFUNCTION("""COMPUTED_VALUE"""),"3 - SETOR DE MEIOS")</f>
        <v>3 - SETOR DE MEIOS</v>
      </c>
      <c r="F2267" s="92" t="str">
        <f>IFERROR(__xludf.DUMMYFUNCTION("""COMPUTED_VALUE"""),"MATERIAL DE MERGULHO")</f>
        <v>MATERIAL DE MERGULHO</v>
      </c>
      <c r="G2267" s="89">
        <f>IFERROR(__xludf.DUMMYFUNCTION("""COMPUTED_VALUE"""),45786.0)</f>
        <v>45786</v>
      </c>
      <c r="H2267" s="87"/>
      <c r="I2267" s="87"/>
    </row>
    <row r="2268">
      <c r="A2268" s="84">
        <f>IFERROR(__xludf.DUMMYFUNCTION("""COMPUTED_VALUE"""),478.0)</f>
        <v>478</v>
      </c>
      <c r="B2268" s="85" t="str">
        <f>IFERROR(__xludf.DUMMYFUNCTION("""COMPUTED_VALUE"""),"LIFT BAG 60 L")</f>
        <v>LIFT BAG 60 L</v>
      </c>
      <c r="C2268" s="86">
        <f>IFERROR(__xludf.DUMMYFUNCTION("""COMPUTED_VALUE"""),1.0)</f>
        <v>1</v>
      </c>
      <c r="D2268" s="87" t="str">
        <f>IFERROR(__xludf.DUMMYFUNCTION("""COMPUTED_VALUE"""),"SEÇÃO")</f>
        <v>SEÇÃO</v>
      </c>
      <c r="E2268" s="87" t="str">
        <f>IFERROR(__xludf.DUMMYFUNCTION("""COMPUTED_VALUE"""),"3 - SETOR DE MEIOS")</f>
        <v>3 - SETOR DE MEIOS</v>
      </c>
      <c r="F2268" s="92" t="str">
        <f>IFERROR(__xludf.DUMMYFUNCTION("""COMPUTED_VALUE"""),"MATERIAL DE MERGULHO")</f>
        <v>MATERIAL DE MERGULHO</v>
      </c>
      <c r="G2268" s="89">
        <f>IFERROR(__xludf.DUMMYFUNCTION("""COMPUTED_VALUE"""),45786.0)</f>
        <v>45786</v>
      </c>
      <c r="H2268" s="87"/>
      <c r="I2268" s="87"/>
    </row>
    <row r="2269">
      <c r="A2269" s="84">
        <f>IFERROR(__xludf.DUMMYFUNCTION("""COMPUTED_VALUE"""),479.0)</f>
        <v>479</v>
      </c>
      <c r="B2269" s="85" t="str">
        <f>IFERROR(__xludf.DUMMYFUNCTION("""COMPUTED_VALUE"""),"MANEQUIM")</f>
        <v>MANEQUIM</v>
      </c>
      <c r="C2269" s="86">
        <f>IFERROR(__xludf.DUMMYFUNCTION("""COMPUTED_VALUE"""),1.0)</f>
        <v>1</v>
      </c>
      <c r="D2269" s="87" t="str">
        <f>IFERROR(__xludf.DUMMYFUNCTION("""COMPUTED_VALUE"""),"SEÇÃO")</f>
        <v>SEÇÃO</v>
      </c>
      <c r="E2269" s="87" t="str">
        <f>IFERROR(__xludf.DUMMYFUNCTION("""COMPUTED_VALUE"""),"3 - SETOR DE MEIOS")</f>
        <v>3 - SETOR DE MEIOS</v>
      </c>
      <c r="F2269" s="92" t="str">
        <f>IFERROR(__xludf.DUMMYFUNCTION("""COMPUTED_VALUE"""),"MATERIAL DE MERGULHO")</f>
        <v>MATERIAL DE MERGULHO</v>
      </c>
      <c r="G2269" s="89">
        <f>IFERROR(__xludf.DUMMYFUNCTION("""COMPUTED_VALUE"""),45623.0)</f>
        <v>45623</v>
      </c>
      <c r="H2269" s="87"/>
      <c r="I2269" s="87"/>
    </row>
    <row r="2270">
      <c r="A2270" s="84">
        <f>IFERROR(__xludf.DUMMYFUNCTION("""COMPUTED_VALUE"""),480.0)</f>
        <v>480</v>
      </c>
      <c r="B2270" s="85" t="str">
        <f>IFERROR(__xludf.DUMMYFUNCTION("""COMPUTED_VALUE"""),"MASCARAS PARA MERGULHADORES -")</f>
        <v>MASCARAS PARA MERGULHADORES -</v>
      </c>
      <c r="C2270" s="86">
        <f>IFERROR(__xludf.DUMMYFUNCTION("""COMPUTED_VALUE"""),3.0)</f>
        <v>3</v>
      </c>
      <c r="D2270" s="87" t="str">
        <f>IFERROR(__xludf.DUMMYFUNCTION("""COMPUTED_VALUE"""),"SEÇÃO")</f>
        <v>SEÇÃO</v>
      </c>
      <c r="E2270" s="87" t="str">
        <f>IFERROR(__xludf.DUMMYFUNCTION("""COMPUTED_VALUE"""),"3 - SETOR DE MEIOS")</f>
        <v>3 - SETOR DE MEIOS</v>
      </c>
      <c r="F2270" s="92" t="str">
        <f>IFERROR(__xludf.DUMMYFUNCTION("""COMPUTED_VALUE"""),"MATERIAL DE MERGULHO")</f>
        <v>MATERIAL DE MERGULHO</v>
      </c>
      <c r="G2270" s="89">
        <f>IFERROR(__xludf.DUMMYFUNCTION("""COMPUTED_VALUE"""),45623.0)</f>
        <v>45623</v>
      </c>
      <c r="H2270" s="87"/>
      <c r="I2270" s="87"/>
    </row>
    <row r="2271">
      <c r="A2271" s="84">
        <f>IFERROR(__xludf.DUMMYFUNCTION("""COMPUTED_VALUE"""),481.0)</f>
        <v>481</v>
      </c>
      <c r="B2271" s="85" t="str">
        <f>IFERROR(__xludf.DUMMYFUNCTION("""COMPUTED_VALUE"""),"NADADEIRA PARA MERGULHO E SALVAMENTO FECHADA - (PAR)")</f>
        <v>NADADEIRA PARA MERGULHO E SALVAMENTO FECHADA - (PAR)</v>
      </c>
      <c r="C2271" s="86">
        <f>IFERROR(__xludf.DUMMYFUNCTION("""COMPUTED_VALUE"""),2.0)</f>
        <v>2</v>
      </c>
      <c r="D2271" s="87" t="str">
        <f>IFERROR(__xludf.DUMMYFUNCTION("""COMPUTED_VALUE"""),"SEÇÃO")</f>
        <v>SEÇÃO</v>
      </c>
      <c r="E2271" s="87" t="str">
        <f>IFERROR(__xludf.DUMMYFUNCTION("""COMPUTED_VALUE"""),"3 - SETOR DE MEIOS")</f>
        <v>3 - SETOR DE MEIOS</v>
      </c>
      <c r="F2271" s="92" t="str">
        <f>IFERROR(__xludf.DUMMYFUNCTION("""COMPUTED_VALUE"""),"MATERIAL DE MERGULHO")</f>
        <v>MATERIAL DE MERGULHO</v>
      </c>
      <c r="G2271" s="89">
        <f>IFERROR(__xludf.DUMMYFUNCTION("""COMPUTED_VALUE"""),45623.0)</f>
        <v>45623</v>
      </c>
      <c r="H2271" s="87"/>
      <c r="I2271" s="87"/>
    </row>
    <row r="2272">
      <c r="A2272" s="84">
        <f>IFERROR(__xludf.DUMMYFUNCTION("""COMPUTED_VALUE"""),482.0)</f>
        <v>482</v>
      </c>
      <c r="B2272" s="85" t="str">
        <f>IFERROR(__xludf.DUMMYFUNCTION("""COMPUTED_VALUE"""),"PESO DE LASTRO")</f>
        <v>PESO DE LASTRO</v>
      </c>
      <c r="C2272" s="86">
        <f>IFERROR(__xludf.DUMMYFUNCTION("""COMPUTED_VALUE"""),30.0)</f>
        <v>30</v>
      </c>
      <c r="D2272" s="87" t="str">
        <f>IFERROR(__xludf.DUMMYFUNCTION("""COMPUTED_VALUE"""),"SEÇÃO")</f>
        <v>SEÇÃO</v>
      </c>
      <c r="E2272" s="87" t="str">
        <f>IFERROR(__xludf.DUMMYFUNCTION("""COMPUTED_VALUE"""),"3 - SETOR DE MEIOS")</f>
        <v>3 - SETOR DE MEIOS</v>
      </c>
      <c r="F2272" s="92" t="str">
        <f>IFERROR(__xludf.DUMMYFUNCTION("""COMPUTED_VALUE"""),"MATERIAL DE MERGULHO")</f>
        <v>MATERIAL DE MERGULHO</v>
      </c>
      <c r="G2272" s="89">
        <f>IFERROR(__xludf.DUMMYFUNCTION("""COMPUTED_VALUE"""),45623.0)</f>
        <v>45623</v>
      </c>
      <c r="H2272" s="87"/>
      <c r="I2272" s="87"/>
    </row>
    <row r="2273">
      <c r="A2273" s="84">
        <f>IFERROR(__xludf.DUMMYFUNCTION("""COMPUTED_VALUE"""),483.0)</f>
        <v>483</v>
      </c>
      <c r="B2273" s="85" t="str">
        <f>IFERROR(__xludf.DUMMYFUNCTION("""COMPUTED_VALUE"""),"POITA")</f>
        <v>POITA</v>
      </c>
      <c r="C2273" s="86">
        <f>IFERROR(__xludf.DUMMYFUNCTION("""COMPUTED_VALUE"""),7.0)</f>
        <v>7</v>
      </c>
      <c r="D2273" s="87" t="str">
        <f>IFERROR(__xludf.DUMMYFUNCTION("""COMPUTED_VALUE"""),"SEÇÃO")</f>
        <v>SEÇÃO</v>
      </c>
      <c r="E2273" s="87" t="str">
        <f>IFERROR(__xludf.DUMMYFUNCTION("""COMPUTED_VALUE"""),"3 - SETOR DE MEIOS")</f>
        <v>3 - SETOR DE MEIOS</v>
      </c>
      <c r="F2273" s="92" t="str">
        <f>IFERROR(__xludf.DUMMYFUNCTION("""COMPUTED_VALUE"""),"MATERIAL DE MERGULHO")</f>
        <v>MATERIAL DE MERGULHO</v>
      </c>
      <c r="G2273" s="89"/>
      <c r="H2273" s="87"/>
      <c r="I2273" s="87"/>
    </row>
    <row r="2274">
      <c r="A2274" s="84">
        <f>IFERROR(__xludf.DUMMYFUNCTION("""COMPUTED_VALUE"""),484.0)</f>
        <v>484</v>
      </c>
      <c r="B2274" s="85" t="str">
        <f>IFERROR(__xludf.DUMMYFUNCTION("""COMPUTED_VALUE"""),"REGULADOR DE MERGULHO COMPLETO (1º E 2º ESTÁGIO)")</f>
        <v>REGULADOR DE MERGULHO COMPLETO (1º E 2º ESTÁGIO)</v>
      </c>
      <c r="C2274" s="86">
        <f>IFERROR(__xludf.DUMMYFUNCTION("""COMPUTED_VALUE"""),3.0)</f>
        <v>3</v>
      </c>
      <c r="D2274" s="87" t="str">
        <f>IFERROR(__xludf.DUMMYFUNCTION("""COMPUTED_VALUE"""),"SEÇÃO")</f>
        <v>SEÇÃO</v>
      </c>
      <c r="E2274" s="87" t="str">
        <f>IFERROR(__xludf.DUMMYFUNCTION("""COMPUTED_VALUE"""),"3 - SETOR DE MEIOS")</f>
        <v>3 - SETOR DE MEIOS</v>
      </c>
      <c r="F2274" s="92" t="str">
        <f>IFERROR(__xludf.DUMMYFUNCTION("""COMPUTED_VALUE"""),"MATERIAL DE MERGULHO")</f>
        <v>MATERIAL DE MERGULHO</v>
      </c>
      <c r="G2274" s="89">
        <f>IFERROR(__xludf.DUMMYFUNCTION("""COMPUTED_VALUE"""),45623.0)</f>
        <v>45623</v>
      </c>
      <c r="H2274" s="87"/>
      <c r="I2274" s="87" t="str">
        <f>IFERROR(__xludf.DUMMYFUNCTION("""COMPUTED_VALUE"""),"OBS: 05 REGULADORES FORAM RECOLHIDOS PELO SUPRIMENTOS")</f>
        <v>OBS: 05 REGULADORES FORAM RECOLHIDOS PELO SUPRIMENTOS</v>
      </c>
    </row>
    <row r="2275">
      <c r="A2275" s="84">
        <f>IFERROR(__xludf.DUMMYFUNCTION("""COMPUTED_VALUE"""),485.0)</f>
        <v>485</v>
      </c>
      <c r="B2275" s="85" t="str">
        <f>IFERROR(__xludf.DUMMYFUNCTION("""COMPUTED_VALUE"""),"GAIOLA DE METAL PARA CAPTURA DE ANIMAIS")</f>
        <v>GAIOLA DE METAL PARA CAPTURA DE ANIMAIS</v>
      </c>
      <c r="C2275" s="86">
        <f>IFERROR(__xludf.DUMMYFUNCTION("""COMPUTED_VALUE"""),2.0)</f>
        <v>2</v>
      </c>
      <c r="D2275" s="87" t="str">
        <f>IFERROR(__xludf.DUMMYFUNCTION("""COMPUTED_VALUE"""),"SEÇÃO")</f>
        <v>SEÇÃO</v>
      </c>
      <c r="E2275" s="87" t="str">
        <f>IFERROR(__xludf.DUMMYFUNCTION("""COMPUTED_VALUE"""),"3 - 1ª CIA OP")</f>
        <v>3 - 1ª CIA OP</v>
      </c>
      <c r="F2275" s="92" t="str">
        <f>IFERROR(__xludf.DUMMYFUNCTION("""COMPUTED_VALUE"""),"OFICINA")</f>
        <v>OFICINA</v>
      </c>
      <c r="G2275" s="89"/>
      <c r="H2275" s="87"/>
      <c r="I2275" s="87"/>
    </row>
    <row r="2276">
      <c r="A2276" s="84">
        <f>IFERROR(__xludf.DUMMYFUNCTION("""COMPUTED_VALUE"""),486.0)</f>
        <v>486</v>
      </c>
      <c r="B2276" s="85" t="str">
        <f>IFERROR(__xludf.DUMMYFUNCTION("""COMPUTED_VALUE"""),"REMO DE ALUMÍNIO")</f>
        <v>REMO DE ALUMÍNIO</v>
      </c>
      <c r="C2276" s="86">
        <f>IFERROR(__xludf.DUMMYFUNCTION("""COMPUTED_VALUE"""),6.0)</f>
        <v>6</v>
      </c>
      <c r="D2276" s="87" t="str">
        <f>IFERROR(__xludf.DUMMYFUNCTION("""COMPUTED_VALUE"""),"SEÇÃO")</f>
        <v>SEÇÃO</v>
      </c>
      <c r="E2276" s="87" t="str">
        <f>IFERROR(__xludf.DUMMYFUNCTION("""COMPUTED_VALUE"""),"3 - SETOR DE MEIOS")</f>
        <v>3 - SETOR DE MEIOS</v>
      </c>
      <c r="F2276" s="92" t="str">
        <f>IFERROR(__xludf.DUMMYFUNCTION("""COMPUTED_VALUE"""),"MATERIAL DE MERGULHO")</f>
        <v>MATERIAL DE MERGULHO</v>
      </c>
      <c r="G2276" s="89">
        <f>IFERROR(__xludf.DUMMYFUNCTION("""COMPUTED_VALUE"""),45623.0)</f>
        <v>45623</v>
      </c>
      <c r="H2276" s="87"/>
      <c r="I2276" s="87"/>
    </row>
    <row r="2277">
      <c r="A2277" s="84">
        <f>IFERROR(__xludf.DUMMYFUNCTION("""COMPUTED_VALUE"""),487.0)</f>
        <v>487</v>
      </c>
      <c r="B2277" s="85" t="str">
        <f>IFERROR(__xludf.DUMMYFUNCTION("""COMPUTED_VALUE"""),"BOTA DE NEOPRENE (PAR)")</f>
        <v>BOTA DE NEOPRENE (PAR)</v>
      </c>
      <c r="C2277" s="86">
        <f>IFERROR(__xludf.DUMMYFUNCTION("""COMPUTED_VALUE"""),3.0)</f>
        <v>3</v>
      </c>
      <c r="D2277" s="87" t="str">
        <f>IFERROR(__xludf.DUMMYFUNCTION("""COMPUTED_VALUE"""),"VIATURA")</f>
        <v>VIATURA</v>
      </c>
      <c r="E2277" s="87" t="str">
        <f>IFERROR(__xludf.DUMMYFUNCTION("""COMPUTED_VALUE"""),"1 - ASM3617")</f>
        <v>1 - ASM3617</v>
      </c>
      <c r="F2277" s="92" t="str">
        <f>IFERROR(__xludf.DUMMYFUNCTION("""COMPUTED_VALUE"""),"BOX 02")</f>
        <v>BOX 02</v>
      </c>
      <c r="G2277" s="89"/>
      <c r="H2277" s="87"/>
      <c r="I2277" s="87"/>
    </row>
    <row r="2278">
      <c r="A2278" s="84">
        <f>IFERROR(__xludf.DUMMYFUNCTION("""COMPUTED_VALUE"""),488.0)</f>
        <v>488</v>
      </c>
      <c r="B2278" s="85" t="str">
        <f>IFERROR(__xludf.DUMMYFUNCTION("""COMPUTED_VALUE"""),"ESCADA PROLONGÁVEL FIBRA")</f>
        <v>ESCADA PROLONGÁVEL FIBRA</v>
      </c>
      <c r="C2278" s="86">
        <f>IFERROR(__xludf.DUMMYFUNCTION("""COMPUTED_VALUE"""),1.0)</f>
        <v>1</v>
      </c>
      <c r="D2278" s="87" t="str">
        <f>IFERROR(__xludf.DUMMYFUNCTION("""COMPUTED_VALUE"""),"SEÇÃO")</f>
        <v>SEÇÃO</v>
      </c>
      <c r="E2278" s="87" t="str">
        <f>IFERROR(__xludf.DUMMYFUNCTION("""COMPUTED_VALUE"""),"3 - 1ª CIA OP")</f>
        <v>3 - 1ª CIA OP</v>
      </c>
      <c r="F2278" s="92" t="str">
        <f>IFERROR(__xludf.DUMMYFUNCTION("""COMPUTED_VALUE"""),"OFICINA")</f>
        <v>OFICINA</v>
      </c>
      <c r="G2278" s="89"/>
      <c r="H2278" s="87"/>
      <c r="I2278" s="87" t="str">
        <f>IFERROR(__xludf.DUMMYFUNCTION("""COMPUTED_VALUE"""),"POSSUI SOMENTE UM GANCHO")</f>
        <v>POSSUI SOMENTE UM GANCHO</v>
      </c>
    </row>
    <row r="2279">
      <c r="A2279" s="84">
        <f>IFERROR(__xludf.DUMMYFUNCTION("""COMPUTED_VALUE"""),489.0)</f>
        <v>489</v>
      </c>
      <c r="B2279" s="85" t="str">
        <f>IFERROR(__xludf.DUMMYFUNCTION("""COMPUTED_VALUE"""),"RETINIDA")</f>
        <v>RETINIDA</v>
      </c>
      <c r="C2279" s="86">
        <f>IFERROR(__xludf.DUMMYFUNCTION("""COMPUTED_VALUE"""),1.0)</f>
        <v>1</v>
      </c>
      <c r="D2279" s="87" t="str">
        <f>IFERROR(__xludf.DUMMYFUNCTION("""COMPUTED_VALUE"""),"SEÇÃO")</f>
        <v>SEÇÃO</v>
      </c>
      <c r="E2279" s="87" t="str">
        <f>IFERROR(__xludf.DUMMYFUNCTION("""COMPUTED_VALUE"""),"3 - SETOR DE MEIOS")</f>
        <v>3 - SETOR DE MEIOS</v>
      </c>
      <c r="F2279" s="92" t="str">
        <f>IFERROR(__xludf.DUMMYFUNCTION("""COMPUTED_VALUE"""),"MATERIAL DE MERGULHO")</f>
        <v>MATERIAL DE MERGULHO</v>
      </c>
      <c r="G2279" s="89"/>
      <c r="H2279" s="87"/>
      <c r="I2279" s="87" t="str">
        <f>IFERROR(__xludf.DUMMYFUNCTION("""COMPUTED_VALUE"""),"200 METROS *(BOLSA VERDE)")</f>
        <v>200 METROS *(BOLSA VERDE)</v>
      </c>
    </row>
    <row r="2280">
      <c r="A2280" s="84">
        <f>IFERROR(__xludf.DUMMYFUNCTION("""COMPUTED_VALUE"""),490.0)</f>
        <v>490</v>
      </c>
      <c r="B2280" s="85" t="str">
        <f>IFERROR(__xludf.DUMMYFUNCTION("""COMPUTED_VALUE"""),"ROUPA DE MERGULHO NEOPRENE -")</f>
        <v>ROUPA DE MERGULHO NEOPRENE -</v>
      </c>
      <c r="C2280" s="86">
        <f>IFERROR(__xludf.DUMMYFUNCTION("""COMPUTED_VALUE"""),6.0)</f>
        <v>6</v>
      </c>
      <c r="D2280" s="87" t="str">
        <f>IFERROR(__xludf.DUMMYFUNCTION("""COMPUTED_VALUE"""),"SEÇÃO")</f>
        <v>SEÇÃO</v>
      </c>
      <c r="E2280" s="87" t="str">
        <f>IFERROR(__xludf.DUMMYFUNCTION("""COMPUTED_VALUE"""),"3 - SETOR DE MEIOS")</f>
        <v>3 - SETOR DE MEIOS</v>
      </c>
      <c r="F2280" s="92" t="str">
        <f>IFERROR(__xludf.DUMMYFUNCTION("""COMPUTED_VALUE"""),"MATERIAL DE MERGULHO")</f>
        <v>MATERIAL DE MERGULHO</v>
      </c>
      <c r="G2280" s="89">
        <f>IFERROR(__xludf.DUMMYFUNCTION("""COMPUTED_VALUE"""),45623.0)</f>
        <v>45623</v>
      </c>
      <c r="H2280" s="87"/>
      <c r="I2280" s="87" t="str">
        <f>IFERROR(__xludf.DUMMYFUNCTION("""COMPUTED_VALUE"""),"* DOIS ENCONTRAM-SE ACAUTELADOS: ASP MARTINELLI E SD ASSUNÇÃO.")</f>
        <v>* DOIS ENCONTRAM-SE ACAUTELADOS: ASP MARTINELLI E SD ASSUNÇÃO.</v>
      </c>
    </row>
    <row r="2281">
      <c r="A2281" s="84">
        <f>IFERROR(__xludf.DUMMYFUNCTION("""COMPUTED_VALUE"""),491.0)</f>
        <v>491</v>
      </c>
      <c r="B2281" s="85" t="str">
        <f>IFERROR(__xludf.DUMMYFUNCTION("""COMPUTED_VALUE"""),"MANGOTE ")</f>
        <v>MANGOTE </v>
      </c>
      <c r="C2281" s="86">
        <f>IFERROR(__xludf.DUMMYFUNCTION("""COMPUTED_VALUE"""),3.0)</f>
        <v>3</v>
      </c>
      <c r="D2281" s="87" t="str">
        <f>IFERROR(__xludf.DUMMYFUNCTION("""COMPUTED_VALUE"""),"SEÇÃO")</f>
        <v>SEÇÃO</v>
      </c>
      <c r="E2281" s="87" t="str">
        <f>IFERROR(__xludf.DUMMYFUNCTION("""COMPUTED_VALUE"""),"3 - 1ª CIA OP")</f>
        <v>3 - 1ª CIA OP</v>
      </c>
      <c r="F2281" s="92" t="str">
        <f>IFERROR(__xludf.DUMMYFUNCTION("""COMPUTED_VALUE"""),"OFICINA")</f>
        <v>OFICINA</v>
      </c>
      <c r="G2281" s="89"/>
      <c r="H2281" s="87"/>
      <c r="I2281" s="87" t="str">
        <f>IFERROR(__xludf.DUMMYFUNCTION("""COMPUTED_VALUE"""),"NA BANCADA DE MANUTENÇÃO;")</f>
        <v>NA BANCADA DE MANUTENÇÃO;</v>
      </c>
    </row>
    <row r="2282">
      <c r="A2282" s="84">
        <f>IFERROR(__xludf.DUMMYFUNCTION("""COMPUTED_VALUE"""),492.0)</f>
        <v>492</v>
      </c>
      <c r="B2282" s="85" t="str">
        <f>IFERROR(__xludf.DUMMYFUNCTION("""COMPUTED_VALUE"""),"ROUPA DE MERGULHO NEOPRENE - TIPO JARDINEIRA")</f>
        <v>ROUPA DE MERGULHO NEOPRENE - TIPO JARDINEIRA</v>
      </c>
      <c r="C2282" s="86">
        <f>IFERROR(__xludf.DUMMYFUNCTION("""COMPUTED_VALUE"""),3.0)</f>
        <v>3</v>
      </c>
      <c r="D2282" s="87" t="str">
        <f>IFERROR(__xludf.DUMMYFUNCTION("""COMPUTED_VALUE"""),"SEÇÃO")</f>
        <v>SEÇÃO</v>
      </c>
      <c r="E2282" s="87" t="str">
        <f>IFERROR(__xludf.DUMMYFUNCTION("""COMPUTED_VALUE"""),"3 - SETOR DE MEIOS")</f>
        <v>3 - SETOR DE MEIOS</v>
      </c>
      <c r="F2282" s="92" t="str">
        <f>IFERROR(__xludf.DUMMYFUNCTION("""COMPUTED_VALUE"""),"MATERIAL DE MERGULHO")</f>
        <v>MATERIAL DE MERGULHO</v>
      </c>
      <c r="G2282" s="89">
        <f>IFERROR(__xludf.DUMMYFUNCTION("""COMPUTED_VALUE"""),45623.0)</f>
        <v>45623</v>
      </c>
      <c r="H2282" s="87"/>
      <c r="I2282" s="87"/>
    </row>
    <row r="2283">
      <c r="A2283" s="84">
        <f>IFERROR(__xludf.DUMMYFUNCTION("""COMPUTED_VALUE"""),493.0)</f>
        <v>493</v>
      </c>
      <c r="B2283" s="85" t="str">
        <f>IFERROR(__xludf.DUMMYFUNCTION("""COMPUTED_VALUE"""),"SACO PARA CADÁVER")</f>
        <v>SACO PARA CADÁVER</v>
      </c>
      <c r="C2283" s="86">
        <f>IFERROR(__xludf.DUMMYFUNCTION("""COMPUTED_VALUE"""),2.0)</f>
        <v>2</v>
      </c>
      <c r="D2283" s="87" t="str">
        <f>IFERROR(__xludf.DUMMYFUNCTION("""COMPUTED_VALUE"""),"SEÇÃO")</f>
        <v>SEÇÃO</v>
      </c>
      <c r="E2283" s="87" t="str">
        <f>IFERROR(__xludf.DUMMYFUNCTION("""COMPUTED_VALUE"""),"3 - SETOR DE MEIOS")</f>
        <v>3 - SETOR DE MEIOS</v>
      </c>
      <c r="F2283" s="92" t="str">
        <f>IFERROR(__xludf.DUMMYFUNCTION("""COMPUTED_VALUE"""),"MATERIAL DE MERGULHO")</f>
        <v>MATERIAL DE MERGULHO</v>
      </c>
      <c r="G2283" s="89">
        <f>IFERROR(__xludf.DUMMYFUNCTION("""COMPUTED_VALUE"""),45623.0)</f>
        <v>45623</v>
      </c>
      <c r="H2283" s="87"/>
      <c r="I2283" s="87"/>
    </row>
    <row r="2284">
      <c r="A2284" s="84">
        <f>IFERROR(__xludf.DUMMYFUNCTION("""COMPUTED_VALUE"""),494.0)</f>
        <v>494</v>
      </c>
      <c r="B2284" s="85" t="str">
        <f>IFERROR(__xludf.DUMMYFUNCTION("""COMPUTED_VALUE"""),"SNORKEL BOCAL, PARA MERGULHADOR -")</f>
        <v>SNORKEL BOCAL, PARA MERGULHADOR -</v>
      </c>
      <c r="C2284" s="86">
        <f>IFERROR(__xludf.DUMMYFUNCTION("""COMPUTED_VALUE"""),6.0)</f>
        <v>6</v>
      </c>
      <c r="D2284" s="87" t="str">
        <f>IFERROR(__xludf.DUMMYFUNCTION("""COMPUTED_VALUE"""),"SEÇÃO")</f>
        <v>SEÇÃO</v>
      </c>
      <c r="E2284" s="87" t="str">
        <f>IFERROR(__xludf.DUMMYFUNCTION("""COMPUTED_VALUE"""),"3 - SETOR DE MEIOS")</f>
        <v>3 - SETOR DE MEIOS</v>
      </c>
      <c r="F2284" s="92" t="str">
        <f>IFERROR(__xludf.DUMMYFUNCTION("""COMPUTED_VALUE"""),"MATERIAL DE MERGULHO")</f>
        <v>MATERIAL DE MERGULHO</v>
      </c>
      <c r="G2284" s="89">
        <f>IFERROR(__xludf.DUMMYFUNCTION("""COMPUTED_VALUE"""),45623.0)</f>
        <v>45623</v>
      </c>
      <c r="H2284" s="87"/>
      <c r="I2284" s="87"/>
    </row>
    <row r="2285">
      <c r="A2285" s="84">
        <f>IFERROR(__xludf.DUMMYFUNCTION("""COMPUTED_VALUE"""),495.0)</f>
        <v>495</v>
      </c>
      <c r="B2285" s="85" t="str">
        <f>IFERROR(__xludf.DUMMYFUNCTION("""COMPUTED_VALUE"""),"TAMBOR DE 120L")</f>
        <v>TAMBOR DE 120L</v>
      </c>
      <c r="C2285" s="86">
        <f>IFERROR(__xludf.DUMMYFUNCTION("""COMPUTED_VALUE"""),1.0)</f>
        <v>1</v>
      </c>
      <c r="D2285" s="87" t="str">
        <f>IFERROR(__xludf.DUMMYFUNCTION("""COMPUTED_VALUE"""),"SEÇÃO")</f>
        <v>SEÇÃO</v>
      </c>
      <c r="E2285" s="87" t="str">
        <f>IFERROR(__xludf.DUMMYFUNCTION("""COMPUTED_VALUE"""),"3 - SETOR DE MEIOS")</f>
        <v>3 - SETOR DE MEIOS</v>
      </c>
      <c r="F2285" s="92" t="str">
        <f>IFERROR(__xludf.DUMMYFUNCTION("""COMPUTED_VALUE"""),"MATERIAL DE MERGULHO")</f>
        <v>MATERIAL DE MERGULHO</v>
      </c>
      <c r="G2285" s="89"/>
      <c r="H2285" s="87"/>
      <c r="I2285" s="87"/>
    </row>
    <row r="2286">
      <c r="A2286" s="84">
        <f>IFERROR(__xludf.DUMMYFUNCTION("""COMPUTED_VALUE"""),496.0)</f>
        <v>496</v>
      </c>
      <c r="B2286" s="85" t="str">
        <f>IFERROR(__xludf.DUMMYFUNCTION("""COMPUTED_VALUE"""),"TAMBOR DE 50L")</f>
        <v>TAMBOR DE 50L</v>
      </c>
      <c r="C2286" s="86">
        <f>IFERROR(__xludf.DUMMYFUNCTION("""COMPUTED_VALUE"""),2.0)</f>
        <v>2</v>
      </c>
      <c r="D2286" s="87" t="str">
        <f>IFERROR(__xludf.DUMMYFUNCTION("""COMPUTED_VALUE"""),"SEÇÃO")</f>
        <v>SEÇÃO</v>
      </c>
      <c r="E2286" s="87" t="str">
        <f>IFERROR(__xludf.DUMMYFUNCTION("""COMPUTED_VALUE"""),"3 - SETOR DE MEIOS")</f>
        <v>3 - SETOR DE MEIOS</v>
      </c>
      <c r="F2286" s="92" t="str">
        <f>IFERROR(__xludf.DUMMYFUNCTION("""COMPUTED_VALUE"""),"MATERIAL DE MERGULHO")</f>
        <v>MATERIAL DE MERGULHO</v>
      </c>
      <c r="G2286" s="89">
        <f>IFERROR(__xludf.DUMMYFUNCTION("""COMPUTED_VALUE"""),45897.0)</f>
        <v>45897</v>
      </c>
      <c r="H2286" s="87"/>
      <c r="I2286" s="87"/>
    </row>
    <row r="2287">
      <c r="A2287" s="84">
        <f>IFERROR(__xludf.DUMMYFUNCTION("""COMPUTED_VALUE"""),497.0)</f>
        <v>497</v>
      </c>
      <c r="B2287" s="85" t="str">
        <f>IFERROR(__xludf.DUMMYFUNCTION("""COMPUTED_VALUE"""),"TANQUE DE COMBUSTÍVEL ")</f>
        <v>TANQUE DE COMBUSTÍVEL </v>
      </c>
      <c r="C2287" s="86">
        <f>IFERROR(__xludf.DUMMYFUNCTION("""COMPUTED_VALUE"""),2.0)</f>
        <v>2</v>
      </c>
      <c r="D2287" s="87" t="str">
        <f>IFERROR(__xludf.DUMMYFUNCTION("""COMPUTED_VALUE"""),"SEÇÃO")</f>
        <v>SEÇÃO</v>
      </c>
      <c r="E2287" s="87" t="str">
        <f>IFERROR(__xludf.DUMMYFUNCTION("""COMPUTED_VALUE"""),"3 - SETOR DE MEIOS")</f>
        <v>3 - SETOR DE MEIOS</v>
      </c>
      <c r="F2287" s="92" t="str">
        <f>IFERROR(__xludf.DUMMYFUNCTION("""COMPUTED_VALUE"""),"MATERIAL DE MERGULHO")</f>
        <v>MATERIAL DE MERGULHO</v>
      </c>
      <c r="G2287" s="89"/>
      <c r="H2287" s="87"/>
      <c r="I2287" s="87" t="str">
        <f>IFERROR(__xludf.DUMMYFUNCTION("""COMPUTED_VALUE"""),"COM BOMBA MANUAL (TOYAMA)")</f>
        <v>COM BOMBA MANUAL (TOYAMA)</v>
      </c>
    </row>
    <row r="2288">
      <c r="A2288" s="84">
        <f>IFERROR(__xludf.DUMMYFUNCTION("""COMPUTED_VALUE"""),498.0)</f>
        <v>498</v>
      </c>
      <c r="B2288" s="85" t="str">
        <f>IFERROR(__xludf.DUMMYFUNCTION("""COMPUTED_VALUE"""),"TOUCA NEOPRENE")</f>
        <v>TOUCA NEOPRENE</v>
      </c>
      <c r="C2288" s="86">
        <f>IFERROR(__xludf.DUMMYFUNCTION("""COMPUTED_VALUE"""),2.0)</f>
        <v>2</v>
      </c>
      <c r="D2288" s="87" t="str">
        <f>IFERROR(__xludf.DUMMYFUNCTION("""COMPUTED_VALUE"""),"SEÇÃO")</f>
        <v>SEÇÃO</v>
      </c>
      <c r="E2288" s="87" t="str">
        <f>IFERROR(__xludf.DUMMYFUNCTION("""COMPUTED_VALUE"""),"3 - SETOR DE MEIOS")</f>
        <v>3 - SETOR DE MEIOS</v>
      </c>
      <c r="F2288" s="92" t="str">
        <f>IFERROR(__xludf.DUMMYFUNCTION("""COMPUTED_VALUE"""),"MATERIAL DE MERGULHO")</f>
        <v>MATERIAL DE MERGULHO</v>
      </c>
      <c r="G2288" s="89">
        <f>IFERROR(__xludf.DUMMYFUNCTION("""COMPUTED_VALUE"""),45623.0)</f>
        <v>45623</v>
      </c>
      <c r="H2288" s="87"/>
      <c r="I2288" s="87"/>
    </row>
    <row r="2289">
      <c r="A2289" s="84">
        <f>IFERROR(__xludf.DUMMYFUNCTION("""COMPUTED_VALUE"""),499.0)</f>
        <v>499</v>
      </c>
      <c r="B2289" s="85" t="str">
        <f>IFERROR(__xludf.DUMMYFUNCTION("""COMPUTED_VALUE"""),"CAPACETE DE SALVAMENTO E PROTECAO -")</f>
        <v>CAPACETE DE SALVAMENTO E PROTECAO -</v>
      </c>
      <c r="C2289" s="86">
        <f>IFERROR(__xludf.DUMMYFUNCTION("""COMPUTED_VALUE"""),1.0)</f>
        <v>1</v>
      </c>
      <c r="D2289" s="87" t="str">
        <f>IFERROR(__xludf.DUMMYFUNCTION("""COMPUTED_VALUE"""),"SEÇÃO")</f>
        <v>SEÇÃO</v>
      </c>
      <c r="E2289" s="87" t="str">
        <f>IFERROR(__xludf.DUMMYFUNCTION("""COMPUTED_VALUE"""),"3 - ALMOX. ESTOQUE")</f>
        <v>3 - ALMOX. ESTOQUE</v>
      </c>
      <c r="F2289" s="92" t="str">
        <f>IFERROR(__xludf.DUMMYFUNCTION("""COMPUTED_VALUE"""),"ALMOX. SAO (SEDE)")</f>
        <v>ALMOX. SAO (SEDE)</v>
      </c>
      <c r="G2289" s="89">
        <f>IFERROR(__xludf.DUMMYFUNCTION("""COMPUTED_VALUE"""),45527.0)</f>
        <v>45527</v>
      </c>
      <c r="H2289" s="87"/>
      <c r="I2289" s="87" t="str">
        <f>IFERROR(__xludf.DUMMYFUNCTION("""COMPUTED_VALUE"""),"CAPACETE PARA CORTE DE ÁRVORE")</f>
        <v>CAPACETE PARA CORTE DE ÁRVORE</v>
      </c>
    </row>
    <row r="2290">
      <c r="A2290" s="84">
        <f>IFERROR(__xludf.DUMMYFUNCTION("""COMPUTED_VALUE"""),500.0)</f>
        <v>500</v>
      </c>
      <c r="B2290" s="85" t="str">
        <f>IFERROR(__xludf.DUMMYFUNCTION("""COMPUTED_VALUE"""),"SOPRADOR")</f>
        <v>SOPRADOR</v>
      </c>
      <c r="C2290" s="86">
        <f>IFERROR(__xludf.DUMMYFUNCTION("""COMPUTED_VALUE"""),1.0)</f>
        <v>1</v>
      </c>
      <c r="D2290" s="87" t="str">
        <f>IFERROR(__xludf.DUMMYFUNCTION("""COMPUTED_VALUE"""),"SEÇÃO")</f>
        <v>SEÇÃO</v>
      </c>
      <c r="E2290" s="87" t="str">
        <f>IFERROR(__xludf.DUMMYFUNCTION("""COMPUTED_VALUE"""),"3 - ALMOX. ESTOQUE")</f>
        <v>3 - ALMOX. ESTOQUE</v>
      </c>
      <c r="F2290" s="92" t="str">
        <f>IFERROR(__xludf.DUMMYFUNCTION("""COMPUTED_VALUE"""),"ALMOX. SAO (SEDE)")</f>
        <v>ALMOX. SAO (SEDE)</v>
      </c>
      <c r="G2290" s="89"/>
      <c r="H2290" s="87" t="str">
        <f>IFERROR(__xludf.DUMMYFUNCTION("""COMPUTED_VALUE"""),"N.S. 520191125")</f>
        <v>N.S. 520191125</v>
      </c>
      <c r="I2290" s="87" t="str">
        <f>IFERROR(__xludf.DUMMYFUNCTION("""COMPUTED_VALUE"""),"STIHL BR600")</f>
        <v>STIHL BR600</v>
      </c>
    </row>
    <row r="2291">
      <c r="A2291" s="84">
        <f>IFERROR(__xludf.DUMMYFUNCTION("""COMPUTED_VALUE"""),501.0)</f>
        <v>501</v>
      </c>
      <c r="B2291" s="85" t="str">
        <f>IFERROR(__xludf.DUMMYFUNCTION("""COMPUTED_VALUE"""),"ÓLEO LUBRIFICANTE 5W30")</f>
        <v>ÓLEO LUBRIFICANTE 5W30</v>
      </c>
      <c r="C2291" s="86">
        <f>IFERROR(__xludf.DUMMYFUNCTION("""COMPUTED_VALUE"""),20.0)</f>
        <v>20</v>
      </c>
      <c r="D2291" s="87" t="str">
        <f>IFERROR(__xludf.DUMMYFUNCTION("""COMPUTED_VALUE"""),"SEÇÃO")</f>
        <v>SEÇÃO</v>
      </c>
      <c r="E2291" s="87" t="str">
        <f>IFERROR(__xludf.DUMMYFUNCTION("""COMPUTED_VALUE"""),"3 - ALMOX. ESTOQUE")</f>
        <v>3 - ALMOX. ESTOQUE</v>
      </c>
      <c r="F2291" s="92" t="str">
        <f>IFERROR(__xludf.DUMMYFUNCTION("""COMPUTED_VALUE"""),"BOX 03")</f>
        <v>BOX 03</v>
      </c>
      <c r="G2291" s="89">
        <f>IFERROR(__xludf.DUMMYFUNCTION("""COMPUTED_VALUE"""),45513.0)</f>
        <v>45513</v>
      </c>
      <c r="H2291" s="87"/>
      <c r="I2291" s="87"/>
    </row>
    <row r="2292">
      <c r="A2292" s="84">
        <f>IFERROR(__xludf.DUMMYFUNCTION("""COMPUTED_VALUE"""),502.0)</f>
        <v>502</v>
      </c>
      <c r="B2292" s="85" t="str">
        <f>IFERROR(__xludf.DUMMYFUNCTION("""COMPUTED_VALUE"""),"FREIO OITO -")</f>
        <v>FREIO OITO -</v>
      </c>
      <c r="C2292" s="86">
        <f>IFERROR(__xludf.DUMMYFUNCTION("""COMPUTED_VALUE"""),5.0)</f>
        <v>5</v>
      </c>
      <c r="D2292" s="87" t="str">
        <f>IFERROR(__xludf.DUMMYFUNCTION("""COMPUTED_VALUE"""),"SEÇÃO")</f>
        <v>SEÇÃO</v>
      </c>
      <c r="E2292" s="87" t="str">
        <f>IFERROR(__xludf.DUMMYFUNCTION("""COMPUTED_VALUE"""),"3 - ALMOX. ESTOQUE")</f>
        <v>3 - ALMOX. ESTOQUE</v>
      </c>
      <c r="F2292" s="92" t="str">
        <f>IFERROR(__xludf.DUMMYFUNCTION("""COMPUTED_VALUE"""),"BOX 03")</f>
        <v>BOX 03</v>
      </c>
      <c r="G2292" s="89"/>
      <c r="H2292" s="87"/>
      <c r="I2292" s="87"/>
    </row>
    <row r="2293">
      <c r="A2293" s="84">
        <f>IFERROR(__xludf.DUMMYFUNCTION("""COMPUTED_VALUE"""),503.0)</f>
        <v>503</v>
      </c>
      <c r="B2293" s="85" t="str">
        <f>IFERROR(__xludf.DUMMYFUNCTION("""COMPUTED_VALUE"""),"DIVISOR 3 BOCAS")</f>
        <v>DIVISOR 3 BOCAS</v>
      </c>
      <c r="C2293" s="86">
        <f>IFERROR(__xludf.DUMMYFUNCTION("""COMPUTED_VALUE"""),1.0)</f>
        <v>1</v>
      </c>
      <c r="D2293" s="87" t="str">
        <f>IFERROR(__xludf.DUMMYFUNCTION("""COMPUTED_VALUE"""),"SEÇÃO")</f>
        <v>SEÇÃO</v>
      </c>
      <c r="E2293" s="87" t="str">
        <f>IFERROR(__xludf.DUMMYFUNCTION("""COMPUTED_VALUE"""),"3 - ALMOX. ESTOQUE")</f>
        <v>3 - ALMOX. ESTOQUE</v>
      </c>
      <c r="F2293" s="92" t="str">
        <f>IFERROR(__xludf.DUMMYFUNCTION("""COMPUTED_VALUE"""),"BOX 03")</f>
        <v>BOX 03</v>
      </c>
      <c r="G2293" s="89"/>
      <c r="H2293" s="87"/>
      <c r="I2293" s="87"/>
    </row>
    <row r="2294">
      <c r="A2294" s="84">
        <f>IFERROR(__xludf.DUMMYFUNCTION("""COMPUTED_VALUE"""),504.0)</f>
        <v>504</v>
      </c>
      <c r="B2294" s="85" t="str">
        <f>IFERROR(__xludf.DUMMYFUNCTION("""COMPUTED_VALUE"""),"CADEIRINHA BAUDRIER RAPEL - NÍVEL II")</f>
        <v>CADEIRINHA BAUDRIER RAPEL - NÍVEL II</v>
      </c>
      <c r="C2294" s="86">
        <f>IFERROR(__xludf.DUMMYFUNCTION("""COMPUTED_VALUE"""),7.0)</f>
        <v>7</v>
      </c>
      <c r="D2294" s="87" t="str">
        <f>IFERROR(__xludf.DUMMYFUNCTION("""COMPUTED_VALUE"""),"SEÇÃO")</f>
        <v>SEÇÃO</v>
      </c>
      <c r="E2294" s="87" t="str">
        <f>IFERROR(__xludf.DUMMYFUNCTION("""COMPUTED_VALUE"""),"3 - ALMOX. ESTOQUE")</f>
        <v>3 - ALMOX. ESTOQUE</v>
      </c>
      <c r="F2294" s="92" t="str">
        <f>IFERROR(__xludf.DUMMYFUNCTION("""COMPUTED_VALUE"""),"BOX 03")</f>
        <v>BOX 03</v>
      </c>
      <c r="G2294" s="89"/>
      <c r="H2294" s="87"/>
      <c r="I2294" s="87"/>
    </row>
    <row r="2295">
      <c r="A2295" s="84">
        <f>IFERROR(__xludf.DUMMYFUNCTION("""COMPUTED_VALUE"""),505.0)</f>
        <v>505</v>
      </c>
      <c r="B2295" s="85" t="str">
        <f>IFERROR(__xludf.DUMMYFUNCTION("""COMPUTED_VALUE"""),"EXTENSÃO  ")</f>
        <v>EXTENSÃO  </v>
      </c>
      <c r="C2295" s="86">
        <f>IFERROR(__xludf.DUMMYFUNCTION("""COMPUTED_VALUE"""),1.0)</f>
        <v>1</v>
      </c>
      <c r="D2295" s="87" t="str">
        <f>IFERROR(__xludf.DUMMYFUNCTION("""COMPUTED_VALUE"""),"SEÇÃO")</f>
        <v>SEÇÃO</v>
      </c>
      <c r="E2295" s="87" t="str">
        <f>IFERROR(__xludf.DUMMYFUNCTION("""COMPUTED_VALUE"""),"3 - ALMOX. ESTOQUE")</f>
        <v>3 - ALMOX. ESTOQUE</v>
      </c>
      <c r="F2295" s="92" t="str">
        <f>IFERROR(__xludf.DUMMYFUNCTION("""COMPUTED_VALUE"""),"BOX 03")</f>
        <v>BOX 03</v>
      </c>
      <c r="G2295" s="89"/>
      <c r="H2295" s="87"/>
      <c r="I2295" s="87" t="str">
        <f>IFERROR(__xludf.DUMMYFUNCTION("""COMPUTED_VALUE"""),"EXTENSÃO COM LAMPADA")</f>
        <v>EXTENSÃO COM LAMPADA</v>
      </c>
    </row>
    <row r="2296">
      <c r="A2296" s="84">
        <f>IFERROR(__xludf.DUMMYFUNCTION("""COMPUTED_VALUE"""),506.0)</f>
        <v>506</v>
      </c>
      <c r="B2296" s="85" t="str">
        <f>IFERROR(__xludf.DUMMYFUNCTION("""COMPUTED_VALUE"""),"MACHADO CABO COMPRIDO")</f>
        <v>MACHADO CABO COMPRIDO</v>
      </c>
      <c r="C2296" s="86">
        <f>IFERROR(__xludf.DUMMYFUNCTION("""COMPUTED_VALUE"""),2.0)</f>
        <v>2</v>
      </c>
      <c r="D2296" s="87" t="str">
        <f>IFERROR(__xludf.DUMMYFUNCTION("""COMPUTED_VALUE"""),"SEÇÃO")</f>
        <v>SEÇÃO</v>
      </c>
      <c r="E2296" s="87" t="str">
        <f>IFERROR(__xludf.DUMMYFUNCTION("""COMPUTED_VALUE"""),"3 - ALMOX. ESTOQUE")</f>
        <v>3 - ALMOX. ESTOQUE</v>
      </c>
      <c r="F2296" s="92" t="str">
        <f>IFERROR(__xludf.DUMMYFUNCTION("""COMPUTED_VALUE"""),"BOX 03")</f>
        <v>BOX 03</v>
      </c>
      <c r="G2296" s="89"/>
      <c r="H2296" s="87"/>
      <c r="I2296" s="87" t="str">
        <f>IFERROR(__xludf.DUMMYFUNCTION("""COMPUTED_VALUE"""),"RECOLHIDO PARA O SUPRIMENTOS")</f>
        <v>RECOLHIDO PARA O SUPRIMENTOS</v>
      </c>
    </row>
    <row r="2297">
      <c r="A2297" s="84">
        <f>IFERROR(__xludf.DUMMYFUNCTION("""COMPUTED_VALUE"""),507.0)</f>
        <v>507</v>
      </c>
      <c r="B2297" s="85" t="str">
        <f>IFERROR(__xludf.DUMMYFUNCTION("""COMPUTED_VALUE"""),"CHAVE DE REGISTRO DE HIDRANTE TIPO “T”")</f>
        <v>CHAVE DE REGISTRO DE HIDRANTE TIPO “T”</v>
      </c>
      <c r="C2297" s="86">
        <f>IFERROR(__xludf.DUMMYFUNCTION("""COMPUTED_VALUE"""),2.0)</f>
        <v>2</v>
      </c>
      <c r="D2297" s="87" t="str">
        <f>IFERROR(__xludf.DUMMYFUNCTION("""COMPUTED_VALUE"""),"SEÇÃO")</f>
        <v>SEÇÃO</v>
      </c>
      <c r="E2297" s="87" t="str">
        <f>IFERROR(__xludf.DUMMYFUNCTION("""COMPUTED_VALUE"""),"3 - ALMOX. ESTOQUE")</f>
        <v>3 - ALMOX. ESTOQUE</v>
      </c>
      <c r="F2297" s="92" t="str">
        <f>IFERROR(__xludf.DUMMYFUNCTION("""COMPUTED_VALUE"""),"BOX 03")</f>
        <v>BOX 03</v>
      </c>
      <c r="G2297" s="89"/>
      <c r="H2297" s="87"/>
      <c r="I2297" s="87"/>
    </row>
    <row r="2298">
      <c r="A2298" s="84">
        <f>IFERROR(__xludf.DUMMYFUNCTION("""COMPUTED_VALUE"""),508.0)</f>
        <v>508</v>
      </c>
      <c r="B2298" s="85" t="str">
        <f>IFERROR(__xludf.DUMMYFUNCTION("""COMPUTED_VALUE"""),"MARTELO DE BORRACHA")</f>
        <v>MARTELO DE BORRACHA</v>
      </c>
      <c r="C2298" s="86">
        <f>IFERROR(__xludf.DUMMYFUNCTION("""COMPUTED_VALUE"""),1.0)</f>
        <v>1</v>
      </c>
      <c r="D2298" s="87" t="str">
        <f>IFERROR(__xludf.DUMMYFUNCTION("""COMPUTED_VALUE"""),"SEÇÃO")</f>
        <v>SEÇÃO</v>
      </c>
      <c r="E2298" s="87" t="str">
        <f>IFERROR(__xludf.DUMMYFUNCTION("""COMPUTED_VALUE"""),"1 - ABTS5911")</f>
        <v>1 - ABTS5911</v>
      </c>
      <c r="F2298" s="92" t="str">
        <f>IFERROR(__xludf.DUMMYFUNCTION("""COMPUTED_VALUE"""),"BOX 01")</f>
        <v>BOX 01</v>
      </c>
      <c r="G2298" s="89"/>
      <c r="H2298" s="87"/>
      <c r="I2298" s="87"/>
    </row>
    <row r="2299">
      <c r="A2299" s="84">
        <f>IFERROR(__xludf.DUMMYFUNCTION("""COMPUTED_VALUE"""),509.0)</f>
        <v>509</v>
      </c>
      <c r="B2299" s="85" t="str">
        <f>IFERROR(__xludf.DUMMYFUNCTION("""COMPUTED_VALUE"""),"BOTA DE BORRACHA 7 LÉGUAS")</f>
        <v>BOTA DE BORRACHA 7 LÉGUAS</v>
      </c>
      <c r="C2299" s="86">
        <f>IFERROR(__xludf.DUMMYFUNCTION("""COMPUTED_VALUE"""),5.0)</f>
        <v>5</v>
      </c>
      <c r="D2299" s="87" t="str">
        <f>IFERROR(__xludf.DUMMYFUNCTION("""COMPUTED_VALUE"""),"SEÇÃO")</f>
        <v>SEÇÃO</v>
      </c>
      <c r="E2299" s="87" t="str">
        <f>IFERROR(__xludf.DUMMYFUNCTION("""COMPUTED_VALUE"""),"3 - ALMOX. ESTOQUE")</f>
        <v>3 - ALMOX. ESTOQUE</v>
      </c>
      <c r="F2299" s="92" t="str">
        <f>IFERROR(__xludf.DUMMYFUNCTION("""COMPUTED_VALUE"""),"BOX 03")</f>
        <v>BOX 03</v>
      </c>
      <c r="G2299" s="89"/>
      <c r="H2299" s="87"/>
      <c r="I2299" s="87" t="str">
        <f>IFERROR(__xludf.DUMMYFUNCTION("""COMPUTED_VALUE"""),"RECOLHIDO PARA O SUPRIMENTOS")</f>
        <v>RECOLHIDO PARA O SUPRIMENTOS</v>
      </c>
    </row>
    <row r="2300">
      <c r="A2300" s="84">
        <f>IFERROR(__xludf.DUMMYFUNCTION("""COMPUTED_VALUE"""),510.0)</f>
        <v>510</v>
      </c>
      <c r="B2300" s="85" t="str">
        <f>IFERROR(__xludf.DUMMYFUNCTION("""COMPUTED_VALUE"""),"TALHADEIRA")</f>
        <v>TALHADEIRA</v>
      </c>
      <c r="C2300" s="86">
        <f>IFERROR(__xludf.DUMMYFUNCTION("""COMPUTED_VALUE"""),1.0)</f>
        <v>1</v>
      </c>
      <c r="D2300" s="87" t="str">
        <f>IFERROR(__xludf.DUMMYFUNCTION("""COMPUTED_VALUE"""),"SEÇÃO")</f>
        <v>SEÇÃO</v>
      </c>
      <c r="E2300" s="87" t="str">
        <f>IFERROR(__xludf.DUMMYFUNCTION("""COMPUTED_VALUE"""),"3 - ALMOX. ESTOQUE")</f>
        <v>3 - ALMOX. ESTOQUE</v>
      </c>
      <c r="F2300" s="92" t="str">
        <f>IFERROR(__xludf.DUMMYFUNCTION("""COMPUTED_VALUE"""),"BOX 03")</f>
        <v>BOX 03</v>
      </c>
      <c r="G2300" s="89"/>
      <c r="H2300" s="87"/>
      <c r="I2300" s="87"/>
    </row>
    <row r="2301">
      <c r="A2301" s="84">
        <f>IFERROR(__xludf.DUMMYFUNCTION("""COMPUTED_VALUE"""),511.0)</f>
        <v>511</v>
      </c>
      <c r="B2301" s="85" t="str">
        <f>IFERROR(__xludf.DUMMYFUNCTION("""COMPUTED_VALUE"""),"ADAPTADOR STORZ 2 ¹/²""")</f>
        <v>ADAPTADOR STORZ 2 ¹/²"</v>
      </c>
      <c r="C2301" s="86">
        <f>IFERROR(__xludf.DUMMYFUNCTION("""COMPUTED_VALUE"""),1.0)</f>
        <v>1</v>
      </c>
      <c r="D2301" s="87" t="str">
        <f>IFERROR(__xludf.DUMMYFUNCTION("""COMPUTED_VALUE"""),"SEÇÃO")</f>
        <v>SEÇÃO</v>
      </c>
      <c r="E2301" s="87" t="str">
        <f>IFERROR(__xludf.DUMMYFUNCTION("""COMPUTED_VALUE"""),"3 - ALMOX. ESTOQUE")</f>
        <v>3 - ALMOX. ESTOQUE</v>
      </c>
      <c r="F2301" s="92" t="str">
        <f>IFERROR(__xludf.DUMMYFUNCTION("""COMPUTED_VALUE"""),"BOX 03")</f>
        <v>BOX 03</v>
      </c>
      <c r="G2301" s="89"/>
      <c r="H2301" s="87"/>
      <c r="I2301" s="87"/>
    </row>
    <row r="2302">
      <c r="A2302" s="84">
        <f>IFERROR(__xludf.DUMMYFUNCTION("""COMPUTED_VALUE"""),512.0)</f>
        <v>512</v>
      </c>
      <c r="B2302" s="85" t="str">
        <f>IFERROR(__xludf.DUMMYFUNCTION("""COMPUTED_VALUE"""),"REDUÇÃO 2 ¹/² P/ 1¹/² ")</f>
        <v>REDUÇÃO 2 ¹/² P/ 1¹/² </v>
      </c>
      <c r="C2302" s="86">
        <f>IFERROR(__xludf.DUMMYFUNCTION("""COMPUTED_VALUE"""),1.0)</f>
        <v>1</v>
      </c>
      <c r="D2302" s="87" t="str">
        <f>IFERROR(__xludf.DUMMYFUNCTION("""COMPUTED_VALUE"""),"SEÇÃO")</f>
        <v>SEÇÃO</v>
      </c>
      <c r="E2302" s="87" t="str">
        <f>IFERROR(__xludf.DUMMYFUNCTION("""COMPUTED_VALUE"""),"3 - ALMOX. ESTOQUE")</f>
        <v>3 - ALMOX. ESTOQUE</v>
      </c>
      <c r="F2302" s="92" t="str">
        <f>IFERROR(__xludf.DUMMYFUNCTION("""COMPUTED_VALUE"""),"BOX 03")</f>
        <v>BOX 03</v>
      </c>
      <c r="G2302" s="89"/>
      <c r="H2302" s="87"/>
      <c r="I2302" s="87"/>
    </row>
    <row r="2303">
      <c r="A2303" s="84">
        <f>IFERROR(__xludf.DUMMYFUNCTION("""COMPUTED_VALUE"""),513.0)</f>
        <v>513</v>
      </c>
      <c r="B2303" s="85" t="str">
        <f>IFERROR(__xludf.DUMMYFUNCTION("""COMPUTED_VALUE"""),"ESGUICHO KR4")</f>
        <v>ESGUICHO KR4</v>
      </c>
      <c r="C2303" s="86">
        <f>IFERROR(__xludf.DUMMYFUNCTION("""COMPUTED_VALUE"""),1.0)</f>
        <v>1</v>
      </c>
      <c r="D2303" s="87" t="str">
        <f>IFERROR(__xludf.DUMMYFUNCTION("""COMPUTED_VALUE"""),"SEÇÃO")</f>
        <v>SEÇÃO</v>
      </c>
      <c r="E2303" s="87" t="str">
        <f>IFERROR(__xludf.DUMMYFUNCTION("""COMPUTED_VALUE"""),"3 - ALMOX. ESTOQUE")</f>
        <v>3 - ALMOX. ESTOQUE</v>
      </c>
      <c r="F2303" s="92" t="str">
        <f>IFERROR(__xludf.DUMMYFUNCTION("""COMPUTED_VALUE"""),"BOX 03")</f>
        <v>BOX 03</v>
      </c>
      <c r="G2303" s="89"/>
      <c r="H2303" s="87"/>
      <c r="I2303" s="87" t="str">
        <f>IFERROR(__xludf.DUMMYFUNCTION("""COMPUTED_VALUE"""),"RECOLHIDO PARA O SUPRIMENTOS")</f>
        <v>RECOLHIDO PARA O SUPRIMENTOS</v>
      </c>
    </row>
    <row r="2304">
      <c r="A2304" s="84">
        <f>IFERROR(__xludf.DUMMYFUNCTION("""COMPUTED_VALUE"""),514.0)</f>
        <v>514</v>
      </c>
      <c r="B2304" s="85" t="str">
        <f>IFERROR(__xludf.DUMMYFUNCTION("""COMPUTED_VALUE"""),"NIPS")</f>
        <v>NIPS</v>
      </c>
      <c r="C2304" s="86">
        <f>IFERROR(__xludf.DUMMYFUNCTION("""COMPUTED_VALUE"""),4.0)</f>
        <v>4</v>
      </c>
      <c r="D2304" s="87" t="str">
        <f>IFERROR(__xludf.DUMMYFUNCTION("""COMPUTED_VALUE"""),"SEÇÃO")</f>
        <v>SEÇÃO</v>
      </c>
      <c r="E2304" s="87" t="str">
        <f>IFERROR(__xludf.DUMMYFUNCTION("""COMPUTED_VALUE"""),"3 - ALMOX. ESTOQUE")</f>
        <v>3 - ALMOX. ESTOQUE</v>
      </c>
      <c r="F2304" s="92" t="str">
        <f>IFERROR(__xludf.DUMMYFUNCTION("""COMPUTED_VALUE"""),"BOX 03")</f>
        <v>BOX 03</v>
      </c>
      <c r="G2304" s="89"/>
      <c r="H2304" s="87"/>
      <c r="I2304" s="87" t="str">
        <f>IFERROR(__xludf.DUMMYFUNCTION("""COMPUTED_VALUE"""),"RECOLHIDO PARA O SUPRIMENTOS")</f>
        <v>RECOLHIDO PARA O SUPRIMENTOS</v>
      </c>
    </row>
    <row r="2305">
      <c r="A2305" s="84">
        <f>IFERROR(__xludf.DUMMYFUNCTION("""COMPUTED_VALUE"""),515.0)</f>
        <v>515</v>
      </c>
      <c r="B2305" s="85" t="str">
        <f>IFERROR(__xludf.DUMMYFUNCTION("""COMPUTED_VALUE"""),"LUVAS DE BORRACHA 220V")</f>
        <v>LUVAS DE BORRACHA 220V</v>
      </c>
      <c r="C2305" s="86">
        <f>IFERROR(__xludf.DUMMYFUNCTION("""COMPUTED_VALUE"""),1.0)</f>
        <v>1</v>
      </c>
      <c r="D2305" s="87" t="str">
        <f>IFERROR(__xludf.DUMMYFUNCTION("""COMPUTED_VALUE"""),"SEÇÃO")</f>
        <v>SEÇÃO</v>
      </c>
      <c r="E2305" s="87" t="str">
        <f>IFERROR(__xludf.DUMMYFUNCTION("""COMPUTED_VALUE"""),"3 - ALMOX. ESTOQUE")</f>
        <v>3 - ALMOX. ESTOQUE</v>
      </c>
      <c r="F2305" s="92" t="str">
        <f>IFERROR(__xludf.DUMMYFUNCTION("""COMPUTED_VALUE"""),"BOX 03")</f>
        <v>BOX 03</v>
      </c>
      <c r="G2305" s="89"/>
      <c r="H2305" s="87"/>
      <c r="I2305" s="87" t="str">
        <f>IFERROR(__xludf.DUMMYFUNCTION("""COMPUTED_VALUE"""),"RECOLHIDO PARA O SUPRIMENTOS")</f>
        <v>RECOLHIDO PARA O SUPRIMENTOS</v>
      </c>
    </row>
    <row r="2306">
      <c r="A2306" s="84">
        <f>IFERROR(__xludf.DUMMYFUNCTION("""COMPUTED_VALUE"""),516.0)</f>
        <v>516</v>
      </c>
      <c r="B2306" s="85" t="str">
        <f>IFERROR(__xludf.DUMMYFUNCTION("""COMPUTED_VALUE"""),"MOCHILA COSTAL - AMARELA")</f>
        <v>MOCHILA COSTAL - AMARELA</v>
      </c>
      <c r="C2306" s="86">
        <f>IFERROR(__xludf.DUMMYFUNCTION("""COMPUTED_VALUE"""),3.0)</f>
        <v>3</v>
      </c>
      <c r="D2306" s="87" t="str">
        <f>IFERROR(__xludf.DUMMYFUNCTION("""COMPUTED_VALUE"""),"SEÇÃO")</f>
        <v>SEÇÃO</v>
      </c>
      <c r="E2306" s="87" t="str">
        <f>IFERROR(__xludf.DUMMYFUNCTION("""COMPUTED_VALUE"""),"3 - ALMOX. ESTOQUE")</f>
        <v>3 - ALMOX. ESTOQUE</v>
      </c>
      <c r="F2306" s="92" t="str">
        <f>IFERROR(__xludf.DUMMYFUNCTION("""COMPUTED_VALUE"""),"BOX 03")</f>
        <v>BOX 03</v>
      </c>
      <c r="G2306" s="89"/>
      <c r="H2306" s="87"/>
      <c r="I2306" s="87" t="str">
        <f>IFERROR(__xludf.DUMMYFUNCTION("""COMPUTED_VALUE"""),"RECOLHIDO PARA O SUPRIMENTOS")</f>
        <v>RECOLHIDO PARA O SUPRIMENTOS</v>
      </c>
    </row>
    <row r="2307">
      <c r="A2307" s="84">
        <f>IFERROR(__xludf.DUMMYFUNCTION("""COMPUTED_VALUE"""),517.0)</f>
        <v>517</v>
      </c>
      <c r="B2307" s="85" t="str">
        <f>IFERROR(__xludf.DUMMYFUNCTION("""COMPUTED_VALUE"""),"MOCHILA COSTAL - AMARELA")</f>
        <v>MOCHILA COSTAL - AMARELA</v>
      </c>
      <c r="C2307" s="86">
        <f>IFERROR(__xludf.DUMMYFUNCTION("""COMPUTED_VALUE"""),3.0)</f>
        <v>3</v>
      </c>
      <c r="D2307" s="87" t="str">
        <f>IFERROR(__xludf.DUMMYFUNCTION("""COMPUTED_VALUE"""),"SEÇÃO")</f>
        <v>SEÇÃO</v>
      </c>
      <c r="E2307" s="87" t="str">
        <f>IFERROR(__xludf.DUMMYFUNCTION("""COMPUTED_VALUE"""),"3 - ALMOX. ESTOQUE")</f>
        <v>3 - ALMOX. ESTOQUE</v>
      </c>
      <c r="F2307" s="92" t="str">
        <f>IFERROR(__xludf.DUMMYFUNCTION("""COMPUTED_VALUE"""),"BOX 03")</f>
        <v>BOX 03</v>
      </c>
      <c r="G2307" s="89"/>
      <c r="H2307" s="87"/>
      <c r="I2307" s="87" t="str">
        <f>IFERROR(__xludf.DUMMYFUNCTION("""COMPUTED_VALUE"""),"RECOLHIDO PARA O SUPRIMENTOS")</f>
        <v>RECOLHIDO PARA O SUPRIMENTOS</v>
      </c>
    </row>
    <row r="2308">
      <c r="A2308" s="84">
        <f>IFERROR(__xludf.DUMMYFUNCTION("""COMPUTED_VALUE"""),518.0)</f>
        <v>518</v>
      </c>
      <c r="B2308" s="85" t="str">
        <f>IFERROR(__xludf.DUMMYFUNCTION("""COMPUTED_VALUE"""),"BOMBA COSTAL")</f>
        <v>BOMBA COSTAL</v>
      </c>
      <c r="C2308" s="86">
        <f>IFERROR(__xludf.DUMMYFUNCTION("""COMPUTED_VALUE"""),1.0)</f>
        <v>1</v>
      </c>
      <c r="D2308" s="87" t="str">
        <f>IFERROR(__xludf.DUMMYFUNCTION("""COMPUTED_VALUE"""),"SEÇÃO")</f>
        <v>SEÇÃO</v>
      </c>
      <c r="E2308" s="87" t="str">
        <f>IFERROR(__xludf.DUMMYFUNCTION("""COMPUTED_VALUE"""),"3 - ALMOX. ESTOQUE")</f>
        <v>3 - ALMOX. ESTOQUE</v>
      </c>
      <c r="F2308" s="92" t="str">
        <f>IFERROR(__xludf.DUMMYFUNCTION("""COMPUTED_VALUE"""),"BOX 03")</f>
        <v>BOX 03</v>
      </c>
      <c r="G2308" s="89"/>
      <c r="H2308" s="87"/>
      <c r="I2308" s="87" t="str">
        <f>IFERROR(__xludf.DUMMYFUNCTION("""COMPUTED_VALUE"""),"RECOLHIDO PARA O SUPRIMENTOS")</f>
        <v>RECOLHIDO PARA O SUPRIMENTOS</v>
      </c>
    </row>
    <row r="2309">
      <c r="A2309" s="84">
        <f>IFERROR(__xludf.DUMMYFUNCTION("""COMPUTED_VALUE"""),519.0)</f>
        <v>519</v>
      </c>
      <c r="B2309" s="85" t="str">
        <f>IFERROR(__xludf.DUMMYFUNCTION("""COMPUTED_VALUE"""),"CORTA FRIO 36''")</f>
        <v>CORTA FRIO 36''</v>
      </c>
      <c r="C2309" s="86">
        <f>IFERROR(__xludf.DUMMYFUNCTION("""COMPUTED_VALUE"""),1.0)</f>
        <v>1</v>
      </c>
      <c r="D2309" s="87" t="str">
        <f>IFERROR(__xludf.DUMMYFUNCTION("""COMPUTED_VALUE"""),"SEÇÃO")</f>
        <v>SEÇÃO</v>
      </c>
      <c r="E2309" s="87" t="str">
        <f>IFERROR(__xludf.DUMMYFUNCTION("""COMPUTED_VALUE"""),"3 - ALMOX. ESTOQUE")</f>
        <v>3 - ALMOX. ESTOQUE</v>
      </c>
      <c r="F2309" s="92" t="str">
        <f>IFERROR(__xludf.DUMMYFUNCTION("""COMPUTED_VALUE"""),"BOX 03")</f>
        <v>BOX 03</v>
      </c>
      <c r="G2309" s="89"/>
      <c r="H2309" s="87"/>
      <c r="I2309" s="87"/>
    </row>
    <row r="2310">
      <c r="A2310" s="84">
        <f>IFERROR(__xludf.DUMMYFUNCTION("""COMPUTED_VALUE"""),520.0)</f>
        <v>520</v>
      </c>
      <c r="B2310" s="85" t="str">
        <f>IFERROR(__xludf.DUMMYFUNCTION("""COMPUTED_VALUE"""),"MALHO 5KG")</f>
        <v>MALHO 5KG</v>
      </c>
      <c r="C2310" s="86">
        <f>IFERROR(__xludf.DUMMYFUNCTION("""COMPUTED_VALUE"""),2.0)</f>
        <v>2</v>
      </c>
      <c r="D2310" s="87" t="str">
        <f>IFERROR(__xludf.DUMMYFUNCTION("""COMPUTED_VALUE"""),"SEÇÃO")</f>
        <v>SEÇÃO</v>
      </c>
      <c r="E2310" s="87" t="str">
        <f>IFERROR(__xludf.DUMMYFUNCTION("""COMPUTED_VALUE"""),"3 - ALMOX. ESTOQUE")</f>
        <v>3 - ALMOX. ESTOQUE</v>
      </c>
      <c r="F2310" s="92" t="str">
        <f>IFERROR(__xludf.DUMMYFUNCTION("""COMPUTED_VALUE"""),"BOX 03")</f>
        <v>BOX 03</v>
      </c>
      <c r="G2310" s="89"/>
      <c r="H2310" s="87"/>
      <c r="I2310" s="87"/>
    </row>
    <row r="2311">
      <c r="A2311" s="84">
        <f>IFERROR(__xludf.DUMMYFUNCTION("""COMPUTED_VALUE"""),521.0)</f>
        <v>521</v>
      </c>
      <c r="B2311" s="85" t="str">
        <f>IFERROR(__xludf.DUMMYFUNCTION("""COMPUTED_VALUE"""),"TUBO PESCANTE DE 1 ¹/²""")</f>
        <v>TUBO PESCANTE DE 1 ¹/²"</v>
      </c>
      <c r="C2311" s="86">
        <f>IFERROR(__xludf.DUMMYFUNCTION("""COMPUTED_VALUE"""),1.0)</f>
        <v>1</v>
      </c>
      <c r="D2311" s="87" t="str">
        <f>IFERROR(__xludf.DUMMYFUNCTION("""COMPUTED_VALUE"""),"SEÇÃO")</f>
        <v>SEÇÃO</v>
      </c>
      <c r="E2311" s="87" t="str">
        <f>IFERROR(__xludf.DUMMYFUNCTION("""COMPUTED_VALUE"""),"3 - ALMOX. ESTOQUE")</f>
        <v>3 - ALMOX. ESTOQUE</v>
      </c>
      <c r="F2311" s="92" t="str">
        <f>IFERROR(__xludf.DUMMYFUNCTION("""COMPUTED_VALUE"""),"BOX 03")</f>
        <v>BOX 03</v>
      </c>
      <c r="G2311" s="89"/>
      <c r="H2311" s="87"/>
      <c r="I2311" s="87"/>
    </row>
    <row r="2312">
      <c r="A2312" s="84">
        <f>IFERROR(__xludf.DUMMYFUNCTION("""COMPUTED_VALUE"""),522.0)</f>
        <v>522</v>
      </c>
      <c r="B2312" s="85" t="str">
        <f>IFERROR(__xludf.DUMMYFUNCTION("""COMPUTED_VALUE"""),"CHAVE DE REGISTRO DE HIDRANTE TIPO “T”")</f>
        <v>CHAVE DE REGISTRO DE HIDRANTE TIPO “T”</v>
      </c>
      <c r="C2312" s="86">
        <f>IFERROR(__xludf.DUMMYFUNCTION("""COMPUTED_VALUE"""),2.0)</f>
        <v>2</v>
      </c>
      <c r="D2312" s="87" t="str">
        <f>IFERROR(__xludf.DUMMYFUNCTION("""COMPUTED_VALUE"""),"SEÇÃO")</f>
        <v>SEÇÃO</v>
      </c>
      <c r="E2312" s="87" t="str">
        <f>IFERROR(__xludf.DUMMYFUNCTION("""COMPUTED_VALUE"""),"3 - ALMOX. ESTOQUE")</f>
        <v>3 - ALMOX. ESTOQUE</v>
      </c>
      <c r="F2312" s="92" t="str">
        <f>IFERROR(__xludf.DUMMYFUNCTION("""COMPUTED_VALUE"""),"BOX 03")</f>
        <v>BOX 03</v>
      </c>
      <c r="G2312" s="89"/>
      <c r="H2312" s="87"/>
      <c r="I2312" s="87"/>
    </row>
    <row r="2313">
      <c r="A2313" s="84">
        <f>IFERROR(__xludf.DUMMYFUNCTION("""COMPUTED_VALUE"""),523.0)</f>
        <v>523</v>
      </c>
      <c r="B2313" s="85" t="str">
        <f>IFERROR(__xludf.DUMMYFUNCTION("""COMPUTED_VALUE"""),"ESGUICHO DE 2¹/² ")</f>
        <v>ESGUICHO DE 2¹/² </v>
      </c>
      <c r="C2313" s="86">
        <f>IFERROR(__xludf.DUMMYFUNCTION("""COMPUTED_VALUE"""),2.0)</f>
        <v>2</v>
      </c>
      <c r="D2313" s="87" t="str">
        <f>IFERROR(__xludf.DUMMYFUNCTION("""COMPUTED_VALUE"""),"SEÇÃO")</f>
        <v>SEÇÃO</v>
      </c>
      <c r="E2313" s="87" t="str">
        <f>IFERROR(__xludf.DUMMYFUNCTION("""COMPUTED_VALUE"""),"3 - ALMOX. ESTOQUE")</f>
        <v>3 - ALMOX. ESTOQUE</v>
      </c>
      <c r="F2313" s="92" t="str">
        <f>IFERROR(__xludf.DUMMYFUNCTION("""COMPUTED_VALUE"""),"BOX 03")</f>
        <v>BOX 03</v>
      </c>
      <c r="G2313" s="89"/>
      <c r="H2313" s="87"/>
      <c r="I2313" s="87"/>
    </row>
    <row r="2314">
      <c r="A2314" s="84">
        <f>IFERROR(__xludf.DUMMYFUNCTION("""COMPUTED_VALUE"""),524.0)</f>
        <v>524</v>
      </c>
      <c r="B2314" s="85" t="str">
        <f>IFERROR(__xludf.DUMMYFUNCTION("""COMPUTED_VALUE"""),"GURPIÃO")</f>
        <v>GURPIÃO</v>
      </c>
      <c r="C2314" s="86">
        <f>IFERROR(__xludf.DUMMYFUNCTION("""COMPUTED_VALUE"""),1.0)</f>
        <v>1</v>
      </c>
      <c r="D2314" s="87" t="str">
        <f>IFERROR(__xludf.DUMMYFUNCTION("""COMPUTED_VALUE"""),"SEÇÃO")</f>
        <v>SEÇÃO</v>
      </c>
      <c r="E2314" s="87" t="str">
        <f>IFERROR(__xludf.DUMMYFUNCTION("""COMPUTED_VALUE"""),"3 - ALMOX. ESTOQUE")</f>
        <v>3 - ALMOX. ESTOQUE</v>
      </c>
      <c r="F2314" s="92" t="str">
        <f>IFERROR(__xludf.DUMMYFUNCTION("""COMPUTED_VALUE"""),"BOX 03")</f>
        <v>BOX 03</v>
      </c>
      <c r="G2314" s="89"/>
      <c r="H2314" s="87"/>
      <c r="I2314" s="87"/>
    </row>
    <row r="2315">
      <c r="A2315" s="84">
        <f>IFERROR(__xludf.DUMMYFUNCTION("""COMPUTED_VALUE"""),525.0)</f>
        <v>525</v>
      </c>
      <c r="B2315" s="85" t="str">
        <f>IFERROR(__xludf.DUMMYFUNCTION("""COMPUTED_VALUE"""),"FUMEGADOR")</f>
        <v>FUMEGADOR</v>
      </c>
      <c r="C2315" s="86">
        <f>IFERROR(__xludf.DUMMYFUNCTION("""COMPUTED_VALUE"""),3.0)</f>
        <v>3</v>
      </c>
      <c r="D2315" s="87" t="str">
        <f>IFERROR(__xludf.DUMMYFUNCTION("""COMPUTED_VALUE"""),"SEÇÃO")</f>
        <v>SEÇÃO</v>
      </c>
      <c r="E2315" s="87" t="str">
        <f>IFERROR(__xludf.DUMMYFUNCTION("""COMPUTED_VALUE"""),"3 - ALMOX. ESTOQUE")</f>
        <v>3 - ALMOX. ESTOQUE</v>
      </c>
      <c r="F2315" s="92" t="str">
        <f>IFERROR(__xludf.DUMMYFUNCTION("""COMPUTED_VALUE"""),"BOX 03")</f>
        <v>BOX 03</v>
      </c>
      <c r="G2315" s="89"/>
      <c r="H2315" s="87"/>
      <c r="I2315" s="87"/>
    </row>
    <row r="2316">
      <c r="A2316" s="84">
        <f>IFERROR(__xludf.DUMMYFUNCTION("""COMPUTED_VALUE"""),526.0)</f>
        <v>526</v>
      </c>
      <c r="B2316" s="85" t="str">
        <f>IFERROR(__xludf.DUMMYFUNCTION("""COMPUTED_VALUE"""),"DESENCARCERADOR HIDRÁULICO HOLMATRO")</f>
        <v>DESENCARCERADOR HIDRÁULICO HOLMATRO</v>
      </c>
      <c r="C2316" s="86">
        <f>IFERROR(__xludf.DUMMYFUNCTION("""COMPUTED_VALUE"""),1.0)</f>
        <v>1</v>
      </c>
      <c r="D2316" s="87" t="str">
        <f>IFERROR(__xludf.DUMMYFUNCTION("""COMPUTED_VALUE"""),"SEÇÃO")</f>
        <v>SEÇÃO</v>
      </c>
      <c r="E2316" s="87" t="str">
        <f>IFERROR(__xludf.DUMMYFUNCTION("""COMPUTED_VALUE"""),"3 - ALMOX. ESTOQUE")</f>
        <v>3 - ALMOX. ESTOQUE</v>
      </c>
      <c r="F2316" s="92" t="str">
        <f>IFERROR(__xludf.DUMMYFUNCTION("""COMPUTED_VALUE"""),"BOX 03")</f>
        <v>BOX 03</v>
      </c>
      <c r="G2316" s="89"/>
      <c r="H2316" s="87"/>
      <c r="I2316" s="87"/>
    </row>
    <row r="2317">
      <c r="A2317" s="84">
        <f>IFERROR(__xludf.DUMMYFUNCTION("""COMPUTED_VALUE"""),527.0)</f>
        <v>527</v>
      </c>
      <c r="B2317" s="85" t="str">
        <f>IFERROR(__xludf.DUMMYFUNCTION("""COMPUTED_VALUE"""),"CARRETEL COM MANGUEIRAS PARA DESENCARCERADOR HOLMATRO HIDRÁULICO")</f>
        <v>CARRETEL COM MANGUEIRAS PARA DESENCARCERADOR HOLMATRO HIDRÁULICO</v>
      </c>
      <c r="C2317" s="86">
        <f>IFERROR(__xludf.DUMMYFUNCTION("""COMPUTED_VALUE"""),1.0)</f>
        <v>1</v>
      </c>
      <c r="D2317" s="87" t="str">
        <f>IFERROR(__xludf.DUMMYFUNCTION("""COMPUTED_VALUE"""),"SEÇÃO")</f>
        <v>SEÇÃO</v>
      </c>
      <c r="E2317" s="87" t="str">
        <f>IFERROR(__xludf.DUMMYFUNCTION("""COMPUTED_VALUE"""),"3 - ALMOX. ESTOQUE")</f>
        <v>3 - ALMOX. ESTOQUE</v>
      </c>
      <c r="F2317" s="92" t="str">
        <f>IFERROR(__xludf.DUMMYFUNCTION("""COMPUTED_VALUE"""),"BOX 03")</f>
        <v>BOX 03</v>
      </c>
      <c r="G2317" s="89"/>
      <c r="H2317" s="87"/>
      <c r="I2317" s="87"/>
    </row>
    <row r="2318">
      <c r="A2318" s="84">
        <f>IFERROR(__xludf.DUMMYFUNCTION("""COMPUTED_VALUE"""),528.0)</f>
        <v>528</v>
      </c>
      <c r="B2318" s="85" t="str">
        <f>IFERROR(__xludf.DUMMYFUNCTION("""COMPUTED_VALUE"""),"FERRAMENTA COMBINADA HOLMATRO HIDRÁULICO")</f>
        <v>FERRAMENTA COMBINADA HOLMATRO HIDRÁULICO</v>
      </c>
      <c r="C2318" s="86">
        <f>IFERROR(__xludf.DUMMYFUNCTION("""COMPUTED_VALUE"""),1.0)</f>
        <v>1</v>
      </c>
      <c r="D2318" s="87" t="str">
        <f>IFERROR(__xludf.DUMMYFUNCTION("""COMPUTED_VALUE"""),"SEÇÃO")</f>
        <v>SEÇÃO</v>
      </c>
      <c r="E2318" s="87" t="str">
        <f>IFERROR(__xludf.DUMMYFUNCTION("""COMPUTED_VALUE"""),"3 - ALMOX. ESTOQUE")</f>
        <v>3 - ALMOX. ESTOQUE</v>
      </c>
      <c r="F2318" s="92" t="str">
        <f>IFERROR(__xludf.DUMMYFUNCTION("""COMPUTED_VALUE"""),"BOX 03")</f>
        <v>BOX 03</v>
      </c>
      <c r="G2318" s="89"/>
      <c r="H2318" s="87"/>
      <c r="I2318" s="87"/>
    </row>
    <row r="2319">
      <c r="A2319" s="84">
        <f>IFERROR(__xludf.DUMMYFUNCTION("""COMPUTED_VALUE"""),529.0)</f>
        <v>529</v>
      </c>
      <c r="B2319" s="85" t="str">
        <f>IFERROR(__xludf.DUMMYFUNCTION("""COMPUTED_VALUE"""),"EXPANSOR HOLMATRO HIDRÁULICO")</f>
        <v>EXPANSOR HOLMATRO HIDRÁULICO</v>
      </c>
      <c r="C2319" s="86">
        <f>IFERROR(__xludf.DUMMYFUNCTION("""COMPUTED_VALUE"""),1.0)</f>
        <v>1</v>
      </c>
      <c r="D2319" s="87" t="str">
        <f>IFERROR(__xludf.DUMMYFUNCTION("""COMPUTED_VALUE"""),"SEÇÃO")</f>
        <v>SEÇÃO</v>
      </c>
      <c r="E2319" s="87" t="str">
        <f>IFERROR(__xludf.DUMMYFUNCTION("""COMPUTED_VALUE"""),"3 - ALMOX. ESTOQUE")</f>
        <v>3 - ALMOX. ESTOQUE</v>
      </c>
      <c r="F2319" s="92" t="str">
        <f>IFERROR(__xludf.DUMMYFUNCTION("""COMPUTED_VALUE"""),"BOX 03")</f>
        <v>BOX 03</v>
      </c>
      <c r="G2319" s="89"/>
      <c r="H2319" s="87"/>
      <c r="I2319" s="87"/>
    </row>
    <row r="2320">
      <c r="A2320" s="84">
        <f>IFERROR(__xludf.DUMMYFUNCTION("""COMPUTED_VALUE"""),530.0)</f>
        <v>530</v>
      </c>
      <c r="B2320" s="85" t="str">
        <f>IFERROR(__xludf.DUMMYFUNCTION("""COMPUTED_VALUE"""),"EXTENSÃO  ")</f>
        <v>EXTENSÃO  </v>
      </c>
      <c r="C2320" s="86">
        <f>IFERROR(__xludf.DUMMYFUNCTION("""COMPUTED_VALUE"""),1.0)</f>
        <v>1</v>
      </c>
      <c r="D2320" s="87" t="str">
        <f>IFERROR(__xludf.DUMMYFUNCTION("""COMPUTED_VALUE"""),"SEÇÃO")</f>
        <v>SEÇÃO</v>
      </c>
      <c r="E2320" s="87" t="str">
        <f>IFERROR(__xludf.DUMMYFUNCTION("""COMPUTED_VALUE"""),"3 - ALMOX. ESTOQUE")</f>
        <v>3 - ALMOX. ESTOQUE</v>
      </c>
      <c r="F2320" s="92" t="str">
        <f>IFERROR(__xludf.DUMMYFUNCTION("""COMPUTED_VALUE"""),"BOX 03")</f>
        <v>BOX 03</v>
      </c>
      <c r="G2320" s="89"/>
      <c r="H2320" s="87"/>
      <c r="I2320" s="87"/>
    </row>
    <row r="2321">
      <c r="A2321" s="84">
        <f>IFERROR(__xludf.DUMMYFUNCTION("""COMPUTED_VALUE"""),531.0)</f>
        <v>531</v>
      </c>
      <c r="B2321" s="85" t="str">
        <f>IFERROR(__xludf.DUMMYFUNCTION("""COMPUTED_VALUE"""),"LUVA DE RASPA")</f>
        <v>LUVA DE RASPA</v>
      </c>
      <c r="C2321" s="86">
        <f>IFERROR(__xludf.DUMMYFUNCTION("""COMPUTED_VALUE"""),10.0)</f>
        <v>10</v>
      </c>
      <c r="D2321" s="87" t="str">
        <f>IFERROR(__xludf.DUMMYFUNCTION("""COMPUTED_VALUE"""),"SEÇÃO")</f>
        <v>SEÇÃO</v>
      </c>
      <c r="E2321" s="87" t="str">
        <f>IFERROR(__xludf.DUMMYFUNCTION("""COMPUTED_VALUE"""),"3 - ALMOX. ESTOQUE")</f>
        <v>3 - ALMOX. ESTOQUE</v>
      </c>
      <c r="F2321" s="92" t="str">
        <f>IFERROR(__xludf.DUMMYFUNCTION("""COMPUTED_VALUE"""),"BOX 03")</f>
        <v>BOX 03</v>
      </c>
      <c r="G2321" s="89"/>
      <c r="H2321" s="87"/>
      <c r="I2321" s="87"/>
    </row>
    <row r="2322">
      <c r="A2322" s="84">
        <f>IFERROR(__xludf.DUMMYFUNCTION("""COMPUTED_VALUE"""),532.0)</f>
        <v>532</v>
      </c>
      <c r="B2322" s="85" t="str">
        <f>IFERROR(__xludf.DUMMYFUNCTION("""COMPUTED_VALUE"""),"MOTOSERRA")</f>
        <v>MOTOSERRA</v>
      </c>
      <c r="C2322" s="86">
        <f>IFERROR(__xludf.DUMMYFUNCTION("""COMPUTED_VALUE"""),1.0)</f>
        <v>1</v>
      </c>
      <c r="D2322" s="87" t="str">
        <f>IFERROR(__xludf.DUMMYFUNCTION("""COMPUTED_VALUE"""),"SEÇÃO")</f>
        <v>SEÇÃO</v>
      </c>
      <c r="E2322" s="87" t="str">
        <f>IFERROR(__xludf.DUMMYFUNCTION("""COMPUTED_VALUE"""),"3 - ALMOX. ESTOQUE")</f>
        <v>3 - ALMOX. ESTOQUE</v>
      </c>
      <c r="F2322" s="92" t="str">
        <f>IFERROR(__xludf.DUMMYFUNCTION("""COMPUTED_VALUE"""),"ALMOX. SAO (SEDE)")</f>
        <v>ALMOX. SAO (SEDE)</v>
      </c>
      <c r="G2322" s="89">
        <f>IFERROR(__xludf.DUMMYFUNCTION("""COMPUTED_VALUE"""),45573.0)</f>
        <v>45573</v>
      </c>
      <c r="H2322" s="87"/>
      <c r="I2322" s="87"/>
    </row>
    <row r="2323">
      <c r="A2323" s="84">
        <f>IFERROR(__xludf.DUMMYFUNCTION("""COMPUTED_VALUE"""),533.0)</f>
        <v>533</v>
      </c>
      <c r="B2323" s="85" t="str">
        <f>IFERROR(__xludf.DUMMYFUNCTION("""COMPUTED_VALUE"""),"SOPRADOR")</f>
        <v>SOPRADOR</v>
      </c>
      <c r="C2323" s="86">
        <f>IFERROR(__xludf.DUMMYFUNCTION("""COMPUTED_VALUE"""),1.0)</f>
        <v>1</v>
      </c>
      <c r="D2323" s="87" t="str">
        <f>IFERROR(__xludf.DUMMYFUNCTION("""COMPUTED_VALUE"""),"SEÇÃO")</f>
        <v>SEÇÃO</v>
      </c>
      <c r="E2323" s="87" t="str">
        <f>IFERROR(__xludf.DUMMYFUNCTION("""COMPUTED_VALUE"""),"3 - ALMOX. ESTOQUE")</f>
        <v>3 - ALMOX. ESTOQUE</v>
      </c>
      <c r="F2323" s="92" t="str">
        <f>IFERROR(__xludf.DUMMYFUNCTION("""COMPUTED_VALUE"""),"ALMOX. SAO (SEDE)")</f>
        <v>ALMOX. SAO (SEDE)</v>
      </c>
      <c r="G2323" s="89"/>
      <c r="H2323" s="87" t="str">
        <f>IFERROR(__xludf.DUMMYFUNCTION("""COMPUTED_VALUE"""),"N.S. 530020781")</f>
        <v>N.S. 530020781</v>
      </c>
      <c r="I2323" s="87" t="str">
        <f>IFERROR(__xludf.DUMMYFUNCTION("""COMPUTED_VALUE"""),"STIHL BR800")</f>
        <v>STIHL BR800</v>
      </c>
    </row>
    <row r="2324">
      <c r="A2324" s="84">
        <f>IFERROR(__xludf.DUMMYFUNCTION("""COMPUTED_VALUE"""),534.0)</f>
        <v>534</v>
      </c>
      <c r="B2324" s="85" t="str">
        <f>IFERROR(__xludf.DUMMYFUNCTION("""COMPUTED_VALUE"""),"TOALHA DE PAPEL (SC) -")</f>
        <v>TOALHA DE PAPEL (SC) -</v>
      </c>
      <c r="C2324" s="86">
        <f>IFERROR(__xludf.DUMMYFUNCTION("""COMPUTED_VALUE"""),20.0)</f>
        <v>20</v>
      </c>
      <c r="D2324" s="87" t="str">
        <f>IFERROR(__xludf.DUMMYFUNCTION("""COMPUTED_VALUE"""),"SEÇÃO")</f>
        <v>SEÇÃO</v>
      </c>
      <c r="E2324" s="87" t="str">
        <f>IFERROR(__xludf.DUMMYFUNCTION("""COMPUTED_VALUE"""),"3 - ALMOX. ESTOQUE")</f>
        <v>3 - ALMOX. ESTOQUE</v>
      </c>
      <c r="F2324" s="92" t="str">
        <f>IFERROR(__xludf.DUMMYFUNCTION("""COMPUTED_VALUE"""),"ALMOX. SAO (SEDE)")</f>
        <v>ALMOX. SAO (SEDE)</v>
      </c>
      <c r="G2324" s="89">
        <f>IFERROR(__xludf.DUMMYFUNCTION("""COMPUTED_VALUE"""),45523.0)</f>
        <v>45523</v>
      </c>
      <c r="H2324" s="87"/>
      <c r="I2324" s="87"/>
    </row>
    <row r="2325">
      <c r="A2325" s="84">
        <f>IFERROR(__xludf.DUMMYFUNCTION("""COMPUTED_VALUE"""),535.0)</f>
        <v>535</v>
      </c>
      <c r="B2325" s="85" t="str">
        <f>IFERROR(__xludf.DUMMYFUNCTION("""COMPUTED_VALUE"""),"DETERGENTE NEUTRO (5L)")</f>
        <v>DETERGENTE NEUTRO (5L)</v>
      </c>
      <c r="C2325" s="86">
        <f>IFERROR(__xludf.DUMMYFUNCTION("""COMPUTED_VALUE"""),6.0)</f>
        <v>6</v>
      </c>
      <c r="D2325" s="87" t="str">
        <f>IFERROR(__xludf.DUMMYFUNCTION("""COMPUTED_VALUE"""),"SEÇÃO")</f>
        <v>SEÇÃO</v>
      </c>
      <c r="E2325" s="87" t="str">
        <f>IFERROR(__xludf.DUMMYFUNCTION("""COMPUTED_VALUE"""),"3 - ALMOX. ESTOQUE")</f>
        <v>3 - ALMOX. ESTOQUE</v>
      </c>
      <c r="F2325" s="92" t="str">
        <f>IFERROR(__xludf.DUMMYFUNCTION("""COMPUTED_VALUE"""),"ALMOX. SAO (SEDE)")</f>
        <v>ALMOX. SAO (SEDE)</v>
      </c>
      <c r="G2325" s="89">
        <f>IFERROR(__xludf.DUMMYFUNCTION("""COMPUTED_VALUE"""),45523.0)</f>
        <v>45523</v>
      </c>
      <c r="H2325" s="87"/>
      <c r="I2325" s="87"/>
    </row>
    <row r="2326">
      <c r="A2326" s="84">
        <f>IFERROR(__xludf.DUMMYFUNCTION("""COMPUTED_VALUE"""),536.0)</f>
        <v>536</v>
      </c>
      <c r="B2326" s="85" t="str">
        <f>IFERROR(__xludf.DUMMYFUNCTION("""COMPUTED_VALUE"""),"SACO DE LIXO (100L)")</f>
        <v>SACO DE LIXO (100L)</v>
      </c>
      <c r="C2326" s="86">
        <f>IFERROR(__xludf.DUMMYFUNCTION("""COMPUTED_VALUE"""),8.0)</f>
        <v>8</v>
      </c>
      <c r="D2326" s="87" t="str">
        <f>IFERROR(__xludf.DUMMYFUNCTION("""COMPUTED_VALUE"""),"SEÇÃO")</f>
        <v>SEÇÃO</v>
      </c>
      <c r="E2326" s="87" t="str">
        <f>IFERROR(__xludf.DUMMYFUNCTION("""COMPUTED_VALUE"""),"3 - ALMOX. ESTOQUE")</f>
        <v>3 - ALMOX. ESTOQUE</v>
      </c>
      <c r="F2326" s="92" t="str">
        <f>IFERROR(__xludf.DUMMYFUNCTION("""COMPUTED_VALUE"""),"ALMOX. SAO (SEDE)")</f>
        <v>ALMOX. SAO (SEDE)</v>
      </c>
      <c r="G2326" s="89">
        <f>IFERROR(__xludf.DUMMYFUNCTION("""COMPUTED_VALUE"""),45523.0)</f>
        <v>45523</v>
      </c>
      <c r="H2326" s="87"/>
      <c r="I2326" s="87"/>
    </row>
    <row r="2327">
      <c r="A2327" s="84">
        <f>IFERROR(__xludf.DUMMYFUNCTION("""COMPUTED_VALUE"""),537.0)</f>
        <v>537</v>
      </c>
      <c r="B2327" s="85" t="str">
        <f>IFERROR(__xludf.DUMMYFUNCTION("""COMPUTED_VALUE"""),"ESPONJA SINTETICA PARA LIMPEZA -")</f>
        <v>ESPONJA SINTETICA PARA LIMPEZA -</v>
      </c>
      <c r="C2327" s="86">
        <f>IFERROR(__xludf.DUMMYFUNCTION("""COMPUTED_VALUE"""),20.0)</f>
        <v>20</v>
      </c>
      <c r="D2327" s="87" t="str">
        <f>IFERROR(__xludf.DUMMYFUNCTION("""COMPUTED_VALUE"""),"SEÇÃO")</f>
        <v>SEÇÃO</v>
      </c>
      <c r="E2327" s="87" t="str">
        <f>IFERROR(__xludf.DUMMYFUNCTION("""COMPUTED_VALUE"""),"3 - ALMOX. ESTOQUE")</f>
        <v>3 - ALMOX. ESTOQUE</v>
      </c>
      <c r="F2327" s="92" t="str">
        <f>IFERROR(__xludf.DUMMYFUNCTION("""COMPUTED_VALUE"""),"ALMOX. SAO (SEDE)")</f>
        <v>ALMOX. SAO (SEDE)</v>
      </c>
      <c r="G2327" s="89">
        <f>IFERROR(__xludf.DUMMYFUNCTION("""COMPUTED_VALUE"""),45523.0)</f>
        <v>45523</v>
      </c>
      <c r="H2327" s="87"/>
      <c r="I2327" s="87"/>
    </row>
    <row r="2328">
      <c r="A2328" s="84">
        <f>IFERROR(__xludf.DUMMYFUNCTION("""COMPUTED_VALUE"""),538.0)</f>
        <v>538</v>
      </c>
      <c r="B2328" s="85" t="str">
        <f>IFERROR(__xludf.DUMMYFUNCTION("""COMPUTED_VALUE"""),"PANO DE CHAO -")</f>
        <v>PANO DE CHAO -</v>
      </c>
      <c r="C2328" s="86">
        <f>IFERROR(__xludf.DUMMYFUNCTION("""COMPUTED_VALUE"""),10.0)</f>
        <v>10</v>
      </c>
      <c r="D2328" s="87" t="str">
        <f>IFERROR(__xludf.DUMMYFUNCTION("""COMPUTED_VALUE"""),"SEÇÃO")</f>
        <v>SEÇÃO</v>
      </c>
      <c r="E2328" s="87" t="str">
        <f>IFERROR(__xludf.DUMMYFUNCTION("""COMPUTED_VALUE"""),"3 - ALMOX. ESTOQUE")</f>
        <v>3 - ALMOX. ESTOQUE</v>
      </c>
      <c r="F2328" s="92" t="str">
        <f>IFERROR(__xludf.DUMMYFUNCTION("""COMPUTED_VALUE"""),"ALMOX. SAO (SEDE)")</f>
        <v>ALMOX. SAO (SEDE)</v>
      </c>
      <c r="G2328" s="89">
        <f>IFERROR(__xludf.DUMMYFUNCTION("""COMPUTED_VALUE"""),45523.0)</f>
        <v>45523</v>
      </c>
      <c r="H2328" s="87"/>
      <c r="I2328" s="87"/>
    </row>
    <row r="2329">
      <c r="A2329" s="84">
        <f>IFERROR(__xludf.DUMMYFUNCTION("""COMPUTED_VALUE"""),539.0)</f>
        <v>539</v>
      </c>
      <c r="B2329" s="85" t="str">
        <f>IFERROR(__xludf.DUMMYFUNCTION("""COMPUTED_VALUE"""),"VASSOURINHA PARA SANITÁRIO")</f>
        <v>VASSOURINHA PARA SANITÁRIO</v>
      </c>
      <c r="C2329" s="86">
        <f>IFERROR(__xludf.DUMMYFUNCTION("""COMPUTED_VALUE"""),10.0)</f>
        <v>10</v>
      </c>
      <c r="D2329" s="87" t="str">
        <f>IFERROR(__xludf.DUMMYFUNCTION("""COMPUTED_VALUE"""),"SEÇÃO")</f>
        <v>SEÇÃO</v>
      </c>
      <c r="E2329" s="87" t="str">
        <f>IFERROR(__xludf.DUMMYFUNCTION("""COMPUTED_VALUE"""),"3 - ALMOX. ESTOQUE")</f>
        <v>3 - ALMOX. ESTOQUE</v>
      </c>
      <c r="F2329" s="92" t="str">
        <f>IFERROR(__xludf.DUMMYFUNCTION("""COMPUTED_VALUE"""),"ALMOX. SAO (SEDE)")</f>
        <v>ALMOX. SAO (SEDE)</v>
      </c>
      <c r="G2329" s="89">
        <f>IFERROR(__xludf.DUMMYFUNCTION("""COMPUTED_VALUE"""),45547.0)</f>
        <v>45547</v>
      </c>
      <c r="H2329" s="87"/>
      <c r="I2329" s="87"/>
    </row>
    <row r="2330">
      <c r="A2330" s="84">
        <f>IFERROR(__xludf.DUMMYFUNCTION("""COMPUTED_VALUE"""),540.0)</f>
        <v>540</v>
      </c>
      <c r="B2330" s="85" t="str">
        <f>IFERROR(__xludf.DUMMYFUNCTION("""COMPUTED_VALUE"""),"CERA LÍQUIDA")</f>
        <v>CERA LÍQUIDA</v>
      </c>
      <c r="C2330" s="86">
        <f>IFERROR(__xludf.DUMMYFUNCTION("""COMPUTED_VALUE"""),4.0)</f>
        <v>4</v>
      </c>
      <c r="D2330" s="87" t="str">
        <f>IFERROR(__xludf.DUMMYFUNCTION("""COMPUTED_VALUE"""),"SEÇÃO")</f>
        <v>SEÇÃO</v>
      </c>
      <c r="E2330" s="87" t="str">
        <f>IFERROR(__xludf.DUMMYFUNCTION("""COMPUTED_VALUE"""),"3 - ALMOX. ESTOQUE")</f>
        <v>3 - ALMOX. ESTOQUE</v>
      </c>
      <c r="F2330" s="92" t="str">
        <f>IFERROR(__xludf.DUMMYFUNCTION("""COMPUTED_VALUE"""),"ALMOX. SAO (SEDE)")</f>
        <v>ALMOX. SAO (SEDE)</v>
      </c>
      <c r="G2330" s="89">
        <f>IFERROR(__xludf.DUMMYFUNCTION("""COMPUTED_VALUE"""),45547.0)</f>
        <v>45547</v>
      </c>
      <c r="H2330" s="87"/>
      <c r="I2330" s="87"/>
    </row>
    <row r="2331">
      <c r="A2331" s="84">
        <f>IFERROR(__xludf.DUMMYFUNCTION("""COMPUTED_VALUE"""),541.0)</f>
        <v>541</v>
      </c>
      <c r="B2331" s="85" t="str">
        <f>IFERROR(__xludf.DUMMYFUNCTION("""COMPUTED_VALUE"""),"DETERGENTE NEUTRO (5L)")</f>
        <v>DETERGENTE NEUTRO (5L)</v>
      </c>
      <c r="C2331" s="86">
        <f>IFERROR(__xludf.DUMMYFUNCTION("""COMPUTED_VALUE"""),10.0)</f>
        <v>10</v>
      </c>
      <c r="D2331" s="87" t="str">
        <f>IFERROR(__xludf.DUMMYFUNCTION("""COMPUTED_VALUE"""),"SEÇÃO")</f>
        <v>SEÇÃO</v>
      </c>
      <c r="E2331" s="87" t="str">
        <f>IFERROR(__xludf.DUMMYFUNCTION("""COMPUTED_VALUE"""),"3 - ALMOX. ESTOQUE")</f>
        <v>3 - ALMOX. ESTOQUE</v>
      </c>
      <c r="F2331" s="92" t="str">
        <f>IFERROR(__xludf.DUMMYFUNCTION("""COMPUTED_VALUE"""),"ALMOX. SAO (SEDE)")</f>
        <v>ALMOX. SAO (SEDE)</v>
      </c>
      <c r="G2331" s="89">
        <f>IFERROR(__xludf.DUMMYFUNCTION("""COMPUTED_VALUE"""),45547.0)</f>
        <v>45547</v>
      </c>
      <c r="H2331" s="87"/>
      <c r="I2331" s="87"/>
    </row>
    <row r="2332">
      <c r="A2332" s="84">
        <f>IFERROR(__xludf.DUMMYFUNCTION("""COMPUTED_VALUE"""),542.0)</f>
        <v>542</v>
      </c>
      <c r="B2332" s="85" t="str">
        <f>IFERROR(__xludf.DUMMYFUNCTION("""COMPUTED_VALUE"""),"HIPOCLORITO DE SODIO -")</f>
        <v>HIPOCLORITO DE SODIO -</v>
      </c>
      <c r="C2332" s="86">
        <f>IFERROR(__xludf.DUMMYFUNCTION("""COMPUTED_VALUE"""),4.0)</f>
        <v>4</v>
      </c>
      <c r="D2332" s="87" t="str">
        <f>IFERROR(__xludf.DUMMYFUNCTION("""COMPUTED_VALUE"""),"SEÇÃO")</f>
        <v>SEÇÃO</v>
      </c>
      <c r="E2332" s="87" t="str">
        <f>IFERROR(__xludf.DUMMYFUNCTION("""COMPUTED_VALUE"""),"3 - ALMOX. ESTOQUE")</f>
        <v>3 - ALMOX. ESTOQUE</v>
      </c>
      <c r="F2332" s="92" t="str">
        <f>IFERROR(__xludf.DUMMYFUNCTION("""COMPUTED_VALUE"""),"ALMOX. SAO (SEDE)")</f>
        <v>ALMOX. SAO (SEDE)</v>
      </c>
      <c r="G2332" s="89">
        <f>IFERROR(__xludf.DUMMYFUNCTION("""COMPUTED_VALUE"""),45547.0)</f>
        <v>45547</v>
      </c>
      <c r="H2332" s="87"/>
      <c r="I2332" s="87"/>
    </row>
    <row r="2333">
      <c r="A2333" s="84">
        <f>IFERROR(__xludf.DUMMYFUNCTION("""COMPUTED_VALUE"""),543.0)</f>
        <v>543</v>
      </c>
      <c r="B2333" s="85" t="str">
        <f>IFERROR(__xludf.DUMMYFUNCTION("""COMPUTED_VALUE"""),"ESPONJA DE AÇO")</f>
        <v>ESPONJA DE AÇO</v>
      </c>
      <c r="C2333" s="86">
        <f>IFERROR(__xludf.DUMMYFUNCTION("""COMPUTED_VALUE"""),5.0)</f>
        <v>5</v>
      </c>
      <c r="D2333" s="87" t="str">
        <f>IFERROR(__xludf.DUMMYFUNCTION("""COMPUTED_VALUE"""),"SEÇÃO")</f>
        <v>SEÇÃO</v>
      </c>
      <c r="E2333" s="87" t="str">
        <f>IFERROR(__xludf.DUMMYFUNCTION("""COMPUTED_VALUE"""),"3 - ALMOX. ESTOQUE")</f>
        <v>3 - ALMOX. ESTOQUE</v>
      </c>
      <c r="F2333" s="92" t="str">
        <f>IFERROR(__xludf.DUMMYFUNCTION("""COMPUTED_VALUE"""),"ALMOX. SAO (SEDE)")</f>
        <v>ALMOX. SAO (SEDE)</v>
      </c>
      <c r="G2333" s="89">
        <f>IFERROR(__xludf.DUMMYFUNCTION("""COMPUTED_VALUE"""),45547.0)</f>
        <v>45547</v>
      </c>
      <c r="H2333" s="87"/>
      <c r="I2333" s="87"/>
    </row>
    <row r="2334">
      <c r="A2334" s="84">
        <f>IFERROR(__xludf.DUMMYFUNCTION("""COMPUTED_VALUE"""),544.0)</f>
        <v>544</v>
      </c>
      <c r="B2334" s="85" t="str">
        <f>IFERROR(__xludf.DUMMYFUNCTION("""COMPUTED_VALUE"""),"ODORIZADOR")</f>
        <v>ODORIZADOR</v>
      </c>
      <c r="C2334" s="86">
        <f>IFERROR(__xludf.DUMMYFUNCTION("""COMPUTED_VALUE"""),10.0)</f>
        <v>10</v>
      </c>
      <c r="D2334" s="87" t="str">
        <f>IFERROR(__xludf.DUMMYFUNCTION("""COMPUTED_VALUE"""),"SEÇÃO")</f>
        <v>SEÇÃO</v>
      </c>
      <c r="E2334" s="87" t="str">
        <f>IFERROR(__xludf.DUMMYFUNCTION("""COMPUTED_VALUE"""),"3 - ALMOX. ESTOQUE")</f>
        <v>3 - ALMOX. ESTOQUE</v>
      </c>
      <c r="F2334" s="92" t="str">
        <f>IFERROR(__xludf.DUMMYFUNCTION("""COMPUTED_VALUE"""),"ALMOX. SAO (SEDE)")</f>
        <v>ALMOX. SAO (SEDE)</v>
      </c>
      <c r="G2334" s="89">
        <f>IFERROR(__xludf.DUMMYFUNCTION("""COMPUTED_VALUE"""),45547.0)</f>
        <v>45547</v>
      </c>
      <c r="H2334" s="87"/>
      <c r="I2334" s="87"/>
    </row>
    <row r="2335">
      <c r="A2335" s="84">
        <f>IFERROR(__xludf.DUMMYFUNCTION("""COMPUTED_VALUE"""),545.0)</f>
        <v>545</v>
      </c>
      <c r="B2335" s="85" t="str">
        <f>IFERROR(__xludf.DUMMYFUNCTION("""COMPUTED_VALUE"""),"BORRIFADOR")</f>
        <v>BORRIFADOR</v>
      </c>
      <c r="C2335" s="86">
        <f>IFERROR(__xludf.DUMMYFUNCTION("""COMPUTED_VALUE"""),6.0)</f>
        <v>6</v>
      </c>
      <c r="D2335" s="87" t="str">
        <f>IFERROR(__xludf.DUMMYFUNCTION("""COMPUTED_VALUE"""),"SEÇÃO")</f>
        <v>SEÇÃO</v>
      </c>
      <c r="E2335" s="87" t="str">
        <f>IFERROR(__xludf.DUMMYFUNCTION("""COMPUTED_VALUE"""),"3 - ALMOX. ESTOQUE")</f>
        <v>3 - ALMOX. ESTOQUE</v>
      </c>
      <c r="F2335" s="92" t="str">
        <f>IFERROR(__xludf.DUMMYFUNCTION("""COMPUTED_VALUE"""),"ALMOX. SAO (SEDE)")</f>
        <v>ALMOX. SAO (SEDE)</v>
      </c>
      <c r="G2335" s="89">
        <f>IFERROR(__xludf.DUMMYFUNCTION("""COMPUTED_VALUE"""),45547.0)</f>
        <v>45547</v>
      </c>
      <c r="H2335" s="87"/>
      <c r="I2335" s="87"/>
    </row>
    <row r="2336">
      <c r="A2336" s="84">
        <f>IFERROR(__xludf.DUMMYFUNCTION("""COMPUTED_VALUE"""),546.0)</f>
        <v>546</v>
      </c>
      <c r="B2336" s="85" t="str">
        <f>IFERROR(__xludf.DUMMYFUNCTION("""COMPUTED_VALUE"""),"RODO")</f>
        <v>RODO</v>
      </c>
      <c r="C2336" s="86">
        <f>IFERROR(__xludf.DUMMYFUNCTION("""COMPUTED_VALUE"""),10.0)</f>
        <v>10</v>
      </c>
      <c r="D2336" s="87" t="str">
        <f>IFERROR(__xludf.DUMMYFUNCTION("""COMPUTED_VALUE"""),"SEÇÃO")</f>
        <v>SEÇÃO</v>
      </c>
      <c r="E2336" s="87" t="str">
        <f>IFERROR(__xludf.DUMMYFUNCTION("""COMPUTED_VALUE"""),"3 - ALMOX. ESTOQUE")</f>
        <v>3 - ALMOX. ESTOQUE</v>
      </c>
      <c r="F2336" s="92" t="str">
        <f>IFERROR(__xludf.DUMMYFUNCTION("""COMPUTED_VALUE"""),"ALMOX. SAO (SEDE)")</f>
        <v>ALMOX. SAO (SEDE)</v>
      </c>
      <c r="G2336" s="89">
        <f>IFERROR(__xludf.DUMMYFUNCTION("""COMPUTED_VALUE"""),45547.0)</f>
        <v>45547</v>
      </c>
      <c r="H2336" s="87"/>
      <c r="I2336" s="87"/>
    </row>
    <row r="2337">
      <c r="A2337" s="84">
        <f>IFERROR(__xludf.DUMMYFUNCTION("""COMPUTED_VALUE"""),547.0)</f>
        <v>547</v>
      </c>
      <c r="B2337" s="85" t="str">
        <f>IFERROR(__xludf.DUMMYFUNCTION("""COMPUTED_VALUE"""),"PEN DRIVE 32 GB USB 2.0")</f>
        <v>PEN DRIVE 32 GB USB 2.0</v>
      </c>
      <c r="C2337" s="86">
        <f>IFERROR(__xludf.DUMMYFUNCTION("""COMPUTED_VALUE"""),8.0)</f>
        <v>8</v>
      </c>
      <c r="D2337" s="87" t="str">
        <f>IFERROR(__xludf.DUMMYFUNCTION("""COMPUTED_VALUE"""),"SEÇÃO")</f>
        <v>SEÇÃO</v>
      </c>
      <c r="E2337" s="87" t="str">
        <f>IFERROR(__xludf.DUMMYFUNCTION("""COMPUTED_VALUE"""),"3 - ALMOX. ESTOQUE")</f>
        <v>3 - ALMOX. ESTOQUE</v>
      </c>
      <c r="F2337" s="92" t="str">
        <f>IFERROR(__xludf.DUMMYFUNCTION("""COMPUTED_VALUE"""),"SAO")</f>
        <v>SAO</v>
      </c>
      <c r="G2337" s="89">
        <f>IFERROR(__xludf.DUMMYFUNCTION("""COMPUTED_VALUE"""),45511.0)</f>
        <v>45511</v>
      </c>
      <c r="H2337" s="87"/>
      <c r="I2337" s="87"/>
    </row>
    <row r="2338">
      <c r="A2338" s="84">
        <f>IFERROR(__xludf.DUMMYFUNCTION("""COMPUTED_VALUE"""),548.0)</f>
        <v>548</v>
      </c>
      <c r="B2338" s="85" t="str">
        <f>IFERROR(__xludf.DUMMYFUNCTION("""COMPUTED_VALUE"""),"FILTRO DE LINHA 5 TOMADAS")</f>
        <v>FILTRO DE LINHA 5 TOMADAS</v>
      </c>
      <c r="C2338" s="86">
        <f>IFERROR(__xludf.DUMMYFUNCTION("""COMPUTED_VALUE"""),20.0)</f>
        <v>20</v>
      </c>
      <c r="D2338" s="87" t="str">
        <f>IFERROR(__xludf.DUMMYFUNCTION("""COMPUTED_VALUE"""),"SEÇÃO")</f>
        <v>SEÇÃO</v>
      </c>
      <c r="E2338" s="87" t="str">
        <f>IFERROR(__xludf.DUMMYFUNCTION("""COMPUTED_VALUE"""),"3 - ALMOX. ESTOQUE")</f>
        <v>3 - ALMOX. ESTOQUE</v>
      </c>
      <c r="F2338" s="92"/>
      <c r="G2338" s="89">
        <f>IFERROR(__xludf.DUMMYFUNCTION("""COMPUTED_VALUE"""),45511.0)</f>
        <v>45511</v>
      </c>
      <c r="H2338" s="87"/>
      <c r="I2338" s="87"/>
    </row>
    <row r="2339">
      <c r="A2339" s="84">
        <f>IFERROR(__xludf.DUMMYFUNCTION("""COMPUTED_VALUE"""),549.0)</f>
        <v>549</v>
      </c>
      <c r="B2339" s="85" t="str">
        <f>IFERROR(__xludf.DUMMYFUNCTION("""COMPUTED_VALUE"""),"SNORKEL BOCAL, PARA MERGULHADOR -")</f>
        <v>SNORKEL BOCAL, PARA MERGULHADOR -</v>
      </c>
      <c r="C2339" s="86">
        <f>IFERROR(__xludf.DUMMYFUNCTION("""COMPUTED_VALUE"""),17.0)</f>
        <v>17</v>
      </c>
      <c r="D2339" s="87" t="str">
        <f>IFERROR(__xludf.DUMMYFUNCTION("""COMPUTED_VALUE"""),"SEÇÃO")</f>
        <v>SEÇÃO</v>
      </c>
      <c r="E2339" s="87" t="str">
        <f>IFERROR(__xludf.DUMMYFUNCTION("""COMPUTED_VALUE"""),"3 - ALMOX. ESTOQUE")</f>
        <v>3 - ALMOX. ESTOQUE</v>
      </c>
      <c r="F2339" s="92" t="str">
        <f>IFERROR(__xludf.DUMMYFUNCTION("""COMPUTED_VALUE"""),"ALMOX. SAO (SEDE)")</f>
        <v>ALMOX. SAO (SEDE)</v>
      </c>
      <c r="G2339" s="89">
        <f>IFERROR(__xludf.DUMMYFUNCTION("""COMPUTED_VALUE"""),45520.0)</f>
        <v>45520</v>
      </c>
      <c r="H2339" s="87"/>
      <c r="I2339" s="87"/>
    </row>
    <row r="2340">
      <c r="A2340" s="84">
        <f>IFERROR(__xludf.DUMMYFUNCTION("""COMPUTED_VALUE"""),550.0)</f>
        <v>550</v>
      </c>
      <c r="B2340" s="85" t="str">
        <f>IFERROR(__xludf.DUMMYFUNCTION("""COMPUTED_VALUE"""),"MASCARAS PARA MERGULHADORES -")</f>
        <v>MASCARAS PARA MERGULHADORES -</v>
      </c>
      <c r="C2340" s="86">
        <f>IFERROR(__xludf.DUMMYFUNCTION("""COMPUTED_VALUE"""),13.0)</f>
        <v>13</v>
      </c>
      <c r="D2340" s="87" t="str">
        <f>IFERROR(__xludf.DUMMYFUNCTION("""COMPUTED_VALUE"""),"SEÇÃO")</f>
        <v>SEÇÃO</v>
      </c>
      <c r="E2340" s="87" t="str">
        <f>IFERROR(__xludf.DUMMYFUNCTION("""COMPUTED_VALUE"""),"3 - ALMOX. ESTOQUE")</f>
        <v>3 - ALMOX. ESTOQUE</v>
      </c>
      <c r="F2340" s="92" t="str">
        <f>IFERROR(__xludf.DUMMYFUNCTION("""COMPUTED_VALUE"""),"ALMOX. SAO (SEDE)")</f>
        <v>ALMOX. SAO (SEDE)</v>
      </c>
      <c r="G2340" s="89">
        <f>IFERROR(__xludf.DUMMYFUNCTION("""COMPUTED_VALUE"""),45520.0)</f>
        <v>45520</v>
      </c>
      <c r="H2340" s="87"/>
      <c r="I2340" s="87"/>
    </row>
    <row r="2341">
      <c r="A2341" s="84">
        <f>IFERROR(__xludf.DUMMYFUNCTION("""COMPUTED_VALUE"""),551.0)</f>
        <v>551</v>
      </c>
      <c r="B2341" s="85" t="str">
        <f>IFERROR(__xludf.DUMMYFUNCTION("""COMPUTED_VALUE"""),"LIXEIRA 60L")</f>
        <v>LIXEIRA 60L</v>
      </c>
      <c r="C2341" s="86">
        <f>IFERROR(__xludf.DUMMYFUNCTION("""COMPUTED_VALUE"""),10.0)</f>
        <v>10</v>
      </c>
      <c r="D2341" s="87" t="str">
        <f>IFERROR(__xludf.DUMMYFUNCTION("""COMPUTED_VALUE"""),"SEÇÃO")</f>
        <v>SEÇÃO</v>
      </c>
      <c r="E2341" s="87" t="str">
        <f>IFERROR(__xludf.DUMMYFUNCTION("""COMPUTED_VALUE"""),"3 - ALMOX. ESTOQUE")</f>
        <v>3 - ALMOX. ESTOQUE</v>
      </c>
      <c r="F2341" s="92" t="str">
        <f>IFERROR(__xludf.DUMMYFUNCTION("""COMPUTED_VALUE"""),"ALMOX. SAO (SEDE)")</f>
        <v>ALMOX. SAO (SEDE)</v>
      </c>
      <c r="G2341" s="89">
        <f>IFERROR(__xludf.DUMMYFUNCTION("""COMPUTED_VALUE"""),45544.0)</f>
        <v>45544</v>
      </c>
      <c r="H2341" s="87"/>
      <c r="I2341" s="87"/>
    </row>
    <row r="2342">
      <c r="A2342" s="84">
        <f>IFERROR(__xludf.DUMMYFUNCTION("""COMPUTED_VALUE"""),552.0)</f>
        <v>552</v>
      </c>
      <c r="B2342" s="85" t="str">
        <f>IFERROR(__xludf.DUMMYFUNCTION("""COMPUTED_VALUE"""),"LIMPA PNEU (PRETINHO) 500 ML")</f>
        <v>LIMPA PNEU (PRETINHO) 500 ML</v>
      </c>
      <c r="C2342" s="86">
        <f>IFERROR(__xludf.DUMMYFUNCTION("""COMPUTED_VALUE"""),20.0)</f>
        <v>20</v>
      </c>
      <c r="D2342" s="87" t="str">
        <f>IFERROR(__xludf.DUMMYFUNCTION("""COMPUTED_VALUE"""),"SEÇÃO")</f>
        <v>SEÇÃO</v>
      </c>
      <c r="E2342" s="87" t="str">
        <f>IFERROR(__xludf.DUMMYFUNCTION("""COMPUTED_VALUE"""),"3 - ALMOX. ESTOQUE")</f>
        <v>3 - ALMOX. ESTOQUE</v>
      </c>
      <c r="F2342" s="92" t="str">
        <f>IFERROR(__xludf.DUMMYFUNCTION("""COMPUTED_VALUE"""),"ALMOX. SAO (SEDE)")</f>
        <v>ALMOX. SAO (SEDE)</v>
      </c>
      <c r="G2342" s="89">
        <f>IFERROR(__xludf.DUMMYFUNCTION("""COMPUTED_VALUE"""),45544.0)</f>
        <v>45544</v>
      </c>
      <c r="H2342" s="87"/>
      <c r="I2342" s="87"/>
    </row>
    <row r="2343">
      <c r="A2343" s="84">
        <f>IFERROR(__xludf.DUMMYFUNCTION("""COMPUTED_VALUE"""),553.0)</f>
        <v>553</v>
      </c>
      <c r="B2343" s="85" t="str">
        <f>IFERROR(__xludf.DUMMYFUNCTION("""COMPUTED_VALUE"""),"CERA USO AUTOMOTIVO ")</f>
        <v>CERA USO AUTOMOTIVO </v>
      </c>
      <c r="C2343" s="86">
        <f>IFERROR(__xludf.DUMMYFUNCTION("""COMPUTED_VALUE"""),15.0)</f>
        <v>15</v>
      </c>
      <c r="D2343" s="87" t="str">
        <f>IFERROR(__xludf.DUMMYFUNCTION("""COMPUTED_VALUE"""),"SEÇÃO")</f>
        <v>SEÇÃO</v>
      </c>
      <c r="E2343" s="87" t="str">
        <f>IFERROR(__xludf.DUMMYFUNCTION("""COMPUTED_VALUE"""),"3 - ALMOX. ESTOQUE")</f>
        <v>3 - ALMOX. ESTOQUE</v>
      </c>
      <c r="F2343" s="92" t="str">
        <f>IFERROR(__xludf.DUMMYFUNCTION("""COMPUTED_VALUE"""),"ALMOX. SAO (SEDE)")</f>
        <v>ALMOX. SAO (SEDE)</v>
      </c>
      <c r="G2343" s="89">
        <f>IFERROR(__xludf.DUMMYFUNCTION("""COMPUTED_VALUE"""),45544.0)</f>
        <v>45544</v>
      </c>
      <c r="H2343" s="87"/>
      <c r="I2343" s="87"/>
    </row>
    <row r="2344">
      <c r="A2344" s="84">
        <f>IFERROR(__xludf.DUMMYFUNCTION("""COMPUTED_VALUE"""),554.0)</f>
        <v>554</v>
      </c>
      <c r="B2344" s="85" t="str">
        <f>IFERROR(__xludf.DUMMYFUNCTION("""COMPUTED_VALUE"""),"SABAO EM PO -")</f>
        <v>SABAO EM PO -</v>
      </c>
      <c r="C2344" s="86">
        <f>IFERROR(__xludf.DUMMYFUNCTION("""COMPUTED_VALUE"""),8.0)</f>
        <v>8</v>
      </c>
      <c r="D2344" s="87" t="str">
        <f>IFERROR(__xludf.DUMMYFUNCTION("""COMPUTED_VALUE"""),"SEÇÃO")</f>
        <v>SEÇÃO</v>
      </c>
      <c r="E2344" s="87" t="str">
        <f>IFERROR(__xludf.DUMMYFUNCTION("""COMPUTED_VALUE"""),"3 - ALMOX. ESTOQUE")</f>
        <v>3 - ALMOX. ESTOQUE</v>
      </c>
      <c r="F2344" s="92" t="str">
        <f>IFERROR(__xludf.DUMMYFUNCTION("""COMPUTED_VALUE"""),"ALMOX. SAO (SEDE)")</f>
        <v>ALMOX. SAO (SEDE)</v>
      </c>
      <c r="G2344" s="89">
        <f>IFERROR(__xludf.DUMMYFUNCTION("""COMPUTED_VALUE"""),45544.0)</f>
        <v>45544</v>
      </c>
      <c r="H2344" s="87"/>
      <c r="I2344" s="87" t="str">
        <f>IFERROR(__xludf.DUMMYFUNCTION("""COMPUTED_VALUE"""),"5KG")</f>
        <v>5KG</v>
      </c>
    </row>
    <row r="2345">
      <c r="A2345" s="84">
        <f>IFERROR(__xludf.DUMMYFUNCTION("""COMPUTED_VALUE"""),555.0)</f>
        <v>555</v>
      </c>
      <c r="B2345" s="85" t="str">
        <f>IFERROR(__xludf.DUMMYFUNCTION("""COMPUTED_VALUE"""),"DESINFETANTE  ")</f>
        <v>DESINFETANTE  </v>
      </c>
      <c r="C2345" s="86">
        <f>IFERROR(__xludf.DUMMYFUNCTION("""COMPUTED_VALUE"""),40.0)</f>
        <v>40</v>
      </c>
      <c r="D2345" s="87" t="str">
        <f>IFERROR(__xludf.DUMMYFUNCTION("""COMPUTED_VALUE"""),"SEÇÃO")</f>
        <v>SEÇÃO</v>
      </c>
      <c r="E2345" s="87" t="str">
        <f>IFERROR(__xludf.DUMMYFUNCTION("""COMPUTED_VALUE"""),"3 - ALMOX. ESTOQUE")</f>
        <v>3 - ALMOX. ESTOQUE</v>
      </c>
      <c r="F2345" s="92" t="str">
        <f>IFERROR(__xludf.DUMMYFUNCTION("""COMPUTED_VALUE"""),"ALMOX. SAO (SEDE)")</f>
        <v>ALMOX. SAO (SEDE)</v>
      </c>
      <c r="G2345" s="89">
        <f>IFERROR(__xludf.DUMMYFUNCTION("""COMPUTED_VALUE"""),45544.0)</f>
        <v>45544</v>
      </c>
      <c r="H2345" s="87"/>
      <c r="I2345" s="87"/>
    </row>
    <row r="2346">
      <c r="A2346" s="84">
        <f>IFERROR(__xludf.DUMMYFUNCTION("""COMPUTED_VALUE"""),556.0)</f>
        <v>556</v>
      </c>
      <c r="B2346" s="85" t="str">
        <f>IFERROR(__xludf.DUMMYFUNCTION("""COMPUTED_VALUE"""),"HIPOCLORITO DE SODIO -")</f>
        <v>HIPOCLORITO DE SODIO -</v>
      </c>
      <c r="C2346" s="86">
        <f>IFERROR(__xludf.DUMMYFUNCTION("""COMPUTED_VALUE"""),4.0)</f>
        <v>4</v>
      </c>
      <c r="D2346" s="87" t="str">
        <f>IFERROR(__xludf.DUMMYFUNCTION("""COMPUTED_VALUE"""),"SEÇÃO")</f>
        <v>SEÇÃO</v>
      </c>
      <c r="E2346" s="87" t="str">
        <f>IFERROR(__xludf.DUMMYFUNCTION("""COMPUTED_VALUE"""),"3 - ALMOX. ESTOQUE")</f>
        <v>3 - ALMOX. ESTOQUE</v>
      </c>
      <c r="F2346" s="92" t="str">
        <f>IFERROR(__xludf.DUMMYFUNCTION("""COMPUTED_VALUE"""),"ALMOX. SAO (SEDE)")</f>
        <v>ALMOX. SAO (SEDE)</v>
      </c>
      <c r="G2346" s="89">
        <f>IFERROR(__xludf.DUMMYFUNCTION("""COMPUTED_VALUE"""),45544.0)</f>
        <v>45544</v>
      </c>
      <c r="H2346" s="87"/>
      <c r="I2346" s="87" t="str">
        <f>IFERROR(__xludf.DUMMYFUNCTION("""COMPUTED_VALUE"""),"5L")</f>
        <v>5L</v>
      </c>
    </row>
    <row r="2347">
      <c r="A2347" s="84">
        <f>IFERROR(__xludf.DUMMYFUNCTION("""COMPUTED_VALUE"""),557.0)</f>
        <v>557</v>
      </c>
      <c r="B2347" s="85" t="str">
        <f>IFERROR(__xludf.DUMMYFUNCTION("""COMPUTED_VALUE"""),"DISPENSER DE SABONETE LIQUIDO")</f>
        <v>DISPENSER DE SABONETE LIQUIDO</v>
      </c>
      <c r="C2347" s="86">
        <f>IFERROR(__xludf.DUMMYFUNCTION("""COMPUTED_VALUE"""),14.0)</f>
        <v>14</v>
      </c>
      <c r="D2347" s="87" t="str">
        <f>IFERROR(__xludf.DUMMYFUNCTION("""COMPUTED_VALUE"""),"SEÇÃO")</f>
        <v>SEÇÃO</v>
      </c>
      <c r="E2347" s="87" t="str">
        <f>IFERROR(__xludf.DUMMYFUNCTION("""COMPUTED_VALUE"""),"3 - ALMOX. ESTOQUE")</f>
        <v>3 - ALMOX. ESTOQUE</v>
      </c>
      <c r="F2347" s="92" t="str">
        <f>IFERROR(__xludf.DUMMYFUNCTION("""COMPUTED_VALUE"""),"ALMOX. SAO (SEDE)")</f>
        <v>ALMOX. SAO (SEDE)</v>
      </c>
      <c r="G2347" s="89">
        <f>IFERROR(__xludf.DUMMYFUNCTION("""COMPUTED_VALUE"""),45544.0)</f>
        <v>45544</v>
      </c>
      <c r="H2347" s="87"/>
      <c r="I2347" s="87"/>
    </row>
    <row r="2348">
      <c r="A2348" s="84">
        <f>IFERROR(__xludf.DUMMYFUNCTION("""COMPUTED_VALUE"""),558.0)</f>
        <v>558</v>
      </c>
      <c r="B2348" s="85" t="str">
        <f>IFERROR(__xludf.DUMMYFUNCTION("""COMPUTED_VALUE"""),"SABONETE LÍQUIDO REFIL")</f>
        <v>SABONETE LÍQUIDO REFIL</v>
      </c>
      <c r="C2348" s="86">
        <f>IFERROR(__xludf.DUMMYFUNCTION("""COMPUTED_VALUE"""),40.0)</f>
        <v>40</v>
      </c>
      <c r="D2348" s="87" t="str">
        <f>IFERROR(__xludf.DUMMYFUNCTION("""COMPUTED_VALUE"""),"SEÇÃO")</f>
        <v>SEÇÃO</v>
      </c>
      <c r="E2348" s="87" t="str">
        <f>IFERROR(__xludf.DUMMYFUNCTION("""COMPUTED_VALUE"""),"3 - ALMOX. ESTOQUE")</f>
        <v>3 - ALMOX. ESTOQUE</v>
      </c>
      <c r="F2348" s="92" t="str">
        <f>IFERROR(__xludf.DUMMYFUNCTION("""COMPUTED_VALUE"""),"ALMOX. SAO (SEDE)")</f>
        <v>ALMOX. SAO (SEDE)</v>
      </c>
      <c r="G2348" s="89">
        <f>IFERROR(__xludf.DUMMYFUNCTION("""COMPUTED_VALUE"""),45544.0)</f>
        <v>45544</v>
      </c>
      <c r="H2348" s="87"/>
      <c r="I2348" s="87"/>
    </row>
    <row r="2349">
      <c r="A2349" s="84">
        <f>IFERROR(__xludf.DUMMYFUNCTION("""COMPUTED_VALUE"""),559.0)</f>
        <v>559</v>
      </c>
      <c r="B2349" s="85" t="str">
        <f>IFERROR(__xludf.DUMMYFUNCTION("""COMPUTED_VALUE"""),"DESINFETANTE  ")</f>
        <v>DESINFETANTE  </v>
      </c>
      <c r="C2349" s="86">
        <f>IFERROR(__xludf.DUMMYFUNCTION("""COMPUTED_VALUE"""),5.0)</f>
        <v>5</v>
      </c>
      <c r="D2349" s="87" t="str">
        <f>IFERROR(__xludf.DUMMYFUNCTION("""COMPUTED_VALUE"""),"SEÇÃO")</f>
        <v>SEÇÃO</v>
      </c>
      <c r="E2349" s="87" t="str">
        <f>IFERROR(__xludf.DUMMYFUNCTION("""COMPUTED_VALUE"""),"3 - ALMOX. ESTOQUE")</f>
        <v>3 - ALMOX. ESTOQUE</v>
      </c>
      <c r="F2349" s="92" t="str">
        <f>IFERROR(__xludf.DUMMYFUNCTION("""COMPUTED_VALUE"""),"ALMOX. SAO (SEDE)")</f>
        <v>ALMOX. SAO (SEDE)</v>
      </c>
      <c r="G2349" s="89">
        <f>IFERROR(__xludf.DUMMYFUNCTION("""COMPUTED_VALUE"""),45544.0)</f>
        <v>45544</v>
      </c>
      <c r="H2349" s="87"/>
      <c r="I2349" s="87"/>
    </row>
    <row r="2350">
      <c r="A2350" s="84">
        <f>IFERROR(__xludf.DUMMYFUNCTION("""COMPUTED_VALUE"""),560.0)</f>
        <v>560</v>
      </c>
      <c r="B2350" s="85" t="str">
        <f>IFERROR(__xludf.DUMMYFUNCTION("""COMPUTED_VALUE"""),"TECLADO E MOUSE SEM FIO ")</f>
        <v>TECLADO E MOUSE SEM FIO </v>
      </c>
      <c r="C2350" s="86">
        <f>IFERROR(__xludf.DUMMYFUNCTION("""COMPUTED_VALUE"""),3.0)</f>
        <v>3</v>
      </c>
      <c r="D2350" s="87" t="str">
        <f>IFERROR(__xludf.DUMMYFUNCTION("""COMPUTED_VALUE"""),"SEÇÃO")</f>
        <v>SEÇÃO</v>
      </c>
      <c r="E2350" s="87" t="str">
        <f>IFERROR(__xludf.DUMMYFUNCTION("""COMPUTED_VALUE"""),"3 - ALMOX. ESTOQUE")</f>
        <v>3 - ALMOX. ESTOQUE</v>
      </c>
      <c r="F2350" s="92" t="str">
        <f>IFERROR(__xludf.DUMMYFUNCTION("""COMPUTED_VALUE"""),"SAO")</f>
        <v>SAO</v>
      </c>
      <c r="G2350" s="89">
        <f>IFERROR(__xludf.DUMMYFUNCTION("""COMPUTED_VALUE"""),45511.0)</f>
        <v>45511</v>
      </c>
      <c r="H2350" s="87"/>
      <c r="I2350" s="87"/>
    </row>
    <row r="2351">
      <c r="A2351" s="84">
        <f>IFERROR(__xludf.DUMMYFUNCTION("""COMPUTED_VALUE"""),561.0)</f>
        <v>561</v>
      </c>
      <c r="B2351" s="85" t="str">
        <f>IFERROR(__xludf.DUMMYFUNCTION("""COMPUTED_VALUE"""),"PAD MOUSE COM APOIO DE PUNHO ERGONOMICO")</f>
        <v>PAD MOUSE COM APOIO DE PUNHO ERGONOMICO</v>
      </c>
      <c r="C2351" s="86">
        <f>IFERROR(__xludf.DUMMYFUNCTION("""COMPUTED_VALUE"""),21.0)</f>
        <v>21</v>
      </c>
      <c r="D2351" s="87" t="str">
        <f>IFERROR(__xludf.DUMMYFUNCTION("""COMPUTED_VALUE"""),"SEÇÃO")</f>
        <v>SEÇÃO</v>
      </c>
      <c r="E2351" s="87" t="str">
        <f>IFERROR(__xludf.DUMMYFUNCTION("""COMPUTED_VALUE"""),"3 - ALMOX. ESTOQUE")</f>
        <v>3 - ALMOX. ESTOQUE</v>
      </c>
      <c r="F2351" s="92" t="str">
        <f>IFERROR(__xludf.DUMMYFUNCTION("""COMPUTED_VALUE"""),"SAO")</f>
        <v>SAO</v>
      </c>
      <c r="G2351" s="89">
        <f>IFERROR(__xludf.DUMMYFUNCTION("""COMPUTED_VALUE"""),45511.0)</f>
        <v>45511</v>
      </c>
      <c r="H2351" s="87"/>
      <c r="I2351" s="87"/>
    </row>
    <row r="2352">
      <c r="A2352" s="84">
        <f>IFERROR(__xludf.DUMMYFUNCTION("""COMPUTED_VALUE"""),562.0)</f>
        <v>562</v>
      </c>
      <c r="B2352" s="85" t="str">
        <f>IFERROR(__xludf.DUMMYFUNCTION("""COMPUTED_VALUE"""),"ABRAÇADEIRA DE NYLON 3,5 X 300 MM PCT C/100")</f>
        <v>ABRAÇADEIRA DE NYLON 3,5 X 300 MM PCT C/100</v>
      </c>
      <c r="C2352" s="86">
        <f>IFERROR(__xludf.DUMMYFUNCTION("""COMPUTED_VALUE"""),10.0)</f>
        <v>10</v>
      </c>
      <c r="D2352" s="87" t="str">
        <f>IFERROR(__xludf.DUMMYFUNCTION("""COMPUTED_VALUE"""),"SEÇÃO")</f>
        <v>SEÇÃO</v>
      </c>
      <c r="E2352" s="87" t="str">
        <f>IFERROR(__xludf.DUMMYFUNCTION("""COMPUTED_VALUE"""),"3 - ALMOX. ESTOQUE")</f>
        <v>3 - ALMOX. ESTOQUE</v>
      </c>
      <c r="F2352" s="92" t="str">
        <f>IFERROR(__xludf.DUMMYFUNCTION("""COMPUTED_VALUE"""),"SAO")</f>
        <v>SAO</v>
      </c>
      <c r="G2352" s="89">
        <f>IFERROR(__xludf.DUMMYFUNCTION("""COMPUTED_VALUE"""),45511.0)</f>
        <v>45511</v>
      </c>
      <c r="H2352" s="87"/>
      <c r="I2352" s="87"/>
    </row>
    <row r="2353">
      <c r="A2353" s="84">
        <f>IFERROR(__xludf.DUMMYFUNCTION("""COMPUTED_VALUE"""),563.0)</f>
        <v>563</v>
      </c>
      <c r="B2353" s="85" t="str">
        <f>IFERROR(__xludf.DUMMYFUNCTION("""COMPUTED_VALUE"""),"BATERIA 9V RECARREGÁVEL")</f>
        <v>BATERIA 9V RECARREGÁVEL</v>
      </c>
      <c r="C2353" s="86">
        <f>IFERROR(__xludf.DUMMYFUNCTION("""COMPUTED_VALUE"""),15.0)</f>
        <v>15</v>
      </c>
      <c r="D2353" s="87" t="str">
        <f>IFERROR(__xludf.DUMMYFUNCTION("""COMPUTED_VALUE"""),"SEÇÃO")</f>
        <v>SEÇÃO</v>
      </c>
      <c r="E2353" s="87" t="str">
        <f>IFERROR(__xludf.DUMMYFUNCTION("""COMPUTED_VALUE"""),"3 - ALMOX. ESTOQUE")</f>
        <v>3 - ALMOX. ESTOQUE</v>
      </c>
      <c r="F2353" s="92" t="str">
        <f>IFERROR(__xludf.DUMMYFUNCTION("""COMPUTED_VALUE"""),"SAO")</f>
        <v>SAO</v>
      </c>
      <c r="G2353" s="89">
        <f>IFERROR(__xludf.DUMMYFUNCTION("""COMPUTED_VALUE"""),45511.0)</f>
        <v>45511</v>
      </c>
      <c r="H2353" s="87"/>
      <c r="I2353" s="87"/>
    </row>
    <row r="2354">
      <c r="A2354" s="84">
        <f>IFERROR(__xludf.DUMMYFUNCTION("""COMPUTED_VALUE"""),564.0)</f>
        <v>564</v>
      </c>
      <c r="B2354" s="85" t="str">
        <f>IFERROR(__xludf.DUMMYFUNCTION("""COMPUTED_VALUE"""),"CARREGADOR DE BATERIAS E PILHAS AA E AAA. BIVOLT")</f>
        <v>CARREGADOR DE BATERIAS E PILHAS AA E AAA. BIVOLT</v>
      </c>
      <c r="C2354" s="86">
        <f>IFERROR(__xludf.DUMMYFUNCTION("""COMPUTED_VALUE"""),2.0)</f>
        <v>2</v>
      </c>
      <c r="D2354" s="87" t="str">
        <f>IFERROR(__xludf.DUMMYFUNCTION("""COMPUTED_VALUE"""),"SEÇÃO")</f>
        <v>SEÇÃO</v>
      </c>
      <c r="E2354" s="87" t="str">
        <f>IFERROR(__xludf.DUMMYFUNCTION("""COMPUTED_VALUE"""),"3 - ALMOX. ESTOQUE")</f>
        <v>3 - ALMOX. ESTOQUE</v>
      </c>
      <c r="F2354" s="92" t="str">
        <f>IFERROR(__xludf.DUMMYFUNCTION("""COMPUTED_VALUE"""),"SAO")</f>
        <v>SAO</v>
      </c>
      <c r="G2354" s="89">
        <f>IFERROR(__xludf.DUMMYFUNCTION("""COMPUTED_VALUE"""),45511.0)</f>
        <v>45511</v>
      </c>
      <c r="H2354" s="87"/>
      <c r="I2354" s="87"/>
    </row>
    <row r="2355">
      <c r="A2355" s="84">
        <f>IFERROR(__xludf.DUMMYFUNCTION("""COMPUTED_VALUE"""),565.0)</f>
        <v>565</v>
      </c>
      <c r="B2355" s="85" t="str">
        <f>IFERROR(__xludf.DUMMYFUNCTION("""COMPUTED_VALUE"""),"HUB USB 2.0 REF AC 064")</f>
        <v>HUB USB 2.0 REF AC 064</v>
      </c>
      <c r="C2355" s="86">
        <f>IFERROR(__xludf.DUMMYFUNCTION("""COMPUTED_VALUE"""),2.0)</f>
        <v>2</v>
      </c>
      <c r="D2355" s="87" t="str">
        <f>IFERROR(__xludf.DUMMYFUNCTION("""COMPUTED_VALUE"""),"SEÇÃO")</f>
        <v>SEÇÃO</v>
      </c>
      <c r="E2355" s="87" t="str">
        <f>IFERROR(__xludf.DUMMYFUNCTION("""COMPUTED_VALUE"""),"3 - ALMOX. ESTOQUE")</f>
        <v>3 - ALMOX. ESTOQUE</v>
      </c>
      <c r="F2355" s="92" t="str">
        <f>IFERROR(__xludf.DUMMYFUNCTION("""COMPUTED_VALUE"""),"SAO")</f>
        <v>SAO</v>
      </c>
      <c r="G2355" s="89">
        <f>IFERROR(__xludf.DUMMYFUNCTION("""COMPUTED_VALUE"""),45511.0)</f>
        <v>45511</v>
      </c>
      <c r="H2355" s="87"/>
      <c r="I2355" s="87"/>
    </row>
    <row r="2356">
      <c r="A2356" s="84">
        <f>IFERROR(__xludf.DUMMYFUNCTION("""COMPUTED_VALUE"""),566.0)</f>
        <v>566</v>
      </c>
      <c r="B2356" s="85" t="str">
        <f>IFERROR(__xludf.DUMMYFUNCTION("""COMPUTED_VALUE"""),"PASSADOR DE SLIDE COM APOTADOR A LASER")</f>
        <v>PASSADOR DE SLIDE COM APOTADOR A LASER</v>
      </c>
      <c r="C2356" s="86">
        <f>IFERROR(__xludf.DUMMYFUNCTION("""COMPUTED_VALUE"""),3.0)</f>
        <v>3</v>
      </c>
      <c r="D2356" s="87" t="str">
        <f>IFERROR(__xludf.DUMMYFUNCTION("""COMPUTED_VALUE"""),"SEÇÃO")</f>
        <v>SEÇÃO</v>
      </c>
      <c r="E2356" s="87" t="str">
        <f>IFERROR(__xludf.DUMMYFUNCTION("""COMPUTED_VALUE"""),"3 - ALMOX. ESTOQUE")</f>
        <v>3 - ALMOX. ESTOQUE</v>
      </c>
      <c r="F2356" s="92" t="str">
        <f>IFERROR(__xludf.DUMMYFUNCTION("""COMPUTED_VALUE"""),"SAO")</f>
        <v>SAO</v>
      </c>
      <c r="G2356" s="89">
        <f>IFERROR(__xludf.DUMMYFUNCTION("""COMPUTED_VALUE"""),45511.0)</f>
        <v>45511</v>
      </c>
      <c r="H2356" s="87"/>
      <c r="I2356" s="87"/>
    </row>
    <row r="2357">
      <c r="A2357" s="84">
        <f>IFERROR(__xludf.DUMMYFUNCTION("""COMPUTED_VALUE"""),567.0)</f>
        <v>567</v>
      </c>
      <c r="B2357" s="85" t="str">
        <f>IFERROR(__xludf.DUMMYFUNCTION("""COMPUTED_VALUE"""),"ADAPTADOR HDMI PARA VGA 19 CM")</f>
        <v>ADAPTADOR HDMI PARA VGA 19 CM</v>
      </c>
      <c r="C2357" s="86">
        <f>IFERROR(__xludf.DUMMYFUNCTION("""COMPUTED_VALUE"""),3.0)</f>
        <v>3</v>
      </c>
      <c r="D2357" s="87" t="str">
        <f>IFERROR(__xludf.DUMMYFUNCTION("""COMPUTED_VALUE"""),"SEÇÃO")</f>
        <v>SEÇÃO</v>
      </c>
      <c r="E2357" s="87" t="str">
        <f>IFERROR(__xludf.DUMMYFUNCTION("""COMPUTED_VALUE"""),"3 - ALMOX. ESTOQUE")</f>
        <v>3 - ALMOX. ESTOQUE</v>
      </c>
      <c r="F2357" s="92" t="str">
        <f>IFERROR(__xludf.DUMMYFUNCTION("""COMPUTED_VALUE"""),"SAO")</f>
        <v>SAO</v>
      </c>
      <c r="G2357" s="89">
        <f>IFERROR(__xludf.DUMMYFUNCTION("""COMPUTED_VALUE"""),45511.0)</f>
        <v>45511</v>
      </c>
      <c r="H2357" s="87"/>
      <c r="I2357" s="87"/>
    </row>
    <row r="2358">
      <c r="A2358" s="84">
        <f>IFERROR(__xludf.DUMMYFUNCTION("""COMPUTED_VALUE"""),568.0)</f>
        <v>568</v>
      </c>
      <c r="B2358" s="85" t="str">
        <f>IFERROR(__xludf.DUMMYFUNCTION("""COMPUTED_VALUE"""),"CABO EXTENSOR HDMI ")</f>
        <v>CABO EXTENSOR HDMI </v>
      </c>
      <c r="C2358" s="86">
        <f>IFERROR(__xludf.DUMMYFUNCTION("""COMPUTED_VALUE"""),3.0)</f>
        <v>3</v>
      </c>
      <c r="D2358" s="87" t="str">
        <f>IFERROR(__xludf.DUMMYFUNCTION("""COMPUTED_VALUE"""),"SEÇÃO")</f>
        <v>SEÇÃO</v>
      </c>
      <c r="E2358" s="87" t="str">
        <f>IFERROR(__xludf.DUMMYFUNCTION("""COMPUTED_VALUE"""),"3 - ALMOX. ESTOQUE")</f>
        <v>3 - ALMOX. ESTOQUE</v>
      </c>
      <c r="F2358" s="92" t="str">
        <f>IFERROR(__xludf.DUMMYFUNCTION("""COMPUTED_VALUE"""),"SAO")</f>
        <v>SAO</v>
      </c>
      <c r="G2358" s="89">
        <f>IFERROR(__xludf.DUMMYFUNCTION("""COMPUTED_VALUE"""),45511.0)</f>
        <v>45511</v>
      </c>
      <c r="H2358" s="87"/>
      <c r="I2358" s="87"/>
    </row>
    <row r="2359">
      <c r="A2359" s="84">
        <f>IFERROR(__xludf.DUMMYFUNCTION("""COMPUTED_VALUE"""),569.0)</f>
        <v>569</v>
      </c>
      <c r="B2359" s="85" t="str">
        <f>IFERROR(__xludf.DUMMYFUNCTION("""COMPUTED_VALUE"""),"CONECTOR RJ45 CAT 6 PCT C/100 UNID.")</f>
        <v>CONECTOR RJ45 CAT 6 PCT C/100 UNID.</v>
      </c>
      <c r="C2359" s="86">
        <f>IFERROR(__xludf.DUMMYFUNCTION("""COMPUTED_VALUE"""),50.0)</f>
        <v>50</v>
      </c>
      <c r="D2359" s="87" t="str">
        <f>IFERROR(__xludf.DUMMYFUNCTION("""COMPUTED_VALUE"""),"SEÇÃO")</f>
        <v>SEÇÃO</v>
      </c>
      <c r="E2359" s="87" t="str">
        <f>IFERROR(__xludf.DUMMYFUNCTION("""COMPUTED_VALUE"""),"3 - ALMOX. ESTOQUE")</f>
        <v>3 - ALMOX. ESTOQUE</v>
      </c>
      <c r="F2359" s="92" t="str">
        <f>IFERROR(__xludf.DUMMYFUNCTION("""COMPUTED_VALUE"""),"SAO")</f>
        <v>SAO</v>
      </c>
      <c r="G2359" s="89">
        <f>IFERROR(__xludf.DUMMYFUNCTION("""COMPUTED_VALUE"""),45511.0)</f>
        <v>45511</v>
      </c>
      <c r="H2359" s="87"/>
      <c r="I2359" s="87"/>
    </row>
    <row r="2360">
      <c r="A2360" s="84">
        <f>IFERROR(__xludf.DUMMYFUNCTION("""COMPUTED_VALUE"""),570.0)</f>
        <v>570</v>
      </c>
      <c r="B2360" s="85" t="str">
        <f>IFERROR(__xludf.DUMMYFUNCTION("""COMPUTED_VALUE"""),"CADEIRINHA BAUDRIER RAPEL - NÍVEL III")</f>
        <v>CADEIRINHA BAUDRIER RAPEL - NÍVEL III</v>
      </c>
      <c r="C2360" s="86">
        <f>IFERROR(__xludf.DUMMYFUNCTION("""COMPUTED_VALUE"""),14.0)</f>
        <v>14</v>
      </c>
      <c r="D2360" s="87" t="str">
        <f>IFERROR(__xludf.DUMMYFUNCTION("""COMPUTED_VALUE"""),"SEÇÃO")</f>
        <v>SEÇÃO</v>
      </c>
      <c r="E2360" s="87" t="str">
        <f>IFERROR(__xludf.DUMMYFUNCTION("""COMPUTED_VALUE"""),"3 - ALMOX. ESTOQUE")</f>
        <v>3 - ALMOX. ESTOQUE</v>
      </c>
      <c r="F2360" s="92" t="str">
        <f>IFERROR(__xludf.DUMMYFUNCTION("""COMPUTED_VALUE"""),"SAO")</f>
        <v>SAO</v>
      </c>
      <c r="G2360" s="89"/>
      <c r="H2360" s="87"/>
      <c r="I2360" s="87"/>
    </row>
    <row r="2361">
      <c r="A2361" s="84">
        <f>IFERROR(__xludf.DUMMYFUNCTION("""COMPUTED_VALUE"""),571.0)</f>
        <v>571</v>
      </c>
      <c r="B2361" s="85" t="str">
        <f>IFERROR(__xludf.DUMMYFUNCTION("""COMPUTED_VALUE"""),"BATERIA HOLMATRO EVO 3")</f>
        <v>BATERIA HOLMATRO EVO 3</v>
      </c>
      <c r="C2361" s="86">
        <f>IFERROR(__xludf.DUMMYFUNCTION("""COMPUTED_VALUE"""),1.0)</f>
        <v>1</v>
      </c>
      <c r="D2361" s="87" t="str">
        <f>IFERROR(__xludf.DUMMYFUNCTION("""COMPUTED_VALUE"""),"SEÇÃO")</f>
        <v>SEÇÃO</v>
      </c>
      <c r="E2361" s="87" t="str">
        <f>IFERROR(__xludf.DUMMYFUNCTION("""COMPUTED_VALUE"""),"3 - ALMOX. ESTOQUE")</f>
        <v>3 - ALMOX. ESTOQUE</v>
      </c>
      <c r="F2361" s="92" t="str">
        <f>IFERROR(__xludf.DUMMYFUNCTION("""COMPUTED_VALUE"""),"ALMOX. SAO (SEDE)")</f>
        <v>ALMOX. SAO (SEDE)</v>
      </c>
      <c r="G2361" s="89">
        <f>IFERROR(__xludf.DUMMYFUNCTION("""COMPUTED_VALUE"""),45628.0)</f>
        <v>45628</v>
      </c>
      <c r="H2361" s="87" t="str">
        <f>IFERROR(__xludf.DUMMYFUNCTION("""COMPUTED_VALUE"""),"FA20209-0023-3923C")</f>
        <v>FA20209-0023-3923C</v>
      </c>
      <c r="I2361" s="87"/>
    </row>
    <row r="2362">
      <c r="A2362" s="84">
        <f>IFERROR(__xludf.DUMMYFUNCTION("""COMPUTED_VALUE"""),572.0)</f>
        <v>572</v>
      </c>
      <c r="B2362" s="85" t="str">
        <f>IFERROR(__xludf.DUMMYFUNCTION("""COMPUTED_VALUE"""),"BATERIA HOLMATRO EVO 3")</f>
        <v>BATERIA HOLMATRO EVO 3</v>
      </c>
      <c r="C2362" s="86">
        <f>IFERROR(__xludf.DUMMYFUNCTION("""COMPUTED_VALUE"""),1.0)</f>
        <v>1</v>
      </c>
      <c r="D2362" s="87" t="str">
        <f>IFERROR(__xludf.DUMMYFUNCTION("""COMPUTED_VALUE"""),"SEÇÃO")</f>
        <v>SEÇÃO</v>
      </c>
      <c r="E2362" s="87" t="str">
        <f>IFERROR(__xludf.DUMMYFUNCTION("""COMPUTED_VALUE"""),"3 - ALMOX. ESTOQUE")</f>
        <v>3 - ALMOX. ESTOQUE</v>
      </c>
      <c r="F2362" s="92" t="str">
        <f>IFERROR(__xludf.DUMMYFUNCTION("""COMPUTED_VALUE"""),"ALMOX. SAO (SEDE)")</f>
        <v>ALMOX. SAO (SEDE)</v>
      </c>
      <c r="G2362" s="89">
        <f>IFERROR(__xludf.DUMMYFUNCTION("""COMPUTED_VALUE"""),45628.0)</f>
        <v>45628</v>
      </c>
      <c r="H2362" s="87" t="str">
        <f>IFERROR(__xludf.DUMMYFUNCTION("""COMPUTED_VALUE"""),"FA220209-0119-3923C")</f>
        <v>FA220209-0119-3923C</v>
      </c>
      <c r="I2362" s="87"/>
    </row>
    <row r="2363">
      <c r="A2363" s="84">
        <f>IFERROR(__xludf.DUMMYFUNCTION("""COMPUTED_VALUE"""),573.0)</f>
        <v>573</v>
      </c>
      <c r="B2363" s="85" t="str">
        <f>IFERROR(__xludf.DUMMYFUNCTION("""COMPUTED_VALUE"""),"BATERIA HOLMATRO EVO 3")</f>
        <v>BATERIA HOLMATRO EVO 3</v>
      </c>
      <c r="C2363" s="86">
        <f>IFERROR(__xludf.DUMMYFUNCTION("""COMPUTED_VALUE"""),1.0)</f>
        <v>1</v>
      </c>
      <c r="D2363" s="87" t="str">
        <f>IFERROR(__xludf.DUMMYFUNCTION("""COMPUTED_VALUE"""),"SEÇÃO")</f>
        <v>SEÇÃO</v>
      </c>
      <c r="E2363" s="87" t="str">
        <f>IFERROR(__xludf.DUMMYFUNCTION("""COMPUTED_VALUE"""),"3 - ALMOX. ESTOQUE")</f>
        <v>3 - ALMOX. ESTOQUE</v>
      </c>
      <c r="F2363" s="92" t="str">
        <f>IFERROR(__xludf.DUMMYFUNCTION("""COMPUTED_VALUE"""),"ALMOX. SAO (SEDE)")</f>
        <v>ALMOX. SAO (SEDE)</v>
      </c>
      <c r="G2363" s="89">
        <f>IFERROR(__xludf.DUMMYFUNCTION("""COMPUTED_VALUE"""),45628.0)</f>
        <v>45628</v>
      </c>
      <c r="H2363" s="87" t="str">
        <f>IFERROR(__xludf.DUMMYFUNCTION("""COMPUTED_VALUE"""),"FA220209-0060-3923C")</f>
        <v>FA220209-0060-3923C</v>
      </c>
      <c r="I2363" s="87"/>
    </row>
    <row r="2364">
      <c r="A2364" s="84">
        <f>IFERROR(__xludf.DUMMYFUNCTION("""COMPUTED_VALUE"""),574.0)</f>
        <v>574</v>
      </c>
      <c r="B2364" s="85" t="str">
        <f>IFERROR(__xludf.DUMMYFUNCTION("""COMPUTED_VALUE"""),"BATERIA HOLMATRO EVO 3")</f>
        <v>BATERIA HOLMATRO EVO 3</v>
      </c>
      <c r="C2364" s="86">
        <f>IFERROR(__xludf.DUMMYFUNCTION("""COMPUTED_VALUE"""),1.0)</f>
        <v>1</v>
      </c>
      <c r="D2364" s="87" t="str">
        <f>IFERROR(__xludf.DUMMYFUNCTION("""COMPUTED_VALUE"""),"SEÇÃO")</f>
        <v>SEÇÃO</v>
      </c>
      <c r="E2364" s="87" t="str">
        <f>IFERROR(__xludf.DUMMYFUNCTION("""COMPUTED_VALUE"""),"3 - ALMOX. ESTOQUE")</f>
        <v>3 - ALMOX. ESTOQUE</v>
      </c>
      <c r="F2364" s="92" t="str">
        <f>IFERROR(__xludf.DUMMYFUNCTION("""COMPUTED_VALUE"""),"ALMOX. SAO (SEDE)")</f>
        <v>ALMOX. SAO (SEDE)</v>
      </c>
      <c r="G2364" s="89">
        <f>IFERROR(__xludf.DUMMYFUNCTION("""COMPUTED_VALUE"""),45628.0)</f>
        <v>45628</v>
      </c>
      <c r="H2364" s="87" t="str">
        <f>IFERROR(__xludf.DUMMYFUNCTION("""COMPUTED_VALUE"""),"FA220209-0086-3923C")</f>
        <v>FA220209-0086-3923C</v>
      </c>
      <c r="I2364" s="87"/>
    </row>
    <row r="2365">
      <c r="A2365" s="84">
        <f>IFERROR(__xludf.DUMMYFUNCTION("""COMPUTED_VALUE"""),575.0)</f>
        <v>575</v>
      </c>
      <c r="B2365" s="85" t="str">
        <f>IFERROR(__xludf.DUMMYFUNCTION("""COMPUTED_VALUE"""),"BATERIA HOLMATRO EVO 3")</f>
        <v>BATERIA HOLMATRO EVO 3</v>
      </c>
      <c r="C2365" s="86">
        <f>IFERROR(__xludf.DUMMYFUNCTION("""COMPUTED_VALUE"""),1.0)</f>
        <v>1</v>
      </c>
      <c r="D2365" s="87" t="str">
        <f>IFERROR(__xludf.DUMMYFUNCTION("""COMPUTED_VALUE"""),"SEÇÃO")</f>
        <v>SEÇÃO</v>
      </c>
      <c r="E2365" s="87" t="str">
        <f>IFERROR(__xludf.DUMMYFUNCTION("""COMPUTED_VALUE"""),"3 - ALMOX. ESTOQUE")</f>
        <v>3 - ALMOX. ESTOQUE</v>
      </c>
      <c r="F2365" s="92" t="str">
        <f>IFERROR(__xludf.DUMMYFUNCTION("""COMPUTED_VALUE"""),"ALMOX. SAO (SEDE)")</f>
        <v>ALMOX. SAO (SEDE)</v>
      </c>
      <c r="G2365" s="89">
        <f>IFERROR(__xludf.DUMMYFUNCTION("""COMPUTED_VALUE"""),45628.0)</f>
        <v>45628</v>
      </c>
      <c r="H2365" s="87" t="str">
        <f>IFERROR(__xludf.DUMMYFUNCTION("""COMPUTED_VALUE"""),"FA220209-0005-3923C")</f>
        <v>FA220209-0005-3923C</v>
      </c>
      <c r="I2365" s="87"/>
    </row>
    <row r="2366">
      <c r="A2366" s="84">
        <f>IFERROR(__xludf.DUMMYFUNCTION("""COMPUTED_VALUE"""),576.0)</f>
        <v>576</v>
      </c>
      <c r="B2366" s="85" t="str">
        <f>IFERROR(__xludf.DUMMYFUNCTION("""COMPUTED_VALUE"""),"BATERIA HOLMATRO EVO 3")</f>
        <v>BATERIA HOLMATRO EVO 3</v>
      </c>
      <c r="C2366" s="86">
        <f>IFERROR(__xludf.DUMMYFUNCTION("""COMPUTED_VALUE"""),1.0)</f>
        <v>1</v>
      </c>
      <c r="D2366" s="87" t="str">
        <f>IFERROR(__xludf.DUMMYFUNCTION("""COMPUTED_VALUE"""),"SEÇÃO")</f>
        <v>SEÇÃO</v>
      </c>
      <c r="E2366" s="87" t="str">
        <f>IFERROR(__xludf.DUMMYFUNCTION("""COMPUTED_VALUE"""),"3 - ALMOX. ESTOQUE")</f>
        <v>3 - ALMOX. ESTOQUE</v>
      </c>
      <c r="F2366" s="92" t="str">
        <f>IFERROR(__xludf.DUMMYFUNCTION("""COMPUTED_VALUE"""),"ALMOX. SAO (SEDE)")</f>
        <v>ALMOX. SAO (SEDE)</v>
      </c>
      <c r="G2366" s="89">
        <f>IFERROR(__xludf.DUMMYFUNCTION("""COMPUTED_VALUE"""),45628.0)</f>
        <v>45628</v>
      </c>
      <c r="H2366" s="87" t="str">
        <f>IFERROR(__xludf.DUMMYFUNCTION("""COMPUTED_VALUE"""),"FA220209-0523-3923C")</f>
        <v>FA220209-0523-3923C</v>
      </c>
      <c r="I2366" s="87"/>
    </row>
    <row r="2367">
      <c r="A2367" s="84">
        <f>IFERROR(__xludf.DUMMYFUNCTION("""COMPUTED_VALUE"""),577.0)</f>
        <v>577</v>
      </c>
      <c r="B2367" s="85" t="str">
        <f>IFERROR(__xludf.DUMMYFUNCTION("""COMPUTED_VALUE"""),"ASCENSOR (PAR)")</f>
        <v>ASCENSOR (PAR)</v>
      </c>
      <c r="C2367" s="86">
        <f>IFERROR(__xludf.DUMMYFUNCTION("""COMPUTED_VALUE"""),3.0)</f>
        <v>3</v>
      </c>
      <c r="D2367" s="87" t="str">
        <f>IFERROR(__xludf.DUMMYFUNCTION("""COMPUTED_VALUE"""),"SEÇÃO")</f>
        <v>SEÇÃO</v>
      </c>
      <c r="E2367" s="87" t="str">
        <f>IFERROR(__xludf.DUMMYFUNCTION("""COMPUTED_VALUE"""),"3 - ALMOX. ESTOQUE")</f>
        <v>3 - ALMOX. ESTOQUE</v>
      </c>
      <c r="F2367" s="92"/>
      <c r="G2367" s="89"/>
      <c r="H2367" s="87"/>
      <c r="I2367" s="87"/>
    </row>
    <row r="2368">
      <c r="A2368" s="84">
        <f>IFERROR(__xludf.DUMMYFUNCTION("""COMPUTED_VALUE"""),578.0)</f>
        <v>578</v>
      </c>
      <c r="B2368" s="85" t="str">
        <f>IFERROR(__xludf.DUMMYFUNCTION("""COMPUTED_VALUE"""),"ESTACAO DE TRABALHO -")</f>
        <v>ESTACAO DE TRABALHO -</v>
      </c>
      <c r="C2368" s="86">
        <f>IFERROR(__xludf.DUMMYFUNCTION("""COMPUTED_VALUE"""),3.0)</f>
        <v>3</v>
      </c>
      <c r="D2368" s="87" t="str">
        <f>IFERROR(__xludf.DUMMYFUNCTION("""COMPUTED_VALUE"""),"SEÇÃO")</f>
        <v>SEÇÃO</v>
      </c>
      <c r="E2368" s="87" t="str">
        <f>IFERROR(__xludf.DUMMYFUNCTION("""COMPUTED_VALUE"""),"3 - CARTÓRIO")</f>
        <v>3 - CARTÓRIO</v>
      </c>
      <c r="F2368" s="92"/>
      <c r="G2368" s="89"/>
      <c r="H2368" s="87"/>
      <c r="I2368" s="87" t="str">
        <f>IFERROR(__xludf.DUMMYFUNCTION("""COMPUTED_VALUE"""),"mesa de escritório em L (Azul )")</f>
        <v>mesa de escritório em L (Azul )</v>
      </c>
    </row>
    <row r="2369">
      <c r="A2369" s="84">
        <f>IFERROR(__xludf.DUMMYFUNCTION("""COMPUTED_VALUE"""),579.0)</f>
        <v>579</v>
      </c>
      <c r="B2369" s="85" t="str">
        <f>IFERROR(__xludf.DUMMYFUNCTION("""COMPUTED_VALUE"""),"CADEIRA GAMER")</f>
        <v>CADEIRA GAMER</v>
      </c>
      <c r="C2369" s="86">
        <f>IFERROR(__xludf.DUMMYFUNCTION("""COMPUTED_VALUE"""),3.0)</f>
        <v>3</v>
      </c>
      <c r="D2369" s="87" t="str">
        <f>IFERROR(__xludf.DUMMYFUNCTION("""COMPUTED_VALUE"""),"SEÇÃO")</f>
        <v>SEÇÃO</v>
      </c>
      <c r="E2369" s="87" t="str">
        <f>IFERROR(__xludf.DUMMYFUNCTION("""COMPUTED_VALUE"""),"3 - CARTÓRIO")</f>
        <v>3 - CARTÓRIO</v>
      </c>
      <c r="F2369" s="92"/>
      <c r="G2369" s="89"/>
      <c r="H2369" s="87"/>
      <c r="I2369" s="87" t="str">
        <f>IFERROR(__xludf.DUMMYFUNCTION("""COMPUTED_VALUE"""),"cadeira gaming marca: pichau ")</f>
        <v>cadeira gaming marca: pichau </v>
      </c>
    </row>
    <row r="2370">
      <c r="A2370" s="84">
        <f>IFERROR(__xludf.DUMMYFUNCTION("""COMPUTED_VALUE"""),580.0)</f>
        <v>580</v>
      </c>
      <c r="B2370" s="85" t="str">
        <f>IFERROR(__xludf.DUMMYFUNCTION("""COMPUTED_VALUE"""),"ARMÁRIO DE MADEIRA")</f>
        <v>ARMÁRIO DE MADEIRA</v>
      </c>
      <c r="C2370" s="86">
        <f>IFERROR(__xludf.DUMMYFUNCTION("""COMPUTED_VALUE"""),1.0)</f>
        <v>1</v>
      </c>
      <c r="D2370" s="87" t="str">
        <f>IFERROR(__xludf.DUMMYFUNCTION("""COMPUTED_VALUE"""),"SEÇÃO")</f>
        <v>SEÇÃO</v>
      </c>
      <c r="E2370" s="87" t="str">
        <f>IFERROR(__xludf.DUMMYFUNCTION("""COMPUTED_VALUE"""),"3 - CARTÓRIO")</f>
        <v>3 - CARTÓRIO</v>
      </c>
      <c r="F2370" s="92"/>
      <c r="G2370" s="89"/>
      <c r="H2370" s="87"/>
      <c r="I2370" s="87" t="str">
        <f>IFERROR(__xludf.DUMMYFUNCTION("""COMPUTED_VALUE"""),"armário de escritório 1 porta, 2 gavetas (Azul )")</f>
        <v>armário de escritório 1 porta, 2 gavetas (Azul )</v>
      </c>
    </row>
    <row r="2371">
      <c r="A2371" s="84">
        <f>IFERROR(__xludf.DUMMYFUNCTION("""COMPUTED_VALUE"""),581.0)</f>
        <v>581</v>
      </c>
      <c r="B2371" s="85" t="str">
        <f>IFERROR(__xludf.DUMMYFUNCTION("""COMPUTED_VALUE"""),"ARMÁRIO DE MADEIRA")</f>
        <v>ARMÁRIO DE MADEIRA</v>
      </c>
      <c r="C2371" s="86">
        <f>IFERROR(__xludf.DUMMYFUNCTION("""COMPUTED_VALUE"""),1.0)</f>
        <v>1</v>
      </c>
      <c r="D2371" s="87" t="str">
        <f>IFERROR(__xludf.DUMMYFUNCTION("""COMPUTED_VALUE"""),"SEÇÃO")</f>
        <v>SEÇÃO</v>
      </c>
      <c r="E2371" s="87" t="str">
        <f>IFERROR(__xludf.DUMMYFUNCTION("""COMPUTED_VALUE"""),"3 - CARTÓRIO")</f>
        <v>3 - CARTÓRIO</v>
      </c>
      <c r="F2371" s="92"/>
      <c r="G2371" s="89"/>
      <c r="H2371" s="87"/>
      <c r="I2371" s="87" t="str">
        <f>IFERROR(__xludf.DUMMYFUNCTION("""COMPUTED_VALUE"""),"armário de escritório tipo expositor 25 compartimentos")</f>
        <v>armário de escritório tipo expositor 25 compartimentos</v>
      </c>
    </row>
    <row r="2372">
      <c r="A2372" s="84">
        <f>IFERROR(__xludf.DUMMYFUNCTION("""COMPUTED_VALUE"""),582.0)</f>
        <v>582</v>
      </c>
      <c r="B2372" s="85" t="str">
        <f>IFERROR(__xludf.DUMMYFUNCTION("""COMPUTED_VALUE"""),"IMPRESSORA  ")</f>
        <v>IMPRESSORA  </v>
      </c>
      <c r="C2372" s="86">
        <f>IFERROR(__xludf.DUMMYFUNCTION("""COMPUTED_VALUE"""),1.0)</f>
        <v>1</v>
      </c>
      <c r="D2372" s="87" t="str">
        <f>IFERROR(__xludf.DUMMYFUNCTION("""COMPUTED_VALUE"""),"SEÇÃO")</f>
        <v>SEÇÃO</v>
      </c>
      <c r="E2372" s="87" t="str">
        <f>IFERROR(__xludf.DUMMYFUNCTION("""COMPUTED_VALUE"""),"3 - CARTÓRIO")</f>
        <v>3 - CARTÓRIO</v>
      </c>
      <c r="F2372" s="92"/>
      <c r="G2372" s="89"/>
      <c r="H2372" s="87"/>
      <c r="I2372" s="87" t="str">
        <f>IFERROR(__xludf.DUMMYFUNCTION("""COMPUTED_VALUE"""),"impressora EPSON L575 ")</f>
        <v>impressora EPSON L575 </v>
      </c>
    </row>
    <row r="2373">
      <c r="A2373" s="84">
        <f>IFERROR(__xludf.DUMMYFUNCTION("""COMPUTED_VALUE"""),583.0)</f>
        <v>583</v>
      </c>
      <c r="B2373" s="85" t="str">
        <f>IFERROR(__xludf.DUMMYFUNCTION("""COMPUTED_VALUE"""),"AR CONDICIONADO -")</f>
        <v>AR CONDICIONADO -</v>
      </c>
      <c r="C2373" s="86">
        <f>IFERROR(__xludf.DUMMYFUNCTION("""COMPUTED_VALUE"""),1.0)</f>
        <v>1</v>
      </c>
      <c r="D2373" s="87" t="str">
        <f>IFERROR(__xludf.DUMMYFUNCTION("""COMPUTED_VALUE"""),"SEÇÃO")</f>
        <v>SEÇÃO</v>
      </c>
      <c r="E2373" s="87" t="str">
        <f>IFERROR(__xludf.DUMMYFUNCTION("""COMPUTED_VALUE"""),"3 - CARTÓRIO")</f>
        <v>3 - CARTÓRIO</v>
      </c>
      <c r="F2373" s="92"/>
      <c r="G2373" s="89"/>
      <c r="H2373" s="87"/>
      <c r="I2373" s="87" t="str">
        <f>IFERROR(__xludf.DUMMYFUNCTION("""COMPUTED_VALUE"""),"ar condicionado LG mod. TSNC122YMA/12.000BTU")</f>
        <v>ar condicionado LG mod. TSNC122YMA/12.000BTU</v>
      </c>
    </row>
    <row r="2374">
      <c r="A2374" s="84">
        <f>IFERROR(__xludf.DUMMYFUNCTION("""COMPUTED_VALUE"""),584.0)</f>
        <v>584</v>
      </c>
      <c r="B2374" s="85" t="str">
        <f>IFERROR(__xludf.DUMMYFUNCTION("""COMPUTED_VALUE"""),"CADEIRA GAMER")</f>
        <v>CADEIRA GAMER</v>
      </c>
      <c r="C2374" s="86">
        <f>IFERROR(__xludf.DUMMYFUNCTION("""COMPUTED_VALUE"""),1.0)</f>
        <v>1</v>
      </c>
      <c r="D2374" s="87" t="str">
        <f>IFERROR(__xludf.DUMMYFUNCTION("""COMPUTED_VALUE"""),"SEÇÃO")</f>
        <v>SEÇÃO</v>
      </c>
      <c r="E2374" s="87" t="str">
        <f>IFERROR(__xludf.DUMMYFUNCTION("""COMPUTED_VALUE"""),"3 - COMANDANTE")</f>
        <v>3 - COMANDANTE</v>
      </c>
      <c r="F2374" s="92"/>
      <c r="G2374" s="89">
        <f>IFERROR(__xludf.DUMMYFUNCTION("""COMPUTED_VALUE"""),45628.0)</f>
        <v>45628</v>
      </c>
      <c r="H2374" s="87"/>
      <c r="I2374" s="87"/>
    </row>
    <row r="2375">
      <c r="A2375" s="84">
        <f>IFERROR(__xludf.DUMMYFUNCTION("""COMPUTED_VALUE"""),585.0)</f>
        <v>585</v>
      </c>
      <c r="B2375" s="85" t="str">
        <f>IFERROR(__xludf.DUMMYFUNCTION("""COMPUTED_VALUE"""),"MESA PARA ESCRITORIO -")</f>
        <v>MESA PARA ESCRITORIO -</v>
      </c>
      <c r="C2375" s="86">
        <f>IFERROR(__xludf.DUMMYFUNCTION("""COMPUTED_VALUE"""),1.0)</f>
        <v>1</v>
      </c>
      <c r="D2375" s="87" t="str">
        <f>IFERROR(__xludf.DUMMYFUNCTION("""COMPUTED_VALUE"""),"SEÇÃO")</f>
        <v>SEÇÃO</v>
      </c>
      <c r="E2375" s="87" t="str">
        <f>IFERROR(__xludf.DUMMYFUNCTION("""COMPUTED_VALUE"""),"3 - COMANDANTE")</f>
        <v>3 - COMANDANTE</v>
      </c>
      <c r="F2375" s="92"/>
      <c r="G2375" s="89">
        <f>IFERROR(__xludf.DUMMYFUNCTION("""COMPUTED_VALUE"""),45628.0)</f>
        <v>45628</v>
      </c>
      <c r="H2375" s="87"/>
      <c r="I2375" s="87"/>
    </row>
    <row r="2376">
      <c r="A2376" s="84">
        <f>IFERROR(__xludf.DUMMYFUNCTION("""COMPUTED_VALUE"""),586.0)</f>
        <v>586</v>
      </c>
      <c r="B2376" s="85" t="str">
        <f>IFERROR(__xludf.DUMMYFUNCTION("""COMPUTED_VALUE"""),"ESTACAO DE TRABALHO -")</f>
        <v>ESTACAO DE TRABALHO -</v>
      </c>
      <c r="C2376" s="86">
        <f>IFERROR(__xludf.DUMMYFUNCTION("""COMPUTED_VALUE"""),1.0)</f>
        <v>1</v>
      </c>
      <c r="D2376" s="87" t="str">
        <f>IFERROR(__xludf.DUMMYFUNCTION("""COMPUTED_VALUE"""),"SEÇÃO")</f>
        <v>SEÇÃO</v>
      </c>
      <c r="E2376" s="87" t="str">
        <f>IFERROR(__xludf.DUMMYFUNCTION("""COMPUTED_VALUE"""),"3 - COMANDANTE")</f>
        <v>3 - COMANDANTE</v>
      </c>
      <c r="F2376" s="92"/>
      <c r="G2376" s="89">
        <f>IFERROR(__xludf.DUMMYFUNCTION("""COMPUTED_VALUE"""),45628.0)</f>
        <v>45628</v>
      </c>
      <c r="H2376" s="87"/>
      <c r="I2376" s="87"/>
    </row>
    <row r="2377">
      <c r="A2377" s="84">
        <f>IFERROR(__xludf.DUMMYFUNCTION("""COMPUTED_VALUE"""),587.0)</f>
        <v>587</v>
      </c>
      <c r="B2377" s="85" t="str">
        <f>IFERROR(__xludf.DUMMYFUNCTION("""COMPUTED_VALUE"""),"AR CONDICIONADO -")</f>
        <v>AR CONDICIONADO -</v>
      </c>
      <c r="C2377" s="86">
        <f>IFERROR(__xludf.DUMMYFUNCTION("""COMPUTED_VALUE"""),1.0)</f>
        <v>1</v>
      </c>
      <c r="D2377" s="87" t="str">
        <f>IFERROR(__xludf.DUMMYFUNCTION("""COMPUTED_VALUE"""),"SEÇÃO")</f>
        <v>SEÇÃO</v>
      </c>
      <c r="E2377" s="87" t="str">
        <f>IFERROR(__xludf.DUMMYFUNCTION("""COMPUTED_VALUE"""),"3 - COMANDANTE")</f>
        <v>3 - COMANDANTE</v>
      </c>
      <c r="F2377" s="92"/>
      <c r="G2377" s="89">
        <f>IFERROR(__xludf.DUMMYFUNCTION("""COMPUTED_VALUE"""),45628.0)</f>
        <v>45628</v>
      </c>
      <c r="H2377" s="87"/>
      <c r="I2377" s="87" t="str">
        <f>IFERROR(__xludf.DUMMYFUNCTION("""COMPUTED_VALUE"""),"ar condicionado marca springer midea 22 mil btu")</f>
        <v>ar condicionado marca springer midea 22 mil btu</v>
      </c>
    </row>
    <row r="2378">
      <c r="A2378" s="84">
        <f>IFERROR(__xludf.DUMMYFUNCTION("""COMPUTED_VALUE"""),588.0)</f>
        <v>588</v>
      </c>
      <c r="B2378" s="85" t="str">
        <f>IFERROR(__xludf.DUMMYFUNCTION("""COMPUTED_VALUE"""),"ARMÁRIO DE MADEIRA")</f>
        <v>ARMÁRIO DE MADEIRA</v>
      </c>
      <c r="C2378" s="86">
        <f>IFERROR(__xludf.DUMMYFUNCTION("""COMPUTED_VALUE"""),1.0)</f>
        <v>1</v>
      </c>
      <c r="D2378" s="87" t="str">
        <f>IFERROR(__xludf.DUMMYFUNCTION("""COMPUTED_VALUE"""),"SEÇÃO")</f>
        <v>SEÇÃO</v>
      </c>
      <c r="E2378" s="87" t="str">
        <f>IFERROR(__xludf.DUMMYFUNCTION("""COMPUTED_VALUE"""),"3 - COMANDANTE")</f>
        <v>3 - COMANDANTE</v>
      </c>
      <c r="F2378" s="92"/>
      <c r="G2378" s="89">
        <f>IFERROR(__xludf.DUMMYFUNCTION("""COMPUTED_VALUE"""),45628.0)</f>
        <v>45628</v>
      </c>
      <c r="H2378" s="87"/>
      <c r="I2378" s="87" t="str">
        <f>IFERROR(__xludf.DUMMYFUNCTION("""COMPUTED_VALUE"""),"Armário para armazenamento de materiais particulares. n1 e 2")</f>
        <v>Armário para armazenamento de materiais particulares. n1 e 2</v>
      </c>
    </row>
    <row r="2379">
      <c r="A2379" s="84">
        <f>IFERROR(__xludf.DUMMYFUNCTION("""COMPUTED_VALUE"""),589.0)</f>
        <v>589</v>
      </c>
      <c r="B2379" s="85" t="str">
        <f>IFERROR(__xludf.DUMMYFUNCTION("""COMPUTED_VALUE"""),"ARMÁRIO DE MADEIRA")</f>
        <v>ARMÁRIO DE MADEIRA</v>
      </c>
      <c r="C2379" s="86">
        <f>IFERROR(__xludf.DUMMYFUNCTION("""COMPUTED_VALUE"""),1.0)</f>
        <v>1</v>
      </c>
      <c r="D2379" s="87" t="str">
        <f>IFERROR(__xludf.DUMMYFUNCTION("""COMPUTED_VALUE"""),"SEÇÃO")</f>
        <v>SEÇÃO</v>
      </c>
      <c r="E2379" s="87" t="str">
        <f>IFERROR(__xludf.DUMMYFUNCTION("""COMPUTED_VALUE"""),"3 - COMANDANTE")</f>
        <v>3 - COMANDANTE</v>
      </c>
      <c r="F2379" s="92"/>
      <c r="G2379" s="89">
        <f>IFERROR(__xludf.DUMMYFUNCTION("""COMPUTED_VALUE"""),45628.0)</f>
        <v>45628</v>
      </c>
      <c r="H2379" s="87"/>
      <c r="I2379" s="87" t="str">
        <f>IFERROR(__xludf.DUMMYFUNCTION("""COMPUTED_VALUE"""),"armário de duas portas com expositor")</f>
        <v>armário de duas portas com expositor</v>
      </c>
    </row>
    <row r="2380">
      <c r="A2380" s="84">
        <f>IFERROR(__xludf.DUMMYFUNCTION("""COMPUTED_VALUE"""),590.0)</f>
        <v>590</v>
      </c>
      <c r="B2380" s="85" t="str">
        <f>IFERROR(__xludf.DUMMYFUNCTION("""COMPUTED_VALUE"""),"ARMÁRIO DE MADEIRA")</f>
        <v>ARMÁRIO DE MADEIRA</v>
      </c>
      <c r="C2380" s="86">
        <f>IFERROR(__xludf.DUMMYFUNCTION("""COMPUTED_VALUE"""),1.0)</f>
        <v>1</v>
      </c>
      <c r="D2380" s="87" t="str">
        <f>IFERROR(__xludf.DUMMYFUNCTION("""COMPUTED_VALUE"""),"SEÇÃO")</f>
        <v>SEÇÃO</v>
      </c>
      <c r="E2380" s="87" t="str">
        <f>IFERROR(__xludf.DUMMYFUNCTION("""COMPUTED_VALUE"""),"3 - COMANDANTE")</f>
        <v>3 - COMANDANTE</v>
      </c>
      <c r="F2380" s="92"/>
      <c r="G2380" s="89">
        <f>IFERROR(__xludf.DUMMYFUNCTION("""COMPUTED_VALUE"""),45628.0)</f>
        <v>45628</v>
      </c>
      <c r="H2380" s="87"/>
      <c r="I2380" s="87" t="str">
        <f>IFERROR(__xludf.DUMMYFUNCTION("""COMPUTED_VALUE"""),"armário (velho) de duas portas ")</f>
        <v>armário (velho) de duas portas </v>
      </c>
    </row>
    <row r="2381">
      <c r="A2381" s="84">
        <f>IFERROR(__xludf.DUMMYFUNCTION("""COMPUTED_VALUE"""),591.0)</f>
        <v>591</v>
      </c>
      <c r="B2381" s="85" t="str">
        <f>IFERROR(__xludf.DUMMYFUNCTION("""COMPUTED_VALUE"""),"CAMA ")</f>
        <v>CAMA </v>
      </c>
      <c r="C2381" s="86">
        <f>IFERROR(__xludf.DUMMYFUNCTION("""COMPUTED_VALUE"""),1.0)</f>
        <v>1</v>
      </c>
      <c r="D2381" s="87" t="str">
        <f>IFERROR(__xludf.DUMMYFUNCTION("""COMPUTED_VALUE"""),"SEÇÃO")</f>
        <v>SEÇÃO</v>
      </c>
      <c r="E2381" s="87" t="str">
        <f>IFERROR(__xludf.DUMMYFUNCTION("""COMPUTED_VALUE"""),"3 - COMANDANTE")</f>
        <v>3 - COMANDANTE</v>
      </c>
      <c r="F2381" s="92"/>
      <c r="G2381" s="89">
        <f>IFERROR(__xludf.DUMMYFUNCTION("""COMPUTED_VALUE"""),45660.0)</f>
        <v>45660</v>
      </c>
      <c r="H2381" s="87"/>
      <c r="I2381" s="87"/>
    </row>
    <row r="2382">
      <c r="A2382" s="84">
        <f>IFERROR(__xludf.DUMMYFUNCTION("""COMPUTED_VALUE"""),592.0)</f>
        <v>592</v>
      </c>
      <c r="B2382" s="85" t="str">
        <f>IFERROR(__xludf.DUMMYFUNCTION("""COMPUTED_VALUE"""),"DESCENSOR INDUSTRIAL (ID)")</f>
        <v>DESCENSOR INDUSTRIAL (ID)</v>
      </c>
      <c r="C2382" s="86">
        <f>IFERROR(__xludf.DUMMYFUNCTION("""COMPUTED_VALUE"""),1.0)</f>
        <v>1</v>
      </c>
      <c r="D2382" s="87" t="str">
        <f>IFERROR(__xludf.DUMMYFUNCTION("""COMPUTED_VALUE"""),"SEÇÃO")</f>
        <v>SEÇÃO</v>
      </c>
      <c r="E2382" s="87" t="str">
        <f>IFERROR(__xludf.DUMMYFUNCTION("""COMPUTED_VALUE"""),"3 - CURVELO")</f>
        <v>3 - CURVELO</v>
      </c>
      <c r="F2382" s="92"/>
      <c r="G2382" s="89"/>
      <c r="H2382" s="87"/>
      <c r="I2382" s="87" t="str">
        <f>IFERROR(__xludf.DUMMYFUNCTION("""COMPUTED_VALUE"""),"RIG ID")</f>
        <v>RIG ID</v>
      </c>
    </row>
    <row r="2383">
      <c r="A2383" s="84">
        <f>IFERROR(__xludf.DUMMYFUNCTION("""COMPUTED_VALUE"""),593.0)</f>
        <v>593</v>
      </c>
      <c r="B2383" s="85" t="str">
        <f>IFERROR(__xludf.DUMMYFUNCTION("""COMPUTED_VALUE"""),"AMBÚ  ADULTO")</f>
        <v>AMBÚ  ADULTO</v>
      </c>
      <c r="C2383" s="86">
        <f>IFERROR(__xludf.DUMMYFUNCTION("""COMPUTED_VALUE"""),1.0)</f>
        <v>1</v>
      </c>
      <c r="D2383" s="87" t="str">
        <f>IFERROR(__xludf.DUMMYFUNCTION("""COMPUTED_VALUE"""),"SEÇÃO")</f>
        <v>SEÇÃO</v>
      </c>
      <c r="E2383" s="87" t="str">
        <f>IFERROR(__xludf.DUMMYFUNCTION("""COMPUTED_VALUE"""),"3 - GUARDA")</f>
        <v>3 - GUARDA</v>
      </c>
      <c r="F2383" s="92" t="str">
        <f>IFERROR(__xludf.DUMMYFUNCTION("""COMPUTED_VALUE"""),"BOLSA DE RESGATE")</f>
        <v>BOLSA DE RESGATE</v>
      </c>
      <c r="G2383" s="89">
        <f>IFERROR(__xludf.DUMMYFUNCTION("""COMPUTED_VALUE"""),45625.0)</f>
        <v>45625</v>
      </c>
      <c r="H2383" s="87"/>
      <c r="I2383" s="87"/>
    </row>
    <row r="2384">
      <c r="A2384" s="84">
        <f>IFERROR(__xludf.DUMMYFUNCTION("""COMPUTED_VALUE"""),594.0)</f>
        <v>594</v>
      </c>
      <c r="B2384" s="85" t="str">
        <f>IFERROR(__xludf.DUMMYFUNCTION("""COMPUTED_VALUE"""),"AMBÚ INFANTIL")</f>
        <v>AMBÚ INFANTIL</v>
      </c>
      <c r="C2384" s="86">
        <f>IFERROR(__xludf.DUMMYFUNCTION("""COMPUTED_VALUE"""),1.0)</f>
        <v>1</v>
      </c>
      <c r="D2384" s="87" t="str">
        <f>IFERROR(__xludf.DUMMYFUNCTION("""COMPUTED_VALUE"""),"SEÇÃO")</f>
        <v>SEÇÃO</v>
      </c>
      <c r="E2384" s="87" t="str">
        <f>IFERROR(__xludf.DUMMYFUNCTION("""COMPUTED_VALUE"""),"3 - GUARDA")</f>
        <v>3 - GUARDA</v>
      </c>
      <c r="F2384" s="92" t="str">
        <f>IFERROR(__xludf.DUMMYFUNCTION("""COMPUTED_VALUE"""),"BOLSA DE RESGATE")</f>
        <v>BOLSA DE RESGATE</v>
      </c>
      <c r="G2384" s="89">
        <f>IFERROR(__xludf.DUMMYFUNCTION("""COMPUTED_VALUE"""),45625.0)</f>
        <v>45625</v>
      </c>
      <c r="H2384" s="87"/>
      <c r="I2384" s="87"/>
    </row>
    <row r="2385">
      <c r="A2385" s="84">
        <f>IFERROR(__xludf.DUMMYFUNCTION("""COMPUTED_VALUE"""),595.0)</f>
        <v>595</v>
      </c>
      <c r="B2385" s="85" t="str">
        <f>IFERROR(__xludf.DUMMYFUNCTION("""COMPUTED_VALUE"""),"OCULOS DE SEGURANCA -")</f>
        <v>OCULOS DE SEGURANCA -</v>
      </c>
      <c r="C2385" s="86">
        <f>IFERROR(__xludf.DUMMYFUNCTION("""COMPUTED_VALUE"""),3.0)</f>
        <v>3</v>
      </c>
      <c r="D2385" s="87" t="str">
        <f>IFERROR(__xludf.DUMMYFUNCTION("""COMPUTED_VALUE"""),"SEÇÃO")</f>
        <v>SEÇÃO</v>
      </c>
      <c r="E2385" s="87" t="str">
        <f>IFERROR(__xludf.DUMMYFUNCTION("""COMPUTED_VALUE"""),"3 - GUARDA")</f>
        <v>3 - GUARDA</v>
      </c>
      <c r="F2385" s="92" t="str">
        <f>IFERROR(__xludf.DUMMYFUNCTION("""COMPUTED_VALUE"""),"BOLSA DE RESGATE")</f>
        <v>BOLSA DE RESGATE</v>
      </c>
      <c r="G2385" s="89">
        <f>IFERROR(__xludf.DUMMYFUNCTION("""COMPUTED_VALUE"""),45625.0)</f>
        <v>45625</v>
      </c>
      <c r="H2385" s="87"/>
      <c r="I2385" s="87"/>
    </row>
    <row r="2386">
      <c r="A2386" s="84">
        <f>IFERROR(__xludf.DUMMYFUNCTION("""COMPUTED_VALUE"""),596.0)</f>
        <v>596</v>
      </c>
      <c r="B2386" s="85" t="str">
        <f>IFERROR(__xludf.DUMMYFUNCTION("""COMPUTED_VALUE"""),"ASPIRADOR DE SECREÇÃO MANUAL TIPO PERA")</f>
        <v>ASPIRADOR DE SECREÇÃO MANUAL TIPO PERA</v>
      </c>
      <c r="C2386" s="86">
        <f>IFERROR(__xludf.DUMMYFUNCTION("""COMPUTED_VALUE"""),1.0)</f>
        <v>1</v>
      </c>
      <c r="D2386" s="87" t="str">
        <f>IFERROR(__xludf.DUMMYFUNCTION("""COMPUTED_VALUE"""),"SEÇÃO")</f>
        <v>SEÇÃO</v>
      </c>
      <c r="E2386" s="87" t="str">
        <f>IFERROR(__xludf.DUMMYFUNCTION("""COMPUTED_VALUE"""),"3 - GUARDA")</f>
        <v>3 - GUARDA</v>
      </c>
      <c r="F2386" s="92" t="str">
        <f>IFERROR(__xludf.DUMMYFUNCTION("""COMPUTED_VALUE"""),"BOLSA DE RESGATE")</f>
        <v>BOLSA DE RESGATE</v>
      </c>
      <c r="G2386" s="89">
        <f>IFERROR(__xludf.DUMMYFUNCTION("""COMPUTED_VALUE"""),45625.0)</f>
        <v>45625</v>
      </c>
      <c r="H2386" s="87"/>
      <c r="I2386" s="87"/>
    </row>
    <row r="2387">
      <c r="A2387" s="84">
        <f>IFERROR(__xludf.DUMMYFUNCTION("""COMPUTED_VALUE"""),597.0)</f>
        <v>597</v>
      </c>
      <c r="B2387" s="85" t="str">
        <f>IFERROR(__xludf.DUMMYFUNCTION("""COMPUTED_VALUE"""),"CAIXA DE MASCARAS TRIPLA DESCARTÁVEL")</f>
        <v>CAIXA DE MASCARAS TRIPLA DESCARTÁVEL</v>
      </c>
      <c r="C2387" s="86">
        <f>IFERROR(__xludf.DUMMYFUNCTION("""COMPUTED_VALUE"""),1.0)</f>
        <v>1</v>
      </c>
      <c r="D2387" s="87" t="str">
        <f>IFERROR(__xludf.DUMMYFUNCTION("""COMPUTED_VALUE"""),"SEÇÃO")</f>
        <v>SEÇÃO</v>
      </c>
      <c r="E2387" s="87" t="str">
        <f>IFERROR(__xludf.DUMMYFUNCTION("""COMPUTED_VALUE"""),"3 - GUARDA")</f>
        <v>3 - GUARDA</v>
      </c>
      <c r="F2387" s="92" t="str">
        <f>IFERROR(__xludf.DUMMYFUNCTION("""COMPUTED_VALUE"""),"BOLSA DE RESGATE")</f>
        <v>BOLSA DE RESGATE</v>
      </c>
      <c r="G2387" s="89">
        <f>IFERROR(__xludf.DUMMYFUNCTION("""COMPUTED_VALUE"""),45625.0)</f>
        <v>45625</v>
      </c>
      <c r="H2387" s="87"/>
      <c r="I2387" s="87"/>
    </row>
    <row r="2388">
      <c r="A2388" s="84">
        <f>IFERROR(__xludf.DUMMYFUNCTION("""COMPUTED_VALUE"""),598.0)</f>
        <v>598</v>
      </c>
      <c r="B2388" s="85" t="str">
        <f>IFERROR(__xludf.DUMMYFUNCTION("""COMPUTED_VALUE"""),"TERMÔMETRO A LASER")</f>
        <v>TERMÔMETRO A LASER</v>
      </c>
      <c r="C2388" s="86">
        <f>IFERROR(__xludf.DUMMYFUNCTION("""COMPUTED_VALUE"""),1.0)</f>
        <v>1</v>
      </c>
      <c r="D2388" s="87" t="str">
        <f>IFERROR(__xludf.DUMMYFUNCTION("""COMPUTED_VALUE"""),"SEÇÃO")</f>
        <v>SEÇÃO</v>
      </c>
      <c r="E2388" s="87" t="str">
        <f>IFERROR(__xludf.DUMMYFUNCTION("""COMPUTED_VALUE"""),"3 - GUARDA")</f>
        <v>3 - GUARDA</v>
      </c>
      <c r="F2388" s="92" t="str">
        <f>IFERROR(__xludf.DUMMYFUNCTION("""COMPUTED_VALUE"""),"BOLSA DE RESGATE")</f>
        <v>BOLSA DE RESGATE</v>
      </c>
      <c r="G2388" s="89">
        <f>IFERROR(__xludf.DUMMYFUNCTION("""COMPUTED_VALUE"""),45625.0)</f>
        <v>45625</v>
      </c>
      <c r="H2388" s="87"/>
      <c r="I2388" s="87"/>
    </row>
    <row r="2389">
      <c r="A2389" s="84">
        <f>IFERROR(__xludf.DUMMYFUNCTION("""COMPUTED_VALUE"""),599.0)</f>
        <v>599</v>
      </c>
      <c r="B2389" s="85" t="str">
        <f>IFERROR(__xludf.DUMMYFUNCTION("""COMPUTED_VALUE"""),"MASCARA PARA PCR - POCKET MASK")</f>
        <v>MASCARA PARA PCR - POCKET MASK</v>
      </c>
      <c r="C2389" s="86">
        <f>IFERROR(__xludf.DUMMYFUNCTION("""COMPUTED_VALUE"""),1.0)</f>
        <v>1</v>
      </c>
      <c r="D2389" s="87" t="str">
        <f>IFERROR(__xludf.DUMMYFUNCTION("""COMPUTED_VALUE"""),"SEÇÃO")</f>
        <v>SEÇÃO</v>
      </c>
      <c r="E2389" s="87" t="str">
        <f>IFERROR(__xludf.DUMMYFUNCTION("""COMPUTED_VALUE"""),"3 - GUARDA")</f>
        <v>3 - GUARDA</v>
      </c>
      <c r="F2389" s="92" t="str">
        <f>IFERROR(__xludf.DUMMYFUNCTION("""COMPUTED_VALUE"""),"BOLSA DE RESGATE")</f>
        <v>BOLSA DE RESGATE</v>
      </c>
      <c r="G2389" s="89">
        <f>IFERROR(__xludf.DUMMYFUNCTION("""COMPUTED_VALUE"""),45625.0)</f>
        <v>45625</v>
      </c>
      <c r="H2389" s="87"/>
      <c r="I2389" s="87"/>
    </row>
    <row r="2390">
      <c r="A2390" s="84">
        <f>IFERROR(__xludf.DUMMYFUNCTION("""COMPUTED_VALUE"""),600.0)</f>
        <v>600</v>
      </c>
      <c r="B2390" s="85" t="str">
        <f>IFERROR(__xludf.DUMMYFUNCTION("""COMPUTED_VALUE"""),"CAIXA DE LUVAS DESCARTÁVEIS M")</f>
        <v>CAIXA DE LUVAS DESCARTÁVEIS M</v>
      </c>
      <c r="C2390" s="86">
        <f>IFERROR(__xludf.DUMMYFUNCTION("""COMPUTED_VALUE"""),1.0)</f>
        <v>1</v>
      </c>
      <c r="D2390" s="87" t="str">
        <f>IFERROR(__xludf.DUMMYFUNCTION("""COMPUTED_VALUE"""),"SEÇÃO")</f>
        <v>SEÇÃO</v>
      </c>
      <c r="E2390" s="87" t="str">
        <f>IFERROR(__xludf.DUMMYFUNCTION("""COMPUTED_VALUE"""),"3 - GUARDA")</f>
        <v>3 - GUARDA</v>
      </c>
      <c r="F2390" s="92" t="str">
        <f>IFERROR(__xludf.DUMMYFUNCTION("""COMPUTED_VALUE"""),"BOLSA DE RESGATE")</f>
        <v>BOLSA DE RESGATE</v>
      </c>
      <c r="G2390" s="89">
        <f>IFERROR(__xludf.DUMMYFUNCTION("""COMPUTED_VALUE"""),45625.0)</f>
        <v>45625</v>
      </c>
      <c r="H2390" s="87"/>
      <c r="I2390" s="87"/>
    </row>
    <row r="2391">
      <c r="A2391" s="84">
        <f>IFERROR(__xludf.DUMMYFUNCTION("""COMPUTED_VALUE"""),601.0)</f>
        <v>601</v>
      </c>
      <c r="B2391" s="85" t="str">
        <f>IFERROR(__xludf.DUMMYFUNCTION("""COMPUTED_VALUE"""),"FITA CIRÚRGICA")</f>
        <v>FITA CIRÚRGICA</v>
      </c>
      <c r="C2391" s="86">
        <f>IFERROR(__xludf.DUMMYFUNCTION("""COMPUTED_VALUE"""),2.0)</f>
        <v>2</v>
      </c>
      <c r="D2391" s="87" t="str">
        <f>IFERROR(__xludf.DUMMYFUNCTION("""COMPUTED_VALUE"""),"SEÇÃO")</f>
        <v>SEÇÃO</v>
      </c>
      <c r="E2391" s="87" t="str">
        <f>IFERROR(__xludf.DUMMYFUNCTION("""COMPUTED_VALUE"""),"3 - GUARDA")</f>
        <v>3 - GUARDA</v>
      </c>
      <c r="F2391" s="92" t="str">
        <f>IFERROR(__xludf.DUMMYFUNCTION("""COMPUTED_VALUE"""),"BOLSA DE RESGATE")</f>
        <v>BOLSA DE RESGATE</v>
      </c>
      <c r="G2391" s="89">
        <f>IFERROR(__xludf.DUMMYFUNCTION("""COMPUTED_VALUE"""),45625.0)</f>
        <v>45625</v>
      </c>
      <c r="H2391" s="87"/>
      <c r="I2391" s="87"/>
    </row>
    <row r="2392">
      <c r="A2392" s="84">
        <f>IFERROR(__xludf.DUMMYFUNCTION("""COMPUTED_VALUE"""),602.0)</f>
        <v>602</v>
      </c>
      <c r="B2392" s="85" t="str">
        <f>IFERROR(__xludf.DUMMYFUNCTION("""COMPUTED_VALUE"""),"KIT PARA PARTO -")</f>
        <v>KIT PARA PARTO -</v>
      </c>
      <c r="C2392" s="86">
        <f>IFERROR(__xludf.DUMMYFUNCTION("""COMPUTED_VALUE"""),2.0)</f>
        <v>2</v>
      </c>
      <c r="D2392" s="87" t="str">
        <f>IFERROR(__xludf.DUMMYFUNCTION("""COMPUTED_VALUE"""),"SEÇÃO")</f>
        <v>SEÇÃO</v>
      </c>
      <c r="E2392" s="87" t="str">
        <f>IFERROR(__xludf.DUMMYFUNCTION("""COMPUTED_VALUE"""),"3 - GUARDA")</f>
        <v>3 - GUARDA</v>
      </c>
      <c r="F2392" s="92" t="str">
        <f>IFERROR(__xludf.DUMMYFUNCTION("""COMPUTED_VALUE"""),"BOLSA DE RESGATE")</f>
        <v>BOLSA DE RESGATE</v>
      </c>
      <c r="G2392" s="89">
        <f>IFERROR(__xludf.DUMMYFUNCTION("""COMPUTED_VALUE"""),45625.0)</f>
        <v>45625</v>
      </c>
      <c r="H2392" s="87"/>
      <c r="I2392" s="87"/>
    </row>
    <row r="2393">
      <c r="A2393" s="84">
        <f>IFERROR(__xludf.DUMMYFUNCTION("""COMPUTED_VALUE"""),603.0)</f>
        <v>603</v>
      </c>
      <c r="B2393" s="85" t="str">
        <f>IFERROR(__xludf.DUMMYFUNCTION("""COMPUTED_VALUE"""),"KIT QUEIMADURA")</f>
        <v>KIT QUEIMADURA</v>
      </c>
      <c r="C2393" s="86">
        <f>IFERROR(__xludf.DUMMYFUNCTION("""COMPUTED_VALUE"""),1.0)</f>
        <v>1</v>
      </c>
      <c r="D2393" s="87" t="str">
        <f>IFERROR(__xludf.DUMMYFUNCTION("""COMPUTED_VALUE"""),"SEÇÃO")</f>
        <v>SEÇÃO</v>
      </c>
      <c r="E2393" s="87" t="str">
        <f>IFERROR(__xludf.DUMMYFUNCTION("""COMPUTED_VALUE"""),"3 - GUARDA")</f>
        <v>3 - GUARDA</v>
      </c>
      <c r="F2393" s="92" t="str">
        <f>IFERROR(__xludf.DUMMYFUNCTION("""COMPUTED_VALUE"""),"BOLSA DE RESGATE")</f>
        <v>BOLSA DE RESGATE</v>
      </c>
      <c r="G2393" s="89">
        <f>IFERROR(__xludf.DUMMYFUNCTION("""COMPUTED_VALUE"""),45625.0)</f>
        <v>45625</v>
      </c>
      <c r="H2393" s="87"/>
      <c r="I2393" s="87"/>
    </row>
    <row r="2394">
      <c r="A2394" s="84">
        <f>IFERROR(__xludf.DUMMYFUNCTION("""COMPUTED_VALUE"""),604.0)</f>
        <v>604</v>
      </c>
      <c r="B2394" s="85" t="str">
        <f>IFERROR(__xludf.DUMMYFUNCTION("""COMPUTED_VALUE"""),"COLAR CERVICAL COM REGULAGEM DE ALTURA INFANTIL")</f>
        <v>COLAR CERVICAL COM REGULAGEM DE ALTURA INFANTIL</v>
      </c>
      <c r="C2394" s="86">
        <f>IFERROR(__xludf.DUMMYFUNCTION("""COMPUTED_VALUE"""),1.0)</f>
        <v>1</v>
      </c>
      <c r="D2394" s="87" t="str">
        <f>IFERROR(__xludf.DUMMYFUNCTION("""COMPUTED_VALUE"""),"SEÇÃO")</f>
        <v>SEÇÃO</v>
      </c>
      <c r="E2394" s="87" t="str">
        <f>IFERROR(__xludf.DUMMYFUNCTION("""COMPUTED_VALUE"""),"3 - GUARDA")</f>
        <v>3 - GUARDA</v>
      </c>
      <c r="F2394" s="92" t="str">
        <f>IFERROR(__xludf.DUMMYFUNCTION("""COMPUTED_VALUE"""),"BOLSA DE RESGATE")</f>
        <v>BOLSA DE RESGATE</v>
      </c>
      <c r="G2394" s="89">
        <f>IFERROR(__xludf.DUMMYFUNCTION("""COMPUTED_VALUE"""),45625.0)</f>
        <v>45625</v>
      </c>
      <c r="H2394" s="87"/>
      <c r="I2394" s="87"/>
    </row>
    <row r="2395">
      <c r="A2395" s="84">
        <f>IFERROR(__xludf.DUMMYFUNCTION("""COMPUTED_VALUE"""),605.0)</f>
        <v>605</v>
      </c>
      <c r="B2395" s="85" t="str">
        <f>IFERROR(__xludf.DUMMYFUNCTION("""COMPUTED_VALUE"""),"COLAR CERVICAL COM REGULAGEM DE ALTURA ADULTO")</f>
        <v>COLAR CERVICAL COM REGULAGEM DE ALTURA ADULTO</v>
      </c>
      <c r="C2395" s="86">
        <f>IFERROR(__xludf.DUMMYFUNCTION("""COMPUTED_VALUE"""),1.0)</f>
        <v>1</v>
      </c>
      <c r="D2395" s="87" t="str">
        <f>IFERROR(__xludf.DUMMYFUNCTION("""COMPUTED_VALUE"""),"SEÇÃO")</f>
        <v>SEÇÃO</v>
      </c>
      <c r="E2395" s="87" t="str">
        <f>IFERROR(__xludf.DUMMYFUNCTION("""COMPUTED_VALUE"""),"3 - GUARDA")</f>
        <v>3 - GUARDA</v>
      </c>
      <c r="F2395" s="92" t="str">
        <f>IFERROR(__xludf.DUMMYFUNCTION("""COMPUTED_VALUE"""),"BOLSA DE RESGATE")</f>
        <v>BOLSA DE RESGATE</v>
      </c>
      <c r="G2395" s="89">
        <f>IFERROR(__xludf.DUMMYFUNCTION("""COMPUTED_VALUE"""),45625.0)</f>
        <v>45625</v>
      </c>
      <c r="H2395" s="87"/>
      <c r="I2395" s="87"/>
    </row>
    <row r="2396">
      <c r="A2396" s="84">
        <f>IFERROR(__xludf.DUMMYFUNCTION("""COMPUTED_VALUE"""),606.0)</f>
        <v>606</v>
      </c>
      <c r="B2396" s="85" t="str">
        <f>IFERROR(__xludf.DUMMYFUNCTION("""COMPUTED_VALUE"""),"MANTA ALUMINIZADA")</f>
        <v>MANTA ALUMINIZADA</v>
      </c>
      <c r="C2396" s="86">
        <f>IFERROR(__xludf.DUMMYFUNCTION("""COMPUTED_VALUE"""),2.0)</f>
        <v>2</v>
      </c>
      <c r="D2396" s="87" t="str">
        <f>IFERROR(__xludf.DUMMYFUNCTION("""COMPUTED_VALUE"""),"SEÇÃO")</f>
        <v>SEÇÃO</v>
      </c>
      <c r="E2396" s="87" t="str">
        <f>IFERROR(__xludf.DUMMYFUNCTION("""COMPUTED_VALUE"""),"3 - GUARDA")</f>
        <v>3 - GUARDA</v>
      </c>
      <c r="F2396" s="92" t="str">
        <f>IFERROR(__xludf.DUMMYFUNCTION("""COMPUTED_VALUE"""),"BOLSA DE RESGATE")</f>
        <v>BOLSA DE RESGATE</v>
      </c>
      <c r="G2396" s="89">
        <f>IFERROR(__xludf.DUMMYFUNCTION("""COMPUTED_VALUE"""),45625.0)</f>
        <v>45625</v>
      </c>
      <c r="H2396" s="87"/>
      <c r="I2396" s="87"/>
    </row>
    <row r="2397">
      <c r="A2397" s="84">
        <f>IFERROR(__xludf.DUMMYFUNCTION("""COMPUTED_VALUE"""),607.0)</f>
        <v>607</v>
      </c>
      <c r="B2397" s="85" t="str">
        <f>IFERROR(__xludf.DUMMYFUNCTION("""COMPUTED_VALUE"""),"ABRIDOR DE MANDÍBULA")</f>
        <v>ABRIDOR DE MANDÍBULA</v>
      </c>
      <c r="C2397" s="86">
        <f>IFERROR(__xludf.DUMMYFUNCTION("""COMPUTED_VALUE"""),1.0)</f>
        <v>1</v>
      </c>
      <c r="D2397" s="87" t="str">
        <f>IFERROR(__xludf.DUMMYFUNCTION("""COMPUTED_VALUE"""),"SEÇÃO")</f>
        <v>SEÇÃO</v>
      </c>
      <c r="E2397" s="87" t="str">
        <f>IFERROR(__xludf.DUMMYFUNCTION("""COMPUTED_VALUE"""),"3 - GUARDA")</f>
        <v>3 - GUARDA</v>
      </c>
      <c r="F2397" s="92" t="str">
        <f>IFERROR(__xludf.DUMMYFUNCTION("""COMPUTED_VALUE"""),"BOLSA DE RESGATE")</f>
        <v>BOLSA DE RESGATE</v>
      </c>
      <c r="G2397" s="89">
        <f>IFERROR(__xludf.DUMMYFUNCTION("""COMPUTED_VALUE"""),45625.0)</f>
        <v>45625</v>
      </c>
      <c r="H2397" s="87"/>
      <c r="I2397" s="87"/>
    </row>
    <row r="2398">
      <c r="A2398" s="84">
        <f>IFERROR(__xludf.DUMMYFUNCTION("""COMPUTED_VALUE"""),608.0)</f>
        <v>608</v>
      </c>
      <c r="B2398" s="85" t="str">
        <f>IFERROR(__xludf.DUMMYFUNCTION("""COMPUTED_VALUE"""),"CÂNULA DE GUEDEL")</f>
        <v>CÂNULA DE GUEDEL</v>
      </c>
      <c r="C2398" s="86">
        <f>IFERROR(__xludf.DUMMYFUNCTION("""COMPUTED_VALUE"""),8.0)</f>
        <v>8</v>
      </c>
      <c r="D2398" s="87" t="str">
        <f>IFERROR(__xludf.DUMMYFUNCTION("""COMPUTED_VALUE"""),"SEÇÃO")</f>
        <v>SEÇÃO</v>
      </c>
      <c r="E2398" s="87" t="str">
        <f>IFERROR(__xludf.DUMMYFUNCTION("""COMPUTED_VALUE"""),"3 - GUARDA")</f>
        <v>3 - GUARDA</v>
      </c>
      <c r="F2398" s="92" t="str">
        <f>IFERROR(__xludf.DUMMYFUNCTION("""COMPUTED_VALUE"""),"BOLSA DE RESGATE")</f>
        <v>BOLSA DE RESGATE</v>
      </c>
      <c r="G2398" s="89">
        <f>IFERROR(__xludf.DUMMYFUNCTION("""COMPUTED_VALUE"""),45625.0)</f>
        <v>45625</v>
      </c>
      <c r="H2398" s="87"/>
      <c r="I2398" s="87"/>
    </row>
    <row r="2399">
      <c r="A2399" s="84">
        <f>IFERROR(__xludf.DUMMYFUNCTION("""COMPUTED_VALUE"""),609.0)</f>
        <v>609</v>
      </c>
      <c r="B2399" s="85" t="str">
        <f>IFERROR(__xludf.DUMMYFUNCTION("""COMPUTED_VALUE"""),"CAMPO OPERATÓRIO")</f>
        <v>CAMPO OPERATÓRIO</v>
      </c>
      <c r="C2399" s="86">
        <f>IFERROR(__xludf.DUMMYFUNCTION("""COMPUTED_VALUE"""),11.0)</f>
        <v>11</v>
      </c>
      <c r="D2399" s="87" t="str">
        <f>IFERROR(__xludf.DUMMYFUNCTION("""COMPUTED_VALUE"""),"SEÇÃO")</f>
        <v>SEÇÃO</v>
      </c>
      <c r="E2399" s="87" t="str">
        <f>IFERROR(__xludf.DUMMYFUNCTION("""COMPUTED_VALUE"""),"3 - GUARDA")</f>
        <v>3 - GUARDA</v>
      </c>
      <c r="F2399" s="92" t="str">
        <f>IFERROR(__xludf.DUMMYFUNCTION("""COMPUTED_VALUE"""),"BOLSA DE RESGATE")</f>
        <v>BOLSA DE RESGATE</v>
      </c>
      <c r="G2399" s="89">
        <f>IFERROR(__xludf.DUMMYFUNCTION("""COMPUTED_VALUE"""),45625.0)</f>
        <v>45625</v>
      </c>
      <c r="H2399" s="87"/>
      <c r="I2399" s="87"/>
    </row>
    <row r="2400">
      <c r="A2400" s="84">
        <f>IFERROR(__xludf.DUMMYFUNCTION("""COMPUTED_VALUE"""),610.0)</f>
        <v>610</v>
      </c>
      <c r="B2400" s="85" t="str">
        <f>IFERROR(__xludf.DUMMYFUNCTION("""COMPUTED_VALUE"""),"SORO FISIOLÓGICO")</f>
        <v>SORO FISIOLÓGICO</v>
      </c>
      <c r="C2400" s="86">
        <f>IFERROR(__xludf.DUMMYFUNCTION("""COMPUTED_VALUE"""),1.0)</f>
        <v>1</v>
      </c>
      <c r="D2400" s="87" t="str">
        <f>IFERROR(__xludf.DUMMYFUNCTION("""COMPUTED_VALUE"""),"SEÇÃO")</f>
        <v>SEÇÃO</v>
      </c>
      <c r="E2400" s="87" t="str">
        <f>IFERROR(__xludf.DUMMYFUNCTION("""COMPUTED_VALUE"""),"3 - GUARDA")</f>
        <v>3 - GUARDA</v>
      </c>
      <c r="F2400" s="92" t="str">
        <f>IFERROR(__xludf.DUMMYFUNCTION("""COMPUTED_VALUE"""),"BOLSA DE RESGATE")</f>
        <v>BOLSA DE RESGATE</v>
      </c>
      <c r="G2400" s="89">
        <f>IFERROR(__xludf.DUMMYFUNCTION("""COMPUTED_VALUE"""),45625.0)</f>
        <v>45625</v>
      </c>
      <c r="H2400" s="87"/>
      <c r="I2400" s="87"/>
    </row>
    <row r="2401">
      <c r="A2401" s="84">
        <f>IFERROR(__xludf.DUMMYFUNCTION("""COMPUTED_VALUE"""),611.0)</f>
        <v>611</v>
      </c>
      <c r="B2401" s="85" t="str">
        <f>IFERROR(__xludf.DUMMYFUNCTION("""COMPUTED_VALUE"""),"TORNIQUETE")</f>
        <v>TORNIQUETE</v>
      </c>
      <c r="C2401" s="86">
        <f>IFERROR(__xludf.DUMMYFUNCTION("""COMPUTED_VALUE"""),1.0)</f>
        <v>1</v>
      </c>
      <c r="D2401" s="87" t="str">
        <f>IFERROR(__xludf.DUMMYFUNCTION("""COMPUTED_VALUE"""),"SEÇÃO")</f>
        <v>SEÇÃO</v>
      </c>
      <c r="E2401" s="87" t="str">
        <f>IFERROR(__xludf.DUMMYFUNCTION("""COMPUTED_VALUE"""),"3 - GUARDA")</f>
        <v>3 - GUARDA</v>
      </c>
      <c r="F2401" s="92" t="str">
        <f>IFERROR(__xludf.DUMMYFUNCTION("""COMPUTED_VALUE"""),"BOLSA DE RESGATE")</f>
        <v>BOLSA DE RESGATE</v>
      </c>
      <c r="G2401" s="89">
        <f>IFERROR(__xludf.DUMMYFUNCTION("""COMPUTED_VALUE"""),45625.0)</f>
        <v>45625</v>
      </c>
      <c r="H2401" s="87"/>
      <c r="I2401" s="87"/>
    </row>
    <row r="2402">
      <c r="A2402" s="84">
        <f>IFERROR(__xludf.DUMMYFUNCTION("""COMPUTED_VALUE"""),612.0)</f>
        <v>612</v>
      </c>
      <c r="B2402" s="85" t="str">
        <f>IFERROR(__xludf.DUMMYFUNCTION("""COMPUTED_VALUE"""),"MUNICAO PARA ARMAS (USO REAL) -")</f>
        <v>MUNICAO PARA ARMAS (USO REAL) -</v>
      </c>
      <c r="C2402" s="86">
        <f>IFERROR(__xludf.DUMMYFUNCTION("""COMPUTED_VALUE"""),12.0)</f>
        <v>12</v>
      </c>
      <c r="D2402" s="87" t="str">
        <f>IFERROR(__xludf.DUMMYFUNCTION("""COMPUTED_VALUE"""),"SEÇÃO")</f>
        <v>SEÇÃO</v>
      </c>
      <c r="E2402" s="87" t="str">
        <f>IFERROR(__xludf.DUMMYFUNCTION("""COMPUTED_VALUE"""),"3 - GUARDA")</f>
        <v>3 - GUARDA</v>
      </c>
      <c r="F2402" s="92" t="str">
        <f>IFERROR(__xludf.DUMMYFUNCTION("""COMPUTED_VALUE"""),"BOLSA DE RESGATE")</f>
        <v>BOLSA DE RESGATE</v>
      </c>
      <c r="G2402" s="89">
        <f>IFERROR(__xludf.DUMMYFUNCTION("""COMPUTED_VALUE"""),45625.0)</f>
        <v>45625</v>
      </c>
      <c r="H2402" s="87"/>
      <c r="I2402" s="87" t="str">
        <f>IFERROR(__xludf.DUMMYFUNCTION("""COMPUTED_VALUE"""),"MUNIÇÃO PARA CALIBRE .38")</f>
        <v>MUNIÇÃO PARA CALIBRE .38</v>
      </c>
    </row>
    <row r="2403">
      <c r="A2403" s="84">
        <f>IFERROR(__xludf.DUMMYFUNCTION("""COMPUTED_VALUE"""),613.0)</f>
        <v>613</v>
      </c>
      <c r="B2403" s="85" t="str">
        <f>IFERROR(__xludf.DUMMYFUNCTION("""COMPUTED_VALUE"""),"COLETE ANTIBALISTICO PARA USO POLICIAL -")</f>
        <v>COLETE ANTIBALISTICO PARA USO POLICIAL -</v>
      </c>
      <c r="C2403" s="86">
        <f>IFERROR(__xludf.DUMMYFUNCTION("""COMPUTED_VALUE"""),3.0)</f>
        <v>3</v>
      </c>
      <c r="D2403" s="87" t="str">
        <f>IFERROR(__xludf.DUMMYFUNCTION("""COMPUTED_VALUE"""),"SEÇÃO")</f>
        <v>SEÇÃO</v>
      </c>
      <c r="E2403" s="87" t="str">
        <f>IFERROR(__xludf.DUMMYFUNCTION("""COMPUTED_VALUE"""),"3 - GUARDA")</f>
        <v>3 - GUARDA</v>
      </c>
      <c r="F2403" s="92" t="str">
        <f>IFERROR(__xludf.DUMMYFUNCTION("""COMPUTED_VALUE"""),"BOLSA DE RESGATE")</f>
        <v>BOLSA DE RESGATE</v>
      </c>
      <c r="G2403" s="89">
        <f>IFERROR(__xludf.DUMMYFUNCTION("""COMPUTED_VALUE"""),45625.0)</f>
        <v>45625</v>
      </c>
      <c r="H2403" s="87"/>
      <c r="I2403" s="87"/>
    </row>
    <row r="2404">
      <c r="A2404" s="84">
        <f>IFERROR(__xludf.DUMMYFUNCTION("""COMPUTED_VALUE"""),614.0)</f>
        <v>614</v>
      </c>
      <c r="B2404" s="85" t="str">
        <f>IFERROR(__xludf.DUMMYFUNCTION("""COMPUTED_VALUE"""),"PRANCHA LONGA")</f>
        <v>PRANCHA LONGA</v>
      </c>
      <c r="C2404" s="86">
        <f>IFERROR(__xludf.DUMMYFUNCTION("""COMPUTED_VALUE"""),1.0)</f>
        <v>1</v>
      </c>
      <c r="D2404" s="87" t="str">
        <f>IFERROR(__xludf.DUMMYFUNCTION("""COMPUTED_VALUE"""),"SEÇÃO")</f>
        <v>SEÇÃO</v>
      </c>
      <c r="E2404" s="87" t="str">
        <f>IFERROR(__xludf.DUMMYFUNCTION("""COMPUTED_VALUE"""),"3 - GUARDA")</f>
        <v>3 - GUARDA</v>
      </c>
      <c r="F2404" s="92" t="str">
        <f>IFERROR(__xludf.DUMMYFUNCTION("""COMPUTED_VALUE"""),"BOLSA DE RESGATE")</f>
        <v>BOLSA DE RESGATE</v>
      </c>
      <c r="G2404" s="89">
        <f>IFERROR(__xludf.DUMMYFUNCTION("""COMPUTED_VALUE"""),45625.0)</f>
        <v>45625</v>
      </c>
      <c r="H2404" s="87"/>
      <c r="I2404" s="87" t="str">
        <f>IFERROR(__xludf.DUMMYFUNCTION("""COMPUTED_VALUE"""),"PRANCHA COMPLETA (COM TIRANTES E ENCOSTO DE CABEÇA")</f>
        <v>PRANCHA COMPLETA (COM TIRANTES E ENCOSTO DE CABEÇA</v>
      </c>
    </row>
    <row r="2405">
      <c r="A2405" s="84">
        <f>IFERROR(__xludf.DUMMYFUNCTION("""COMPUTED_VALUE"""),615.0)</f>
        <v>615</v>
      </c>
      <c r="B2405" s="85" t="str">
        <f>IFERROR(__xludf.DUMMYFUNCTION("""COMPUTED_VALUE"""),"CAPA DE CHUVA")</f>
        <v>CAPA DE CHUVA</v>
      </c>
      <c r="C2405" s="86">
        <f>IFERROR(__xludf.DUMMYFUNCTION("""COMPUTED_VALUE"""),1.0)</f>
        <v>1</v>
      </c>
      <c r="D2405" s="87" t="str">
        <f>IFERROR(__xludf.DUMMYFUNCTION("""COMPUTED_VALUE"""),"SEÇÃO")</f>
        <v>SEÇÃO</v>
      </c>
      <c r="E2405" s="87" t="str">
        <f>IFERROR(__xludf.DUMMYFUNCTION("""COMPUTED_VALUE"""),"3 - GUARDA")</f>
        <v>3 - GUARDA</v>
      </c>
      <c r="F2405" s="92" t="str">
        <f>IFERROR(__xludf.DUMMYFUNCTION("""COMPUTED_VALUE"""),"BOLSA DE RESGATE")</f>
        <v>BOLSA DE RESGATE</v>
      </c>
      <c r="G2405" s="89">
        <f>IFERROR(__xludf.DUMMYFUNCTION("""COMPUTED_VALUE"""),45625.0)</f>
        <v>45625</v>
      </c>
      <c r="H2405" s="87"/>
      <c r="I2405" s="87"/>
    </row>
    <row r="2406">
      <c r="A2406" s="84">
        <f>IFERROR(__xludf.DUMMYFUNCTION("""COMPUTED_VALUE"""),616.0)</f>
        <v>616</v>
      </c>
      <c r="B2406" s="85" t="str">
        <f>IFERROR(__xludf.DUMMYFUNCTION("""COMPUTED_VALUE"""),"COLDRE DE COURO")</f>
        <v>COLDRE DE COURO</v>
      </c>
      <c r="C2406" s="86">
        <f>IFERROR(__xludf.DUMMYFUNCTION("""COMPUTED_VALUE"""),1.0)</f>
        <v>1</v>
      </c>
      <c r="D2406" s="87" t="str">
        <f>IFERROR(__xludf.DUMMYFUNCTION("""COMPUTED_VALUE"""),"SEÇÃO")</f>
        <v>SEÇÃO</v>
      </c>
      <c r="E2406" s="87" t="str">
        <f>IFERROR(__xludf.DUMMYFUNCTION("""COMPUTED_VALUE"""),"3 - GUARDA")</f>
        <v>3 - GUARDA</v>
      </c>
      <c r="F2406" s="92" t="str">
        <f>IFERROR(__xludf.DUMMYFUNCTION("""COMPUTED_VALUE"""),"BOLSA DE RESGATE")</f>
        <v>BOLSA DE RESGATE</v>
      </c>
      <c r="G2406" s="89">
        <f>IFERROR(__xludf.DUMMYFUNCTION("""COMPUTED_VALUE"""),45625.0)</f>
        <v>45625</v>
      </c>
      <c r="H2406" s="87"/>
      <c r="I2406" s="87"/>
    </row>
    <row r="2407">
      <c r="A2407" s="84">
        <f>IFERROR(__xludf.DUMMYFUNCTION("""COMPUTED_VALUE"""),617.0)</f>
        <v>617</v>
      </c>
      <c r="B2407" s="85" t="str">
        <f>IFERROR(__xludf.DUMMYFUNCTION("""COMPUTED_VALUE"""),"ALGEMA")</f>
        <v>ALGEMA</v>
      </c>
      <c r="C2407" s="86">
        <f>IFERROR(__xludf.DUMMYFUNCTION("""COMPUTED_VALUE"""),1.0)</f>
        <v>1</v>
      </c>
      <c r="D2407" s="87" t="str">
        <f>IFERROR(__xludf.DUMMYFUNCTION("""COMPUTED_VALUE"""),"SEÇÃO")</f>
        <v>SEÇÃO</v>
      </c>
      <c r="E2407" s="87" t="str">
        <f>IFERROR(__xludf.DUMMYFUNCTION("""COMPUTED_VALUE"""),"3 - GUARDA")</f>
        <v>3 - GUARDA</v>
      </c>
      <c r="F2407" s="92" t="str">
        <f>IFERROR(__xludf.DUMMYFUNCTION("""COMPUTED_VALUE"""),"BOLSA DE RESGATE")</f>
        <v>BOLSA DE RESGATE</v>
      </c>
      <c r="G2407" s="89">
        <f>IFERROR(__xludf.DUMMYFUNCTION("""COMPUTED_VALUE"""),45625.0)</f>
        <v>45625</v>
      </c>
      <c r="H2407" s="87"/>
      <c r="I2407" s="87"/>
    </row>
    <row r="2408">
      <c r="A2408" s="84">
        <f>IFERROR(__xludf.DUMMYFUNCTION("""COMPUTED_VALUE"""),618.0)</f>
        <v>618</v>
      </c>
      <c r="B2408" s="85" t="str">
        <f>IFERROR(__xludf.DUMMYFUNCTION("""COMPUTED_VALUE"""),"MESA PARA ESCRITORIO -")</f>
        <v>MESA PARA ESCRITORIO -</v>
      </c>
      <c r="C2408" s="86">
        <f>IFERROR(__xludf.DUMMYFUNCTION("""COMPUTED_VALUE"""),3.0)</f>
        <v>3</v>
      </c>
      <c r="D2408" s="87" t="str">
        <f>IFERROR(__xludf.DUMMYFUNCTION("""COMPUTED_VALUE"""),"SEÇÃO")</f>
        <v>SEÇÃO</v>
      </c>
      <c r="E2408" s="87" t="str">
        <f>IFERROR(__xludf.DUMMYFUNCTION("""COMPUTED_VALUE"""),"3 - PPV")</f>
        <v>3 - PPV</v>
      </c>
      <c r="F2408" s="92"/>
      <c r="G2408" s="89"/>
      <c r="H2408" s="87"/>
      <c r="I2408" s="87" t="str">
        <f>IFERROR(__xludf.DUMMYFUNCTION("""COMPUTED_VALUE"""),"mesa de escritório reta ")</f>
        <v>mesa de escritório reta </v>
      </c>
    </row>
    <row r="2409">
      <c r="A2409" s="84">
        <f>IFERROR(__xludf.DUMMYFUNCTION("""COMPUTED_VALUE"""),619.0)</f>
        <v>619</v>
      </c>
      <c r="B2409" s="85" t="str">
        <f>IFERROR(__xludf.DUMMYFUNCTION("""COMPUTED_VALUE"""),"MESA PARA ESCRITORIO -")</f>
        <v>MESA PARA ESCRITORIO -</v>
      </c>
      <c r="C2409" s="86">
        <f>IFERROR(__xludf.DUMMYFUNCTION("""COMPUTED_VALUE"""),1.0)</f>
        <v>1</v>
      </c>
      <c r="D2409" s="87" t="str">
        <f>IFERROR(__xludf.DUMMYFUNCTION("""COMPUTED_VALUE"""),"SEÇÃO")</f>
        <v>SEÇÃO</v>
      </c>
      <c r="E2409" s="87" t="str">
        <f>IFERROR(__xludf.DUMMYFUNCTION("""COMPUTED_VALUE"""),"3 - PPV")</f>
        <v>3 - PPV</v>
      </c>
      <c r="F2409" s="92"/>
      <c r="G2409" s="89"/>
      <c r="H2409" s="87"/>
      <c r="I2409" s="87"/>
    </row>
    <row r="2410">
      <c r="A2410" s="84">
        <f>IFERROR(__xludf.DUMMYFUNCTION("""COMPUTED_VALUE"""),620.0)</f>
        <v>620</v>
      </c>
      <c r="B2410" s="85" t="str">
        <f>IFERROR(__xludf.DUMMYFUNCTION("""COMPUTED_VALUE"""),"IMPRESSORA  ")</f>
        <v>IMPRESSORA  </v>
      </c>
      <c r="C2410" s="86">
        <f>IFERROR(__xludf.DUMMYFUNCTION("""COMPUTED_VALUE"""),1.0)</f>
        <v>1</v>
      </c>
      <c r="D2410" s="87" t="str">
        <f>IFERROR(__xludf.DUMMYFUNCTION("""COMPUTED_VALUE"""),"SEÇÃO")</f>
        <v>SEÇÃO</v>
      </c>
      <c r="E2410" s="87" t="str">
        <f>IFERROR(__xludf.DUMMYFUNCTION("""COMPUTED_VALUE"""),"3 - PPV")</f>
        <v>3 - PPV</v>
      </c>
      <c r="F2410" s="92"/>
      <c r="G2410" s="89"/>
      <c r="H2410" s="87" t="str">
        <f>IFERROR(__xludf.DUMMYFUNCTION("""COMPUTED_VALUE"""),"(SELB-91YJ)")</f>
        <v>(SELB-91YJ)</v>
      </c>
      <c r="I2410" s="87" t="str">
        <f>IFERROR(__xludf.DUMMYFUNCTION("""COMPUTED_VALUE"""),"impressora RICOH SP 3710DN (SELB-91YJ)")</f>
        <v>impressora RICOH SP 3710DN (SELB-91YJ)</v>
      </c>
    </row>
    <row r="2411">
      <c r="A2411" s="84">
        <f>IFERROR(__xludf.DUMMYFUNCTION("""COMPUTED_VALUE"""),621.0)</f>
        <v>621</v>
      </c>
      <c r="B2411" s="85" t="str">
        <f>IFERROR(__xludf.DUMMYFUNCTION("""COMPUTED_VALUE"""),"ARMÁRIO DE MADEIRA")</f>
        <v>ARMÁRIO DE MADEIRA</v>
      </c>
      <c r="C2411" s="86">
        <f>IFERROR(__xludf.DUMMYFUNCTION("""COMPUTED_VALUE"""),1.0)</f>
        <v>1</v>
      </c>
      <c r="D2411" s="87" t="str">
        <f>IFERROR(__xludf.DUMMYFUNCTION("""COMPUTED_VALUE"""),"SEÇÃO")</f>
        <v>SEÇÃO</v>
      </c>
      <c r="E2411" s="87" t="str">
        <f>IFERROR(__xludf.DUMMYFUNCTION("""COMPUTED_VALUE"""),"3 - PPV")</f>
        <v>3 - PPV</v>
      </c>
      <c r="F2411" s="92"/>
      <c r="G2411" s="89"/>
      <c r="H2411" s="87"/>
      <c r="I2411" s="87" t="str">
        <f>IFERROR(__xludf.DUMMYFUNCTION("""COMPUTED_VALUE"""),"escaninho de madeira 04 gavetas ")</f>
        <v>escaninho de madeira 04 gavetas </v>
      </c>
    </row>
    <row r="2412">
      <c r="A2412" s="84">
        <f>IFERROR(__xludf.DUMMYFUNCTION("""COMPUTED_VALUE"""),622.0)</f>
        <v>622</v>
      </c>
      <c r="B2412" s="85" t="str">
        <f>IFERROR(__xludf.DUMMYFUNCTION("""COMPUTED_VALUE"""),"ARMÁRIO DE MADEIRA")</f>
        <v>ARMÁRIO DE MADEIRA</v>
      </c>
      <c r="C2412" s="86">
        <f>IFERROR(__xludf.DUMMYFUNCTION("""COMPUTED_VALUE"""),1.0)</f>
        <v>1</v>
      </c>
      <c r="D2412" s="87" t="str">
        <f>IFERROR(__xludf.DUMMYFUNCTION("""COMPUTED_VALUE"""),"SEÇÃO")</f>
        <v>SEÇÃO</v>
      </c>
      <c r="E2412" s="87" t="str">
        <f>IFERROR(__xludf.DUMMYFUNCTION("""COMPUTED_VALUE"""),"3 - PPV")</f>
        <v>3 - PPV</v>
      </c>
      <c r="F2412" s="92"/>
      <c r="G2412" s="89"/>
      <c r="H2412" s="87"/>
      <c r="I2412" s="87" t="str">
        <f>IFERROR(__xludf.DUMMYFUNCTION("""COMPUTED_VALUE"""),"armário de madeira 02 portas")</f>
        <v>armário de madeira 02 portas</v>
      </c>
    </row>
    <row r="2413">
      <c r="A2413" s="84">
        <f>IFERROR(__xludf.DUMMYFUNCTION("""COMPUTED_VALUE"""),623.0)</f>
        <v>623</v>
      </c>
      <c r="B2413" s="85" t="str">
        <f>IFERROR(__xludf.DUMMYFUNCTION("""COMPUTED_VALUE"""),"NADADEIRA PARA MERGULHO E SALVAMENTO FECHADA - (PAR)")</f>
        <v>NADADEIRA PARA MERGULHO E SALVAMENTO FECHADA - (PAR)</v>
      </c>
      <c r="C2413" s="86">
        <f>IFERROR(__xludf.DUMMYFUNCTION("""COMPUTED_VALUE"""),13.0)</f>
        <v>13</v>
      </c>
      <c r="D2413" s="87" t="str">
        <f>IFERROR(__xludf.DUMMYFUNCTION("""COMPUTED_VALUE"""),"SEÇÃO")</f>
        <v>SEÇÃO</v>
      </c>
      <c r="E2413" s="87" t="str">
        <f>IFERROR(__xludf.DUMMYFUNCTION("""COMPUTED_VALUE"""),"3 - SALA DE MERGULHO (SEDE)")</f>
        <v>3 - SALA DE MERGULHO (SEDE)</v>
      </c>
      <c r="F2413" s="92"/>
      <c r="G2413" s="89"/>
      <c r="H2413" s="87"/>
      <c r="I2413" s="87" t="str">
        <f>IFERROR(__xludf.DUMMYFUNCTION("""COMPUTED_VALUE"""),"NADADEIRA FECHADA")</f>
        <v>NADADEIRA FECHADA</v>
      </c>
    </row>
    <row r="2414">
      <c r="A2414" s="84">
        <f>IFERROR(__xludf.DUMMYFUNCTION("""COMPUTED_VALUE"""),624.0)</f>
        <v>624</v>
      </c>
      <c r="B2414" s="85" t="str">
        <f>IFERROR(__xludf.DUMMYFUNCTION("""COMPUTED_VALUE"""),"COLETE EQUILIBRADOR PARA MERGULHO")</f>
        <v>COLETE EQUILIBRADOR PARA MERGULHO</v>
      </c>
      <c r="C2414" s="86">
        <f>IFERROR(__xludf.DUMMYFUNCTION("""COMPUTED_VALUE"""),12.0)</f>
        <v>12</v>
      </c>
      <c r="D2414" s="87" t="str">
        <f>IFERROR(__xludf.DUMMYFUNCTION("""COMPUTED_VALUE"""),"SEÇÃO")</f>
        <v>SEÇÃO</v>
      </c>
      <c r="E2414" s="87" t="str">
        <f>IFERROR(__xludf.DUMMYFUNCTION("""COMPUTED_VALUE"""),"3 - SALA DE MERGULHO (SEDE)")</f>
        <v>3 - SALA DE MERGULHO (SEDE)</v>
      </c>
      <c r="F2414" s="92"/>
      <c r="G2414" s="89"/>
      <c r="H2414" s="87"/>
      <c r="I2414" s="87" t="str">
        <f>IFERROR(__xludf.DUMMYFUNCTION("""COMPUTED_VALUE"""),"TIPO JACKET")</f>
        <v>TIPO JACKET</v>
      </c>
    </row>
    <row r="2415">
      <c r="A2415" s="84">
        <f>IFERROR(__xludf.DUMMYFUNCTION("""COMPUTED_VALUE"""),625.0)</f>
        <v>625</v>
      </c>
      <c r="B2415" s="85" t="str">
        <f>IFERROR(__xludf.DUMMYFUNCTION("""COMPUTED_VALUE"""),"NADADEIRA PARA MERGULHO E SALVAMENTO ABERTA - (PAR)")</f>
        <v>NADADEIRA PARA MERGULHO E SALVAMENTO ABERTA - (PAR)</v>
      </c>
      <c r="C2415" s="86">
        <f>IFERROR(__xludf.DUMMYFUNCTION("""COMPUTED_VALUE"""),12.0)</f>
        <v>12</v>
      </c>
      <c r="D2415" s="87" t="str">
        <f>IFERROR(__xludf.DUMMYFUNCTION("""COMPUTED_VALUE"""),"SEÇÃO")</f>
        <v>SEÇÃO</v>
      </c>
      <c r="E2415" s="87" t="str">
        <f>IFERROR(__xludf.DUMMYFUNCTION("""COMPUTED_VALUE"""),"3 - SALA DE MERGULHO (SEDE)")</f>
        <v>3 - SALA DE MERGULHO (SEDE)</v>
      </c>
      <c r="F2415" s="92"/>
      <c r="G2415" s="89"/>
      <c r="H2415" s="87"/>
      <c r="I2415" s="87"/>
    </row>
    <row r="2416">
      <c r="A2416" s="84">
        <f>IFERROR(__xludf.DUMMYFUNCTION("""COMPUTED_VALUE"""),626.0)</f>
        <v>626</v>
      </c>
      <c r="B2416" s="85" t="str">
        <f>IFERROR(__xludf.DUMMYFUNCTION("""COMPUTED_VALUE"""),"BOTA DE NEOPRENE (PAR)")</f>
        <v>BOTA DE NEOPRENE (PAR)</v>
      </c>
      <c r="C2416" s="86">
        <f>IFERROR(__xludf.DUMMYFUNCTION("""COMPUTED_VALUE"""),6.0)</f>
        <v>6</v>
      </c>
      <c r="D2416" s="87" t="str">
        <f>IFERROR(__xludf.DUMMYFUNCTION("""COMPUTED_VALUE"""),"SEÇÃO")</f>
        <v>SEÇÃO</v>
      </c>
      <c r="E2416" s="87" t="str">
        <f>IFERROR(__xludf.DUMMYFUNCTION("""COMPUTED_VALUE"""),"3 - SALA DE MERGULHO (SEDE)")</f>
        <v>3 - SALA DE MERGULHO (SEDE)</v>
      </c>
      <c r="F2416" s="92"/>
      <c r="G2416" s="89"/>
      <c r="H2416" s="87"/>
      <c r="I2416" s="87"/>
    </row>
    <row r="2417">
      <c r="A2417" s="84">
        <f>IFERROR(__xludf.DUMMYFUNCTION("""COMPUTED_VALUE"""),627.0)</f>
        <v>627</v>
      </c>
      <c r="B2417" s="85" t="str">
        <f>IFERROR(__xludf.DUMMYFUNCTION("""COMPUTED_VALUE"""),"PESO DE LASTRO")</f>
        <v>PESO DE LASTRO</v>
      </c>
      <c r="C2417" s="86">
        <f>IFERROR(__xludf.DUMMYFUNCTION("""COMPUTED_VALUE"""),50.0)</f>
        <v>50</v>
      </c>
      <c r="D2417" s="87" t="str">
        <f>IFERROR(__xludf.DUMMYFUNCTION("""COMPUTED_VALUE"""),"SEÇÃO")</f>
        <v>SEÇÃO</v>
      </c>
      <c r="E2417" s="87" t="str">
        <f>IFERROR(__xludf.DUMMYFUNCTION("""COMPUTED_VALUE"""),"3 - SALA DE MERGULHO (SEDE)")</f>
        <v>3 - SALA DE MERGULHO (SEDE)</v>
      </c>
      <c r="F2417" s="92"/>
      <c r="G2417" s="89"/>
      <c r="H2417" s="87"/>
      <c r="I2417" s="87"/>
    </row>
    <row r="2418">
      <c r="A2418" s="84">
        <f>IFERROR(__xludf.DUMMYFUNCTION("""COMPUTED_VALUE"""),628.0)</f>
        <v>628</v>
      </c>
      <c r="B2418" s="85" t="str">
        <f>IFERROR(__xludf.DUMMYFUNCTION("""COMPUTED_VALUE"""),"CINTO DE LASTRO")</f>
        <v>CINTO DE LASTRO</v>
      </c>
      <c r="C2418" s="86">
        <f>IFERROR(__xludf.DUMMYFUNCTION("""COMPUTED_VALUE"""),4.0)</f>
        <v>4</v>
      </c>
      <c r="D2418" s="87" t="str">
        <f>IFERROR(__xludf.DUMMYFUNCTION("""COMPUTED_VALUE"""),"SEÇÃO")</f>
        <v>SEÇÃO</v>
      </c>
      <c r="E2418" s="87" t="str">
        <f>IFERROR(__xludf.DUMMYFUNCTION("""COMPUTED_VALUE"""),"3 - SALA DE MERGULHO (SEDE)")</f>
        <v>3 - SALA DE MERGULHO (SEDE)</v>
      </c>
      <c r="F2418" s="92"/>
      <c r="G2418" s="89"/>
      <c r="H2418" s="87"/>
      <c r="I2418" s="87"/>
    </row>
    <row r="2419">
      <c r="A2419" s="84">
        <f>IFERROR(__xludf.DUMMYFUNCTION("""COMPUTED_VALUE"""),629.0)</f>
        <v>629</v>
      </c>
      <c r="B2419" s="85" t="str">
        <f>IFERROR(__xludf.DUMMYFUNCTION("""COMPUTED_VALUE"""),"ROUPA DE MERGULHO NEOPRENE -")</f>
        <v>ROUPA DE MERGULHO NEOPRENE -</v>
      </c>
      <c r="C2419" s="86">
        <f>IFERROR(__xludf.DUMMYFUNCTION("""COMPUTED_VALUE"""),20.0)</f>
        <v>20</v>
      </c>
      <c r="D2419" s="87" t="str">
        <f>IFERROR(__xludf.DUMMYFUNCTION("""COMPUTED_VALUE"""),"SEÇÃO")</f>
        <v>SEÇÃO</v>
      </c>
      <c r="E2419" s="87" t="str">
        <f>IFERROR(__xludf.DUMMYFUNCTION("""COMPUTED_VALUE"""),"3 - SALA DE MERGULHO (SEDE)")</f>
        <v>3 - SALA DE MERGULHO (SEDE)</v>
      </c>
      <c r="F2419" s="92"/>
      <c r="G2419" s="89"/>
      <c r="H2419" s="87"/>
      <c r="I2419" s="87"/>
    </row>
    <row r="2420">
      <c r="A2420" s="84">
        <f>IFERROR(__xludf.DUMMYFUNCTION("""COMPUTED_VALUE"""),630.0)</f>
        <v>630</v>
      </c>
      <c r="B2420" s="85" t="str">
        <f>IFERROR(__xludf.DUMMYFUNCTION("""COMPUTED_VALUE"""),"COLETE EQUILIBRADOR PARA MERGULHO")</f>
        <v>COLETE EQUILIBRADOR PARA MERGULHO</v>
      </c>
      <c r="C2420" s="86">
        <f>IFERROR(__xludf.DUMMYFUNCTION("""COMPUTED_VALUE"""),11.0)</f>
        <v>11</v>
      </c>
      <c r="D2420" s="87" t="str">
        <f>IFERROR(__xludf.DUMMYFUNCTION("""COMPUTED_VALUE"""),"SEÇÃO")</f>
        <v>SEÇÃO</v>
      </c>
      <c r="E2420" s="87" t="str">
        <f>IFERROR(__xludf.DUMMYFUNCTION("""COMPUTED_VALUE"""),"3 - SALA DE MERGULHO (SEDE)")</f>
        <v>3 - SALA DE MERGULHO (SEDE)</v>
      </c>
      <c r="F2420" s="92"/>
      <c r="G2420" s="89"/>
      <c r="H2420" s="87"/>
      <c r="I2420" s="87" t="str">
        <f>IFERROR(__xludf.DUMMYFUNCTION("""COMPUTED_VALUE"""),"TIPO ASA")</f>
        <v>TIPO ASA</v>
      </c>
    </row>
    <row r="2421">
      <c r="A2421" s="84">
        <f>IFERROR(__xludf.DUMMYFUNCTION("""COMPUTED_VALUE"""),631.0)</f>
        <v>631</v>
      </c>
      <c r="B2421" s="85" t="str">
        <f>IFERROR(__xludf.DUMMYFUNCTION("""COMPUTED_VALUE"""),"MASCARA DE MERGULHO FULL FACE")</f>
        <v>MASCARA DE MERGULHO FULL FACE</v>
      </c>
      <c r="C2421" s="86">
        <f>IFERROR(__xludf.DUMMYFUNCTION("""COMPUTED_VALUE"""),1.0)</f>
        <v>1</v>
      </c>
      <c r="D2421" s="87" t="str">
        <f>IFERROR(__xludf.DUMMYFUNCTION("""COMPUTED_VALUE"""),"SEÇÃO")</f>
        <v>SEÇÃO</v>
      </c>
      <c r="E2421" s="87" t="str">
        <f>IFERROR(__xludf.DUMMYFUNCTION("""COMPUTED_VALUE"""),"3 - SALA DE MERGULHO (SEDE)")</f>
        <v>3 - SALA DE MERGULHO (SEDE)</v>
      </c>
      <c r="F2421" s="92"/>
      <c r="G2421" s="89"/>
      <c r="H2421" s="87"/>
      <c r="I2421" s="87" t="str">
        <f>IFERROR(__xludf.DUMMYFUNCTION("""COMPUTED_VALUE"""),"MARCA OTS")</f>
        <v>MARCA OTS</v>
      </c>
    </row>
    <row r="2422">
      <c r="A2422" s="84">
        <f>IFERROR(__xludf.DUMMYFUNCTION("""COMPUTED_VALUE"""),632.0)</f>
        <v>632</v>
      </c>
      <c r="B2422" s="85" t="str">
        <f>IFERROR(__xludf.DUMMYFUNCTION("""COMPUTED_VALUE"""),"MASCARAS PARA MERGULHADORES -")</f>
        <v>MASCARAS PARA MERGULHADORES -</v>
      </c>
      <c r="C2422" s="86">
        <f>IFERROR(__xludf.DUMMYFUNCTION("""COMPUTED_VALUE"""),13.0)</f>
        <v>13</v>
      </c>
      <c r="D2422" s="87" t="str">
        <f>IFERROR(__xludf.DUMMYFUNCTION("""COMPUTED_VALUE"""),"SEÇÃO")</f>
        <v>SEÇÃO</v>
      </c>
      <c r="E2422" s="87" t="str">
        <f>IFERROR(__xludf.DUMMYFUNCTION("""COMPUTED_VALUE"""),"3 - SALA DE MERGULHO (SEDE)")</f>
        <v>3 - SALA DE MERGULHO (SEDE)</v>
      </c>
      <c r="F2422" s="92"/>
      <c r="G2422" s="89"/>
      <c r="H2422" s="87"/>
      <c r="I2422" s="87" t="str">
        <f>IFERROR(__xludf.DUMMYFUNCTION("""COMPUTED_VALUE"""),"SEMI FACIAL")</f>
        <v>SEMI FACIAL</v>
      </c>
    </row>
    <row r="2423">
      <c r="A2423" s="84">
        <f>IFERROR(__xludf.DUMMYFUNCTION("""COMPUTED_VALUE"""),633.0)</f>
        <v>633</v>
      </c>
      <c r="B2423" s="85" t="str">
        <f>IFERROR(__xludf.DUMMYFUNCTION("""COMPUTED_VALUE"""),"LANTERNA DE MERGULHO")</f>
        <v>LANTERNA DE MERGULHO</v>
      </c>
      <c r="C2423" s="86">
        <f>IFERROR(__xludf.DUMMYFUNCTION("""COMPUTED_VALUE"""),6.0)</f>
        <v>6</v>
      </c>
      <c r="D2423" s="87" t="str">
        <f>IFERROR(__xludf.DUMMYFUNCTION("""COMPUTED_VALUE"""),"SEÇÃO")</f>
        <v>SEÇÃO</v>
      </c>
      <c r="E2423" s="87" t="str">
        <f>IFERROR(__xludf.DUMMYFUNCTION("""COMPUTED_VALUE"""),"3 - SALA DE MERGULHO (SEDE)")</f>
        <v>3 - SALA DE MERGULHO (SEDE)</v>
      </c>
      <c r="F2423" s="92"/>
      <c r="G2423" s="89"/>
      <c r="H2423" s="87"/>
      <c r="I2423" s="87" t="str">
        <f>IFERROR(__xludf.DUMMYFUNCTION("""COMPUTED_VALUE"""),"FUN DIVE")</f>
        <v>FUN DIVE</v>
      </c>
    </row>
    <row r="2424">
      <c r="A2424" s="84">
        <f>IFERROR(__xludf.DUMMYFUNCTION("""COMPUTED_VALUE"""),634.0)</f>
        <v>634</v>
      </c>
      <c r="B2424" s="85" t="str">
        <f>IFERROR(__xludf.DUMMYFUNCTION("""COMPUTED_VALUE"""),"CARRETILHA ")</f>
        <v>CARRETILHA </v>
      </c>
      <c r="C2424" s="86">
        <f>IFERROR(__xludf.DUMMYFUNCTION("""COMPUTED_VALUE"""),4.0)</f>
        <v>4</v>
      </c>
      <c r="D2424" s="87" t="str">
        <f>IFERROR(__xludf.DUMMYFUNCTION("""COMPUTED_VALUE"""),"SEÇÃO")</f>
        <v>SEÇÃO</v>
      </c>
      <c r="E2424" s="87" t="str">
        <f>IFERROR(__xludf.DUMMYFUNCTION("""COMPUTED_VALUE"""),"3 - SALA DE MERGULHO (SEDE)")</f>
        <v>3 - SALA DE MERGULHO (SEDE)</v>
      </c>
      <c r="F2424" s="92"/>
      <c r="G2424" s="89"/>
      <c r="H2424" s="87"/>
      <c r="I2424" s="87" t="str">
        <f>IFERROR(__xludf.DUMMYFUNCTION("""COMPUTED_VALUE"""),"NYLON VERDE")</f>
        <v>NYLON VERDE</v>
      </c>
    </row>
    <row r="2425">
      <c r="A2425" s="84">
        <f>IFERROR(__xludf.DUMMYFUNCTION("""COMPUTED_VALUE"""),635.0)</f>
        <v>635</v>
      </c>
      <c r="B2425" s="85" t="str">
        <f>IFERROR(__xludf.DUMMYFUNCTION("""COMPUTED_VALUE"""),"FACA DE MERGULHO")</f>
        <v>FACA DE MERGULHO</v>
      </c>
      <c r="C2425" s="86">
        <f>IFERROR(__xludf.DUMMYFUNCTION("""COMPUTED_VALUE"""),0.0)</f>
        <v>0</v>
      </c>
      <c r="D2425" s="87" t="str">
        <f>IFERROR(__xludf.DUMMYFUNCTION("""COMPUTED_VALUE"""),"SEÇÃO")</f>
        <v>SEÇÃO</v>
      </c>
      <c r="E2425" s="87" t="str">
        <f>IFERROR(__xludf.DUMMYFUNCTION("""COMPUTED_VALUE"""),"3 - SALA DE MERGULHO (SEDE)")</f>
        <v>3 - SALA DE MERGULHO (SEDE)</v>
      </c>
      <c r="F2425" s="92"/>
      <c r="G2425" s="89"/>
      <c r="H2425" s="87"/>
      <c r="I2425" s="87" t="str">
        <f>IFERROR(__xludf.DUMMYFUNCTION("""COMPUTED_VALUE"""),"PROBLUE")</f>
        <v>PROBLUE</v>
      </c>
    </row>
    <row r="2426">
      <c r="A2426" s="84">
        <f>IFERROR(__xludf.DUMMYFUNCTION("""COMPUTED_VALUE"""),636.0)</f>
        <v>636</v>
      </c>
      <c r="B2426" s="85" t="str">
        <f>IFERROR(__xludf.DUMMYFUNCTION("""COMPUTED_VALUE"""),"REGULADOR DE MERGULHO COMPLETO (1º E 2º ESTÁGIO)")</f>
        <v>REGULADOR DE MERGULHO COMPLETO (1º E 2º ESTÁGIO)</v>
      </c>
      <c r="C2426" s="86">
        <f>IFERROR(__xludf.DUMMYFUNCTION("""COMPUTED_VALUE"""),14.0)</f>
        <v>14</v>
      </c>
      <c r="D2426" s="87" t="str">
        <f>IFERROR(__xludf.DUMMYFUNCTION("""COMPUTED_VALUE"""),"SEÇÃO")</f>
        <v>SEÇÃO</v>
      </c>
      <c r="E2426" s="87" t="str">
        <f>IFERROR(__xludf.DUMMYFUNCTION("""COMPUTED_VALUE"""),"3 - SALA DE MERGULHO (SEDE)")</f>
        <v>3 - SALA DE MERGULHO (SEDE)</v>
      </c>
      <c r="F2426" s="92"/>
      <c r="G2426" s="89"/>
      <c r="H2426" s="87"/>
      <c r="I2426" s="87" t="str">
        <f>IFERROR(__xludf.DUMMYFUNCTION("""COMPUTED_VALUE"""),"VÁLVULA 1º ESTÁGIO, VÁLVULA 2º ESTÁGIO (PRINCIPAL E RESERVA), MANGUEIRA PRESSURIZAÇÃO DO COLETE")</f>
        <v>VÁLVULA 1º ESTÁGIO, VÁLVULA 2º ESTÁGIO (PRINCIPAL E RESERVA), MANGUEIRA PRESSURIZAÇÃO DO COLETE</v>
      </c>
    </row>
    <row r="2427">
      <c r="A2427" s="84">
        <f>IFERROR(__xludf.DUMMYFUNCTION("""COMPUTED_VALUE"""),637.0)</f>
        <v>637</v>
      </c>
      <c r="B2427" s="85" t="str">
        <f>IFERROR(__xludf.DUMMYFUNCTION("""COMPUTED_VALUE"""),"LIFT BAG 60 L")</f>
        <v>LIFT BAG 60 L</v>
      </c>
      <c r="C2427" s="86">
        <f>IFERROR(__xludf.DUMMYFUNCTION("""COMPUTED_VALUE"""),0.0)</f>
        <v>0</v>
      </c>
      <c r="D2427" s="87" t="str">
        <f>IFERROR(__xludf.DUMMYFUNCTION("""COMPUTED_VALUE"""),"SEÇÃO")</f>
        <v>SEÇÃO</v>
      </c>
      <c r="E2427" s="87" t="str">
        <f>IFERROR(__xludf.DUMMYFUNCTION("""COMPUTED_VALUE"""),"3 - SALA DE MERGULHO (SEDE)")</f>
        <v>3 - SALA DE MERGULHO (SEDE)</v>
      </c>
      <c r="F2427" s="92"/>
      <c r="G2427" s="89"/>
      <c r="H2427" s="87"/>
      <c r="I2427" s="87" t="str">
        <f>IFERROR(__xludf.DUMMYFUNCTION("""COMPUTED_VALUE"""),"LARANJA")</f>
        <v>LARANJA</v>
      </c>
    </row>
    <row r="2428">
      <c r="A2428" s="84">
        <f>IFERROR(__xludf.DUMMYFUNCTION("""COMPUTED_VALUE"""),638.0)</f>
        <v>638</v>
      </c>
      <c r="B2428" s="85" t="str">
        <f>IFERROR(__xludf.DUMMYFUNCTION("""COMPUTED_VALUE"""),"BOIA PARA MERGULHO")</f>
        <v>BOIA PARA MERGULHO</v>
      </c>
      <c r="C2428" s="86">
        <f>IFERROR(__xludf.DUMMYFUNCTION("""COMPUTED_VALUE"""),2.0)</f>
        <v>2</v>
      </c>
      <c r="D2428" s="87" t="str">
        <f>IFERROR(__xludf.DUMMYFUNCTION("""COMPUTED_VALUE"""),"SEÇÃO")</f>
        <v>SEÇÃO</v>
      </c>
      <c r="E2428" s="87" t="str">
        <f>IFERROR(__xludf.DUMMYFUNCTION("""COMPUTED_VALUE"""),"3 - SALA DE MERGULHO (SEDE)")</f>
        <v>3 - SALA DE MERGULHO (SEDE)</v>
      </c>
      <c r="F2428" s="92"/>
      <c r="G2428" s="89"/>
      <c r="H2428" s="87"/>
      <c r="I2428" s="87" t="str">
        <f>IFERROR(__xludf.DUMMYFUNCTION("""COMPUTED_VALUE"""),"CRESSI")</f>
        <v>CRESSI</v>
      </c>
    </row>
    <row r="2429">
      <c r="A2429" s="84">
        <f>IFERROR(__xludf.DUMMYFUNCTION("""COMPUTED_VALUE"""),639.0)</f>
        <v>639</v>
      </c>
      <c r="B2429" s="85" t="str">
        <f>IFERROR(__xludf.DUMMYFUNCTION("""COMPUTED_VALUE"""),"DECO MARKER")</f>
        <v>DECO MARKER</v>
      </c>
      <c r="C2429" s="86">
        <f>IFERROR(__xludf.DUMMYFUNCTION("""COMPUTED_VALUE"""),2.0)</f>
        <v>2</v>
      </c>
      <c r="D2429" s="87" t="str">
        <f>IFERROR(__xludf.DUMMYFUNCTION("""COMPUTED_VALUE"""),"SEÇÃO")</f>
        <v>SEÇÃO</v>
      </c>
      <c r="E2429" s="87" t="str">
        <f>IFERROR(__xludf.DUMMYFUNCTION("""COMPUTED_VALUE"""),"3 - SALA DE MERGULHO (SEDE)")</f>
        <v>3 - SALA DE MERGULHO (SEDE)</v>
      </c>
      <c r="F2429" s="92"/>
      <c r="G2429" s="89"/>
      <c r="H2429" s="87"/>
      <c r="I2429" s="87" t="str">
        <f>IFERROR(__xludf.DUMMYFUNCTION("""COMPUTED_VALUE"""),"LARANJA")</f>
        <v>LARANJA</v>
      </c>
    </row>
    <row r="2430">
      <c r="A2430" s="84">
        <f>IFERROR(__xludf.DUMMYFUNCTION("""COMPUTED_VALUE"""),640.0)</f>
        <v>640</v>
      </c>
      <c r="B2430" s="85" t="str">
        <f>IFERROR(__xludf.DUMMYFUNCTION("""COMPUTED_VALUE"""),"DECO MARKER")</f>
        <v>DECO MARKER</v>
      </c>
      <c r="C2430" s="86">
        <f>IFERROR(__xludf.DUMMYFUNCTION("""COMPUTED_VALUE"""),2.0)</f>
        <v>2</v>
      </c>
      <c r="D2430" s="87" t="str">
        <f>IFERROR(__xludf.DUMMYFUNCTION("""COMPUTED_VALUE"""),"SEÇÃO")</f>
        <v>SEÇÃO</v>
      </c>
      <c r="E2430" s="87" t="str">
        <f>IFERROR(__xludf.DUMMYFUNCTION("""COMPUTED_VALUE"""),"3 - SALA DE MERGULHO (SEDE)")</f>
        <v>3 - SALA DE MERGULHO (SEDE)</v>
      </c>
      <c r="F2430" s="92"/>
      <c r="G2430" s="89"/>
      <c r="H2430" s="87"/>
      <c r="I2430" s="87" t="str">
        <f>IFERROR(__xludf.DUMMYFUNCTION("""COMPUTED_VALUE"""),"VERDE")</f>
        <v>VERDE</v>
      </c>
    </row>
    <row r="2431">
      <c r="A2431" s="84">
        <f>IFERROR(__xludf.DUMMYFUNCTION("""COMPUTED_VALUE"""),641.0)</f>
        <v>641</v>
      </c>
      <c r="B2431" s="85" t="str">
        <f>IFERROR(__xludf.DUMMYFUNCTION("""COMPUTED_VALUE"""),"SNORKEL BOCAL, PARA MERGULHADOR -")</f>
        <v>SNORKEL BOCAL, PARA MERGULHADOR -</v>
      </c>
      <c r="C2431" s="86">
        <f>IFERROR(__xludf.DUMMYFUNCTION("""COMPUTED_VALUE"""),17.0)</f>
        <v>17</v>
      </c>
      <c r="D2431" s="87" t="str">
        <f>IFERROR(__xludf.DUMMYFUNCTION("""COMPUTED_VALUE"""),"SEÇÃO")</f>
        <v>SEÇÃO</v>
      </c>
      <c r="E2431" s="87" t="str">
        <f>IFERROR(__xludf.DUMMYFUNCTION("""COMPUTED_VALUE"""),"3 - SALA DE MERGULHO (SEDE)")</f>
        <v>3 - SALA DE MERGULHO (SEDE)</v>
      </c>
      <c r="F2431" s="92"/>
      <c r="G2431" s="89"/>
      <c r="H2431" s="87"/>
      <c r="I2431" s="87"/>
    </row>
    <row r="2432">
      <c r="A2432" s="84">
        <f>IFERROR(__xludf.DUMMYFUNCTION("""COMPUTED_VALUE"""),642.0)</f>
        <v>642</v>
      </c>
      <c r="B2432" s="85" t="str">
        <f>IFERROR(__xludf.DUMMYFUNCTION("""COMPUTED_VALUE"""),"BOLSA DE MERGULHO PARA LASTRO ")</f>
        <v>BOLSA DE MERGULHO PARA LASTRO </v>
      </c>
      <c r="C2432" s="86">
        <f>IFERROR(__xludf.DUMMYFUNCTION("""COMPUTED_VALUE"""),3.0)</f>
        <v>3</v>
      </c>
      <c r="D2432" s="87" t="str">
        <f>IFERROR(__xludf.DUMMYFUNCTION("""COMPUTED_VALUE"""),"SEÇÃO")</f>
        <v>SEÇÃO</v>
      </c>
      <c r="E2432" s="87" t="str">
        <f>IFERROR(__xludf.DUMMYFUNCTION("""COMPUTED_VALUE"""),"3 - SALA DE MERGULHO (SEDE)")</f>
        <v>3 - SALA DE MERGULHO (SEDE)</v>
      </c>
      <c r="F2432" s="92"/>
      <c r="G2432" s="89"/>
      <c r="H2432" s="87"/>
      <c r="I2432" s="87"/>
    </row>
    <row r="2433">
      <c r="A2433" s="84">
        <f>IFERROR(__xludf.DUMMYFUNCTION("""COMPUTED_VALUE"""),643.0)</f>
        <v>643</v>
      </c>
      <c r="B2433" s="85" t="str">
        <f>IFERROR(__xludf.DUMMYFUNCTION("""COMPUTED_VALUE"""),"CINTO DE LASTRO")</f>
        <v>CINTO DE LASTRO</v>
      </c>
      <c r="C2433" s="86">
        <f>IFERROR(__xludf.DUMMYFUNCTION("""COMPUTED_VALUE"""),7.0)</f>
        <v>7</v>
      </c>
      <c r="D2433" s="87" t="str">
        <f>IFERROR(__xludf.DUMMYFUNCTION("""COMPUTED_VALUE"""),"SEÇÃO")</f>
        <v>SEÇÃO</v>
      </c>
      <c r="E2433" s="87" t="str">
        <f>IFERROR(__xludf.DUMMYFUNCTION("""COMPUTED_VALUE"""),"3 - SALA DE MERGULHO (SEDE)")</f>
        <v>3 - SALA DE MERGULHO (SEDE)</v>
      </c>
      <c r="F2433" s="92"/>
      <c r="G2433" s="89"/>
      <c r="H2433" s="87"/>
      <c r="I2433" s="87" t="str">
        <f>IFERROR(__xludf.DUMMYFUNCTION("""COMPUTED_VALUE"""),"SOMENTE O CINTO E A FIVELA")</f>
        <v>SOMENTE O CINTO E A FIVELA</v>
      </c>
    </row>
    <row r="2434">
      <c r="A2434" s="84">
        <f>IFERROR(__xludf.DUMMYFUNCTION("""COMPUTED_VALUE"""),644.0)</f>
        <v>644</v>
      </c>
      <c r="B2434" s="85" t="str">
        <f>IFERROR(__xludf.DUMMYFUNCTION("""COMPUTED_VALUE"""),"CADEIRA DE ESCRITÓRIO")</f>
        <v>CADEIRA DE ESCRITÓRIO</v>
      </c>
      <c r="C2434" s="86">
        <f>IFERROR(__xludf.DUMMYFUNCTION("""COMPUTED_VALUE"""),1.0)</f>
        <v>1</v>
      </c>
      <c r="D2434" s="87" t="str">
        <f>IFERROR(__xludf.DUMMYFUNCTION("""COMPUTED_VALUE"""),"SEÇÃO")</f>
        <v>SEÇÃO</v>
      </c>
      <c r="E2434" s="87" t="str">
        <f>IFERROR(__xludf.DUMMYFUNCTION("""COMPUTED_VALUE"""),"3 - SALA DE MERGULHO (SEDE)")</f>
        <v>3 - SALA DE MERGULHO (SEDE)</v>
      </c>
      <c r="F2434" s="92"/>
      <c r="G2434" s="89"/>
      <c r="H2434" s="87"/>
      <c r="I2434" s="87"/>
    </row>
    <row r="2435">
      <c r="A2435" s="84">
        <f>IFERROR(__xludf.DUMMYFUNCTION("""COMPUTED_VALUE"""),645.0)</f>
        <v>645</v>
      </c>
      <c r="B2435" s="85" t="str">
        <f>IFERROR(__xludf.DUMMYFUNCTION("""COMPUTED_VALUE"""),"ARMÁRIO DE AÇO")</f>
        <v>ARMÁRIO DE AÇO</v>
      </c>
      <c r="C2435" s="86">
        <f>IFERROR(__xludf.DUMMYFUNCTION("""COMPUTED_VALUE"""),2.0)</f>
        <v>2</v>
      </c>
      <c r="D2435" s="87" t="str">
        <f>IFERROR(__xludf.DUMMYFUNCTION("""COMPUTED_VALUE"""),"SEÇÃO")</f>
        <v>SEÇÃO</v>
      </c>
      <c r="E2435" s="87" t="str">
        <f>IFERROR(__xludf.DUMMYFUNCTION("""COMPUTED_VALUE"""),"3 - SALA DE MERGULHO (SEDE)")</f>
        <v>3 - SALA DE MERGULHO (SEDE)</v>
      </c>
      <c r="F2435" s="92"/>
      <c r="G2435" s="89"/>
      <c r="H2435" s="87"/>
      <c r="I2435" s="87" t="str">
        <f>IFERROR(__xludf.DUMMYFUNCTION("""COMPUTED_VALUE"""),"COM 04 PRATELEIRAS")</f>
        <v>COM 04 PRATELEIRAS</v>
      </c>
    </row>
    <row r="2436">
      <c r="A2436" s="84">
        <f>IFERROR(__xludf.DUMMYFUNCTION("""COMPUTED_VALUE"""),646.0)</f>
        <v>646</v>
      </c>
      <c r="B2436" s="85" t="str">
        <f>IFERROR(__xludf.DUMMYFUNCTION("""COMPUTED_VALUE"""),"ALAVANCA PÉ DE CABRA")</f>
        <v>ALAVANCA PÉ DE CABRA</v>
      </c>
      <c r="C2436" s="86">
        <f>IFERROR(__xludf.DUMMYFUNCTION("""COMPUTED_VALUE"""),2.0)</f>
        <v>2</v>
      </c>
      <c r="D2436" s="87" t="str">
        <f>IFERROR(__xludf.DUMMYFUNCTION("""COMPUTED_VALUE"""),"SEÇÃO")</f>
        <v>SEÇÃO</v>
      </c>
      <c r="E2436" s="87" t="str">
        <f>IFERROR(__xludf.DUMMYFUNCTION("""COMPUTED_VALUE"""),"3 - SETOR DE MEIOS")</f>
        <v>3 - SETOR DE MEIOS</v>
      </c>
      <c r="F2436" s="92" t="str">
        <f>IFERROR(__xludf.DUMMYFUNCTION("""COMPUTED_VALUE"""),"SETOR DE MEIOS")</f>
        <v>SETOR DE MEIOS</v>
      </c>
      <c r="G2436" s="89"/>
      <c r="H2436" s="87"/>
      <c r="I2436" s="87"/>
    </row>
    <row r="2437">
      <c r="A2437" s="84">
        <f>IFERROR(__xludf.DUMMYFUNCTION("""COMPUTED_VALUE"""),647.0)</f>
        <v>647</v>
      </c>
      <c r="B2437" s="85" t="str">
        <f>IFERROR(__xludf.DUMMYFUNCTION("""COMPUTED_VALUE"""),"ALICATE DE CORTE 8""")</f>
        <v>ALICATE DE CORTE 8"</v>
      </c>
      <c r="C2437" s="86">
        <f>IFERROR(__xludf.DUMMYFUNCTION("""COMPUTED_VALUE"""),1.0)</f>
        <v>1</v>
      </c>
      <c r="D2437" s="87" t="str">
        <f>IFERROR(__xludf.DUMMYFUNCTION("""COMPUTED_VALUE"""),"SEÇÃO")</f>
        <v>SEÇÃO</v>
      </c>
      <c r="E2437" s="87" t="str">
        <f>IFERROR(__xludf.DUMMYFUNCTION("""COMPUTED_VALUE"""),"3 - SETOR DE MEIOS")</f>
        <v>3 - SETOR DE MEIOS</v>
      </c>
      <c r="F2437" s="92" t="str">
        <f>IFERROR(__xludf.DUMMYFUNCTION("""COMPUTED_VALUE"""),"SETOR DE MEIOS")</f>
        <v>SETOR DE MEIOS</v>
      </c>
      <c r="G2437" s="89"/>
      <c r="H2437" s="87"/>
      <c r="I2437" s="87"/>
    </row>
    <row r="2438">
      <c r="A2438" s="84">
        <f>IFERROR(__xludf.DUMMYFUNCTION("""COMPUTED_VALUE"""),648.0)</f>
        <v>648</v>
      </c>
      <c r="B2438" s="85" t="str">
        <f>IFERROR(__xludf.DUMMYFUNCTION("""COMPUTED_VALUE"""),"CAVALETE DE SINALIZAÇÃO")</f>
        <v>CAVALETE DE SINALIZAÇÃO</v>
      </c>
      <c r="C2438" s="86">
        <f>IFERROR(__xludf.DUMMYFUNCTION("""COMPUTED_VALUE"""),6.0)</f>
        <v>6</v>
      </c>
      <c r="D2438" s="87" t="str">
        <f>IFERROR(__xludf.DUMMYFUNCTION("""COMPUTED_VALUE"""),"SEÇÃO")</f>
        <v>SEÇÃO</v>
      </c>
      <c r="E2438" s="87" t="str">
        <f>IFERROR(__xludf.DUMMYFUNCTION("""COMPUTED_VALUE"""),"3 - SETOR DE MEIOS")</f>
        <v>3 - SETOR DE MEIOS</v>
      </c>
      <c r="F2438" s="92" t="str">
        <f>IFERROR(__xludf.DUMMYFUNCTION("""COMPUTED_VALUE"""),"SETOR DE MEIOS")</f>
        <v>SETOR DE MEIOS</v>
      </c>
      <c r="G2438" s="89">
        <f>IFERROR(__xludf.DUMMYFUNCTION("""COMPUTED_VALUE"""),45527.0)</f>
        <v>45527</v>
      </c>
      <c r="H2438" s="87"/>
      <c r="I2438" s="87"/>
    </row>
    <row r="2439">
      <c r="A2439" s="84">
        <f>IFERROR(__xludf.DUMMYFUNCTION("""COMPUTED_VALUE"""),649.0)</f>
        <v>649</v>
      </c>
      <c r="B2439" s="85" t="str">
        <f>IFERROR(__xludf.DUMMYFUNCTION("""COMPUTED_VALUE"""),"CAIXA AMARELA COM CORRENTES PARA TRIPÉ")</f>
        <v>CAIXA AMARELA COM CORRENTES PARA TRIPÉ</v>
      </c>
      <c r="C2439" s="86">
        <f>IFERROR(__xludf.DUMMYFUNCTION("""COMPUTED_VALUE"""),1.0)</f>
        <v>1</v>
      </c>
      <c r="D2439" s="87" t="str">
        <f>IFERROR(__xludf.DUMMYFUNCTION("""COMPUTED_VALUE"""),"SEÇÃO")</f>
        <v>SEÇÃO</v>
      </c>
      <c r="E2439" s="87" t="str">
        <f>IFERROR(__xludf.DUMMYFUNCTION("""COMPUTED_VALUE"""),"3 - SETOR DE MEIOS")</f>
        <v>3 - SETOR DE MEIOS</v>
      </c>
      <c r="F2439" s="92" t="str">
        <f>IFERROR(__xludf.DUMMYFUNCTION("""COMPUTED_VALUE"""),"SETOR DE MEIOS")</f>
        <v>SETOR DE MEIOS</v>
      </c>
      <c r="G2439" s="89"/>
      <c r="H2439" s="87"/>
      <c r="I2439" s="87"/>
    </row>
    <row r="2440">
      <c r="A2440" s="84">
        <f>IFERROR(__xludf.DUMMYFUNCTION("""COMPUTED_VALUE"""),650.0)</f>
        <v>650</v>
      </c>
      <c r="B2440" s="85" t="str">
        <f>IFERROR(__xludf.DUMMYFUNCTION("""COMPUTED_VALUE"""),"CAIXA DE FERRAMENTAS (METAL)")</f>
        <v>CAIXA DE FERRAMENTAS (METAL)</v>
      </c>
      <c r="C2440" s="86">
        <f>IFERROR(__xludf.DUMMYFUNCTION("""COMPUTED_VALUE"""),1.0)</f>
        <v>1</v>
      </c>
      <c r="D2440" s="87" t="str">
        <f>IFERROR(__xludf.DUMMYFUNCTION("""COMPUTED_VALUE"""),"SEÇÃO")</f>
        <v>SEÇÃO</v>
      </c>
      <c r="E2440" s="87" t="str">
        <f>IFERROR(__xludf.DUMMYFUNCTION("""COMPUTED_VALUE"""),"3 - SETOR DE MEIOS")</f>
        <v>3 - SETOR DE MEIOS</v>
      </c>
      <c r="F2440" s="92" t="str">
        <f>IFERROR(__xludf.DUMMYFUNCTION("""COMPUTED_VALUE"""),"SETOR DE MEIOS")</f>
        <v>SETOR DE MEIOS</v>
      </c>
      <c r="G2440" s="89"/>
      <c r="H2440" s="87"/>
      <c r="I2440" s="87"/>
    </row>
    <row r="2441">
      <c r="A2441" s="84">
        <f>IFERROR(__xludf.DUMMYFUNCTION("""COMPUTED_VALUE"""),651.0)</f>
        <v>651</v>
      </c>
      <c r="B2441" s="85" t="str">
        <f>IFERROR(__xludf.DUMMYFUNCTION("""COMPUTED_VALUE"""),"CAIXA TERMICA")</f>
        <v>CAIXA TERMICA</v>
      </c>
      <c r="C2441" s="86">
        <f>IFERROR(__xludf.DUMMYFUNCTION("""COMPUTED_VALUE"""),1.0)</f>
        <v>1</v>
      </c>
      <c r="D2441" s="87" t="str">
        <f>IFERROR(__xludf.DUMMYFUNCTION("""COMPUTED_VALUE"""),"SEÇÃO")</f>
        <v>SEÇÃO</v>
      </c>
      <c r="E2441" s="87" t="str">
        <f>IFERROR(__xludf.DUMMYFUNCTION("""COMPUTED_VALUE"""),"3 - SETOR DE MEIOS")</f>
        <v>3 - SETOR DE MEIOS</v>
      </c>
      <c r="F2441" s="92" t="str">
        <f>IFERROR(__xludf.DUMMYFUNCTION("""COMPUTED_VALUE"""),"SETOR DE MEIOS")</f>
        <v>SETOR DE MEIOS</v>
      </c>
      <c r="G2441" s="89"/>
      <c r="H2441" s="87"/>
      <c r="I2441" s="87" t="str">
        <f>IFERROR(__xludf.DUMMYFUNCTION("""COMPUTED_VALUE"""),"CAIXA TERMICA 20L INVICTA - LARANJA")</f>
        <v>CAIXA TERMICA 20L INVICTA - LARANJA</v>
      </c>
    </row>
    <row r="2442">
      <c r="A2442" s="84">
        <f>IFERROR(__xludf.DUMMYFUNCTION("""COMPUTED_VALUE"""),652.0)</f>
        <v>652</v>
      </c>
      <c r="B2442" s="85" t="str">
        <f>IFERROR(__xludf.DUMMYFUNCTION("""COMPUTED_VALUE"""),"CHAVE ""L""")</f>
        <v>CHAVE "L"</v>
      </c>
      <c r="C2442" s="86">
        <f>IFERROR(__xludf.DUMMYFUNCTION("""COMPUTED_VALUE"""),2.0)</f>
        <v>2</v>
      </c>
      <c r="D2442" s="87" t="str">
        <f>IFERROR(__xludf.DUMMYFUNCTION("""COMPUTED_VALUE"""),"SEÇÃO")</f>
        <v>SEÇÃO</v>
      </c>
      <c r="E2442" s="87" t="str">
        <f>IFERROR(__xludf.DUMMYFUNCTION("""COMPUTED_VALUE"""),"3 - SETOR DE MEIOS")</f>
        <v>3 - SETOR DE MEIOS</v>
      </c>
      <c r="F2442" s="92" t="str">
        <f>IFERROR(__xludf.DUMMYFUNCTION("""COMPUTED_VALUE"""),"SETOR DE MEIOS")</f>
        <v>SETOR DE MEIOS</v>
      </c>
      <c r="G2442" s="89"/>
      <c r="H2442" s="87"/>
      <c r="I2442" s="87"/>
    </row>
    <row r="2443">
      <c r="A2443" s="84">
        <f>IFERROR(__xludf.DUMMYFUNCTION("""COMPUTED_VALUE"""),653.0)</f>
        <v>653</v>
      </c>
      <c r="B2443" s="85" t="str">
        <f>IFERROR(__xludf.DUMMYFUNCTION("""COMPUTED_VALUE"""),"CHAVE DE BOCA")</f>
        <v>CHAVE DE BOCA</v>
      </c>
      <c r="C2443" s="86">
        <f>IFERROR(__xludf.DUMMYFUNCTION("""COMPUTED_VALUE"""),10.0)</f>
        <v>10</v>
      </c>
      <c r="D2443" s="87" t="str">
        <f>IFERROR(__xludf.DUMMYFUNCTION("""COMPUTED_VALUE"""),"SEÇÃO")</f>
        <v>SEÇÃO</v>
      </c>
      <c r="E2443" s="87" t="str">
        <f>IFERROR(__xludf.DUMMYFUNCTION("""COMPUTED_VALUE"""),"3 - SETOR DE MEIOS")</f>
        <v>3 - SETOR DE MEIOS</v>
      </c>
      <c r="F2443" s="92" t="str">
        <f>IFERROR(__xludf.DUMMYFUNCTION("""COMPUTED_VALUE"""),"SETOR DE MEIOS")</f>
        <v>SETOR DE MEIOS</v>
      </c>
      <c r="G2443" s="89"/>
      <c r="H2443" s="87"/>
      <c r="I2443" s="87"/>
    </row>
    <row r="2444">
      <c r="A2444" s="84">
        <f>IFERROR(__xludf.DUMMYFUNCTION("""COMPUTED_VALUE"""),654.0)</f>
        <v>654</v>
      </c>
      <c r="B2444" s="85" t="str">
        <f>IFERROR(__xludf.DUMMYFUNCTION("""COMPUTED_VALUE"""),"CHAVE DE BOCA/ESTRIA")</f>
        <v>CHAVE DE BOCA/ESTRIA</v>
      </c>
      <c r="C2444" s="86">
        <f>IFERROR(__xludf.DUMMYFUNCTION("""COMPUTED_VALUE"""),2.0)</f>
        <v>2</v>
      </c>
      <c r="D2444" s="87" t="str">
        <f>IFERROR(__xludf.DUMMYFUNCTION("""COMPUTED_VALUE"""),"SEÇÃO")</f>
        <v>SEÇÃO</v>
      </c>
      <c r="E2444" s="87" t="str">
        <f>IFERROR(__xludf.DUMMYFUNCTION("""COMPUTED_VALUE"""),"3 - SETOR DE MEIOS")</f>
        <v>3 - SETOR DE MEIOS</v>
      </c>
      <c r="F2444" s="92" t="str">
        <f>IFERROR(__xludf.DUMMYFUNCTION("""COMPUTED_VALUE"""),"SETOR DE MEIOS")</f>
        <v>SETOR DE MEIOS</v>
      </c>
      <c r="G2444" s="89"/>
      <c r="H2444" s="87"/>
      <c r="I2444" s="87"/>
    </row>
    <row r="2445">
      <c r="A2445" s="84">
        <f>IFERROR(__xludf.DUMMYFUNCTION("""COMPUTED_VALUE"""),655.0)</f>
        <v>655</v>
      </c>
      <c r="B2445" s="85" t="str">
        <f>IFERROR(__xludf.DUMMYFUNCTION("""COMPUTED_VALUE"""),"CHAVE DE ESTRIA")</f>
        <v>CHAVE DE ESTRIA</v>
      </c>
      <c r="C2445" s="86">
        <f>IFERROR(__xludf.DUMMYFUNCTION("""COMPUTED_VALUE"""),5.0)</f>
        <v>5</v>
      </c>
      <c r="D2445" s="87" t="str">
        <f>IFERROR(__xludf.DUMMYFUNCTION("""COMPUTED_VALUE"""),"SEÇÃO")</f>
        <v>SEÇÃO</v>
      </c>
      <c r="E2445" s="87" t="str">
        <f>IFERROR(__xludf.DUMMYFUNCTION("""COMPUTED_VALUE"""),"3 - SETOR DE MEIOS")</f>
        <v>3 - SETOR DE MEIOS</v>
      </c>
      <c r="F2445" s="92" t="str">
        <f>IFERROR(__xludf.DUMMYFUNCTION("""COMPUTED_VALUE"""),"SETOR DE MEIOS")</f>
        <v>SETOR DE MEIOS</v>
      </c>
      <c r="G2445" s="89"/>
      <c r="H2445" s="87"/>
      <c r="I2445" s="87"/>
    </row>
    <row r="2446">
      <c r="A2446" s="84">
        <f>IFERROR(__xludf.DUMMYFUNCTION("""COMPUTED_VALUE"""),656.0)</f>
        <v>656</v>
      </c>
      <c r="B2446" s="85" t="str">
        <f>IFERROR(__xludf.DUMMYFUNCTION("""COMPUTED_VALUE"""),"CHAVE DE RODA")</f>
        <v>CHAVE DE RODA</v>
      </c>
      <c r="C2446" s="86">
        <f>IFERROR(__xludf.DUMMYFUNCTION("""COMPUTED_VALUE"""),3.0)</f>
        <v>3</v>
      </c>
      <c r="D2446" s="87" t="str">
        <f>IFERROR(__xludf.DUMMYFUNCTION("""COMPUTED_VALUE"""),"SEÇÃO")</f>
        <v>SEÇÃO</v>
      </c>
      <c r="E2446" s="87" t="str">
        <f>IFERROR(__xludf.DUMMYFUNCTION("""COMPUTED_VALUE"""),"3 - SETOR DE MEIOS")</f>
        <v>3 - SETOR DE MEIOS</v>
      </c>
      <c r="F2446" s="92" t="str">
        <f>IFERROR(__xludf.DUMMYFUNCTION("""COMPUTED_VALUE"""),"SETOR DE MEIOS")</f>
        <v>SETOR DE MEIOS</v>
      </c>
      <c r="G2446" s="89"/>
      <c r="H2446" s="87"/>
      <c r="I2446" s="87"/>
    </row>
    <row r="2447">
      <c r="A2447" s="84">
        <f>IFERROR(__xludf.DUMMYFUNCTION("""COMPUTED_VALUE"""),657.0)</f>
        <v>657</v>
      </c>
      <c r="B2447" s="85" t="str">
        <f>IFERROR(__xludf.DUMMYFUNCTION("""COMPUTED_VALUE"""),"CHAVE DE VELA COMBINADA PARA MOTOSERRA")</f>
        <v>CHAVE DE VELA COMBINADA PARA MOTOSERRA</v>
      </c>
      <c r="C2447" s="86">
        <f>IFERROR(__xludf.DUMMYFUNCTION("""COMPUTED_VALUE"""),1.0)</f>
        <v>1</v>
      </c>
      <c r="D2447" s="87" t="str">
        <f>IFERROR(__xludf.DUMMYFUNCTION("""COMPUTED_VALUE"""),"SEÇÃO")</f>
        <v>SEÇÃO</v>
      </c>
      <c r="E2447" s="87" t="str">
        <f>IFERROR(__xludf.DUMMYFUNCTION("""COMPUTED_VALUE"""),"3 - SETOR DE MEIOS")</f>
        <v>3 - SETOR DE MEIOS</v>
      </c>
      <c r="F2447" s="92" t="str">
        <f>IFERROR(__xludf.DUMMYFUNCTION("""COMPUTED_VALUE"""),"SETOR DE MEIOS")</f>
        <v>SETOR DE MEIOS</v>
      </c>
      <c r="G2447" s="89"/>
      <c r="H2447" s="87"/>
      <c r="I2447" s="87"/>
    </row>
    <row r="2448">
      <c r="A2448" s="84">
        <f>IFERROR(__xludf.DUMMYFUNCTION("""COMPUTED_VALUE"""),658.0)</f>
        <v>658</v>
      </c>
      <c r="B2448" s="85" t="str">
        <f>IFERROR(__xludf.DUMMYFUNCTION("""COMPUTED_VALUE"""),"CORDA -")</f>
        <v>CORDA -</v>
      </c>
      <c r="C2448" s="86">
        <f>IFERROR(__xludf.DUMMYFUNCTION("""COMPUTED_VALUE"""),1.0)</f>
        <v>1</v>
      </c>
      <c r="D2448" s="87" t="str">
        <f>IFERROR(__xludf.DUMMYFUNCTION("""COMPUTED_VALUE"""),"SEÇÃO")</f>
        <v>SEÇÃO</v>
      </c>
      <c r="E2448" s="87" t="str">
        <f>IFERROR(__xludf.DUMMYFUNCTION("""COMPUTED_VALUE"""),"3 - SETOR DE MEIOS")</f>
        <v>3 - SETOR DE MEIOS</v>
      </c>
      <c r="F2448" s="92" t="str">
        <f>IFERROR(__xludf.DUMMYFUNCTION("""COMPUTED_VALUE"""),"SETOR DE MEIOS")</f>
        <v>SETOR DE MEIOS</v>
      </c>
      <c r="G2448" s="89"/>
      <c r="H2448" s="87"/>
      <c r="I2448" s="87" t="str">
        <f>IFERROR(__xludf.DUMMYFUNCTION("""COMPUTED_VALUE"""),"CORDA  PARA SALVAMENTO EM ALTURA - 150M")</f>
        <v>CORDA  PARA SALVAMENTO EM ALTURA - 150M</v>
      </c>
    </row>
    <row r="2449">
      <c r="A2449" s="84">
        <f>IFERROR(__xludf.DUMMYFUNCTION("""COMPUTED_VALUE"""),659.0)</f>
        <v>659</v>
      </c>
      <c r="B2449" s="85" t="str">
        <f>IFERROR(__xludf.DUMMYFUNCTION("""COMPUTED_VALUE"""),"CORDA PARA USO GERAL (100 METRO)")</f>
        <v>CORDA PARA USO GERAL (100 METRO)</v>
      </c>
      <c r="C2449" s="86">
        <f>IFERROR(__xludf.DUMMYFUNCTION("""COMPUTED_VALUE"""),1.0)</f>
        <v>1</v>
      </c>
      <c r="D2449" s="87" t="str">
        <f>IFERROR(__xludf.DUMMYFUNCTION("""COMPUTED_VALUE"""),"SEÇÃO")</f>
        <v>SEÇÃO</v>
      </c>
      <c r="E2449" s="87" t="str">
        <f>IFERROR(__xludf.DUMMYFUNCTION("""COMPUTED_VALUE"""),"3 - SETOR DE MEIOS")</f>
        <v>3 - SETOR DE MEIOS</v>
      </c>
      <c r="F2449" s="92" t="str">
        <f>IFERROR(__xludf.DUMMYFUNCTION("""COMPUTED_VALUE"""),"SETOR DE MEIOS")</f>
        <v>SETOR DE MEIOS</v>
      </c>
      <c r="G2449" s="89"/>
      <c r="H2449" s="87"/>
      <c r="I2449" s="87"/>
    </row>
    <row r="2450">
      <c r="A2450" s="84">
        <f>IFERROR(__xludf.DUMMYFUNCTION("""COMPUTED_VALUE"""),660.0)</f>
        <v>660</v>
      </c>
      <c r="B2450" s="85" t="str">
        <f>IFERROR(__xludf.DUMMYFUNCTION("""COMPUTED_VALUE"""),"CORRENTE PARA DESENCARCERADOR")</f>
        <v>CORRENTE PARA DESENCARCERADOR</v>
      </c>
      <c r="C2450" s="86">
        <f>IFERROR(__xludf.DUMMYFUNCTION("""COMPUTED_VALUE"""),2.0)</f>
        <v>2</v>
      </c>
      <c r="D2450" s="87" t="str">
        <f>IFERROR(__xludf.DUMMYFUNCTION("""COMPUTED_VALUE"""),"SEÇÃO")</f>
        <v>SEÇÃO</v>
      </c>
      <c r="E2450" s="87" t="str">
        <f>IFERROR(__xludf.DUMMYFUNCTION("""COMPUTED_VALUE"""),"3 - SETOR DE MEIOS")</f>
        <v>3 - SETOR DE MEIOS</v>
      </c>
      <c r="F2450" s="92" t="str">
        <f>IFERROR(__xludf.DUMMYFUNCTION("""COMPUTED_VALUE"""),"SETOR DE MEIOS")</f>
        <v>SETOR DE MEIOS</v>
      </c>
      <c r="G2450" s="89">
        <f>IFERROR(__xludf.DUMMYFUNCTION("""COMPUTED_VALUE"""),45527.0)</f>
        <v>45527</v>
      </c>
      <c r="H2450" s="87"/>
      <c r="I2450" s="87" t="str">
        <f>IFERROR(__xludf.DUMMYFUNCTION("""COMPUTED_VALUE"""),"ENCONTRA-SE DENTRO DO BALDE AZUL")</f>
        <v>ENCONTRA-SE DENTRO DO BALDE AZUL</v>
      </c>
    </row>
    <row r="2451">
      <c r="A2451" s="84">
        <f>IFERROR(__xludf.DUMMYFUNCTION("""COMPUTED_VALUE"""),661.0)</f>
        <v>661</v>
      </c>
      <c r="B2451" s="85" t="str">
        <f>IFERROR(__xludf.DUMMYFUNCTION("""COMPUTED_VALUE"""),"CORTA FRIO 36''")</f>
        <v>CORTA FRIO 36''</v>
      </c>
      <c r="C2451" s="86">
        <f>IFERROR(__xludf.DUMMYFUNCTION("""COMPUTED_VALUE"""),1.0)</f>
        <v>1</v>
      </c>
      <c r="D2451" s="87" t="str">
        <f>IFERROR(__xludf.DUMMYFUNCTION("""COMPUTED_VALUE"""),"VIATURA")</f>
        <v>VIATURA</v>
      </c>
      <c r="E2451" s="87" t="str">
        <f>IFERROR(__xludf.DUMMYFUNCTION("""COMPUTED_VALUE"""),"1 - ABTS5911")</f>
        <v>1 - ABTS5911</v>
      </c>
      <c r="F2451" s="92"/>
      <c r="G2451" s="89"/>
      <c r="H2451" s="87"/>
      <c r="I2451" s="87"/>
    </row>
    <row r="2452">
      <c r="A2452" s="84">
        <f>IFERROR(__xludf.DUMMYFUNCTION("""COMPUTED_VALUE"""),662.0)</f>
        <v>662</v>
      </c>
      <c r="B2452" s="85" t="str">
        <f>IFERROR(__xludf.DUMMYFUNCTION("""COMPUTED_VALUE"""),"ENXADA")</f>
        <v>ENXADA</v>
      </c>
      <c r="C2452" s="86">
        <f>IFERROR(__xludf.DUMMYFUNCTION("""COMPUTED_VALUE"""),2.0)</f>
        <v>2</v>
      </c>
      <c r="D2452" s="87" t="str">
        <f>IFERROR(__xludf.DUMMYFUNCTION("""COMPUTED_VALUE"""),"SEÇÃO")</f>
        <v>SEÇÃO</v>
      </c>
      <c r="E2452" s="87" t="str">
        <f>IFERROR(__xludf.DUMMYFUNCTION("""COMPUTED_VALUE"""),"3 - SETOR DE MEIOS")</f>
        <v>3 - SETOR DE MEIOS</v>
      </c>
      <c r="F2452" s="92" t="str">
        <f>IFERROR(__xludf.DUMMYFUNCTION("""COMPUTED_VALUE"""),"SETOR DE MEIOS")</f>
        <v>SETOR DE MEIOS</v>
      </c>
      <c r="G2452" s="89"/>
      <c r="H2452" s="87"/>
      <c r="I2452" s="87"/>
    </row>
    <row r="2453">
      <c r="A2453" s="84">
        <f>IFERROR(__xludf.DUMMYFUNCTION("""COMPUTED_VALUE"""),663.0)</f>
        <v>663</v>
      </c>
      <c r="B2453" s="85" t="str">
        <f>IFERROR(__xludf.DUMMYFUNCTION("""COMPUTED_VALUE"""),"ESTANTE DE AÇO")</f>
        <v>ESTANTE DE AÇO</v>
      </c>
      <c r="C2453" s="86">
        <f>IFERROR(__xludf.DUMMYFUNCTION("""COMPUTED_VALUE"""),2.0)</f>
        <v>2</v>
      </c>
      <c r="D2453" s="87" t="str">
        <f>IFERROR(__xludf.DUMMYFUNCTION("""COMPUTED_VALUE"""),"SEÇÃO")</f>
        <v>SEÇÃO</v>
      </c>
      <c r="E2453" s="87" t="str">
        <f>IFERROR(__xludf.DUMMYFUNCTION("""COMPUTED_VALUE"""),"3 - SETOR DE MEIOS")</f>
        <v>3 - SETOR DE MEIOS</v>
      </c>
      <c r="F2453" s="92" t="str">
        <f>IFERROR(__xludf.DUMMYFUNCTION("""COMPUTED_VALUE"""),"SETOR DE MEIOS")</f>
        <v>SETOR DE MEIOS</v>
      </c>
      <c r="G2453" s="89"/>
      <c r="H2453" s="87"/>
      <c r="I2453" s="87"/>
    </row>
    <row r="2454">
      <c r="A2454" s="84">
        <f>IFERROR(__xludf.DUMMYFUNCTION("""COMPUTED_VALUE"""),664.0)</f>
        <v>664</v>
      </c>
      <c r="B2454" s="85" t="str">
        <f>IFERROR(__xludf.DUMMYFUNCTION("""COMPUTED_VALUE"""),"ESTANTE DE MADEIRA")</f>
        <v>ESTANTE DE MADEIRA</v>
      </c>
      <c r="C2454" s="86">
        <f>IFERROR(__xludf.DUMMYFUNCTION("""COMPUTED_VALUE"""),3.0)</f>
        <v>3</v>
      </c>
      <c r="D2454" s="87" t="str">
        <f>IFERROR(__xludf.DUMMYFUNCTION("""COMPUTED_VALUE"""),"SEÇÃO")</f>
        <v>SEÇÃO</v>
      </c>
      <c r="E2454" s="87" t="str">
        <f>IFERROR(__xludf.DUMMYFUNCTION("""COMPUTED_VALUE"""),"3 - SETOR DE MEIOS")</f>
        <v>3 - SETOR DE MEIOS</v>
      </c>
      <c r="F2454" s="92" t="str">
        <f>IFERROR(__xludf.DUMMYFUNCTION("""COMPUTED_VALUE"""),"SETOR DE MEIOS")</f>
        <v>SETOR DE MEIOS</v>
      </c>
      <c r="G2454" s="89"/>
      <c r="H2454" s="87"/>
      <c r="I2454" s="87"/>
    </row>
    <row r="2455">
      <c r="A2455" s="84">
        <f>IFERROR(__xludf.DUMMYFUNCTION("""COMPUTED_VALUE"""),665.0)</f>
        <v>665</v>
      </c>
      <c r="B2455" s="85" t="str">
        <f>IFERROR(__xludf.DUMMYFUNCTION("""COMPUTED_VALUE"""),"FOICE")</f>
        <v>FOICE</v>
      </c>
      <c r="C2455" s="86">
        <f>IFERROR(__xludf.DUMMYFUNCTION("""COMPUTED_VALUE"""),2.0)</f>
        <v>2</v>
      </c>
      <c r="D2455" s="87" t="str">
        <f>IFERROR(__xludf.DUMMYFUNCTION("""COMPUTED_VALUE"""),"SEÇÃO")</f>
        <v>SEÇÃO</v>
      </c>
      <c r="E2455" s="87" t="str">
        <f>IFERROR(__xludf.DUMMYFUNCTION("""COMPUTED_VALUE"""),"3 - SETOR DE MEIOS")</f>
        <v>3 - SETOR DE MEIOS</v>
      </c>
      <c r="F2455" s="92" t="str">
        <f>IFERROR(__xludf.DUMMYFUNCTION("""COMPUTED_VALUE"""),"SETOR DE MEIOS")</f>
        <v>SETOR DE MEIOS</v>
      </c>
      <c r="G2455" s="89"/>
      <c r="H2455" s="87"/>
      <c r="I2455" s="87"/>
    </row>
    <row r="2456">
      <c r="A2456" s="84">
        <f>IFERROR(__xludf.DUMMYFUNCTION("""COMPUTED_VALUE"""),666.0)</f>
        <v>666</v>
      </c>
      <c r="B2456" s="85" t="str">
        <f>IFERROR(__xludf.DUMMYFUNCTION("""COMPUTED_VALUE"""),"GALÃO DE LGE")</f>
        <v>GALÃO DE LGE</v>
      </c>
      <c r="C2456" s="86">
        <f>IFERROR(__xludf.DUMMYFUNCTION("""COMPUTED_VALUE"""),4.0)</f>
        <v>4</v>
      </c>
      <c r="D2456" s="87" t="str">
        <f>IFERROR(__xludf.DUMMYFUNCTION("""COMPUTED_VALUE"""),"SEÇÃO")</f>
        <v>SEÇÃO</v>
      </c>
      <c r="E2456" s="87" t="str">
        <f>IFERROR(__xludf.DUMMYFUNCTION("""COMPUTED_VALUE"""),"3 - SETOR DE MEIOS")</f>
        <v>3 - SETOR DE MEIOS</v>
      </c>
      <c r="F2456" s="92" t="str">
        <f>IFERROR(__xludf.DUMMYFUNCTION("""COMPUTED_VALUE"""),"SETOR DE MEIOS")</f>
        <v>SETOR DE MEIOS</v>
      </c>
      <c r="G2456" s="89">
        <f>IFERROR(__xludf.DUMMYFUNCTION("""COMPUTED_VALUE"""),45597.0)</f>
        <v>45597</v>
      </c>
      <c r="H2456" s="87"/>
      <c r="I2456" s="87" t="str">
        <f>IFERROR(__xludf.DUMMYFUNCTION("""COMPUTED_VALUE"""),"02 transferidos para abts5911")</f>
        <v>02 transferidos para abts5911</v>
      </c>
    </row>
    <row r="2457">
      <c r="A2457" s="84">
        <f>IFERROR(__xludf.DUMMYFUNCTION("""COMPUTED_VALUE"""),667.0)</f>
        <v>667</v>
      </c>
      <c r="B2457" s="85" t="str">
        <f>IFERROR(__xludf.DUMMYFUNCTION("""COMPUTED_VALUE"""),"GARFO COM 4 DENTES")</f>
        <v>GARFO COM 4 DENTES</v>
      </c>
      <c r="C2457" s="86">
        <f>IFERROR(__xludf.DUMMYFUNCTION("""COMPUTED_VALUE"""),2.0)</f>
        <v>2</v>
      </c>
      <c r="D2457" s="87" t="str">
        <f>IFERROR(__xludf.DUMMYFUNCTION("""COMPUTED_VALUE"""),"SEÇÃO")</f>
        <v>SEÇÃO</v>
      </c>
      <c r="E2457" s="87" t="str">
        <f>IFERROR(__xludf.DUMMYFUNCTION("""COMPUTED_VALUE"""),"3 - SETOR DE MEIOS")</f>
        <v>3 - SETOR DE MEIOS</v>
      </c>
      <c r="F2457" s="92" t="str">
        <f>IFERROR(__xludf.DUMMYFUNCTION("""COMPUTED_VALUE"""),"SETOR DE MEIOS")</f>
        <v>SETOR DE MEIOS</v>
      </c>
      <c r="G2457" s="89"/>
      <c r="H2457" s="87"/>
      <c r="I2457" s="87"/>
    </row>
    <row r="2458">
      <c r="A2458" s="84">
        <f>IFERROR(__xludf.DUMMYFUNCTION("""COMPUTED_VALUE"""),668.0)</f>
        <v>668</v>
      </c>
      <c r="B2458" s="85" t="str">
        <f>IFERROR(__xludf.DUMMYFUNCTION("""COMPUTED_VALUE"""),"GARFO COM 10 DENTES")</f>
        <v>GARFO COM 10 DENTES</v>
      </c>
      <c r="C2458" s="86">
        <f>IFERROR(__xludf.DUMMYFUNCTION("""COMPUTED_VALUE"""),2.0)</f>
        <v>2</v>
      </c>
      <c r="D2458" s="87" t="str">
        <f>IFERROR(__xludf.DUMMYFUNCTION("""COMPUTED_VALUE"""),"SEÇÃO")</f>
        <v>SEÇÃO</v>
      </c>
      <c r="E2458" s="87" t="str">
        <f>IFERROR(__xludf.DUMMYFUNCTION("""COMPUTED_VALUE"""),"3 - SETOR DE MEIOS")</f>
        <v>3 - SETOR DE MEIOS</v>
      </c>
      <c r="F2458" s="92" t="str">
        <f>IFERROR(__xludf.DUMMYFUNCTION("""COMPUTED_VALUE"""),"SETOR DE MEIOS")</f>
        <v>SETOR DE MEIOS</v>
      </c>
      <c r="G2458" s="89"/>
      <c r="H2458" s="87"/>
      <c r="I2458" s="87"/>
    </row>
    <row r="2459">
      <c r="A2459" s="84">
        <f>IFERROR(__xludf.DUMMYFUNCTION("""COMPUTED_VALUE"""),669.0)</f>
        <v>669</v>
      </c>
      <c r="B2459" s="85" t="str">
        <f>IFERROR(__xludf.DUMMYFUNCTION("""COMPUTED_VALUE"""),"GARRAFA TERMICA -")</f>
        <v>GARRAFA TERMICA -</v>
      </c>
      <c r="C2459" s="86">
        <f>IFERROR(__xludf.DUMMYFUNCTION("""COMPUTED_VALUE"""),1.0)</f>
        <v>1</v>
      </c>
      <c r="D2459" s="87" t="str">
        <f>IFERROR(__xludf.DUMMYFUNCTION("""COMPUTED_VALUE"""),"SEÇÃO")</f>
        <v>SEÇÃO</v>
      </c>
      <c r="E2459" s="87" t="str">
        <f>IFERROR(__xludf.DUMMYFUNCTION("""COMPUTED_VALUE"""),"3 - SETOR DE MEIOS")</f>
        <v>3 - SETOR DE MEIOS</v>
      </c>
      <c r="F2459" s="92" t="str">
        <f>IFERROR(__xludf.DUMMYFUNCTION("""COMPUTED_VALUE"""),"SETOR DE MEIOS")</f>
        <v>SETOR DE MEIOS</v>
      </c>
      <c r="G2459" s="89">
        <f>IFERROR(__xludf.DUMMYFUNCTION("""COMPUTED_VALUE"""),45527.0)</f>
        <v>45527</v>
      </c>
      <c r="H2459" s="87"/>
      <c r="I2459" s="87" t="str">
        <f>IFERROR(__xludf.DUMMYFUNCTION("""COMPUTED_VALUE"""),"GARRAFA DE 5L - SOPRANO")</f>
        <v>GARRAFA DE 5L - SOPRANO</v>
      </c>
    </row>
    <row r="2460">
      <c r="A2460" s="84">
        <f>IFERROR(__xludf.DUMMYFUNCTION("""COMPUTED_VALUE"""),670.0)</f>
        <v>670</v>
      </c>
      <c r="B2460" s="85" t="str">
        <f>IFERROR(__xludf.DUMMYFUNCTION("""COMPUTED_VALUE"""),"GORGUI")</f>
        <v>GORGUI</v>
      </c>
      <c r="C2460" s="86">
        <f>IFERROR(__xludf.DUMMYFUNCTION("""COMPUTED_VALUE"""),1.0)</f>
        <v>1</v>
      </c>
      <c r="D2460" s="87" t="str">
        <f>IFERROR(__xludf.DUMMYFUNCTION("""COMPUTED_VALUE"""),"SEÇÃO")</f>
        <v>SEÇÃO</v>
      </c>
      <c r="E2460" s="87" t="str">
        <f>IFERROR(__xludf.DUMMYFUNCTION("""COMPUTED_VALUE"""),"3 - SETOR DE MEIOS")</f>
        <v>3 - SETOR DE MEIOS</v>
      </c>
      <c r="F2460" s="92" t="str">
        <f>IFERROR(__xludf.DUMMYFUNCTION("""COMPUTED_VALUE"""),"SETOR DE MEIOS")</f>
        <v>SETOR DE MEIOS</v>
      </c>
      <c r="G2460" s="89"/>
      <c r="H2460" s="87"/>
      <c r="I2460" s="87"/>
    </row>
    <row r="2461">
      <c r="A2461" s="84">
        <f>IFERROR(__xludf.DUMMYFUNCTION("""COMPUTED_VALUE"""),671.0)</f>
        <v>671</v>
      </c>
      <c r="B2461" s="85" t="str">
        <f>IFERROR(__xludf.DUMMYFUNCTION("""COMPUTED_VALUE"""),"LUVA DE SEGURANÇA PARA MOTOSSERRISTA")</f>
        <v>LUVA DE SEGURANÇA PARA MOTOSSERRISTA</v>
      </c>
      <c r="C2461" s="86">
        <f>IFERROR(__xludf.DUMMYFUNCTION("""COMPUTED_VALUE"""),2.0)</f>
        <v>2</v>
      </c>
      <c r="D2461" s="87" t="str">
        <f>IFERROR(__xludf.DUMMYFUNCTION("""COMPUTED_VALUE"""),"SEÇÃO")</f>
        <v>SEÇÃO</v>
      </c>
      <c r="E2461" s="87" t="str">
        <f>IFERROR(__xludf.DUMMYFUNCTION("""COMPUTED_VALUE"""),"3 - ALMOX. ESTOQUE")</f>
        <v>3 - ALMOX. ESTOQUE</v>
      </c>
      <c r="F2461" s="92" t="str">
        <f>IFERROR(__xludf.DUMMYFUNCTION("""COMPUTED_VALUE"""),"ALMOX. SAO (SEDE)")</f>
        <v>ALMOX. SAO (SEDE)</v>
      </c>
      <c r="G2461" s="89">
        <f>IFERROR(__xludf.DUMMYFUNCTION("""COMPUTED_VALUE"""),45527.0)</f>
        <v>45527</v>
      </c>
      <c r="H2461" s="87"/>
      <c r="I2461" s="87" t="str">
        <f>IFERROR(__xludf.DUMMYFUNCTION("""COMPUTED_VALUE"""),"DOIS PARES")</f>
        <v>DOIS PARES</v>
      </c>
    </row>
    <row r="2462">
      <c r="A2462" s="84">
        <f>IFERROR(__xludf.DUMMYFUNCTION("""COMPUTED_VALUE"""),672.0)</f>
        <v>672</v>
      </c>
      <c r="B2462" s="85" t="str">
        <f>IFERROR(__xludf.DUMMYFUNCTION("""COMPUTED_VALUE"""),"MACACÃO NÍVEL ""C"" 02 - ROUPÃO, 02 BOTAS, 02 MÁSCARAS FACIAIS (KIT DA VIBRA)")</f>
        <v>MACACÃO NÍVEL "C" 02 - ROUPÃO, 02 BOTAS, 02 MÁSCARAS FACIAIS (KIT DA VIBRA)</v>
      </c>
      <c r="C2462" s="86">
        <f>IFERROR(__xludf.DUMMYFUNCTION("""COMPUTED_VALUE"""),1.0)</f>
        <v>1</v>
      </c>
      <c r="D2462" s="87" t="str">
        <f>IFERROR(__xludf.DUMMYFUNCTION("""COMPUTED_VALUE"""),"SEÇÃO")</f>
        <v>SEÇÃO</v>
      </c>
      <c r="E2462" s="87" t="str">
        <f>IFERROR(__xludf.DUMMYFUNCTION("""COMPUTED_VALUE"""),"3 - SETOR DE MEIOS")</f>
        <v>3 - SETOR DE MEIOS</v>
      </c>
      <c r="F2462" s="92" t="str">
        <f>IFERROR(__xludf.DUMMYFUNCTION("""COMPUTED_VALUE"""),"SETOR DE MEIOS")</f>
        <v>SETOR DE MEIOS</v>
      </c>
      <c r="G2462" s="89"/>
      <c r="H2462" s="87"/>
      <c r="I2462" s="87"/>
    </row>
    <row r="2463">
      <c r="A2463" s="84">
        <f>IFERROR(__xludf.DUMMYFUNCTION("""COMPUTED_VALUE"""),673.0)</f>
        <v>673</v>
      </c>
      <c r="B2463" s="85" t="str">
        <f>IFERROR(__xludf.DUMMYFUNCTION("""COMPUTED_VALUE"""),"MACHADINHA")</f>
        <v>MACHADINHA</v>
      </c>
      <c r="C2463" s="86">
        <f>IFERROR(__xludf.DUMMYFUNCTION("""COMPUTED_VALUE"""),1.0)</f>
        <v>1</v>
      </c>
      <c r="D2463" s="87" t="str">
        <f>IFERROR(__xludf.DUMMYFUNCTION("""COMPUTED_VALUE"""),"SEÇÃO")</f>
        <v>SEÇÃO</v>
      </c>
      <c r="E2463" s="87" t="str">
        <f>IFERROR(__xludf.DUMMYFUNCTION("""COMPUTED_VALUE"""),"3 - SETOR DE MEIOS")</f>
        <v>3 - SETOR DE MEIOS</v>
      </c>
      <c r="F2463" s="92" t="str">
        <f>IFERROR(__xludf.DUMMYFUNCTION("""COMPUTED_VALUE"""),"SETOR DE MEIOS")</f>
        <v>SETOR DE MEIOS</v>
      </c>
      <c r="G2463" s="89"/>
      <c r="H2463" s="87"/>
      <c r="I2463" s="87"/>
    </row>
    <row r="2464">
      <c r="A2464" s="84">
        <f>IFERROR(__xludf.DUMMYFUNCTION("""COMPUTED_VALUE"""),674.0)</f>
        <v>674</v>
      </c>
      <c r="B2464" s="85" t="str">
        <f>IFERROR(__xludf.DUMMYFUNCTION("""COMPUTED_VALUE"""),"MACHADO CABO COMPRIDO")</f>
        <v>MACHADO CABO COMPRIDO</v>
      </c>
      <c r="C2464" s="86">
        <f>IFERROR(__xludf.DUMMYFUNCTION("""COMPUTED_VALUE"""),1.0)</f>
        <v>1</v>
      </c>
      <c r="D2464" s="87" t="str">
        <f>IFERROR(__xludf.DUMMYFUNCTION("""COMPUTED_VALUE"""),"SEÇÃO")</f>
        <v>SEÇÃO</v>
      </c>
      <c r="E2464" s="87" t="str">
        <f>IFERROR(__xludf.DUMMYFUNCTION("""COMPUTED_VALUE"""),"3 - SETOR DE MEIOS")</f>
        <v>3 - SETOR DE MEIOS</v>
      </c>
      <c r="F2464" s="92" t="str">
        <f>IFERROR(__xludf.DUMMYFUNCTION("""COMPUTED_VALUE"""),"SETOR DE MEIOS")</f>
        <v>SETOR DE MEIOS</v>
      </c>
      <c r="G2464" s="89"/>
      <c r="H2464" s="87"/>
      <c r="I2464" s="87"/>
    </row>
    <row r="2465">
      <c r="A2465" s="84">
        <f>IFERROR(__xludf.DUMMYFUNCTION("""COMPUTED_VALUE"""),675.0)</f>
        <v>675</v>
      </c>
      <c r="B2465" s="85" t="str">
        <f>IFERROR(__xludf.DUMMYFUNCTION("""COMPUTED_VALUE"""),"MALHO 5KG")</f>
        <v>MALHO 5KG</v>
      </c>
      <c r="C2465" s="86">
        <f>IFERROR(__xludf.DUMMYFUNCTION("""COMPUTED_VALUE"""),1.0)</f>
        <v>1</v>
      </c>
      <c r="D2465" s="87" t="str">
        <f>IFERROR(__xludf.DUMMYFUNCTION("""COMPUTED_VALUE"""),"SEÇÃO")</f>
        <v>SEÇÃO</v>
      </c>
      <c r="E2465" s="87" t="str">
        <f>IFERROR(__xludf.DUMMYFUNCTION("""COMPUTED_VALUE"""),"3 - SETOR DE MEIOS")</f>
        <v>3 - SETOR DE MEIOS</v>
      </c>
      <c r="F2465" s="92" t="str">
        <f>IFERROR(__xludf.DUMMYFUNCTION("""COMPUTED_VALUE"""),"SETOR DE MEIOS")</f>
        <v>SETOR DE MEIOS</v>
      </c>
      <c r="G2465" s="89"/>
      <c r="H2465" s="87"/>
      <c r="I2465" s="87"/>
    </row>
    <row r="2466">
      <c r="A2466" s="84">
        <f>IFERROR(__xludf.DUMMYFUNCTION("""COMPUTED_VALUE"""),676.0)</f>
        <v>676</v>
      </c>
      <c r="B2466" s="85" t="str">
        <f>IFERROR(__xludf.DUMMYFUNCTION("""COMPUTED_VALUE"""),"MARRETA PEQUENA")</f>
        <v>MARRETA PEQUENA</v>
      </c>
      <c r="C2466" s="86">
        <f>IFERROR(__xludf.DUMMYFUNCTION("""COMPUTED_VALUE"""),1.0)</f>
        <v>1</v>
      </c>
      <c r="D2466" s="87" t="str">
        <f>IFERROR(__xludf.DUMMYFUNCTION("""COMPUTED_VALUE"""),"SEÇÃO")</f>
        <v>SEÇÃO</v>
      </c>
      <c r="E2466" s="87" t="str">
        <f>IFERROR(__xludf.DUMMYFUNCTION("""COMPUTED_VALUE"""),"3 - SETOR DE MEIOS")</f>
        <v>3 - SETOR DE MEIOS</v>
      </c>
      <c r="F2466" s="92" t="str">
        <f>IFERROR(__xludf.DUMMYFUNCTION("""COMPUTED_VALUE"""),"SETOR DE MEIOS")</f>
        <v>SETOR DE MEIOS</v>
      </c>
      <c r="G2466" s="89"/>
      <c r="H2466" s="87"/>
      <c r="I2466" s="87"/>
    </row>
    <row r="2467">
      <c r="A2467" s="84">
        <f>IFERROR(__xludf.DUMMYFUNCTION("""COMPUTED_VALUE"""),677.0)</f>
        <v>677</v>
      </c>
      <c r="B2467" s="85" t="str">
        <f>IFERROR(__xludf.DUMMYFUNCTION("""COMPUTED_VALUE"""),"MARTELO")</f>
        <v>MARTELO</v>
      </c>
      <c r="C2467" s="86">
        <f>IFERROR(__xludf.DUMMYFUNCTION("""COMPUTED_VALUE"""),1.0)</f>
        <v>1</v>
      </c>
      <c r="D2467" s="87" t="str">
        <f>IFERROR(__xludf.DUMMYFUNCTION("""COMPUTED_VALUE"""),"SEÇÃO")</f>
        <v>SEÇÃO</v>
      </c>
      <c r="E2467" s="87" t="str">
        <f>IFERROR(__xludf.DUMMYFUNCTION("""COMPUTED_VALUE"""),"3 - SETOR DE MEIOS")</f>
        <v>3 - SETOR DE MEIOS</v>
      </c>
      <c r="F2467" s="92" t="str">
        <f>IFERROR(__xludf.DUMMYFUNCTION("""COMPUTED_VALUE"""),"SETOR DE MEIOS")</f>
        <v>SETOR DE MEIOS</v>
      </c>
      <c r="G2467" s="89"/>
      <c r="H2467" s="87"/>
      <c r="I2467" s="87"/>
    </row>
    <row r="2468">
      <c r="A2468" s="84">
        <f>IFERROR(__xludf.DUMMYFUNCTION("""COMPUTED_VALUE"""),678.0)</f>
        <v>678</v>
      </c>
      <c r="B2468" s="85" t="str">
        <f>IFERROR(__xludf.DUMMYFUNCTION("""COMPUTED_VALUE"""),"MOITÃO")</f>
        <v>MOITÃO</v>
      </c>
      <c r="C2468" s="86">
        <f>IFERROR(__xludf.DUMMYFUNCTION("""COMPUTED_VALUE"""),4.0)</f>
        <v>4</v>
      </c>
      <c r="D2468" s="87" t="str">
        <f>IFERROR(__xludf.DUMMYFUNCTION("""COMPUTED_VALUE"""),"SEÇÃO")</f>
        <v>SEÇÃO</v>
      </c>
      <c r="E2468" s="87" t="str">
        <f>IFERROR(__xludf.DUMMYFUNCTION("""COMPUTED_VALUE"""),"3 - SETOR DE MEIOS")</f>
        <v>3 - SETOR DE MEIOS</v>
      </c>
      <c r="F2468" s="92" t="str">
        <f>IFERROR(__xludf.DUMMYFUNCTION("""COMPUTED_VALUE"""),"SETOR DE MEIOS")</f>
        <v>SETOR DE MEIOS</v>
      </c>
      <c r="G2468" s="89"/>
      <c r="H2468" s="87"/>
      <c r="I2468" s="87" t="str">
        <f>IFERROR(__xludf.DUMMYFUNCTION("""COMPUTED_VALUE"""),"VOITÃO COM TRÊS ROLDANAS")</f>
        <v>VOITÃO COM TRÊS ROLDANAS</v>
      </c>
    </row>
    <row r="2469">
      <c r="A2469" s="84">
        <f>IFERROR(__xludf.DUMMYFUNCTION("""COMPUTED_VALUE"""),679.0)</f>
        <v>679</v>
      </c>
      <c r="B2469" s="85" t="str">
        <f>IFERROR(__xludf.DUMMYFUNCTION("""COMPUTED_VALUE"""),"PÁ DE BICO")</f>
        <v>PÁ DE BICO</v>
      </c>
      <c r="C2469" s="86">
        <f>IFERROR(__xludf.DUMMYFUNCTION("""COMPUTED_VALUE"""),3.0)</f>
        <v>3</v>
      </c>
      <c r="D2469" s="87" t="str">
        <f>IFERROR(__xludf.DUMMYFUNCTION("""COMPUTED_VALUE"""),"SEÇÃO")</f>
        <v>SEÇÃO</v>
      </c>
      <c r="E2469" s="87" t="str">
        <f>IFERROR(__xludf.DUMMYFUNCTION("""COMPUTED_VALUE"""),"3 - SETOR DE MEIOS")</f>
        <v>3 - SETOR DE MEIOS</v>
      </c>
      <c r="F2469" s="92" t="str">
        <f>IFERROR(__xludf.DUMMYFUNCTION("""COMPUTED_VALUE"""),"SETOR DE MEIOS")</f>
        <v>SETOR DE MEIOS</v>
      </c>
      <c r="G2469" s="89"/>
      <c r="H2469" s="87"/>
      <c r="I2469" s="87"/>
    </row>
    <row r="2470">
      <c r="A2470" s="84">
        <f>IFERROR(__xludf.DUMMYFUNCTION("""COMPUTED_VALUE"""),680.0)</f>
        <v>680</v>
      </c>
      <c r="B2470" s="85" t="str">
        <f>IFERROR(__xludf.DUMMYFUNCTION("""COMPUTED_VALUE"""),"PÁ QUADRADA")</f>
        <v>PÁ QUADRADA</v>
      </c>
      <c r="C2470" s="86">
        <f>IFERROR(__xludf.DUMMYFUNCTION("""COMPUTED_VALUE"""),1.0)</f>
        <v>1</v>
      </c>
      <c r="D2470" s="87" t="str">
        <f>IFERROR(__xludf.DUMMYFUNCTION("""COMPUTED_VALUE"""),"SEÇÃO")</f>
        <v>SEÇÃO</v>
      </c>
      <c r="E2470" s="87" t="str">
        <f>IFERROR(__xludf.DUMMYFUNCTION("""COMPUTED_VALUE"""),"3 - SETOR DE MEIOS")</f>
        <v>3 - SETOR DE MEIOS</v>
      </c>
      <c r="F2470" s="92" t="str">
        <f>IFERROR(__xludf.DUMMYFUNCTION("""COMPUTED_VALUE"""),"SETOR DE MEIOS")</f>
        <v>SETOR DE MEIOS</v>
      </c>
      <c r="G2470" s="89"/>
      <c r="H2470" s="87"/>
      <c r="I2470" s="87"/>
    </row>
    <row r="2471">
      <c r="A2471" s="84">
        <f>IFERROR(__xludf.DUMMYFUNCTION("""COMPUTED_VALUE"""),681.0)</f>
        <v>681</v>
      </c>
      <c r="B2471" s="85" t="str">
        <f>IFERROR(__xludf.DUMMYFUNCTION("""COMPUTED_VALUE"""),"PERNEIRA (PAR)")</f>
        <v>PERNEIRA (PAR)</v>
      </c>
      <c r="C2471" s="86">
        <f>IFERROR(__xludf.DUMMYFUNCTION("""COMPUTED_VALUE"""),2.0)</f>
        <v>2</v>
      </c>
      <c r="D2471" s="87" t="str">
        <f>IFERROR(__xludf.DUMMYFUNCTION("""COMPUTED_VALUE"""),"SEÇÃO")</f>
        <v>SEÇÃO</v>
      </c>
      <c r="E2471" s="87" t="str">
        <f>IFERROR(__xludf.DUMMYFUNCTION("""COMPUTED_VALUE"""),"3 - SETOR DE MEIOS")</f>
        <v>3 - SETOR DE MEIOS</v>
      </c>
      <c r="F2471" s="92" t="str">
        <f>IFERROR(__xludf.DUMMYFUNCTION("""COMPUTED_VALUE"""),"SETOR DE MEIOS")</f>
        <v>SETOR DE MEIOS</v>
      </c>
      <c r="G2471" s="89"/>
      <c r="H2471" s="87"/>
      <c r="I2471" s="87"/>
    </row>
    <row r="2472">
      <c r="A2472" s="84">
        <f>IFERROR(__xludf.DUMMYFUNCTION("""COMPUTED_VALUE"""),682.0)</f>
        <v>682</v>
      </c>
      <c r="B2472" s="85" t="str">
        <f>IFERROR(__xludf.DUMMYFUNCTION("""COMPUTED_VALUE"""),"PICARETA")</f>
        <v>PICARETA</v>
      </c>
      <c r="C2472" s="86">
        <f>IFERROR(__xludf.DUMMYFUNCTION("""COMPUTED_VALUE"""),2.0)</f>
        <v>2</v>
      </c>
      <c r="D2472" s="87" t="str">
        <f>IFERROR(__xludf.DUMMYFUNCTION("""COMPUTED_VALUE"""),"SEÇÃO")</f>
        <v>SEÇÃO</v>
      </c>
      <c r="E2472" s="87" t="str">
        <f>IFERROR(__xludf.DUMMYFUNCTION("""COMPUTED_VALUE"""),"3 - SETOR DE MEIOS")</f>
        <v>3 - SETOR DE MEIOS</v>
      </c>
      <c r="F2472" s="92" t="str">
        <f>IFERROR(__xludf.DUMMYFUNCTION("""COMPUTED_VALUE"""),"SETOR DE MEIOS")</f>
        <v>SETOR DE MEIOS</v>
      </c>
      <c r="G2472" s="89"/>
      <c r="H2472" s="87"/>
      <c r="I2472" s="87"/>
    </row>
    <row r="2473">
      <c r="A2473" s="84">
        <f>IFERROR(__xludf.DUMMYFUNCTION("""COMPUTED_VALUE"""),683.0)</f>
        <v>683</v>
      </c>
      <c r="B2473" s="85" t="str">
        <f>IFERROR(__xludf.DUMMYFUNCTION("""COMPUTED_VALUE"""),"PONTEIRO")</f>
        <v>PONTEIRO</v>
      </c>
      <c r="C2473" s="86">
        <f>IFERROR(__xludf.DUMMYFUNCTION("""COMPUTED_VALUE"""),1.0)</f>
        <v>1</v>
      </c>
      <c r="D2473" s="87" t="str">
        <f>IFERROR(__xludf.DUMMYFUNCTION("""COMPUTED_VALUE"""),"SEÇÃO")</f>
        <v>SEÇÃO</v>
      </c>
      <c r="E2473" s="87" t="str">
        <f>IFERROR(__xludf.DUMMYFUNCTION("""COMPUTED_VALUE"""),"3 - SETOR DE MEIOS")</f>
        <v>3 - SETOR DE MEIOS</v>
      </c>
      <c r="F2473" s="92" t="str">
        <f>IFERROR(__xludf.DUMMYFUNCTION("""COMPUTED_VALUE"""),"SETOR DE MEIOS")</f>
        <v>SETOR DE MEIOS</v>
      </c>
      <c r="G2473" s="89"/>
      <c r="H2473" s="87"/>
      <c r="I2473" s="87"/>
    </row>
    <row r="2474">
      <c r="A2474" s="84">
        <f>IFERROR(__xludf.DUMMYFUNCTION("""COMPUTED_VALUE"""),684.0)</f>
        <v>684</v>
      </c>
      <c r="B2474" s="85" t="str">
        <f>IFERROR(__xludf.DUMMYFUNCTION("""COMPUTED_VALUE"""),"ROUPÃO NÍVEL A ")</f>
        <v>ROUPÃO NÍVEL A </v>
      </c>
      <c r="C2474" s="86">
        <f>IFERROR(__xludf.DUMMYFUNCTION("""COMPUTED_VALUE"""),2.0)</f>
        <v>2</v>
      </c>
      <c r="D2474" s="87" t="str">
        <f>IFERROR(__xludf.DUMMYFUNCTION("""COMPUTED_VALUE"""),"SEÇÃO")</f>
        <v>SEÇÃO</v>
      </c>
      <c r="E2474" s="87" t="str">
        <f>IFERROR(__xludf.DUMMYFUNCTION("""COMPUTED_VALUE"""),"3 - SETOR DE MEIOS")</f>
        <v>3 - SETOR DE MEIOS</v>
      </c>
      <c r="F2474" s="92" t="str">
        <f>IFERROR(__xludf.DUMMYFUNCTION("""COMPUTED_VALUE"""),"SETOR DE MEIOS")</f>
        <v>SETOR DE MEIOS</v>
      </c>
      <c r="G2474" s="89"/>
      <c r="H2474" s="87"/>
      <c r="I2474" s="87" t="str">
        <f>IFERROR(__xludf.DUMMYFUNCTION("""COMPUTED_VALUE"""),"COM BOLSA AZUL")</f>
        <v>COM BOLSA AZUL</v>
      </c>
    </row>
    <row r="2475">
      <c r="A2475" s="84">
        <f>IFERROR(__xludf.DUMMYFUNCTION("""COMPUTED_VALUE"""),685.0)</f>
        <v>685</v>
      </c>
      <c r="B2475" s="85" t="str">
        <f>IFERROR(__xludf.DUMMYFUNCTION("""COMPUTED_VALUE"""),"SEGUETA")</f>
        <v>SEGUETA</v>
      </c>
      <c r="C2475" s="86">
        <f>IFERROR(__xludf.DUMMYFUNCTION("""COMPUTED_VALUE"""),1.0)</f>
        <v>1</v>
      </c>
      <c r="D2475" s="87" t="str">
        <f>IFERROR(__xludf.DUMMYFUNCTION("""COMPUTED_VALUE"""),"SEÇÃO")</f>
        <v>SEÇÃO</v>
      </c>
      <c r="E2475" s="87" t="str">
        <f>IFERROR(__xludf.DUMMYFUNCTION("""COMPUTED_VALUE"""),"3 - SETOR DE MEIOS")</f>
        <v>3 - SETOR DE MEIOS</v>
      </c>
      <c r="F2475" s="92" t="str">
        <f>IFERROR(__xludf.DUMMYFUNCTION("""COMPUTED_VALUE"""),"SETOR DE MEIOS")</f>
        <v>SETOR DE MEIOS</v>
      </c>
      <c r="G2475" s="89"/>
      <c r="H2475" s="87"/>
      <c r="I2475" s="87" t="str">
        <f>IFERROR(__xludf.DUMMYFUNCTION("""COMPUTED_VALUE"""),"COM MAIS UM ARCO DE SERRA COM SERRA")</f>
        <v>COM MAIS UM ARCO DE SERRA COM SERRA</v>
      </c>
    </row>
    <row r="2476">
      <c r="A2476" s="84">
        <f>IFERROR(__xludf.DUMMYFUNCTION("""COMPUTED_VALUE"""),686.0)</f>
        <v>686</v>
      </c>
      <c r="B2476" s="85" t="str">
        <f>IFERROR(__xludf.DUMMYFUNCTION("""COMPUTED_VALUE"""),"SERROTE")</f>
        <v>SERROTE</v>
      </c>
      <c r="C2476" s="86">
        <f>IFERROR(__xludf.DUMMYFUNCTION("""COMPUTED_VALUE"""),1.0)</f>
        <v>1</v>
      </c>
      <c r="D2476" s="87" t="str">
        <f>IFERROR(__xludf.DUMMYFUNCTION("""COMPUTED_VALUE"""),"SEÇÃO")</f>
        <v>SEÇÃO</v>
      </c>
      <c r="E2476" s="87" t="str">
        <f>IFERROR(__xludf.DUMMYFUNCTION("""COMPUTED_VALUE"""),"3 - SETOR DE MEIOS")</f>
        <v>3 - SETOR DE MEIOS</v>
      </c>
      <c r="F2476" s="92" t="str">
        <f>IFERROR(__xludf.DUMMYFUNCTION("""COMPUTED_VALUE"""),"SETOR DE MEIOS")</f>
        <v>SETOR DE MEIOS</v>
      </c>
      <c r="G2476" s="89"/>
      <c r="H2476" s="87"/>
      <c r="I2476" s="87"/>
    </row>
    <row r="2477">
      <c r="A2477" s="84">
        <f>IFERROR(__xludf.DUMMYFUNCTION("""COMPUTED_VALUE"""),687.0)</f>
        <v>687</v>
      </c>
      <c r="B2477" s="85" t="str">
        <f>IFERROR(__xludf.DUMMYFUNCTION("""COMPUTED_VALUE"""),"ESTACAO DE TRABALHO -")</f>
        <v>ESTACAO DE TRABALHO -</v>
      </c>
      <c r="C2477" s="86">
        <f>IFERROR(__xludf.DUMMYFUNCTION("""COMPUTED_VALUE"""),1.0)</f>
        <v>1</v>
      </c>
      <c r="D2477" s="87" t="str">
        <f>IFERROR(__xludf.DUMMYFUNCTION("""COMPUTED_VALUE"""),"SEÇÃO")</f>
        <v>SEÇÃO</v>
      </c>
      <c r="E2477" s="87" t="str">
        <f>IFERROR(__xludf.DUMMYFUNCTION("""COMPUTED_VALUE"""),"3 - SEPLAN")</f>
        <v>3 - SEPLAN</v>
      </c>
      <c r="F2477" s="92"/>
      <c r="G2477" s="89"/>
      <c r="H2477" s="87"/>
      <c r="I2477" s="87"/>
    </row>
    <row r="2478">
      <c r="A2478" s="84">
        <f>IFERROR(__xludf.DUMMYFUNCTION("""COMPUTED_VALUE"""),688.0)</f>
        <v>688</v>
      </c>
      <c r="B2478" s="85" t="str">
        <f>IFERROR(__xludf.DUMMYFUNCTION("""COMPUTED_VALUE"""),"CADEIRA GAMER")</f>
        <v>CADEIRA GAMER</v>
      </c>
      <c r="C2478" s="86">
        <f>IFERROR(__xludf.DUMMYFUNCTION("""COMPUTED_VALUE"""),3.0)</f>
        <v>3</v>
      </c>
      <c r="D2478" s="87" t="str">
        <f>IFERROR(__xludf.DUMMYFUNCTION("""COMPUTED_VALUE"""),"SEÇÃO")</f>
        <v>SEÇÃO</v>
      </c>
      <c r="E2478" s="87" t="str">
        <f>IFERROR(__xludf.DUMMYFUNCTION("""COMPUTED_VALUE"""),"3 - SEPLAN")</f>
        <v>3 - SEPLAN</v>
      </c>
      <c r="F2478" s="92"/>
      <c r="G2478" s="89"/>
      <c r="H2478" s="87"/>
      <c r="I2478" s="87" t="str">
        <f>IFERROR(__xludf.DUMMYFUNCTION("""COMPUTED_VALUE"""),"cadeira gaming marca: MYMAX MXO")</f>
        <v>cadeira gaming marca: MYMAX MXO</v>
      </c>
    </row>
    <row r="2479">
      <c r="A2479" s="84">
        <f>IFERROR(__xludf.DUMMYFUNCTION("""COMPUTED_VALUE"""),689.0)</f>
        <v>689</v>
      </c>
      <c r="B2479" s="85" t="str">
        <f>IFERROR(__xludf.DUMMYFUNCTION("""COMPUTED_VALUE"""),"CADEIRA GAMER")</f>
        <v>CADEIRA GAMER</v>
      </c>
      <c r="C2479" s="86">
        <f>IFERROR(__xludf.DUMMYFUNCTION("""COMPUTED_VALUE"""),1.0)</f>
        <v>1</v>
      </c>
      <c r="D2479" s="87" t="str">
        <f>IFERROR(__xludf.DUMMYFUNCTION("""COMPUTED_VALUE"""),"SEÇÃO")</f>
        <v>SEÇÃO</v>
      </c>
      <c r="E2479" s="87" t="str">
        <f>IFERROR(__xludf.DUMMYFUNCTION("""COMPUTED_VALUE"""),"3 - SEPLAN")</f>
        <v>3 - SEPLAN</v>
      </c>
      <c r="F2479" s="92"/>
      <c r="G2479" s="89"/>
      <c r="H2479" s="87"/>
      <c r="I2479" s="87" t="str">
        <f>IFERROR(__xludf.DUMMYFUNCTION("""COMPUTED_VALUE"""),"cadeira gaming marca: MYMAX MXO")</f>
        <v>cadeira gaming marca: MYMAX MXO</v>
      </c>
    </row>
    <row r="2480">
      <c r="A2480" s="84">
        <f>IFERROR(__xludf.DUMMYFUNCTION("""COMPUTED_VALUE"""),690.0)</f>
        <v>690</v>
      </c>
      <c r="B2480" s="85" t="str">
        <f>IFERROR(__xludf.DUMMYFUNCTION("""COMPUTED_VALUE"""),"IMPRESSORA MULTIFUNCIONAL -")</f>
        <v>IMPRESSORA MULTIFUNCIONAL -</v>
      </c>
      <c r="C2480" s="86">
        <f>IFERROR(__xludf.DUMMYFUNCTION("""COMPUTED_VALUE"""),1.0)</f>
        <v>1</v>
      </c>
      <c r="D2480" s="87" t="str">
        <f>IFERROR(__xludf.DUMMYFUNCTION("""COMPUTED_VALUE"""),"SEÇÃO")</f>
        <v>SEÇÃO</v>
      </c>
      <c r="E2480" s="87" t="str">
        <f>IFERROR(__xludf.DUMMYFUNCTION("""COMPUTED_VALUE"""),"3 - SEPLAN")</f>
        <v>3 - SEPLAN</v>
      </c>
      <c r="F2480" s="92"/>
      <c r="G2480" s="89"/>
      <c r="H2480" s="87"/>
      <c r="I2480" s="87" t="str">
        <f>IFERROR(__xludf.DUMMYFUNCTION("""COMPUTED_VALUE"""),"impressora RICOH SP3710DN (SELB-92YJ)")</f>
        <v>impressora RICOH SP3710DN (SELB-92YJ)</v>
      </c>
    </row>
    <row r="2481">
      <c r="A2481" s="84">
        <f>IFERROR(__xludf.DUMMYFUNCTION("""COMPUTED_VALUE"""),691.0)</f>
        <v>691</v>
      </c>
      <c r="B2481" s="85" t="str">
        <f>IFERROR(__xludf.DUMMYFUNCTION("""COMPUTED_VALUE"""),"CADEIRA DE ESCRITÓRIO")</f>
        <v>CADEIRA DE ESCRITÓRIO</v>
      </c>
      <c r="C2481" s="86">
        <f>IFERROR(__xludf.DUMMYFUNCTION("""COMPUTED_VALUE"""),1.0)</f>
        <v>1</v>
      </c>
      <c r="D2481" s="87" t="str">
        <f>IFERROR(__xludf.DUMMYFUNCTION("""COMPUTED_VALUE"""),"SEÇÃO")</f>
        <v>SEÇÃO</v>
      </c>
      <c r="E2481" s="87" t="str">
        <f>IFERROR(__xludf.DUMMYFUNCTION("""COMPUTED_VALUE"""),"3 - SEPLAN")</f>
        <v>3 - SEPLAN</v>
      </c>
      <c r="F2481" s="92"/>
      <c r="G2481" s="89"/>
      <c r="H2481" s="87"/>
      <c r="I2481" s="87" t="str">
        <f>IFERROR(__xludf.DUMMYFUNCTION("""COMPUTED_VALUE"""),"cadeira de escritório com codinhas")</f>
        <v>cadeira de escritório com codinhas</v>
      </c>
    </row>
    <row r="2482">
      <c r="A2482" s="84">
        <f>IFERROR(__xludf.DUMMYFUNCTION("""COMPUTED_VALUE"""),692.0)</f>
        <v>692</v>
      </c>
      <c r="B2482" s="85" t="str">
        <f>IFERROR(__xludf.DUMMYFUNCTION("""COMPUTED_VALUE"""),"AR CONDICIONADO -")</f>
        <v>AR CONDICIONADO -</v>
      </c>
      <c r="C2482" s="86">
        <f>IFERROR(__xludf.DUMMYFUNCTION("""COMPUTED_VALUE"""),1.0)</f>
        <v>1</v>
      </c>
      <c r="D2482" s="87" t="str">
        <f>IFERROR(__xludf.DUMMYFUNCTION("""COMPUTED_VALUE"""),"SEÇÃO")</f>
        <v>SEÇÃO</v>
      </c>
      <c r="E2482" s="87" t="str">
        <f>IFERROR(__xludf.DUMMYFUNCTION("""COMPUTED_VALUE"""),"3 - SEPLAN")</f>
        <v>3 - SEPLAN</v>
      </c>
      <c r="F2482" s="92"/>
      <c r="G2482" s="89"/>
      <c r="H2482" s="87"/>
      <c r="I2482" s="87" t="str">
        <f>IFERROR(__xludf.DUMMYFUNCTION("""COMPUTED_VALUE"""),"ar condicionado marca springer midea 22 mil btu")</f>
        <v>ar condicionado marca springer midea 22 mil btu</v>
      </c>
    </row>
    <row r="2483">
      <c r="A2483" s="84">
        <f>IFERROR(__xludf.DUMMYFUNCTION("""COMPUTED_VALUE"""),693.0)</f>
        <v>693</v>
      </c>
      <c r="B2483" s="85" t="str">
        <f>IFERROR(__xludf.DUMMYFUNCTION("""COMPUTED_VALUE"""),"BEBEDOURO")</f>
        <v>BEBEDOURO</v>
      </c>
      <c r="C2483" s="86">
        <f>IFERROR(__xludf.DUMMYFUNCTION("""COMPUTED_VALUE"""),1.0)</f>
        <v>1</v>
      </c>
      <c r="D2483" s="87" t="str">
        <f>IFERROR(__xludf.DUMMYFUNCTION("""COMPUTED_VALUE"""),"SEÇÃO")</f>
        <v>SEÇÃO</v>
      </c>
      <c r="E2483" s="87" t="str">
        <f>IFERROR(__xludf.DUMMYFUNCTION("""COMPUTED_VALUE"""),"3 - SEPLAN")</f>
        <v>3 - SEPLAN</v>
      </c>
      <c r="F2483" s="92"/>
      <c r="G2483" s="89"/>
      <c r="H2483" s="87" t="str">
        <f>IFERROR(__xludf.DUMMYFUNCTION("""COMPUTED_VALUE"""),"mod. CJK40ABVNA")</f>
        <v>mod. CJK40ABVNA</v>
      </c>
      <c r="I2483" s="87" t="str">
        <f>IFERROR(__xludf.DUMMYFUNCTION("""COMPUTED_VALUE"""),"bebedour marca: Consul ")</f>
        <v>bebedour marca: Consul </v>
      </c>
    </row>
    <row r="2484">
      <c r="A2484" s="84">
        <f>IFERROR(__xludf.DUMMYFUNCTION("""COMPUTED_VALUE"""),694.0)</f>
        <v>694</v>
      </c>
      <c r="B2484" s="85" t="str">
        <f>IFERROR(__xludf.DUMMYFUNCTION("""COMPUTED_VALUE"""),"TELEFONE")</f>
        <v>TELEFONE</v>
      </c>
      <c r="C2484" s="86">
        <f>IFERROR(__xludf.DUMMYFUNCTION("""COMPUTED_VALUE"""),4.0)</f>
        <v>4</v>
      </c>
      <c r="D2484" s="87" t="str">
        <f>IFERROR(__xludf.DUMMYFUNCTION("""COMPUTED_VALUE"""),"SEÇÃO")</f>
        <v>SEÇÃO</v>
      </c>
      <c r="E2484" s="87" t="str">
        <f>IFERROR(__xludf.DUMMYFUNCTION("""COMPUTED_VALUE"""),"3 - SOU")</f>
        <v>3 - SOU</v>
      </c>
      <c r="F2484" s="92" t="str">
        <f>IFERROR(__xludf.DUMMYFUNCTION("""COMPUTED_VALUE"""),"RÁDIO OPERADOR")</f>
        <v>RÁDIO OPERADOR</v>
      </c>
      <c r="G2484" s="89">
        <f>IFERROR(__xludf.DUMMYFUNCTION("""COMPUTED_VALUE"""),45532.0)</f>
        <v>45532</v>
      </c>
      <c r="H2484" s="87"/>
      <c r="I2484" s="87"/>
    </row>
    <row r="2485">
      <c r="A2485" s="84">
        <f>IFERROR(__xludf.DUMMYFUNCTION("""COMPUTED_VALUE"""),695.0)</f>
        <v>695</v>
      </c>
      <c r="B2485" s="85" t="str">
        <f>IFERROR(__xludf.DUMMYFUNCTION("""COMPUTED_VALUE"""),"MUNICAO PARA ARMAS (USO REAL) -")</f>
        <v>MUNICAO PARA ARMAS (USO REAL) -</v>
      </c>
      <c r="C2485" s="86">
        <f>IFERROR(__xludf.DUMMYFUNCTION("""COMPUTED_VALUE"""),12.0)</f>
        <v>12</v>
      </c>
      <c r="D2485" s="87" t="str">
        <f>IFERROR(__xludf.DUMMYFUNCTION("""COMPUTED_VALUE"""),"SEÇÃO")</f>
        <v>SEÇÃO</v>
      </c>
      <c r="E2485" s="87" t="str">
        <f>IFERROR(__xludf.DUMMYFUNCTION("""COMPUTED_VALUE"""),"3 - SOU")</f>
        <v>3 - SOU</v>
      </c>
      <c r="F2485" s="92" t="str">
        <f>IFERROR(__xludf.DUMMYFUNCTION("""COMPUTED_VALUE"""),"RÁDIO OPERADOR")</f>
        <v>RÁDIO OPERADOR</v>
      </c>
      <c r="G2485" s="89">
        <f>IFERROR(__xludf.DUMMYFUNCTION("""COMPUTED_VALUE"""),45532.0)</f>
        <v>45532</v>
      </c>
      <c r="H2485" s="87"/>
      <c r="I2485" s="87"/>
    </row>
    <row r="2486">
      <c r="A2486" s="84">
        <f>IFERROR(__xludf.DUMMYFUNCTION("""COMPUTED_VALUE"""),696.0)</f>
        <v>696</v>
      </c>
      <c r="B2486" s="85" t="str">
        <f>IFERROR(__xludf.DUMMYFUNCTION("""COMPUTED_VALUE"""),"COLDRE DE COURO")</f>
        <v>COLDRE DE COURO</v>
      </c>
      <c r="C2486" s="86">
        <f>IFERROR(__xludf.DUMMYFUNCTION("""COMPUTED_VALUE"""),2.0)</f>
        <v>2</v>
      </c>
      <c r="D2486" s="87" t="str">
        <f>IFERROR(__xludf.DUMMYFUNCTION("""COMPUTED_VALUE"""),"SEÇÃO")</f>
        <v>SEÇÃO</v>
      </c>
      <c r="E2486" s="87" t="str">
        <f>IFERROR(__xludf.DUMMYFUNCTION("""COMPUTED_VALUE"""),"3 - SOU")</f>
        <v>3 - SOU</v>
      </c>
      <c r="F2486" s="92" t="str">
        <f>IFERROR(__xludf.DUMMYFUNCTION("""COMPUTED_VALUE"""),"RÁDIO OPERADOR")</f>
        <v>RÁDIO OPERADOR</v>
      </c>
      <c r="G2486" s="89">
        <f>IFERROR(__xludf.DUMMYFUNCTION("""COMPUTED_VALUE"""),45532.0)</f>
        <v>45532</v>
      </c>
      <c r="H2486" s="87"/>
      <c r="I2486" s="87"/>
    </row>
    <row r="2487">
      <c r="A2487" s="84">
        <f>IFERROR(__xludf.DUMMYFUNCTION("""COMPUTED_VALUE"""),697.0)</f>
        <v>697</v>
      </c>
      <c r="B2487" s="85" t="str">
        <f>IFERROR(__xludf.DUMMYFUNCTION("""COMPUTED_VALUE"""),"CARREGADOR PARA HT DIGITAL")</f>
        <v>CARREGADOR PARA HT DIGITAL</v>
      </c>
      <c r="C2487" s="86">
        <f>IFERROR(__xludf.DUMMYFUNCTION("""COMPUTED_VALUE"""),2.0)</f>
        <v>2</v>
      </c>
      <c r="D2487" s="87" t="str">
        <f>IFERROR(__xludf.DUMMYFUNCTION("""COMPUTED_VALUE"""),"SEÇÃO")</f>
        <v>SEÇÃO</v>
      </c>
      <c r="E2487" s="87" t="str">
        <f>IFERROR(__xludf.DUMMYFUNCTION("""COMPUTED_VALUE"""),"3 - SOU")</f>
        <v>3 - SOU</v>
      </c>
      <c r="F2487" s="92" t="str">
        <f>IFERROR(__xludf.DUMMYFUNCTION("""COMPUTED_VALUE"""),"SALA DE REDS")</f>
        <v>SALA DE REDS</v>
      </c>
      <c r="G2487" s="89">
        <f>IFERROR(__xludf.DUMMYFUNCTION("""COMPUTED_VALUE"""),45532.0)</f>
        <v>45532</v>
      </c>
      <c r="H2487" s="87"/>
      <c r="I2487" s="87"/>
    </row>
    <row r="2488">
      <c r="A2488" s="84">
        <f>IFERROR(__xludf.DUMMYFUNCTION("""COMPUTED_VALUE"""),698.0)</f>
        <v>698</v>
      </c>
      <c r="B2488" s="85" t="str">
        <f>IFERROR(__xludf.DUMMYFUNCTION("""COMPUTED_VALUE"""),"CARREGADOR PARA FERRAMENTA HOLMATRO ")</f>
        <v>CARREGADOR PARA FERRAMENTA HOLMATRO </v>
      </c>
      <c r="C2488" s="86">
        <f>IFERROR(__xludf.DUMMYFUNCTION("""COMPUTED_VALUE"""),1.0)</f>
        <v>1</v>
      </c>
      <c r="D2488" s="87" t="str">
        <f>IFERROR(__xludf.DUMMYFUNCTION("""COMPUTED_VALUE"""),"SEÇÃO")</f>
        <v>SEÇÃO</v>
      </c>
      <c r="E2488" s="87" t="str">
        <f>IFERROR(__xludf.DUMMYFUNCTION("""COMPUTED_VALUE"""),"3 - SOU")</f>
        <v>3 - SOU</v>
      </c>
      <c r="F2488" s="92" t="str">
        <f>IFERROR(__xludf.DUMMYFUNCTION("""COMPUTED_VALUE"""),"SALA DE REDS")</f>
        <v>SALA DE REDS</v>
      </c>
      <c r="G2488" s="89">
        <f>IFERROR(__xludf.DUMMYFUNCTION("""COMPUTED_VALUE"""),45723.0)</f>
        <v>45723</v>
      </c>
      <c r="H2488" s="87"/>
      <c r="I2488" s="87" t="str">
        <f>IFERROR(__xludf.DUMMYFUNCTION("""COMPUTED_VALUE"""),"EVO 3")</f>
        <v>EVO 3</v>
      </c>
    </row>
    <row r="2489">
      <c r="A2489" s="84">
        <f>IFERROR(__xludf.DUMMYFUNCTION("""COMPUTED_VALUE"""),699.0)</f>
        <v>699</v>
      </c>
      <c r="B2489" s="85" t="str">
        <f>IFERROR(__xludf.DUMMYFUNCTION("""COMPUTED_VALUE"""),"ARMÁRIO ESCANINHO COM DUAS GAVETAS (MADEIRA)")</f>
        <v>ARMÁRIO ESCANINHO COM DUAS GAVETAS (MADEIRA)</v>
      </c>
      <c r="C2489" s="86">
        <f>IFERROR(__xludf.DUMMYFUNCTION("""COMPUTED_VALUE"""),1.0)</f>
        <v>1</v>
      </c>
      <c r="D2489" s="87" t="str">
        <f>IFERROR(__xludf.DUMMYFUNCTION("""COMPUTED_VALUE"""),"SEÇÃO")</f>
        <v>SEÇÃO</v>
      </c>
      <c r="E2489" s="87" t="str">
        <f>IFERROR(__xludf.DUMMYFUNCTION("""COMPUTED_VALUE"""),"3 - SOU")</f>
        <v>3 - SOU</v>
      </c>
      <c r="F2489" s="92" t="str">
        <f>IFERROR(__xludf.DUMMYFUNCTION("""COMPUTED_VALUE"""),"SALA DE REDS")</f>
        <v>SALA DE REDS</v>
      </c>
      <c r="G2489" s="89">
        <f>IFERROR(__xludf.DUMMYFUNCTION("""COMPUTED_VALUE"""),45533.0)</f>
        <v>45533</v>
      </c>
      <c r="H2489" s="87"/>
      <c r="I2489" s="87"/>
    </row>
    <row r="2490">
      <c r="A2490" s="84">
        <f>IFERROR(__xludf.DUMMYFUNCTION("""COMPUTED_VALUE"""),700.0)</f>
        <v>700</v>
      </c>
      <c r="B2490" s="85" t="str">
        <f>IFERROR(__xludf.DUMMYFUNCTION("""COMPUTED_VALUE"""),"CARREGADOR LUZ DE CENA")</f>
        <v>CARREGADOR LUZ DE CENA</v>
      </c>
      <c r="C2490" s="86">
        <f>IFERROR(__xludf.DUMMYFUNCTION("""COMPUTED_VALUE"""),1.0)</f>
        <v>1</v>
      </c>
      <c r="D2490" s="87" t="str">
        <f>IFERROR(__xludf.DUMMYFUNCTION("""COMPUTED_VALUE"""),"SEÇÃO")</f>
        <v>SEÇÃO</v>
      </c>
      <c r="E2490" s="87" t="str">
        <f>IFERROR(__xludf.DUMMYFUNCTION("""COMPUTED_VALUE"""),"3 - SOU")</f>
        <v>3 - SOU</v>
      </c>
      <c r="F2490" s="92" t="str">
        <f>IFERROR(__xludf.DUMMYFUNCTION("""COMPUTED_VALUE"""),"SALA DE REDS")</f>
        <v>SALA DE REDS</v>
      </c>
      <c r="G2490" s="89">
        <f>IFERROR(__xludf.DUMMYFUNCTION("""COMPUTED_VALUE"""),45579.0)</f>
        <v>45579</v>
      </c>
      <c r="H2490" s="87"/>
      <c r="I2490" s="87"/>
    </row>
    <row r="2491">
      <c r="A2491" s="84">
        <f>IFERROR(__xludf.DUMMYFUNCTION("""COMPUTED_VALUE"""),701.0)</f>
        <v>701</v>
      </c>
      <c r="B2491" s="85" t="str">
        <f>IFERROR(__xludf.DUMMYFUNCTION("""COMPUTED_VALUE"""),"CARREGADOR LANTERNA")</f>
        <v>CARREGADOR LANTERNA</v>
      </c>
      <c r="C2491" s="86">
        <f>IFERROR(__xludf.DUMMYFUNCTION("""COMPUTED_VALUE"""),1.0)</f>
        <v>1</v>
      </c>
      <c r="D2491" s="87" t="str">
        <f>IFERROR(__xludf.DUMMYFUNCTION("""COMPUTED_VALUE"""),"SEÇÃO")</f>
        <v>SEÇÃO</v>
      </c>
      <c r="E2491" s="87" t="str">
        <f>IFERROR(__xludf.DUMMYFUNCTION("""COMPUTED_VALUE"""),"3 - SOU")</f>
        <v>3 - SOU</v>
      </c>
      <c r="F2491" s="92"/>
      <c r="G2491" s="89">
        <f>IFERROR(__xludf.DUMMYFUNCTION("""COMPUTED_VALUE"""),45680.0)</f>
        <v>45680</v>
      </c>
      <c r="H2491" s="87"/>
      <c r="I2491" s="87"/>
    </row>
    <row r="2492">
      <c r="A2492" s="84">
        <f>IFERROR(__xludf.DUMMYFUNCTION("""COMPUTED_VALUE"""),702.0)</f>
        <v>702</v>
      </c>
      <c r="B2492" s="85" t="str">
        <f>IFERROR(__xludf.DUMMYFUNCTION("""COMPUTED_VALUE"""),"ARMÁRIO ESCANINHO DE METAL")</f>
        <v>ARMÁRIO ESCANINHO DE METAL</v>
      </c>
      <c r="C2492" s="86">
        <f>IFERROR(__xludf.DUMMYFUNCTION("""COMPUTED_VALUE"""),1.0)</f>
        <v>1</v>
      </c>
      <c r="D2492" s="87" t="str">
        <f>IFERROR(__xludf.DUMMYFUNCTION("""COMPUTED_VALUE"""),"SEÇÃO")</f>
        <v>SEÇÃO</v>
      </c>
      <c r="E2492" s="87" t="str">
        <f>IFERROR(__xludf.DUMMYFUNCTION("""COMPUTED_VALUE"""),"3 - SOU")</f>
        <v>3 - SOU</v>
      </c>
      <c r="F2492" s="92" t="str">
        <f>IFERROR(__xludf.DUMMYFUNCTION("""COMPUTED_VALUE"""),"SALA DE REDS")</f>
        <v>SALA DE REDS</v>
      </c>
      <c r="G2492" s="89">
        <f>IFERROR(__xludf.DUMMYFUNCTION("""COMPUTED_VALUE"""),45533.0)</f>
        <v>45533</v>
      </c>
      <c r="H2492" s="87"/>
      <c r="I2492" s="87"/>
    </row>
    <row r="2493">
      <c r="A2493" s="84">
        <f>IFERROR(__xludf.DUMMYFUNCTION("""COMPUTED_VALUE"""),703.0)</f>
        <v>703</v>
      </c>
      <c r="B2493" s="85" t="str">
        <f>IFERROR(__xludf.DUMMYFUNCTION("""COMPUTED_VALUE"""),"BANDEIRA DO BRASIL ")</f>
        <v>BANDEIRA DO BRASIL </v>
      </c>
      <c r="C2493" s="86">
        <f>IFERROR(__xludf.DUMMYFUNCTION("""COMPUTED_VALUE"""),2.0)</f>
        <v>2</v>
      </c>
      <c r="D2493" s="87" t="str">
        <f>IFERROR(__xludf.DUMMYFUNCTION("""COMPUTED_VALUE"""),"SEÇÃO")</f>
        <v>SEÇÃO</v>
      </c>
      <c r="E2493" s="87" t="str">
        <f>IFERROR(__xludf.DUMMYFUNCTION("""COMPUTED_VALUE"""),"3 - SOU")</f>
        <v>3 - SOU</v>
      </c>
      <c r="F2493" s="92" t="str">
        <f>IFERROR(__xludf.DUMMYFUNCTION("""COMPUTED_VALUE"""),"SALA DE REDS")</f>
        <v>SALA DE REDS</v>
      </c>
      <c r="G2493" s="89">
        <f>IFERROR(__xludf.DUMMYFUNCTION("""COMPUTED_VALUE"""),45533.0)</f>
        <v>45533</v>
      </c>
      <c r="H2493" s="87"/>
      <c r="I2493" s="87"/>
    </row>
    <row r="2494">
      <c r="A2494" s="84">
        <f>IFERROR(__xludf.DUMMYFUNCTION("""COMPUTED_VALUE"""),704.0)</f>
        <v>704</v>
      </c>
      <c r="B2494" s="85" t="str">
        <f>IFERROR(__xludf.DUMMYFUNCTION("""COMPUTED_VALUE"""),"BANDEIRA DE MINAS GERAIS ")</f>
        <v>BANDEIRA DE MINAS GERAIS </v>
      </c>
      <c r="C2494" s="86">
        <f>IFERROR(__xludf.DUMMYFUNCTION("""COMPUTED_VALUE"""),2.0)</f>
        <v>2</v>
      </c>
      <c r="D2494" s="87" t="str">
        <f>IFERROR(__xludf.DUMMYFUNCTION("""COMPUTED_VALUE"""),"SEÇÃO")</f>
        <v>SEÇÃO</v>
      </c>
      <c r="E2494" s="87" t="str">
        <f>IFERROR(__xludf.DUMMYFUNCTION("""COMPUTED_VALUE"""),"3 - SOU")</f>
        <v>3 - SOU</v>
      </c>
      <c r="F2494" s="92" t="str">
        <f>IFERROR(__xludf.DUMMYFUNCTION("""COMPUTED_VALUE"""),"SALA DE REDS")</f>
        <v>SALA DE REDS</v>
      </c>
      <c r="G2494" s="89">
        <f>IFERROR(__xludf.DUMMYFUNCTION("""COMPUTED_VALUE"""),45533.0)</f>
        <v>45533</v>
      </c>
      <c r="H2494" s="87"/>
      <c r="I2494" s="87"/>
    </row>
    <row r="2495">
      <c r="A2495" s="84">
        <f>IFERROR(__xludf.DUMMYFUNCTION("""COMPUTED_VALUE"""),705.0)</f>
        <v>705</v>
      </c>
      <c r="B2495" s="85" t="str">
        <f>IFERROR(__xludf.DUMMYFUNCTION("""COMPUTED_VALUE"""),"BANDEIRA DO COMANDANTE")</f>
        <v>BANDEIRA DO COMANDANTE</v>
      </c>
      <c r="C2495" s="86">
        <f>IFERROR(__xludf.DUMMYFUNCTION("""COMPUTED_VALUE"""),1.0)</f>
        <v>1</v>
      </c>
      <c r="D2495" s="87" t="str">
        <f>IFERROR(__xludf.DUMMYFUNCTION("""COMPUTED_VALUE"""),"SEÇÃO")</f>
        <v>SEÇÃO</v>
      </c>
      <c r="E2495" s="87" t="str">
        <f>IFERROR(__xludf.DUMMYFUNCTION("""COMPUTED_VALUE"""),"3 - SOU")</f>
        <v>3 - SOU</v>
      </c>
      <c r="F2495" s="92" t="str">
        <f>IFERROR(__xludf.DUMMYFUNCTION("""COMPUTED_VALUE"""),"RÁDIO OPERADOR")</f>
        <v>RÁDIO OPERADOR</v>
      </c>
      <c r="G2495" s="89">
        <f>IFERROR(__xludf.DUMMYFUNCTION("""COMPUTED_VALUE"""),45558.0)</f>
        <v>45558</v>
      </c>
      <c r="H2495" s="87"/>
      <c r="I2495" s="87" t="str">
        <f>IFERROR(__xludf.DUMMYFUNCTION("""COMPUTED_VALUE"""),"ENCONTRAM-SE NO MASTRO DAS BANDEIRAS")</f>
        <v>ENCONTRAM-SE NO MASTRO DAS BANDEIRAS</v>
      </c>
    </row>
    <row r="2496">
      <c r="A2496" s="84">
        <f>IFERROR(__xludf.DUMMYFUNCTION("""COMPUTED_VALUE"""),706.0)</f>
        <v>706</v>
      </c>
      <c r="B2496" s="85" t="str">
        <f>IFERROR(__xludf.DUMMYFUNCTION("""COMPUTED_VALUE"""),"COLETE ANTIBALISTICO PARA USO POLICIAL -")</f>
        <v>COLETE ANTIBALISTICO PARA USO POLICIAL -</v>
      </c>
      <c r="C2496" s="86">
        <f>IFERROR(__xludf.DUMMYFUNCTION("""COMPUTED_VALUE"""),3.0)</f>
        <v>3</v>
      </c>
      <c r="D2496" s="87" t="str">
        <f>IFERROR(__xludf.DUMMYFUNCTION("""COMPUTED_VALUE"""),"SEÇÃO")</f>
        <v>SEÇÃO</v>
      </c>
      <c r="E2496" s="87" t="str">
        <f>IFERROR(__xludf.DUMMYFUNCTION("""COMPUTED_VALUE"""),"3 - SOU")</f>
        <v>3 - SOU</v>
      </c>
      <c r="F2496" s="92" t="str">
        <f>IFERROR(__xludf.DUMMYFUNCTION("""COMPUTED_VALUE"""),"RÁDIO OPERADOR")</f>
        <v>RÁDIO OPERADOR</v>
      </c>
      <c r="G2496" s="89">
        <f>IFERROR(__xludf.DUMMYFUNCTION("""COMPUTED_VALUE"""),45533.0)</f>
        <v>45533</v>
      </c>
      <c r="H2496" s="87"/>
      <c r="I2496" s="87"/>
    </row>
    <row r="2497">
      <c r="A2497" s="84">
        <f>IFERROR(__xludf.DUMMYFUNCTION("""COMPUTED_VALUE"""),707.0)</f>
        <v>707</v>
      </c>
      <c r="B2497" s="85" t="str">
        <f>IFERROR(__xludf.DUMMYFUNCTION("""COMPUTED_VALUE"""),"CADEADO HASTE LONGA COM DUAS CHAVES")</f>
        <v>CADEADO HASTE LONGA COM DUAS CHAVES</v>
      </c>
      <c r="C2497" s="86">
        <f>IFERROR(__xludf.DUMMYFUNCTION("""COMPUTED_VALUE"""),2.0)</f>
        <v>2</v>
      </c>
      <c r="D2497" s="87" t="str">
        <f>IFERROR(__xludf.DUMMYFUNCTION("""COMPUTED_VALUE"""),"SEÇÃO")</f>
        <v>SEÇÃO</v>
      </c>
      <c r="E2497" s="87" t="str">
        <f>IFERROR(__xludf.DUMMYFUNCTION("""COMPUTED_VALUE"""),"3 - SOU")</f>
        <v>3 - SOU</v>
      </c>
      <c r="F2497" s="92" t="str">
        <f>IFERROR(__xludf.DUMMYFUNCTION("""COMPUTED_VALUE"""),"RÁDIO OPERADOR")</f>
        <v>RÁDIO OPERADOR</v>
      </c>
      <c r="G2497" s="89">
        <f>IFERROR(__xludf.DUMMYFUNCTION("""COMPUTED_VALUE"""),45533.0)</f>
        <v>45533</v>
      </c>
      <c r="H2497" s="87"/>
      <c r="I2497" s="87"/>
    </row>
    <row r="2498">
      <c r="A2498" s="84">
        <f>IFERROR(__xludf.DUMMYFUNCTION("""COMPUTED_VALUE"""),708.0)</f>
        <v>708</v>
      </c>
      <c r="B2498" s="85" t="str">
        <f>IFERROR(__xludf.DUMMYFUNCTION("""COMPUTED_VALUE"""),"CADEADO HASTE CURTA COM DUAS CHAVES")</f>
        <v>CADEADO HASTE CURTA COM DUAS CHAVES</v>
      </c>
      <c r="C2498" s="86">
        <f>IFERROR(__xludf.DUMMYFUNCTION("""COMPUTED_VALUE"""),1.0)</f>
        <v>1</v>
      </c>
      <c r="D2498" s="87" t="str">
        <f>IFERROR(__xludf.DUMMYFUNCTION("""COMPUTED_VALUE"""),"SEÇÃO")</f>
        <v>SEÇÃO</v>
      </c>
      <c r="E2498" s="87" t="str">
        <f>IFERROR(__xludf.DUMMYFUNCTION("""COMPUTED_VALUE"""),"3 - SOU")</f>
        <v>3 - SOU</v>
      </c>
      <c r="F2498" s="92" t="str">
        <f>IFERROR(__xludf.DUMMYFUNCTION("""COMPUTED_VALUE"""),"RÁDIO OPERADOR")</f>
        <v>RÁDIO OPERADOR</v>
      </c>
      <c r="G2498" s="89">
        <f>IFERROR(__xludf.DUMMYFUNCTION("""COMPUTED_VALUE"""),45533.0)</f>
        <v>45533</v>
      </c>
      <c r="H2498" s="87"/>
      <c r="I2498" s="87"/>
    </row>
    <row r="2499">
      <c r="A2499" s="84">
        <f>IFERROR(__xludf.DUMMYFUNCTION("""COMPUTED_VALUE"""),709.0)</f>
        <v>709</v>
      </c>
      <c r="B2499" s="85" t="str">
        <f>IFERROR(__xludf.DUMMYFUNCTION("""COMPUTED_VALUE"""),"CADEADO 25MM ")</f>
        <v>CADEADO 25MM </v>
      </c>
      <c r="C2499" s="86">
        <f>IFERROR(__xludf.DUMMYFUNCTION("""COMPUTED_VALUE"""),1.0)</f>
        <v>1</v>
      </c>
      <c r="D2499" s="87" t="str">
        <f>IFERROR(__xludf.DUMMYFUNCTION("""COMPUTED_VALUE"""),"SEÇÃO")</f>
        <v>SEÇÃO</v>
      </c>
      <c r="E2499" s="87" t="str">
        <f>IFERROR(__xludf.DUMMYFUNCTION("""COMPUTED_VALUE"""),"3 - SOU")</f>
        <v>3 - SOU</v>
      </c>
      <c r="F2499" s="92" t="str">
        <f>IFERROR(__xludf.DUMMYFUNCTION("""COMPUTED_VALUE"""),"RÁDIO OPERADOR")</f>
        <v>RÁDIO OPERADOR</v>
      </c>
      <c r="G2499" s="89">
        <f>IFERROR(__xludf.DUMMYFUNCTION("""COMPUTED_VALUE"""),45558.0)</f>
        <v>45558</v>
      </c>
      <c r="H2499" s="87"/>
      <c r="I2499" s="87"/>
    </row>
    <row r="2500">
      <c r="A2500" s="84">
        <f>IFERROR(__xludf.DUMMYFUNCTION("""COMPUTED_VALUE"""),710.0)</f>
        <v>710</v>
      </c>
      <c r="B2500" s="85" t="str">
        <f>IFERROR(__xludf.DUMMYFUNCTION("""COMPUTED_VALUE"""),"CORRENTE DE FERRO GALVANIZADO")</f>
        <v>CORRENTE DE FERRO GALVANIZADO</v>
      </c>
      <c r="C2500" s="86">
        <f>IFERROR(__xludf.DUMMYFUNCTION("""COMPUTED_VALUE"""),1.0)</f>
        <v>1</v>
      </c>
      <c r="D2500" s="87" t="str">
        <f>IFERROR(__xludf.DUMMYFUNCTION("""COMPUTED_VALUE"""),"SEÇÃO")</f>
        <v>SEÇÃO</v>
      </c>
      <c r="E2500" s="87" t="str">
        <f>IFERROR(__xludf.DUMMYFUNCTION("""COMPUTED_VALUE"""),"3 - SOU")</f>
        <v>3 - SOU</v>
      </c>
      <c r="F2500" s="92" t="str">
        <f>IFERROR(__xludf.DUMMYFUNCTION("""COMPUTED_VALUE"""),"RÁDIO OPERADOR")</f>
        <v>RÁDIO OPERADOR</v>
      </c>
      <c r="G2500" s="89">
        <f>IFERROR(__xludf.DUMMYFUNCTION("""COMPUTED_VALUE"""),45533.0)</f>
        <v>45533</v>
      </c>
      <c r="H2500" s="87"/>
      <c r="I2500" s="87"/>
    </row>
    <row r="2501">
      <c r="A2501" s="84">
        <f>IFERROR(__xludf.DUMMYFUNCTION("""COMPUTED_VALUE"""),711.0)</f>
        <v>711</v>
      </c>
      <c r="B2501" s="85" t="str">
        <f>IFERROR(__xludf.DUMMYFUNCTION("""COMPUTED_VALUE"""),"CELOTEX")</f>
        <v>CELOTEX</v>
      </c>
      <c r="C2501" s="86">
        <f>IFERROR(__xludf.DUMMYFUNCTION("""COMPUTED_VALUE"""),1.0)</f>
        <v>1</v>
      </c>
      <c r="D2501" s="87" t="str">
        <f>IFERROR(__xludf.DUMMYFUNCTION("""COMPUTED_VALUE"""),"SEÇÃO")</f>
        <v>SEÇÃO</v>
      </c>
      <c r="E2501" s="87" t="str">
        <f>IFERROR(__xludf.DUMMYFUNCTION("""COMPUTED_VALUE"""),"3 - SOU")</f>
        <v>3 - SOU</v>
      </c>
      <c r="F2501" s="92" t="str">
        <f>IFERROR(__xludf.DUMMYFUNCTION("""COMPUTED_VALUE"""),"RÁDIO OPERADOR")</f>
        <v>RÁDIO OPERADOR</v>
      </c>
      <c r="G2501" s="89">
        <f>IFERROR(__xludf.DUMMYFUNCTION("""COMPUTED_VALUE"""),45533.0)</f>
        <v>45533</v>
      </c>
      <c r="H2501" s="87"/>
      <c r="I2501" s="87"/>
    </row>
    <row r="2502">
      <c r="A2502" s="84">
        <f>IFERROR(__xludf.DUMMYFUNCTION("""COMPUTED_VALUE"""),712.0)</f>
        <v>712</v>
      </c>
      <c r="B2502" s="85" t="str">
        <f>IFERROR(__xludf.DUMMYFUNCTION("""COMPUTED_VALUE"""),"MINI MOSQUETÃO")</f>
        <v>MINI MOSQUETÃO</v>
      </c>
      <c r="C2502" s="86">
        <f>IFERROR(__xludf.DUMMYFUNCTION("""COMPUTED_VALUE"""),6.0)</f>
        <v>6</v>
      </c>
      <c r="D2502" s="87" t="str">
        <f>IFERROR(__xludf.DUMMYFUNCTION("""COMPUTED_VALUE"""),"SEÇÃO")</f>
        <v>SEÇÃO</v>
      </c>
      <c r="E2502" s="87" t="str">
        <f>IFERROR(__xludf.DUMMYFUNCTION("""COMPUTED_VALUE"""),"3 - SOU")</f>
        <v>3 - SOU</v>
      </c>
      <c r="F2502" s="92" t="str">
        <f>IFERROR(__xludf.DUMMYFUNCTION("""COMPUTED_VALUE"""),"RÁDIO OPERADOR")</f>
        <v>RÁDIO OPERADOR</v>
      </c>
      <c r="G2502" s="89">
        <f>IFERROR(__xludf.DUMMYFUNCTION("""COMPUTED_VALUE"""),45533.0)</f>
        <v>45533</v>
      </c>
      <c r="H2502" s="87"/>
      <c r="I2502" s="87" t="str">
        <f>IFERROR(__xludf.DUMMYFUNCTION("""COMPUTED_VALUE"""),"ENCONTRAM-SE NO MASTRO DAS BANDEIRAS")</f>
        <v>ENCONTRAM-SE NO MASTRO DAS BANDEIRAS</v>
      </c>
    </row>
    <row r="2503">
      <c r="A2503" s="84">
        <f>IFERROR(__xludf.DUMMYFUNCTION("""COMPUTED_VALUE"""),713.0)</f>
        <v>713</v>
      </c>
      <c r="B2503" s="85" t="str">
        <f>IFERROR(__xludf.DUMMYFUNCTION("""COMPUTED_VALUE"""),"CASSETETE DE MADEIRA")</f>
        <v>CASSETETE DE MADEIRA</v>
      </c>
      <c r="C2503" s="86">
        <f>IFERROR(__xludf.DUMMYFUNCTION("""COMPUTED_VALUE"""),1.0)</f>
        <v>1</v>
      </c>
      <c r="D2503" s="87" t="str">
        <f>IFERROR(__xludf.DUMMYFUNCTION("""COMPUTED_VALUE"""),"SEÇÃO")</f>
        <v>SEÇÃO</v>
      </c>
      <c r="E2503" s="87" t="str">
        <f>IFERROR(__xludf.DUMMYFUNCTION("""COMPUTED_VALUE"""),"3 - SOU")</f>
        <v>3 - SOU</v>
      </c>
      <c r="F2503" s="92" t="str">
        <f>IFERROR(__xludf.DUMMYFUNCTION("""COMPUTED_VALUE"""),"RÁDIO OPERADOR")</f>
        <v>RÁDIO OPERADOR</v>
      </c>
      <c r="G2503" s="89">
        <f>IFERROR(__xludf.DUMMYFUNCTION("""COMPUTED_VALUE"""),45561.0)</f>
        <v>45561</v>
      </c>
      <c r="H2503" s="87"/>
      <c r="I2503" s="87"/>
    </row>
    <row r="2504">
      <c r="A2504" s="84">
        <f>IFERROR(__xludf.DUMMYFUNCTION("""COMPUTED_VALUE"""),714.0)</f>
        <v>714</v>
      </c>
      <c r="B2504" s="85" t="str">
        <f>IFERROR(__xludf.DUMMYFUNCTION("""COMPUTED_VALUE"""),"ABAFADOR DE PROTEÇAO AUDITIVA")</f>
        <v>ABAFADOR DE PROTEÇAO AUDITIVA</v>
      </c>
      <c r="C2504" s="86">
        <f>IFERROR(__xludf.DUMMYFUNCTION("""COMPUTED_VALUE"""),2.0)</f>
        <v>2</v>
      </c>
      <c r="D2504" s="87" t="str">
        <f>IFERROR(__xludf.DUMMYFUNCTION("""COMPUTED_VALUE"""),"SEÇÃO")</f>
        <v>SEÇÃO</v>
      </c>
      <c r="E2504" s="87" t="str">
        <f>IFERROR(__xludf.DUMMYFUNCTION("""COMPUTED_VALUE"""),"3 - SOU")</f>
        <v>3 - SOU</v>
      </c>
      <c r="F2504" s="92" t="str">
        <f>IFERROR(__xludf.DUMMYFUNCTION("""COMPUTED_VALUE"""),"RÁDIO OPERADOR")</f>
        <v>RÁDIO OPERADOR</v>
      </c>
      <c r="G2504" s="89">
        <f>IFERROR(__xludf.DUMMYFUNCTION("""COMPUTED_VALUE"""),45596.0)</f>
        <v>45596</v>
      </c>
      <c r="H2504" s="87"/>
      <c r="I2504" s="87"/>
    </row>
    <row r="2505">
      <c r="A2505" s="84">
        <f>IFERROR(__xludf.DUMMYFUNCTION("""COMPUTED_VALUE"""),715.0)</f>
        <v>715</v>
      </c>
      <c r="B2505" s="85" t="str">
        <f>IFERROR(__xludf.DUMMYFUNCTION("""COMPUTED_VALUE"""),"LIVRO PARA ACAUTELAMENTO DE MATERIAIS")</f>
        <v>LIVRO PARA ACAUTELAMENTO DE MATERIAIS</v>
      </c>
      <c r="C2505" s="86">
        <f>IFERROR(__xludf.DUMMYFUNCTION("""COMPUTED_VALUE"""),1.0)</f>
        <v>1</v>
      </c>
      <c r="D2505" s="87" t="str">
        <f>IFERROR(__xludf.DUMMYFUNCTION("""COMPUTED_VALUE"""),"SEÇÃO")</f>
        <v>SEÇÃO</v>
      </c>
      <c r="E2505" s="87" t="str">
        <f>IFERROR(__xludf.DUMMYFUNCTION("""COMPUTED_VALUE"""),"3 - SOU")</f>
        <v>3 - SOU</v>
      </c>
      <c r="F2505" s="92" t="str">
        <f>IFERROR(__xludf.DUMMYFUNCTION("""COMPUTED_VALUE"""),"RÁDIO OPERADOR")</f>
        <v>RÁDIO OPERADOR</v>
      </c>
      <c r="G2505" s="89">
        <f>IFERROR(__xludf.DUMMYFUNCTION("""COMPUTED_VALUE"""),45980.0)</f>
        <v>45980</v>
      </c>
      <c r="H2505" s="87"/>
      <c r="I2505" s="87"/>
    </row>
    <row r="2506">
      <c r="A2506" s="84">
        <f>IFERROR(__xludf.DUMMYFUNCTION("""COMPUTED_VALUE"""),716.0)</f>
        <v>716</v>
      </c>
      <c r="B2506" s="85" t="str">
        <f>IFERROR(__xludf.DUMMYFUNCTION("""COMPUTED_VALUE"""),"TALHADEIRA")</f>
        <v>TALHADEIRA</v>
      </c>
      <c r="C2506" s="86">
        <f>IFERROR(__xludf.DUMMYFUNCTION("""COMPUTED_VALUE"""),2.0)</f>
        <v>2</v>
      </c>
      <c r="D2506" s="87" t="str">
        <f>IFERROR(__xludf.DUMMYFUNCTION("""COMPUTED_VALUE"""),"SEÇÃO")</f>
        <v>SEÇÃO</v>
      </c>
      <c r="E2506" s="87" t="str">
        <f>IFERROR(__xludf.DUMMYFUNCTION("""COMPUTED_VALUE"""),"3 - SETOR DE MEIOS")</f>
        <v>3 - SETOR DE MEIOS</v>
      </c>
      <c r="F2506" s="92" t="str">
        <f>IFERROR(__xludf.DUMMYFUNCTION("""COMPUTED_VALUE"""),"SETOR DE MEIOS")</f>
        <v>SETOR DE MEIOS</v>
      </c>
      <c r="G2506" s="89"/>
      <c r="H2506" s="87"/>
      <c r="I2506" s="87"/>
    </row>
    <row r="2507">
      <c r="A2507" s="84">
        <f>IFERROR(__xludf.DUMMYFUNCTION("""COMPUTED_VALUE"""),717.0)</f>
        <v>717</v>
      </c>
      <c r="B2507" s="85" t="str">
        <f>IFERROR(__xludf.DUMMYFUNCTION("""COMPUTED_VALUE"""),"CONTROLE COM DUAS ANTENAS")</f>
        <v>CONTROLE COM DUAS ANTENAS</v>
      </c>
      <c r="C2507" s="86">
        <f>IFERROR(__xludf.DUMMYFUNCTION("""COMPUTED_VALUE"""),1.0)</f>
        <v>1</v>
      </c>
      <c r="D2507" s="87" t="str">
        <f>IFERROR(__xludf.DUMMYFUNCTION("""COMPUTED_VALUE"""),"SEÇÃO")</f>
        <v>SEÇÃO</v>
      </c>
      <c r="E2507" s="87" t="str">
        <f>IFERROR(__xludf.DUMMYFUNCTION("""COMPUTED_VALUE"""),"3 - SOU")</f>
        <v>3 - SOU</v>
      </c>
      <c r="F2507" s="92" t="str">
        <f>IFERROR(__xludf.DUMMYFUNCTION("""COMPUTED_VALUE"""),"CASE DRONE")</f>
        <v>CASE DRONE</v>
      </c>
      <c r="G2507" s="89"/>
      <c r="H2507" s="87"/>
      <c r="I2507" s="87"/>
    </row>
    <row r="2508">
      <c r="A2508" s="84">
        <f>IFERROR(__xludf.DUMMYFUNCTION("""COMPUTED_VALUE"""),718.0)</f>
        <v>718</v>
      </c>
      <c r="B2508" s="85" t="str">
        <f>IFERROR(__xludf.DUMMYFUNCTION("""COMPUTED_VALUE"""),"VISOR DO CONTROLE")</f>
        <v>VISOR DO CONTROLE</v>
      </c>
      <c r="C2508" s="86">
        <f>IFERROR(__xludf.DUMMYFUNCTION("""COMPUTED_VALUE"""),1.0)</f>
        <v>1</v>
      </c>
      <c r="D2508" s="87" t="str">
        <f>IFERROR(__xludf.DUMMYFUNCTION("""COMPUTED_VALUE"""),"SEÇÃO")</f>
        <v>SEÇÃO</v>
      </c>
      <c r="E2508" s="87" t="str">
        <f>IFERROR(__xludf.DUMMYFUNCTION("""COMPUTED_VALUE"""),"3 - SOU")</f>
        <v>3 - SOU</v>
      </c>
      <c r="F2508" s="92" t="str">
        <f>IFERROR(__xludf.DUMMYFUNCTION("""COMPUTED_VALUE"""),"CASE DRONE")</f>
        <v>CASE DRONE</v>
      </c>
      <c r="G2508" s="89"/>
      <c r="H2508" s="87"/>
      <c r="I2508" s="87"/>
    </row>
    <row r="2509">
      <c r="A2509" s="84">
        <f>IFERROR(__xludf.DUMMYFUNCTION("""COMPUTED_VALUE"""),719.0)</f>
        <v>719</v>
      </c>
      <c r="B2509" s="85" t="str">
        <f>IFERROR(__xludf.DUMMYFUNCTION("""COMPUTED_VALUE"""),"BATERIAS DA MATRIZ DO DRONE")</f>
        <v>BATERIAS DA MATRIZ DO DRONE</v>
      </c>
      <c r="C2509" s="86">
        <f>IFERROR(__xludf.DUMMYFUNCTION("""COMPUTED_VALUE"""),13.0)</f>
        <v>13</v>
      </c>
      <c r="D2509" s="87" t="str">
        <f>IFERROR(__xludf.DUMMYFUNCTION("""COMPUTED_VALUE"""),"SEÇÃO")</f>
        <v>SEÇÃO</v>
      </c>
      <c r="E2509" s="87" t="str">
        <f>IFERROR(__xludf.DUMMYFUNCTION("""COMPUTED_VALUE"""),"3 - SOU")</f>
        <v>3 - SOU</v>
      </c>
      <c r="F2509" s="92" t="str">
        <f>IFERROR(__xludf.DUMMYFUNCTION("""COMPUTED_VALUE"""),"CASE DRONE")</f>
        <v>CASE DRONE</v>
      </c>
      <c r="G2509" s="89"/>
      <c r="H2509" s="87"/>
      <c r="I2509" s="87"/>
    </row>
    <row r="2510">
      <c r="A2510" s="84">
        <f>IFERROR(__xludf.DUMMYFUNCTION("""COMPUTED_VALUE"""),720.0)</f>
        <v>720</v>
      </c>
      <c r="B2510" s="85" t="str">
        <f>IFERROR(__xludf.DUMMYFUNCTION("""COMPUTED_VALUE"""),"BATERIAS DO VISOR/CONTROLE")</f>
        <v>BATERIAS DO VISOR/CONTROLE</v>
      </c>
      <c r="C2510" s="86">
        <f>IFERROR(__xludf.DUMMYFUNCTION("""COMPUTED_VALUE"""),3.0)</f>
        <v>3</v>
      </c>
      <c r="D2510" s="87" t="str">
        <f>IFERROR(__xludf.DUMMYFUNCTION("""COMPUTED_VALUE"""),"SEÇÃO")</f>
        <v>SEÇÃO</v>
      </c>
      <c r="E2510" s="87" t="str">
        <f>IFERROR(__xludf.DUMMYFUNCTION("""COMPUTED_VALUE"""),"3 - SOU")</f>
        <v>3 - SOU</v>
      </c>
      <c r="F2510" s="92" t="str">
        <f>IFERROR(__xludf.DUMMYFUNCTION("""COMPUTED_VALUE"""),"CASE DRONE")</f>
        <v>CASE DRONE</v>
      </c>
      <c r="G2510" s="89"/>
      <c r="H2510" s="87"/>
      <c r="I2510" s="87"/>
    </row>
    <row r="2511">
      <c r="A2511" s="84">
        <f>IFERROR(__xludf.DUMMYFUNCTION("""COMPUTED_VALUE"""),721.0)</f>
        <v>721</v>
      </c>
      <c r="B2511" s="85" t="str">
        <f>IFERROR(__xludf.DUMMYFUNCTION("""COMPUTED_VALUE"""),"BASE RTK")</f>
        <v>BASE RTK</v>
      </c>
      <c r="C2511" s="86">
        <f>IFERROR(__xludf.DUMMYFUNCTION("""COMPUTED_VALUE"""),1.0)</f>
        <v>1</v>
      </c>
      <c r="D2511" s="87" t="str">
        <f>IFERROR(__xludf.DUMMYFUNCTION("""COMPUTED_VALUE"""),"SEÇÃO")</f>
        <v>SEÇÃO</v>
      </c>
      <c r="E2511" s="87" t="str">
        <f>IFERROR(__xludf.DUMMYFUNCTION("""COMPUTED_VALUE"""),"3 - SOU")</f>
        <v>3 - SOU</v>
      </c>
      <c r="F2511" s="92" t="str">
        <f>IFERROR(__xludf.DUMMYFUNCTION("""COMPUTED_VALUE"""),"CASE DRONE")</f>
        <v>CASE DRONE</v>
      </c>
      <c r="G2511" s="89"/>
      <c r="H2511" s="87"/>
      <c r="I2511" s="87"/>
    </row>
    <row r="2512">
      <c r="A2512" s="84">
        <f>IFERROR(__xludf.DUMMYFUNCTION("""COMPUTED_VALUE"""),722.0)</f>
        <v>722</v>
      </c>
      <c r="B2512" s="85" t="str">
        <f>IFERROR(__xludf.DUMMYFUNCTION("""COMPUTED_VALUE"""),"ANTENA ACOPLÁVEL AO RTK")</f>
        <v>ANTENA ACOPLÁVEL AO RTK</v>
      </c>
      <c r="C2512" s="86">
        <f>IFERROR(__xludf.DUMMYFUNCTION("""COMPUTED_VALUE"""),1.0)</f>
        <v>1</v>
      </c>
      <c r="D2512" s="87" t="str">
        <f>IFERROR(__xludf.DUMMYFUNCTION("""COMPUTED_VALUE"""),"SEÇÃO")</f>
        <v>SEÇÃO</v>
      </c>
      <c r="E2512" s="87" t="str">
        <f>IFERROR(__xludf.DUMMYFUNCTION("""COMPUTED_VALUE"""),"3 - SOU")</f>
        <v>3 - SOU</v>
      </c>
      <c r="F2512" s="92" t="str">
        <f>IFERROR(__xludf.DUMMYFUNCTION("""COMPUTED_VALUE"""),"CASE DRONE")</f>
        <v>CASE DRONE</v>
      </c>
      <c r="G2512" s="89"/>
      <c r="H2512" s="87"/>
      <c r="I2512" s="87"/>
    </row>
    <row r="2513">
      <c r="A2513" s="84">
        <f>IFERROR(__xludf.DUMMYFUNCTION("""COMPUTED_VALUE"""),723.0)</f>
        <v>723</v>
      </c>
      <c r="B2513" s="85" t="str">
        <f>IFERROR(__xludf.DUMMYFUNCTION("""COMPUTED_VALUE"""),"SKI DE POUSO")</f>
        <v>SKI DE POUSO</v>
      </c>
      <c r="C2513" s="86">
        <f>IFERROR(__xludf.DUMMYFUNCTION("""COMPUTED_VALUE"""),2.0)</f>
        <v>2</v>
      </c>
      <c r="D2513" s="87" t="str">
        <f>IFERROR(__xludf.DUMMYFUNCTION("""COMPUTED_VALUE"""),"SEÇÃO")</f>
        <v>SEÇÃO</v>
      </c>
      <c r="E2513" s="87" t="str">
        <f>IFERROR(__xludf.DUMMYFUNCTION("""COMPUTED_VALUE"""),"3 - SOU")</f>
        <v>3 - SOU</v>
      </c>
      <c r="F2513" s="92" t="str">
        <f>IFERROR(__xludf.DUMMYFUNCTION("""COMPUTED_VALUE"""),"CASE DRONE")</f>
        <v>CASE DRONE</v>
      </c>
      <c r="G2513" s="89"/>
      <c r="H2513" s="87"/>
      <c r="I2513" s="87"/>
    </row>
    <row r="2514">
      <c r="A2514" s="84">
        <f>IFERROR(__xludf.DUMMYFUNCTION("""COMPUTED_VALUE"""),724.0)</f>
        <v>724</v>
      </c>
      <c r="B2514" s="85" t="str">
        <f>IFERROR(__xludf.DUMMYFUNCTION("""COMPUTED_VALUE"""),"HÉLICES")</f>
        <v>HÉLICES</v>
      </c>
      <c r="C2514" s="86">
        <f>IFERROR(__xludf.DUMMYFUNCTION("""COMPUTED_VALUE"""),11.0)</f>
        <v>11</v>
      </c>
      <c r="D2514" s="87" t="str">
        <f>IFERROR(__xludf.DUMMYFUNCTION("""COMPUTED_VALUE"""),"SEÇÃO")</f>
        <v>SEÇÃO</v>
      </c>
      <c r="E2514" s="87" t="str">
        <f>IFERROR(__xludf.DUMMYFUNCTION("""COMPUTED_VALUE"""),"3 - SOU")</f>
        <v>3 - SOU</v>
      </c>
      <c r="F2514" s="92" t="str">
        <f>IFERROR(__xludf.DUMMYFUNCTION("""COMPUTED_VALUE"""),"CASE DRONE")</f>
        <v>CASE DRONE</v>
      </c>
      <c r="G2514" s="89"/>
      <c r="H2514" s="87"/>
      <c r="I2514" s="87"/>
    </row>
    <row r="2515">
      <c r="A2515" s="84">
        <f>IFERROR(__xludf.DUMMYFUNCTION("""COMPUTED_VALUE"""),725.0)</f>
        <v>725</v>
      </c>
      <c r="B2515" s="85" t="str">
        <f>IFERROR(__xludf.DUMMYFUNCTION("""COMPUTED_VALUE"""),"HUB COMPLETO DE CARREGAMENTO DAS BATERIAS DA MATRIZ")</f>
        <v>HUB COMPLETO DE CARREGAMENTO DAS BATERIAS DA MATRIZ</v>
      </c>
      <c r="C2515" s="86">
        <f>IFERROR(__xludf.DUMMYFUNCTION("""COMPUTED_VALUE"""),2.0)</f>
        <v>2</v>
      </c>
      <c r="D2515" s="87" t="str">
        <f>IFERROR(__xludf.DUMMYFUNCTION("""COMPUTED_VALUE"""),"SEÇÃO")</f>
        <v>SEÇÃO</v>
      </c>
      <c r="E2515" s="87" t="str">
        <f>IFERROR(__xludf.DUMMYFUNCTION("""COMPUTED_VALUE"""),"3 - SOU")</f>
        <v>3 - SOU</v>
      </c>
      <c r="F2515" s="92" t="str">
        <f>IFERROR(__xludf.DUMMYFUNCTION("""COMPUTED_VALUE"""),"CASE DRONE")</f>
        <v>CASE DRONE</v>
      </c>
      <c r="G2515" s="89"/>
      <c r="H2515" s="87"/>
      <c r="I2515" s="87"/>
    </row>
    <row r="2516">
      <c r="A2516" s="84">
        <f>IFERROR(__xludf.DUMMYFUNCTION("""COMPUTED_VALUE"""),726.0)</f>
        <v>726</v>
      </c>
      <c r="B2516" s="85" t="str">
        <f>IFERROR(__xludf.DUMMYFUNCTION("""COMPUTED_VALUE"""),"BASES PARA CARREGAMENTO DAS BATERIAS")</f>
        <v>BASES PARA CARREGAMENTO DAS BATERIAS</v>
      </c>
      <c r="C2516" s="86">
        <f>IFERROR(__xludf.DUMMYFUNCTION("""COMPUTED_VALUE"""),2.0)</f>
        <v>2</v>
      </c>
      <c r="D2516" s="87" t="str">
        <f>IFERROR(__xludf.DUMMYFUNCTION("""COMPUTED_VALUE"""),"SEÇÃO")</f>
        <v>SEÇÃO</v>
      </c>
      <c r="E2516" s="87" t="str">
        <f>IFERROR(__xludf.DUMMYFUNCTION("""COMPUTED_VALUE"""),"3 - SOU")</f>
        <v>3 - SOU</v>
      </c>
      <c r="F2516" s="92" t="str">
        <f>IFERROR(__xludf.DUMMYFUNCTION("""COMPUTED_VALUE"""),"CASE DRONE")</f>
        <v>CASE DRONE</v>
      </c>
      <c r="G2516" s="89"/>
      <c r="H2516" s="87"/>
      <c r="I2516" s="87"/>
    </row>
    <row r="2517">
      <c r="A2517" s="84">
        <f>IFERROR(__xludf.DUMMYFUNCTION("""COMPUTED_VALUE"""),727.0)</f>
        <v>727</v>
      </c>
      <c r="B2517" s="85" t="str">
        <f>IFERROR(__xludf.DUMMYFUNCTION("""COMPUTED_VALUE"""),"FONTE DO CARREGADOR FO HUB E DAS BASES DA BATERIA")</f>
        <v>FONTE DO CARREGADOR FO HUB E DAS BASES DA BATERIA</v>
      </c>
      <c r="C2517" s="86">
        <f>IFERROR(__xludf.DUMMYFUNCTION("""COMPUTED_VALUE"""),2.0)</f>
        <v>2</v>
      </c>
      <c r="D2517" s="87" t="str">
        <f>IFERROR(__xludf.DUMMYFUNCTION("""COMPUTED_VALUE"""),"SEÇÃO")</f>
        <v>SEÇÃO</v>
      </c>
      <c r="E2517" s="87" t="str">
        <f>IFERROR(__xludf.DUMMYFUNCTION("""COMPUTED_VALUE"""),"3 - SOU")</f>
        <v>3 - SOU</v>
      </c>
      <c r="F2517" s="92" t="str">
        <f>IFERROR(__xludf.DUMMYFUNCTION("""COMPUTED_VALUE"""),"CASE DRONE")</f>
        <v>CASE DRONE</v>
      </c>
      <c r="G2517" s="89"/>
      <c r="H2517" s="87"/>
      <c r="I2517" s="87"/>
    </row>
    <row r="2518">
      <c r="A2518" s="84">
        <f>IFERROR(__xludf.DUMMYFUNCTION("""COMPUTED_VALUE"""),728.0)</f>
        <v>728</v>
      </c>
      <c r="B2518" s="85" t="str">
        <f>IFERROR(__xludf.DUMMYFUNCTION("""COMPUTED_VALUE"""),"CABO DE FORÇA DO CARREGADOR DO HUB E DAS BASES DA BATERIA")</f>
        <v>CABO DE FORÇA DO CARREGADOR DO HUB E DAS BASES DA BATERIA</v>
      </c>
      <c r="C2518" s="86">
        <f>IFERROR(__xludf.DUMMYFUNCTION("""COMPUTED_VALUE"""),2.0)</f>
        <v>2</v>
      </c>
      <c r="D2518" s="87" t="str">
        <f>IFERROR(__xludf.DUMMYFUNCTION("""COMPUTED_VALUE"""),"SEÇÃO")</f>
        <v>SEÇÃO</v>
      </c>
      <c r="E2518" s="87" t="str">
        <f>IFERROR(__xludf.DUMMYFUNCTION("""COMPUTED_VALUE"""),"3 - SOU")</f>
        <v>3 - SOU</v>
      </c>
      <c r="F2518" s="92" t="str">
        <f>IFERROR(__xludf.DUMMYFUNCTION("""COMPUTED_VALUE"""),"CASE DRONE")</f>
        <v>CASE DRONE</v>
      </c>
      <c r="G2518" s="89"/>
      <c r="H2518" s="87"/>
      <c r="I2518" s="87"/>
    </row>
    <row r="2519">
      <c r="A2519" s="84">
        <f>IFERROR(__xludf.DUMMYFUNCTION("""COMPUTED_VALUE"""),729.0)</f>
        <v>729</v>
      </c>
      <c r="B2519" s="85" t="str">
        <f>IFERROR(__xludf.DUMMYFUNCTION("""COMPUTED_VALUE"""),"CABO DE DADOS")</f>
        <v>CABO DE DADOS</v>
      </c>
      <c r="C2519" s="86">
        <f>IFERROR(__xludf.DUMMYFUNCTION("""COMPUTED_VALUE"""),1.0)</f>
        <v>1</v>
      </c>
      <c r="D2519" s="87" t="str">
        <f>IFERROR(__xludf.DUMMYFUNCTION("""COMPUTED_VALUE"""),"SEÇÃO")</f>
        <v>SEÇÃO</v>
      </c>
      <c r="E2519" s="87" t="str">
        <f>IFERROR(__xludf.DUMMYFUNCTION("""COMPUTED_VALUE"""),"3 - SOU")</f>
        <v>3 - SOU</v>
      </c>
      <c r="F2519" s="92" t="str">
        <f>IFERROR(__xludf.DUMMYFUNCTION("""COMPUTED_VALUE"""),"CASE DRONE")</f>
        <v>CASE DRONE</v>
      </c>
      <c r="G2519" s="89"/>
      <c r="H2519" s="87"/>
      <c r="I2519" s="87"/>
    </row>
    <row r="2520">
      <c r="A2520" s="84">
        <f>IFERROR(__xludf.DUMMYFUNCTION("""COMPUTED_VALUE"""),730.0)</f>
        <v>730</v>
      </c>
      <c r="B2520" s="85" t="str">
        <f>IFERROR(__xludf.DUMMYFUNCTION("""COMPUTED_VALUE"""),"CASE PARA TRANSPORTE")</f>
        <v>CASE PARA TRANSPORTE</v>
      </c>
      <c r="C2520" s="86">
        <f>IFERROR(__xludf.DUMMYFUNCTION("""COMPUTED_VALUE"""),1.0)</f>
        <v>1</v>
      </c>
      <c r="D2520" s="87" t="str">
        <f>IFERROR(__xludf.DUMMYFUNCTION("""COMPUTED_VALUE"""),"SEÇÃO")</f>
        <v>SEÇÃO</v>
      </c>
      <c r="E2520" s="87" t="str">
        <f>IFERROR(__xludf.DUMMYFUNCTION("""COMPUTED_VALUE"""),"3 - SOU")</f>
        <v>3 - SOU</v>
      </c>
      <c r="F2520" s="92" t="str">
        <f>IFERROR(__xludf.DUMMYFUNCTION("""COMPUTED_VALUE"""),"CASE DRONE")</f>
        <v>CASE DRONE</v>
      </c>
      <c r="G2520" s="89"/>
      <c r="H2520" s="87"/>
      <c r="I2520" s="87"/>
    </row>
    <row r="2521">
      <c r="A2521" s="84">
        <f>IFERROR(__xludf.DUMMYFUNCTION("""COMPUTED_VALUE"""),731.0)</f>
        <v>731</v>
      </c>
      <c r="B2521" s="85" t="str">
        <f>IFERROR(__xludf.DUMMYFUNCTION("""COMPUTED_VALUE"""),"CAPA PROTETORA  PARA  HT")</f>
        <v>CAPA PROTETORA  PARA  HT</v>
      </c>
      <c r="C2521" s="86">
        <f>IFERROR(__xludf.DUMMYFUNCTION("""COMPUTED_VALUE"""),2.0)</f>
        <v>2</v>
      </c>
      <c r="D2521" s="87" t="str">
        <f>IFERROR(__xludf.DUMMYFUNCTION("""COMPUTED_VALUE"""),"SEÇÃO")</f>
        <v>SEÇÃO</v>
      </c>
      <c r="E2521" s="87" t="str">
        <f>IFERROR(__xludf.DUMMYFUNCTION("""COMPUTED_VALUE"""),"3 - SOU")</f>
        <v>3 - SOU</v>
      </c>
      <c r="F2521" s="92" t="str">
        <f>IFERROR(__xludf.DUMMYFUNCTION("""COMPUTED_VALUE"""),"SALA DE REDS")</f>
        <v>SALA DE REDS</v>
      </c>
      <c r="G2521" s="89">
        <f>IFERROR(__xludf.DUMMYFUNCTION("""COMPUTED_VALUE"""),45679.0)</f>
        <v>45679</v>
      </c>
      <c r="H2521" s="87"/>
      <c r="I2521" s="87"/>
    </row>
    <row r="2522">
      <c r="A2522" s="84">
        <f>IFERROR(__xludf.DUMMYFUNCTION("""COMPUTED_VALUE"""),732.0)</f>
        <v>732</v>
      </c>
      <c r="B2522" s="85" t="str">
        <f>IFERROR(__xludf.DUMMYFUNCTION("""COMPUTED_VALUE"""),"CARREGADOR DAS BATERIAS DO EPR MSA")</f>
        <v>CARREGADOR DAS BATERIAS DO EPR MSA</v>
      </c>
      <c r="C2522" s="86">
        <f>IFERROR(__xludf.DUMMYFUNCTION("""COMPUTED_VALUE"""),1.0)</f>
        <v>1</v>
      </c>
      <c r="D2522" s="87" t="str">
        <f>IFERROR(__xludf.DUMMYFUNCTION("""COMPUTED_VALUE"""),"SEÇÃO")</f>
        <v>SEÇÃO</v>
      </c>
      <c r="E2522" s="87" t="str">
        <f>IFERROR(__xludf.DUMMYFUNCTION("""COMPUTED_VALUE"""),"3 - SOU")</f>
        <v>3 - SOU</v>
      </c>
      <c r="F2522" s="92" t="str">
        <f>IFERROR(__xludf.DUMMYFUNCTION("""COMPUTED_VALUE"""),"SALA DE REDS")</f>
        <v>SALA DE REDS</v>
      </c>
      <c r="G2522" s="89"/>
      <c r="H2522" s="87"/>
      <c r="I2522" s="87"/>
    </row>
    <row r="2523">
      <c r="A2523" s="84">
        <f>IFERROR(__xludf.DUMMYFUNCTION("""COMPUTED_VALUE"""),733.0)</f>
        <v>733</v>
      </c>
      <c r="B2523" s="85" t="str">
        <f>IFERROR(__xludf.DUMMYFUNCTION("""COMPUTED_VALUE"""),"ALICATE PARA CORTE DE ANEL MD")</f>
        <v>ALICATE PARA CORTE DE ANEL MD</v>
      </c>
      <c r="C2523" s="86">
        <f>IFERROR(__xludf.DUMMYFUNCTION("""COMPUTED_VALUE"""),1.0)</f>
        <v>1</v>
      </c>
      <c r="D2523" s="87" t="str">
        <f>IFERROR(__xludf.DUMMYFUNCTION("""COMPUTED_VALUE"""),"SEÇÃO")</f>
        <v>SEÇÃO</v>
      </c>
      <c r="E2523" s="87" t="str">
        <f>IFERROR(__xludf.DUMMYFUNCTION("""COMPUTED_VALUE"""),"3 - SOU")</f>
        <v>3 - SOU</v>
      </c>
      <c r="F2523" s="92" t="str">
        <f>IFERROR(__xludf.DUMMYFUNCTION("""COMPUTED_VALUE"""),"SALA DE REDS")</f>
        <v>SALA DE REDS</v>
      </c>
      <c r="G2523" s="89"/>
      <c r="H2523" s="87"/>
      <c r="I2523" s="87"/>
    </row>
    <row r="2524">
      <c r="A2524" s="84">
        <f>IFERROR(__xludf.DUMMYFUNCTION("""COMPUTED_VALUE"""),734.0)</f>
        <v>734</v>
      </c>
      <c r="B2524" s="85" t="str">
        <f>IFERROR(__xludf.DUMMYFUNCTION("""COMPUTED_VALUE"""),"BEBEDOURO")</f>
        <v>BEBEDOURO</v>
      </c>
      <c r="C2524" s="86">
        <f>IFERROR(__xludf.DUMMYFUNCTION("""COMPUTED_VALUE"""),1.0)</f>
        <v>1</v>
      </c>
      <c r="D2524" s="87" t="str">
        <f>IFERROR(__xludf.DUMMYFUNCTION("""COMPUTED_VALUE"""),"SEÇÃO")</f>
        <v>SEÇÃO</v>
      </c>
      <c r="E2524" s="87" t="str">
        <f>IFERROR(__xludf.DUMMYFUNCTION("""COMPUTED_VALUE"""),"3 - SUPRIMENTOS")</f>
        <v>3 - SUPRIMENTOS</v>
      </c>
      <c r="F2524" s="92"/>
      <c r="G2524" s="89"/>
      <c r="H2524" s="87" t="str">
        <f>IFERROR(__xludf.DUMMYFUNCTION("""COMPUTED_VALUE"""),"mod. CJK40ABVNA")</f>
        <v>mod. CJK40ABVNA</v>
      </c>
      <c r="I2524" s="87" t="str">
        <f>IFERROR(__xludf.DUMMYFUNCTION("""COMPUTED_VALUE"""),"bebedour marca: Consul ")</f>
        <v>bebedour marca: Consul </v>
      </c>
    </row>
    <row r="2525">
      <c r="A2525" s="84">
        <f>IFERROR(__xludf.DUMMYFUNCTION("""COMPUTED_VALUE"""),735.0)</f>
        <v>735</v>
      </c>
      <c r="B2525" s="85" t="str">
        <f>IFERROR(__xludf.DUMMYFUNCTION("""COMPUTED_VALUE"""),"AR CONDICIONADO -")</f>
        <v>AR CONDICIONADO -</v>
      </c>
      <c r="C2525" s="86">
        <f>IFERROR(__xludf.DUMMYFUNCTION("""COMPUTED_VALUE"""),1.0)</f>
        <v>1</v>
      </c>
      <c r="D2525" s="87" t="str">
        <f>IFERROR(__xludf.DUMMYFUNCTION("""COMPUTED_VALUE"""),"SEÇÃO")</f>
        <v>SEÇÃO</v>
      </c>
      <c r="E2525" s="87" t="str">
        <f>IFERROR(__xludf.DUMMYFUNCTION("""COMPUTED_VALUE"""),"3 - SUPRIMENTOS")</f>
        <v>3 - SUPRIMENTOS</v>
      </c>
      <c r="F2525" s="92"/>
      <c r="G2525" s="89"/>
      <c r="H2525" s="87"/>
      <c r="I2525" s="87" t="str">
        <f>IFERROR(__xludf.DUMMYFUNCTION("""COMPUTED_VALUE"""),"ar condicionado marca springer midea 22 mil btu")</f>
        <v>ar condicionado marca springer midea 22 mil btu</v>
      </c>
    </row>
    <row r="2526">
      <c r="A2526" s="84">
        <f>IFERROR(__xludf.DUMMYFUNCTION("""COMPUTED_VALUE"""),736.0)</f>
        <v>736</v>
      </c>
      <c r="B2526" s="85" t="str">
        <f>IFERROR(__xludf.DUMMYFUNCTION("""COMPUTED_VALUE"""),"ARMÁRIO DE MADEIRA")</f>
        <v>ARMÁRIO DE MADEIRA</v>
      </c>
      <c r="C2526" s="86">
        <f>IFERROR(__xludf.DUMMYFUNCTION("""COMPUTED_VALUE"""),1.0)</f>
        <v>1</v>
      </c>
      <c r="D2526" s="87" t="str">
        <f>IFERROR(__xludf.DUMMYFUNCTION("""COMPUTED_VALUE"""),"SEÇÃO")</f>
        <v>SEÇÃO</v>
      </c>
      <c r="E2526" s="87" t="str">
        <f>IFERROR(__xludf.DUMMYFUNCTION("""COMPUTED_VALUE"""),"3 - SUPRIMENTOS")</f>
        <v>3 - SUPRIMENTOS</v>
      </c>
      <c r="F2526" s="92"/>
      <c r="G2526" s="89"/>
      <c r="H2526" s="87"/>
      <c r="I2526" s="87" t="str">
        <f>IFERROR(__xludf.DUMMYFUNCTION("""COMPUTED_VALUE"""),"armário de 02 portas com 01 prateleiras no meio ")</f>
        <v>armário de 02 portas com 01 prateleiras no meio </v>
      </c>
    </row>
    <row r="2527">
      <c r="A2527" s="84">
        <f>IFERROR(__xludf.DUMMYFUNCTION("""COMPUTED_VALUE"""),737.0)</f>
        <v>737</v>
      </c>
      <c r="B2527" s="85" t="str">
        <f>IFERROR(__xludf.DUMMYFUNCTION("""COMPUTED_VALUE"""),"ARMÁRIO DE MADEIRA")</f>
        <v>ARMÁRIO DE MADEIRA</v>
      </c>
      <c r="C2527" s="86">
        <f>IFERROR(__xludf.DUMMYFUNCTION("""COMPUTED_VALUE"""),1.0)</f>
        <v>1</v>
      </c>
      <c r="D2527" s="87" t="str">
        <f>IFERROR(__xludf.DUMMYFUNCTION("""COMPUTED_VALUE"""),"SEÇÃO")</f>
        <v>SEÇÃO</v>
      </c>
      <c r="E2527" s="87" t="str">
        <f>IFERROR(__xludf.DUMMYFUNCTION("""COMPUTED_VALUE"""),"3 - SUPRIMENTOS")</f>
        <v>3 - SUPRIMENTOS</v>
      </c>
      <c r="F2527" s="92"/>
      <c r="G2527" s="89"/>
      <c r="H2527" s="87"/>
      <c r="I2527" s="87" t="str">
        <f>IFERROR(__xludf.DUMMYFUNCTION("""COMPUTED_VALUE"""),"armário de madeira, 04 gavetas ")</f>
        <v>armário de madeira, 04 gavetas </v>
      </c>
    </row>
    <row r="2528">
      <c r="A2528" s="84">
        <f>IFERROR(__xludf.DUMMYFUNCTION("""COMPUTED_VALUE"""),738.0)</f>
        <v>738</v>
      </c>
      <c r="B2528" s="85" t="str">
        <f>IFERROR(__xludf.DUMMYFUNCTION("""COMPUTED_VALUE"""),"IMPRESSORA MULTIFUNCIONAL -")</f>
        <v>IMPRESSORA MULTIFUNCIONAL -</v>
      </c>
      <c r="C2528" s="86">
        <f>IFERROR(__xludf.DUMMYFUNCTION("""COMPUTED_VALUE"""),1.0)</f>
        <v>1</v>
      </c>
      <c r="D2528" s="87" t="str">
        <f>IFERROR(__xludf.DUMMYFUNCTION("""COMPUTED_VALUE"""),"SEÇÃO")</f>
        <v>SEÇÃO</v>
      </c>
      <c r="E2528" s="87" t="str">
        <f>IFERROR(__xludf.DUMMYFUNCTION("""COMPUTED_VALUE"""),"3 - SUPRIMENTOS")</f>
        <v>3 - SUPRIMENTOS</v>
      </c>
      <c r="F2528" s="92"/>
      <c r="G2528" s="89"/>
      <c r="H2528" s="87"/>
      <c r="I2528" s="87" t="str">
        <f>IFERROR(__xludf.DUMMYFUNCTION("""COMPUTED_VALUE"""),"impressora RICOH IM 430F (SELB-11XP)")</f>
        <v>impressora RICOH IM 430F (SELB-11XP)</v>
      </c>
    </row>
    <row r="2529">
      <c r="A2529" s="84">
        <f>IFERROR(__xludf.DUMMYFUNCTION("""COMPUTED_VALUE"""),739.0)</f>
        <v>739</v>
      </c>
      <c r="B2529" s="85" t="str">
        <f>IFERROR(__xludf.DUMMYFUNCTION("""COMPUTED_VALUE"""),"ESTACAO DE TRABALHO -")</f>
        <v>ESTACAO DE TRABALHO -</v>
      </c>
      <c r="C2529" s="86">
        <f>IFERROR(__xludf.DUMMYFUNCTION("""COMPUTED_VALUE"""),3.0)</f>
        <v>3</v>
      </c>
      <c r="D2529" s="87" t="str">
        <f>IFERROR(__xludf.DUMMYFUNCTION("""COMPUTED_VALUE"""),"SEÇÃO")</f>
        <v>SEÇÃO</v>
      </c>
      <c r="E2529" s="87" t="str">
        <f>IFERROR(__xludf.DUMMYFUNCTION("""COMPUTED_VALUE"""),"3 - SUPRIMENTOS")</f>
        <v>3 - SUPRIMENTOS</v>
      </c>
      <c r="F2529" s="92"/>
      <c r="G2529" s="89"/>
      <c r="H2529" s="87"/>
      <c r="I2529" s="87" t="str">
        <f>IFERROR(__xludf.DUMMYFUNCTION("""COMPUTED_VALUE"""),"mesas em L (Cor de madeira) c/gavetas ")</f>
        <v>mesas em L (Cor de madeira) c/gavetas </v>
      </c>
    </row>
    <row r="2530">
      <c r="A2530" s="84">
        <f>IFERROR(__xludf.DUMMYFUNCTION("""COMPUTED_VALUE"""),740.0)</f>
        <v>740</v>
      </c>
      <c r="B2530" s="85" t="str">
        <f>IFERROR(__xludf.DUMMYFUNCTION("""COMPUTED_VALUE"""),"CADEIRA GAMER")</f>
        <v>CADEIRA GAMER</v>
      </c>
      <c r="C2530" s="86">
        <f>IFERROR(__xludf.DUMMYFUNCTION("""COMPUTED_VALUE"""),3.0)</f>
        <v>3</v>
      </c>
      <c r="D2530" s="87" t="str">
        <f>IFERROR(__xludf.DUMMYFUNCTION("""COMPUTED_VALUE"""),"SEÇÃO")</f>
        <v>SEÇÃO</v>
      </c>
      <c r="E2530" s="87" t="str">
        <f>IFERROR(__xludf.DUMMYFUNCTION("""COMPUTED_VALUE"""),"3 - SUPRIMENTOS")</f>
        <v>3 - SUPRIMENTOS</v>
      </c>
      <c r="F2530" s="92"/>
      <c r="G2530" s="89"/>
      <c r="H2530" s="87"/>
      <c r="I2530" s="87" t="str">
        <f>IFERROR(__xludf.DUMMYFUNCTION("""COMPUTED_VALUE"""),"cadeira gaming marca: pichau ")</f>
        <v>cadeira gaming marca: pichau </v>
      </c>
    </row>
    <row r="2531">
      <c r="A2531" s="84">
        <f>IFERROR(__xludf.DUMMYFUNCTION("""COMPUTED_VALUE"""),741.0)</f>
        <v>741</v>
      </c>
      <c r="B2531" s="85" t="str">
        <f>IFERROR(__xludf.DUMMYFUNCTION("""COMPUTED_VALUE"""),"CADEIRA DE ESCRITÓRIO")</f>
        <v>CADEIRA DE ESCRITÓRIO</v>
      </c>
      <c r="C2531" s="86">
        <f>IFERROR(__xludf.DUMMYFUNCTION("""COMPUTED_VALUE"""),1.0)</f>
        <v>1</v>
      </c>
      <c r="D2531" s="87" t="str">
        <f>IFERROR(__xludf.DUMMYFUNCTION("""COMPUTED_VALUE"""),"SEÇÃO")</f>
        <v>SEÇÃO</v>
      </c>
      <c r="E2531" s="87" t="str">
        <f>IFERROR(__xludf.DUMMYFUNCTION("""COMPUTED_VALUE"""),"3 - SUPRIMENTOS")</f>
        <v>3 - SUPRIMENTOS</v>
      </c>
      <c r="F2531" s="92"/>
      <c r="G2531" s="89"/>
      <c r="H2531" s="87"/>
      <c r="I2531" s="87" t="str">
        <f>IFERROR(__xludf.DUMMYFUNCTION("""COMPUTED_VALUE"""),"cadeira com rodinha")</f>
        <v>cadeira com rodinha</v>
      </c>
    </row>
    <row r="2532">
      <c r="A2532" s="84">
        <f>IFERROR(__xludf.DUMMYFUNCTION("""COMPUTED_VALUE"""),742.0)</f>
        <v>742</v>
      </c>
      <c r="B2532" s="85" t="str">
        <f>IFERROR(__xludf.DUMMYFUNCTION("""COMPUTED_VALUE"""),"CABO SOLTEIRO")</f>
        <v>CABO SOLTEIRO</v>
      </c>
      <c r="C2532" s="86">
        <f>IFERROR(__xludf.DUMMYFUNCTION("""COMPUTED_VALUE"""),0.0)</f>
        <v>0</v>
      </c>
      <c r="D2532" s="87" t="str">
        <f>IFERROR(__xludf.DUMMYFUNCTION("""COMPUTED_VALUE"""),"VIATURA")</f>
        <v>VIATURA</v>
      </c>
      <c r="E2532" s="87"/>
      <c r="F2532" s="92" t="str">
        <f>IFERROR(__xludf.DUMMYFUNCTION("""COMPUTED_VALUE"""),"BOX 01 - SAO")</f>
        <v>BOX 01 - SAO</v>
      </c>
      <c r="G2532" s="89">
        <f>IFERROR(__xludf.DUMMYFUNCTION("""COMPUTED_VALUE"""),45527.0)</f>
        <v>45527</v>
      </c>
      <c r="H2532" s="87"/>
      <c r="I2532" s="87"/>
    </row>
    <row r="2533">
      <c r="A2533" s="84">
        <f>IFERROR(__xludf.DUMMYFUNCTION("""COMPUTED_VALUE"""),743.0)</f>
        <v>743</v>
      </c>
      <c r="B2533" s="85" t="str">
        <f>IFERROR(__xludf.DUMMYFUNCTION("""COMPUTED_VALUE"""),"CADEIRINHA BAUDRIER RAPEL - NÍVEL II")</f>
        <v>CADEIRINHA BAUDRIER RAPEL - NÍVEL II</v>
      </c>
      <c r="C2533" s="86">
        <f>IFERROR(__xludf.DUMMYFUNCTION("""COMPUTED_VALUE"""),2.0)</f>
        <v>2</v>
      </c>
      <c r="D2533" s="87" t="str">
        <f>IFERROR(__xludf.DUMMYFUNCTION("""COMPUTED_VALUE"""),"SEÇÃO")</f>
        <v>SEÇÃO</v>
      </c>
      <c r="E2533" s="87" t="str">
        <f>IFERROR(__xludf.DUMMYFUNCTION("""COMPUTED_VALUE"""),"3 - ALMOX. ESTOQUE")</f>
        <v>3 - ALMOX. ESTOQUE</v>
      </c>
      <c r="F2533" s="92" t="str">
        <f>IFERROR(__xludf.DUMMYFUNCTION("""COMPUTED_VALUE"""),"SAO")</f>
        <v>SAO</v>
      </c>
      <c r="G2533" s="89">
        <f>IFERROR(__xludf.DUMMYFUNCTION("""COMPUTED_VALUE"""),45527.0)</f>
        <v>45527</v>
      </c>
      <c r="H2533" s="87"/>
      <c r="I2533" s="87" t="str">
        <f>IFERROR(__xludf.DUMMYFUNCTION("""COMPUTED_VALUE"""),"MATERIAL BAIXADO DA VTR ABTS 1418")</f>
        <v>MATERIAL BAIXADO DA VTR ABTS 1418</v>
      </c>
    </row>
    <row r="2534">
      <c r="A2534" s="84">
        <f>IFERROR(__xludf.DUMMYFUNCTION("""COMPUTED_VALUE"""),744.0)</f>
        <v>744</v>
      </c>
      <c r="B2534" s="85" t="str">
        <f>IFERROR(__xludf.DUMMYFUNCTION("""COMPUTED_VALUE"""),"CATRACA 1,5 TON")</f>
        <v>CATRACA 1,5 TON</v>
      </c>
      <c r="C2534" s="86">
        <f>IFERROR(__xludf.DUMMYFUNCTION("""COMPUTED_VALUE"""),2.0)</f>
        <v>2</v>
      </c>
      <c r="D2534" s="87" t="str">
        <f>IFERROR(__xludf.DUMMYFUNCTION("""COMPUTED_VALUE"""),"VIATURA")</f>
        <v>VIATURA</v>
      </c>
      <c r="E2534" s="87" t="str">
        <f>IFERROR(__xludf.DUMMYFUNCTION("""COMPUTED_VALUE"""),"1 - ACA2230")</f>
        <v>1 - ACA2230</v>
      </c>
      <c r="F2534" s="92" t="str">
        <f>IFERROR(__xludf.DUMMYFUNCTION("""COMPUTED_VALUE"""),"CARROCERIA")</f>
        <v>CARROCERIA</v>
      </c>
      <c r="G2534" s="89"/>
      <c r="H2534" s="87"/>
      <c r="I2534" s="87"/>
    </row>
    <row r="2535">
      <c r="A2535" s="84">
        <f>IFERROR(__xludf.DUMMYFUNCTION("""COMPUTED_VALUE"""),745.0)</f>
        <v>745</v>
      </c>
      <c r="B2535" s="85" t="str">
        <f>IFERROR(__xludf.DUMMYFUNCTION("""COMPUTED_VALUE"""),"BIDÃO")</f>
        <v>BIDÃO</v>
      </c>
      <c r="C2535" s="86">
        <f>IFERROR(__xludf.DUMMYFUNCTION("""COMPUTED_VALUE"""),1.0)</f>
        <v>1</v>
      </c>
      <c r="D2535" s="87" t="str">
        <f>IFERROR(__xludf.DUMMYFUNCTION("""COMPUTED_VALUE"""),"VIATURA")</f>
        <v>VIATURA</v>
      </c>
      <c r="E2535" s="87" t="str">
        <f>IFERROR(__xludf.DUMMYFUNCTION("""COMPUTED_VALUE"""),"1 - ACA2230")</f>
        <v>1 - ACA2230</v>
      </c>
      <c r="F2535" s="92" t="str">
        <f>IFERROR(__xludf.DUMMYFUNCTION("""COMPUTED_VALUE"""),"CARROCERIA")</f>
        <v>CARROCERIA</v>
      </c>
      <c r="G2535" s="89"/>
      <c r="H2535" s="87"/>
      <c r="I2535" s="87"/>
    </row>
    <row r="2536">
      <c r="A2536" s="84">
        <f>IFERROR(__xludf.DUMMYFUNCTION("""COMPUTED_VALUE"""),746.0)</f>
        <v>746</v>
      </c>
      <c r="B2536" s="85" t="str">
        <f>IFERROR(__xludf.DUMMYFUNCTION("""COMPUTED_VALUE"""),"MISTURADOR DE COMBUSTÍVEL STIHL")</f>
        <v>MISTURADOR DE COMBUSTÍVEL STIHL</v>
      </c>
      <c r="C2536" s="86">
        <f>IFERROR(__xludf.DUMMYFUNCTION("""COMPUTED_VALUE"""),1.0)</f>
        <v>1</v>
      </c>
      <c r="D2536" s="87" t="str">
        <f>IFERROR(__xludf.DUMMYFUNCTION("""COMPUTED_VALUE"""),"VIATURA")</f>
        <v>VIATURA</v>
      </c>
      <c r="E2536" s="87" t="str">
        <f>IFERROR(__xludf.DUMMYFUNCTION("""COMPUTED_VALUE"""),"1 - ACA2230")</f>
        <v>1 - ACA2230</v>
      </c>
      <c r="F2536" s="92" t="str">
        <f>IFERROR(__xludf.DUMMYFUNCTION("""COMPUTED_VALUE"""),"CARROCERIA")</f>
        <v>CARROCERIA</v>
      </c>
      <c r="G2536" s="89"/>
      <c r="H2536" s="87"/>
      <c r="I2536" s="87"/>
    </row>
    <row r="2537">
      <c r="A2537" s="84">
        <f>IFERROR(__xludf.DUMMYFUNCTION("""COMPUTED_VALUE"""),747.0)</f>
        <v>747</v>
      </c>
      <c r="B2537" s="85" t="str">
        <f>IFERROR(__xludf.DUMMYFUNCTION("""COMPUTED_VALUE"""),"BOMBA COSTAL")</f>
        <v>BOMBA COSTAL</v>
      </c>
      <c r="C2537" s="86">
        <f>IFERROR(__xludf.DUMMYFUNCTION("""COMPUTED_VALUE"""),2.0)</f>
        <v>2</v>
      </c>
      <c r="D2537" s="87" t="str">
        <f>IFERROR(__xludf.DUMMYFUNCTION("""COMPUTED_VALUE"""),"VIATURA")</f>
        <v>VIATURA</v>
      </c>
      <c r="E2537" s="87" t="str">
        <f>IFERROR(__xludf.DUMMYFUNCTION("""COMPUTED_VALUE"""),"1 - ACA2230")</f>
        <v>1 - ACA2230</v>
      </c>
      <c r="F2537" s="92" t="str">
        <f>IFERROR(__xludf.DUMMYFUNCTION("""COMPUTED_VALUE"""),"CARROCERIA")</f>
        <v>CARROCERIA</v>
      </c>
      <c r="G2537" s="89"/>
      <c r="H2537" s="87"/>
      <c r="I2537" s="87"/>
    </row>
    <row r="2538">
      <c r="A2538" s="84">
        <f>IFERROR(__xludf.DUMMYFUNCTION("""COMPUTED_VALUE"""),748.0)</f>
        <v>748</v>
      </c>
      <c r="B2538" s="85" t="str">
        <f>IFERROR(__xludf.DUMMYFUNCTION("""COMPUTED_VALUE"""),"ABAFADOR PARA COMBATE A INCENDIO FLORESTAL")</f>
        <v>ABAFADOR PARA COMBATE A INCENDIO FLORESTAL</v>
      </c>
      <c r="C2538" s="86">
        <f>IFERROR(__xludf.DUMMYFUNCTION("""COMPUTED_VALUE"""),3.0)</f>
        <v>3</v>
      </c>
      <c r="D2538" s="87" t="str">
        <f>IFERROR(__xludf.DUMMYFUNCTION("""COMPUTED_VALUE"""),"VIATURA")</f>
        <v>VIATURA</v>
      </c>
      <c r="E2538" s="87" t="str">
        <f>IFERROR(__xludf.DUMMYFUNCTION("""COMPUTED_VALUE"""),"1 - ACA2230")</f>
        <v>1 - ACA2230</v>
      </c>
      <c r="F2538" s="92" t="str">
        <f>IFERROR(__xludf.DUMMYFUNCTION("""COMPUTED_VALUE"""),"CARROCERIA")</f>
        <v>CARROCERIA</v>
      </c>
      <c r="G2538" s="89"/>
      <c r="H2538" s="87"/>
      <c r="I2538" s="87"/>
    </row>
    <row r="2539">
      <c r="A2539" s="84">
        <f>IFERROR(__xludf.DUMMYFUNCTION("""COMPUTED_VALUE"""),749.0)</f>
        <v>749</v>
      </c>
      <c r="B2539" s="85" t="str">
        <f>IFERROR(__xludf.DUMMYFUNCTION("""COMPUTED_VALUE"""),"CABO SOLTEIRO")</f>
        <v>CABO SOLTEIRO</v>
      </c>
      <c r="C2539" s="86">
        <f>IFERROR(__xludf.DUMMYFUNCTION("""COMPUTED_VALUE"""),2.0)</f>
        <v>2</v>
      </c>
      <c r="D2539" s="87" t="str">
        <f>IFERROR(__xludf.DUMMYFUNCTION("""COMPUTED_VALUE"""),"VIATURA")</f>
        <v>VIATURA</v>
      </c>
      <c r="E2539" s="87" t="str">
        <f>IFERROR(__xludf.DUMMYFUNCTION("""COMPUTED_VALUE"""),"1 - ACA2230")</f>
        <v>1 - ACA2230</v>
      </c>
      <c r="F2539" s="92" t="str">
        <f>IFERROR(__xludf.DUMMYFUNCTION("""COMPUTED_VALUE"""),"CARROCERIA")</f>
        <v>CARROCERIA</v>
      </c>
      <c r="G2539" s="89"/>
      <c r="H2539" s="87"/>
      <c r="I2539" s="87"/>
    </row>
    <row r="2540">
      <c r="A2540" s="84">
        <f>IFERROR(__xludf.DUMMYFUNCTION("""COMPUTED_VALUE"""),750.0)</f>
        <v>750</v>
      </c>
      <c r="B2540" s="85" t="str">
        <f>IFERROR(__xludf.DUMMYFUNCTION("""COMPUTED_VALUE"""),"LANTERNA TÁTICA NIGHTSTICK")</f>
        <v>LANTERNA TÁTICA NIGHTSTICK</v>
      </c>
      <c r="C2540" s="86">
        <f>IFERROR(__xludf.DUMMYFUNCTION("""COMPUTED_VALUE"""),1.0)</f>
        <v>1</v>
      </c>
      <c r="D2540" s="87" t="str">
        <f>IFERROR(__xludf.DUMMYFUNCTION("""COMPUTED_VALUE"""),"VIATURA")</f>
        <v>VIATURA</v>
      </c>
      <c r="E2540" s="87" t="str">
        <f>IFERROR(__xludf.DUMMYFUNCTION("""COMPUTED_VALUE"""),"1 - ASM3617")</f>
        <v>1 - ASM3617</v>
      </c>
      <c r="F2540" s="92" t="str">
        <f>IFERROR(__xludf.DUMMYFUNCTION("""COMPUTED_VALUE"""),"CABINE")</f>
        <v>CABINE</v>
      </c>
      <c r="G2540" s="89"/>
      <c r="H2540" s="87"/>
      <c r="I2540" s="87"/>
    </row>
    <row r="2541">
      <c r="A2541" s="84">
        <f>IFERROR(__xludf.DUMMYFUNCTION("""COMPUTED_VALUE"""),751.0)</f>
        <v>751</v>
      </c>
      <c r="B2541" s="85" t="str">
        <f>IFERROR(__xludf.DUMMYFUNCTION("""COMPUTED_VALUE"""),"LANTERNA TÁTICA NIGHTSTICK")</f>
        <v>LANTERNA TÁTICA NIGHTSTICK</v>
      </c>
      <c r="C2541" s="86">
        <f>IFERROR(__xludf.DUMMYFUNCTION("""COMPUTED_VALUE"""),1.0)</f>
        <v>1</v>
      </c>
      <c r="D2541" s="87" t="str">
        <f>IFERROR(__xludf.DUMMYFUNCTION("""COMPUTED_VALUE"""),"VIATURA")</f>
        <v>VIATURA</v>
      </c>
      <c r="E2541" s="87" t="str">
        <f>IFERROR(__xludf.DUMMYFUNCTION("""COMPUTED_VALUE"""),"1 - ASF2163")</f>
        <v>1 - ASF2163</v>
      </c>
      <c r="F2541" s="92"/>
      <c r="G2541" s="89"/>
      <c r="H2541" s="87"/>
      <c r="I2541" s="87"/>
    </row>
    <row r="2542">
      <c r="A2542" s="84">
        <f>IFERROR(__xludf.DUMMYFUNCTION("""COMPUTED_VALUE"""),752.0)</f>
        <v>752</v>
      </c>
      <c r="B2542" s="85" t="str">
        <f>IFERROR(__xludf.DUMMYFUNCTION("""COMPUTED_VALUE"""),"LANTERNA TÁTICA NIGHTSTICK")</f>
        <v>LANTERNA TÁTICA NIGHTSTICK</v>
      </c>
      <c r="C2542" s="86">
        <f>IFERROR(__xludf.DUMMYFUNCTION("""COMPUTED_VALUE"""),1.0)</f>
        <v>1</v>
      </c>
      <c r="D2542" s="87" t="str">
        <f>IFERROR(__xludf.DUMMYFUNCTION("""COMPUTED_VALUE"""),"VIATURA")</f>
        <v>VIATURA</v>
      </c>
      <c r="E2542" s="87" t="str">
        <f>IFERROR(__xludf.DUMMYFUNCTION("""COMPUTED_VALUE"""),"1 - ABTS1418")</f>
        <v>1 - ABTS1418</v>
      </c>
      <c r="F2542" s="92"/>
      <c r="G2542" s="89"/>
      <c r="H2542" s="87"/>
      <c r="I2542" s="87"/>
    </row>
    <row r="2543">
      <c r="A2543" s="84">
        <f>IFERROR(__xludf.DUMMYFUNCTION("""COMPUTED_VALUE"""),753.0)</f>
        <v>753</v>
      </c>
      <c r="B2543" s="85" t="str">
        <f>IFERROR(__xludf.DUMMYFUNCTION("""COMPUTED_VALUE"""),"LANTERNA TÁTICA NIGHTSTICK")</f>
        <v>LANTERNA TÁTICA NIGHTSTICK</v>
      </c>
      <c r="C2543" s="86">
        <f>IFERROR(__xludf.DUMMYFUNCTION("""COMPUTED_VALUE"""),1.0)</f>
        <v>1</v>
      </c>
      <c r="D2543" s="87" t="str">
        <f>IFERROR(__xludf.DUMMYFUNCTION("""COMPUTED_VALUE"""),"VIATURA")</f>
        <v>VIATURA</v>
      </c>
      <c r="E2543" s="87" t="str">
        <f>IFERROR(__xludf.DUMMYFUNCTION("""COMPUTED_VALUE"""),"1 - ACA2230")</f>
        <v>1 - ACA2230</v>
      </c>
      <c r="F2543" s="92"/>
      <c r="G2543" s="89"/>
      <c r="H2543" s="87"/>
      <c r="I2543" s="87"/>
    </row>
    <row r="2544">
      <c r="A2544" s="84">
        <f>IFERROR(__xludf.DUMMYFUNCTION("""COMPUTED_VALUE"""),754.0)</f>
        <v>754</v>
      </c>
      <c r="B2544" s="85" t="str">
        <f>IFERROR(__xludf.DUMMYFUNCTION("""COMPUTED_VALUE"""),"LANTERNA TÁTICA NIGHTSTICK")</f>
        <v>LANTERNA TÁTICA NIGHTSTICK</v>
      </c>
      <c r="C2544" s="86">
        <f>IFERROR(__xludf.DUMMYFUNCTION("""COMPUTED_VALUE"""),1.0)</f>
        <v>1</v>
      </c>
      <c r="D2544" s="87" t="str">
        <f>IFERROR(__xludf.DUMMYFUNCTION("""COMPUTED_VALUE"""),"VIATURA")</f>
        <v>VIATURA</v>
      </c>
      <c r="E2544" s="87" t="str">
        <f>IFERROR(__xludf.DUMMYFUNCTION("""COMPUTED_VALUE"""),"1 - UR3486")</f>
        <v>1 - UR3486</v>
      </c>
      <c r="F2544" s="92" t="str">
        <f>IFERROR(__xludf.DUMMYFUNCTION("""COMPUTED_VALUE"""),"VIATURA")</f>
        <v>VIATURA</v>
      </c>
      <c r="G2544" s="89"/>
      <c r="H2544" s="87"/>
      <c r="I2544" s="87"/>
    </row>
    <row r="2545">
      <c r="A2545" s="84">
        <f>IFERROR(__xludf.DUMMYFUNCTION("""COMPUTED_VALUE"""),755.0)</f>
        <v>755</v>
      </c>
      <c r="B2545" s="85" t="str">
        <f>IFERROR(__xludf.DUMMYFUNCTION("""COMPUTED_VALUE"""),"COLAR CERVICAL")</f>
        <v>COLAR CERVICAL</v>
      </c>
      <c r="C2545" s="86"/>
      <c r="D2545" s="87" t="str">
        <f>IFERROR(__xludf.DUMMYFUNCTION("""COMPUTED_VALUE"""),"VIATURA")</f>
        <v>VIATURA</v>
      </c>
      <c r="E2545" s="87" t="str">
        <f>IFERROR(__xludf.DUMMYFUNCTION("""COMPUTED_VALUE"""),"1 - UR3486")</f>
        <v>1 - UR3486</v>
      </c>
      <c r="F2545" s="92" t="str">
        <f>IFERROR(__xludf.DUMMYFUNCTION("""COMPUTED_VALUE"""),"MATERIAL DE CONSUMO")</f>
        <v>MATERIAL DE CONSUMO</v>
      </c>
      <c r="G2545" s="89"/>
      <c r="H2545" s="87"/>
      <c r="I2545" s="87"/>
    </row>
    <row r="2546">
      <c r="A2546" s="84">
        <f>IFERROR(__xludf.DUMMYFUNCTION("""COMPUTED_VALUE"""),756.0)</f>
        <v>756</v>
      </c>
      <c r="B2546" s="85" t="str">
        <f>IFERROR(__xludf.DUMMYFUNCTION("""COMPUTED_VALUE"""),"LANTERNA TÁTICA NIGHTSTICK")</f>
        <v>LANTERNA TÁTICA NIGHTSTICK</v>
      </c>
      <c r="C2546" s="86">
        <f>IFERROR(__xludf.DUMMYFUNCTION("""COMPUTED_VALUE"""),1.0)</f>
        <v>1</v>
      </c>
      <c r="D2546" s="87" t="str">
        <f>IFERROR(__xludf.DUMMYFUNCTION("""COMPUTED_VALUE"""),"VIATURA")</f>
        <v>VIATURA</v>
      </c>
      <c r="E2546" s="87" t="str">
        <f>IFERROR(__xludf.DUMMYFUNCTION("""COMPUTED_VALUE"""),"1 - ASL1080")</f>
        <v>1 - ASL1080</v>
      </c>
      <c r="F2546" s="92"/>
      <c r="G2546" s="89"/>
      <c r="H2546" s="87"/>
      <c r="I2546" s="87"/>
    </row>
    <row r="2547">
      <c r="A2547" s="84">
        <f>IFERROR(__xludf.DUMMYFUNCTION("""COMPUTED_VALUE"""),757.0)</f>
        <v>757</v>
      </c>
      <c r="B2547" s="85" t="str">
        <f>IFERROR(__xludf.DUMMYFUNCTION("""COMPUTED_VALUE"""),"CARREGADOR COMPLETO LANTERNA NIGHTSTICK ")</f>
        <v>CARREGADOR COMPLETO LANTERNA NIGHTSTICK </v>
      </c>
      <c r="C2547" s="86">
        <f>IFERROR(__xludf.DUMMYFUNCTION("""COMPUTED_VALUE"""),2.0)</f>
        <v>2</v>
      </c>
      <c r="D2547" s="87" t="str">
        <f>IFERROR(__xludf.DUMMYFUNCTION("""COMPUTED_VALUE"""),"SEÇÃO")</f>
        <v>SEÇÃO</v>
      </c>
      <c r="E2547" s="87" t="str">
        <f>IFERROR(__xludf.DUMMYFUNCTION("""COMPUTED_VALUE"""),"3 - SOU")</f>
        <v>3 - SOU</v>
      </c>
      <c r="F2547" s="92" t="str">
        <f>IFERROR(__xludf.DUMMYFUNCTION("""COMPUTED_VALUE"""),"SALA DE REDS")</f>
        <v>SALA DE REDS</v>
      </c>
      <c r="G2547" s="89"/>
      <c r="H2547" s="87"/>
      <c r="I2547" s="87" t="str">
        <f>IFERROR(__xludf.DUMMYFUNCTION("""COMPUTED_VALUE"""),"Base para carregamento, fonte e adaptador veicular")</f>
        <v>Base para carregamento, fonte e adaptador veicular</v>
      </c>
    </row>
    <row r="2548">
      <c r="A2548" s="84">
        <f>IFERROR(__xludf.DUMMYFUNCTION("""COMPUTED_VALUE"""),758.0)</f>
        <v>758</v>
      </c>
      <c r="B2548" s="85" t="str">
        <f>IFERROR(__xludf.DUMMYFUNCTION("""COMPUTED_VALUE"""),"TRIPÉ PARA RESGATE DE ANIMAIS")</f>
        <v>TRIPÉ PARA RESGATE DE ANIMAIS</v>
      </c>
      <c r="C2548" s="86">
        <f>IFERROR(__xludf.DUMMYFUNCTION("""COMPUTED_VALUE"""),1.0)</f>
        <v>1</v>
      </c>
      <c r="D2548" s="87" t="str">
        <f>IFERROR(__xludf.DUMMYFUNCTION("""COMPUTED_VALUE"""),"SEÇÃO")</f>
        <v>SEÇÃO</v>
      </c>
      <c r="E2548" s="87" t="str">
        <f>IFERROR(__xludf.DUMMYFUNCTION("""COMPUTED_VALUE"""),"3 - SETOR DE MEIOS")</f>
        <v>3 - SETOR DE MEIOS</v>
      </c>
      <c r="F2548" s="92" t="str">
        <f>IFERROR(__xludf.DUMMYFUNCTION("""COMPUTED_VALUE"""),"SETOR DE MEIOS")</f>
        <v>SETOR DE MEIOS</v>
      </c>
      <c r="G2548" s="89"/>
      <c r="H2548" s="87"/>
      <c r="I2548" s="87"/>
    </row>
    <row r="2549">
      <c r="A2549" s="84">
        <f>IFERROR(__xludf.DUMMYFUNCTION("""COMPUTED_VALUE"""),759.0)</f>
        <v>759</v>
      </c>
      <c r="B2549" s="85" t="str">
        <f>IFERROR(__xludf.DUMMYFUNCTION("""COMPUTED_VALUE"""),"CALÇO PARA VIATURA (FERRO)")</f>
        <v>CALÇO PARA VIATURA (FERRO)</v>
      </c>
      <c r="C2549" s="86">
        <f>IFERROR(__xludf.DUMMYFUNCTION("""COMPUTED_VALUE"""),1.0)</f>
        <v>1</v>
      </c>
      <c r="D2549" s="87" t="str">
        <f>IFERROR(__xludf.DUMMYFUNCTION("""COMPUTED_VALUE"""),"VIATURA")</f>
        <v>VIATURA</v>
      </c>
      <c r="E2549" s="87" t="str">
        <f>IFERROR(__xludf.DUMMYFUNCTION("""COMPUTED_VALUE"""),"1 - ATB0722")</f>
        <v>1 - ATB0722</v>
      </c>
      <c r="F2549" s="92"/>
      <c r="G2549" s="89"/>
      <c r="H2549" s="87"/>
      <c r="I2549" s="87"/>
    </row>
    <row r="2550">
      <c r="A2550" s="84">
        <f>IFERROR(__xludf.DUMMYFUNCTION("""COMPUTED_VALUE"""),760.0)</f>
        <v>760</v>
      </c>
      <c r="B2550" s="85" t="str">
        <f>IFERROR(__xludf.DUMMYFUNCTION("""COMPUTED_VALUE"""),"CALÇO PARA VIATURA (FERRO)")</f>
        <v>CALÇO PARA VIATURA (FERRO)</v>
      </c>
      <c r="C2550" s="86">
        <f>IFERROR(__xludf.DUMMYFUNCTION("""COMPUTED_VALUE"""),1.0)</f>
        <v>1</v>
      </c>
      <c r="D2550" s="87" t="str">
        <f>IFERROR(__xludf.DUMMYFUNCTION("""COMPUTED_VALUE"""),"VIATURA")</f>
        <v>VIATURA</v>
      </c>
      <c r="E2550" s="87" t="str">
        <f>IFERROR(__xludf.DUMMYFUNCTION("""COMPUTED_VALUE"""),"1 - ACIF5790")</f>
        <v>1 - ACIF5790</v>
      </c>
      <c r="F2550" s="92"/>
      <c r="G2550" s="89"/>
      <c r="H2550" s="87"/>
      <c r="I2550" s="87"/>
    </row>
    <row r="2551">
      <c r="A2551" s="84">
        <f>IFERROR(__xludf.DUMMYFUNCTION("""COMPUTED_VALUE"""),761.0)</f>
        <v>761</v>
      </c>
      <c r="B2551" s="85" t="str">
        <f>IFERROR(__xludf.DUMMYFUNCTION("""COMPUTED_VALUE"""),"CONE SINALEIRO")</f>
        <v>CONE SINALEIRO</v>
      </c>
      <c r="C2551" s="86">
        <f>IFERROR(__xludf.DUMMYFUNCTION("""COMPUTED_VALUE"""),2.0)</f>
        <v>2</v>
      </c>
      <c r="D2551" s="87" t="str">
        <f>IFERROR(__xludf.DUMMYFUNCTION("""COMPUTED_VALUE"""),"VIATURA")</f>
        <v>VIATURA</v>
      </c>
      <c r="E2551" s="87" t="str">
        <f>IFERROR(__xludf.DUMMYFUNCTION("""COMPUTED_VALUE"""),"1 - ACIF5790")</f>
        <v>1 - ACIF5790</v>
      </c>
      <c r="F2551" s="92" t="str">
        <f>IFERROR(__xludf.DUMMYFUNCTION("""COMPUTED_VALUE"""),"PARTE EXTERNA")</f>
        <v>PARTE EXTERNA</v>
      </c>
      <c r="G2551" s="89"/>
      <c r="H2551" s="87"/>
      <c r="I2551" s="87"/>
    </row>
    <row r="2552">
      <c r="A2552" s="84">
        <f>IFERROR(__xludf.DUMMYFUNCTION("""COMPUTED_VALUE"""),762.0)</f>
        <v>762</v>
      </c>
      <c r="B2552" s="85" t="str">
        <f>IFERROR(__xludf.DUMMYFUNCTION("""COMPUTED_VALUE"""),"ABAFADOR PARA COMBATE A INCENDIO FLORESTAL")</f>
        <v>ABAFADOR PARA COMBATE A INCENDIO FLORESTAL</v>
      </c>
      <c r="C2552" s="86">
        <f>IFERROR(__xludf.DUMMYFUNCTION("""COMPUTED_VALUE"""),2.0)</f>
        <v>2</v>
      </c>
      <c r="D2552" s="87" t="str">
        <f>IFERROR(__xludf.DUMMYFUNCTION("""COMPUTED_VALUE"""),"VIATURA")</f>
        <v>VIATURA</v>
      </c>
      <c r="E2552" s="87" t="str">
        <f>IFERROR(__xludf.DUMMYFUNCTION("""COMPUTED_VALUE"""),"1 - ACIF5790")</f>
        <v>1 - ACIF5790</v>
      </c>
      <c r="F2552" s="92" t="str">
        <f>IFERROR(__xludf.DUMMYFUNCTION("""COMPUTED_VALUE"""),"PARTE EXTERNA")</f>
        <v>PARTE EXTERNA</v>
      </c>
      <c r="G2552" s="89"/>
      <c r="H2552" s="87"/>
      <c r="I2552" s="87"/>
    </row>
    <row r="2553">
      <c r="A2553" s="84">
        <f>IFERROR(__xludf.DUMMYFUNCTION("""COMPUTED_VALUE"""),763.0)</f>
        <v>763</v>
      </c>
      <c r="B2553" s="85" t="str">
        <f>IFERROR(__xludf.DUMMYFUNCTION("""COMPUTED_VALUE"""),"CABO SOLTEIRO")</f>
        <v>CABO SOLTEIRO</v>
      </c>
      <c r="C2553" s="86">
        <f>IFERROR(__xludf.DUMMYFUNCTION("""COMPUTED_VALUE"""),2.0)</f>
        <v>2</v>
      </c>
      <c r="D2553" s="87" t="str">
        <f>IFERROR(__xludf.DUMMYFUNCTION("""COMPUTED_VALUE"""),"VIATURA")</f>
        <v>VIATURA</v>
      </c>
      <c r="E2553" s="87" t="str">
        <f>IFERROR(__xludf.DUMMYFUNCTION("""COMPUTED_VALUE"""),"1 - ACIF5790")</f>
        <v>1 - ACIF5790</v>
      </c>
      <c r="F2553" s="92" t="str">
        <f>IFERROR(__xludf.DUMMYFUNCTION("""COMPUTED_VALUE"""),"PARTE EXTERNA")</f>
        <v>PARTE EXTERNA</v>
      </c>
      <c r="G2553" s="89"/>
      <c r="H2553" s="87"/>
      <c r="I2553" s="87" t="str">
        <f>IFERROR(__xludf.DUMMYFUNCTION("""COMPUTED_VALUE"""),"AMARRANDO OS ABAFADORES.")</f>
        <v>AMARRANDO OS ABAFADORES.</v>
      </c>
    </row>
    <row r="2554">
      <c r="A2554" s="84">
        <f>IFERROR(__xludf.DUMMYFUNCTION("""COMPUTED_VALUE"""),764.0)</f>
        <v>764</v>
      </c>
      <c r="B2554" s="85" t="str">
        <f>IFERROR(__xludf.DUMMYFUNCTION("""COMPUTED_VALUE"""),"CHAVE DE MANGUEIRA")</f>
        <v>CHAVE DE MANGUEIRA</v>
      </c>
      <c r="C2554" s="86">
        <f>IFERROR(__xludf.DUMMYFUNCTION("""COMPUTED_VALUE"""),2.0)</f>
        <v>2</v>
      </c>
      <c r="D2554" s="87" t="str">
        <f>IFERROR(__xludf.DUMMYFUNCTION("""COMPUTED_VALUE"""),"VIATURA")</f>
        <v>VIATURA</v>
      </c>
      <c r="E2554" s="87" t="str">
        <f>IFERROR(__xludf.DUMMYFUNCTION("""COMPUTED_VALUE"""),"1 - ACIF5790")</f>
        <v>1 - ACIF5790</v>
      </c>
      <c r="F2554" s="92" t="str">
        <f>IFERROR(__xludf.DUMMYFUNCTION("""COMPUTED_VALUE"""),"BOX 01")</f>
        <v>BOX 01</v>
      </c>
      <c r="G2554" s="89"/>
      <c r="H2554" s="87"/>
      <c r="I2554" s="87"/>
    </row>
    <row r="2555">
      <c r="A2555" s="84">
        <f>IFERROR(__xludf.DUMMYFUNCTION("""COMPUTED_VALUE"""),765.0)</f>
        <v>765</v>
      </c>
      <c r="B2555" s="85" t="str">
        <f>IFERROR(__xludf.DUMMYFUNCTION("""COMPUTED_VALUE"""),"REDUÇÃO 2 ¹/² P/ 1¹/² ")</f>
        <v>REDUÇÃO 2 ¹/² P/ 1¹/² </v>
      </c>
      <c r="C2555" s="86">
        <f>IFERROR(__xludf.DUMMYFUNCTION("""COMPUTED_VALUE"""),1.0)</f>
        <v>1</v>
      </c>
      <c r="D2555" s="87" t="str">
        <f>IFERROR(__xludf.DUMMYFUNCTION("""COMPUTED_VALUE"""),"VIATURA")</f>
        <v>VIATURA</v>
      </c>
      <c r="E2555" s="87" t="str">
        <f>IFERROR(__xludf.DUMMYFUNCTION("""COMPUTED_VALUE"""),"1 - ACIF5790")</f>
        <v>1 - ACIF5790</v>
      </c>
      <c r="F2555" s="92" t="str">
        <f>IFERROR(__xludf.DUMMYFUNCTION("""COMPUTED_VALUE"""),"BOX 01")</f>
        <v>BOX 01</v>
      </c>
      <c r="G2555" s="89"/>
      <c r="H2555" s="87"/>
      <c r="I2555" s="87"/>
    </row>
    <row r="2556">
      <c r="A2556" s="84">
        <f>IFERROR(__xludf.DUMMYFUNCTION("""COMPUTED_VALUE"""),766.0)</f>
        <v>766</v>
      </c>
      <c r="B2556" s="85" t="str">
        <f>IFERROR(__xludf.DUMMYFUNCTION("""COMPUTED_VALUE"""),"REDUÇÃO 2 ¹/² P/ 1¹/² ")</f>
        <v>REDUÇÃO 2 ¹/² P/ 1¹/² </v>
      </c>
      <c r="C2556" s="86">
        <f>IFERROR(__xludf.DUMMYFUNCTION("""COMPUTED_VALUE"""),1.0)</f>
        <v>1</v>
      </c>
      <c r="D2556" s="87" t="str">
        <f>IFERROR(__xludf.DUMMYFUNCTION("""COMPUTED_VALUE"""),"VIATURA")</f>
        <v>VIATURA</v>
      </c>
      <c r="E2556" s="87" t="str">
        <f>IFERROR(__xludf.DUMMYFUNCTION("""COMPUTED_VALUE"""),"1 - ABTS1418")</f>
        <v>1 - ABTS1418</v>
      </c>
      <c r="F2556" s="92"/>
      <c r="G2556" s="89"/>
      <c r="H2556" s="87"/>
      <c r="I2556" s="87"/>
    </row>
    <row r="2557">
      <c r="A2557" s="84">
        <f>IFERROR(__xludf.DUMMYFUNCTION("""COMPUTED_VALUE"""),767.0)</f>
        <v>767</v>
      </c>
      <c r="B2557" s="85" t="str">
        <f>IFERROR(__xludf.DUMMYFUNCTION("""COMPUTED_VALUE"""),"ANEMÔMETRO KESTREL")</f>
        <v>ANEMÔMETRO KESTREL</v>
      </c>
      <c r="C2557" s="86">
        <f>IFERROR(__xludf.DUMMYFUNCTION("""COMPUTED_VALUE"""),1.0)</f>
        <v>1</v>
      </c>
      <c r="D2557" s="87" t="str">
        <f>IFERROR(__xludf.DUMMYFUNCTION("""COMPUTED_VALUE"""),"VIATURA")</f>
        <v>VIATURA</v>
      </c>
      <c r="E2557" s="87" t="str">
        <f>IFERROR(__xludf.DUMMYFUNCTION("""COMPUTED_VALUE"""),"1 - ASF2163")</f>
        <v>1 - ASF2163</v>
      </c>
      <c r="F2557" s="92"/>
      <c r="G2557" s="89"/>
      <c r="H2557" s="87"/>
      <c r="I2557" s="87"/>
    </row>
    <row r="2558">
      <c r="A2558" s="84">
        <f>IFERROR(__xludf.DUMMYFUNCTION("""COMPUTED_VALUE"""),768.0)</f>
        <v>768</v>
      </c>
      <c r="B2558" s="85" t="str">
        <f>IFERROR(__xludf.DUMMYFUNCTION("""COMPUTED_VALUE"""),"BOLSA DE RESGATE")</f>
        <v>BOLSA DE RESGATE</v>
      </c>
      <c r="C2558" s="86">
        <f>IFERROR(__xludf.DUMMYFUNCTION("""COMPUTED_VALUE"""),1.0)</f>
        <v>1</v>
      </c>
      <c r="D2558" s="87" t="str">
        <f>IFERROR(__xludf.DUMMYFUNCTION("""COMPUTED_VALUE"""),"VIATURA")</f>
        <v>VIATURA</v>
      </c>
      <c r="E2558" s="87" t="str">
        <f>IFERROR(__xludf.DUMMYFUNCTION("""COMPUTED_VALUE"""),"1 - ASL1080")</f>
        <v>1 - ASL1080</v>
      </c>
      <c r="F2558" s="92" t="str">
        <f>IFERROR(__xludf.DUMMYFUNCTION("""COMPUTED_VALUE"""),"BOLSA DE RESGATE")</f>
        <v>BOLSA DE RESGATE</v>
      </c>
      <c r="G2558" s="89"/>
      <c r="H2558" s="87"/>
      <c r="I2558" s="87" t="str">
        <f>IFERROR(__xludf.DUMMYFUNCTION("""COMPUTED_VALUE"""),"BOLSA DE APH PRETA COM MATERIAIS DIVERSOS")</f>
        <v>BOLSA DE APH PRETA COM MATERIAIS DIVERSOS</v>
      </c>
    </row>
    <row r="2559">
      <c r="A2559" s="84">
        <f>IFERROR(__xludf.DUMMYFUNCTION("""COMPUTED_VALUE"""),769.0)</f>
        <v>769</v>
      </c>
      <c r="B2559" s="85" t="str">
        <f>IFERROR(__xludf.DUMMYFUNCTION("""COMPUTED_VALUE"""),"CALÇO PARA VIATURAS (POLIETILENO)")</f>
        <v>CALÇO PARA VIATURAS (POLIETILENO)</v>
      </c>
      <c r="C2559" s="86">
        <f>IFERROR(__xludf.DUMMYFUNCTION("""COMPUTED_VALUE"""),1.0)</f>
        <v>1</v>
      </c>
      <c r="D2559" s="87" t="str">
        <f>IFERROR(__xludf.DUMMYFUNCTION("""COMPUTED_VALUE"""),"VIATURA")</f>
        <v>VIATURA</v>
      </c>
      <c r="E2559" s="87" t="str">
        <f>IFERROR(__xludf.DUMMYFUNCTION("""COMPUTED_VALUE"""),"1 - ASL1080")</f>
        <v>1 - ASL1080</v>
      </c>
      <c r="F2559" s="92" t="str">
        <f>IFERROR(__xludf.DUMMYFUNCTION("""COMPUTED_VALUE"""),"CARROCERIA")</f>
        <v>CARROCERIA</v>
      </c>
      <c r="G2559" s="89"/>
      <c r="H2559" s="87"/>
      <c r="I2559" s="87"/>
    </row>
    <row r="2560">
      <c r="A2560" s="84">
        <f>IFERROR(__xludf.DUMMYFUNCTION("""COMPUTED_VALUE"""),770.0)</f>
        <v>770</v>
      </c>
      <c r="B2560" s="85" t="str">
        <f>IFERROR(__xludf.DUMMYFUNCTION("""COMPUTED_VALUE"""),"BALDE PARA SERRAGEM")</f>
        <v>BALDE PARA SERRAGEM</v>
      </c>
      <c r="C2560" s="86">
        <f>IFERROR(__xludf.DUMMYFUNCTION("""COMPUTED_VALUE"""),1.0)</f>
        <v>1</v>
      </c>
      <c r="D2560" s="87" t="str">
        <f>IFERROR(__xludf.DUMMYFUNCTION("""COMPUTED_VALUE"""),"VIATURA")</f>
        <v>VIATURA</v>
      </c>
      <c r="E2560" s="87" t="str">
        <f>IFERROR(__xludf.DUMMYFUNCTION("""COMPUTED_VALUE"""),"1 - ABTS1418")</f>
        <v>1 - ABTS1418</v>
      </c>
      <c r="F2560" s="92" t="str">
        <f>IFERROR(__xludf.DUMMYFUNCTION("""COMPUTED_VALUE"""),"BOX 04")</f>
        <v>BOX 04</v>
      </c>
      <c r="G2560" s="89"/>
      <c r="H2560" s="87"/>
      <c r="I2560" s="87"/>
    </row>
    <row r="2561">
      <c r="A2561" s="84">
        <f>IFERROR(__xludf.DUMMYFUNCTION("""COMPUTED_VALUE"""),771.0)</f>
        <v>771</v>
      </c>
      <c r="B2561" s="85" t="str">
        <f>IFERROR(__xludf.DUMMYFUNCTION("""COMPUTED_VALUE"""),"BASTAO ISOLADO")</f>
        <v>BASTAO ISOLADO</v>
      </c>
      <c r="C2561" s="86">
        <f>IFERROR(__xludf.DUMMYFUNCTION("""COMPUTED_VALUE"""),1.0)</f>
        <v>1</v>
      </c>
      <c r="D2561" s="87" t="str">
        <f>IFERROR(__xludf.DUMMYFUNCTION("""COMPUTED_VALUE"""),"VIATURA")</f>
        <v>VIATURA</v>
      </c>
      <c r="E2561" s="87" t="str">
        <f>IFERROR(__xludf.DUMMYFUNCTION("""COMPUTED_VALUE"""),"1 - ABTS1418")</f>
        <v>1 - ABTS1418</v>
      </c>
      <c r="F2561" s="92" t="str">
        <f>IFERROR(__xludf.DUMMYFUNCTION("""COMPUTED_VALUE"""),"BOX SUPERIOR 01")</f>
        <v>BOX SUPERIOR 01</v>
      </c>
      <c r="G2561" s="89"/>
      <c r="H2561" s="87"/>
      <c r="I2561" s="87"/>
    </row>
    <row r="2562">
      <c r="A2562" s="84">
        <f>IFERROR(__xludf.DUMMYFUNCTION("""COMPUTED_VALUE"""),772.0)</f>
        <v>772</v>
      </c>
      <c r="B2562" s="85" t="str">
        <f>IFERROR(__xludf.DUMMYFUNCTION("""COMPUTED_VALUE"""),"TRIÂNGULO DE AÇO PARA RECUPERAÇÃO DE CORPOS")</f>
        <v>TRIÂNGULO DE AÇO PARA RECUPERAÇÃO DE CORPOS</v>
      </c>
      <c r="C2562" s="86">
        <f>IFERROR(__xludf.DUMMYFUNCTION("""COMPUTED_VALUE"""),1.0)</f>
        <v>1</v>
      </c>
      <c r="D2562" s="87" t="str">
        <f>IFERROR(__xludf.DUMMYFUNCTION("""COMPUTED_VALUE"""),"SEÇÃO")</f>
        <v>SEÇÃO</v>
      </c>
      <c r="E2562" s="87" t="str">
        <f>IFERROR(__xludf.DUMMYFUNCTION("""COMPUTED_VALUE"""),"3 - SETOR DE MEIOS")</f>
        <v>3 - SETOR DE MEIOS</v>
      </c>
      <c r="F2562" s="92" t="str">
        <f>IFERROR(__xludf.DUMMYFUNCTION("""COMPUTED_VALUE"""),"MATERIAL DE MERGULHO")</f>
        <v>MATERIAL DE MERGULHO</v>
      </c>
      <c r="G2562" s="89">
        <f>IFERROR(__xludf.DUMMYFUNCTION("""COMPUTED_VALUE"""),45623.0)</f>
        <v>45623</v>
      </c>
      <c r="H2562" s="87"/>
      <c r="I2562" s="87"/>
    </row>
    <row r="2563">
      <c r="A2563" s="84">
        <f>IFERROR(__xludf.DUMMYFUNCTION("""COMPUTED_VALUE"""),773.0)</f>
        <v>773</v>
      </c>
      <c r="B2563" s="85" t="str">
        <f>IFERROR(__xludf.DUMMYFUNCTION("""COMPUTED_VALUE"""),"TALA MOLDÁVEL M")</f>
        <v>TALA MOLDÁVEL M</v>
      </c>
      <c r="C2563" s="86"/>
      <c r="D2563" s="87" t="str">
        <f>IFERROR(__xludf.DUMMYFUNCTION("""COMPUTED_VALUE"""),"VIATURA")</f>
        <v>VIATURA</v>
      </c>
      <c r="E2563" s="87" t="str">
        <f>IFERROR(__xludf.DUMMYFUNCTION("""COMPUTED_VALUE"""),"1 - UR3486")</f>
        <v>1 - UR3486</v>
      </c>
      <c r="F2563" s="92" t="str">
        <f>IFERROR(__xludf.DUMMYFUNCTION("""COMPUTED_VALUE"""),"MATERIAL DE CONSUMO")</f>
        <v>MATERIAL DE CONSUMO</v>
      </c>
      <c r="G2563" s="89"/>
      <c r="H2563" s="87"/>
      <c r="I2563" s="87"/>
    </row>
    <row r="2564">
      <c r="A2564" s="84">
        <f>IFERROR(__xludf.DUMMYFUNCTION("""COMPUTED_VALUE"""),774.0)</f>
        <v>774</v>
      </c>
      <c r="B2564" s="85" t="str">
        <f>IFERROR(__xludf.DUMMYFUNCTION("""COMPUTED_VALUE"""),"CAIXA DE LUVAS DESCARTÁVEIS M")</f>
        <v>CAIXA DE LUVAS DESCARTÁVEIS M</v>
      </c>
      <c r="C2564" s="86">
        <f>IFERROR(__xludf.DUMMYFUNCTION("""COMPUTED_VALUE"""),5.0)</f>
        <v>5</v>
      </c>
      <c r="D2564" s="87" t="str">
        <f>IFERROR(__xludf.DUMMYFUNCTION("""COMPUTED_VALUE"""),"VIATURA")</f>
        <v>VIATURA</v>
      </c>
      <c r="E2564" s="87" t="str">
        <f>IFERROR(__xludf.DUMMYFUNCTION("""COMPUTED_VALUE"""),"1 - UR3486")</f>
        <v>1 - UR3486</v>
      </c>
      <c r="F2564" s="92" t="str">
        <f>IFERROR(__xludf.DUMMYFUNCTION("""COMPUTED_VALUE"""),"MATERIAL DE CONSUMO")</f>
        <v>MATERIAL DE CONSUMO</v>
      </c>
      <c r="G2564" s="89"/>
      <c r="H2564" s="87"/>
      <c r="I2564" s="87"/>
    </row>
    <row r="2565">
      <c r="A2565" s="84">
        <f>IFERROR(__xludf.DUMMYFUNCTION("""COMPUTED_VALUE"""),775.0)</f>
        <v>775</v>
      </c>
      <c r="B2565" s="85" t="str">
        <f>IFERROR(__xludf.DUMMYFUNCTION("""COMPUTED_VALUE"""),"CAIXA DE MASCARAS TRIPLA DESCARTÁVEL")</f>
        <v>CAIXA DE MASCARAS TRIPLA DESCARTÁVEL</v>
      </c>
      <c r="C2565" s="86"/>
      <c r="D2565" s="87" t="str">
        <f>IFERROR(__xludf.DUMMYFUNCTION("""COMPUTED_VALUE"""),"VIATURA")</f>
        <v>VIATURA</v>
      </c>
      <c r="E2565" s="87" t="str">
        <f>IFERROR(__xludf.DUMMYFUNCTION("""COMPUTED_VALUE"""),"1 - UR3486")</f>
        <v>1 - UR3486</v>
      </c>
      <c r="F2565" s="92" t="str">
        <f>IFERROR(__xludf.DUMMYFUNCTION("""COMPUTED_VALUE"""),"MATERIAL DE CONSUMO")</f>
        <v>MATERIAL DE CONSUMO</v>
      </c>
      <c r="G2565" s="89"/>
      <c r="H2565" s="87"/>
      <c r="I2565" s="87"/>
    </row>
    <row r="2566">
      <c r="A2566" s="84">
        <f>IFERROR(__xludf.DUMMYFUNCTION("""COMPUTED_VALUE"""),776.0)</f>
        <v>776</v>
      </c>
      <c r="B2566" s="85" t="str">
        <f>IFERROR(__xludf.DUMMYFUNCTION("""COMPUTED_VALUE"""),"CAMPO OPERATÓRIO")</f>
        <v>CAMPO OPERATÓRIO</v>
      </c>
      <c r="C2566" s="86"/>
      <c r="D2566" s="87" t="str">
        <f>IFERROR(__xludf.DUMMYFUNCTION("""COMPUTED_VALUE"""),"VIATURA")</f>
        <v>VIATURA</v>
      </c>
      <c r="E2566" s="87" t="str">
        <f>IFERROR(__xludf.DUMMYFUNCTION("""COMPUTED_VALUE"""),"1 - UR3486")</f>
        <v>1 - UR3486</v>
      </c>
      <c r="F2566" s="92" t="str">
        <f>IFERROR(__xludf.DUMMYFUNCTION("""COMPUTED_VALUE"""),"MATERIAL DE CONSUMO")</f>
        <v>MATERIAL DE CONSUMO</v>
      </c>
      <c r="G2566" s="89"/>
      <c r="H2566" s="87"/>
      <c r="I2566" s="87"/>
    </row>
    <row r="2567">
      <c r="A2567" s="84">
        <f>IFERROR(__xludf.DUMMYFUNCTION("""COMPUTED_VALUE"""),777.0)</f>
        <v>777</v>
      </c>
      <c r="B2567" s="85" t="str">
        <f>IFERROR(__xludf.DUMMYFUNCTION("""COMPUTED_VALUE"""),"GAZE")</f>
        <v>GAZE</v>
      </c>
      <c r="C2567" s="86"/>
      <c r="D2567" s="87" t="str">
        <f>IFERROR(__xludf.DUMMYFUNCTION("""COMPUTED_VALUE"""),"VIATURA")</f>
        <v>VIATURA</v>
      </c>
      <c r="E2567" s="87" t="str">
        <f>IFERROR(__xludf.DUMMYFUNCTION("""COMPUTED_VALUE"""),"1 - UR3486")</f>
        <v>1 - UR3486</v>
      </c>
      <c r="F2567" s="92" t="str">
        <f>IFERROR(__xludf.DUMMYFUNCTION("""COMPUTED_VALUE"""),"MATERIAL DE CONSUMO")</f>
        <v>MATERIAL DE CONSUMO</v>
      </c>
      <c r="G2567" s="89"/>
      <c r="H2567" s="87"/>
      <c r="I2567" s="87"/>
    </row>
    <row r="2568">
      <c r="A2568" s="84">
        <f>IFERROR(__xludf.DUMMYFUNCTION("""COMPUTED_VALUE"""),778.0)</f>
        <v>778</v>
      </c>
      <c r="B2568" s="85" t="str">
        <f>IFERROR(__xludf.DUMMYFUNCTION("""COMPUTED_VALUE"""),"ATADURAS")</f>
        <v>ATADURAS</v>
      </c>
      <c r="C2568" s="86"/>
      <c r="D2568" s="87" t="str">
        <f>IFERROR(__xludf.DUMMYFUNCTION("""COMPUTED_VALUE"""),"VIATURA")</f>
        <v>VIATURA</v>
      </c>
      <c r="E2568" s="87" t="str">
        <f>IFERROR(__xludf.DUMMYFUNCTION("""COMPUTED_VALUE"""),"1 - UR3486")</f>
        <v>1 - UR3486</v>
      </c>
      <c r="F2568" s="92" t="str">
        <f>IFERROR(__xludf.DUMMYFUNCTION("""COMPUTED_VALUE"""),"MATERIAL DE CONSUMO")</f>
        <v>MATERIAL DE CONSUMO</v>
      </c>
      <c r="G2568" s="89"/>
      <c r="H2568" s="87"/>
      <c r="I2568" s="87"/>
    </row>
    <row r="2569">
      <c r="A2569" s="84">
        <f>IFERROR(__xludf.DUMMYFUNCTION("""COMPUTED_VALUE"""),779.0)</f>
        <v>779</v>
      </c>
      <c r="B2569" s="85" t="str">
        <f>IFERROR(__xludf.DUMMYFUNCTION("""COMPUTED_VALUE"""),"ESPARADRAPO")</f>
        <v>ESPARADRAPO</v>
      </c>
      <c r="C2569" s="86"/>
      <c r="D2569" s="87" t="str">
        <f>IFERROR(__xludf.DUMMYFUNCTION("""COMPUTED_VALUE"""),"VIATURA")</f>
        <v>VIATURA</v>
      </c>
      <c r="E2569" s="87" t="str">
        <f>IFERROR(__xludf.DUMMYFUNCTION("""COMPUTED_VALUE"""),"1 - UR3486")</f>
        <v>1 - UR3486</v>
      </c>
      <c r="F2569" s="92" t="str">
        <f>IFERROR(__xludf.DUMMYFUNCTION("""COMPUTED_VALUE"""),"MATERIAL DE CONSUMO")</f>
        <v>MATERIAL DE CONSUMO</v>
      </c>
      <c r="G2569" s="89"/>
      <c r="H2569" s="87"/>
      <c r="I2569" s="87"/>
    </row>
    <row r="2570">
      <c r="A2570" s="84">
        <f>IFERROR(__xludf.DUMMYFUNCTION("""COMPUTED_VALUE"""),780.0)</f>
        <v>780</v>
      </c>
      <c r="B2570" s="85" t="str">
        <f>IFERROR(__xludf.DUMMYFUNCTION("""COMPUTED_VALUE"""),"ÁLCOOL LÍQUIDO")</f>
        <v>ÁLCOOL LÍQUIDO</v>
      </c>
      <c r="C2570" s="86"/>
      <c r="D2570" s="87" t="str">
        <f>IFERROR(__xludf.DUMMYFUNCTION("""COMPUTED_VALUE"""),"VIATURA")</f>
        <v>VIATURA</v>
      </c>
      <c r="E2570" s="87" t="str">
        <f>IFERROR(__xludf.DUMMYFUNCTION("""COMPUTED_VALUE"""),"1 - UR3486")</f>
        <v>1 - UR3486</v>
      </c>
      <c r="F2570" s="92" t="str">
        <f>IFERROR(__xludf.DUMMYFUNCTION("""COMPUTED_VALUE"""),"MATERIAL DE CONSUMO")</f>
        <v>MATERIAL DE CONSUMO</v>
      </c>
      <c r="G2570" s="89"/>
      <c r="H2570" s="87"/>
      <c r="I2570" s="87"/>
    </row>
    <row r="2571">
      <c r="A2571" s="84">
        <f>IFERROR(__xludf.DUMMYFUNCTION("""COMPUTED_VALUE"""),781.0)</f>
        <v>781</v>
      </c>
      <c r="B2571" s="85" t="str">
        <f>IFERROR(__xludf.DUMMYFUNCTION("""COMPUTED_VALUE"""),"ÁGUA OXIGENADA")</f>
        <v>ÁGUA OXIGENADA</v>
      </c>
      <c r="C2571" s="86"/>
      <c r="D2571" s="87" t="str">
        <f>IFERROR(__xludf.DUMMYFUNCTION("""COMPUTED_VALUE"""),"VIATURA")</f>
        <v>VIATURA</v>
      </c>
      <c r="E2571" s="87" t="str">
        <f>IFERROR(__xludf.DUMMYFUNCTION("""COMPUTED_VALUE"""),"1 - UR3486")</f>
        <v>1 - UR3486</v>
      </c>
      <c r="F2571" s="92" t="str">
        <f>IFERROR(__xludf.DUMMYFUNCTION("""COMPUTED_VALUE"""),"MATERIAL DE CONSUMO")</f>
        <v>MATERIAL DE CONSUMO</v>
      </c>
      <c r="G2571" s="89"/>
      <c r="H2571" s="87"/>
      <c r="I2571" s="87"/>
    </row>
    <row r="2572">
      <c r="A2572" s="84">
        <f>IFERROR(__xludf.DUMMYFUNCTION("""COMPUTED_VALUE"""),782.0)</f>
        <v>782</v>
      </c>
      <c r="B2572" s="85" t="str">
        <f>IFERROR(__xludf.DUMMYFUNCTION("""COMPUTED_VALUE"""),"KIT QUEIMADURA")</f>
        <v>KIT QUEIMADURA</v>
      </c>
      <c r="C2572" s="86"/>
      <c r="D2572" s="87" t="str">
        <f>IFERROR(__xludf.DUMMYFUNCTION("""COMPUTED_VALUE"""),"VIATURA")</f>
        <v>VIATURA</v>
      </c>
      <c r="E2572" s="87" t="str">
        <f>IFERROR(__xludf.DUMMYFUNCTION("""COMPUTED_VALUE"""),"1 - UR3486")</f>
        <v>1 - UR3486</v>
      </c>
      <c r="F2572" s="92" t="str">
        <f>IFERROR(__xludf.DUMMYFUNCTION("""COMPUTED_VALUE"""),"MATERIAL DE CONSUMO")</f>
        <v>MATERIAL DE CONSUMO</v>
      </c>
      <c r="G2572" s="89"/>
      <c r="H2572" s="87"/>
      <c r="I2572" s="87"/>
    </row>
    <row r="2573">
      <c r="A2573" s="84">
        <f>IFERROR(__xludf.DUMMYFUNCTION("""COMPUTED_VALUE"""),783.0)</f>
        <v>783</v>
      </c>
      <c r="B2573" s="85" t="str">
        <f>IFERROR(__xludf.DUMMYFUNCTION("""COMPUTED_VALUE"""),"KIT PARA PARTO -")</f>
        <v>KIT PARA PARTO -</v>
      </c>
      <c r="C2573" s="86"/>
      <c r="D2573" s="87" t="str">
        <f>IFERROR(__xludf.DUMMYFUNCTION("""COMPUTED_VALUE"""),"VIATURA")</f>
        <v>VIATURA</v>
      </c>
      <c r="E2573" s="87" t="str">
        <f>IFERROR(__xludf.DUMMYFUNCTION("""COMPUTED_VALUE"""),"1 - UR3486")</f>
        <v>1 - UR3486</v>
      </c>
      <c r="F2573" s="92" t="str">
        <f>IFERROR(__xludf.DUMMYFUNCTION("""COMPUTED_VALUE"""),"MATERIAL DE CONSUMO")</f>
        <v>MATERIAL DE CONSUMO</v>
      </c>
      <c r="G2573" s="89"/>
      <c r="H2573" s="87"/>
      <c r="I2573" s="87"/>
    </row>
    <row r="2574">
      <c r="A2574" s="84">
        <f>IFERROR(__xludf.DUMMYFUNCTION("""COMPUTED_VALUE"""),784.0)</f>
        <v>784</v>
      </c>
      <c r="B2574" s="85" t="str">
        <f>IFERROR(__xludf.DUMMYFUNCTION("""COMPUTED_VALUE"""),"CLORO")</f>
        <v>CLORO</v>
      </c>
      <c r="C2574" s="86"/>
      <c r="D2574" s="87" t="str">
        <f>IFERROR(__xludf.DUMMYFUNCTION("""COMPUTED_VALUE"""),"VIATURA")</f>
        <v>VIATURA</v>
      </c>
      <c r="E2574" s="87" t="str">
        <f>IFERROR(__xludf.DUMMYFUNCTION("""COMPUTED_VALUE"""),"1 - UR3486")</f>
        <v>1 - UR3486</v>
      </c>
      <c r="F2574" s="92" t="str">
        <f>IFERROR(__xludf.DUMMYFUNCTION("""COMPUTED_VALUE"""),"MATERIAL DE CONSUMO")</f>
        <v>MATERIAL DE CONSUMO</v>
      </c>
      <c r="G2574" s="89"/>
      <c r="H2574" s="87"/>
      <c r="I2574" s="87"/>
    </row>
    <row r="2575">
      <c r="A2575" s="84">
        <f>IFERROR(__xludf.DUMMYFUNCTION("""COMPUTED_VALUE"""),785.0)</f>
        <v>785</v>
      </c>
      <c r="B2575" s="85" t="str">
        <f>IFERROR(__xludf.DUMMYFUNCTION("""COMPUTED_VALUE"""),"SACO PARA COLETA DE RESIDUOS DE SAUDE -")</f>
        <v>SACO PARA COLETA DE RESIDUOS DE SAUDE -</v>
      </c>
      <c r="C2575" s="86"/>
      <c r="D2575" s="87" t="str">
        <f>IFERROR(__xludf.DUMMYFUNCTION("""COMPUTED_VALUE"""),"VIATURA")</f>
        <v>VIATURA</v>
      </c>
      <c r="E2575" s="87" t="str">
        <f>IFERROR(__xludf.DUMMYFUNCTION("""COMPUTED_VALUE"""),"1 - UR3486")</f>
        <v>1 - UR3486</v>
      </c>
      <c r="F2575" s="92" t="str">
        <f>IFERROR(__xludf.DUMMYFUNCTION("""COMPUTED_VALUE"""),"MATERIAL DE CONSUMO")</f>
        <v>MATERIAL DE CONSUMO</v>
      </c>
      <c r="G2575" s="89"/>
      <c r="H2575" s="87"/>
      <c r="I2575" s="87"/>
    </row>
    <row r="2576">
      <c r="A2576" s="84">
        <f>IFERROR(__xludf.DUMMYFUNCTION("""COMPUTED_VALUE"""),786.0)</f>
        <v>786</v>
      </c>
      <c r="B2576" s="85" t="str">
        <f>IFERROR(__xludf.DUMMYFUNCTION("""COMPUTED_VALUE"""),"TOALHA DE PAPEL (SC) -")</f>
        <v>TOALHA DE PAPEL (SC) -</v>
      </c>
      <c r="C2576" s="86"/>
      <c r="D2576" s="87" t="str">
        <f>IFERROR(__xludf.DUMMYFUNCTION("""COMPUTED_VALUE"""),"VIATURA")</f>
        <v>VIATURA</v>
      </c>
      <c r="E2576" s="87" t="str">
        <f>IFERROR(__xludf.DUMMYFUNCTION("""COMPUTED_VALUE"""),"1 - UR3486")</f>
        <v>1 - UR3486</v>
      </c>
      <c r="F2576" s="92" t="str">
        <f>IFERROR(__xludf.DUMMYFUNCTION("""COMPUTED_VALUE"""),"MATERIAL DE CONSUMO")</f>
        <v>MATERIAL DE CONSUMO</v>
      </c>
      <c r="G2576" s="89"/>
      <c r="H2576" s="87"/>
      <c r="I2576" s="87"/>
    </row>
    <row r="2577">
      <c r="A2577" s="84">
        <f>IFERROR(__xludf.DUMMYFUNCTION("""COMPUTED_VALUE"""),787.0)</f>
        <v>787</v>
      </c>
      <c r="B2577" s="85" t="str">
        <f>IFERROR(__xludf.DUMMYFUNCTION("""COMPUTED_VALUE"""),"MANTA ALUMINIZADA -")</f>
        <v>MANTA ALUMINIZADA -</v>
      </c>
      <c r="C2577" s="86"/>
      <c r="D2577" s="87" t="str">
        <f>IFERROR(__xludf.DUMMYFUNCTION("""COMPUTED_VALUE"""),"VIATURA")</f>
        <v>VIATURA</v>
      </c>
      <c r="E2577" s="87" t="str">
        <f>IFERROR(__xludf.DUMMYFUNCTION("""COMPUTED_VALUE"""),"1 - UR3486")</f>
        <v>1 - UR3486</v>
      </c>
      <c r="F2577" s="92" t="str">
        <f>IFERROR(__xludf.DUMMYFUNCTION("""COMPUTED_VALUE"""),"MATERIAL DE CONSUMO")</f>
        <v>MATERIAL DE CONSUMO</v>
      </c>
      <c r="G2577" s="89"/>
      <c r="H2577" s="87"/>
      <c r="I2577" s="87"/>
    </row>
    <row r="2578">
      <c r="A2578" s="84">
        <f>IFERROR(__xludf.DUMMYFUNCTION("""COMPUTED_VALUE"""),788.0)</f>
        <v>788</v>
      </c>
      <c r="B2578" s="85" t="str">
        <f>IFERROR(__xludf.DUMMYFUNCTION("""COMPUTED_VALUE"""),"SORO FISIOLÓGICO")</f>
        <v>SORO FISIOLÓGICO</v>
      </c>
      <c r="C2578" s="86"/>
      <c r="D2578" s="87" t="str">
        <f>IFERROR(__xludf.DUMMYFUNCTION("""COMPUTED_VALUE"""),"VIATURA")</f>
        <v>VIATURA</v>
      </c>
      <c r="E2578" s="87" t="str">
        <f>IFERROR(__xludf.DUMMYFUNCTION("""COMPUTED_VALUE"""),"1 - UR3486")</f>
        <v>1 - UR3486</v>
      </c>
      <c r="F2578" s="92" t="str">
        <f>IFERROR(__xludf.DUMMYFUNCTION("""COMPUTED_VALUE"""),"MATERIAL DE CONSUMO")</f>
        <v>MATERIAL DE CONSUMO</v>
      </c>
      <c r="G2578" s="89"/>
      <c r="H2578" s="87"/>
      <c r="I2578" s="87"/>
    </row>
    <row r="2579">
      <c r="A2579" s="84">
        <f>IFERROR(__xludf.DUMMYFUNCTION("""COMPUTED_VALUE"""),789.0)</f>
        <v>789</v>
      </c>
      <c r="B2579" s="85" t="str">
        <f>IFERROR(__xludf.DUMMYFUNCTION("""COMPUTED_VALUE"""),"ABAFADOR PARA COMBATE A INCENDIO FLORESTAL")</f>
        <v>ABAFADOR PARA COMBATE A INCENDIO FLORESTAL</v>
      </c>
      <c r="C2579" s="86">
        <f>IFERROR(__xludf.DUMMYFUNCTION("""COMPUTED_VALUE"""),25.0)</f>
        <v>25</v>
      </c>
      <c r="D2579" s="87" t="str">
        <f>IFERROR(__xludf.DUMMYFUNCTION("""COMPUTED_VALUE"""),"SEÇÃO")</f>
        <v>SEÇÃO</v>
      </c>
      <c r="E2579" s="87" t="str">
        <f>IFERROR(__xludf.DUMMYFUNCTION("""COMPUTED_VALUE"""),"3 - ALMOX. ESTOQUE")</f>
        <v>3 - ALMOX. ESTOQUE</v>
      </c>
      <c r="F2579" s="92" t="str">
        <f>IFERROR(__xludf.DUMMYFUNCTION("""COMPUTED_VALUE"""),"ALMOX. SAPA")</f>
        <v>ALMOX. SAPA</v>
      </c>
      <c r="G2579" s="89"/>
      <c r="H2579" s="87"/>
      <c r="I2579" s="87"/>
    </row>
    <row r="2580">
      <c r="A2580" s="84">
        <f>IFERROR(__xludf.DUMMYFUNCTION("""COMPUTED_VALUE"""),790.0)</f>
        <v>790</v>
      </c>
      <c r="B2580" s="85" t="str">
        <f>IFERROR(__xludf.DUMMYFUNCTION("""COMPUTED_VALUE"""),"PÁ DE BICO")</f>
        <v>PÁ DE BICO</v>
      </c>
      <c r="C2580" s="86">
        <f>IFERROR(__xludf.DUMMYFUNCTION("""COMPUTED_VALUE"""),17.0)</f>
        <v>17</v>
      </c>
      <c r="D2580" s="87" t="str">
        <f>IFERROR(__xludf.DUMMYFUNCTION("""COMPUTED_VALUE"""),"SEÇÃO")</f>
        <v>SEÇÃO</v>
      </c>
      <c r="E2580" s="87" t="str">
        <f>IFERROR(__xludf.DUMMYFUNCTION("""COMPUTED_VALUE"""),"3 - ALMOX. ESTOQUE")</f>
        <v>3 - ALMOX. ESTOQUE</v>
      </c>
      <c r="F2580" s="92" t="str">
        <f>IFERROR(__xludf.DUMMYFUNCTION("""COMPUTED_VALUE"""),"ALMOX. SAPA")</f>
        <v>ALMOX. SAPA</v>
      </c>
      <c r="G2580" s="89"/>
      <c r="H2580" s="87"/>
      <c r="I2580" s="87"/>
    </row>
    <row r="2581">
      <c r="A2581" s="84">
        <f>IFERROR(__xludf.DUMMYFUNCTION("""COMPUTED_VALUE"""),791.0)</f>
        <v>791</v>
      </c>
      <c r="B2581" s="85" t="str">
        <f>IFERROR(__xludf.DUMMYFUNCTION("""COMPUTED_VALUE"""),"PÁ QUADRADA")</f>
        <v>PÁ QUADRADA</v>
      </c>
      <c r="C2581" s="86">
        <f>IFERROR(__xludf.DUMMYFUNCTION("""COMPUTED_VALUE"""),3.0)</f>
        <v>3</v>
      </c>
      <c r="D2581" s="87" t="str">
        <f>IFERROR(__xludf.DUMMYFUNCTION("""COMPUTED_VALUE"""),"SEÇÃO")</f>
        <v>SEÇÃO</v>
      </c>
      <c r="E2581" s="87" t="str">
        <f>IFERROR(__xludf.DUMMYFUNCTION("""COMPUTED_VALUE"""),"3 - ALMOX. ESTOQUE")</f>
        <v>3 - ALMOX. ESTOQUE</v>
      </c>
      <c r="F2581" s="92" t="str">
        <f>IFERROR(__xludf.DUMMYFUNCTION("""COMPUTED_VALUE"""),"ALMOX. SAPA")</f>
        <v>ALMOX. SAPA</v>
      </c>
      <c r="G2581" s="89"/>
      <c r="H2581" s="87"/>
      <c r="I2581" s="87"/>
    </row>
    <row r="2582">
      <c r="A2582" s="84">
        <f>IFERROR(__xludf.DUMMYFUNCTION("""COMPUTED_VALUE"""),792.0)</f>
        <v>792</v>
      </c>
      <c r="B2582" s="85" t="str">
        <f>IFERROR(__xludf.DUMMYFUNCTION("""COMPUTED_VALUE"""),"MACHADO CABO COMPRIDO")</f>
        <v>MACHADO CABO COMPRIDO</v>
      </c>
      <c r="C2582" s="86">
        <f>IFERROR(__xludf.DUMMYFUNCTION("""COMPUTED_VALUE"""),6.0)</f>
        <v>6</v>
      </c>
      <c r="D2582" s="87" t="str">
        <f>IFERROR(__xludf.DUMMYFUNCTION("""COMPUTED_VALUE"""),"SEÇÃO")</f>
        <v>SEÇÃO</v>
      </c>
      <c r="E2582" s="87" t="str">
        <f>IFERROR(__xludf.DUMMYFUNCTION("""COMPUTED_VALUE"""),"3 - ALMOX. ESTOQUE")</f>
        <v>3 - ALMOX. ESTOQUE</v>
      </c>
      <c r="F2582" s="92" t="str">
        <f>IFERROR(__xludf.DUMMYFUNCTION("""COMPUTED_VALUE"""),"ALMOX. SAPA")</f>
        <v>ALMOX. SAPA</v>
      </c>
      <c r="G2582" s="89"/>
      <c r="H2582" s="87"/>
      <c r="I2582" s="87"/>
    </row>
    <row r="2583">
      <c r="A2583" s="84">
        <f>IFERROR(__xludf.DUMMYFUNCTION("""COMPUTED_VALUE"""),793.0)</f>
        <v>793</v>
      </c>
      <c r="B2583" s="85" t="str">
        <f>IFERROR(__xludf.DUMMYFUNCTION("""COMPUTED_VALUE"""),"MALHO 5KG")</f>
        <v>MALHO 5KG</v>
      </c>
      <c r="C2583" s="86">
        <f>IFERROR(__xludf.DUMMYFUNCTION("""COMPUTED_VALUE"""),2.0)</f>
        <v>2</v>
      </c>
      <c r="D2583" s="87" t="str">
        <f>IFERROR(__xludf.DUMMYFUNCTION("""COMPUTED_VALUE"""),"SEÇÃO")</f>
        <v>SEÇÃO</v>
      </c>
      <c r="E2583" s="87" t="str">
        <f>IFERROR(__xludf.DUMMYFUNCTION("""COMPUTED_VALUE"""),"3 - ALMOX. ESTOQUE")</f>
        <v>3 - ALMOX. ESTOQUE</v>
      </c>
      <c r="F2583" s="92" t="str">
        <f>IFERROR(__xludf.DUMMYFUNCTION("""COMPUTED_VALUE"""),"ALMOX. SAPA")</f>
        <v>ALMOX. SAPA</v>
      </c>
      <c r="G2583" s="89"/>
      <c r="H2583" s="87"/>
      <c r="I2583" s="87"/>
    </row>
    <row r="2584">
      <c r="A2584" s="84">
        <f>IFERROR(__xludf.DUMMYFUNCTION("""COMPUTED_VALUE"""),794.0)</f>
        <v>794</v>
      </c>
      <c r="B2584" s="85" t="str">
        <f>IFERROR(__xludf.DUMMYFUNCTION("""COMPUTED_VALUE"""),"PÁ DE CAMPANHA")</f>
        <v>PÁ DE CAMPANHA</v>
      </c>
      <c r="C2584" s="86">
        <f>IFERROR(__xludf.DUMMYFUNCTION("""COMPUTED_VALUE"""),3.0)</f>
        <v>3</v>
      </c>
      <c r="D2584" s="87" t="str">
        <f>IFERROR(__xludf.DUMMYFUNCTION("""COMPUTED_VALUE"""),"SEÇÃO")</f>
        <v>SEÇÃO</v>
      </c>
      <c r="E2584" s="87" t="str">
        <f>IFERROR(__xludf.DUMMYFUNCTION("""COMPUTED_VALUE"""),"3 - ALMOX. ESTOQUE")</f>
        <v>3 - ALMOX. ESTOQUE</v>
      </c>
      <c r="F2584" s="92" t="str">
        <f>IFERROR(__xludf.DUMMYFUNCTION("""COMPUTED_VALUE"""),"ALMOX. SAPA")</f>
        <v>ALMOX. SAPA</v>
      </c>
      <c r="G2584" s="89"/>
      <c r="H2584" s="87"/>
      <c r="I2584" s="87"/>
    </row>
    <row r="2585">
      <c r="A2585" s="84">
        <f>IFERROR(__xludf.DUMMYFUNCTION("""COMPUTED_VALUE"""),795.0)</f>
        <v>795</v>
      </c>
      <c r="B2585" s="85" t="str">
        <f>IFERROR(__xludf.DUMMYFUNCTION("""COMPUTED_VALUE"""),"ENXADINHA DE JARDIM")</f>
        <v>ENXADINHA DE JARDIM</v>
      </c>
      <c r="C2585" s="86">
        <f>IFERROR(__xludf.DUMMYFUNCTION("""COMPUTED_VALUE"""),1.0)</f>
        <v>1</v>
      </c>
      <c r="D2585" s="87" t="str">
        <f>IFERROR(__xludf.DUMMYFUNCTION("""COMPUTED_VALUE"""),"SEÇÃO")</f>
        <v>SEÇÃO</v>
      </c>
      <c r="E2585" s="87" t="str">
        <f>IFERROR(__xludf.DUMMYFUNCTION("""COMPUTED_VALUE"""),"3 - ALMOX. ESTOQUE")</f>
        <v>3 - ALMOX. ESTOQUE</v>
      </c>
      <c r="F2585" s="92" t="str">
        <f>IFERROR(__xludf.DUMMYFUNCTION("""COMPUTED_VALUE"""),"ALMOX. SAPA")</f>
        <v>ALMOX. SAPA</v>
      </c>
      <c r="G2585" s="89"/>
      <c r="H2585" s="87"/>
      <c r="I2585" s="87"/>
    </row>
    <row r="2586">
      <c r="A2586" s="84">
        <f>IFERROR(__xludf.DUMMYFUNCTION("""COMPUTED_VALUE"""),796.0)</f>
        <v>796</v>
      </c>
      <c r="B2586" s="85" t="str">
        <f>IFERROR(__xludf.DUMMYFUNCTION("""COMPUTED_VALUE"""),"CHICOTE PARA INCÊNDIO FLORESTAL")</f>
        <v>CHICOTE PARA INCÊNDIO FLORESTAL</v>
      </c>
      <c r="C2586" s="86">
        <f>IFERROR(__xludf.DUMMYFUNCTION("""COMPUTED_VALUE"""),4.0)</f>
        <v>4</v>
      </c>
      <c r="D2586" s="87" t="str">
        <f>IFERROR(__xludf.DUMMYFUNCTION("""COMPUTED_VALUE"""),"SEÇÃO")</f>
        <v>SEÇÃO</v>
      </c>
      <c r="E2586" s="87" t="str">
        <f>IFERROR(__xludf.DUMMYFUNCTION("""COMPUTED_VALUE"""),"3 - ALMOX. ESTOQUE")</f>
        <v>3 - ALMOX. ESTOQUE</v>
      </c>
      <c r="F2586" s="92" t="str">
        <f>IFERROR(__xludf.DUMMYFUNCTION("""COMPUTED_VALUE"""),"ALMOX. SAPA")</f>
        <v>ALMOX. SAPA</v>
      </c>
      <c r="G2586" s="89"/>
      <c r="H2586" s="87"/>
      <c r="I2586" s="87"/>
    </row>
    <row r="2587">
      <c r="A2587" s="84">
        <f>IFERROR(__xludf.DUMMYFUNCTION("""COMPUTED_VALUE"""),797.0)</f>
        <v>797</v>
      </c>
      <c r="B2587" s="85" t="str">
        <f>IFERROR(__xludf.DUMMYFUNCTION("""COMPUTED_VALUE"""),"REMO DE ALUMÍNIO")</f>
        <v>REMO DE ALUMÍNIO</v>
      </c>
      <c r="C2587" s="86">
        <f>IFERROR(__xludf.DUMMYFUNCTION("""COMPUTED_VALUE"""),3.0)</f>
        <v>3</v>
      </c>
      <c r="D2587" s="87" t="str">
        <f>IFERROR(__xludf.DUMMYFUNCTION("""COMPUTED_VALUE"""),"SEÇÃO")</f>
        <v>SEÇÃO</v>
      </c>
      <c r="E2587" s="87" t="str">
        <f>IFERROR(__xludf.DUMMYFUNCTION("""COMPUTED_VALUE"""),"3 - ALMOX. ESTOQUE")</f>
        <v>3 - ALMOX. ESTOQUE</v>
      </c>
      <c r="F2587" s="92" t="str">
        <f>IFERROR(__xludf.DUMMYFUNCTION("""COMPUTED_VALUE"""),"ALMOX. SAPA")</f>
        <v>ALMOX. SAPA</v>
      </c>
      <c r="G2587" s="89"/>
      <c r="H2587" s="87"/>
      <c r="I2587" s="87"/>
    </row>
    <row r="2588">
      <c r="A2588" s="84">
        <f>IFERROR(__xludf.DUMMYFUNCTION("""COMPUTED_VALUE"""),798.0)</f>
        <v>798</v>
      </c>
      <c r="B2588" s="85" t="str">
        <f>IFERROR(__xludf.DUMMYFUNCTION("""COMPUTED_VALUE"""),"GARFO COM 10 DENTES")</f>
        <v>GARFO COM 10 DENTES</v>
      </c>
      <c r="C2588" s="86">
        <f>IFERROR(__xludf.DUMMYFUNCTION("""COMPUTED_VALUE"""),3.0)</f>
        <v>3</v>
      </c>
      <c r="D2588" s="87" t="str">
        <f>IFERROR(__xludf.DUMMYFUNCTION("""COMPUTED_VALUE"""),"SEÇÃO")</f>
        <v>SEÇÃO</v>
      </c>
      <c r="E2588" s="87" t="str">
        <f>IFERROR(__xludf.DUMMYFUNCTION("""COMPUTED_VALUE"""),"3 - ALMOX. ESTOQUE")</f>
        <v>3 - ALMOX. ESTOQUE</v>
      </c>
      <c r="F2588" s="92" t="str">
        <f>IFERROR(__xludf.DUMMYFUNCTION("""COMPUTED_VALUE"""),"ALMOX. SAPA")</f>
        <v>ALMOX. SAPA</v>
      </c>
      <c r="G2588" s="89"/>
      <c r="H2588" s="87"/>
      <c r="I2588" s="87"/>
    </row>
    <row r="2589">
      <c r="A2589" s="84">
        <f>IFERROR(__xludf.DUMMYFUNCTION("""COMPUTED_VALUE"""),799.0)</f>
        <v>799</v>
      </c>
      <c r="B2589" s="85" t="str">
        <f>IFERROR(__xludf.DUMMYFUNCTION("""COMPUTED_VALUE"""),"GORGUI")</f>
        <v>GORGUI</v>
      </c>
      <c r="C2589" s="86">
        <f>IFERROR(__xludf.DUMMYFUNCTION("""COMPUTED_VALUE"""),9.0)</f>
        <v>9</v>
      </c>
      <c r="D2589" s="87" t="str">
        <f>IFERROR(__xludf.DUMMYFUNCTION("""COMPUTED_VALUE"""),"SEÇÃO")</f>
        <v>SEÇÃO</v>
      </c>
      <c r="E2589" s="87" t="str">
        <f>IFERROR(__xludf.DUMMYFUNCTION("""COMPUTED_VALUE"""),"3 - ALMOX. ESTOQUE")</f>
        <v>3 - ALMOX. ESTOQUE</v>
      </c>
      <c r="F2589" s="92" t="str">
        <f>IFERROR(__xludf.DUMMYFUNCTION("""COMPUTED_VALUE"""),"ALMOX. SAPA")</f>
        <v>ALMOX. SAPA</v>
      </c>
      <c r="G2589" s="89"/>
      <c r="H2589" s="87"/>
      <c r="I2589" s="87"/>
    </row>
    <row r="2590">
      <c r="A2590" s="84">
        <f>IFERROR(__xludf.DUMMYFUNCTION("""COMPUTED_VALUE"""),800.0)</f>
        <v>800</v>
      </c>
      <c r="B2590" s="85" t="str">
        <f>IFERROR(__xludf.DUMMYFUNCTION("""COMPUTED_VALUE"""),"DETERGENTE NEUTRO (5L)")</f>
        <v>DETERGENTE NEUTRO (5L)</v>
      </c>
      <c r="C2590" s="86">
        <f>IFERROR(__xludf.DUMMYFUNCTION("""COMPUTED_VALUE"""),8.0)</f>
        <v>8</v>
      </c>
      <c r="D2590" s="87" t="str">
        <f>IFERROR(__xludf.DUMMYFUNCTION("""COMPUTED_VALUE"""),"SEÇÃO")</f>
        <v>SEÇÃO</v>
      </c>
      <c r="E2590" s="87" t="str">
        <f>IFERROR(__xludf.DUMMYFUNCTION("""COMPUTED_VALUE"""),"3 - ALMOX. ESTOQUE")</f>
        <v>3 - ALMOX. ESTOQUE</v>
      </c>
      <c r="F2590" s="92"/>
      <c r="G2590" s="89">
        <f>IFERROR(__xludf.DUMMYFUNCTION("""COMPUTED_VALUE"""),46036.0)</f>
        <v>46036</v>
      </c>
      <c r="H2590" s="87"/>
      <c r="I2590" s="87"/>
    </row>
    <row r="2591">
      <c r="A2591" s="84">
        <f>IFERROR(__xludf.DUMMYFUNCTION("""COMPUTED_VALUE"""),801.0)</f>
        <v>801</v>
      </c>
      <c r="B2591" s="85" t="str">
        <f>IFERROR(__xludf.DUMMYFUNCTION("""COMPUTED_VALUE"""),"CINTA PARA ESTABILIZAÇÃO PÉLVICA")</f>
        <v>CINTA PARA ESTABILIZAÇÃO PÉLVICA</v>
      </c>
      <c r="C2591" s="86">
        <f>IFERROR(__xludf.DUMMYFUNCTION("""COMPUTED_VALUE"""),3.0)</f>
        <v>3</v>
      </c>
      <c r="D2591" s="87" t="str">
        <f>IFERROR(__xludf.DUMMYFUNCTION("""COMPUTED_VALUE"""),"SEÇÃO")</f>
        <v>SEÇÃO</v>
      </c>
      <c r="E2591" s="87" t="str">
        <f>IFERROR(__xludf.DUMMYFUNCTION("""COMPUTED_VALUE"""),"3 - ALMOX. ESTOQUE")</f>
        <v>3 - ALMOX. ESTOQUE</v>
      </c>
      <c r="F2591" s="92" t="str">
        <f>IFERROR(__xludf.DUMMYFUNCTION("""COMPUTED_VALUE"""),"ALMOX. APH")</f>
        <v>ALMOX. APH</v>
      </c>
      <c r="G2591" s="89">
        <f>IFERROR(__xludf.DUMMYFUNCTION("""COMPUTED_VALUE"""),46062.0)</f>
        <v>46062</v>
      </c>
      <c r="H2591" s="87"/>
      <c r="I2591" s="87"/>
    </row>
    <row r="2592">
      <c r="A2592" s="84">
        <f>IFERROR(__xludf.DUMMYFUNCTION("""COMPUTED_VALUE"""),802.0)</f>
        <v>802</v>
      </c>
      <c r="B2592" s="85" t="str">
        <f>IFERROR(__xludf.DUMMYFUNCTION("""COMPUTED_VALUE"""),"TALA MOLDÁVEL M")</f>
        <v>TALA MOLDÁVEL M</v>
      </c>
      <c r="C2592" s="86">
        <f>IFERROR(__xludf.DUMMYFUNCTION("""COMPUTED_VALUE"""),90.0)</f>
        <v>90</v>
      </c>
      <c r="D2592" s="87" t="str">
        <f>IFERROR(__xludf.DUMMYFUNCTION("""COMPUTED_VALUE"""),"SEÇÃO")</f>
        <v>SEÇÃO</v>
      </c>
      <c r="E2592" s="87" t="str">
        <f>IFERROR(__xludf.DUMMYFUNCTION("""COMPUTED_VALUE"""),"3 - ALMOX. ESTOQUE")</f>
        <v>3 - ALMOX. ESTOQUE</v>
      </c>
      <c r="F2592" s="92" t="str">
        <f>IFERROR(__xludf.DUMMYFUNCTION("""COMPUTED_VALUE"""),"ALMOX. APH")</f>
        <v>ALMOX. APH</v>
      </c>
      <c r="G2592" s="89">
        <f>IFERROR(__xludf.DUMMYFUNCTION("""COMPUTED_VALUE"""),46083.0)</f>
        <v>46083</v>
      </c>
      <c r="H2592" s="87"/>
      <c r="I2592" s="87"/>
    </row>
    <row r="2593">
      <c r="A2593" s="84">
        <f>IFERROR(__xludf.DUMMYFUNCTION("""COMPUTED_VALUE"""),803.0)</f>
        <v>803</v>
      </c>
      <c r="B2593" s="85" t="str">
        <f>IFERROR(__xludf.DUMMYFUNCTION("""COMPUTED_VALUE"""),"CAIXA DE LUVAS DESCARTÁVEIS M")</f>
        <v>CAIXA DE LUVAS DESCARTÁVEIS M</v>
      </c>
      <c r="C2593" s="86">
        <f>IFERROR(__xludf.DUMMYFUNCTION("""COMPUTED_VALUE"""),20.0)</f>
        <v>20</v>
      </c>
      <c r="D2593" s="87" t="str">
        <f>IFERROR(__xludf.DUMMYFUNCTION("""COMPUTED_VALUE"""),"SEÇÃO")</f>
        <v>SEÇÃO</v>
      </c>
      <c r="E2593" s="87" t="str">
        <f>IFERROR(__xludf.DUMMYFUNCTION("""COMPUTED_VALUE"""),"3 - ALMOX. ESTOQUE")</f>
        <v>3 - ALMOX. ESTOQUE</v>
      </c>
      <c r="F2593" s="92" t="str">
        <f>IFERROR(__xludf.DUMMYFUNCTION("""COMPUTED_VALUE"""),"ALMOX. APH")</f>
        <v>ALMOX. APH</v>
      </c>
      <c r="G2593" s="89">
        <f>IFERROR(__xludf.DUMMYFUNCTION("""COMPUTED_VALUE"""),46083.0)</f>
        <v>46083</v>
      </c>
      <c r="H2593" s="87"/>
      <c r="I2593" s="87"/>
    </row>
    <row r="2594">
      <c r="A2594" s="84">
        <f>IFERROR(__xludf.DUMMYFUNCTION("""COMPUTED_VALUE"""),804.0)</f>
        <v>804</v>
      </c>
      <c r="B2594" s="85" t="str">
        <f>IFERROR(__xludf.DUMMYFUNCTION("""COMPUTED_VALUE"""),"CAIXA DE LUVAS DESCARTÁVEIS P")</f>
        <v>CAIXA DE LUVAS DESCARTÁVEIS P</v>
      </c>
      <c r="C2594" s="86">
        <f>IFERROR(__xludf.DUMMYFUNCTION("""COMPUTED_VALUE"""),13.0)</f>
        <v>13</v>
      </c>
      <c r="D2594" s="87" t="str">
        <f>IFERROR(__xludf.DUMMYFUNCTION("""COMPUTED_VALUE"""),"SEÇÃO")</f>
        <v>SEÇÃO</v>
      </c>
      <c r="E2594" s="87" t="str">
        <f>IFERROR(__xludf.DUMMYFUNCTION("""COMPUTED_VALUE"""),"3 - ALMOX. ESTOQUE")</f>
        <v>3 - ALMOX. ESTOQUE</v>
      </c>
      <c r="F2594" s="92" t="str">
        <f>IFERROR(__xludf.DUMMYFUNCTION("""COMPUTED_VALUE"""),"ALMOX. APH")</f>
        <v>ALMOX. APH</v>
      </c>
      <c r="G2594" s="89">
        <f>IFERROR(__xludf.DUMMYFUNCTION("""COMPUTED_VALUE"""),46083.0)</f>
        <v>46083</v>
      </c>
      <c r="H2594" s="87"/>
      <c r="I2594" s="87"/>
    </row>
    <row r="2595">
      <c r="A2595" s="84">
        <f>IFERROR(__xludf.DUMMYFUNCTION("""COMPUTED_VALUE"""),805.0)</f>
        <v>805</v>
      </c>
      <c r="B2595" s="85" t="str">
        <f>IFERROR(__xludf.DUMMYFUNCTION("""COMPUTED_VALUE"""),"CAIXA DE LUVAS DESCARTÁVEIS PP")</f>
        <v>CAIXA DE LUVAS DESCARTÁVEIS PP</v>
      </c>
      <c r="C2595" s="86">
        <f>IFERROR(__xludf.DUMMYFUNCTION("""COMPUTED_VALUE"""),3.0)</f>
        <v>3</v>
      </c>
      <c r="D2595" s="87" t="str">
        <f>IFERROR(__xludf.DUMMYFUNCTION("""COMPUTED_VALUE"""),"SEÇÃO")</f>
        <v>SEÇÃO</v>
      </c>
      <c r="E2595" s="87" t="str">
        <f>IFERROR(__xludf.DUMMYFUNCTION("""COMPUTED_VALUE"""),"3 - ALMOX. ESTOQUE")</f>
        <v>3 - ALMOX. ESTOQUE</v>
      </c>
      <c r="F2595" s="92" t="str">
        <f>IFERROR(__xludf.DUMMYFUNCTION("""COMPUTED_VALUE"""),"ALMOX. APH")</f>
        <v>ALMOX. APH</v>
      </c>
      <c r="G2595" s="89">
        <f>IFERROR(__xludf.DUMMYFUNCTION("""COMPUTED_VALUE"""),46083.0)</f>
        <v>46083</v>
      </c>
      <c r="H2595" s="87"/>
      <c r="I2595" s="87"/>
    </row>
    <row r="2596">
      <c r="A2596" s="84">
        <f>IFERROR(__xludf.DUMMYFUNCTION("""COMPUTED_VALUE"""),806.0)</f>
        <v>806</v>
      </c>
      <c r="B2596" s="85" t="str">
        <f>IFERROR(__xludf.DUMMYFUNCTION("""COMPUTED_VALUE"""),"CAIXA DE LUVAS DESCARTÁVEIS G")</f>
        <v>CAIXA DE LUVAS DESCARTÁVEIS G</v>
      </c>
      <c r="C2596" s="86">
        <f>IFERROR(__xludf.DUMMYFUNCTION("""COMPUTED_VALUE"""),20.0)</f>
        <v>20</v>
      </c>
      <c r="D2596" s="87" t="str">
        <f>IFERROR(__xludf.DUMMYFUNCTION("""COMPUTED_VALUE"""),"SEÇÃO")</f>
        <v>SEÇÃO</v>
      </c>
      <c r="E2596" s="87" t="str">
        <f>IFERROR(__xludf.DUMMYFUNCTION("""COMPUTED_VALUE"""),"3 - ALMOX. ESTOQUE")</f>
        <v>3 - ALMOX. ESTOQUE</v>
      </c>
      <c r="F2596" s="92" t="str">
        <f>IFERROR(__xludf.DUMMYFUNCTION("""COMPUTED_VALUE"""),"ALMOX. APH")</f>
        <v>ALMOX. APH</v>
      </c>
      <c r="G2596" s="89">
        <f>IFERROR(__xludf.DUMMYFUNCTION("""COMPUTED_VALUE"""),46083.0)</f>
        <v>46083</v>
      </c>
      <c r="H2596" s="87"/>
      <c r="I2596" s="87"/>
    </row>
    <row r="2597">
      <c r="A2597" s="84">
        <f>IFERROR(__xludf.DUMMYFUNCTION("""COMPUTED_VALUE"""),807.0)</f>
        <v>807</v>
      </c>
      <c r="B2597" s="85" t="str">
        <f>IFERROR(__xludf.DUMMYFUNCTION("""COMPUTED_VALUE"""),"ELETRODO PARA DESFIBRILADOR")</f>
        <v>ELETRODO PARA DESFIBRILADOR</v>
      </c>
      <c r="C2597" s="86">
        <f>IFERROR(__xludf.DUMMYFUNCTION("""COMPUTED_VALUE"""),15.0)</f>
        <v>15</v>
      </c>
      <c r="D2597" s="87" t="str">
        <f>IFERROR(__xludf.DUMMYFUNCTION("""COMPUTED_VALUE"""),"SEÇÃO")</f>
        <v>SEÇÃO</v>
      </c>
      <c r="E2597" s="87" t="str">
        <f>IFERROR(__xludf.DUMMYFUNCTION("""COMPUTED_VALUE"""),"3 - ALMOX. ESTOQUE")</f>
        <v>3 - ALMOX. ESTOQUE</v>
      </c>
      <c r="F2597" s="92" t="str">
        <f>IFERROR(__xludf.DUMMYFUNCTION("""COMPUTED_VALUE"""),"ALMOX. APH")</f>
        <v>ALMOX. APH</v>
      </c>
      <c r="G2597" s="89">
        <f>IFERROR(__xludf.DUMMYFUNCTION("""COMPUTED_VALUE"""),46083.0)</f>
        <v>46083</v>
      </c>
      <c r="H2597" s="87"/>
      <c r="I2597" s="87"/>
    </row>
    <row r="2598">
      <c r="A2598" s="84">
        <f>IFERROR(__xludf.DUMMYFUNCTION("""COMPUTED_VALUE"""),808.0)</f>
        <v>808</v>
      </c>
      <c r="B2598" s="85" t="str">
        <f>IFERROR(__xludf.DUMMYFUNCTION("""COMPUTED_VALUE"""),"BIG OITO")</f>
        <v>BIG OITO</v>
      </c>
      <c r="C2598" s="86">
        <f>IFERROR(__xludf.DUMMYFUNCTION("""COMPUTED_VALUE"""),2.0)</f>
        <v>2</v>
      </c>
      <c r="D2598" s="87" t="str">
        <f>IFERROR(__xludf.DUMMYFUNCTION("""COMPUTED_VALUE"""),"SEÇÃO")</f>
        <v>SEÇÃO</v>
      </c>
      <c r="E2598" s="87" t="str">
        <f>IFERROR(__xludf.DUMMYFUNCTION("""COMPUTED_VALUE"""),"3 - ALMOX. ESTOQUE")</f>
        <v>3 - ALMOX. ESTOQUE</v>
      </c>
      <c r="F2598" s="92" t="str">
        <f>IFERROR(__xludf.DUMMYFUNCTION("""COMPUTED_VALUE"""),"SAO")</f>
        <v>SAO</v>
      </c>
      <c r="G2598" s="89">
        <f>IFERROR(__xludf.DUMMYFUNCTION("""COMPUTED_VALUE"""),46083.0)</f>
        <v>46083</v>
      </c>
      <c r="H2598" s="87"/>
      <c r="I2598" s="87"/>
    </row>
    <row r="2599">
      <c r="A2599" s="84">
        <f>IFERROR(__xludf.DUMMYFUNCTION("""COMPUTED_VALUE"""),809.0)</f>
        <v>809</v>
      </c>
      <c r="B2599" s="85" t="str">
        <f>IFERROR(__xludf.DUMMYFUNCTION("""COMPUTED_VALUE"""),"CORDA -")</f>
        <v>CORDA -</v>
      </c>
      <c r="C2599" s="86">
        <f>IFERROR(__xludf.DUMMYFUNCTION("""COMPUTED_VALUE"""),200.0)</f>
        <v>200</v>
      </c>
      <c r="D2599" s="87" t="str">
        <f>IFERROR(__xludf.DUMMYFUNCTION("""COMPUTED_VALUE"""),"SEÇÃO")</f>
        <v>SEÇÃO</v>
      </c>
      <c r="E2599" s="87" t="str">
        <f>IFERROR(__xludf.DUMMYFUNCTION("""COMPUTED_VALUE"""),"3 - ALMOX. ESTOQUE")</f>
        <v>3 - ALMOX. ESTOQUE</v>
      </c>
      <c r="F2599" s="92" t="str">
        <f>IFERROR(__xludf.DUMMYFUNCTION("""COMPUTED_VALUE"""),"SAO")</f>
        <v>SAO</v>
      </c>
      <c r="G2599" s="89">
        <f>IFERROR(__xludf.DUMMYFUNCTION("""COMPUTED_VALUE"""),46083.0)</f>
        <v>46083</v>
      </c>
      <c r="H2599" s="87" t="str">
        <f>IFERROR(__xludf.DUMMYFUNCTION("""COMPUTED_VALUE"""),"CARRETEL FECHADO")</f>
        <v>CARRETEL FECHADO</v>
      </c>
      <c r="I2599" s="87"/>
    </row>
    <row r="2600">
      <c r="A2600" s="84">
        <f>IFERROR(__xludf.DUMMYFUNCTION("""COMPUTED_VALUE"""),810.0)</f>
        <v>810</v>
      </c>
      <c r="B2600" s="85" t="str">
        <f>IFERROR(__xludf.DUMMYFUNCTION("""COMPUTED_VALUE"""),"ASPIRADOR DE SECREÇÃO TIPO REVÓLVER")</f>
        <v>ASPIRADOR DE SECREÇÃO TIPO REVÓLVER</v>
      </c>
      <c r="C2600" s="86">
        <f>IFERROR(__xludf.DUMMYFUNCTION("""COMPUTED_VALUE"""),2.0)</f>
        <v>2</v>
      </c>
      <c r="D2600" s="87" t="str">
        <f>IFERROR(__xludf.DUMMYFUNCTION("""COMPUTED_VALUE"""),"SEÇÃO")</f>
        <v>SEÇÃO</v>
      </c>
      <c r="E2600" s="87" t="str">
        <f>IFERROR(__xludf.DUMMYFUNCTION("""COMPUTED_VALUE"""),"3 - ALMOX. ESTOQUE")</f>
        <v>3 - ALMOX. ESTOQUE</v>
      </c>
      <c r="F2600" s="92" t="str">
        <f>IFERROR(__xludf.DUMMYFUNCTION("""COMPUTED_VALUE"""),"ALMOX. APH")</f>
        <v>ALMOX. APH</v>
      </c>
      <c r="G2600" s="89"/>
      <c r="H2600" s="87"/>
      <c r="I2600" s="87"/>
    </row>
    <row r="2601">
      <c r="A2601" s="84">
        <f>IFERROR(__xludf.DUMMYFUNCTION("""COMPUTED_VALUE"""),811.0)</f>
        <v>811</v>
      </c>
      <c r="B2601" s="85" t="str">
        <f>IFERROR(__xludf.DUMMYFUNCTION("""COMPUTED_VALUE"""),"BATERIA PARA DEA PHILIPS")</f>
        <v>BATERIA PARA DEA PHILIPS</v>
      </c>
      <c r="C2601" s="86">
        <f>IFERROR(__xludf.DUMMYFUNCTION("""COMPUTED_VALUE"""),2.0)</f>
        <v>2</v>
      </c>
      <c r="D2601" s="87" t="str">
        <f>IFERROR(__xludf.DUMMYFUNCTION("""COMPUTED_VALUE"""),"SEÇÃO")</f>
        <v>SEÇÃO</v>
      </c>
      <c r="E2601" s="87" t="str">
        <f>IFERROR(__xludf.DUMMYFUNCTION("""COMPUTED_VALUE"""),"3 - ALMOX. ESTOQUE")</f>
        <v>3 - ALMOX. ESTOQUE</v>
      </c>
      <c r="F2601" s="92" t="str">
        <f>IFERROR(__xludf.DUMMYFUNCTION("""COMPUTED_VALUE"""),"ALMOX. APH")</f>
        <v>ALMOX. APH</v>
      </c>
      <c r="G2601" s="89">
        <f>IFERROR(__xludf.DUMMYFUNCTION("""COMPUTED_VALUE"""),46086.0)</f>
        <v>46086</v>
      </c>
      <c r="H2601" s="87"/>
      <c r="I2601" s="87"/>
    </row>
    <row r="2602">
      <c r="A2602" s="84">
        <f>IFERROR(__xludf.DUMMYFUNCTION("""COMPUTED_VALUE"""),812.0)</f>
        <v>812</v>
      </c>
      <c r="B2602" s="85" t="str">
        <f>IFERROR(__xludf.DUMMYFUNCTION("""COMPUTED_VALUE"""),"BATERIA PARA DEA ZOLL/AED PLUS (PCT C/10)")</f>
        <v>BATERIA PARA DEA ZOLL/AED PLUS (PCT C/10)</v>
      </c>
      <c r="C2602" s="86">
        <f>IFERROR(__xludf.DUMMYFUNCTION("""COMPUTED_VALUE"""),3.0)</f>
        <v>3</v>
      </c>
      <c r="D2602" s="87" t="str">
        <f>IFERROR(__xludf.DUMMYFUNCTION("""COMPUTED_VALUE"""),"SEÇÃO")</f>
        <v>SEÇÃO</v>
      </c>
      <c r="E2602" s="87" t="str">
        <f>IFERROR(__xludf.DUMMYFUNCTION("""COMPUTED_VALUE"""),"3 - ALMOX. ESTOQUE")</f>
        <v>3 - ALMOX. ESTOQUE</v>
      </c>
      <c r="F2602" s="92" t="str">
        <f>IFERROR(__xludf.DUMMYFUNCTION("""COMPUTED_VALUE"""),"ALMOX. APH")</f>
        <v>ALMOX. APH</v>
      </c>
      <c r="G2602" s="89">
        <f>IFERROR(__xludf.DUMMYFUNCTION("""COMPUTED_VALUE"""),46086.0)</f>
        <v>46086</v>
      </c>
      <c r="H2602" s="87"/>
      <c r="I2602" s="87"/>
    </row>
    <row r="2603">
      <c r="A2603" s="84">
        <f>IFERROR(__xludf.DUMMYFUNCTION("""COMPUTED_VALUE"""),813.0)</f>
        <v>813</v>
      </c>
      <c r="B2603" s="85" t="str">
        <f>IFERROR(__xludf.DUMMYFUNCTION("""COMPUTED_VALUE"""),"BATERIA PARA SERRA SABRE (RESERVA)")</f>
        <v>BATERIA PARA SERRA SABRE (RESERVA)</v>
      </c>
      <c r="C2603" s="86">
        <f>IFERROR(__xludf.DUMMYFUNCTION("""COMPUTED_VALUE"""),5.0)</f>
        <v>5</v>
      </c>
      <c r="D2603" s="87" t="str">
        <f>IFERROR(__xludf.DUMMYFUNCTION("""COMPUTED_VALUE"""),"SEÇÃO")</f>
        <v>SEÇÃO</v>
      </c>
      <c r="E2603" s="87" t="str">
        <f>IFERROR(__xludf.DUMMYFUNCTION("""COMPUTED_VALUE"""),"3 - ALMOX. ESTOQUE")</f>
        <v>3 - ALMOX. ESTOQUE</v>
      </c>
      <c r="F2603" s="92" t="str">
        <f>IFERROR(__xludf.DUMMYFUNCTION("""COMPUTED_VALUE"""),"SAO")</f>
        <v>SAO</v>
      </c>
      <c r="G2603" s="89">
        <f>IFERROR(__xludf.DUMMYFUNCTION("""COMPUTED_VALUE"""),46086.0)</f>
        <v>46086</v>
      </c>
      <c r="H2603" s="87"/>
      <c r="I2603" s="87"/>
    </row>
    <row r="2604">
      <c r="A2604" s="84">
        <f>IFERROR(__xludf.DUMMYFUNCTION("""COMPUTED_VALUE"""),814.0)</f>
        <v>814</v>
      </c>
      <c r="B2604" s="85" t="str">
        <f>IFERROR(__xludf.DUMMYFUNCTION("""COMPUTED_VALUE"""),"CORDA PARA SALVAMENTO EM ALTURA - 30M")</f>
        <v>CORDA PARA SALVAMENTO EM ALTURA - 30M</v>
      </c>
      <c r="C2604" s="86">
        <f>IFERROR(__xludf.DUMMYFUNCTION("""COMPUTED_VALUE"""),1.0)</f>
        <v>1</v>
      </c>
      <c r="D2604" s="87" t="str">
        <f>IFERROR(__xludf.DUMMYFUNCTION("""COMPUTED_VALUE"""),"VIATURA")</f>
        <v>VIATURA</v>
      </c>
      <c r="E2604" s="87" t="str">
        <f>IFERROR(__xludf.DUMMYFUNCTION("""COMPUTED_VALUE"""),"1 - ASL1080")</f>
        <v>1 - ASL1080</v>
      </c>
      <c r="F2604" s="92" t="str">
        <f>IFERROR(__xludf.DUMMYFUNCTION("""COMPUTED_VALUE"""),"CARROCERIA")</f>
        <v>CARROCERIA</v>
      </c>
      <c r="G2604" s="89"/>
      <c r="H2604" s="87"/>
      <c r="I2604" s="87"/>
    </row>
    <row r="2605">
      <c r="A2605" s="84">
        <f>IFERROR(__xludf.DUMMYFUNCTION("""COMPUTED_VALUE"""),815.0)</f>
        <v>815</v>
      </c>
      <c r="B2605" s="85" t="str">
        <f>IFERROR(__xludf.DUMMYFUNCTION("""COMPUTED_VALUE"""),"MACHADO PARATECH BIEL TOOL")</f>
        <v>MACHADO PARATECH BIEL TOOL</v>
      </c>
      <c r="C2605" s="86">
        <f>IFERROR(__xludf.DUMMYFUNCTION("""COMPUTED_VALUE"""),1.0)</f>
        <v>1</v>
      </c>
      <c r="D2605" s="87" t="str">
        <f>IFERROR(__xludf.DUMMYFUNCTION("""COMPUTED_VALUE"""),"VIATURA")</f>
        <v>VIATURA</v>
      </c>
      <c r="E2605" s="87" t="str">
        <f>IFERROR(__xludf.DUMMYFUNCTION("""COMPUTED_VALUE"""),"1 - ABTS5911")</f>
        <v>1 - ABTS5911</v>
      </c>
      <c r="F2605" s="92"/>
      <c r="G2605" s="89">
        <f>IFERROR(__xludf.DUMMYFUNCTION("""COMPUTED_VALUE"""),46099.0)</f>
        <v>46099</v>
      </c>
      <c r="H2605" s="87"/>
      <c r="I2605" s="87"/>
    </row>
    <row r="2606">
      <c r="A2606" s="84">
        <f>IFERROR(__xludf.DUMMYFUNCTION("""COMPUTED_VALUE"""),816.0)</f>
        <v>816</v>
      </c>
      <c r="B2606" s="85" t="str">
        <f>IFERROR(__xludf.DUMMYFUNCTION("""COMPUTED_VALUE"""),"SOPRADOR")</f>
        <v>SOPRADOR</v>
      </c>
      <c r="C2606" s="86">
        <f>IFERROR(__xludf.DUMMYFUNCTION("""COMPUTED_VALUE"""),1.0)</f>
        <v>1</v>
      </c>
      <c r="D2606" s="87" t="str">
        <f>IFERROR(__xludf.DUMMYFUNCTION("""COMPUTED_VALUE"""),"SEÇÃO")</f>
        <v>SEÇÃO</v>
      </c>
      <c r="E2606" s="87" t="str">
        <f>IFERROR(__xludf.DUMMYFUNCTION("""COMPUTED_VALUE"""),"3 - ALMOX. ESTOQUE")</f>
        <v>3 - ALMOX. ESTOQUE</v>
      </c>
      <c r="F2606" s="92" t="str">
        <f>IFERROR(__xludf.DUMMYFUNCTION("""COMPUTED_VALUE"""),"SAO")</f>
        <v>SAO</v>
      </c>
      <c r="G2606" s="89"/>
      <c r="H2606" s="87" t="str">
        <f>IFERROR(__xludf.DUMMYFUNCTION("""COMPUTED_VALUE"""),"N.S. 547037121")</f>
        <v>N.S. 547037121</v>
      </c>
      <c r="I2606" s="87" t="str">
        <f>IFERROR(__xludf.DUMMYFUNCTION("""COMPUTED_VALUE"""),"STIHL BR600")</f>
        <v>STIHL BR600</v>
      </c>
    </row>
    <row r="2607">
      <c r="A2607" s="84">
        <f>IFERROR(__xludf.DUMMYFUNCTION("""COMPUTED_VALUE"""),817.0)</f>
        <v>817</v>
      </c>
      <c r="B2607" s="85" t="str">
        <f>IFERROR(__xludf.DUMMYFUNCTION("""COMPUTED_VALUE"""),"SOPRADOR")</f>
        <v>SOPRADOR</v>
      </c>
      <c r="C2607" s="86">
        <f>IFERROR(__xludf.DUMMYFUNCTION("""COMPUTED_VALUE"""),1.0)</f>
        <v>1</v>
      </c>
      <c r="D2607" s="87" t="str">
        <f>IFERROR(__xludf.DUMMYFUNCTION("""COMPUTED_VALUE"""),"SEÇÃO")</f>
        <v>SEÇÃO</v>
      </c>
      <c r="E2607" s="87" t="str">
        <f>IFERROR(__xludf.DUMMYFUNCTION("""COMPUTED_VALUE"""),"3 - ALMOX. ESTOQUE")</f>
        <v>3 - ALMOX. ESTOQUE</v>
      </c>
      <c r="F2607" s="92" t="str">
        <f>IFERROR(__xludf.DUMMYFUNCTION("""COMPUTED_VALUE"""),"SAO")</f>
        <v>SAO</v>
      </c>
      <c r="G2607" s="89"/>
      <c r="H2607" s="87" t="str">
        <f>IFERROR(__xludf.DUMMYFUNCTION("""COMPUTED_VALUE"""),"N.S. 546107834")</f>
        <v>N.S. 546107834</v>
      </c>
      <c r="I2607" s="87" t="str">
        <f>IFERROR(__xludf.DUMMYFUNCTION("""COMPUTED_VALUE"""),"STIHL BR600")</f>
        <v>STIHL BR600</v>
      </c>
    </row>
    <row r="2608">
      <c r="A2608" s="84">
        <f>IFERROR(__xludf.DUMMYFUNCTION("""COMPUTED_VALUE"""),818.0)</f>
        <v>818</v>
      </c>
      <c r="B2608" s="85" t="str">
        <f>IFERROR(__xludf.DUMMYFUNCTION("""COMPUTED_VALUE"""),"SOPRADOR")</f>
        <v>SOPRADOR</v>
      </c>
      <c r="C2608" s="86">
        <f>IFERROR(__xludf.DUMMYFUNCTION("""COMPUTED_VALUE"""),1.0)</f>
        <v>1</v>
      </c>
      <c r="D2608" s="87" t="str">
        <f>IFERROR(__xludf.DUMMYFUNCTION("""COMPUTED_VALUE"""),"SEÇÃO")</f>
        <v>SEÇÃO</v>
      </c>
      <c r="E2608" s="87" t="str">
        <f>IFERROR(__xludf.DUMMYFUNCTION("""COMPUTED_VALUE"""),"3 - ALMOX. ESTOQUE")</f>
        <v>3 - ALMOX. ESTOQUE</v>
      </c>
      <c r="F2608" s="92" t="str">
        <f>IFERROR(__xludf.DUMMYFUNCTION("""COMPUTED_VALUE"""),"SAO")</f>
        <v>SAO</v>
      </c>
      <c r="G2608" s="89"/>
      <c r="H2608" s="87" t="str">
        <f>IFERROR(__xludf.DUMMYFUNCTION("""COMPUTED_VALUE"""),"N.S. 546106737")</f>
        <v>N.S. 546106737</v>
      </c>
      <c r="I2608" s="87" t="str">
        <f>IFERROR(__xludf.DUMMYFUNCTION("""COMPUTED_VALUE"""),"STIHL BR600")</f>
        <v>STIHL BR600</v>
      </c>
    </row>
    <row r="2609">
      <c r="A2609" s="84">
        <f>IFERROR(__xludf.DUMMYFUNCTION("""COMPUTED_VALUE"""),819.0)</f>
        <v>819</v>
      </c>
      <c r="B2609" s="85" t="str">
        <f>IFERROR(__xludf.DUMMYFUNCTION("""COMPUTED_VALUE"""),"SOPRADOR")</f>
        <v>SOPRADOR</v>
      </c>
      <c r="C2609" s="86">
        <f>IFERROR(__xludf.DUMMYFUNCTION("""COMPUTED_VALUE"""),1.0)</f>
        <v>1</v>
      </c>
      <c r="D2609" s="87" t="str">
        <f>IFERROR(__xludf.DUMMYFUNCTION("""COMPUTED_VALUE"""),"SEÇÃO")</f>
        <v>SEÇÃO</v>
      </c>
      <c r="E2609" s="87" t="str">
        <f>IFERROR(__xludf.DUMMYFUNCTION("""COMPUTED_VALUE"""),"3 - ALMOX. ESTOQUE")</f>
        <v>3 - ALMOX. ESTOQUE</v>
      </c>
      <c r="F2609" s="92" t="str">
        <f>IFERROR(__xludf.DUMMYFUNCTION("""COMPUTED_VALUE"""),"ALMOX. SAO (SEDE)")</f>
        <v>ALMOX. SAO (SEDE)</v>
      </c>
      <c r="G2609" s="89"/>
      <c r="H2609" s="87" t="str">
        <f>IFERROR(__xludf.DUMMYFUNCTION("""COMPUTED_VALUE"""),"N.S. 520191125")</f>
        <v>N.S. 520191125</v>
      </c>
      <c r="I2609" s="87" t="str">
        <f>IFERROR(__xludf.DUMMYFUNCTION("""COMPUTED_VALUE"""),"STIHL BR600")</f>
        <v>STIHL BR600</v>
      </c>
    </row>
    <row r="2610">
      <c r="A2610" s="84">
        <f>IFERROR(__xludf.DUMMYFUNCTION("""COMPUTED_VALUE"""),820.0)</f>
        <v>820</v>
      </c>
      <c r="B2610" s="85" t="str">
        <f>IFERROR(__xludf.DUMMYFUNCTION("""COMPUTED_VALUE"""),"SOPRADOR")</f>
        <v>SOPRADOR</v>
      </c>
      <c r="C2610" s="86">
        <f>IFERROR(__xludf.DUMMYFUNCTION("""COMPUTED_VALUE"""),1.0)</f>
        <v>1</v>
      </c>
      <c r="D2610" s="87" t="str">
        <f>IFERROR(__xludf.DUMMYFUNCTION("""COMPUTED_VALUE"""),"SEÇÃO")</f>
        <v>SEÇÃO</v>
      </c>
      <c r="E2610" s="87" t="str">
        <f>IFERROR(__xludf.DUMMYFUNCTION("""COMPUTED_VALUE"""),"3 - ALMOX. ESTOQUE")</f>
        <v>3 - ALMOX. ESTOQUE</v>
      </c>
      <c r="F2610" s="92" t="str">
        <f>IFERROR(__xludf.DUMMYFUNCTION("""COMPUTED_VALUE"""),"ALMOX. SAO (SEDE)")</f>
        <v>ALMOX. SAO (SEDE)</v>
      </c>
      <c r="G2610" s="89"/>
      <c r="H2610" s="87" t="str">
        <f>IFERROR(__xludf.DUMMYFUNCTION("""COMPUTED_VALUE"""),"N.S. 520091198")</f>
        <v>N.S. 520091198</v>
      </c>
      <c r="I2610" s="87" t="str">
        <f>IFERROR(__xludf.DUMMYFUNCTION("""COMPUTED_VALUE"""),"STIHL BR600")</f>
        <v>STIHL BR600</v>
      </c>
    </row>
    <row r="2611">
      <c r="A2611" s="84">
        <f>IFERROR(__xludf.DUMMYFUNCTION("""COMPUTED_VALUE"""),821.0)</f>
        <v>821</v>
      </c>
      <c r="B2611" s="85" t="str">
        <f>IFERROR(__xludf.DUMMYFUNCTION("""COMPUTED_VALUE"""),"LUVA DE INCÊNDIO")</f>
        <v>LUVA DE INCÊNDIO</v>
      </c>
      <c r="C2611" s="86">
        <f>IFERROR(__xludf.DUMMYFUNCTION("""COMPUTED_VALUE"""),1.0)</f>
        <v>1</v>
      </c>
      <c r="D2611" s="87" t="str">
        <f>IFERROR(__xludf.DUMMYFUNCTION("""COMPUTED_VALUE"""),"MILITAR")</f>
        <v>MILITAR</v>
      </c>
      <c r="E2611" s="87" t="str">
        <f>IFERROR(__xludf.DUMMYFUNCTION("""COMPUTED_VALUE"""),"2 - SD ERIC ROSCELI ALVES RODRIGUES")</f>
        <v>2 - SD ERIC ROSCELI ALVES RODRIGUES</v>
      </c>
      <c r="F2611" s="92"/>
      <c r="G2611" s="89"/>
      <c r="H2611" s="87" t="str">
        <f>IFERROR(__xludf.DUMMYFUNCTION("""COMPUTED_VALUE"""),"131094593")</f>
        <v>131094593</v>
      </c>
      <c r="I2611" s="87" t="str">
        <f>IFERROR(__xludf.DUMMYFUNCTION("""COMPUTED_VALUE"""),"Tamanho 9-L")</f>
        <v>Tamanho 9-L</v>
      </c>
    </row>
    <row r="2612">
      <c r="A2612" s="84">
        <f>IFERROR(__xludf.DUMMYFUNCTION("""COMPUTED_VALUE"""),822.0)</f>
        <v>822</v>
      </c>
      <c r="B2612" s="85" t="str">
        <f>IFERROR(__xludf.DUMMYFUNCTION("""COMPUTED_VALUE"""),"LUVA DE INCÊNDIO")</f>
        <v>LUVA DE INCÊNDIO</v>
      </c>
      <c r="C2612" s="86">
        <f>IFERROR(__xludf.DUMMYFUNCTION("""COMPUTED_VALUE"""),1.0)</f>
        <v>1</v>
      </c>
      <c r="D2612" s="87" t="str">
        <f>IFERROR(__xludf.DUMMYFUNCTION("""COMPUTED_VALUE"""),"MILITAR")</f>
        <v>MILITAR</v>
      </c>
      <c r="E2612" s="87" t="str">
        <f>IFERROR(__xludf.DUMMYFUNCTION("""COMPUTED_VALUE"""),"2 - SD ARTHUR LIMA VIEIRA")</f>
        <v>2 - SD ARTHUR LIMA VIEIRA</v>
      </c>
      <c r="F2612" s="92"/>
      <c r="G2612" s="89"/>
      <c r="H2612" s="87" t="str">
        <f>IFERROR(__xludf.DUMMYFUNCTION("""COMPUTED_VALUE"""),"116105506")</f>
        <v>116105506</v>
      </c>
      <c r="I2612" s="87" t="str">
        <f>IFERROR(__xludf.DUMMYFUNCTION("""COMPUTED_VALUE"""),"Tamanho 9-L")</f>
        <v>Tamanho 9-L</v>
      </c>
    </row>
    <row r="2613">
      <c r="A2613" s="84">
        <f>IFERROR(__xludf.DUMMYFUNCTION("""COMPUTED_VALUE"""),823.0)</f>
        <v>823</v>
      </c>
      <c r="B2613" s="85" t="str">
        <f>IFERROR(__xludf.DUMMYFUNCTION("""COMPUTED_VALUE"""),"LUVA DE INCÊNDIO")</f>
        <v>LUVA DE INCÊNDIO</v>
      </c>
      <c r="C2613" s="86">
        <f>IFERROR(__xludf.DUMMYFUNCTION("""COMPUTED_VALUE"""),1.0)</f>
        <v>1</v>
      </c>
      <c r="D2613" s="87" t="str">
        <f>IFERROR(__xludf.DUMMYFUNCTION("""COMPUTED_VALUE"""),"MILITAR")</f>
        <v>MILITAR</v>
      </c>
      <c r="E2613" s="87" t="str">
        <f>IFERROR(__xludf.DUMMYFUNCTION("""COMPUTED_VALUE"""),"2 - SD OLIVIER MATHEUS MENDES ALVES")</f>
        <v>2 - SD OLIVIER MATHEUS MENDES ALVES</v>
      </c>
      <c r="F2613" s="92"/>
      <c r="G2613" s="89"/>
      <c r="H2613" s="87" t="str">
        <f>IFERROR(__xludf.DUMMYFUNCTION("""COMPUTED_VALUE"""),"116106707")</f>
        <v>116106707</v>
      </c>
      <c r="I2613" s="87" t="str">
        <f>IFERROR(__xludf.DUMMYFUNCTION("""COMPUTED_VALUE"""),"Tamanho 9-L")</f>
        <v>Tamanho 9-L</v>
      </c>
    </row>
    <row r="2614">
      <c r="A2614" s="84">
        <f>IFERROR(__xludf.DUMMYFUNCTION("""COMPUTED_VALUE"""),824.0)</f>
        <v>824</v>
      </c>
      <c r="B2614" s="85" t="str">
        <f>IFERROR(__xludf.DUMMYFUNCTION("""COMPUTED_VALUE"""),"MACA ENVELOPE (SKED)")</f>
        <v>MACA ENVELOPE (SKED)</v>
      </c>
      <c r="C2614" s="86">
        <f>IFERROR(__xludf.DUMMYFUNCTION("""COMPUTED_VALUE"""),1.0)</f>
        <v>1</v>
      </c>
      <c r="D2614" s="87" t="str">
        <f>IFERROR(__xludf.DUMMYFUNCTION("""COMPUTED_VALUE"""),"VIATURA")</f>
        <v>VIATURA</v>
      </c>
      <c r="E2614" s="87" t="str">
        <f>IFERROR(__xludf.DUMMYFUNCTION("""COMPUTED_VALUE"""),"1 - ASL1080")</f>
        <v>1 - ASL1080</v>
      </c>
      <c r="F2614" s="92" t="str">
        <f>IFERROR(__xludf.DUMMYFUNCTION("""COMPUTED_VALUE"""),"CARROCERIA")</f>
        <v>CARROCERIA</v>
      </c>
      <c r="G2614" s="89"/>
      <c r="H2614" s="87"/>
      <c r="I2614" s="87" t="str">
        <f>IFERROR(__xludf.DUMMYFUNCTION("""COMPUTED_VALUE"""),"CABO SOLTEIRO (PRETO E BRANCO 9M), MOSQUETÃO DE AÇO TIPO ""D"" C/ TRAVA AUTOMÁTICA.")</f>
        <v>CABO SOLTEIRO (PRETO E BRANCO 9M), MOSQUETÃO DE AÇO TIPO "D" C/ TRAVA AUTOMÁTICA.</v>
      </c>
    </row>
    <row r="2615">
      <c r="A2615" s="84">
        <f>IFERROR(__xludf.DUMMYFUNCTION("""COMPUTED_VALUE"""),825.0)</f>
        <v>825</v>
      </c>
      <c r="B2615" s="85" t="str">
        <f>IFERROR(__xludf.DUMMYFUNCTION("""COMPUTED_VALUE"""),"CINTO PARAQUEDISTA")</f>
        <v>CINTO PARAQUEDISTA</v>
      </c>
      <c r="C2615" s="86">
        <f>IFERROR(__xludf.DUMMYFUNCTION("""COMPUTED_VALUE"""),1.0)</f>
        <v>1</v>
      </c>
      <c r="D2615" s="87" t="str">
        <f>IFERROR(__xludf.DUMMYFUNCTION("""COMPUTED_VALUE"""),"MILITAR")</f>
        <v>MILITAR</v>
      </c>
      <c r="E2615" s="87" t="str">
        <f>IFERROR(__xludf.DUMMYFUNCTION("""COMPUTED_VALUE"""),"2 - SD ARTHUR LIMA VIEIRA")</f>
        <v>2 - SD ARTHUR LIMA VIEIRA</v>
      </c>
      <c r="F2615" s="92"/>
      <c r="G2615" s="89"/>
      <c r="H2615" s="87" t="str">
        <f>IFERROR(__xludf.DUMMYFUNCTION("""COMPUTED_VALUE"""),"SEI nº 99355692")</f>
        <v>SEI nº 99355692</v>
      </c>
      <c r="I2615" s="87" t="str">
        <f>IFERROR(__xludf.DUMMYFUNCTION("""COMPUTED_VALUE"""),"MARCA TASK, COM MOSQUETÃO")</f>
        <v>MARCA TASK, COM MOSQUETÃO</v>
      </c>
    </row>
    <row r="2616">
      <c r="A2616" s="84">
        <f>IFERROR(__xludf.DUMMYFUNCTION("""COMPUTED_VALUE"""),826.0)</f>
        <v>826</v>
      </c>
      <c r="B2616" s="85" t="str">
        <f>IFERROR(__xludf.DUMMYFUNCTION("""COMPUTED_VALUE"""),"ANEL DE FITA 120 CM")</f>
        <v>ANEL DE FITA 120 CM</v>
      </c>
      <c r="C2616" s="86">
        <f>IFERROR(__xludf.DUMMYFUNCTION("""COMPUTED_VALUE"""),1.0)</f>
        <v>1</v>
      </c>
      <c r="D2616" s="87" t="str">
        <f>IFERROR(__xludf.DUMMYFUNCTION("""COMPUTED_VALUE"""),"MILITAR")</f>
        <v>MILITAR</v>
      </c>
      <c r="E2616" s="87" t="str">
        <f>IFERROR(__xludf.DUMMYFUNCTION("""COMPUTED_VALUE"""),"2 - SD ARTHUR LIMA VIEIRA")</f>
        <v>2 - SD ARTHUR LIMA VIEIRA</v>
      </c>
      <c r="F2616" s="92"/>
      <c r="G2616" s="89"/>
      <c r="H2616" s="87" t="str">
        <f>IFERROR(__xludf.DUMMYFUNCTION("""COMPUTED_VALUE"""),"SEI nº 99355692")</f>
        <v>SEI nº 99355692</v>
      </c>
      <c r="I2616" s="87"/>
    </row>
    <row r="2617">
      <c r="A2617" s="84">
        <f>IFERROR(__xludf.DUMMYFUNCTION("""COMPUTED_VALUE"""),827.0)</f>
        <v>827</v>
      </c>
      <c r="B2617" s="85" t="str">
        <f>IFERROR(__xludf.DUMMYFUNCTION("""COMPUTED_VALUE"""),"ANEL DE FITA 80CM")</f>
        <v>ANEL DE FITA 80CM</v>
      </c>
      <c r="C2617" s="86">
        <f>IFERROR(__xludf.DUMMYFUNCTION("""COMPUTED_VALUE"""),1.0)</f>
        <v>1</v>
      </c>
      <c r="D2617" s="87" t="str">
        <f>IFERROR(__xludf.DUMMYFUNCTION("""COMPUTED_VALUE"""),"MILITAR")</f>
        <v>MILITAR</v>
      </c>
      <c r="E2617" s="87" t="str">
        <f>IFERROR(__xludf.DUMMYFUNCTION("""COMPUTED_VALUE"""),"2 - SD ARTHUR LIMA VIEIRA")</f>
        <v>2 - SD ARTHUR LIMA VIEIRA</v>
      </c>
      <c r="F2617" s="92"/>
      <c r="G2617" s="89"/>
      <c r="H2617" s="87" t="str">
        <f>IFERROR(__xludf.DUMMYFUNCTION("""COMPUTED_VALUE"""),"SEI nº 99355692")</f>
        <v>SEI nº 99355692</v>
      </c>
      <c r="I2617" s="87"/>
    </row>
    <row r="2618">
      <c r="A2618" s="84">
        <f>IFERROR(__xludf.DUMMYFUNCTION("""COMPUTED_VALUE"""),828.0)</f>
        <v>828</v>
      </c>
      <c r="B2618" s="85" t="str">
        <f>IFERROR(__xludf.DUMMYFUNCTION("""COMPUTED_VALUE"""),"ANEL DE FITA 60CM")</f>
        <v>ANEL DE FITA 60CM</v>
      </c>
      <c r="C2618" s="86">
        <f>IFERROR(__xludf.DUMMYFUNCTION("""COMPUTED_VALUE"""),1.0)</f>
        <v>1</v>
      </c>
      <c r="D2618" s="87" t="str">
        <f>IFERROR(__xludf.DUMMYFUNCTION("""COMPUTED_VALUE"""),"MILITAR")</f>
        <v>MILITAR</v>
      </c>
      <c r="E2618" s="87" t="str">
        <f>IFERROR(__xludf.DUMMYFUNCTION("""COMPUTED_VALUE"""),"2 - SD ARTHUR LIMA VIEIRA")</f>
        <v>2 - SD ARTHUR LIMA VIEIRA</v>
      </c>
      <c r="F2618" s="92"/>
      <c r="G2618" s="89"/>
      <c r="H2618" s="87" t="str">
        <f>IFERROR(__xludf.DUMMYFUNCTION("""COMPUTED_VALUE"""),"SEI nº 99355692")</f>
        <v>SEI nº 99355692</v>
      </c>
      <c r="I2618" s="87"/>
    </row>
    <row r="2619">
      <c r="A2619" s="84">
        <f>IFERROR(__xludf.DUMMYFUNCTION("""COMPUTED_VALUE"""),829.0)</f>
        <v>829</v>
      </c>
      <c r="B2619" s="85" t="str">
        <f>IFERROR(__xludf.DUMMYFUNCTION("""COMPUTED_VALUE"""),"CAPACETE DE SALVAMENTO E PROTECAO -")</f>
        <v>CAPACETE DE SALVAMENTO E PROTECAO -</v>
      </c>
      <c r="C2619" s="86">
        <f>IFERROR(__xludf.DUMMYFUNCTION("""COMPUTED_VALUE"""),1.0)</f>
        <v>1</v>
      </c>
      <c r="D2619" s="87" t="str">
        <f>IFERROR(__xludf.DUMMYFUNCTION("""COMPUTED_VALUE"""),"MILITAR")</f>
        <v>MILITAR</v>
      </c>
      <c r="E2619" s="87" t="str">
        <f>IFERROR(__xludf.DUMMYFUNCTION("""COMPUTED_VALUE"""),"2 - SD MÁRCIO PEDRO DE ANDRADE")</f>
        <v>2 - SD MÁRCIO PEDRO DE ANDRADE</v>
      </c>
      <c r="F2619" s="92"/>
      <c r="G2619" s="89"/>
      <c r="H2619" s="87" t="str">
        <f>IFERROR(__xludf.DUMMYFUNCTION("""COMPUTED_VALUE"""),"SEI nº 101563490")</f>
        <v>SEI nº 101563490</v>
      </c>
      <c r="I2619" s="87" t="str">
        <f>IFERROR(__xludf.DUMMYFUNCTION("""COMPUTED_VALUE"""),"MARCA PETZ AMARELO")</f>
        <v>MARCA PETZ AMARELO</v>
      </c>
    </row>
    <row r="2620">
      <c r="A2620" s="84">
        <f>IFERROR(__xludf.DUMMYFUNCTION("""COMPUTED_VALUE"""),830.0)</f>
        <v>830</v>
      </c>
      <c r="B2620" s="85" t="str">
        <f>IFERROR(__xludf.DUMMYFUNCTION("""COMPUTED_VALUE"""),"CARREGADOR MAKITA DC40RB (VENTILADOR SUPERVAC)")</f>
        <v>CARREGADOR MAKITA DC40RB (VENTILADOR SUPERVAC)</v>
      </c>
      <c r="C2620" s="86">
        <f>IFERROR(__xludf.DUMMYFUNCTION("""COMPUTED_VALUE"""),1.0)</f>
        <v>1</v>
      </c>
      <c r="D2620" s="87" t="str">
        <f>IFERROR(__xludf.DUMMYFUNCTION("""COMPUTED_VALUE"""),"SEÇÃO")</f>
        <v>SEÇÃO</v>
      </c>
      <c r="E2620" s="87" t="str">
        <f>IFERROR(__xludf.DUMMYFUNCTION("""COMPUTED_VALUE"""),"3 - SETOR DE MEIOS")</f>
        <v>3 - SETOR DE MEIOS</v>
      </c>
      <c r="F2620" s="92"/>
      <c r="G2620" s="89"/>
      <c r="H2620" s="87"/>
      <c r="I2620" s="87"/>
    </row>
    <row r="2621">
      <c r="A2621" s="84">
        <f>IFERROR(__xludf.DUMMYFUNCTION("""COMPUTED_VALUE"""),831.0)</f>
        <v>831</v>
      </c>
      <c r="B2621" s="85" t="str">
        <f>IFERROR(__xludf.DUMMYFUNCTION("""COMPUTED_VALUE"""),"BATERIAS MAKITA XGT 40v (VENTILADOR SUPERVAC)")</f>
        <v>BATERIAS MAKITA XGT 40v (VENTILADOR SUPERVAC)</v>
      </c>
      <c r="C2621" s="86">
        <f>IFERROR(__xludf.DUMMYFUNCTION("""COMPUTED_VALUE"""),2.0)</f>
        <v>2</v>
      </c>
      <c r="D2621" s="87" t="str">
        <f>IFERROR(__xludf.DUMMYFUNCTION("""COMPUTED_VALUE"""),"SEÇÃO")</f>
        <v>SEÇÃO</v>
      </c>
      <c r="E2621" s="87" t="str">
        <f>IFERROR(__xludf.DUMMYFUNCTION("""COMPUTED_VALUE"""),"3 - SETOR DE MEIOS")</f>
        <v>3 - SETOR DE MEIOS</v>
      </c>
      <c r="F2621" s="92"/>
      <c r="G2621" s="89"/>
      <c r="H2621" s="87"/>
      <c r="I2621" s="87"/>
    </row>
    <row r="2622">
      <c r="A2622" s="84">
        <f>IFERROR(__xludf.DUMMYFUNCTION("""COMPUTED_VALUE"""),832.0)</f>
        <v>832</v>
      </c>
      <c r="B2622" s="85" t="str">
        <f>IFERROR(__xludf.DUMMYFUNCTION("""COMPUTED_VALUE"""),"LANTERNA SURVIVOR")</f>
        <v>LANTERNA SURVIVOR</v>
      </c>
      <c r="C2622" s="86">
        <f>IFERROR(__xludf.DUMMYFUNCTION("""COMPUTED_VALUE"""),1.0)</f>
        <v>1</v>
      </c>
      <c r="D2622" s="87" t="str">
        <f>IFERROR(__xludf.DUMMYFUNCTION("""COMPUTED_VALUE"""),"SEÇÃO")</f>
        <v>SEÇÃO</v>
      </c>
      <c r="E2622" s="87" t="str">
        <f>IFERROR(__xludf.DUMMYFUNCTION("""COMPUTED_VALUE"""),"3 - ALMOX. ESTOQUE")</f>
        <v>3 - ALMOX. ESTOQUE</v>
      </c>
      <c r="F2622" s="92" t="str">
        <f>IFERROR(__xludf.DUMMYFUNCTION("""COMPUTED_VALUE"""),"SAO")</f>
        <v>SAO</v>
      </c>
      <c r="G2622" s="89"/>
      <c r="H2622" s="87" t="str">
        <f>IFERROR(__xludf.DUMMYFUNCTION("""COMPUTED_VALUE"""),"N.S. BR014434")</f>
        <v>N.S. BR014434</v>
      </c>
      <c r="I2622" s="87"/>
    </row>
    <row r="2623">
      <c r="A2623" s="84">
        <f>IFERROR(__xludf.DUMMYFUNCTION("""COMPUTED_VALUE"""),833.0)</f>
        <v>833</v>
      </c>
      <c r="B2623" s="85" t="str">
        <f>IFERROR(__xludf.DUMMYFUNCTION("""COMPUTED_VALUE"""),"LANTERNA SURVIVOR")</f>
        <v>LANTERNA SURVIVOR</v>
      </c>
      <c r="C2623" s="86">
        <f>IFERROR(__xludf.DUMMYFUNCTION("""COMPUTED_VALUE"""),1.0)</f>
        <v>1</v>
      </c>
      <c r="D2623" s="87" t="str">
        <f>IFERROR(__xludf.DUMMYFUNCTION("""COMPUTED_VALUE"""),"SEÇÃO")</f>
        <v>SEÇÃO</v>
      </c>
      <c r="E2623" s="87" t="str">
        <f>IFERROR(__xludf.DUMMYFUNCTION("""COMPUTED_VALUE"""),"3 - ALMOX. ESTOQUE")</f>
        <v>3 - ALMOX. ESTOQUE</v>
      </c>
      <c r="F2623" s="92" t="str">
        <f>IFERROR(__xludf.DUMMYFUNCTION("""COMPUTED_VALUE"""),"SAO")</f>
        <v>SAO</v>
      </c>
      <c r="G2623" s="89"/>
      <c r="H2623" s="87" t="str">
        <f>IFERROR(__xludf.DUMMYFUNCTION("""COMPUTED_VALUE"""),"N.S. BR014433")</f>
        <v>N.S. BR014433</v>
      </c>
      <c r="I2623" s="87"/>
    </row>
    <row r="2624">
      <c r="A2624" s="84">
        <f>IFERROR(__xludf.DUMMYFUNCTION("""COMPUTED_VALUE"""),834.0)</f>
        <v>834</v>
      </c>
      <c r="B2624" s="85" t="str">
        <f>IFERROR(__xludf.DUMMYFUNCTION("""COMPUTED_VALUE"""),"LANTERNA SURVIVOR")</f>
        <v>LANTERNA SURVIVOR</v>
      </c>
      <c r="C2624" s="86">
        <f>IFERROR(__xludf.DUMMYFUNCTION("""COMPUTED_VALUE"""),1.0)</f>
        <v>1</v>
      </c>
      <c r="D2624" s="87" t="str">
        <f>IFERROR(__xludf.DUMMYFUNCTION("""COMPUTED_VALUE"""),"SEÇÃO")</f>
        <v>SEÇÃO</v>
      </c>
      <c r="E2624" s="87" t="str">
        <f>IFERROR(__xludf.DUMMYFUNCTION("""COMPUTED_VALUE"""),"3 - ALMOX. ESTOQUE")</f>
        <v>3 - ALMOX. ESTOQUE</v>
      </c>
      <c r="F2624" s="92" t="str">
        <f>IFERROR(__xludf.DUMMYFUNCTION("""COMPUTED_VALUE"""),"SAO")</f>
        <v>SAO</v>
      </c>
      <c r="G2624" s="89"/>
      <c r="H2624" s="87" t="str">
        <f>IFERROR(__xludf.DUMMYFUNCTION("""COMPUTED_VALUE"""),"N.S. BR014430")</f>
        <v>N.S. BR014430</v>
      </c>
      <c r="I2624" s="87"/>
    </row>
    <row r="2625">
      <c r="A2625" s="84">
        <f>IFERROR(__xludf.DUMMYFUNCTION("""COMPUTED_VALUE"""),835.0)</f>
        <v>835</v>
      </c>
      <c r="B2625" s="85" t="str">
        <f>IFERROR(__xludf.DUMMYFUNCTION("""COMPUTED_VALUE"""),"LANTERNA SURVIVOR")</f>
        <v>LANTERNA SURVIVOR</v>
      </c>
      <c r="C2625" s="86">
        <f>IFERROR(__xludf.DUMMYFUNCTION("""COMPUTED_VALUE"""),1.0)</f>
        <v>1</v>
      </c>
      <c r="D2625" s="87" t="str">
        <f>IFERROR(__xludf.DUMMYFUNCTION("""COMPUTED_VALUE"""),"SEÇÃO")</f>
        <v>SEÇÃO</v>
      </c>
      <c r="E2625" s="87" t="str">
        <f>IFERROR(__xludf.DUMMYFUNCTION("""COMPUTED_VALUE"""),"3 - ALMOX. ESTOQUE")</f>
        <v>3 - ALMOX. ESTOQUE</v>
      </c>
      <c r="F2625" s="92" t="str">
        <f>IFERROR(__xludf.DUMMYFUNCTION("""COMPUTED_VALUE"""),"SAO")</f>
        <v>SAO</v>
      </c>
      <c r="G2625" s="89"/>
      <c r="H2625" s="87" t="str">
        <f>IFERROR(__xludf.DUMMYFUNCTION("""COMPUTED_VALUE"""),"N.S. BR014432")</f>
        <v>N.S. BR014432</v>
      </c>
      <c r="I2625" s="87"/>
    </row>
    <row r="2626">
      <c r="A2626" s="84">
        <f>IFERROR(__xludf.DUMMYFUNCTION("""COMPUTED_VALUE"""),836.0)</f>
        <v>836</v>
      </c>
      <c r="B2626" s="85" t="str">
        <f>IFERROR(__xludf.DUMMYFUNCTION("""COMPUTED_VALUE"""),"LANTERNA SURVIVOR")</f>
        <v>LANTERNA SURVIVOR</v>
      </c>
      <c r="C2626" s="86">
        <f>IFERROR(__xludf.DUMMYFUNCTION("""COMPUTED_VALUE"""),1.0)</f>
        <v>1</v>
      </c>
      <c r="D2626" s="87" t="str">
        <f>IFERROR(__xludf.DUMMYFUNCTION("""COMPUTED_VALUE"""),"SEÇÃO")</f>
        <v>SEÇÃO</v>
      </c>
      <c r="E2626" s="87" t="str">
        <f>IFERROR(__xludf.DUMMYFUNCTION("""COMPUTED_VALUE"""),"3 - ALMOX. ESTOQUE")</f>
        <v>3 - ALMOX. ESTOQUE</v>
      </c>
      <c r="F2626" s="92" t="str">
        <f>IFERROR(__xludf.DUMMYFUNCTION("""COMPUTED_VALUE"""),"SAO")</f>
        <v>SAO</v>
      </c>
      <c r="G2626" s="89"/>
      <c r="H2626" s="87" t="str">
        <f>IFERROR(__xludf.DUMMYFUNCTION("""COMPUTED_VALUE"""),"N.S. BR014429")</f>
        <v>N.S. BR014429</v>
      </c>
      <c r="I2626" s="87"/>
    </row>
    <row r="2627">
      <c r="A2627" s="84">
        <f>IFERROR(__xludf.DUMMYFUNCTION("""COMPUTED_VALUE"""),837.0)</f>
        <v>837</v>
      </c>
      <c r="B2627" s="85" t="str">
        <f>IFERROR(__xludf.DUMMYFUNCTION("""COMPUTED_VALUE"""),"LANTERNA SURVIVOR")</f>
        <v>LANTERNA SURVIVOR</v>
      </c>
      <c r="C2627" s="86">
        <f>IFERROR(__xludf.DUMMYFUNCTION("""COMPUTED_VALUE"""),1.0)</f>
        <v>1</v>
      </c>
      <c r="D2627" s="87" t="str">
        <f>IFERROR(__xludf.DUMMYFUNCTION("""COMPUTED_VALUE"""),"SEÇÃO")</f>
        <v>SEÇÃO</v>
      </c>
      <c r="E2627" s="87" t="str">
        <f>IFERROR(__xludf.DUMMYFUNCTION("""COMPUTED_VALUE"""),"3 - ALMOX. ESTOQUE")</f>
        <v>3 - ALMOX. ESTOQUE</v>
      </c>
      <c r="F2627" s="92" t="str">
        <f>IFERROR(__xludf.DUMMYFUNCTION("""COMPUTED_VALUE"""),"SAO")</f>
        <v>SAO</v>
      </c>
      <c r="G2627" s="89"/>
      <c r="H2627" s="87" t="str">
        <f>IFERROR(__xludf.DUMMYFUNCTION("""COMPUTED_VALUE"""),"N.S. BR06929")</f>
        <v>N.S. BR06929</v>
      </c>
      <c r="I2627" s="87"/>
    </row>
    <row r="2628">
      <c r="A2628" s="84">
        <f>IFERROR(__xludf.DUMMYFUNCTION("""COMPUTED_VALUE"""),838.0)</f>
        <v>838</v>
      </c>
      <c r="B2628" s="85" t="str">
        <f>IFERROR(__xludf.DUMMYFUNCTION("""COMPUTED_VALUE"""),"CILINDRO RESERVA PA SCOTT")</f>
        <v>CILINDRO RESERVA PA SCOTT</v>
      </c>
      <c r="C2628" s="86">
        <f>IFERROR(__xludf.DUMMYFUNCTION("""COMPUTED_VALUE"""),9.0)</f>
        <v>9</v>
      </c>
      <c r="D2628" s="87" t="str">
        <f>IFERROR(__xludf.DUMMYFUNCTION("""COMPUTED_VALUE"""),"SEÇÃO")</f>
        <v>SEÇÃO</v>
      </c>
      <c r="E2628" s="87" t="str">
        <f>IFERROR(__xludf.DUMMYFUNCTION("""COMPUTED_VALUE"""),"3 - ALMOX. ESTOQUE")</f>
        <v>3 - ALMOX. ESTOQUE</v>
      </c>
      <c r="F2628" s="92" t="str">
        <f>IFERROR(__xludf.DUMMYFUNCTION("""COMPUTED_VALUE"""),"ALMOX. SAO (SEDE)")</f>
        <v>ALMOX. SAO (SEDE)</v>
      </c>
      <c r="G2628" s="89"/>
      <c r="H2628" s="87"/>
      <c r="I2628" s="87"/>
    </row>
    <row r="2629">
      <c r="A2629" s="84">
        <f>IFERROR(__xludf.DUMMYFUNCTION("""COMPUTED_VALUE"""),839.0)</f>
        <v>839</v>
      </c>
      <c r="B2629" s="85" t="str">
        <f>IFERROR(__xludf.DUMMYFUNCTION("""COMPUTED_VALUE"""),"CADEIRA DE ESCRITÓRIO")</f>
        <v>CADEIRA DE ESCRITÓRIO</v>
      </c>
      <c r="C2629" s="86">
        <f>IFERROR(__xludf.DUMMYFUNCTION("""COMPUTED_VALUE"""),1.0)</f>
        <v>1</v>
      </c>
      <c r="D2629" s="87" t="str">
        <f>IFERROR(__xludf.DUMMYFUNCTION("""COMPUTED_VALUE"""),"SEÇÃO")</f>
        <v>SEÇÃO</v>
      </c>
      <c r="E2629" s="87" t="str">
        <f>IFERROR(__xludf.DUMMYFUNCTION("""COMPUTED_VALUE"""),"3 - CARTÓRIO")</f>
        <v>3 - CARTÓRIO</v>
      </c>
      <c r="F2629" s="92"/>
      <c r="G2629" s="89"/>
      <c r="H2629" s="87"/>
      <c r="I2629" s="87"/>
    </row>
    <row r="2630">
      <c r="A2630" s="84">
        <f>IFERROR(__xludf.DUMMYFUNCTION("""COMPUTED_VALUE"""),840.0)</f>
        <v>840</v>
      </c>
      <c r="B2630" s="85" t="str">
        <f>IFERROR(__xludf.DUMMYFUNCTION("""COMPUTED_VALUE"""),"TELEFONE")</f>
        <v>TELEFONE</v>
      </c>
      <c r="C2630" s="86">
        <f>IFERROR(__xludf.DUMMYFUNCTION("""COMPUTED_VALUE"""),1.0)</f>
        <v>1</v>
      </c>
      <c r="D2630" s="87" t="str">
        <f>IFERROR(__xludf.DUMMYFUNCTION("""COMPUTED_VALUE"""),"SEÇÃO")</f>
        <v>SEÇÃO</v>
      </c>
      <c r="E2630" s="87" t="str">
        <f>IFERROR(__xludf.DUMMYFUNCTION("""COMPUTED_VALUE"""),"3 - GRD")</f>
        <v>3 - GRD</v>
      </c>
      <c r="F2630" s="92"/>
      <c r="G2630" s="89"/>
      <c r="H2630" s="87"/>
      <c r="I2630" s="87"/>
    </row>
    <row r="2631">
      <c r="A2631" s="84">
        <f>IFERROR(__xludf.DUMMYFUNCTION("""COMPUTED_VALUE"""),841.0)</f>
        <v>841</v>
      </c>
      <c r="B2631" s="85" t="str">
        <f>IFERROR(__xludf.DUMMYFUNCTION("""COMPUTED_VALUE"""),"MESA PARA ESCRITORIO -")</f>
        <v>MESA PARA ESCRITORIO -</v>
      </c>
      <c r="C2631" s="86">
        <f>IFERROR(__xludf.DUMMYFUNCTION("""COMPUTED_VALUE"""),2.0)</f>
        <v>2</v>
      </c>
      <c r="D2631" s="87" t="str">
        <f>IFERROR(__xludf.DUMMYFUNCTION("""COMPUTED_VALUE"""),"SEÇÃO")</f>
        <v>SEÇÃO</v>
      </c>
      <c r="E2631" s="87" t="str">
        <f>IFERROR(__xludf.DUMMYFUNCTION("""COMPUTED_VALUE"""),"3 - GRD")</f>
        <v>3 - GRD</v>
      </c>
      <c r="F2631" s="92"/>
      <c r="G2631" s="89"/>
      <c r="H2631" s="87"/>
      <c r="I2631" s="87" t="str">
        <f>IFERROR(__xludf.DUMMYFUNCTION("""COMPUTED_VALUE"""),"MESA MDF RETA COR DE MADEIRA")</f>
        <v>MESA MDF RETA COR DE MADEIRA</v>
      </c>
    </row>
    <row r="2632">
      <c r="A2632" s="84">
        <f>IFERROR(__xludf.DUMMYFUNCTION("""COMPUTED_VALUE"""),842.0)</f>
        <v>842</v>
      </c>
      <c r="B2632" s="85" t="str">
        <f>IFERROR(__xludf.DUMMYFUNCTION("""COMPUTED_VALUE"""),"CADEIRA GAMER")</f>
        <v>CADEIRA GAMER</v>
      </c>
      <c r="C2632" s="86">
        <f>IFERROR(__xludf.DUMMYFUNCTION("""COMPUTED_VALUE"""),2.0)</f>
        <v>2</v>
      </c>
      <c r="D2632" s="87" t="str">
        <f>IFERROR(__xludf.DUMMYFUNCTION("""COMPUTED_VALUE"""),"SEÇÃO")</f>
        <v>SEÇÃO</v>
      </c>
      <c r="E2632" s="87" t="str">
        <f>IFERROR(__xludf.DUMMYFUNCTION("""COMPUTED_VALUE"""),"3 - GRD")</f>
        <v>3 - GRD</v>
      </c>
      <c r="F2632" s="92"/>
      <c r="G2632" s="89"/>
      <c r="H2632" s="87"/>
      <c r="I2632" s="87"/>
    </row>
    <row r="2633">
      <c r="A2633" s="84">
        <f>IFERROR(__xludf.DUMMYFUNCTION("""COMPUTED_VALUE"""),843.0)</f>
        <v>843</v>
      </c>
      <c r="B2633" s="85" t="str">
        <f>IFERROR(__xludf.DUMMYFUNCTION("""COMPUTED_VALUE"""),"CADEIRA DE ESCRITÓRIO")</f>
        <v>CADEIRA DE ESCRITÓRIO</v>
      </c>
      <c r="C2633" s="86">
        <f>IFERROR(__xludf.DUMMYFUNCTION("""COMPUTED_VALUE"""),1.0)</f>
        <v>1</v>
      </c>
      <c r="D2633" s="87" t="str">
        <f>IFERROR(__xludf.DUMMYFUNCTION("""COMPUTED_VALUE"""),"SEÇÃO")</f>
        <v>SEÇÃO</v>
      </c>
      <c r="E2633" s="87" t="str">
        <f>IFERROR(__xludf.DUMMYFUNCTION("""COMPUTED_VALUE"""),"3 - GRD")</f>
        <v>3 - GRD</v>
      </c>
      <c r="F2633" s="92"/>
      <c r="G2633" s="89"/>
      <c r="H2633" s="87"/>
      <c r="I2633" s="87"/>
    </row>
    <row r="2634">
      <c r="A2634" s="84">
        <f>IFERROR(__xludf.DUMMYFUNCTION("""COMPUTED_VALUE"""),844.0)</f>
        <v>844</v>
      </c>
      <c r="B2634" s="85" t="str">
        <f>IFERROR(__xludf.DUMMYFUNCTION("""COMPUTED_VALUE"""),"FONE DE OUVIDO")</f>
        <v>FONE DE OUVIDO</v>
      </c>
      <c r="C2634" s="86">
        <f>IFERROR(__xludf.DUMMYFUNCTION("""COMPUTED_VALUE"""),2.0)</f>
        <v>2</v>
      </c>
      <c r="D2634" s="87" t="str">
        <f>IFERROR(__xludf.DUMMYFUNCTION("""COMPUTED_VALUE"""),"SEÇÃO")</f>
        <v>SEÇÃO</v>
      </c>
      <c r="E2634" s="87" t="str">
        <f>IFERROR(__xludf.DUMMYFUNCTION("""COMPUTED_VALUE"""),"3 - GRD")</f>
        <v>3 - GRD</v>
      </c>
      <c r="F2634" s="92"/>
      <c r="G2634" s="89"/>
      <c r="H2634" s="87"/>
      <c r="I2634" s="87" t="str">
        <f>IFERROR(__xludf.DUMMYFUNCTION("""COMPUTED_VALUE"""),"COM FIO MULTI HF700")</f>
        <v>COM FIO MULTI HF700</v>
      </c>
    </row>
    <row r="2635">
      <c r="A2635" s="84">
        <f>IFERROR(__xludf.DUMMYFUNCTION("""COMPUTED_VALUE"""),845.0)</f>
        <v>845</v>
      </c>
      <c r="B2635" s="85" t="str">
        <f>IFERROR(__xludf.DUMMYFUNCTION("""COMPUTED_VALUE"""),"MUNICAO PARA ARMAS (TREINAMENTO) -")</f>
        <v>MUNICAO PARA ARMAS (TREINAMENTO) -</v>
      </c>
      <c r="C2635" s="86">
        <f>IFERROR(__xludf.DUMMYFUNCTION("""COMPUTED_VALUE"""),56.0)</f>
        <v>56</v>
      </c>
      <c r="D2635" s="87" t="str">
        <f>IFERROR(__xludf.DUMMYFUNCTION("""COMPUTED_VALUE"""),"SEÇÃO")</f>
        <v>SEÇÃO</v>
      </c>
      <c r="E2635" s="87" t="str">
        <f>IFERROR(__xludf.DUMMYFUNCTION("""COMPUTED_VALUE"""),"3 - ARMARIA")</f>
        <v>3 - ARMARIA</v>
      </c>
      <c r="F2635" s="92"/>
      <c r="G2635" s="89"/>
      <c r="H2635" s="87"/>
      <c r="I2635" s="87"/>
    </row>
    <row r="2636">
      <c r="A2636" s="84">
        <f>IFERROR(__xludf.DUMMYFUNCTION("""COMPUTED_VALUE"""),846.0)</f>
        <v>846</v>
      </c>
      <c r="B2636" s="85" t="str">
        <f>IFERROR(__xludf.DUMMYFUNCTION("""COMPUTED_VALUE"""),"MUNICAO PARA ARMAS (USO REAL) -")</f>
        <v>MUNICAO PARA ARMAS (USO REAL) -</v>
      </c>
      <c r="C2636" s="86">
        <f>IFERROR(__xludf.DUMMYFUNCTION("""COMPUTED_VALUE"""),124.0)</f>
        <v>124</v>
      </c>
      <c r="D2636" s="87" t="str">
        <f>IFERROR(__xludf.DUMMYFUNCTION("""COMPUTED_VALUE"""),"SEÇÃO")</f>
        <v>SEÇÃO</v>
      </c>
      <c r="E2636" s="87" t="str">
        <f>IFERROR(__xludf.DUMMYFUNCTION("""COMPUTED_VALUE"""),"3 - ARMARIA")</f>
        <v>3 - ARMARIA</v>
      </c>
      <c r="F2636" s="92"/>
      <c r="G2636" s="89"/>
      <c r="H2636" s="87"/>
      <c r="I2636" s="87"/>
    </row>
    <row r="2637">
      <c r="A2637" s="84">
        <f>IFERROR(__xludf.DUMMYFUNCTION("""COMPUTED_VALUE"""),847.0)</f>
        <v>847</v>
      </c>
      <c r="B2637" s="85" t="str">
        <f>IFERROR(__xludf.DUMMYFUNCTION("""COMPUTED_VALUE"""),"MUNICAO PARA ARMAS (USO REAL) -")</f>
        <v>MUNICAO PARA ARMAS (USO REAL) -</v>
      </c>
      <c r="C2637" s="86">
        <f>IFERROR(__xludf.DUMMYFUNCTION("""COMPUTED_VALUE"""),50.0)</f>
        <v>50</v>
      </c>
      <c r="D2637" s="87" t="str">
        <f>IFERROR(__xludf.DUMMYFUNCTION("""COMPUTED_VALUE"""),"SEÇÃO")</f>
        <v>SEÇÃO</v>
      </c>
      <c r="E2637" s="87" t="str">
        <f>IFERROR(__xludf.DUMMYFUNCTION("""COMPUTED_VALUE"""),"3 - CURVELO")</f>
        <v>3 - CURVELO</v>
      </c>
      <c r="F2637" s="92"/>
      <c r="G2637" s="89">
        <f>IFERROR(__xludf.DUMMYFUNCTION("""COMPUTED_VALUE"""),46122.0)</f>
        <v>46122</v>
      </c>
      <c r="H2637" s="87"/>
      <c r="I2637" s="87"/>
    </row>
    <row r="2638">
      <c r="A2638" s="84">
        <f>IFERROR(__xludf.DUMMYFUNCTION("""COMPUTED_VALUE"""),848.0)</f>
        <v>848</v>
      </c>
      <c r="B2638" s="85" t="str">
        <f>IFERROR(__xludf.DUMMYFUNCTION("""COMPUTED_VALUE"""),"COFRE")</f>
        <v>COFRE</v>
      </c>
      <c r="C2638" s="86">
        <f>IFERROR(__xludf.DUMMYFUNCTION("""COMPUTED_VALUE"""),1.0)</f>
        <v>1</v>
      </c>
      <c r="D2638" s="87" t="str">
        <f>IFERROR(__xludf.DUMMYFUNCTION("""COMPUTED_VALUE"""),"SEÇÃO")</f>
        <v>SEÇÃO</v>
      </c>
      <c r="E2638" s="87" t="str">
        <f>IFERROR(__xludf.DUMMYFUNCTION("""COMPUTED_VALUE"""),"3 - ARMARIA")</f>
        <v>3 - ARMARIA</v>
      </c>
      <c r="F2638" s="92"/>
      <c r="G2638" s="89">
        <f>IFERROR(__xludf.DUMMYFUNCTION("""COMPUTED_VALUE"""),46122.0)</f>
        <v>46122</v>
      </c>
      <c r="H2638" s="87"/>
      <c r="I2638" s="87"/>
    </row>
    <row r="2639">
      <c r="A2639" s="84">
        <f>IFERROR(__xludf.DUMMYFUNCTION("""COMPUTED_VALUE"""),849.0)</f>
        <v>849</v>
      </c>
      <c r="B2639" s="85" t="str">
        <f>IFERROR(__xludf.DUMMYFUNCTION("""COMPUTED_VALUE"""),"CADEIRA GAMER")</f>
        <v>CADEIRA GAMER</v>
      </c>
      <c r="C2639" s="86">
        <f>IFERROR(__xludf.DUMMYFUNCTION("""COMPUTED_VALUE"""),1.0)</f>
        <v>1</v>
      </c>
      <c r="D2639" s="87" t="str">
        <f>IFERROR(__xludf.DUMMYFUNCTION("""COMPUTED_VALUE"""),"SEÇÃO")</f>
        <v>SEÇÃO</v>
      </c>
      <c r="E2639" s="87" t="str">
        <f>IFERROR(__xludf.DUMMYFUNCTION("""COMPUTED_VALUE"""),"3 - CARTÓRIO")</f>
        <v>3 - CARTÓRIO</v>
      </c>
      <c r="F2639" s="92" t="str">
        <f>IFERROR(__xludf.DUMMYFUNCTION("""COMPUTED_VALUE"""),"PROTOCOLO")</f>
        <v>PROTOCOLO</v>
      </c>
      <c r="G2639" s="89"/>
      <c r="H2639" s="87"/>
      <c r="I2639" s="87"/>
    </row>
    <row r="2640">
      <c r="A2640" s="84">
        <f>IFERROR(__xludf.DUMMYFUNCTION("""COMPUTED_VALUE"""),850.0)</f>
        <v>850</v>
      </c>
      <c r="B2640" s="85" t="str">
        <f>IFERROR(__xludf.DUMMYFUNCTION("""COMPUTED_VALUE"""),"ESTACAO DE TRABALHO -")</f>
        <v>ESTACAO DE TRABALHO -</v>
      </c>
      <c r="C2640" s="86">
        <f>IFERROR(__xludf.DUMMYFUNCTION("""COMPUTED_VALUE"""),1.0)</f>
        <v>1</v>
      </c>
      <c r="D2640" s="87" t="str">
        <f>IFERROR(__xludf.DUMMYFUNCTION("""COMPUTED_VALUE"""),"SEÇÃO")</f>
        <v>SEÇÃO</v>
      </c>
      <c r="E2640" s="87" t="str">
        <f>IFERROR(__xludf.DUMMYFUNCTION("""COMPUTED_VALUE"""),"3 - CARTÓRIO")</f>
        <v>3 - CARTÓRIO</v>
      </c>
      <c r="F2640" s="92" t="str">
        <f>IFERROR(__xludf.DUMMYFUNCTION("""COMPUTED_VALUE"""),"PROTOCOLO")</f>
        <v>PROTOCOLO</v>
      </c>
      <c r="G2640" s="89"/>
      <c r="H2640" s="87"/>
      <c r="I2640" s="87"/>
    </row>
    <row r="2641">
      <c r="A2641" s="84">
        <f>IFERROR(__xludf.DUMMYFUNCTION("""COMPUTED_VALUE"""),851.0)</f>
        <v>851</v>
      </c>
      <c r="B2641" s="85" t="str">
        <f>IFERROR(__xludf.DUMMYFUNCTION("""COMPUTED_VALUE"""),"CONJUNTO DE TRALHERES CANADÁ (CONTENDO 24 UN. CADA)")</f>
        <v>CONJUNTO DE TRALHERES CANADÁ (CONTENDO 24 UN. CADA)</v>
      </c>
      <c r="C2641" s="86">
        <f>IFERROR(__xludf.DUMMYFUNCTION("""COMPUTED_VALUE"""),2.0)</f>
        <v>2</v>
      </c>
      <c r="D2641" s="87" t="str">
        <f>IFERROR(__xludf.DUMMYFUNCTION("""COMPUTED_VALUE"""),"SEÇÃO")</f>
        <v>SEÇÃO</v>
      </c>
      <c r="E2641" s="87" t="str">
        <f>IFERROR(__xludf.DUMMYFUNCTION("""COMPUTED_VALUE"""),"3 - REFEITÓRIO (SEDE)")</f>
        <v>3 - REFEITÓRIO (SEDE)</v>
      </c>
      <c r="F2641" s="92"/>
      <c r="G2641" s="89">
        <f>IFERROR(__xludf.DUMMYFUNCTION("""COMPUTED_VALUE"""),46128.0)</f>
        <v>46128</v>
      </c>
      <c r="H2641" s="87"/>
      <c r="I2641" s="87"/>
    </row>
    <row r="2642">
      <c r="A2642" s="84">
        <f>IFERROR(__xludf.DUMMYFUNCTION("""COMPUTED_VALUE"""),852.0)</f>
        <v>852</v>
      </c>
      <c r="B2642" s="85" t="str">
        <f>IFERROR(__xludf.DUMMYFUNCTION("""COMPUTED_VALUE"""),"MOCHILA COSTAL (VALLFIREST) C/ ESGUICHO")</f>
        <v>MOCHILA COSTAL (VALLFIREST) C/ ESGUICHO</v>
      </c>
      <c r="C2642" s="86">
        <f>IFERROR(__xludf.DUMMYFUNCTION("""COMPUTED_VALUE"""),2.0)</f>
        <v>2</v>
      </c>
      <c r="D2642" s="87" t="str">
        <f>IFERROR(__xludf.DUMMYFUNCTION("""COMPUTED_VALUE"""),"SEÇÃO")</f>
        <v>SEÇÃO</v>
      </c>
      <c r="E2642" s="87" t="str">
        <f>IFERROR(__xludf.DUMMYFUNCTION("""COMPUTED_VALUE"""),"3 - 1ª CIA OP")</f>
        <v>3 - 1ª CIA OP</v>
      </c>
      <c r="F2642" s="92" t="str">
        <f>IFERROR(__xludf.DUMMYFUNCTION("""COMPUTED_VALUE"""),"SETOR DE MEIOS")</f>
        <v>SETOR DE MEIOS</v>
      </c>
      <c r="G2642" s="89">
        <f>IFERROR(__xludf.DUMMYFUNCTION("""COMPUTED_VALUE"""),46136.0)</f>
        <v>46136</v>
      </c>
      <c r="H2642" s="87"/>
      <c r="I2642" s="87"/>
    </row>
    <row r="2643">
      <c r="A2643" s="84">
        <f>IFERROR(__xludf.DUMMYFUNCTION("""COMPUTED_VALUE"""),853.0)</f>
        <v>853</v>
      </c>
      <c r="B2643" s="85" t="str">
        <f>IFERROR(__xludf.DUMMYFUNCTION("""COMPUTED_VALUE"""),"UMIDIFICADOR")</f>
        <v>UMIDIFICADOR</v>
      </c>
      <c r="C2643" s="86">
        <f>IFERROR(__xludf.DUMMYFUNCTION("""COMPUTED_VALUE"""),1.0)</f>
        <v>1</v>
      </c>
      <c r="D2643" s="87" t="str">
        <f>IFERROR(__xludf.DUMMYFUNCTION("""COMPUTED_VALUE"""),"SEÇÃO")</f>
        <v>SEÇÃO</v>
      </c>
      <c r="E2643" s="87" t="str">
        <f>IFERROR(__xludf.DUMMYFUNCTION("""COMPUTED_VALUE"""),"3 - ALMOX. ESTOQUE")</f>
        <v>3 - ALMOX. ESTOQUE</v>
      </c>
      <c r="F2643" s="92" t="str">
        <f>IFERROR(__xludf.DUMMYFUNCTION("""COMPUTED_VALUE"""),"ALMOX. APH")</f>
        <v>ALMOX. APH</v>
      </c>
      <c r="G2643" s="89">
        <f>IFERROR(__xludf.DUMMYFUNCTION("""COMPUTED_VALUE"""),46146.0)</f>
        <v>46146</v>
      </c>
      <c r="H2643" s="87"/>
      <c r="I2643" s="87"/>
    </row>
    <row r="2644">
      <c r="A2644" s="84">
        <f>IFERROR(__xludf.DUMMYFUNCTION("""COMPUTED_VALUE"""),854.0)</f>
        <v>854</v>
      </c>
      <c r="B2644" s="85" t="str">
        <f>IFERROR(__xludf.DUMMYFUNCTION("""COMPUTED_VALUE"""),"FLUXÔMETRO")</f>
        <v>FLUXÔMETRO</v>
      </c>
      <c r="C2644" s="86">
        <f>IFERROR(__xludf.DUMMYFUNCTION("""COMPUTED_VALUE"""),1.0)</f>
        <v>1</v>
      </c>
      <c r="D2644" s="87" t="str">
        <f>IFERROR(__xludf.DUMMYFUNCTION("""COMPUTED_VALUE"""),"SEÇÃO")</f>
        <v>SEÇÃO</v>
      </c>
      <c r="E2644" s="87" t="str">
        <f>IFERROR(__xludf.DUMMYFUNCTION("""COMPUTED_VALUE"""),"3 - ALMOX. ESTOQUE")</f>
        <v>3 - ALMOX. ESTOQUE</v>
      </c>
      <c r="F2644" s="92" t="str">
        <f>IFERROR(__xludf.DUMMYFUNCTION("""COMPUTED_VALUE"""),"ALMOX. APH")</f>
        <v>ALMOX. APH</v>
      </c>
      <c r="G2644" s="89">
        <f>IFERROR(__xludf.DUMMYFUNCTION("""COMPUTED_VALUE"""),46146.0)</f>
        <v>46146</v>
      </c>
      <c r="H2644" s="87"/>
      <c r="I2644" s="87"/>
    </row>
    <row r="2645">
      <c r="A2645" s="84">
        <f>IFERROR(__xludf.DUMMYFUNCTION("""COMPUTED_VALUE"""),855.0)</f>
        <v>855</v>
      </c>
      <c r="B2645" s="85" t="str">
        <f>IFERROR(__xludf.DUMMYFUNCTION("""COMPUTED_VALUE"""),"VÁLVULA REGULADORA CILINDRO O2")</f>
        <v>VÁLVULA REGULADORA CILINDRO O2</v>
      </c>
      <c r="C2645" s="86">
        <f>IFERROR(__xludf.DUMMYFUNCTION("""COMPUTED_VALUE"""),1.0)</f>
        <v>1</v>
      </c>
      <c r="D2645" s="87" t="str">
        <f>IFERROR(__xludf.DUMMYFUNCTION("""COMPUTED_VALUE"""),"SEÇÃO")</f>
        <v>SEÇÃO</v>
      </c>
      <c r="E2645" s="87" t="str">
        <f>IFERROR(__xludf.DUMMYFUNCTION("""COMPUTED_VALUE"""),"3 - ALMOX. ESTOQUE")</f>
        <v>3 - ALMOX. ESTOQUE</v>
      </c>
      <c r="F2645" s="92" t="str">
        <f>IFERROR(__xludf.DUMMYFUNCTION("""COMPUTED_VALUE"""),"ALMOX. APH")</f>
        <v>ALMOX. APH</v>
      </c>
      <c r="G2645" s="89">
        <f>IFERROR(__xludf.DUMMYFUNCTION("""COMPUTED_VALUE"""),46146.0)</f>
        <v>46146</v>
      </c>
      <c r="H2645" s="87"/>
      <c r="I2645" s="87"/>
    </row>
    <row r="2646">
      <c r="A2646" s="84">
        <f>IFERROR(__xludf.DUMMYFUNCTION("""COMPUTED_VALUE"""),856.0)</f>
        <v>856</v>
      </c>
      <c r="B2646" s="85" t="str">
        <f>IFERROR(__xludf.DUMMYFUNCTION("""COMPUTED_VALUE"""),"MANGUEIRA DE 2 ¹/²")</f>
        <v>MANGUEIRA DE 2 ¹/²</v>
      </c>
      <c r="C2646" s="86">
        <f>IFERROR(__xludf.DUMMYFUNCTION("""COMPUTED_VALUE"""),2.0)</f>
        <v>2</v>
      </c>
      <c r="D2646" s="87" t="str">
        <f>IFERROR(__xludf.DUMMYFUNCTION("""COMPUTED_VALUE"""),"SEÇÃO")</f>
        <v>SEÇÃO</v>
      </c>
      <c r="E2646" s="87" t="str">
        <f>IFERROR(__xludf.DUMMYFUNCTION("""COMPUTED_VALUE"""),"3 - SETOR DE MEIOS")</f>
        <v>3 - SETOR DE MEIOS</v>
      </c>
      <c r="F2646" s="92"/>
      <c r="G2646" s="89"/>
      <c r="H2646" s="87"/>
      <c r="I2646" s="87"/>
    </row>
    <row r="2647">
      <c r="A2647" s="84">
        <f>IFERROR(__xludf.DUMMYFUNCTION("""COMPUTED_VALUE"""),857.0)</f>
        <v>857</v>
      </c>
      <c r="B2647" s="85" t="str">
        <f>IFERROR(__xludf.DUMMYFUNCTION("""COMPUTED_VALUE"""),"CAIXA DE FERRAMENTA VONDER PLUS")</f>
        <v>CAIXA DE FERRAMENTA VONDER PLUS</v>
      </c>
      <c r="C2647" s="86">
        <f>IFERROR(__xludf.DUMMYFUNCTION("""COMPUTED_VALUE"""),1.0)</f>
        <v>1</v>
      </c>
      <c r="D2647" s="87" t="str">
        <f>IFERROR(__xludf.DUMMYFUNCTION("""COMPUTED_VALUE"""),"SEÇÃO")</f>
        <v>SEÇÃO</v>
      </c>
      <c r="E2647" s="87" t="str">
        <f>IFERROR(__xludf.DUMMYFUNCTION("""COMPUTED_VALUE"""),"3 - SOU")</f>
        <v>3 - SOU</v>
      </c>
      <c r="F2647" s="92" t="str">
        <f>IFERROR(__xludf.DUMMYFUNCTION("""COMPUTED_VALUE"""),"CPD")</f>
        <v>CPD</v>
      </c>
      <c r="G2647" s="89"/>
      <c r="H2647" s="87"/>
      <c r="I2647" s="87" t="str">
        <f>IFERROR(__xludf.DUMMYFUNCTION("""COMPUTED_VALUE"""),"Caixa de acondicionamento das baterias do Drone Matrice")</f>
        <v>Caixa de acondicionamento das baterias do Drone Matrice</v>
      </c>
    </row>
    <row r="2648">
      <c r="A2648" s="84">
        <f>IFERROR(__xludf.DUMMYFUNCTION("""COMPUTED_VALUE"""),858.0)</f>
        <v>858</v>
      </c>
      <c r="B2648" s="85" t="str">
        <f>IFERROR(__xludf.DUMMYFUNCTION("""COMPUTED_VALUE"""),"CELULAR ")</f>
        <v>CELULAR </v>
      </c>
      <c r="C2648" s="86">
        <f>IFERROR(__xludf.DUMMYFUNCTION("""COMPUTED_VALUE"""),1.0)</f>
        <v>1</v>
      </c>
      <c r="D2648" s="87" t="str">
        <f>IFERROR(__xludf.DUMMYFUNCTION("""COMPUTED_VALUE"""),"SEÇÃO")</f>
        <v>SEÇÃO</v>
      </c>
      <c r="E2648" s="87" t="str">
        <f>IFERROR(__xludf.DUMMYFUNCTION("""COMPUTED_VALUE"""),"3 - SUB COMANDANTE")</f>
        <v>3 - SUB COMANDANTE</v>
      </c>
      <c r="F2648" s="92"/>
      <c r="G2648" s="89">
        <f>IFERROR(__xludf.DUMMYFUNCTION("""COMPUTED_VALUE"""),46161.0)</f>
        <v>46161</v>
      </c>
      <c r="H2648" s="87" t="str">
        <f>IFERROR(__xludf.DUMMYFUNCTION("""COMPUTED_VALUE""")," Celular Moto G35 5G 256 GB")</f>
        <v> Celular Moto G35 5G 256 GB</v>
      </c>
      <c r="I2648" s="87" t="str">
        <f>IFERROR(__xludf.DUMMYFUNCTION("""COMPUTED_VALUE"""),"SEI 1400,01,0028636/2026-84  TEL 31 992001567")</f>
        <v>SEI 1400,01,0028636/2026-84  TEL 31 992001567</v>
      </c>
    </row>
    <row r="2649">
      <c r="A2649" s="84">
        <f>IFERROR(__xludf.DUMMYFUNCTION("""COMPUTED_VALUE"""),859.0)</f>
        <v>859</v>
      </c>
      <c r="B2649" s="85" t="str">
        <f>IFERROR(__xludf.DUMMYFUNCTION("""COMPUTED_VALUE"""),"CELULAR ")</f>
        <v>CELULAR </v>
      </c>
      <c r="C2649" s="86">
        <f>IFERROR(__xludf.DUMMYFUNCTION("""COMPUTED_VALUE"""),1.0)</f>
        <v>1</v>
      </c>
      <c r="D2649" s="87" t="str">
        <f>IFERROR(__xludf.DUMMYFUNCTION("""COMPUTED_VALUE"""),"SEÇÃO")</f>
        <v>SEÇÃO</v>
      </c>
      <c r="E2649" s="87" t="str">
        <f>IFERROR(__xludf.DUMMYFUNCTION("""COMPUTED_VALUE"""),"3 - COMANDANTE")</f>
        <v>3 - COMANDANTE</v>
      </c>
      <c r="F2649" s="92"/>
      <c r="G2649" s="89">
        <f>IFERROR(__xludf.DUMMYFUNCTION("""COMPUTED_VALUE"""),46161.0)</f>
        <v>46161</v>
      </c>
      <c r="H2649" s="87" t="str">
        <f>IFERROR(__xludf.DUMMYFUNCTION("""COMPUTED_VALUE"""),"Celular Moto G35 5G 256 GB")</f>
        <v>Celular Moto G35 5G 256 GB</v>
      </c>
      <c r="I2649" s="87" t="str">
        <f>IFERROR(__xludf.DUMMYFUNCTION("""COMPUTED_VALUE"""),"SEI 1400,01,0028636/2026-84  TEL 31 984331985")</f>
        <v>SEI 1400,01,0028636/2026-84  TEL 31 984331985</v>
      </c>
    </row>
    <row r="2650">
      <c r="A2650" s="84">
        <f>IFERROR(__xludf.DUMMYFUNCTION("""COMPUTED_VALUE"""),860.0)</f>
        <v>860</v>
      </c>
      <c r="B2650" s="85" t="str">
        <f>IFERROR(__xludf.DUMMYFUNCTION("""COMPUTED_VALUE"""),"CORDA SEMI ESTATICA 60M")</f>
        <v>CORDA SEMI ESTATICA 60M</v>
      </c>
      <c r="C2650" s="86">
        <f>IFERROR(__xludf.DUMMYFUNCTION("""COMPUTED_VALUE"""),1.0)</f>
        <v>1</v>
      </c>
      <c r="D2650" s="87" t="str">
        <f>IFERROR(__xludf.DUMMYFUNCTION("""COMPUTED_VALUE"""),"VIATURA")</f>
        <v>VIATURA</v>
      </c>
      <c r="E2650" s="87" t="str">
        <f>IFERROR(__xludf.DUMMYFUNCTION("""COMPUTED_VALUE"""),"1 - ASM3617")</f>
        <v>1 - ASM3617</v>
      </c>
      <c r="F2650" s="92"/>
      <c r="G2650" s="89">
        <f>IFERROR(__xludf.DUMMYFUNCTION("""COMPUTED_VALUE"""),46188.0)</f>
        <v>46188</v>
      </c>
      <c r="H2650" s="87"/>
      <c r="I2650" s="87"/>
    </row>
    <row r="2651">
      <c r="A2651" s="84">
        <f>IFERROR(__xludf.DUMMYFUNCTION("""COMPUTED_VALUE"""),861.0)</f>
        <v>861</v>
      </c>
      <c r="B2651" s="85" t="str">
        <f>IFERROR(__xludf.DUMMYFUNCTION("""COMPUTED_VALUE"""),"FERRAMENTA PRT (7 PONTEIRAS)")</f>
        <v>FERRAMENTA PRT (7 PONTEIRAS)</v>
      </c>
      <c r="C2651" s="86">
        <f>IFERROR(__xludf.DUMMYFUNCTION("""COMPUTED_VALUE"""),1.0)</f>
        <v>1</v>
      </c>
      <c r="D2651" s="87" t="str">
        <f>IFERROR(__xludf.DUMMYFUNCTION("""COMPUTED_VALUE"""),"VIATURA")</f>
        <v>VIATURA</v>
      </c>
      <c r="E2651" s="87" t="str">
        <f>IFERROR(__xludf.DUMMYFUNCTION("""COMPUTED_VALUE"""),"1 - ASM3617")</f>
        <v>1 - ASM3617</v>
      </c>
      <c r="F2651" s="92"/>
      <c r="G2651" s="89">
        <f>IFERROR(__xludf.DUMMYFUNCTION("""COMPUTED_VALUE"""),46188.0)</f>
        <v>46188</v>
      </c>
      <c r="H2651" s="87"/>
      <c r="I2651" s="87" t="str">
        <f>IFERROR(__xludf.DUMMYFUNCTION("""COMPUTED_VALUE"""),"Percussive rescue tool com 7 ponteiras")</f>
        <v>Percussive rescue tool com 7 ponteiras</v>
      </c>
    </row>
    <row r="2652">
      <c r="A2652" s="84"/>
      <c r="B2652" s="85"/>
      <c r="C2652" s="85"/>
      <c r="F2652" s="92"/>
      <c r="G2652" s="85"/>
    </row>
    <row r="2653">
      <c r="A2653" s="84"/>
      <c r="B2653" s="85"/>
      <c r="C2653" s="85"/>
      <c r="F2653" s="92"/>
      <c r="G2653" s="85"/>
    </row>
    <row r="2654">
      <c r="A2654" s="84"/>
      <c r="B2654" s="85"/>
      <c r="C2654" s="85"/>
      <c r="F2654" s="92"/>
      <c r="G2654" s="85"/>
    </row>
    <row r="2655">
      <c r="A2655" s="84"/>
      <c r="B2655" s="85"/>
      <c r="C2655" s="85"/>
      <c r="F2655" s="92"/>
      <c r="G2655" s="85"/>
    </row>
    <row r="2656">
      <c r="A2656" s="84"/>
      <c r="B2656" s="85"/>
      <c r="C2656" s="85"/>
      <c r="F2656" s="92"/>
      <c r="G2656" s="85"/>
    </row>
    <row r="2657">
      <c r="A2657" s="84"/>
      <c r="B2657" s="85"/>
      <c r="C2657" s="85"/>
      <c r="F2657" s="92"/>
      <c r="G2657" s="85"/>
    </row>
    <row r="2658">
      <c r="A2658" s="84"/>
      <c r="B2658" s="85"/>
      <c r="C2658" s="85"/>
      <c r="F2658" s="92"/>
      <c r="G2658" s="85"/>
    </row>
    <row r="2659">
      <c r="A2659" s="84"/>
      <c r="B2659" s="85"/>
      <c r="C2659" s="85"/>
      <c r="F2659" s="92"/>
      <c r="G2659" s="85"/>
    </row>
    <row r="2660">
      <c r="A2660" s="84"/>
      <c r="B2660" s="85"/>
      <c r="C2660" s="85"/>
      <c r="F2660" s="92"/>
      <c r="G2660" s="85"/>
    </row>
    <row r="2661">
      <c r="A2661" s="84"/>
      <c r="B2661" s="85"/>
      <c r="C2661" s="85"/>
      <c r="F2661" s="92"/>
      <c r="G2661" s="85"/>
    </row>
    <row r="2662">
      <c r="A2662" s="84"/>
      <c r="B2662" s="85"/>
      <c r="C2662" s="85"/>
      <c r="F2662" s="92"/>
      <c r="G2662" s="85"/>
    </row>
    <row r="2663">
      <c r="A2663" s="84"/>
      <c r="B2663" s="85"/>
      <c r="C2663" s="85"/>
      <c r="F2663" s="92"/>
      <c r="G2663" s="85"/>
    </row>
    <row r="2664">
      <c r="A2664" s="84"/>
      <c r="B2664" s="85"/>
      <c r="C2664" s="85"/>
      <c r="F2664" s="92"/>
      <c r="G2664" s="85"/>
    </row>
    <row r="2665">
      <c r="A2665" s="84"/>
      <c r="B2665" s="85"/>
      <c r="C2665" s="85"/>
      <c r="F2665" s="92"/>
      <c r="G2665" s="85"/>
    </row>
    <row r="2666">
      <c r="A2666" s="84"/>
      <c r="B2666" s="85"/>
      <c r="C2666" s="85"/>
      <c r="F2666" s="92"/>
      <c r="G2666" s="85"/>
    </row>
    <row r="2667">
      <c r="A2667" s="84"/>
      <c r="B2667" s="85"/>
      <c r="C2667" s="85"/>
      <c r="F2667" s="92"/>
      <c r="G2667" s="85"/>
    </row>
    <row r="2668">
      <c r="A2668" s="84"/>
      <c r="B2668" s="85"/>
      <c r="C2668" s="85"/>
      <c r="F2668" s="92"/>
      <c r="G2668" s="85"/>
    </row>
    <row r="2669">
      <c r="A2669" s="84"/>
      <c r="B2669" s="85"/>
      <c r="C2669" s="85"/>
      <c r="F2669" s="92"/>
      <c r="G2669" s="85"/>
    </row>
    <row r="2670">
      <c r="A2670" s="84"/>
      <c r="B2670" s="85"/>
      <c r="C2670" s="85"/>
      <c r="F2670" s="92"/>
      <c r="G2670" s="85"/>
    </row>
    <row r="2671">
      <c r="A2671" s="84"/>
      <c r="B2671" s="85"/>
      <c r="C2671" s="85"/>
      <c r="F2671" s="92"/>
      <c r="G2671" s="85"/>
    </row>
    <row r="2672">
      <c r="A2672" s="84"/>
      <c r="B2672" s="85"/>
      <c r="C2672" s="85"/>
      <c r="F2672" s="92"/>
      <c r="G2672" s="85"/>
    </row>
    <row r="2673">
      <c r="A2673" s="84"/>
      <c r="B2673" s="85"/>
      <c r="C2673" s="85"/>
      <c r="F2673" s="92"/>
      <c r="G2673" s="85"/>
    </row>
    <row r="2674">
      <c r="A2674" s="84"/>
      <c r="B2674" s="85"/>
      <c r="C2674" s="85"/>
      <c r="F2674" s="92"/>
      <c r="G2674" s="85"/>
    </row>
    <row r="2675">
      <c r="A2675" s="84"/>
      <c r="B2675" s="85"/>
      <c r="C2675" s="85"/>
      <c r="F2675" s="92"/>
      <c r="G2675" s="85"/>
    </row>
    <row r="2676">
      <c r="A2676" s="84"/>
      <c r="B2676" s="85"/>
      <c r="C2676" s="85"/>
      <c r="F2676" s="92"/>
      <c r="G2676" s="85"/>
    </row>
    <row r="2677">
      <c r="A2677" s="84"/>
      <c r="B2677" s="85"/>
      <c r="C2677" s="85"/>
      <c r="F2677" s="92"/>
      <c r="G2677" s="85"/>
    </row>
    <row r="2678">
      <c r="A2678" s="84"/>
      <c r="B2678" s="85"/>
      <c r="C2678" s="85"/>
      <c r="F2678" s="92"/>
      <c r="G2678" s="85"/>
    </row>
    <row r="2679">
      <c r="A2679" s="84"/>
      <c r="B2679" s="85"/>
      <c r="C2679" s="85"/>
      <c r="F2679" s="92"/>
      <c r="G2679" s="85"/>
    </row>
    <row r="2680">
      <c r="A2680" s="84"/>
      <c r="B2680" s="85"/>
      <c r="C2680" s="85"/>
      <c r="F2680" s="92"/>
      <c r="G2680" s="85"/>
    </row>
    <row r="2681">
      <c r="A2681" s="84"/>
      <c r="B2681" s="85"/>
      <c r="C2681" s="85"/>
      <c r="F2681" s="92"/>
      <c r="G2681" s="85"/>
    </row>
    <row r="2682">
      <c r="A2682" s="84"/>
      <c r="B2682" s="85"/>
      <c r="C2682" s="85"/>
      <c r="F2682" s="92"/>
      <c r="G2682" s="85"/>
    </row>
    <row r="2683">
      <c r="A2683" s="84"/>
      <c r="B2683" s="85"/>
      <c r="C2683" s="85"/>
      <c r="F2683" s="92"/>
      <c r="G2683" s="85"/>
    </row>
    <row r="2684">
      <c r="A2684" s="84"/>
      <c r="B2684" s="85"/>
      <c r="C2684" s="85"/>
      <c r="F2684" s="92"/>
      <c r="G2684" s="85"/>
    </row>
    <row r="2685">
      <c r="A2685" s="84"/>
      <c r="B2685" s="85"/>
      <c r="C2685" s="85"/>
      <c r="F2685" s="92"/>
      <c r="G2685" s="85"/>
    </row>
    <row r="2686">
      <c r="A2686" s="84"/>
      <c r="B2686" s="85"/>
      <c r="C2686" s="85"/>
      <c r="F2686" s="92"/>
      <c r="G2686" s="85"/>
    </row>
    <row r="2687">
      <c r="A2687" s="84"/>
      <c r="B2687" s="85"/>
      <c r="C2687" s="85"/>
      <c r="F2687" s="92"/>
      <c r="G2687" s="85"/>
    </row>
    <row r="2688">
      <c r="A2688" s="84"/>
      <c r="B2688" s="85"/>
      <c r="C2688" s="85"/>
      <c r="F2688" s="92"/>
      <c r="G2688" s="85"/>
    </row>
    <row r="2689">
      <c r="A2689" s="84"/>
      <c r="B2689" s="85"/>
      <c r="C2689" s="85"/>
      <c r="F2689" s="92"/>
      <c r="G2689" s="85"/>
    </row>
    <row r="2690">
      <c r="A2690" s="84"/>
      <c r="B2690" s="85"/>
      <c r="C2690" s="85"/>
      <c r="F2690" s="92"/>
      <c r="G2690" s="85"/>
    </row>
    <row r="2691">
      <c r="A2691" s="84"/>
      <c r="B2691" s="85"/>
      <c r="C2691" s="85"/>
      <c r="F2691" s="92"/>
      <c r="G2691" s="85"/>
    </row>
    <row r="2692">
      <c r="A2692" s="84"/>
      <c r="B2692" s="85"/>
      <c r="C2692" s="85"/>
      <c r="F2692" s="92"/>
      <c r="G2692" s="85"/>
    </row>
    <row r="2693">
      <c r="A2693" s="84"/>
      <c r="B2693" s="85"/>
      <c r="C2693" s="85"/>
      <c r="F2693" s="92"/>
      <c r="G2693" s="85"/>
    </row>
    <row r="2694">
      <c r="A2694" s="84"/>
      <c r="B2694" s="85"/>
      <c r="C2694" s="85"/>
      <c r="F2694" s="92"/>
      <c r="G2694" s="85"/>
    </row>
    <row r="2695">
      <c r="A2695" s="84"/>
      <c r="B2695" s="85"/>
      <c r="C2695" s="85"/>
      <c r="F2695" s="92"/>
      <c r="G2695" s="85"/>
    </row>
    <row r="2696">
      <c r="A2696" s="84"/>
      <c r="B2696" s="85"/>
      <c r="C2696" s="85"/>
      <c r="F2696" s="92"/>
      <c r="G2696" s="85"/>
    </row>
    <row r="2697">
      <c r="A2697" s="84"/>
      <c r="B2697" s="85"/>
      <c r="C2697" s="85"/>
      <c r="F2697" s="92"/>
      <c r="G2697" s="85"/>
    </row>
    <row r="2698">
      <c r="A2698" s="84"/>
      <c r="B2698" s="85"/>
      <c r="C2698" s="85"/>
      <c r="F2698" s="92"/>
      <c r="G2698" s="85"/>
    </row>
    <row r="2699">
      <c r="A2699" s="84"/>
      <c r="B2699" s="85"/>
      <c r="C2699" s="85"/>
      <c r="F2699" s="92"/>
      <c r="G2699" s="85"/>
    </row>
    <row r="2700">
      <c r="A2700" s="84"/>
      <c r="B2700" s="85"/>
      <c r="C2700" s="85"/>
      <c r="F2700" s="92"/>
      <c r="G2700" s="85"/>
    </row>
    <row r="2701">
      <c r="A2701" s="84"/>
      <c r="B2701" s="85"/>
      <c r="C2701" s="85"/>
      <c r="F2701" s="92"/>
      <c r="G2701" s="85"/>
    </row>
    <row r="2702">
      <c r="A2702" s="84"/>
      <c r="B2702" s="85"/>
      <c r="C2702" s="85"/>
      <c r="F2702" s="92"/>
      <c r="G2702" s="85"/>
    </row>
    <row r="2703">
      <c r="A2703" s="84"/>
      <c r="B2703" s="85"/>
      <c r="C2703" s="85"/>
      <c r="F2703" s="92"/>
      <c r="G2703" s="85"/>
    </row>
    <row r="2704">
      <c r="A2704" s="84"/>
      <c r="B2704" s="85"/>
      <c r="C2704" s="85"/>
      <c r="F2704" s="92"/>
      <c r="G2704" s="85"/>
    </row>
    <row r="2705">
      <c r="A2705" s="84"/>
      <c r="B2705" s="85"/>
      <c r="C2705" s="85"/>
      <c r="F2705" s="92"/>
      <c r="G2705" s="85"/>
    </row>
    <row r="2706">
      <c r="A2706" s="84"/>
      <c r="B2706" s="85"/>
      <c r="C2706" s="85"/>
      <c r="F2706" s="92"/>
      <c r="G2706" s="85"/>
    </row>
    <row r="2707">
      <c r="A2707" s="84"/>
      <c r="B2707" s="85"/>
      <c r="C2707" s="85"/>
      <c r="F2707" s="92"/>
      <c r="G2707" s="85"/>
    </row>
    <row r="2708">
      <c r="A2708" s="84"/>
      <c r="B2708" s="85"/>
      <c r="C2708" s="85"/>
      <c r="F2708" s="92"/>
      <c r="G2708" s="85"/>
    </row>
    <row r="2709">
      <c r="A2709" s="84"/>
      <c r="B2709" s="85"/>
      <c r="C2709" s="85"/>
      <c r="F2709" s="92"/>
      <c r="G2709" s="85"/>
    </row>
    <row r="2710">
      <c r="A2710" s="84"/>
      <c r="B2710" s="85"/>
      <c r="C2710" s="85"/>
      <c r="F2710" s="92"/>
      <c r="G2710" s="85"/>
    </row>
    <row r="2711">
      <c r="A2711" s="84"/>
      <c r="B2711" s="85"/>
      <c r="C2711" s="85"/>
      <c r="F2711" s="92"/>
      <c r="G2711" s="85"/>
    </row>
    <row r="2712">
      <c r="A2712" s="84"/>
      <c r="B2712" s="85"/>
      <c r="C2712" s="85"/>
      <c r="F2712" s="92"/>
      <c r="G2712" s="85"/>
    </row>
    <row r="2713">
      <c r="A2713" s="84"/>
      <c r="B2713" s="85"/>
      <c r="C2713" s="85"/>
      <c r="F2713" s="92"/>
      <c r="G2713" s="85"/>
    </row>
    <row r="2714">
      <c r="A2714" s="84"/>
      <c r="B2714" s="85"/>
      <c r="C2714" s="85"/>
      <c r="F2714" s="92"/>
      <c r="G2714" s="85"/>
    </row>
    <row r="2715">
      <c r="A2715" s="84"/>
      <c r="B2715" s="85"/>
      <c r="C2715" s="85"/>
      <c r="F2715" s="92"/>
      <c r="G2715" s="85"/>
    </row>
    <row r="2716">
      <c r="A2716" s="84"/>
      <c r="B2716" s="85"/>
      <c r="C2716" s="85"/>
      <c r="F2716" s="92"/>
      <c r="G2716" s="85"/>
    </row>
    <row r="2717">
      <c r="A2717" s="84"/>
      <c r="B2717" s="85"/>
      <c r="C2717" s="85"/>
      <c r="F2717" s="92"/>
      <c r="G2717" s="85"/>
    </row>
    <row r="2718">
      <c r="A2718" s="84"/>
      <c r="B2718" s="85"/>
      <c r="C2718" s="85"/>
      <c r="F2718" s="92"/>
      <c r="G2718" s="85"/>
    </row>
    <row r="2719">
      <c r="A2719" s="84"/>
      <c r="B2719" s="85"/>
      <c r="C2719" s="85"/>
      <c r="F2719" s="92"/>
      <c r="G2719" s="85"/>
    </row>
    <row r="2720">
      <c r="A2720" s="84"/>
      <c r="B2720" s="85"/>
      <c r="C2720" s="85"/>
      <c r="F2720" s="92"/>
      <c r="G2720" s="85"/>
    </row>
    <row r="2721">
      <c r="A2721" s="84"/>
      <c r="B2721" s="85"/>
      <c r="C2721" s="85"/>
      <c r="F2721" s="92"/>
      <c r="G2721" s="85"/>
    </row>
    <row r="2722">
      <c r="A2722" s="84"/>
      <c r="B2722" s="85"/>
      <c r="C2722" s="85"/>
      <c r="F2722" s="92"/>
      <c r="G2722" s="85"/>
    </row>
    <row r="2723">
      <c r="A2723" s="84"/>
      <c r="B2723" s="85"/>
      <c r="C2723" s="85"/>
      <c r="F2723" s="92"/>
      <c r="G2723" s="85"/>
    </row>
    <row r="2724">
      <c r="A2724" s="84"/>
      <c r="B2724" s="85"/>
      <c r="C2724" s="85"/>
      <c r="F2724" s="92"/>
      <c r="G2724" s="85"/>
    </row>
    <row r="2725">
      <c r="A2725" s="84"/>
      <c r="B2725" s="85"/>
      <c r="C2725" s="85"/>
      <c r="F2725" s="92"/>
      <c r="G2725" s="85"/>
    </row>
    <row r="2726">
      <c r="A2726" s="84"/>
      <c r="B2726" s="85"/>
      <c r="C2726" s="85"/>
      <c r="F2726" s="92"/>
      <c r="G2726" s="85"/>
    </row>
    <row r="2727">
      <c r="A2727" s="84"/>
      <c r="B2727" s="85"/>
      <c r="C2727" s="85"/>
      <c r="F2727" s="92"/>
      <c r="G2727" s="85"/>
    </row>
    <row r="2728">
      <c r="A2728" s="84"/>
      <c r="B2728" s="85"/>
      <c r="C2728" s="85"/>
      <c r="F2728" s="92"/>
      <c r="G2728" s="85"/>
    </row>
    <row r="2729">
      <c r="A2729" s="84"/>
      <c r="B2729" s="85"/>
      <c r="C2729" s="85"/>
      <c r="F2729" s="92"/>
      <c r="G2729" s="85"/>
    </row>
    <row r="2730">
      <c r="A2730" s="84"/>
      <c r="B2730" s="85"/>
      <c r="C2730" s="85"/>
      <c r="F2730" s="92"/>
      <c r="G2730" s="85"/>
    </row>
    <row r="2731">
      <c r="A2731" s="84"/>
      <c r="B2731" s="85"/>
      <c r="C2731" s="85"/>
      <c r="F2731" s="92"/>
      <c r="G2731" s="85"/>
    </row>
    <row r="2732">
      <c r="A2732" s="84"/>
      <c r="B2732" s="85"/>
      <c r="C2732" s="85"/>
      <c r="F2732" s="92"/>
      <c r="G2732" s="85"/>
    </row>
    <row r="2733">
      <c r="A2733" s="84"/>
      <c r="B2733" s="85"/>
      <c r="C2733" s="85"/>
      <c r="F2733" s="92"/>
      <c r="G2733" s="85"/>
    </row>
    <row r="2734">
      <c r="A2734" s="84"/>
      <c r="B2734" s="85"/>
      <c r="C2734" s="85"/>
      <c r="F2734" s="92"/>
      <c r="G2734" s="85"/>
    </row>
    <row r="2735">
      <c r="A2735" s="84"/>
      <c r="B2735" s="85"/>
      <c r="C2735" s="85"/>
      <c r="F2735" s="92"/>
      <c r="G2735" s="85"/>
    </row>
    <row r="2736">
      <c r="A2736" s="84"/>
      <c r="B2736" s="85"/>
      <c r="C2736" s="85"/>
      <c r="F2736" s="92"/>
      <c r="G2736" s="85"/>
    </row>
    <row r="2737">
      <c r="A2737" s="84"/>
      <c r="B2737" s="85"/>
      <c r="C2737" s="85"/>
      <c r="F2737" s="92"/>
      <c r="G2737" s="85"/>
    </row>
    <row r="2738">
      <c r="A2738" s="84"/>
      <c r="B2738" s="85"/>
      <c r="C2738" s="85"/>
      <c r="F2738" s="92"/>
      <c r="G2738" s="85"/>
    </row>
    <row r="2739">
      <c r="A2739" s="84"/>
      <c r="B2739" s="85"/>
      <c r="C2739" s="85"/>
      <c r="F2739" s="92"/>
      <c r="G2739" s="85"/>
    </row>
    <row r="2740">
      <c r="A2740" s="84"/>
      <c r="B2740" s="85"/>
      <c r="C2740" s="85"/>
      <c r="F2740" s="92"/>
      <c r="G2740" s="85"/>
    </row>
    <row r="2741">
      <c r="A2741" s="84"/>
      <c r="B2741" s="85"/>
      <c r="C2741" s="85"/>
      <c r="F2741" s="92"/>
      <c r="G2741" s="85"/>
    </row>
    <row r="2742">
      <c r="A2742" s="84"/>
      <c r="B2742" s="85"/>
      <c r="C2742" s="85"/>
      <c r="F2742" s="92"/>
      <c r="G2742" s="85"/>
    </row>
    <row r="2743">
      <c r="A2743" s="84"/>
      <c r="B2743" s="85"/>
      <c r="C2743" s="85"/>
      <c r="F2743" s="92"/>
      <c r="G2743" s="85"/>
    </row>
    <row r="2744">
      <c r="A2744" s="84"/>
      <c r="B2744" s="85"/>
      <c r="C2744" s="85"/>
      <c r="F2744" s="92"/>
      <c r="G2744" s="85"/>
    </row>
    <row r="2745">
      <c r="A2745" s="84"/>
      <c r="B2745" s="85"/>
      <c r="C2745" s="85"/>
      <c r="F2745" s="92"/>
      <c r="G2745" s="85"/>
    </row>
    <row r="2746">
      <c r="A2746" s="84"/>
      <c r="B2746" s="85"/>
      <c r="C2746" s="85"/>
      <c r="F2746" s="92"/>
      <c r="G2746" s="85"/>
    </row>
    <row r="2747">
      <c r="A2747" s="84"/>
      <c r="B2747" s="85"/>
      <c r="C2747" s="85"/>
      <c r="F2747" s="92"/>
      <c r="G2747" s="85"/>
    </row>
    <row r="2748">
      <c r="A2748" s="84"/>
      <c r="B2748" s="85"/>
      <c r="C2748" s="85"/>
      <c r="F2748" s="92"/>
      <c r="G2748" s="85"/>
    </row>
    <row r="2749">
      <c r="A2749" s="84"/>
      <c r="B2749" s="85"/>
      <c r="C2749" s="85"/>
      <c r="F2749" s="92"/>
      <c r="G2749" s="85"/>
    </row>
    <row r="2750">
      <c r="A2750" s="84"/>
      <c r="B2750" s="85"/>
      <c r="C2750" s="85"/>
      <c r="F2750" s="92"/>
      <c r="G2750" s="85"/>
    </row>
    <row r="2751">
      <c r="A2751" s="84"/>
      <c r="B2751" s="85"/>
      <c r="C2751" s="85"/>
      <c r="F2751" s="92"/>
      <c r="G2751" s="85"/>
    </row>
    <row r="2752">
      <c r="A2752" s="84"/>
      <c r="B2752" s="85"/>
      <c r="C2752" s="85"/>
      <c r="F2752" s="92"/>
      <c r="G2752" s="85"/>
    </row>
    <row r="2753">
      <c r="A2753" s="84"/>
      <c r="B2753" s="85"/>
      <c r="C2753" s="85"/>
      <c r="F2753" s="92"/>
      <c r="G2753" s="85"/>
    </row>
    <row r="2754">
      <c r="A2754" s="84"/>
      <c r="B2754" s="85"/>
      <c r="C2754" s="85"/>
      <c r="F2754" s="92"/>
      <c r="G2754" s="85"/>
    </row>
    <row r="2755">
      <c r="A2755" s="84"/>
      <c r="B2755" s="85"/>
      <c r="C2755" s="85"/>
      <c r="F2755" s="92"/>
      <c r="G2755" s="85"/>
    </row>
    <row r="2756">
      <c r="A2756" s="84"/>
      <c r="B2756" s="85"/>
      <c r="C2756" s="85"/>
      <c r="F2756" s="92"/>
      <c r="G2756" s="85"/>
    </row>
    <row r="2757">
      <c r="A2757" s="84"/>
      <c r="B2757" s="85"/>
      <c r="C2757" s="85"/>
      <c r="F2757" s="92"/>
      <c r="G2757" s="85"/>
    </row>
    <row r="2758">
      <c r="A2758" s="84"/>
      <c r="B2758" s="85"/>
      <c r="C2758" s="85"/>
      <c r="F2758" s="92"/>
      <c r="G2758" s="85"/>
    </row>
    <row r="2759">
      <c r="A2759" s="84"/>
      <c r="B2759" s="85"/>
      <c r="C2759" s="85"/>
      <c r="F2759" s="92"/>
      <c r="G2759" s="85"/>
    </row>
    <row r="2760">
      <c r="A2760" s="84"/>
      <c r="B2760" s="85"/>
      <c r="C2760" s="85"/>
      <c r="F2760" s="92"/>
      <c r="G2760" s="85"/>
    </row>
    <row r="2761">
      <c r="A2761" s="84"/>
      <c r="B2761" s="85"/>
      <c r="C2761" s="85"/>
      <c r="F2761" s="92"/>
      <c r="G2761" s="85"/>
    </row>
    <row r="2762">
      <c r="A2762" s="84"/>
      <c r="B2762" s="85"/>
      <c r="C2762" s="85"/>
      <c r="F2762" s="92"/>
      <c r="G2762" s="85"/>
    </row>
    <row r="2763">
      <c r="A2763" s="84"/>
      <c r="B2763" s="85"/>
      <c r="C2763" s="85"/>
      <c r="F2763" s="92"/>
      <c r="G2763" s="85"/>
    </row>
    <row r="2764">
      <c r="A2764" s="84"/>
      <c r="B2764" s="85"/>
      <c r="C2764" s="85"/>
      <c r="F2764" s="92"/>
      <c r="G2764" s="85"/>
    </row>
    <row r="2765">
      <c r="A2765" s="84"/>
      <c r="B2765" s="85"/>
      <c r="C2765" s="85"/>
      <c r="F2765" s="92"/>
      <c r="G2765" s="85"/>
    </row>
    <row r="2766">
      <c r="A2766" s="84"/>
      <c r="B2766" s="85"/>
      <c r="C2766" s="85"/>
      <c r="F2766" s="92"/>
      <c r="G2766" s="85"/>
    </row>
    <row r="2767">
      <c r="A2767" s="84"/>
      <c r="B2767" s="85"/>
      <c r="C2767" s="85"/>
      <c r="F2767" s="92"/>
      <c r="G2767" s="85"/>
    </row>
    <row r="2768">
      <c r="A2768" s="84"/>
      <c r="B2768" s="85"/>
      <c r="C2768" s="85"/>
      <c r="F2768" s="92"/>
      <c r="G2768" s="85"/>
    </row>
    <row r="2769">
      <c r="A2769" s="84"/>
      <c r="B2769" s="85"/>
      <c r="C2769" s="85"/>
      <c r="F2769" s="92"/>
      <c r="G2769" s="85"/>
    </row>
    <row r="2770">
      <c r="A2770" s="84"/>
      <c r="B2770" s="85"/>
      <c r="C2770" s="85"/>
      <c r="F2770" s="92"/>
      <c r="G2770" s="85"/>
    </row>
    <row r="2771">
      <c r="A2771" s="84"/>
      <c r="B2771" s="85"/>
      <c r="C2771" s="85"/>
      <c r="F2771" s="92"/>
      <c r="G2771" s="85"/>
    </row>
    <row r="2772">
      <c r="A2772" s="84"/>
      <c r="B2772" s="85"/>
      <c r="C2772" s="85"/>
      <c r="F2772" s="92"/>
      <c r="G2772" s="85"/>
    </row>
    <row r="2773">
      <c r="A2773" s="84"/>
      <c r="B2773" s="85"/>
      <c r="C2773" s="85"/>
      <c r="F2773" s="92"/>
      <c r="G2773" s="85"/>
    </row>
    <row r="2774">
      <c r="A2774" s="84"/>
      <c r="B2774" s="85"/>
      <c r="C2774" s="85"/>
      <c r="F2774" s="92"/>
      <c r="G2774" s="85"/>
    </row>
    <row r="2775">
      <c r="A2775" s="84"/>
      <c r="B2775" s="85"/>
      <c r="C2775" s="85"/>
      <c r="F2775" s="92"/>
      <c r="G2775" s="85"/>
    </row>
    <row r="2776">
      <c r="A2776" s="84"/>
      <c r="B2776" s="85"/>
      <c r="C2776" s="85"/>
      <c r="F2776" s="92"/>
      <c r="G2776" s="85"/>
    </row>
    <row r="2777">
      <c r="A2777" s="84"/>
      <c r="B2777" s="85"/>
      <c r="C2777" s="85"/>
      <c r="F2777" s="92"/>
      <c r="G2777" s="85"/>
    </row>
    <row r="2778">
      <c r="A2778" s="84"/>
      <c r="B2778" s="85"/>
      <c r="C2778" s="85"/>
      <c r="F2778" s="92"/>
      <c r="G2778" s="85"/>
    </row>
    <row r="2779">
      <c r="A2779" s="84"/>
      <c r="B2779" s="85"/>
      <c r="C2779" s="85"/>
      <c r="F2779" s="92"/>
      <c r="G2779" s="85"/>
    </row>
    <row r="2780">
      <c r="A2780" s="84"/>
      <c r="B2780" s="85"/>
      <c r="C2780" s="85"/>
      <c r="F2780" s="92"/>
      <c r="G2780" s="85"/>
    </row>
    <row r="2781">
      <c r="A2781" s="84"/>
      <c r="B2781" s="85"/>
      <c r="C2781" s="85"/>
      <c r="F2781" s="92"/>
      <c r="G2781" s="85"/>
    </row>
    <row r="2782">
      <c r="A2782" s="84"/>
      <c r="B2782" s="85"/>
      <c r="C2782" s="85"/>
      <c r="F2782" s="92"/>
      <c r="G2782" s="85"/>
    </row>
    <row r="2783">
      <c r="A2783" s="84"/>
      <c r="B2783" s="85"/>
      <c r="C2783" s="85"/>
      <c r="F2783" s="92"/>
      <c r="G2783" s="85"/>
    </row>
    <row r="2784">
      <c r="A2784" s="84"/>
      <c r="B2784" s="85"/>
      <c r="C2784" s="85"/>
      <c r="F2784" s="92"/>
      <c r="G2784" s="85"/>
    </row>
    <row r="2785">
      <c r="A2785" s="84"/>
      <c r="B2785" s="85"/>
      <c r="C2785" s="85"/>
      <c r="F2785" s="92"/>
      <c r="G2785" s="85"/>
    </row>
    <row r="2786">
      <c r="A2786" s="84"/>
      <c r="B2786" s="85"/>
      <c r="C2786" s="85"/>
      <c r="F2786" s="92"/>
      <c r="G2786" s="85"/>
    </row>
    <row r="2787">
      <c r="A2787" s="84"/>
      <c r="B2787" s="85"/>
      <c r="C2787" s="85"/>
      <c r="F2787" s="92"/>
      <c r="G2787" s="85"/>
    </row>
    <row r="2788">
      <c r="A2788" s="84"/>
      <c r="B2788" s="85"/>
      <c r="C2788" s="85"/>
      <c r="F2788" s="92"/>
      <c r="G2788" s="85"/>
    </row>
    <row r="2789">
      <c r="A2789" s="84"/>
      <c r="B2789" s="85"/>
      <c r="C2789" s="85"/>
      <c r="F2789" s="92"/>
      <c r="G2789" s="85"/>
    </row>
    <row r="2790">
      <c r="A2790" s="84"/>
      <c r="B2790" s="85"/>
      <c r="C2790" s="85"/>
      <c r="F2790" s="92"/>
      <c r="G2790" s="85"/>
    </row>
    <row r="2791">
      <c r="A2791" s="84"/>
      <c r="B2791" s="85"/>
      <c r="C2791" s="85"/>
      <c r="F2791" s="92"/>
      <c r="G2791" s="85"/>
    </row>
    <row r="2792">
      <c r="A2792" s="84"/>
      <c r="B2792" s="85"/>
      <c r="C2792" s="85"/>
      <c r="F2792" s="92"/>
      <c r="G2792" s="85"/>
    </row>
    <row r="2793">
      <c r="A2793" s="84"/>
      <c r="B2793" s="85"/>
      <c r="C2793" s="85"/>
      <c r="F2793" s="92"/>
      <c r="G2793" s="85"/>
    </row>
    <row r="2794">
      <c r="A2794" s="84"/>
      <c r="B2794" s="85"/>
      <c r="C2794" s="85"/>
      <c r="F2794" s="92"/>
      <c r="G2794" s="85"/>
    </row>
    <row r="2795">
      <c r="A2795" s="84"/>
      <c r="B2795" s="85"/>
      <c r="C2795" s="85"/>
      <c r="F2795" s="92"/>
      <c r="G2795" s="85"/>
    </row>
    <row r="2796">
      <c r="A2796" s="84"/>
      <c r="B2796" s="85"/>
      <c r="C2796" s="85"/>
      <c r="F2796" s="92"/>
      <c r="G2796" s="85"/>
    </row>
    <row r="2797">
      <c r="A2797" s="84"/>
      <c r="B2797" s="85"/>
      <c r="C2797" s="85"/>
      <c r="F2797" s="92"/>
      <c r="G2797" s="85"/>
    </row>
    <row r="2798">
      <c r="A2798" s="84"/>
      <c r="B2798" s="85"/>
      <c r="C2798" s="85"/>
      <c r="F2798" s="92"/>
      <c r="G2798" s="85"/>
    </row>
    <row r="2799">
      <c r="A2799" s="84"/>
      <c r="B2799" s="85"/>
      <c r="C2799" s="85"/>
      <c r="F2799" s="92"/>
      <c r="G2799" s="85"/>
    </row>
    <row r="2800">
      <c r="A2800" s="84"/>
      <c r="B2800" s="85"/>
      <c r="C2800" s="85"/>
      <c r="F2800" s="92"/>
      <c r="G2800" s="85"/>
    </row>
    <row r="2801">
      <c r="A2801" s="84"/>
      <c r="B2801" s="85"/>
      <c r="C2801" s="85"/>
      <c r="F2801" s="92"/>
      <c r="G2801" s="85"/>
    </row>
    <row r="2802">
      <c r="A2802" s="84"/>
      <c r="B2802" s="85"/>
      <c r="C2802" s="85"/>
      <c r="F2802" s="92"/>
      <c r="G2802" s="85"/>
    </row>
    <row r="2803">
      <c r="A2803" s="84"/>
      <c r="B2803" s="85"/>
      <c r="C2803" s="85"/>
      <c r="F2803" s="92"/>
      <c r="G2803" s="85"/>
    </row>
    <row r="2804">
      <c r="A2804" s="84"/>
      <c r="B2804" s="85"/>
      <c r="C2804" s="85"/>
      <c r="F2804" s="92"/>
      <c r="G2804" s="85"/>
    </row>
    <row r="2805">
      <c r="A2805" s="84"/>
      <c r="B2805" s="85"/>
      <c r="C2805" s="85"/>
      <c r="F2805" s="92"/>
      <c r="G2805" s="85"/>
    </row>
    <row r="2806">
      <c r="A2806" s="84"/>
      <c r="B2806" s="85"/>
      <c r="C2806" s="85"/>
      <c r="F2806" s="92"/>
      <c r="G2806" s="85"/>
    </row>
    <row r="2807">
      <c r="A2807" s="84"/>
      <c r="B2807" s="85"/>
      <c r="C2807" s="85"/>
      <c r="F2807" s="92"/>
      <c r="G2807" s="85"/>
    </row>
    <row r="2808">
      <c r="A2808" s="84"/>
      <c r="B2808" s="85"/>
      <c r="C2808" s="85"/>
      <c r="F2808" s="92"/>
      <c r="G2808" s="85"/>
    </row>
    <row r="2809">
      <c r="A2809" s="84"/>
      <c r="B2809" s="85"/>
      <c r="C2809" s="85"/>
      <c r="F2809" s="92"/>
      <c r="G2809" s="85"/>
    </row>
    <row r="2810">
      <c r="A2810" s="84"/>
      <c r="B2810" s="85"/>
      <c r="C2810" s="85"/>
      <c r="F2810" s="92"/>
      <c r="G2810" s="85"/>
    </row>
    <row r="2811">
      <c r="A2811" s="84"/>
      <c r="B2811" s="85"/>
      <c r="C2811" s="85"/>
      <c r="F2811" s="92"/>
      <c r="G2811" s="85"/>
    </row>
    <row r="2812">
      <c r="A2812" s="84"/>
      <c r="B2812" s="85"/>
      <c r="C2812" s="85"/>
      <c r="F2812" s="92"/>
      <c r="G2812" s="85"/>
    </row>
    <row r="2813">
      <c r="A2813" s="84"/>
      <c r="B2813" s="85"/>
      <c r="C2813" s="85"/>
      <c r="F2813" s="92"/>
      <c r="G2813" s="85"/>
    </row>
    <row r="2814">
      <c r="A2814" s="84"/>
      <c r="B2814" s="85"/>
      <c r="C2814" s="85"/>
      <c r="F2814" s="92"/>
      <c r="G2814" s="85"/>
    </row>
    <row r="2815">
      <c r="A2815" s="84"/>
      <c r="B2815" s="85"/>
      <c r="C2815" s="85"/>
      <c r="F2815" s="92"/>
      <c r="G2815" s="85"/>
    </row>
    <row r="2816">
      <c r="A2816" s="84"/>
      <c r="B2816" s="85"/>
      <c r="C2816" s="85"/>
      <c r="F2816" s="92"/>
      <c r="G2816" s="85"/>
    </row>
    <row r="2817">
      <c r="A2817" s="84"/>
      <c r="B2817" s="85"/>
      <c r="C2817" s="85"/>
      <c r="F2817" s="92"/>
      <c r="G2817" s="85"/>
    </row>
    <row r="2818">
      <c r="A2818" s="84"/>
      <c r="B2818" s="85"/>
      <c r="C2818" s="85"/>
      <c r="F2818" s="92"/>
      <c r="G2818" s="85"/>
    </row>
    <row r="2819">
      <c r="A2819" s="84"/>
      <c r="B2819" s="85"/>
      <c r="C2819" s="85"/>
      <c r="F2819" s="92"/>
      <c r="G2819" s="85"/>
    </row>
    <row r="2820">
      <c r="A2820" s="84"/>
      <c r="B2820" s="85"/>
      <c r="C2820" s="85"/>
      <c r="F2820" s="92"/>
      <c r="G2820" s="85"/>
    </row>
    <row r="2821">
      <c r="A2821" s="84"/>
      <c r="B2821" s="85"/>
      <c r="C2821" s="85"/>
      <c r="F2821" s="92"/>
      <c r="G2821" s="85"/>
    </row>
    <row r="2822">
      <c r="A2822" s="84"/>
      <c r="B2822" s="85"/>
      <c r="C2822" s="85"/>
      <c r="F2822" s="92"/>
      <c r="G2822" s="85"/>
    </row>
    <row r="2823">
      <c r="A2823" s="84"/>
      <c r="B2823" s="85"/>
      <c r="C2823" s="85"/>
      <c r="F2823" s="92"/>
      <c r="G2823" s="85"/>
    </row>
    <row r="2824">
      <c r="A2824" s="84"/>
      <c r="B2824" s="85"/>
      <c r="C2824" s="85"/>
      <c r="F2824" s="92"/>
      <c r="G2824" s="85"/>
    </row>
    <row r="2825">
      <c r="A2825" s="84"/>
      <c r="B2825" s="85"/>
      <c r="C2825" s="85"/>
      <c r="F2825" s="92"/>
      <c r="G2825" s="85"/>
    </row>
    <row r="2826">
      <c r="A2826" s="84"/>
      <c r="B2826" s="85"/>
      <c r="C2826" s="85"/>
      <c r="F2826" s="92"/>
      <c r="G2826" s="85"/>
    </row>
    <row r="2827">
      <c r="A2827" s="84"/>
      <c r="B2827" s="85"/>
      <c r="C2827" s="85"/>
      <c r="F2827" s="92"/>
      <c r="G2827" s="85"/>
    </row>
    <row r="2828">
      <c r="A2828" s="84"/>
      <c r="B2828" s="85"/>
      <c r="C2828" s="85"/>
      <c r="F2828" s="92"/>
      <c r="G2828" s="85"/>
    </row>
    <row r="2829">
      <c r="A2829" s="84"/>
      <c r="B2829" s="85"/>
      <c r="C2829" s="85"/>
      <c r="F2829" s="92"/>
      <c r="G2829" s="85"/>
    </row>
    <row r="2830">
      <c r="A2830" s="84"/>
      <c r="B2830" s="85"/>
      <c r="C2830" s="85"/>
      <c r="F2830" s="92"/>
      <c r="G2830" s="85"/>
    </row>
    <row r="2831">
      <c r="A2831" s="84"/>
      <c r="B2831" s="85"/>
      <c r="C2831" s="85"/>
      <c r="F2831" s="92"/>
      <c r="G2831" s="85"/>
    </row>
    <row r="2832">
      <c r="A2832" s="84"/>
      <c r="B2832" s="85"/>
      <c r="C2832" s="85"/>
      <c r="F2832" s="92"/>
      <c r="G2832" s="85"/>
    </row>
    <row r="2833">
      <c r="A2833" s="84"/>
      <c r="B2833" s="85"/>
      <c r="C2833" s="85"/>
      <c r="F2833" s="92"/>
      <c r="G2833" s="85"/>
    </row>
    <row r="2834">
      <c r="A2834" s="84"/>
      <c r="B2834" s="85"/>
      <c r="C2834" s="85"/>
      <c r="F2834" s="92"/>
      <c r="G2834" s="85"/>
    </row>
    <row r="2835">
      <c r="A2835" s="84"/>
      <c r="B2835" s="85"/>
      <c r="C2835" s="85"/>
      <c r="F2835" s="92"/>
      <c r="G2835" s="85"/>
    </row>
    <row r="2836">
      <c r="A2836" s="84"/>
      <c r="B2836" s="85"/>
      <c r="C2836" s="85"/>
      <c r="F2836" s="92"/>
      <c r="G2836" s="85"/>
    </row>
    <row r="2837">
      <c r="A2837" s="84"/>
      <c r="B2837" s="85"/>
      <c r="C2837" s="85"/>
      <c r="F2837" s="92"/>
      <c r="G2837" s="85"/>
    </row>
    <row r="2838">
      <c r="A2838" s="84"/>
      <c r="B2838" s="85"/>
      <c r="C2838" s="85"/>
      <c r="F2838" s="92"/>
      <c r="G2838" s="85"/>
    </row>
    <row r="2839">
      <c r="A2839" s="84"/>
      <c r="B2839" s="85"/>
      <c r="C2839" s="85"/>
      <c r="F2839" s="92"/>
      <c r="G2839" s="85"/>
    </row>
    <row r="2840">
      <c r="A2840" s="84"/>
      <c r="B2840" s="85"/>
      <c r="C2840" s="85"/>
      <c r="F2840" s="92"/>
      <c r="G2840" s="85"/>
    </row>
    <row r="2841">
      <c r="A2841" s="84"/>
      <c r="B2841" s="85"/>
      <c r="C2841" s="85"/>
      <c r="F2841" s="92"/>
      <c r="G2841" s="85"/>
    </row>
    <row r="2842">
      <c r="A2842" s="84"/>
      <c r="B2842" s="85"/>
      <c r="C2842" s="85"/>
      <c r="F2842" s="92"/>
      <c r="G2842" s="85"/>
    </row>
    <row r="2843">
      <c r="A2843" s="84"/>
      <c r="B2843" s="85"/>
      <c r="C2843" s="85"/>
      <c r="F2843" s="92"/>
      <c r="G2843" s="85"/>
    </row>
    <row r="2844">
      <c r="A2844" s="84"/>
      <c r="B2844" s="85"/>
      <c r="C2844" s="85"/>
      <c r="F2844" s="92"/>
      <c r="G2844" s="85"/>
    </row>
    <row r="2845">
      <c r="A2845" s="84"/>
      <c r="B2845" s="85"/>
      <c r="C2845" s="85"/>
      <c r="F2845" s="92"/>
      <c r="G2845" s="85"/>
    </row>
    <row r="2846">
      <c r="A2846" s="84"/>
      <c r="B2846" s="85"/>
      <c r="C2846" s="85"/>
      <c r="F2846" s="92"/>
      <c r="G2846" s="85"/>
    </row>
    <row r="2847">
      <c r="A2847" s="84"/>
      <c r="B2847" s="85"/>
      <c r="C2847" s="85"/>
      <c r="F2847" s="92"/>
      <c r="G2847" s="85"/>
    </row>
    <row r="2848">
      <c r="A2848" s="84"/>
      <c r="B2848" s="85"/>
      <c r="C2848" s="85"/>
      <c r="F2848" s="92"/>
      <c r="G2848" s="85"/>
    </row>
    <row r="2849">
      <c r="A2849" s="84"/>
      <c r="B2849" s="85"/>
      <c r="C2849" s="85"/>
      <c r="F2849" s="92"/>
      <c r="G2849" s="85"/>
    </row>
    <row r="2850">
      <c r="A2850" s="84"/>
      <c r="B2850" s="85"/>
      <c r="C2850" s="85"/>
      <c r="F2850" s="92"/>
      <c r="G2850" s="85"/>
    </row>
    <row r="2851">
      <c r="A2851" s="84"/>
      <c r="B2851" s="85"/>
      <c r="C2851" s="85"/>
      <c r="F2851" s="92"/>
      <c r="G2851" s="85"/>
    </row>
    <row r="2852">
      <c r="A2852" s="84"/>
      <c r="B2852" s="85"/>
      <c r="C2852" s="85"/>
      <c r="F2852" s="92"/>
      <c r="G2852" s="85"/>
    </row>
    <row r="2853">
      <c r="A2853" s="84"/>
      <c r="B2853" s="85"/>
      <c r="C2853" s="85"/>
      <c r="F2853" s="92"/>
      <c r="G2853" s="85"/>
    </row>
    <row r="2854">
      <c r="A2854" s="84"/>
      <c r="B2854" s="85"/>
      <c r="C2854" s="85"/>
      <c r="F2854" s="92"/>
      <c r="G2854" s="85"/>
    </row>
    <row r="2855">
      <c r="A2855" s="84"/>
      <c r="B2855" s="85"/>
      <c r="C2855" s="85"/>
      <c r="F2855" s="92"/>
      <c r="G2855" s="85"/>
    </row>
    <row r="2856">
      <c r="A2856" s="84"/>
      <c r="B2856" s="85"/>
      <c r="C2856" s="85"/>
      <c r="F2856" s="92"/>
      <c r="G2856" s="85"/>
    </row>
    <row r="2857">
      <c r="A2857" s="84"/>
      <c r="B2857" s="85"/>
      <c r="C2857" s="85"/>
      <c r="F2857" s="92"/>
      <c r="G2857" s="85"/>
    </row>
    <row r="2858">
      <c r="A2858" s="84"/>
      <c r="B2858" s="85"/>
      <c r="C2858" s="85"/>
      <c r="F2858" s="92"/>
      <c r="G2858" s="85"/>
    </row>
    <row r="2859">
      <c r="A2859" s="84"/>
      <c r="B2859" s="85"/>
      <c r="C2859" s="85"/>
      <c r="F2859" s="92"/>
      <c r="G2859" s="85"/>
    </row>
    <row r="2860">
      <c r="A2860" s="84"/>
      <c r="B2860" s="85"/>
      <c r="C2860" s="85"/>
      <c r="F2860" s="92"/>
      <c r="G2860" s="85"/>
    </row>
    <row r="2861">
      <c r="A2861" s="84"/>
      <c r="B2861" s="85"/>
      <c r="C2861" s="85"/>
      <c r="F2861" s="92"/>
      <c r="G2861" s="85"/>
    </row>
    <row r="2862">
      <c r="A2862" s="84"/>
      <c r="B2862" s="85"/>
      <c r="C2862" s="85"/>
      <c r="F2862" s="92"/>
      <c r="G2862" s="85"/>
    </row>
    <row r="2863">
      <c r="A2863" s="84"/>
      <c r="B2863" s="85"/>
      <c r="C2863" s="85"/>
      <c r="F2863" s="92"/>
      <c r="G2863" s="85"/>
    </row>
    <row r="2864">
      <c r="A2864" s="84"/>
      <c r="B2864" s="85"/>
      <c r="C2864" s="85"/>
      <c r="F2864" s="92"/>
      <c r="G2864" s="85"/>
    </row>
    <row r="2865">
      <c r="A2865" s="84"/>
      <c r="B2865" s="85"/>
      <c r="C2865" s="85"/>
      <c r="F2865" s="92"/>
      <c r="G2865" s="85"/>
    </row>
    <row r="2866">
      <c r="A2866" s="84"/>
      <c r="B2866" s="85"/>
      <c r="C2866" s="85"/>
      <c r="F2866" s="92"/>
      <c r="G2866" s="85"/>
    </row>
    <row r="2867">
      <c r="A2867" s="84"/>
      <c r="B2867" s="85"/>
      <c r="C2867" s="85"/>
      <c r="F2867" s="92"/>
      <c r="G2867" s="85"/>
    </row>
    <row r="2868">
      <c r="A2868" s="84"/>
      <c r="B2868" s="85"/>
      <c r="C2868" s="85"/>
      <c r="F2868" s="92"/>
      <c r="G2868" s="85"/>
    </row>
    <row r="2869">
      <c r="A2869" s="84"/>
      <c r="B2869" s="85"/>
      <c r="C2869" s="85"/>
      <c r="F2869" s="92"/>
      <c r="G2869" s="85"/>
    </row>
    <row r="2870">
      <c r="A2870" s="84"/>
      <c r="B2870" s="85"/>
      <c r="C2870" s="85"/>
      <c r="F2870" s="92"/>
      <c r="G2870" s="85"/>
    </row>
    <row r="2871">
      <c r="A2871" s="84"/>
      <c r="B2871" s="85"/>
      <c r="C2871" s="85"/>
      <c r="F2871" s="92"/>
      <c r="G2871" s="85"/>
    </row>
    <row r="2872">
      <c r="A2872" s="84"/>
      <c r="B2872" s="85"/>
      <c r="C2872" s="85"/>
      <c r="F2872" s="92"/>
      <c r="G2872" s="85"/>
    </row>
    <row r="2873">
      <c r="A2873" s="84"/>
      <c r="B2873" s="85"/>
      <c r="C2873" s="85"/>
      <c r="F2873" s="92"/>
      <c r="G2873" s="85"/>
    </row>
    <row r="2874">
      <c r="A2874" s="84"/>
      <c r="B2874" s="85"/>
      <c r="C2874" s="85"/>
      <c r="F2874" s="92"/>
      <c r="G2874" s="85"/>
    </row>
    <row r="2875">
      <c r="A2875" s="84"/>
      <c r="B2875" s="85"/>
      <c r="C2875" s="85"/>
      <c r="F2875" s="92"/>
      <c r="G2875" s="85"/>
    </row>
    <row r="2876">
      <c r="A2876" s="84"/>
      <c r="B2876" s="85"/>
      <c r="C2876" s="85"/>
      <c r="F2876" s="92"/>
      <c r="G2876" s="85"/>
    </row>
    <row r="2877">
      <c r="A2877" s="84"/>
      <c r="B2877" s="85"/>
      <c r="C2877" s="85"/>
      <c r="F2877" s="92"/>
      <c r="G2877" s="85"/>
    </row>
    <row r="2878">
      <c r="A2878" s="84"/>
      <c r="B2878" s="85"/>
      <c r="C2878" s="85"/>
      <c r="F2878" s="92"/>
      <c r="G2878" s="85"/>
    </row>
    <row r="2879">
      <c r="A2879" s="84"/>
      <c r="B2879" s="85"/>
      <c r="C2879" s="85"/>
      <c r="F2879" s="92"/>
      <c r="G2879" s="85"/>
    </row>
    <row r="2880">
      <c r="A2880" s="84"/>
      <c r="B2880" s="85"/>
      <c r="C2880" s="85"/>
      <c r="F2880" s="92"/>
      <c r="G2880" s="85"/>
    </row>
    <row r="2881">
      <c r="A2881" s="84"/>
      <c r="B2881" s="85"/>
      <c r="C2881" s="85"/>
      <c r="F2881" s="92"/>
      <c r="G2881" s="85"/>
    </row>
    <row r="2882">
      <c r="A2882" s="84"/>
      <c r="B2882" s="85"/>
      <c r="C2882" s="85"/>
      <c r="F2882" s="92"/>
      <c r="G2882" s="85"/>
    </row>
    <row r="2883">
      <c r="A2883" s="84"/>
      <c r="B2883" s="85"/>
      <c r="C2883" s="85"/>
      <c r="F2883" s="92"/>
      <c r="G2883" s="85"/>
    </row>
    <row r="2884">
      <c r="A2884" s="84"/>
      <c r="B2884" s="85"/>
      <c r="C2884" s="85"/>
      <c r="F2884" s="92"/>
      <c r="G2884" s="85"/>
    </row>
    <row r="2885">
      <c r="A2885" s="84"/>
      <c r="B2885" s="85"/>
      <c r="C2885" s="85"/>
      <c r="F2885" s="92"/>
      <c r="G2885" s="85"/>
    </row>
    <row r="2886">
      <c r="A2886" s="84"/>
      <c r="B2886" s="85"/>
      <c r="C2886" s="85"/>
      <c r="F2886" s="92"/>
      <c r="G2886" s="85"/>
    </row>
    <row r="2887">
      <c r="A2887" s="84"/>
      <c r="B2887" s="85"/>
      <c r="C2887" s="85"/>
      <c r="F2887" s="92"/>
      <c r="G2887" s="85"/>
    </row>
    <row r="2888">
      <c r="A2888" s="84"/>
      <c r="B2888" s="85"/>
      <c r="C2888" s="85"/>
      <c r="F2888" s="92"/>
      <c r="G2888" s="85"/>
    </row>
    <row r="2889">
      <c r="A2889" s="84"/>
      <c r="B2889" s="85"/>
      <c r="C2889" s="85"/>
      <c r="F2889" s="92"/>
      <c r="G2889" s="85"/>
    </row>
    <row r="2890">
      <c r="A2890" s="84"/>
      <c r="B2890" s="85"/>
      <c r="C2890" s="85"/>
      <c r="F2890" s="92"/>
      <c r="G2890" s="85"/>
    </row>
    <row r="2891">
      <c r="A2891" s="84"/>
      <c r="B2891" s="85"/>
      <c r="C2891" s="85"/>
      <c r="F2891" s="92"/>
      <c r="G2891" s="85"/>
    </row>
    <row r="2892">
      <c r="A2892" s="84"/>
      <c r="B2892" s="85"/>
      <c r="C2892" s="85"/>
      <c r="F2892" s="92"/>
      <c r="G2892" s="85"/>
    </row>
    <row r="2893">
      <c r="A2893" s="84"/>
      <c r="B2893" s="85"/>
      <c r="C2893" s="85"/>
      <c r="F2893" s="92"/>
      <c r="G2893" s="85"/>
    </row>
    <row r="2894">
      <c r="A2894" s="84"/>
      <c r="B2894" s="85"/>
      <c r="C2894" s="85"/>
      <c r="F2894" s="92"/>
      <c r="G2894" s="85"/>
    </row>
    <row r="2895">
      <c r="A2895" s="84"/>
      <c r="B2895" s="85"/>
      <c r="C2895" s="85"/>
      <c r="F2895" s="92"/>
      <c r="G2895" s="85"/>
    </row>
    <row r="2896">
      <c r="A2896" s="84"/>
      <c r="B2896" s="85"/>
      <c r="C2896" s="85"/>
      <c r="F2896" s="92"/>
      <c r="G2896" s="85"/>
    </row>
    <row r="2897">
      <c r="A2897" s="84"/>
      <c r="B2897" s="85"/>
      <c r="C2897" s="85"/>
      <c r="F2897" s="92"/>
      <c r="G2897" s="85"/>
    </row>
    <row r="2898">
      <c r="A2898" s="84"/>
      <c r="B2898" s="85"/>
      <c r="C2898" s="85"/>
      <c r="F2898" s="92"/>
      <c r="G2898" s="85"/>
    </row>
    <row r="2899">
      <c r="A2899" s="84"/>
      <c r="B2899" s="85"/>
      <c r="C2899" s="85"/>
      <c r="F2899" s="92"/>
      <c r="G2899" s="85"/>
    </row>
    <row r="2900">
      <c r="A2900" s="84"/>
      <c r="B2900" s="85"/>
      <c r="C2900" s="85"/>
      <c r="F2900" s="92"/>
      <c r="G2900" s="85"/>
    </row>
    <row r="2901">
      <c r="A2901" s="84"/>
      <c r="B2901" s="85"/>
      <c r="C2901" s="85"/>
      <c r="F2901" s="92"/>
      <c r="G2901" s="85"/>
    </row>
    <row r="2902">
      <c r="A2902" s="84"/>
      <c r="B2902" s="85"/>
      <c r="C2902" s="85"/>
      <c r="F2902" s="92"/>
      <c r="G2902" s="85"/>
    </row>
    <row r="2903">
      <c r="A2903" s="84"/>
      <c r="B2903" s="85"/>
      <c r="C2903" s="85"/>
      <c r="F2903" s="92"/>
      <c r="G2903" s="85"/>
    </row>
    <row r="2904">
      <c r="A2904" s="84"/>
      <c r="B2904" s="85"/>
      <c r="C2904" s="85"/>
      <c r="F2904" s="92"/>
      <c r="G2904" s="85"/>
    </row>
    <row r="2905">
      <c r="A2905" s="84"/>
      <c r="B2905" s="85"/>
      <c r="C2905" s="85"/>
      <c r="F2905" s="92"/>
      <c r="G2905" s="85"/>
    </row>
    <row r="2906">
      <c r="A2906" s="84"/>
      <c r="B2906" s="85"/>
      <c r="C2906" s="85"/>
      <c r="F2906" s="92"/>
      <c r="G2906" s="85"/>
    </row>
    <row r="2907">
      <c r="A2907" s="84"/>
      <c r="B2907" s="85"/>
      <c r="C2907" s="85"/>
      <c r="F2907" s="92"/>
      <c r="G2907" s="85"/>
    </row>
    <row r="2908">
      <c r="A2908" s="84"/>
      <c r="B2908" s="85"/>
      <c r="C2908" s="85"/>
      <c r="F2908" s="92"/>
      <c r="G2908" s="85"/>
    </row>
    <row r="2909">
      <c r="A2909" s="84"/>
      <c r="B2909" s="85"/>
      <c r="C2909" s="85"/>
      <c r="F2909" s="92"/>
      <c r="G2909" s="85"/>
    </row>
    <row r="2910">
      <c r="A2910" s="84"/>
      <c r="B2910" s="85"/>
      <c r="C2910" s="85"/>
      <c r="F2910" s="92"/>
      <c r="G2910" s="85"/>
    </row>
    <row r="2911">
      <c r="A2911" s="84"/>
      <c r="B2911" s="85"/>
      <c r="C2911" s="85"/>
      <c r="F2911" s="92"/>
      <c r="G2911" s="85"/>
    </row>
    <row r="2912">
      <c r="A2912" s="84"/>
      <c r="B2912" s="85"/>
      <c r="C2912" s="85"/>
      <c r="F2912" s="92"/>
      <c r="G2912" s="85"/>
    </row>
    <row r="2913">
      <c r="A2913" s="84"/>
      <c r="B2913" s="85"/>
      <c r="C2913" s="85"/>
      <c r="F2913" s="92"/>
      <c r="G2913" s="85"/>
    </row>
    <row r="2914">
      <c r="A2914" s="84"/>
      <c r="B2914" s="85"/>
      <c r="C2914" s="85"/>
      <c r="F2914" s="92"/>
      <c r="G2914" s="85"/>
    </row>
    <row r="2915">
      <c r="A2915" s="84"/>
      <c r="B2915" s="85"/>
      <c r="C2915" s="85"/>
      <c r="F2915" s="92"/>
      <c r="G2915" s="85"/>
    </row>
    <row r="2916">
      <c r="A2916" s="84"/>
      <c r="B2916" s="85"/>
      <c r="C2916" s="85"/>
      <c r="F2916" s="92"/>
      <c r="G2916" s="85"/>
    </row>
    <row r="2917">
      <c r="A2917" s="84"/>
      <c r="B2917" s="85"/>
      <c r="C2917" s="85"/>
      <c r="F2917" s="92"/>
      <c r="G2917" s="85"/>
    </row>
    <row r="2918">
      <c r="A2918" s="84"/>
      <c r="B2918" s="85"/>
      <c r="C2918" s="85"/>
      <c r="F2918" s="92"/>
      <c r="G2918" s="85"/>
    </row>
    <row r="2919">
      <c r="A2919" s="84"/>
      <c r="B2919" s="85"/>
      <c r="C2919" s="85"/>
      <c r="F2919" s="92"/>
      <c r="G2919" s="85"/>
    </row>
    <row r="2920">
      <c r="A2920" s="84"/>
      <c r="B2920" s="85"/>
      <c r="C2920" s="85"/>
      <c r="F2920" s="92"/>
      <c r="G2920" s="85"/>
    </row>
    <row r="2921">
      <c r="A2921" s="84"/>
      <c r="B2921" s="85"/>
      <c r="C2921" s="85"/>
      <c r="F2921" s="92"/>
      <c r="G2921" s="85"/>
    </row>
    <row r="2922">
      <c r="A2922" s="84"/>
      <c r="B2922" s="85"/>
      <c r="C2922" s="85"/>
      <c r="F2922" s="92"/>
      <c r="G2922" s="85"/>
    </row>
    <row r="2923">
      <c r="A2923" s="84"/>
      <c r="B2923" s="85"/>
      <c r="C2923" s="85"/>
      <c r="F2923" s="92"/>
      <c r="G2923" s="85"/>
    </row>
    <row r="2924">
      <c r="A2924" s="84"/>
      <c r="B2924" s="85"/>
      <c r="C2924" s="85"/>
      <c r="F2924" s="92"/>
      <c r="G2924" s="85"/>
    </row>
    <row r="2925">
      <c r="A2925" s="84"/>
      <c r="B2925" s="85"/>
      <c r="C2925" s="85"/>
      <c r="F2925" s="92"/>
      <c r="G2925" s="85"/>
    </row>
    <row r="2926">
      <c r="A2926" s="84"/>
      <c r="B2926" s="85"/>
      <c r="C2926" s="85"/>
      <c r="F2926" s="92"/>
      <c r="G2926" s="85"/>
    </row>
    <row r="2927">
      <c r="A2927" s="84"/>
      <c r="B2927" s="85"/>
      <c r="C2927" s="85"/>
      <c r="F2927" s="92"/>
      <c r="G2927" s="85"/>
    </row>
    <row r="2928">
      <c r="A2928" s="84"/>
      <c r="B2928" s="85"/>
      <c r="C2928" s="85"/>
      <c r="F2928" s="92"/>
      <c r="G2928" s="85"/>
    </row>
    <row r="2929">
      <c r="A2929" s="84"/>
      <c r="B2929" s="85"/>
      <c r="C2929" s="85"/>
      <c r="F2929" s="92"/>
      <c r="G2929" s="85"/>
    </row>
    <row r="2930">
      <c r="A2930" s="84"/>
      <c r="B2930" s="85"/>
      <c r="C2930" s="85"/>
      <c r="F2930" s="92"/>
      <c r="G2930" s="85"/>
    </row>
    <row r="2931">
      <c r="A2931" s="84"/>
      <c r="B2931" s="85"/>
      <c r="C2931" s="85"/>
      <c r="F2931" s="92"/>
      <c r="G2931" s="85"/>
    </row>
    <row r="2932">
      <c r="A2932" s="84"/>
      <c r="B2932" s="85"/>
      <c r="C2932" s="85"/>
      <c r="F2932" s="92"/>
      <c r="G2932" s="85"/>
    </row>
    <row r="2933">
      <c r="A2933" s="84"/>
      <c r="B2933" s="85"/>
      <c r="C2933" s="85"/>
      <c r="F2933" s="92"/>
      <c r="G2933" s="85"/>
    </row>
    <row r="2934">
      <c r="A2934" s="84"/>
      <c r="B2934" s="85"/>
      <c r="C2934" s="85"/>
      <c r="F2934" s="92"/>
      <c r="G2934" s="85"/>
    </row>
    <row r="2935">
      <c r="A2935" s="84"/>
      <c r="B2935" s="85"/>
      <c r="C2935" s="85"/>
      <c r="F2935" s="92"/>
      <c r="G2935" s="85"/>
    </row>
    <row r="2936">
      <c r="A2936" s="84"/>
      <c r="B2936" s="85"/>
      <c r="C2936" s="85"/>
      <c r="F2936" s="92"/>
      <c r="G2936" s="85"/>
    </row>
    <row r="2937">
      <c r="A2937" s="84"/>
      <c r="B2937" s="85"/>
      <c r="C2937" s="85"/>
      <c r="F2937" s="92"/>
      <c r="G2937" s="85"/>
    </row>
    <row r="2938">
      <c r="A2938" s="84"/>
      <c r="B2938" s="85"/>
      <c r="C2938" s="85"/>
      <c r="F2938" s="92"/>
      <c r="G2938" s="85"/>
    </row>
    <row r="2939">
      <c r="A2939" s="84"/>
      <c r="B2939" s="85"/>
      <c r="C2939" s="85"/>
      <c r="F2939" s="92"/>
      <c r="G2939" s="85"/>
    </row>
    <row r="2940">
      <c r="A2940" s="84"/>
      <c r="B2940" s="85"/>
      <c r="C2940" s="85"/>
      <c r="F2940" s="92"/>
      <c r="G2940" s="85"/>
    </row>
    <row r="2941">
      <c r="A2941" s="84"/>
      <c r="B2941" s="85"/>
      <c r="C2941" s="85"/>
      <c r="F2941" s="92"/>
      <c r="G2941" s="85"/>
    </row>
    <row r="2942">
      <c r="A2942" s="84"/>
      <c r="B2942" s="85"/>
      <c r="C2942" s="85"/>
      <c r="F2942" s="92"/>
      <c r="G2942" s="85"/>
    </row>
    <row r="2943">
      <c r="A2943" s="84"/>
      <c r="B2943" s="85"/>
      <c r="C2943" s="85"/>
      <c r="F2943" s="92"/>
      <c r="G2943" s="85"/>
    </row>
    <row r="2944">
      <c r="A2944" s="84"/>
      <c r="B2944" s="85"/>
      <c r="C2944" s="85"/>
      <c r="F2944" s="92"/>
      <c r="G2944" s="85"/>
    </row>
    <row r="2945">
      <c r="A2945" s="84"/>
      <c r="B2945" s="85"/>
      <c r="C2945" s="85"/>
      <c r="F2945" s="92"/>
      <c r="G2945" s="85"/>
    </row>
    <row r="2946">
      <c r="A2946" s="84"/>
      <c r="B2946" s="85"/>
      <c r="C2946" s="85"/>
      <c r="F2946" s="92"/>
      <c r="G2946" s="85"/>
    </row>
    <row r="2947">
      <c r="A2947" s="84"/>
      <c r="B2947" s="85"/>
      <c r="C2947" s="85"/>
      <c r="F2947" s="92"/>
      <c r="G2947" s="85"/>
    </row>
    <row r="2948">
      <c r="A2948" s="84"/>
      <c r="B2948" s="85"/>
      <c r="C2948" s="85"/>
      <c r="F2948" s="92"/>
      <c r="G2948" s="85"/>
    </row>
    <row r="2949">
      <c r="A2949" s="84"/>
      <c r="B2949" s="85"/>
      <c r="C2949" s="85"/>
      <c r="F2949" s="92"/>
      <c r="G2949" s="85"/>
    </row>
    <row r="2950">
      <c r="A2950" s="84"/>
      <c r="B2950" s="85"/>
      <c r="C2950" s="85"/>
      <c r="F2950" s="92"/>
      <c r="G2950" s="85"/>
    </row>
    <row r="2951">
      <c r="A2951" s="84"/>
      <c r="B2951" s="85"/>
      <c r="C2951" s="85"/>
      <c r="F2951" s="92"/>
      <c r="G2951" s="85"/>
    </row>
    <row r="2952">
      <c r="A2952" s="84"/>
      <c r="B2952" s="85"/>
      <c r="C2952" s="85"/>
      <c r="F2952" s="92"/>
      <c r="G2952" s="85"/>
    </row>
    <row r="2953">
      <c r="A2953" s="84"/>
      <c r="B2953" s="85"/>
      <c r="C2953" s="85"/>
      <c r="F2953" s="92"/>
      <c r="G2953" s="85"/>
    </row>
    <row r="2954">
      <c r="A2954" s="84"/>
      <c r="B2954" s="85"/>
      <c r="C2954" s="85"/>
      <c r="F2954" s="92"/>
      <c r="G2954" s="85"/>
    </row>
    <row r="2955">
      <c r="A2955" s="84"/>
      <c r="B2955" s="85"/>
      <c r="C2955" s="85"/>
      <c r="F2955" s="92"/>
      <c r="G2955" s="85"/>
    </row>
    <row r="2956">
      <c r="A2956" s="84"/>
      <c r="B2956" s="85"/>
      <c r="C2956" s="85"/>
      <c r="F2956" s="92"/>
      <c r="G2956" s="85"/>
    </row>
    <row r="2957">
      <c r="A2957" s="84"/>
      <c r="B2957" s="85"/>
      <c r="C2957" s="85"/>
      <c r="F2957" s="92"/>
      <c r="G2957" s="85"/>
    </row>
    <row r="2958">
      <c r="A2958" s="84"/>
      <c r="B2958" s="85"/>
      <c r="C2958" s="85"/>
      <c r="F2958" s="92"/>
      <c r="G2958" s="85"/>
    </row>
    <row r="2959">
      <c r="A2959" s="84"/>
      <c r="B2959" s="85"/>
      <c r="C2959" s="85"/>
      <c r="F2959" s="92"/>
      <c r="G2959" s="85"/>
    </row>
    <row r="2960">
      <c r="A2960" s="84"/>
      <c r="B2960" s="85"/>
      <c r="C2960" s="85"/>
      <c r="F2960" s="92"/>
      <c r="G2960" s="85"/>
    </row>
    <row r="2961">
      <c r="A2961" s="84"/>
      <c r="B2961" s="85"/>
      <c r="C2961" s="85"/>
      <c r="F2961" s="92"/>
      <c r="G2961" s="85"/>
    </row>
    <row r="2962">
      <c r="A2962" s="84"/>
      <c r="B2962" s="85"/>
      <c r="C2962" s="85"/>
      <c r="F2962" s="92"/>
      <c r="G2962" s="85"/>
    </row>
    <row r="2963">
      <c r="A2963" s="84"/>
      <c r="B2963" s="85"/>
      <c r="C2963" s="85"/>
      <c r="F2963" s="92"/>
      <c r="G2963" s="85"/>
    </row>
    <row r="2964">
      <c r="A2964" s="84"/>
      <c r="B2964" s="85"/>
      <c r="C2964" s="85"/>
      <c r="F2964" s="92"/>
      <c r="G2964" s="85"/>
    </row>
    <row r="2965">
      <c r="A2965" s="84"/>
      <c r="B2965" s="85"/>
      <c r="C2965" s="85"/>
      <c r="F2965" s="92"/>
      <c r="G2965" s="85"/>
    </row>
    <row r="2966">
      <c r="A2966" s="84"/>
      <c r="B2966" s="85"/>
      <c r="C2966" s="85"/>
      <c r="F2966" s="92"/>
      <c r="G2966" s="85"/>
    </row>
    <row r="2967">
      <c r="A2967" s="84"/>
      <c r="B2967" s="85"/>
      <c r="C2967" s="85"/>
      <c r="F2967" s="92"/>
      <c r="G2967" s="85"/>
    </row>
    <row r="2968">
      <c r="A2968" s="84"/>
      <c r="B2968" s="85"/>
      <c r="C2968" s="85"/>
      <c r="F2968" s="92"/>
      <c r="G2968" s="85"/>
    </row>
    <row r="2969">
      <c r="A2969" s="84"/>
      <c r="B2969" s="85"/>
      <c r="C2969" s="85"/>
      <c r="F2969" s="92"/>
      <c r="G2969" s="85"/>
    </row>
    <row r="2970">
      <c r="A2970" s="84"/>
      <c r="B2970" s="85"/>
      <c r="C2970" s="85"/>
      <c r="F2970" s="92"/>
      <c r="G2970" s="85"/>
    </row>
    <row r="2971">
      <c r="A2971" s="84"/>
      <c r="B2971" s="85"/>
      <c r="C2971" s="85"/>
      <c r="F2971" s="92"/>
      <c r="G2971" s="85"/>
    </row>
    <row r="2972">
      <c r="A2972" s="84"/>
      <c r="B2972" s="85"/>
      <c r="C2972" s="85"/>
      <c r="F2972" s="92"/>
      <c r="G2972" s="85"/>
    </row>
    <row r="2973">
      <c r="A2973" s="84"/>
      <c r="B2973" s="85"/>
      <c r="C2973" s="85"/>
      <c r="F2973" s="92"/>
      <c r="G2973" s="85"/>
    </row>
    <row r="2974">
      <c r="A2974" s="84"/>
      <c r="B2974" s="85"/>
      <c r="C2974" s="85"/>
      <c r="F2974" s="92"/>
      <c r="G2974" s="85"/>
    </row>
    <row r="2975">
      <c r="A2975" s="84"/>
      <c r="B2975" s="85"/>
      <c r="C2975" s="85"/>
      <c r="F2975" s="92"/>
      <c r="G2975" s="85"/>
    </row>
    <row r="2976">
      <c r="A2976" s="84"/>
      <c r="B2976" s="85"/>
      <c r="C2976" s="85"/>
      <c r="F2976" s="92"/>
      <c r="G2976" s="85"/>
    </row>
    <row r="2977">
      <c r="A2977" s="84"/>
      <c r="B2977" s="85"/>
      <c r="C2977" s="85"/>
      <c r="F2977" s="92"/>
      <c r="G2977" s="85"/>
    </row>
    <row r="2978">
      <c r="A2978" s="84"/>
      <c r="B2978" s="85"/>
      <c r="C2978" s="85"/>
      <c r="F2978" s="92"/>
      <c r="G2978" s="85"/>
    </row>
    <row r="2979">
      <c r="A2979" s="84"/>
      <c r="B2979" s="85"/>
      <c r="C2979" s="85"/>
      <c r="F2979" s="92"/>
      <c r="G2979" s="85"/>
    </row>
    <row r="2980">
      <c r="A2980" s="84"/>
      <c r="B2980" s="85"/>
      <c r="C2980" s="85"/>
      <c r="F2980" s="92"/>
      <c r="G2980" s="85"/>
    </row>
    <row r="2981">
      <c r="A2981" s="84"/>
      <c r="B2981" s="85"/>
      <c r="C2981" s="85"/>
      <c r="F2981" s="92"/>
      <c r="G2981" s="85"/>
    </row>
    <row r="2982">
      <c r="A2982" s="84"/>
      <c r="B2982" s="85"/>
      <c r="C2982" s="85"/>
      <c r="F2982" s="92"/>
      <c r="G2982" s="85"/>
    </row>
    <row r="2983">
      <c r="A2983" s="84"/>
      <c r="B2983" s="85"/>
      <c r="C2983" s="85"/>
      <c r="F2983" s="92"/>
      <c r="G2983" s="85"/>
    </row>
    <row r="2984">
      <c r="A2984" s="84"/>
      <c r="B2984" s="85"/>
      <c r="C2984" s="85"/>
      <c r="F2984" s="92"/>
      <c r="G2984" s="85"/>
    </row>
    <row r="2985">
      <c r="A2985" s="84"/>
      <c r="B2985" s="85"/>
      <c r="C2985" s="85"/>
      <c r="F2985" s="92"/>
      <c r="G2985" s="85"/>
    </row>
    <row r="2986">
      <c r="A2986" s="84"/>
      <c r="B2986" s="85"/>
      <c r="C2986" s="85"/>
      <c r="F2986" s="92"/>
      <c r="G2986" s="85"/>
    </row>
    <row r="2987">
      <c r="A2987" s="84"/>
      <c r="B2987" s="85"/>
      <c r="C2987" s="85"/>
      <c r="F2987" s="92"/>
      <c r="G2987" s="85"/>
    </row>
    <row r="2988">
      <c r="A2988" s="84"/>
      <c r="B2988" s="85"/>
      <c r="C2988" s="85"/>
      <c r="F2988" s="92"/>
      <c r="G2988" s="85"/>
    </row>
    <row r="2989">
      <c r="A2989" s="84"/>
      <c r="B2989" s="85"/>
      <c r="C2989" s="85"/>
      <c r="F2989" s="92"/>
      <c r="G2989" s="85"/>
    </row>
    <row r="2990">
      <c r="A2990" s="84"/>
      <c r="B2990" s="85"/>
      <c r="C2990" s="85"/>
      <c r="F2990" s="92"/>
      <c r="G2990" s="85"/>
    </row>
    <row r="2991">
      <c r="A2991" s="84"/>
      <c r="B2991" s="85"/>
      <c r="C2991" s="85"/>
      <c r="F2991" s="92"/>
      <c r="G2991" s="85"/>
    </row>
    <row r="2992">
      <c r="A2992" s="84"/>
      <c r="B2992" s="85"/>
      <c r="C2992" s="85"/>
      <c r="F2992" s="92"/>
      <c r="G2992" s="85"/>
    </row>
    <row r="2993">
      <c r="A2993" s="84"/>
      <c r="B2993" s="85"/>
      <c r="C2993" s="85"/>
      <c r="F2993" s="92"/>
      <c r="G2993" s="85"/>
    </row>
    <row r="2994">
      <c r="A2994" s="84"/>
      <c r="B2994" s="85"/>
      <c r="C2994" s="85"/>
      <c r="F2994" s="92"/>
      <c r="G2994" s="85"/>
    </row>
    <row r="2995">
      <c r="A2995" s="84"/>
      <c r="B2995" s="85"/>
      <c r="C2995" s="85"/>
      <c r="F2995" s="92"/>
      <c r="G2995" s="85"/>
    </row>
    <row r="2996">
      <c r="A2996" s="84"/>
      <c r="B2996" s="85"/>
      <c r="C2996" s="85"/>
      <c r="F2996" s="92"/>
      <c r="G2996" s="85"/>
    </row>
    <row r="2997">
      <c r="A2997" s="84"/>
      <c r="B2997" s="85"/>
      <c r="C2997" s="85"/>
      <c r="F2997" s="92"/>
      <c r="G2997" s="85"/>
    </row>
    <row r="2998">
      <c r="A2998" s="84"/>
      <c r="B2998" s="85"/>
      <c r="C2998" s="85"/>
      <c r="F2998" s="92"/>
      <c r="G2998" s="85"/>
    </row>
    <row r="2999">
      <c r="A2999" s="84"/>
      <c r="B2999" s="85"/>
      <c r="C2999" s="85"/>
      <c r="F2999" s="92"/>
      <c r="G2999" s="85"/>
    </row>
    <row r="3000">
      <c r="A3000" s="84"/>
      <c r="B3000" s="85"/>
      <c r="C3000" s="85"/>
      <c r="F3000" s="92"/>
      <c r="G3000" s="85"/>
    </row>
    <row r="3001">
      <c r="A3001" s="84"/>
      <c r="B3001" s="85"/>
      <c r="C3001" s="85"/>
      <c r="F3001" s="92"/>
      <c r="G3001" s="85"/>
    </row>
    <row r="3002">
      <c r="A3002" s="84"/>
      <c r="B3002" s="85"/>
      <c r="C3002" s="85"/>
      <c r="F3002" s="92"/>
      <c r="G3002" s="85"/>
    </row>
    <row r="3003">
      <c r="A3003" s="84"/>
      <c r="B3003" s="85"/>
      <c r="C3003" s="85"/>
      <c r="F3003" s="92"/>
      <c r="G3003" s="85"/>
    </row>
    <row r="3004">
      <c r="A3004" s="84"/>
      <c r="B3004" s="85"/>
      <c r="C3004" s="85"/>
      <c r="F3004" s="92"/>
      <c r="G3004" s="85"/>
    </row>
    <row r="3005">
      <c r="A3005" s="84"/>
      <c r="B3005" s="85"/>
      <c r="C3005" s="85"/>
      <c r="F3005" s="92"/>
      <c r="G3005" s="85"/>
    </row>
    <row r="3006">
      <c r="A3006" s="84"/>
      <c r="B3006" s="85"/>
      <c r="C3006" s="85"/>
      <c r="F3006" s="92"/>
      <c r="G3006" s="85"/>
    </row>
    <row r="3007">
      <c r="A3007" s="84"/>
      <c r="B3007" s="85"/>
      <c r="C3007" s="85"/>
      <c r="F3007" s="92"/>
      <c r="G3007" s="85"/>
    </row>
    <row r="3008">
      <c r="A3008" s="84"/>
      <c r="B3008" s="85"/>
      <c r="C3008" s="85"/>
      <c r="F3008" s="92"/>
      <c r="G3008" s="85"/>
    </row>
    <row r="3009">
      <c r="A3009" s="84"/>
      <c r="B3009" s="85"/>
      <c r="C3009" s="85"/>
      <c r="F3009" s="92"/>
      <c r="G3009" s="85"/>
    </row>
    <row r="3010">
      <c r="A3010" s="84"/>
      <c r="B3010" s="85"/>
      <c r="C3010" s="85"/>
      <c r="F3010" s="92"/>
      <c r="G3010" s="85"/>
    </row>
    <row r="3011">
      <c r="A3011" s="84"/>
      <c r="B3011" s="85"/>
      <c r="C3011" s="85"/>
      <c r="F3011" s="92"/>
      <c r="G3011" s="85"/>
    </row>
    <row r="3012">
      <c r="A3012" s="84"/>
      <c r="B3012" s="85"/>
      <c r="C3012" s="85"/>
      <c r="F3012" s="92"/>
      <c r="G3012" s="85"/>
    </row>
    <row r="3013">
      <c r="A3013" s="84"/>
      <c r="B3013" s="85"/>
      <c r="C3013" s="85"/>
      <c r="F3013" s="92"/>
      <c r="G3013" s="85"/>
    </row>
    <row r="3014">
      <c r="A3014" s="84"/>
      <c r="B3014" s="85"/>
      <c r="C3014" s="85"/>
      <c r="F3014" s="92"/>
      <c r="G3014" s="85"/>
    </row>
    <row r="3015">
      <c r="A3015" s="84"/>
      <c r="B3015" s="85"/>
      <c r="C3015" s="85"/>
      <c r="F3015" s="92"/>
      <c r="G3015" s="85"/>
    </row>
    <row r="3016">
      <c r="A3016" s="84"/>
      <c r="B3016" s="85"/>
      <c r="C3016" s="85"/>
      <c r="F3016" s="92"/>
      <c r="G3016" s="85"/>
    </row>
    <row r="3017">
      <c r="A3017" s="84"/>
      <c r="B3017" s="85"/>
      <c r="C3017" s="85"/>
      <c r="F3017" s="92"/>
      <c r="G3017" s="85"/>
    </row>
    <row r="3018">
      <c r="A3018" s="84"/>
      <c r="B3018" s="85"/>
      <c r="C3018" s="85"/>
      <c r="F3018" s="92"/>
      <c r="G3018" s="85"/>
    </row>
    <row r="3019">
      <c r="A3019" s="84"/>
      <c r="B3019" s="85"/>
      <c r="C3019" s="85"/>
      <c r="F3019" s="92"/>
      <c r="G3019" s="85"/>
    </row>
    <row r="3020">
      <c r="A3020" s="84"/>
      <c r="B3020" s="85"/>
      <c r="C3020" s="85"/>
      <c r="F3020" s="92"/>
      <c r="G3020" s="85"/>
    </row>
    <row r="3021">
      <c r="A3021" s="84"/>
      <c r="B3021" s="85"/>
      <c r="C3021" s="85"/>
      <c r="F3021" s="92"/>
      <c r="G3021" s="85"/>
    </row>
    <row r="3022">
      <c r="A3022" s="84"/>
      <c r="B3022" s="85"/>
      <c r="C3022" s="85"/>
      <c r="F3022" s="92"/>
      <c r="G3022" s="85"/>
    </row>
    <row r="3023">
      <c r="A3023" s="84"/>
      <c r="B3023" s="85"/>
      <c r="C3023" s="85"/>
      <c r="F3023" s="92"/>
      <c r="G3023" s="85"/>
    </row>
    <row r="3024">
      <c r="A3024" s="84"/>
      <c r="B3024" s="85"/>
      <c r="C3024" s="85"/>
      <c r="F3024" s="92"/>
      <c r="G3024" s="85"/>
    </row>
    <row r="3025">
      <c r="A3025" s="84"/>
      <c r="B3025" s="85"/>
      <c r="C3025" s="85"/>
      <c r="F3025" s="92"/>
      <c r="G3025" s="85"/>
    </row>
    <row r="3026">
      <c r="A3026" s="84"/>
      <c r="B3026" s="85"/>
      <c r="C3026" s="85"/>
      <c r="F3026" s="92"/>
      <c r="G3026" s="85"/>
    </row>
    <row r="3027">
      <c r="A3027" s="84"/>
      <c r="B3027" s="85"/>
      <c r="C3027" s="85"/>
      <c r="F3027" s="92"/>
      <c r="G3027" s="85"/>
    </row>
    <row r="3028">
      <c r="A3028" s="84"/>
      <c r="B3028" s="85"/>
      <c r="C3028" s="85"/>
      <c r="F3028" s="92"/>
      <c r="G3028" s="85"/>
    </row>
    <row r="3029">
      <c r="A3029" s="84"/>
      <c r="B3029" s="85"/>
      <c r="C3029" s="85"/>
      <c r="F3029" s="92"/>
      <c r="G3029" s="85"/>
    </row>
    <row r="3030">
      <c r="A3030" s="84"/>
      <c r="B3030" s="85"/>
      <c r="C3030" s="85"/>
      <c r="F3030" s="92"/>
      <c r="G3030" s="85"/>
    </row>
    <row r="3031">
      <c r="A3031" s="84"/>
      <c r="B3031" s="85"/>
      <c r="C3031" s="85"/>
      <c r="F3031" s="92"/>
      <c r="G3031" s="85"/>
    </row>
    <row r="3032">
      <c r="A3032" s="84"/>
      <c r="B3032" s="85"/>
      <c r="C3032" s="85"/>
      <c r="F3032" s="92"/>
      <c r="G3032" s="85"/>
    </row>
    <row r="3033">
      <c r="A3033" s="84"/>
      <c r="B3033" s="85"/>
      <c r="C3033" s="85"/>
      <c r="F3033" s="92"/>
      <c r="G3033" s="85"/>
    </row>
    <row r="3034">
      <c r="A3034" s="84"/>
      <c r="B3034" s="85"/>
      <c r="C3034" s="85"/>
      <c r="F3034" s="92"/>
      <c r="G3034" s="85"/>
    </row>
    <row r="3035">
      <c r="A3035" s="84"/>
      <c r="B3035" s="85"/>
      <c r="C3035" s="85"/>
      <c r="F3035" s="92"/>
      <c r="G3035" s="85"/>
    </row>
    <row r="3036">
      <c r="A3036" s="84"/>
      <c r="B3036" s="85"/>
      <c r="C3036" s="85"/>
      <c r="F3036" s="92"/>
      <c r="G3036" s="85"/>
    </row>
    <row r="3037">
      <c r="A3037" s="84"/>
      <c r="B3037" s="85"/>
      <c r="C3037" s="85"/>
      <c r="F3037" s="92"/>
      <c r="G3037" s="85"/>
    </row>
    <row r="3038">
      <c r="A3038" s="84"/>
      <c r="B3038" s="85"/>
      <c r="C3038" s="85"/>
      <c r="F3038" s="92"/>
      <c r="G3038" s="85"/>
    </row>
    <row r="3039">
      <c r="A3039" s="84"/>
      <c r="B3039" s="85"/>
      <c r="C3039" s="85"/>
      <c r="F3039" s="92"/>
      <c r="G3039" s="85"/>
    </row>
    <row r="3040">
      <c r="A3040" s="84"/>
      <c r="B3040" s="85"/>
      <c r="C3040" s="85"/>
      <c r="F3040" s="92"/>
      <c r="G3040" s="85"/>
    </row>
    <row r="3041">
      <c r="A3041" s="84"/>
      <c r="B3041" s="85"/>
      <c r="C3041" s="85"/>
      <c r="F3041" s="92"/>
      <c r="G3041" s="85"/>
    </row>
    <row r="3042">
      <c r="A3042" s="84"/>
      <c r="B3042" s="85"/>
      <c r="C3042" s="85"/>
      <c r="F3042" s="92"/>
      <c r="G3042" s="85"/>
    </row>
    <row r="3043">
      <c r="A3043" s="84"/>
      <c r="B3043" s="85"/>
      <c r="C3043" s="85"/>
      <c r="F3043" s="92"/>
      <c r="G3043" s="85"/>
    </row>
    <row r="3044">
      <c r="A3044" s="84"/>
      <c r="B3044" s="85"/>
      <c r="C3044" s="85"/>
      <c r="F3044" s="92"/>
      <c r="G3044" s="85"/>
    </row>
    <row r="3045">
      <c r="A3045" s="84"/>
      <c r="B3045" s="85"/>
      <c r="C3045" s="85"/>
      <c r="F3045" s="92"/>
      <c r="G3045" s="85"/>
    </row>
    <row r="3046">
      <c r="A3046" s="84"/>
      <c r="B3046" s="85"/>
      <c r="C3046" s="85"/>
      <c r="F3046" s="92"/>
      <c r="G3046" s="85"/>
    </row>
    <row r="3047">
      <c r="A3047" s="84"/>
      <c r="B3047" s="85"/>
      <c r="C3047" s="85"/>
      <c r="F3047" s="92"/>
      <c r="G3047" s="85"/>
    </row>
    <row r="3048">
      <c r="A3048" s="84"/>
      <c r="B3048" s="85"/>
      <c r="C3048" s="85"/>
      <c r="F3048" s="92"/>
      <c r="G3048" s="85"/>
    </row>
    <row r="3049">
      <c r="A3049" s="84"/>
      <c r="B3049" s="85"/>
      <c r="C3049" s="85"/>
      <c r="F3049" s="92"/>
      <c r="G3049" s="85"/>
    </row>
    <row r="3050">
      <c r="A3050" s="84"/>
      <c r="B3050" s="85"/>
      <c r="C3050" s="85"/>
      <c r="F3050" s="92"/>
      <c r="G3050" s="85"/>
    </row>
    <row r="3051">
      <c r="A3051" s="84"/>
      <c r="B3051" s="85"/>
      <c r="C3051" s="85"/>
      <c r="F3051" s="92"/>
      <c r="G3051" s="85"/>
    </row>
    <row r="3052">
      <c r="A3052" s="84"/>
      <c r="B3052" s="85"/>
      <c r="C3052" s="85"/>
      <c r="F3052" s="92"/>
      <c r="G3052" s="85"/>
    </row>
    <row r="3053">
      <c r="A3053" s="84"/>
      <c r="B3053" s="85"/>
      <c r="C3053" s="85"/>
      <c r="F3053" s="92"/>
      <c r="G3053" s="85"/>
    </row>
    <row r="3054">
      <c r="A3054" s="84"/>
      <c r="B3054" s="85"/>
      <c r="C3054" s="85"/>
      <c r="F3054" s="92"/>
      <c r="G3054" s="85"/>
    </row>
    <row r="3055">
      <c r="A3055" s="84"/>
      <c r="B3055" s="85"/>
      <c r="C3055" s="85"/>
      <c r="F3055" s="92"/>
      <c r="G3055" s="85"/>
    </row>
    <row r="3056">
      <c r="A3056" s="84"/>
      <c r="B3056" s="85"/>
      <c r="C3056" s="85"/>
      <c r="F3056" s="92"/>
      <c r="G3056" s="85"/>
    </row>
    <row r="3057">
      <c r="A3057" s="84"/>
      <c r="B3057" s="85"/>
      <c r="C3057" s="85"/>
      <c r="F3057" s="92"/>
      <c r="G3057" s="85"/>
    </row>
    <row r="3058">
      <c r="A3058" s="84"/>
      <c r="B3058" s="85"/>
      <c r="C3058" s="85"/>
      <c r="F3058" s="92"/>
      <c r="G3058" s="85"/>
    </row>
    <row r="3059">
      <c r="A3059" s="84"/>
      <c r="B3059" s="85"/>
      <c r="C3059" s="85"/>
      <c r="F3059" s="92"/>
      <c r="G3059" s="85"/>
    </row>
    <row r="3060">
      <c r="A3060" s="84"/>
      <c r="B3060" s="85"/>
      <c r="C3060" s="85"/>
      <c r="F3060" s="92"/>
      <c r="G3060" s="85"/>
    </row>
    <row r="3061">
      <c r="A3061" s="84"/>
      <c r="B3061" s="85"/>
      <c r="C3061" s="85"/>
      <c r="F3061" s="92"/>
      <c r="G3061" s="85"/>
    </row>
    <row r="3062">
      <c r="A3062" s="84"/>
      <c r="B3062" s="85"/>
      <c r="C3062" s="85"/>
      <c r="F3062" s="92"/>
      <c r="G3062" s="85"/>
    </row>
    <row r="3063">
      <c r="A3063" s="84"/>
      <c r="B3063" s="85"/>
      <c r="C3063" s="85"/>
      <c r="F3063" s="92"/>
      <c r="G3063" s="85"/>
    </row>
    <row r="3064">
      <c r="A3064" s="84"/>
      <c r="B3064" s="85"/>
      <c r="C3064" s="85"/>
      <c r="F3064" s="92"/>
      <c r="G3064" s="85"/>
    </row>
    <row r="3065">
      <c r="A3065" s="84"/>
      <c r="B3065" s="85"/>
      <c r="C3065" s="85"/>
      <c r="F3065" s="92"/>
      <c r="G3065" s="85"/>
    </row>
    <row r="3066">
      <c r="A3066" s="84"/>
      <c r="B3066" s="85"/>
      <c r="C3066" s="85"/>
      <c r="F3066" s="92"/>
      <c r="G3066" s="85"/>
    </row>
    <row r="3067">
      <c r="A3067" s="84"/>
      <c r="B3067" s="85"/>
      <c r="C3067" s="85"/>
      <c r="F3067" s="92"/>
      <c r="G3067" s="85"/>
    </row>
    <row r="3068">
      <c r="A3068" s="84"/>
      <c r="B3068" s="85"/>
      <c r="C3068" s="85"/>
      <c r="F3068" s="92"/>
      <c r="G3068" s="85"/>
    </row>
    <row r="3069">
      <c r="A3069" s="84"/>
      <c r="B3069" s="85"/>
      <c r="C3069" s="85"/>
      <c r="F3069" s="92"/>
      <c r="G3069" s="85"/>
    </row>
    <row r="3070">
      <c r="A3070" s="84"/>
      <c r="B3070" s="85"/>
      <c r="C3070" s="85"/>
      <c r="F3070" s="92"/>
      <c r="G3070" s="85"/>
    </row>
    <row r="3071">
      <c r="A3071" s="84"/>
      <c r="B3071" s="85"/>
      <c r="C3071" s="85"/>
      <c r="F3071" s="92"/>
      <c r="G3071" s="85"/>
    </row>
    <row r="3072">
      <c r="A3072" s="84"/>
      <c r="B3072" s="85"/>
      <c r="C3072" s="85"/>
      <c r="F3072" s="92"/>
      <c r="G3072" s="85"/>
    </row>
    <row r="3073">
      <c r="A3073" s="84"/>
      <c r="B3073" s="85"/>
      <c r="C3073" s="85"/>
      <c r="F3073" s="92"/>
      <c r="G3073" s="85"/>
    </row>
    <row r="3074">
      <c r="A3074" s="84"/>
      <c r="B3074" s="85"/>
      <c r="C3074" s="85"/>
      <c r="F3074" s="92"/>
      <c r="G3074" s="85"/>
    </row>
    <row r="3075">
      <c r="A3075" s="84"/>
      <c r="B3075" s="85"/>
      <c r="C3075" s="85"/>
      <c r="F3075" s="92"/>
      <c r="G3075" s="85"/>
    </row>
    <row r="3076">
      <c r="A3076" s="84"/>
      <c r="B3076" s="85"/>
      <c r="C3076" s="85"/>
      <c r="F3076" s="92"/>
      <c r="G3076" s="85"/>
    </row>
    <row r="3077">
      <c r="A3077" s="84"/>
      <c r="B3077" s="85"/>
      <c r="C3077" s="85"/>
      <c r="F3077" s="92"/>
      <c r="G3077" s="85"/>
    </row>
    <row r="3078">
      <c r="A3078" s="84"/>
      <c r="B3078" s="85"/>
      <c r="C3078" s="85"/>
      <c r="F3078" s="92"/>
      <c r="G3078" s="85"/>
    </row>
    <row r="3079">
      <c r="A3079" s="84"/>
      <c r="B3079" s="85"/>
      <c r="C3079" s="85"/>
      <c r="F3079" s="92"/>
      <c r="G3079" s="85"/>
    </row>
    <row r="3080">
      <c r="A3080" s="84"/>
      <c r="B3080" s="85"/>
      <c r="C3080" s="85"/>
      <c r="F3080" s="92"/>
      <c r="G3080" s="85"/>
    </row>
    <row r="3081">
      <c r="A3081" s="84"/>
      <c r="B3081" s="85"/>
      <c r="C3081" s="85"/>
      <c r="F3081" s="92"/>
      <c r="G3081" s="85"/>
    </row>
    <row r="3082">
      <c r="A3082" s="84"/>
      <c r="B3082" s="85"/>
      <c r="C3082" s="85"/>
      <c r="F3082" s="92"/>
      <c r="G3082" s="85"/>
    </row>
    <row r="3083">
      <c r="A3083" s="84"/>
      <c r="B3083" s="85"/>
      <c r="C3083" s="85"/>
      <c r="F3083" s="92"/>
      <c r="G3083" s="85"/>
    </row>
    <row r="3084">
      <c r="A3084" s="84"/>
      <c r="B3084" s="85"/>
      <c r="C3084" s="85"/>
      <c r="F3084" s="92"/>
      <c r="G3084" s="85"/>
    </row>
    <row r="3085">
      <c r="A3085" s="84"/>
      <c r="B3085" s="85"/>
      <c r="C3085" s="85"/>
      <c r="F3085" s="92"/>
      <c r="G3085" s="85"/>
    </row>
    <row r="3086">
      <c r="A3086" s="84"/>
      <c r="B3086" s="85"/>
      <c r="C3086" s="85"/>
      <c r="F3086" s="92"/>
      <c r="G3086" s="85"/>
    </row>
    <row r="3087">
      <c r="A3087" s="84"/>
      <c r="B3087" s="85"/>
      <c r="C3087" s="85"/>
      <c r="F3087" s="92"/>
      <c r="G3087" s="85"/>
    </row>
    <row r="3088">
      <c r="A3088" s="84"/>
      <c r="B3088" s="85"/>
      <c r="C3088" s="85"/>
      <c r="F3088" s="92"/>
      <c r="G3088" s="85"/>
    </row>
    <row r="3089">
      <c r="A3089" s="84"/>
      <c r="B3089" s="85"/>
      <c r="C3089" s="85"/>
      <c r="F3089" s="92"/>
      <c r="G3089" s="85"/>
    </row>
    <row r="3090">
      <c r="A3090" s="84"/>
      <c r="B3090" s="85"/>
      <c r="C3090" s="85"/>
      <c r="F3090" s="92"/>
      <c r="G3090" s="85"/>
    </row>
    <row r="3091">
      <c r="A3091" s="84"/>
      <c r="B3091" s="85"/>
      <c r="C3091" s="85"/>
      <c r="F3091" s="92"/>
      <c r="G3091" s="85"/>
    </row>
    <row r="3092">
      <c r="A3092" s="84"/>
      <c r="B3092" s="85"/>
      <c r="C3092" s="85"/>
      <c r="F3092" s="92"/>
      <c r="G3092" s="85"/>
    </row>
    <row r="3093">
      <c r="A3093" s="84"/>
      <c r="B3093" s="85"/>
      <c r="C3093" s="85"/>
      <c r="F3093" s="92"/>
      <c r="G3093" s="85"/>
    </row>
    <row r="3094">
      <c r="A3094" s="84"/>
      <c r="B3094" s="85"/>
      <c r="C3094" s="85"/>
      <c r="F3094" s="92"/>
      <c r="G3094" s="85"/>
    </row>
    <row r="3095">
      <c r="A3095" s="84"/>
      <c r="B3095" s="85"/>
      <c r="C3095" s="85"/>
      <c r="F3095" s="92"/>
      <c r="G3095" s="85"/>
    </row>
    <row r="3096">
      <c r="A3096" s="84"/>
      <c r="B3096" s="85"/>
      <c r="C3096" s="85"/>
      <c r="F3096" s="92"/>
      <c r="G3096" s="85"/>
    </row>
    <row r="3097">
      <c r="A3097" s="84"/>
      <c r="B3097" s="85"/>
      <c r="C3097" s="85"/>
      <c r="F3097" s="92"/>
      <c r="G3097" s="85"/>
    </row>
    <row r="3098">
      <c r="A3098" s="84"/>
      <c r="B3098" s="85"/>
      <c r="C3098" s="85"/>
      <c r="F3098" s="92"/>
      <c r="G3098" s="85"/>
    </row>
    <row r="3099">
      <c r="A3099" s="84"/>
      <c r="B3099" s="85"/>
      <c r="C3099" s="85"/>
      <c r="F3099" s="92"/>
      <c r="G3099" s="85"/>
    </row>
    <row r="3100">
      <c r="A3100" s="84"/>
      <c r="B3100" s="85"/>
      <c r="C3100" s="85"/>
      <c r="F3100" s="92"/>
      <c r="G3100" s="85"/>
    </row>
    <row r="3101">
      <c r="A3101" s="84"/>
      <c r="B3101" s="85"/>
      <c r="C3101" s="85"/>
      <c r="F3101" s="92"/>
      <c r="G3101" s="85"/>
    </row>
    <row r="3102">
      <c r="A3102" s="84"/>
      <c r="B3102" s="85"/>
      <c r="C3102" s="85"/>
      <c r="F3102" s="92"/>
      <c r="G3102" s="85"/>
    </row>
    <row r="3103">
      <c r="A3103" s="84"/>
      <c r="B3103" s="85"/>
      <c r="C3103" s="85"/>
      <c r="F3103" s="92"/>
      <c r="G3103" s="85"/>
    </row>
    <row r="3104">
      <c r="A3104" s="84"/>
      <c r="B3104" s="85"/>
      <c r="C3104" s="85"/>
      <c r="F3104" s="92"/>
      <c r="G3104" s="85"/>
    </row>
    <row r="3105">
      <c r="A3105" s="84"/>
      <c r="B3105" s="85"/>
      <c r="C3105" s="85"/>
      <c r="F3105" s="92"/>
      <c r="G3105" s="85"/>
    </row>
    <row r="3106">
      <c r="A3106" s="84"/>
      <c r="B3106" s="85"/>
      <c r="C3106" s="85"/>
      <c r="F3106" s="92"/>
      <c r="G3106" s="85"/>
    </row>
    <row r="3107">
      <c r="A3107" s="84"/>
      <c r="B3107" s="85"/>
      <c r="C3107" s="85"/>
      <c r="F3107" s="92"/>
      <c r="G3107" s="85"/>
    </row>
    <row r="3108">
      <c r="A3108" s="84"/>
      <c r="B3108" s="85"/>
      <c r="C3108" s="85"/>
      <c r="F3108" s="92"/>
      <c r="G3108" s="85"/>
    </row>
    <row r="3109">
      <c r="A3109" s="84"/>
      <c r="B3109" s="85"/>
      <c r="C3109" s="85"/>
      <c r="F3109" s="92"/>
      <c r="G3109" s="85"/>
    </row>
    <row r="3110">
      <c r="A3110" s="84"/>
      <c r="B3110" s="85"/>
      <c r="C3110" s="85"/>
      <c r="F3110" s="92"/>
      <c r="G3110" s="85"/>
    </row>
    <row r="3111">
      <c r="A3111" s="84"/>
      <c r="B3111" s="85"/>
      <c r="C3111" s="85"/>
      <c r="F3111" s="92"/>
      <c r="G3111" s="85"/>
    </row>
    <row r="3112">
      <c r="A3112" s="84"/>
      <c r="B3112" s="85"/>
      <c r="C3112" s="85"/>
      <c r="F3112" s="92"/>
      <c r="G3112" s="85"/>
    </row>
    <row r="3113">
      <c r="A3113" s="84"/>
      <c r="B3113" s="85"/>
      <c r="C3113" s="85"/>
      <c r="F3113" s="92"/>
      <c r="G3113" s="85"/>
    </row>
    <row r="3114">
      <c r="A3114" s="84"/>
      <c r="B3114" s="85"/>
      <c r="C3114" s="85"/>
      <c r="F3114" s="92"/>
      <c r="G3114" s="85"/>
    </row>
    <row r="3115">
      <c r="A3115" s="84"/>
      <c r="B3115" s="85"/>
      <c r="C3115" s="85"/>
      <c r="F3115" s="92"/>
      <c r="G3115" s="85"/>
    </row>
    <row r="3116">
      <c r="A3116" s="84"/>
      <c r="B3116" s="85"/>
      <c r="C3116" s="85"/>
      <c r="F3116" s="92"/>
      <c r="G3116" s="85"/>
    </row>
    <row r="3117">
      <c r="A3117" s="84"/>
      <c r="B3117" s="85"/>
      <c r="C3117" s="85"/>
      <c r="F3117" s="92"/>
      <c r="G3117" s="85"/>
    </row>
    <row r="3118">
      <c r="A3118" s="84"/>
      <c r="B3118" s="85"/>
      <c r="C3118" s="85"/>
      <c r="F3118" s="92"/>
      <c r="G3118" s="85"/>
    </row>
    <row r="3119">
      <c r="A3119" s="84"/>
      <c r="B3119" s="85"/>
      <c r="C3119" s="85"/>
      <c r="F3119" s="92"/>
      <c r="G3119" s="85"/>
    </row>
    <row r="3120">
      <c r="A3120" s="84"/>
      <c r="B3120" s="85"/>
      <c r="C3120" s="85"/>
      <c r="F3120" s="92"/>
      <c r="G3120" s="85"/>
    </row>
    <row r="3121">
      <c r="A3121" s="84"/>
      <c r="B3121" s="85"/>
      <c r="C3121" s="85"/>
      <c r="F3121" s="92"/>
      <c r="G3121" s="85"/>
    </row>
    <row r="3122">
      <c r="A3122" s="84"/>
      <c r="B3122" s="85"/>
      <c r="C3122" s="85"/>
      <c r="F3122" s="92"/>
      <c r="G3122" s="85"/>
    </row>
    <row r="3123">
      <c r="A3123" s="84"/>
      <c r="B3123" s="85"/>
      <c r="C3123" s="85"/>
      <c r="F3123" s="92"/>
      <c r="G3123" s="85"/>
    </row>
    <row r="3124">
      <c r="A3124" s="84"/>
      <c r="B3124" s="85"/>
      <c r="C3124" s="85"/>
      <c r="F3124" s="92"/>
      <c r="G3124" s="85"/>
    </row>
    <row r="3125">
      <c r="A3125" s="84"/>
      <c r="B3125" s="85"/>
      <c r="C3125" s="85"/>
      <c r="F3125" s="92"/>
      <c r="G3125" s="85"/>
    </row>
    <row r="3126">
      <c r="A3126" s="84"/>
      <c r="B3126" s="85"/>
      <c r="C3126" s="85"/>
      <c r="F3126" s="92"/>
      <c r="G3126" s="85"/>
    </row>
    <row r="3127">
      <c r="A3127" s="84"/>
      <c r="B3127" s="85"/>
      <c r="C3127" s="85"/>
      <c r="F3127" s="92"/>
      <c r="G3127" s="85"/>
    </row>
    <row r="3128">
      <c r="A3128" s="84"/>
      <c r="B3128" s="85"/>
      <c r="C3128" s="85"/>
      <c r="F3128" s="92"/>
      <c r="G3128" s="85"/>
    </row>
    <row r="3129">
      <c r="A3129" s="84"/>
      <c r="B3129" s="85"/>
      <c r="C3129" s="85"/>
      <c r="F3129" s="92"/>
      <c r="G3129" s="85"/>
    </row>
    <row r="3130">
      <c r="A3130" s="84"/>
      <c r="B3130" s="85"/>
      <c r="C3130" s="85"/>
      <c r="F3130" s="92"/>
      <c r="G3130" s="85"/>
    </row>
    <row r="3131">
      <c r="A3131" s="84"/>
      <c r="B3131" s="85"/>
      <c r="C3131" s="85"/>
      <c r="F3131" s="92"/>
      <c r="G3131" s="85"/>
    </row>
    <row r="3132">
      <c r="A3132" s="84"/>
      <c r="B3132" s="85"/>
      <c r="C3132" s="85"/>
      <c r="F3132" s="92"/>
      <c r="G3132" s="85"/>
    </row>
    <row r="3133">
      <c r="A3133" s="84"/>
      <c r="B3133" s="85"/>
      <c r="C3133" s="85"/>
      <c r="F3133" s="92"/>
      <c r="G3133" s="85"/>
    </row>
    <row r="3134">
      <c r="A3134" s="84"/>
      <c r="B3134" s="85"/>
      <c r="C3134" s="85"/>
      <c r="F3134" s="92"/>
      <c r="G3134" s="85"/>
    </row>
    <row r="3135">
      <c r="A3135" s="84"/>
      <c r="B3135" s="85"/>
      <c r="C3135" s="85"/>
      <c r="F3135" s="92"/>
      <c r="G3135" s="85"/>
    </row>
    <row r="3136">
      <c r="A3136" s="84"/>
      <c r="B3136" s="85"/>
      <c r="C3136" s="85"/>
      <c r="F3136" s="92"/>
      <c r="G3136" s="85"/>
    </row>
    <row r="3137">
      <c r="A3137" s="84"/>
      <c r="B3137" s="85"/>
      <c r="C3137" s="85"/>
      <c r="F3137" s="92"/>
      <c r="G3137" s="85"/>
    </row>
    <row r="3138">
      <c r="A3138" s="84"/>
      <c r="B3138" s="85"/>
      <c r="C3138" s="85"/>
      <c r="F3138" s="92"/>
      <c r="G3138" s="85"/>
    </row>
    <row r="3139">
      <c r="A3139" s="84"/>
      <c r="B3139" s="85"/>
      <c r="C3139" s="85"/>
      <c r="F3139" s="92"/>
      <c r="G3139" s="85"/>
    </row>
    <row r="3140">
      <c r="A3140" s="84"/>
      <c r="B3140" s="85"/>
      <c r="C3140" s="85"/>
      <c r="F3140" s="92"/>
      <c r="G3140" s="85"/>
    </row>
    <row r="3141">
      <c r="A3141" s="84"/>
      <c r="B3141" s="85"/>
      <c r="C3141" s="85"/>
      <c r="F3141" s="92"/>
      <c r="G3141" s="85"/>
    </row>
    <row r="3142">
      <c r="A3142" s="84"/>
      <c r="B3142" s="85"/>
      <c r="C3142" s="85"/>
      <c r="F3142" s="92"/>
      <c r="G3142" s="85"/>
    </row>
    <row r="3143">
      <c r="A3143" s="84"/>
      <c r="B3143" s="85"/>
      <c r="C3143" s="85"/>
      <c r="F3143" s="92"/>
      <c r="G3143" s="85"/>
    </row>
    <row r="3144">
      <c r="A3144" s="84"/>
      <c r="B3144" s="85"/>
      <c r="C3144" s="85"/>
      <c r="F3144" s="92"/>
      <c r="G3144" s="85"/>
    </row>
    <row r="3145">
      <c r="A3145" s="84"/>
      <c r="B3145" s="85"/>
      <c r="C3145" s="85"/>
      <c r="F3145" s="92"/>
      <c r="G3145" s="85"/>
    </row>
    <row r="3146">
      <c r="A3146" s="84"/>
      <c r="B3146" s="85"/>
      <c r="C3146" s="85"/>
      <c r="F3146" s="92"/>
      <c r="G3146" s="85"/>
    </row>
    <row r="3147">
      <c r="A3147" s="84"/>
      <c r="B3147" s="85"/>
      <c r="C3147" s="85"/>
      <c r="F3147" s="92"/>
      <c r="G3147" s="85"/>
    </row>
    <row r="3148">
      <c r="A3148" s="84"/>
      <c r="B3148" s="85"/>
      <c r="C3148" s="85"/>
      <c r="F3148" s="92"/>
      <c r="G3148" s="85"/>
    </row>
    <row r="3149">
      <c r="A3149" s="84"/>
      <c r="B3149" s="85"/>
      <c r="C3149" s="85"/>
      <c r="F3149" s="92"/>
      <c r="G3149" s="85"/>
    </row>
    <row r="3150">
      <c r="A3150" s="84"/>
      <c r="B3150" s="85"/>
      <c r="C3150" s="85"/>
      <c r="F3150" s="92"/>
      <c r="G3150" s="85"/>
    </row>
    <row r="3151">
      <c r="A3151" s="84"/>
      <c r="B3151" s="85"/>
      <c r="C3151" s="85"/>
      <c r="F3151" s="92"/>
      <c r="G3151" s="85"/>
    </row>
    <row r="3152">
      <c r="A3152" s="84"/>
      <c r="B3152" s="85"/>
      <c r="C3152" s="85"/>
      <c r="F3152" s="92"/>
      <c r="G3152" s="85"/>
    </row>
    <row r="3153">
      <c r="A3153" s="84"/>
      <c r="B3153" s="85"/>
      <c r="C3153" s="85"/>
      <c r="F3153" s="92"/>
      <c r="G3153" s="85"/>
    </row>
    <row r="3154">
      <c r="A3154" s="84"/>
      <c r="B3154" s="85"/>
      <c r="C3154" s="85"/>
      <c r="F3154" s="92"/>
      <c r="G3154" s="85"/>
    </row>
    <row r="3155">
      <c r="A3155" s="84"/>
      <c r="B3155" s="85"/>
      <c r="C3155" s="85"/>
      <c r="F3155" s="92"/>
      <c r="G3155" s="85"/>
    </row>
    <row r="3156">
      <c r="A3156" s="84"/>
      <c r="B3156" s="85"/>
      <c r="C3156" s="85"/>
      <c r="F3156" s="92"/>
      <c r="G3156" s="85"/>
    </row>
    <row r="3157">
      <c r="A3157" s="84"/>
      <c r="B3157" s="85"/>
      <c r="C3157" s="85"/>
      <c r="F3157" s="92"/>
      <c r="G3157" s="85"/>
    </row>
    <row r="3158">
      <c r="A3158" s="84"/>
      <c r="B3158" s="85"/>
      <c r="C3158" s="85"/>
      <c r="F3158" s="92"/>
      <c r="G3158" s="85"/>
    </row>
    <row r="3159">
      <c r="A3159" s="84"/>
      <c r="B3159" s="85"/>
      <c r="C3159" s="85"/>
      <c r="F3159" s="92"/>
      <c r="G3159" s="85"/>
    </row>
    <row r="3160">
      <c r="A3160" s="84"/>
      <c r="B3160" s="85"/>
      <c r="C3160" s="85"/>
      <c r="F3160" s="92"/>
      <c r="G3160" s="85"/>
    </row>
    <row r="3161">
      <c r="A3161" s="84"/>
      <c r="B3161" s="85"/>
      <c r="C3161" s="85"/>
      <c r="F3161" s="92"/>
      <c r="G3161" s="85"/>
    </row>
    <row r="3162">
      <c r="A3162" s="84"/>
      <c r="B3162" s="85"/>
      <c r="C3162" s="85"/>
      <c r="F3162" s="92"/>
      <c r="G3162" s="85"/>
    </row>
    <row r="3163">
      <c r="A3163" s="84"/>
      <c r="B3163" s="85"/>
      <c r="C3163" s="85"/>
      <c r="F3163" s="92"/>
      <c r="G3163" s="85"/>
    </row>
    <row r="3164">
      <c r="A3164" s="84"/>
      <c r="B3164" s="85"/>
      <c r="C3164" s="85"/>
      <c r="F3164" s="92"/>
      <c r="G3164" s="85"/>
    </row>
    <row r="3165">
      <c r="A3165" s="84"/>
      <c r="B3165" s="85"/>
      <c r="C3165" s="85"/>
      <c r="F3165" s="92"/>
      <c r="G3165" s="85"/>
    </row>
    <row r="3166">
      <c r="A3166" s="84"/>
      <c r="B3166" s="85"/>
      <c r="C3166" s="85"/>
      <c r="F3166" s="92"/>
      <c r="G3166" s="85"/>
    </row>
    <row r="3167">
      <c r="A3167" s="84"/>
      <c r="B3167" s="85"/>
      <c r="C3167" s="85"/>
      <c r="F3167" s="92"/>
      <c r="G3167" s="85"/>
    </row>
    <row r="3168">
      <c r="A3168" s="84"/>
      <c r="B3168" s="85"/>
      <c r="C3168" s="85"/>
      <c r="F3168" s="92"/>
      <c r="G3168" s="85"/>
    </row>
    <row r="3169">
      <c r="A3169" s="84"/>
      <c r="B3169" s="85"/>
      <c r="C3169" s="85"/>
      <c r="F3169" s="92"/>
      <c r="G3169" s="85"/>
    </row>
    <row r="3170">
      <c r="A3170" s="84"/>
      <c r="B3170" s="85"/>
      <c r="C3170" s="85"/>
      <c r="F3170" s="92"/>
      <c r="G3170" s="85"/>
    </row>
    <row r="3171">
      <c r="A3171" s="84"/>
      <c r="B3171" s="85"/>
      <c r="C3171" s="85"/>
      <c r="F3171" s="92"/>
      <c r="G3171" s="85"/>
    </row>
    <row r="3172">
      <c r="A3172" s="84"/>
      <c r="B3172" s="85"/>
      <c r="C3172" s="85"/>
      <c r="F3172" s="92"/>
      <c r="G3172" s="85"/>
    </row>
    <row r="3173">
      <c r="A3173" s="84"/>
      <c r="B3173" s="85"/>
      <c r="C3173" s="85"/>
      <c r="F3173" s="92"/>
      <c r="G3173" s="85"/>
    </row>
    <row r="3174">
      <c r="A3174" s="84"/>
      <c r="B3174" s="85"/>
      <c r="C3174" s="85"/>
      <c r="F3174" s="92"/>
      <c r="G3174" s="85"/>
    </row>
    <row r="3175">
      <c r="A3175" s="84"/>
      <c r="B3175" s="85"/>
      <c r="C3175" s="85"/>
      <c r="F3175" s="92"/>
      <c r="G3175" s="85"/>
    </row>
    <row r="3176">
      <c r="A3176" s="84"/>
      <c r="B3176" s="85"/>
      <c r="C3176" s="85"/>
      <c r="F3176" s="92"/>
      <c r="G3176" s="85"/>
    </row>
    <row r="3177">
      <c r="A3177" s="84"/>
      <c r="B3177" s="85"/>
      <c r="C3177" s="85"/>
      <c r="F3177" s="92"/>
      <c r="G3177" s="85"/>
    </row>
    <row r="3178">
      <c r="A3178" s="84"/>
      <c r="B3178" s="85"/>
      <c r="C3178" s="85"/>
      <c r="F3178" s="92"/>
      <c r="G3178" s="85"/>
    </row>
    <row r="3179">
      <c r="A3179" s="84"/>
      <c r="B3179" s="85"/>
      <c r="C3179" s="85"/>
      <c r="F3179" s="92"/>
      <c r="G3179" s="85"/>
    </row>
    <row r="3180">
      <c r="A3180" s="84"/>
      <c r="B3180" s="85"/>
      <c r="C3180" s="85"/>
      <c r="F3180" s="92"/>
      <c r="G3180" s="85"/>
    </row>
    <row r="3181">
      <c r="A3181" s="84"/>
      <c r="B3181" s="85"/>
      <c r="C3181" s="85"/>
      <c r="F3181" s="92"/>
      <c r="G3181" s="85"/>
    </row>
    <row r="3182">
      <c r="A3182" s="84"/>
      <c r="B3182" s="85"/>
      <c r="C3182" s="85"/>
      <c r="F3182" s="92"/>
      <c r="G3182" s="85"/>
    </row>
    <row r="3183">
      <c r="A3183" s="84"/>
      <c r="B3183" s="85"/>
      <c r="C3183" s="85"/>
      <c r="F3183" s="92"/>
      <c r="G3183" s="85"/>
    </row>
    <row r="3184">
      <c r="A3184" s="84"/>
      <c r="B3184" s="85"/>
      <c r="C3184" s="85"/>
      <c r="F3184" s="92"/>
      <c r="G3184" s="85"/>
    </row>
    <row r="3185">
      <c r="A3185" s="84"/>
      <c r="B3185" s="85"/>
      <c r="C3185" s="85"/>
      <c r="F3185" s="92"/>
      <c r="G3185" s="85"/>
    </row>
    <row r="3186">
      <c r="A3186" s="84"/>
      <c r="B3186" s="85"/>
      <c r="C3186" s="85"/>
      <c r="F3186" s="92"/>
      <c r="G3186" s="85"/>
    </row>
    <row r="3187">
      <c r="A3187" s="84"/>
      <c r="B3187" s="85"/>
      <c r="C3187" s="85"/>
      <c r="F3187" s="92"/>
      <c r="G3187" s="85"/>
    </row>
    <row r="3188">
      <c r="A3188" s="84"/>
      <c r="B3188" s="85"/>
      <c r="C3188" s="85"/>
      <c r="F3188" s="92"/>
      <c r="G3188" s="85"/>
    </row>
    <row r="3189">
      <c r="A3189" s="84"/>
      <c r="B3189" s="85"/>
      <c r="C3189" s="85"/>
      <c r="F3189" s="92"/>
      <c r="G3189" s="85"/>
    </row>
    <row r="3190">
      <c r="A3190" s="84"/>
      <c r="B3190" s="85"/>
      <c r="C3190" s="85"/>
      <c r="F3190" s="92"/>
      <c r="G3190" s="85"/>
    </row>
    <row r="3191">
      <c r="A3191" s="84"/>
      <c r="B3191" s="85"/>
      <c r="C3191" s="85"/>
      <c r="F3191" s="92"/>
      <c r="G3191" s="85"/>
    </row>
    <row r="3192">
      <c r="A3192" s="84"/>
      <c r="B3192" s="85"/>
      <c r="C3192" s="85"/>
      <c r="F3192" s="92"/>
      <c r="G3192" s="85"/>
    </row>
    <row r="3193">
      <c r="A3193" s="84"/>
      <c r="B3193" s="85"/>
      <c r="C3193" s="85"/>
      <c r="F3193" s="92"/>
      <c r="G3193" s="85"/>
    </row>
    <row r="3194">
      <c r="A3194" s="84"/>
      <c r="B3194" s="85"/>
      <c r="C3194" s="85"/>
      <c r="F3194" s="92"/>
      <c r="G3194" s="85"/>
    </row>
    <row r="3195">
      <c r="A3195" s="84"/>
      <c r="B3195" s="85"/>
      <c r="C3195" s="85"/>
      <c r="F3195" s="92"/>
      <c r="G3195" s="85"/>
    </row>
    <row r="3196">
      <c r="A3196" s="84"/>
      <c r="B3196" s="85"/>
      <c r="C3196" s="85"/>
      <c r="F3196" s="92"/>
      <c r="G3196" s="85"/>
    </row>
    <row r="3197">
      <c r="A3197" s="84"/>
      <c r="B3197" s="85"/>
      <c r="C3197" s="85"/>
      <c r="F3197" s="92"/>
      <c r="G3197" s="85"/>
    </row>
    <row r="3198">
      <c r="A3198" s="84"/>
      <c r="B3198" s="85"/>
      <c r="C3198" s="85"/>
      <c r="F3198" s="92"/>
      <c r="G3198" s="85"/>
    </row>
    <row r="3199">
      <c r="A3199" s="84"/>
      <c r="B3199" s="85"/>
      <c r="C3199" s="85"/>
      <c r="F3199" s="92"/>
      <c r="G3199" s="85"/>
    </row>
    <row r="3200">
      <c r="A3200" s="84"/>
      <c r="B3200" s="85"/>
      <c r="C3200" s="85"/>
      <c r="F3200" s="92"/>
      <c r="G3200" s="85"/>
    </row>
    <row r="3201">
      <c r="A3201" s="84"/>
      <c r="B3201" s="85"/>
      <c r="C3201" s="85"/>
      <c r="F3201" s="92"/>
      <c r="G3201" s="85"/>
    </row>
    <row r="3202">
      <c r="A3202" s="84"/>
      <c r="B3202" s="85"/>
      <c r="C3202" s="85"/>
      <c r="F3202" s="92"/>
      <c r="G3202" s="85"/>
    </row>
    <row r="3203">
      <c r="A3203" s="84"/>
      <c r="B3203" s="85"/>
      <c r="C3203" s="85"/>
      <c r="F3203" s="92"/>
      <c r="G3203" s="85"/>
    </row>
    <row r="3204">
      <c r="A3204" s="84"/>
      <c r="B3204" s="85"/>
      <c r="C3204" s="85"/>
      <c r="F3204" s="92"/>
      <c r="G3204" s="85"/>
    </row>
    <row r="3205">
      <c r="A3205" s="84"/>
      <c r="B3205" s="85"/>
      <c r="C3205" s="85"/>
      <c r="F3205" s="92"/>
      <c r="G3205" s="85"/>
    </row>
    <row r="3206">
      <c r="A3206" s="84"/>
      <c r="B3206" s="85"/>
      <c r="C3206" s="85"/>
      <c r="F3206" s="92"/>
      <c r="G3206" s="85"/>
    </row>
    <row r="3207">
      <c r="A3207" s="84"/>
      <c r="B3207" s="85"/>
      <c r="C3207" s="85"/>
      <c r="F3207" s="92"/>
      <c r="G3207" s="85"/>
    </row>
    <row r="3208">
      <c r="A3208" s="84"/>
      <c r="B3208" s="85"/>
      <c r="C3208" s="85"/>
      <c r="F3208" s="92"/>
      <c r="G3208" s="85"/>
    </row>
    <row r="3209">
      <c r="A3209" s="84"/>
      <c r="B3209" s="85"/>
      <c r="C3209" s="85"/>
      <c r="F3209" s="92"/>
      <c r="G3209" s="85"/>
    </row>
    <row r="3210">
      <c r="A3210" s="84"/>
      <c r="B3210" s="85"/>
      <c r="C3210" s="85"/>
      <c r="F3210" s="92"/>
      <c r="G3210" s="85"/>
    </row>
    <row r="3211">
      <c r="A3211" s="84"/>
      <c r="B3211" s="85"/>
      <c r="C3211" s="85"/>
      <c r="F3211" s="92"/>
      <c r="G3211" s="85"/>
    </row>
    <row r="3212">
      <c r="A3212" s="84"/>
      <c r="B3212" s="85"/>
      <c r="C3212" s="85"/>
      <c r="F3212" s="92"/>
      <c r="G3212" s="85"/>
    </row>
    <row r="3213">
      <c r="A3213" s="84"/>
      <c r="B3213" s="85"/>
      <c r="C3213" s="85"/>
      <c r="F3213" s="92"/>
      <c r="G3213" s="85"/>
    </row>
    <row r="3214">
      <c r="A3214" s="84"/>
      <c r="B3214" s="85"/>
      <c r="C3214" s="85"/>
      <c r="F3214" s="92"/>
      <c r="G3214" s="85"/>
    </row>
    <row r="3215">
      <c r="A3215" s="84"/>
      <c r="B3215" s="85"/>
      <c r="C3215" s="85"/>
      <c r="F3215" s="92"/>
      <c r="G3215" s="85"/>
    </row>
    <row r="3216">
      <c r="A3216" s="84"/>
      <c r="B3216" s="85"/>
      <c r="C3216" s="85"/>
      <c r="F3216" s="92"/>
      <c r="G3216" s="85"/>
    </row>
    <row r="3217">
      <c r="A3217" s="84"/>
      <c r="B3217" s="85"/>
      <c r="C3217" s="85"/>
      <c r="F3217" s="92"/>
      <c r="G3217" s="85"/>
    </row>
    <row r="3218">
      <c r="A3218" s="84"/>
      <c r="B3218" s="85"/>
      <c r="C3218" s="85"/>
      <c r="F3218" s="92"/>
      <c r="G3218" s="85"/>
    </row>
    <row r="3219">
      <c r="A3219" s="84"/>
      <c r="B3219" s="85"/>
      <c r="C3219" s="85"/>
      <c r="F3219" s="92"/>
      <c r="G3219" s="85"/>
    </row>
    <row r="3220">
      <c r="A3220" s="84"/>
      <c r="B3220" s="85"/>
      <c r="C3220" s="85"/>
      <c r="F3220" s="92"/>
      <c r="G3220" s="85"/>
    </row>
    <row r="3221">
      <c r="A3221" s="84"/>
      <c r="B3221" s="85"/>
      <c r="C3221" s="85"/>
      <c r="F3221" s="92"/>
      <c r="G3221" s="85"/>
    </row>
    <row r="3222">
      <c r="A3222" s="84"/>
      <c r="B3222" s="85"/>
      <c r="C3222" s="85"/>
      <c r="F3222" s="92"/>
      <c r="G3222" s="85"/>
    </row>
    <row r="3223">
      <c r="A3223" s="84"/>
      <c r="B3223" s="85"/>
      <c r="C3223" s="85"/>
      <c r="F3223" s="92"/>
      <c r="G3223" s="85"/>
    </row>
    <row r="3224">
      <c r="A3224" s="84"/>
      <c r="B3224" s="85"/>
      <c r="C3224" s="85"/>
      <c r="F3224" s="92"/>
      <c r="G3224" s="85"/>
    </row>
    <row r="3225">
      <c r="A3225" s="84"/>
      <c r="B3225" s="85"/>
      <c r="C3225" s="85"/>
      <c r="F3225" s="92"/>
      <c r="G3225" s="85"/>
    </row>
    <row r="3226">
      <c r="A3226" s="84"/>
      <c r="B3226" s="85"/>
      <c r="C3226" s="85"/>
      <c r="F3226" s="92"/>
      <c r="G3226" s="85"/>
    </row>
    <row r="3227">
      <c r="A3227" s="84"/>
      <c r="B3227" s="85"/>
      <c r="C3227" s="85"/>
      <c r="F3227" s="92"/>
      <c r="G3227" s="85"/>
    </row>
    <row r="3228">
      <c r="A3228" s="84"/>
      <c r="B3228" s="85"/>
      <c r="C3228" s="85"/>
      <c r="F3228" s="92"/>
      <c r="G3228" s="85"/>
    </row>
    <row r="3229">
      <c r="A3229" s="84"/>
      <c r="B3229" s="85"/>
      <c r="C3229" s="85"/>
      <c r="F3229" s="92"/>
      <c r="G3229" s="85"/>
    </row>
    <row r="3230">
      <c r="A3230" s="84"/>
      <c r="B3230" s="85"/>
      <c r="C3230" s="85"/>
      <c r="F3230" s="92"/>
      <c r="G3230" s="85"/>
    </row>
    <row r="3231">
      <c r="A3231" s="84"/>
      <c r="B3231" s="85"/>
      <c r="C3231" s="85"/>
      <c r="F3231" s="92"/>
      <c r="G3231" s="85"/>
    </row>
    <row r="3232">
      <c r="A3232" s="84"/>
      <c r="B3232" s="85"/>
      <c r="C3232" s="85"/>
      <c r="F3232" s="92"/>
      <c r="G3232" s="85"/>
    </row>
    <row r="3233">
      <c r="A3233" s="84"/>
      <c r="B3233" s="85"/>
      <c r="C3233" s="85"/>
      <c r="F3233" s="92"/>
      <c r="G3233" s="85"/>
    </row>
    <row r="3234">
      <c r="A3234" s="84"/>
      <c r="B3234" s="85"/>
      <c r="C3234" s="85"/>
      <c r="F3234" s="92"/>
      <c r="G3234" s="85"/>
    </row>
    <row r="3235">
      <c r="A3235" s="84"/>
      <c r="B3235" s="85"/>
      <c r="C3235" s="85"/>
      <c r="F3235" s="92"/>
      <c r="G3235" s="85"/>
    </row>
    <row r="3236">
      <c r="A3236" s="84"/>
      <c r="B3236" s="85"/>
      <c r="C3236" s="85"/>
      <c r="F3236" s="92"/>
      <c r="G3236" s="85"/>
    </row>
    <row r="3237">
      <c r="A3237" s="84"/>
      <c r="B3237" s="85"/>
      <c r="C3237" s="85"/>
      <c r="F3237" s="92"/>
      <c r="G3237" s="85"/>
    </row>
    <row r="3238">
      <c r="A3238" s="84"/>
      <c r="B3238" s="85"/>
      <c r="C3238" s="85"/>
      <c r="F3238" s="92"/>
      <c r="G3238" s="85"/>
    </row>
    <row r="3239">
      <c r="A3239" s="84"/>
      <c r="B3239" s="85"/>
      <c r="C3239" s="85"/>
      <c r="F3239" s="92"/>
      <c r="G3239" s="85"/>
    </row>
    <row r="3240">
      <c r="A3240" s="84"/>
      <c r="B3240" s="85"/>
      <c r="C3240" s="85"/>
      <c r="F3240" s="92"/>
      <c r="G3240" s="85"/>
    </row>
    <row r="3241">
      <c r="A3241" s="84"/>
      <c r="B3241" s="85"/>
      <c r="C3241" s="85"/>
      <c r="F3241" s="92"/>
      <c r="G3241" s="85"/>
    </row>
    <row r="3242">
      <c r="A3242" s="84"/>
      <c r="B3242" s="85"/>
      <c r="C3242" s="85"/>
      <c r="F3242" s="92"/>
      <c r="G3242" s="85"/>
    </row>
    <row r="3243">
      <c r="A3243" s="84"/>
      <c r="B3243" s="85"/>
      <c r="C3243" s="85"/>
      <c r="F3243" s="92"/>
      <c r="G3243" s="85"/>
    </row>
    <row r="3244">
      <c r="A3244" s="84"/>
      <c r="B3244" s="85"/>
      <c r="C3244" s="85"/>
      <c r="F3244" s="92"/>
      <c r="G3244" s="85"/>
    </row>
    <row r="3245">
      <c r="A3245" s="84"/>
      <c r="B3245" s="85"/>
      <c r="C3245" s="85"/>
      <c r="F3245" s="92"/>
      <c r="G3245" s="85"/>
    </row>
    <row r="3246">
      <c r="A3246" s="84"/>
      <c r="B3246" s="85"/>
      <c r="C3246" s="85"/>
      <c r="F3246" s="92"/>
      <c r="G3246" s="85"/>
    </row>
    <row r="3247">
      <c r="A3247" s="84"/>
      <c r="B3247" s="85"/>
      <c r="C3247" s="85"/>
      <c r="F3247" s="92"/>
      <c r="G3247" s="85"/>
    </row>
    <row r="3248">
      <c r="A3248" s="84"/>
      <c r="B3248" s="85"/>
      <c r="C3248" s="85"/>
      <c r="F3248" s="92"/>
      <c r="G3248" s="85"/>
    </row>
    <row r="3249">
      <c r="A3249" s="84"/>
      <c r="B3249" s="85"/>
      <c r="C3249" s="85"/>
      <c r="F3249" s="92"/>
      <c r="G3249" s="85"/>
    </row>
    <row r="3250">
      <c r="A3250" s="84"/>
      <c r="B3250" s="85"/>
      <c r="C3250" s="85"/>
      <c r="F3250" s="92"/>
      <c r="G3250" s="85"/>
    </row>
    <row r="3251">
      <c r="A3251" s="84"/>
      <c r="B3251" s="85"/>
      <c r="C3251" s="85"/>
      <c r="F3251" s="92"/>
      <c r="G3251" s="85"/>
    </row>
    <row r="3252">
      <c r="A3252" s="84"/>
      <c r="B3252" s="85"/>
      <c r="C3252" s="85"/>
      <c r="F3252" s="92"/>
      <c r="G3252" s="85"/>
    </row>
    <row r="3253">
      <c r="A3253" s="84"/>
      <c r="B3253" s="85"/>
      <c r="C3253" s="85"/>
      <c r="F3253" s="92"/>
      <c r="G3253" s="85"/>
    </row>
    <row r="3254">
      <c r="A3254" s="84"/>
      <c r="B3254" s="85"/>
      <c r="C3254" s="85"/>
      <c r="F3254" s="92"/>
      <c r="G3254" s="85"/>
    </row>
    <row r="3255">
      <c r="A3255" s="84"/>
      <c r="B3255" s="85"/>
      <c r="C3255" s="85"/>
      <c r="F3255" s="92"/>
      <c r="G3255" s="85"/>
    </row>
    <row r="3256">
      <c r="A3256" s="84"/>
      <c r="B3256" s="85"/>
      <c r="C3256" s="85"/>
      <c r="F3256" s="92"/>
      <c r="G3256" s="85"/>
    </row>
    <row r="3257">
      <c r="A3257" s="84"/>
      <c r="B3257" s="85"/>
      <c r="C3257" s="85"/>
      <c r="F3257" s="92"/>
      <c r="G3257" s="85"/>
    </row>
    <row r="3258">
      <c r="A3258" s="84"/>
      <c r="B3258" s="85"/>
      <c r="C3258" s="85"/>
      <c r="F3258" s="92"/>
      <c r="G3258" s="85"/>
    </row>
    <row r="3259">
      <c r="A3259" s="84"/>
      <c r="B3259" s="85"/>
      <c r="C3259" s="85"/>
      <c r="F3259" s="92"/>
      <c r="G3259" s="85"/>
    </row>
    <row r="3260">
      <c r="A3260" s="84"/>
      <c r="B3260" s="85"/>
      <c r="C3260" s="85"/>
      <c r="F3260" s="92"/>
      <c r="G3260" s="85"/>
    </row>
    <row r="3261">
      <c r="A3261" s="84"/>
      <c r="B3261" s="85"/>
      <c r="C3261" s="85"/>
      <c r="F3261" s="92"/>
      <c r="G3261" s="85"/>
    </row>
    <row r="3262">
      <c r="A3262" s="84"/>
      <c r="B3262" s="85"/>
      <c r="C3262" s="85"/>
      <c r="F3262" s="92"/>
      <c r="G3262" s="85"/>
    </row>
    <row r="3263">
      <c r="A3263" s="84"/>
      <c r="B3263" s="85"/>
      <c r="C3263" s="85"/>
      <c r="F3263" s="92"/>
      <c r="G3263" s="85"/>
    </row>
    <row r="3264">
      <c r="A3264" s="84"/>
      <c r="B3264" s="85"/>
      <c r="C3264" s="85"/>
      <c r="F3264" s="92"/>
      <c r="G3264" s="85"/>
    </row>
    <row r="3265">
      <c r="A3265" s="84"/>
      <c r="B3265" s="85"/>
      <c r="C3265" s="85"/>
      <c r="F3265" s="92"/>
      <c r="G3265" s="85"/>
    </row>
    <row r="3266">
      <c r="A3266" s="84"/>
      <c r="B3266" s="85"/>
      <c r="C3266" s="85"/>
      <c r="F3266" s="92"/>
      <c r="G3266" s="85"/>
    </row>
    <row r="3267">
      <c r="A3267" s="84"/>
      <c r="B3267" s="85"/>
      <c r="C3267" s="85"/>
      <c r="F3267" s="92"/>
      <c r="G3267" s="85"/>
    </row>
    <row r="3268">
      <c r="A3268" s="84"/>
      <c r="B3268" s="85"/>
      <c r="C3268" s="85"/>
      <c r="F3268" s="92"/>
      <c r="G3268" s="85"/>
    </row>
    <row r="3269">
      <c r="A3269" s="84"/>
      <c r="B3269" s="85"/>
      <c r="C3269" s="85"/>
      <c r="F3269" s="92"/>
      <c r="G3269" s="85"/>
    </row>
    <row r="3270">
      <c r="A3270" s="84"/>
      <c r="B3270" s="85"/>
      <c r="C3270" s="85"/>
      <c r="F3270" s="92"/>
      <c r="G3270" s="85"/>
    </row>
    <row r="3271">
      <c r="A3271" s="84"/>
      <c r="B3271" s="85"/>
      <c r="C3271" s="85"/>
      <c r="F3271" s="92"/>
      <c r="G3271" s="85"/>
    </row>
    <row r="3272">
      <c r="A3272" s="84"/>
      <c r="B3272" s="85"/>
      <c r="C3272" s="85"/>
      <c r="F3272" s="92"/>
      <c r="G3272" s="85"/>
    </row>
    <row r="3273">
      <c r="A3273" s="84"/>
      <c r="B3273" s="85"/>
      <c r="C3273" s="85"/>
      <c r="F3273" s="92"/>
      <c r="G3273" s="85"/>
    </row>
    <row r="3274">
      <c r="A3274" s="84"/>
      <c r="B3274" s="85"/>
      <c r="C3274" s="85"/>
      <c r="F3274" s="92"/>
      <c r="G3274" s="85"/>
    </row>
    <row r="3275">
      <c r="A3275" s="84"/>
      <c r="B3275" s="85"/>
      <c r="C3275" s="85"/>
      <c r="F3275" s="92"/>
      <c r="G3275" s="85"/>
    </row>
    <row r="3276">
      <c r="A3276" s="84"/>
      <c r="B3276" s="85"/>
      <c r="C3276" s="85"/>
      <c r="F3276" s="92"/>
      <c r="G3276" s="85"/>
    </row>
    <row r="3277">
      <c r="A3277" s="84"/>
      <c r="B3277" s="85"/>
      <c r="C3277" s="85"/>
      <c r="F3277" s="92"/>
      <c r="G3277" s="85"/>
    </row>
    <row r="3278">
      <c r="A3278" s="84"/>
      <c r="B3278" s="85"/>
      <c r="C3278" s="85"/>
      <c r="F3278" s="92"/>
      <c r="G3278" s="85"/>
    </row>
    <row r="3279">
      <c r="A3279" s="84"/>
      <c r="B3279" s="85"/>
      <c r="C3279" s="85"/>
      <c r="F3279" s="92"/>
      <c r="G3279" s="85"/>
    </row>
    <row r="3280">
      <c r="A3280" s="84"/>
      <c r="B3280" s="85"/>
      <c r="C3280" s="85"/>
      <c r="F3280" s="92"/>
      <c r="G3280" s="85"/>
    </row>
    <row r="3281">
      <c r="A3281" s="84"/>
      <c r="B3281" s="85"/>
      <c r="C3281" s="85"/>
      <c r="F3281" s="92"/>
      <c r="G3281" s="85"/>
    </row>
    <row r="3282">
      <c r="A3282" s="84"/>
      <c r="B3282" s="85"/>
      <c r="C3282" s="85"/>
      <c r="F3282" s="92"/>
      <c r="G3282" s="85"/>
    </row>
    <row r="3283">
      <c r="A3283" s="84"/>
      <c r="B3283" s="85"/>
      <c r="C3283" s="85"/>
      <c r="F3283" s="92"/>
      <c r="G3283" s="85"/>
    </row>
    <row r="3284">
      <c r="A3284" s="84"/>
      <c r="B3284" s="85"/>
      <c r="C3284" s="85"/>
      <c r="F3284" s="92"/>
      <c r="G3284" s="85"/>
    </row>
    <row r="3285">
      <c r="A3285" s="84"/>
      <c r="B3285" s="85"/>
      <c r="C3285" s="85"/>
      <c r="F3285" s="92"/>
      <c r="G3285" s="85"/>
    </row>
    <row r="3286">
      <c r="A3286" s="84"/>
      <c r="B3286" s="85"/>
      <c r="C3286" s="85"/>
      <c r="F3286" s="92"/>
      <c r="G3286" s="85"/>
    </row>
    <row r="3287">
      <c r="A3287" s="84"/>
      <c r="B3287" s="85"/>
      <c r="C3287" s="85"/>
      <c r="F3287" s="92"/>
      <c r="G3287" s="85"/>
    </row>
    <row r="3288">
      <c r="A3288" s="84"/>
      <c r="B3288" s="85"/>
      <c r="C3288" s="85"/>
      <c r="F3288" s="92"/>
      <c r="G3288" s="85"/>
    </row>
    <row r="3289">
      <c r="A3289" s="84"/>
      <c r="B3289" s="85"/>
      <c r="C3289" s="85"/>
      <c r="F3289" s="92"/>
      <c r="G3289" s="85"/>
    </row>
    <row r="3290">
      <c r="A3290" s="84"/>
      <c r="B3290" s="85"/>
      <c r="C3290" s="85"/>
      <c r="F3290" s="92"/>
      <c r="G3290" s="85"/>
    </row>
    <row r="3291">
      <c r="A3291" s="84"/>
      <c r="B3291" s="85"/>
      <c r="C3291" s="85"/>
      <c r="F3291" s="92"/>
      <c r="G3291" s="85"/>
    </row>
    <row r="3292">
      <c r="A3292" s="84"/>
      <c r="B3292" s="85"/>
      <c r="C3292" s="85"/>
      <c r="F3292" s="92"/>
      <c r="G3292" s="85"/>
    </row>
    <row r="3293">
      <c r="A3293" s="84"/>
      <c r="B3293" s="85"/>
      <c r="C3293" s="85"/>
      <c r="F3293" s="92"/>
      <c r="G3293" s="85"/>
    </row>
    <row r="3294">
      <c r="A3294" s="84"/>
      <c r="B3294" s="85"/>
      <c r="C3294" s="85"/>
      <c r="F3294" s="92"/>
      <c r="G3294" s="85"/>
    </row>
    <row r="3295">
      <c r="A3295" s="84"/>
      <c r="B3295" s="85"/>
      <c r="C3295" s="85"/>
      <c r="F3295" s="92"/>
      <c r="G3295" s="85"/>
    </row>
    <row r="3296">
      <c r="A3296" s="84"/>
      <c r="B3296" s="85"/>
      <c r="C3296" s="85"/>
      <c r="F3296" s="92"/>
      <c r="G3296" s="85"/>
    </row>
    <row r="3297">
      <c r="A3297" s="84"/>
      <c r="B3297" s="85"/>
      <c r="C3297" s="85"/>
      <c r="F3297" s="92"/>
      <c r="G3297" s="85"/>
    </row>
    <row r="3298">
      <c r="A3298" s="84"/>
      <c r="B3298" s="85"/>
      <c r="C3298" s="85"/>
      <c r="F3298" s="92"/>
      <c r="G3298" s="85"/>
    </row>
    <row r="3299">
      <c r="A3299" s="84"/>
      <c r="B3299" s="85"/>
      <c r="C3299" s="85"/>
      <c r="F3299" s="92"/>
      <c r="G3299" s="85"/>
    </row>
    <row r="3300">
      <c r="A3300" s="84"/>
      <c r="B3300" s="85"/>
      <c r="C3300" s="85"/>
      <c r="F3300" s="92"/>
      <c r="G3300" s="85"/>
    </row>
    <row r="3301">
      <c r="A3301" s="84"/>
      <c r="B3301" s="85"/>
      <c r="C3301" s="85"/>
      <c r="F3301" s="92"/>
      <c r="G3301" s="85"/>
    </row>
    <row r="3302">
      <c r="A3302" s="84"/>
      <c r="B3302" s="85"/>
      <c r="C3302" s="85"/>
      <c r="F3302" s="92"/>
      <c r="G3302" s="85"/>
    </row>
    <row r="3303">
      <c r="A3303" s="84"/>
      <c r="B3303" s="85"/>
      <c r="C3303" s="85"/>
      <c r="F3303" s="92"/>
      <c r="G3303" s="85"/>
    </row>
    <row r="3304">
      <c r="A3304" s="84"/>
      <c r="B3304" s="85"/>
      <c r="C3304" s="85"/>
      <c r="F3304" s="92"/>
      <c r="G3304" s="85"/>
    </row>
    <row r="3305">
      <c r="A3305" s="84"/>
      <c r="B3305" s="85"/>
      <c r="C3305" s="85"/>
      <c r="F3305" s="92"/>
      <c r="G3305" s="85"/>
    </row>
    <row r="3306">
      <c r="A3306" s="84"/>
      <c r="B3306" s="85"/>
      <c r="C3306" s="85"/>
      <c r="F3306" s="92"/>
      <c r="G3306" s="85"/>
    </row>
    <row r="3307">
      <c r="A3307" s="84"/>
      <c r="B3307" s="85"/>
      <c r="C3307" s="85"/>
      <c r="F3307" s="92"/>
      <c r="G3307" s="85"/>
    </row>
    <row r="3308">
      <c r="A3308" s="84"/>
      <c r="B3308" s="85"/>
      <c r="C3308" s="85"/>
      <c r="F3308" s="92"/>
      <c r="G3308" s="85"/>
    </row>
    <row r="3309">
      <c r="A3309" s="84"/>
      <c r="B3309" s="85"/>
      <c r="C3309" s="85"/>
      <c r="F3309" s="92"/>
      <c r="G3309" s="85"/>
    </row>
    <row r="3310">
      <c r="A3310" s="84"/>
      <c r="B3310" s="85"/>
      <c r="C3310" s="85"/>
      <c r="F3310" s="92"/>
      <c r="G3310" s="85"/>
    </row>
    <row r="3311">
      <c r="A3311" s="84"/>
      <c r="B3311" s="85"/>
      <c r="C3311" s="85"/>
      <c r="F3311" s="92"/>
      <c r="G3311" s="85"/>
    </row>
    <row r="3312">
      <c r="A3312" s="84"/>
      <c r="B3312" s="85"/>
      <c r="C3312" s="85"/>
      <c r="F3312" s="92"/>
      <c r="G3312" s="85"/>
    </row>
    <row r="3313">
      <c r="A3313" s="84"/>
      <c r="B3313" s="85"/>
      <c r="C3313" s="85"/>
      <c r="F3313" s="92"/>
      <c r="G3313" s="85"/>
    </row>
    <row r="3314">
      <c r="A3314" s="84"/>
      <c r="B3314" s="85"/>
      <c r="C3314" s="85"/>
      <c r="F3314" s="92"/>
      <c r="G3314" s="85"/>
    </row>
    <row r="3315">
      <c r="A3315" s="84"/>
      <c r="B3315" s="85"/>
      <c r="C3315" s="85"/>
      <c r="F3315" s="92"/>
      <c r="G3315" s="85"/>
    </row>
    <row r="3316">
      <c r="A3316" s="84"/>
      <c r="B3316" s="85"/>
      <c r="C3316" s="85"/>
      <c r="F3316" s="92"/>
      <c r="G3316" s="85"/>
    </row>
    <row r="3317">
      <c r="A3317" s="84"/>
      <c r="B3317" s="85"/>
      <c r="C3317" s="85"/>
      <c r="F3317" s="92"/>
      <c r="G3317" s="85"/>
    </row>
    <row r="3318">
      <c r="A3318" s="84"/>
      <c r="B3318" s="85"/>
      <c r="C3318" s="85"/>
      <c r="F3318" s="92"/>
      <c r="G3318" s="85"/>
    </row>
    <row r="3319">
      <c r="A3319" s="84"/>
      <c r="B3319" s="85"/>
      <c r="C3319" s="85"/>
      <c r="F3319" s="92"/>
      <c r="G3319" s="85"/>
    </row>
    <row r="3320">
      <c r="A3320" s="84"/>
      <c r="B3320" s="85"/>
      <c r="C3320" s="85"/>
      <c r="F3320" s="92"/>
      <c r="G3320" s="85"/>
    </row>
    <row r="3321">
      <c r="A3321" s="84"/>
      <c r="B3321" s="85"/>
      <c r="C3321" s="85"/>
      <c r="F3321" s="92"/>
      <c r="G3321" s="85"/>
    </row>
    <row r="3322">
      <c r="A3322" s="84"/>
      <c r="B3322" s="85"/>
      <c r="C3322" s="85"/>
      <c r="F3322" s="92"/>
      <c r="G3322" s="85"/>
    </row>
    <row r="3323">
      <c r="A3323" s="84"/>
      <c r="B3323" s="85"/>
      <c r="C3323" s="85"/>
      <c r="F3323" s="92"/>
      <c r="G3323" s="85"/>
    </row>
    <row r="3324">
      <c r="A3324" s="84"/>
      <c r="B3324" s="85"/>
      <c r="C3324" s="85"/>
      <c r="F3324" s="92"/>
      <c r="G3324" s="85"/>
    </row>
    <row r="3325">
      <c r="A3325" s="84"/>
      <c r="B3325" s="85"/>
      <c r="C3325" s="85"/>
      <c r="F3325" s="92"/>
      <c r="G3325" s="85"/>
    </row>
    <row r="3326">
      <c r="A3326" s="84"/>
      <c r="B3326" s="85"/>
      <c r="C3326" s="85"/>
      <c r="F3326" s="92"/>
      <c r="G3326" s="85"/>
    </row>
    <row r="3327">
      <c r="A3327" s="84"/>
      <c r="B3327" s="85"/>
      <c r="C3327" s="85"/>
      <c r="F3327" s="92"/>
      <c r="G3327" s="85"/>
    </row>
    <row r="3328">
      <c r="A3328" s="84"/>
      <c r="B3328" s="85"/>
      <c r="C3328" s="85"/>
      <c r="F3328" s="92"/>
      <c r="G3328" s="85"/>
    </row>
    <row r="3329">
      <c r="A3329" s="84"/>
      <c r="B3329" s="85"/>
      <c r="C3329" s="85"/>
      <c r="F3329" s="92"/>
      <c r="G3329" s="85"/>
    </row>
    <row r="3330">
      <c r="A3330" s="84"/>
      <c r="B3330" s="85"/>
      <c r="C3330" s="85"/>
      <c r="F3330" s="92"/>
      <c r="G3330" s="85"/>
    </row>
    <row r="3331">
      <c r="A3331" s="84"/>
      <c r="B3331" s="85"/>
      <c r="C3331" s="85"/>
      <c r="F3331" s="92"/>
      <c r="G3331" s="85"/>
    </row>
    <row r="3332">
      <c r="A3332" s="84"/>
      <c r="B3332" s="85"/>
      <c r="C3332" s="85"/>
      <c r="F3332" s="92"/>
      <c r="G3332" s="85"/>
    </row>
    <row r="3333">
      <c r="A3333" s="84"/>
      <c r="B3333" s="85"/>
      <c r="C3333" s="85"/>
      <c r="F3333" s="92"/>
      <c r="G3333" s="85"/>
    </row>
    <row r="3334">
      <c r="A3334" s="84"/>
      <c r="B3334" s="85"/>
      <c r="C3334" s="85"/>
      <c r="F3334" s="92"/>
      <c r="G3334" s="85"/>
    </row>
    <row r="3335">
      <c r="A3335" s="84"/>
      <c r="B3335" s="85"/>
      <c r="C3335" s="85"/>
      <c r="F3335" s="92"/>
      <c r="G3335" s="85"/>
    </row>
    <row r="3336">
      <c r="A3336" s="84"/>
      <c r="B3336" s="85"/>
      <c r="C3336" s="85"/>
      <c r="F3336" s="92"/>
      <c r="G3336" s="85"/>
    </row>
    <row r="3337">
      <c r="A3337" s="84"/>
      <c r="B3337" s="85"/>
      <c r="C3337" s="85"/>
      <c r="F3337" s="92"/>
      <c r="G3337" s="85"/>
    </row>
    <row r="3338">
      <c r="A3338" s="84"/>
      <c r="B3338" s="85"/>
      <c r="C3338" s="85"/>
      <c r="F3338" s="92"/>
      <c r="G3338" s="85"/>
    </row>
    <row r="3339">
      <c r="A3339" s="84"/>
      <c r="B3339" s="85"/>
      <c r="C3339" s="85"/>
      <c r="F3339" s="92"/>
      <c r="G3339" s="85"/>
    </row>
    <row r="3340">
      <c r="A3340" s="84"/>
      <c r="B3340" s="85"/>
      <c r="C3340" s="85"/>
      <c r="F3340" s="92"/>
      <c r="G3340" s="85"/>
    </row>
    <row r="3341">
      <c r="A3341" s="84"/>
      <c r="B3341" s="85"/>
      <c r="C3341" s="85"/>
      <c r="F3341" s="92"/>
      <c r="G3341" s="85"/>
    </row>
    <row r="3342">
      <c r="A3342" s="84"/>
      <c r="B3342" s="85"/>
      <c r="C3342" s="85"/>
      <c r="F3342" s="92"/>
      <c r="G3342" s="85"/>
    </row>
    <row r="3343">
      <c r="A3343" s="84"/>
      <c r="B3343" s="85"/>
      <c r="C3343" s="85"/>
      <c r="F3343" s="92"/>
      <c r="G3343" s="85"/>
    </row>
    <row r="3344">
      <c r="A3344" s="84"/>
      <c r="B3344" s="85"/>
      <c r="C3344" s="85"/>
      <c r="F3344" s="92"/>
      <c r="G3344" s="85"/>
    </row>
    <row r="3345">
      <c r="A3345" s="84"/>
      <c r="B3345" s="85"/>
      <c r="C3345" s="85"/>
      <c r="F3345" s="92"/>
      <c r="G3345" s="85"/>
    </row>
    <row r="3346">
      <c r="A3346" s="84"/>
      <c r="B3346" s="85"/>
      <c r="C3346" s="85"/>
      <c r="F3346" s="92"/>
      <c r="G3346" s="85"/>
    </row>
    <row r="3347">
      <c r="A3347" s="84"/>
      <c r="B3347" s="85"/>
      <c r="C3347" s="85"/>
      <c r="F3347" s="92"/>
      <c r="G3347" s="85"/>
    </row>
    <row r="3348">
      <c r="A3348" s="84"/>
      <c r="B3348" s="85"/>
      <c r="C3348" s="85"/>
      <c r="F3348" s="92"/>
      <c r="G3348" s="85"/>
    </row>
    <row r="3349">
      <c r="A3349" s="84"/>
      <c r="B3349" s="85"/>
      <c r="C3349" s="85"/>
      <c r="F3349" s="92"/>
      <c r="G3349" s="85"/>
    </row>
    <row r="3350">
      <c r="A3350" s="84"/>
      <c r="B3350" s="85"/>
      <c r="C3350" s="85"/>
      <c r="F3350" s="92"/>
      <c r="G3350" s="85"/>
    </row>
    <row r="3351">
      <c r="A3351" s="84"/>
      <c r="B3351" s="85"/>
      <c r="C3351" s="85"/>
      <c r="F3351" s="92"/>
      <c r="G3351" s="85"/>
    </row>
    <row r="3352">
      <c r="A3352" s="84"/>
      <c r="B3352" s="85"/>
      <c r="C3352" s="85"/>
      <c r="F3352" s="92"/>
      <c r="G3352" s="85"/>
    </row>
    <row r="3353">
      <c r="A3353" s="84"/>
      <c r="B3353" s="85"/>
      <c r="C3353" s="85"/>
      <c r="F3353" s="92"/>
      <c r="G3353" s="85"/>
    </row>
    <row r="3354">
      <c r="A3354" s="84"/>
      <c r="B3354" s="85"/>
      <c r="C3354" s="85"/>
      <c r="F3354" s="92"/>
      <c r="G3354" s="85"/>
    </row>
    <row r="3355">
      <c r="A3355" s="84"/>
      <c r="B3355" s="85"/>
      <c r="C3355" s="85"/>
      <c r="F3355" s="92"/>
      <c r="G3355" s="85"/>
    </row>
    <row r="3356">
      <c r="A3356" s="84"/>
      <c r="B3356" s="85"/>
      <c r="C3356" s="85"/>
      <c r="F3356" s="92"/>
      <c r="G3356" s="85"/>
    </row>
    <row r="3357">
      <c r="A3357" s="84"/>
      <c r="B3357" s="85"/>
      <c r="C3357" s="85"/>
      <c r="F3357" s="92"/>
      <c r="G3357" s="85"/>
    </row>
    <row r="3358">
      <c r="A3358" s="84"/>
      <c r="B3358" s="85"/>
      <c r="C3358" s="85"/>
      <c r="F3358" s="92"/>
      <c r="G3358" s="85"/>
    </row>
    <row r="3359">
      <c r="A3359" s="84"/>
      <c r="B3359" s="85"/>
      <c r="C3359" s="85"/>
      <c r="F3359" s="92"/>
      <c r="G3359" s="85"/>
    </row>
    <row r="3360">
      <c r="A3360" s="84"/>
      <c r="B3360" s="85"/>
      <c r="C3360" s="85"/>
      <c r="F3360" s="92"/>
      <c r="G3360" s="85"/>
    </row>
    <row r="3361">
      <c r="A3361" s="84"/>
      <c r="B3361" s="85"/>
      <c r="C3361" s="85"/>
      <c r="F3361" s="92"/>
      <c r="G3361" s="85"/>
    </row>
    <row r="3362">
      <c r="A3362" s="84"/>
      <c r="B3362" s="85"/>
      <c r="C3362" s="85"/>
      <c r="F3362" s="92"/>
      <c r="G3362" s="85"/>
    </row>
    <row r="3363">
      <c r="A3363" s="84"/>
      <c r="B3363" s="85"/>
      <c r="C3363" s="85"/>
      <c r="F3363" s="92"/>
      <c r="G3363" s="85"/>
    </row>
    <row r="3364">
      <c r="A3364" s="84"/>
      <c r="B3364" s="85"/>
      <c r="C3364" s="85"/>
      <c r="F3364" s="92"/>
      <c r="G3364" s="85"/>
    </row>
    <row r="3365">
      <c r="A3365" s="84"/>
      <c r="B3365" s="85"/>
      <c r="C3365" s="85"/>
      <c r="F3365" s="92"/>
      <c r="G3365" s="85"/>
    </row>
    <row r="3366">
      <c r="A3366" s="84"/>
      <c r="B3366" s="85"/>
      <c r="C3366" s="85"/>
      <c r="F3366" s="92"/>
      <c r="G3366" s="85"/>
    </row>
    <row r="3367">
      <c r="A3367" s="84"/>
      <c r="B3367" s="85"/>
      <c r="C3367" s="85"/>
      <c r="F3367" s="92"/>
      <c r="G3367" s="85"/>
    </row>
    <row r="3368">
      <c r="A3368" s="84"/>
      <c r="B3368" s="85"/>
      <c r="C3368" s="85"/>
      <c r="F3368" s="92"/>
      <c r="G3368" s="85"/>
    </row>
    <row r="3369">
      <c r="A3369" s="84"/>
      <c r="B3369" s="85"/>
      <c r="C3369" s="85"/>
      <c r="F3369" s="92"/>
      <c r="G3369" s="85"/>
    </row>
    <row r="3370">
      <c r="A3370" s="84"/>
      <c r="B3370" s="85"/>
      <c r="C3370" s="85"/>
      <c r="F3370" s="92"/>
      <c r="G3370" s="85"/>
    </row>
    <row r="3371">
      <c r="A3371" s="84"/>
      <c r="B3371" s="85"/>
      <c r="C3371" s="85"/>
      <c r="F3371" s="92"/>
      <c r="G3371" s="85"/>
    </row>
    <row r="3372">
      <c r="A3372" s="84"/>
      <c r="B3372" s="85"/>
      <c r="C3372" s="85"/>
      <c r="F3372" s="92"/>
      <c r="G3372" s="85"/>
    </row>
    <row r="3373">
      <c r="A3373" s="84"/>
      <c r="B3373" s="85"/>
      <c r="C3373" s="85"/>
      <c r="F3373" s="92"/>
      <c r="G3373" s="85"/>
    </row>
    <row r="3374">
      <c r="A3374" s="84"/>
      <c r="B3374" s="85"/>
      <c r="C3374" s="85"/>
      <c r="F3374" s="92"/>
      <c r="G3374" s="85"/>
    </row>
    <row r="3375">
      <c r="A3375" s="84"/>
      <c r="B3375" s="85"/>
      <c r="C3375" s="85"/>
      <c r="F3375" s="92"/>
      <c r="G3375" s="85"/>
    </row>
    <row r="3376">
      <c r="A3376" s="84"/>
      <c r="B3376" s="85"/>
      <c r="C3376" s="85"/>
      <c r="F3376" s="92"/>
      <c r="G3376" s="85"/>
    </row>
    <row r="3377">
      <c r="A3377" s="84"/>
      <c r="B3377" s="85"/>
      <c r="C3377" s="85"/>
      <c r="F3377" s="92"/>
      <c r="G3377" s="85"/>
    </row>
    <row r="3378">
      <c r="A3378" s="84"/>
      <c r="B3378" s="85"/>
      <c r="C3378" s="85"/>
      <c r="F3378" s="92"/>
      <c r="G3378" s="85"/>
    </row>
    <row r="3379">
      <c r="A3379" s="84"/>
      <c r="B3379" s="85"/>
      <c r="C3379" s="85"/>
      <c r="F3379" s="92"/>
      <c r="G3379" s="85"/>
    </row>
    <row r="3380">
      <c r="A3380" s="84"/>
      <c r="B3380" s="85"/>
      <c r="C3380" s="85"/>
      <c r="F3380" s="92"/>
      <c r="G3380" s="85"/>
    </row>
    <row r="3381">
      <c r="A3381" s="84"/>
      <c r="B3381" s="85"/>
      <c r="C3381" s="85"/>
      <c r="F3381" s="92"/>
      <c r="G3381" s="85"/>
    </row>
    <row r="3382">
      <c r="A3382" s="84"/>
      <c r="B3382" s="85"/>
      <c r="C3382" s="85"/>
      <c r="F3382" s="92"/>
      <c r="G3382" s="85"/>
    </row>
    <row r="3383">
      <c r="A3383" s="84"/>
      <c r="B3383" s="85"/>
      <c r="C3383" s="85"/>
      <c r="F3383" s="92"/>
      <c r="G3383" s="85"/>
    </row>
    <row r="3384">
      <c r="A3384" s="84"/>
      <c r="B3384" s="85"/>
      <c r="C3384" s="85"/>
      <c r="F3384" s="92"/>
      <c r="G3384" s="85"/>
    </row>
    <row r="3385">
      <c r="A3385" s="84"/>
      <c r="B3385" s="85"/>
      <c r="C3385" s="85"/>
      <c r="F3385" s="92"/>
      <c r="G3385" s="85"/>
    </row>
    <row r="3386">
      <c r="A3386" s="84"/>
      <c r="B3386" s="85"/>
      <c r="C3386" s="85"/>
      <c r="F3386" s="92"/>
      <c r="G3386" s="85"/>
    </row>
    <row r="3387">
      <c r="A3387" s="84"/>
      <c r="B3387" s="85"/>
      <c r="C3387" s="85"/>
      <c r="F3387" s="92"/>
      <c r="G3387" s="85"/>
    </row>
    <row r="3388">
      <c r="A3388" s="84"/>
      <c r="B3388" s="85"/>
      <c r="C3388" s="85"/>
      <c r="F3388" s="92"/>
      <c r="G3388" s="85"/>
    </row>
    <row r="3389">
      <c r="A3389" s="84"/>
      <c r="B3389" s="85"/>
      <c r="C3389" s="85"/>
      <c r="F3389" s="92"/>
      <c r="G3389" s="85"/>
    </row>
    <row r="3390">
      <c r="A3390" s="84"/>
      <c r="B3390" s="85"/>
      <c r="C3390" s="85"/>
      <c r="F3390" s="92"/>
      <c r="G3390" s="85"/>
    </row>
    <row r="3391">
      <c r="A3391" s="84"/>
      <c r="B3391" s="85"/>
      <c r="C3391" s="85"/>
      <c r="F3391" s="92"/>
      <c r="G3391" s="85"/>
    </row>
    <row r="3392">
      <c r="A3392" s="84"/>
      <c r="B3392" s="85"/>
      <c r="C3392" s="85"/>
      <c r="F3392" s="92"/>
      <c r="G3392" s="85"/>
    </row>
    <row r="3393">
      <c r="A3393" s="84"/>
      <c r="B3393" s="85"/>
      <c r="C3393" s="85"/>
      <c r="F3393" s="92"/>
      <c r="G3393" s="85"/>
    </row>
    <row r="3394">
      <c r="A3394" s="84"/>
      <c r="B3394" s="85"/>
      <c r="C3394" s="85"/>
      <c r="F3394" s="92"/>
      <c r="G3394" s="85"/>
    </row>
    <row r="3395">
      <c r="A3395" s="84"/>
      <c r="B3395" s="85"/>
      <c r="C3395" s="85"/>
      <c r="F3395" s="92"/>
      <c r="G3395" s="85"/>
    </row>
    <row r="3396">
      <c r="A3396" s="84"/>
      <c r="B3396" s="85"/>
      <c r="C3396" s="85"/>
      <c r="F3396" s="92"/>
      <c r="G3396" s="85"/>
    </row>
    <row r="3397">
      <c r="A3397" s="84"/>
      <c r="B3397" s="85"/>
      <c r="C3397" s="85"/>
      <c r="F3397" s="92"/>
      <c r="G3397" s="85"/>
    </row>
    <row r="3398">
      <c r="A3398" s="84"/>
      <c r="B3398" s="85"/>
      <c r="C3398" s="85"/>
      <c r="F3398" s="92"/>
      <c r="G3398" s="85"/>
    </row>
    <row r="3399">
      <c r="A3399" s="84"/>
      <c r="B3399" s="85"/>
      <c r="C3399" s="85"/>
      <c r="F3399" s="92"/>
      <c r="G3399" s="85"/>
    </row>
    <row r="3400">
      <c r="A3400" s="84"/>
      <c r="B3400" s="85"/>
      <c r="C3400" s="85"/>
      <c r="F3400" s="92"/>
      <c r="G3400" s="85"/>
    </row>
    <row r="3401">
      <c r="A3401" s="84"/>
      <c r="B3401" s="85"/>
      <c r="C3401" s="85"/>
      <c r="F3401" s="92"/>
      <c r="G3401" s="85"/>
    </row>
    <row r="3402">
      <c r="A3402" s="84"/>
      <c r="B3402" s="85"/>
      <c r="C3402" s="85"/>
      <c r="F3402" s="92"/>
      <c r="G3402" s="85"/>
    </row>
    <row r="3403">
      <c r="A3403" s="84"/>
      <c r="B3403" s="85"/>
      <c r="C3403" s="85"/>
      <c r="F3403" s="92"/>
      <c r="G3403" s="85"/>
    </row>
    <row r="3404">
      <c r="A3404" s="84"/>
      <c r="B3404" s="85"/>
      <c r="C3404" s="85"/>
      <c r="F3404" s="92"/>
      <c r="G3404" s="85"/>
    </row>
    <row r="3405">
      <c r="A3405" s="84"/>
      <c r="B3405" s="85"/>
      <c r="C3405" s="85"/>
      <c r="F3405" s="92"/>
      <c r="G3405" s="85"/>
    </row>
    <row r="3406">
      <c r="A3406" s="84"/>
      <c r="B3406" s="85"/>
      <c r="C3406" s="85"/>
      <c r="F3406" s="92"/>
      <c r="G3406" s="85"/>
    </row>
    <row r="3407">
      <c r="A3407" s="84"/>
      <c r="B3407" s="85"/>
      <c r="C3407" s="85"/>
      <c r="F3407" s="92"/>
      <c r="G3407" s="85"/>
    </row>
    <row r="3408">
      <c r="A3408" s="84"/>
      <c r="B3408" s="85"/>
      <c r="C3408" s="85"/>
      <c r="F3408" s="92"/>
      <c r="G3408" s="85"/>
    </row>
    <row r="3409">
      <c r="A3409" s="84"/>
      <c r="B3409" s="85"/>
      <c r="C3409" s="85"/>
      <c r="F3409" s="92"/>
      <c r="G3409" s="85"/>
    </row>
    <row r="3410">
      <c r="A3410" s="84"/>
      <c r="B3410" s="85"/>
      <c r="C3410" s="85"/>
      <c r="F3410" s="92"/>
      <c r="G3410" s="85"/>
    </row>
    <row r="3411">
      <c r="A3411" s="84"/>
      <c r="B3411" s="85"/>
      <c r="C3411" s="85"/>
      <c r="F3411" s="92"/>
      <c r="G3411" s="85"/>
    </row>
    <row r="3412">
      <c r="A3412" s="84"/>
      <c r="B3412" s="85"/>
      <c r="C3412" s="85"/>
      <c r="F3412" s="92"/>
      <c r="G3412" s="85"/>
    </row>
    <row r="3413">
      <c r="A3413" s="84"/>
      <c r="B3413" s="85"/>
      <c r="C3413" s="85"/>
      <c r="F3413" s="92"/>
      <c r="G3413" s="85"/>
    </row>
    <row r="3414">
      <c r="A3414" s="84"/>
      <c r="B3414" s="85"/>
      <c r="C3414" s="85"/>
      <c r="F3414" s="92"/>
      <c r="G3414" s="85"/>
    </row>
    <row r="3415">
      <c r="A3415" s="84"/>
      <c r="B3415" s="85"/>
      <c r="C3415" s="85"/>
      <c r="F3415" s="92"/>
      <c r="G3415" s="85"/>
    </row>
    <row r="3416">
      <c r="A3416" s="84"/>
      <c r="B3416" s="85"/>
      <c r="C3416" s="85"/>
      <c r="F3416" s="92"/>
      <c r="G3416" s="85"/>
    </row>
    <row r="3417">
      <c r="A3417" s="84"/>
      <c r="B3417" s="85"/>
      <c r="C3417" s="85"/>
      <c r="F3417" s="92"/>
      <c r="G3417" s="85"/>
    </row>
    <row r="3418">
      <c r="A3418" s="84"/>
      <c r="B3418" s="85"/>
      <c r="C3418" s="85"/>
      <c r="F3418" s="92"/>
      <c r="G3418" s="85"/>
    </row>
    <row r="3419">
      <c r="A3419" s="84"/>
      <c r="B3419" s="85"/>
      <c r="C3419" s="85"/>
      <c r="F3419" s="92"/>
      <c r="G3419" s="85"/>
    </row>
    <row r="3420">
      <c r="A3420" s="84"/>
      <c r="B3420" s="85"/>
      <c r="C3420" s="85"/>
      <c r="F3420" s="92"/>
      <c r="G3420" s="85"/>
    </row>
    <row r="3421">
      <c r="A3421" s="84"/>
      <c r="B3421" s="85"/>
      <c r="C3421" s="85"/>
      <c r="F3421" s="92"/>
      <c r="G3421" s="85"/>
    </row>
    <row r="3422">
      <c r="A3422" s="84"/>
      <c r="B3422" s="85"/>
      <c r="C3422" s="85"/>
      <c r="F3422" s="92"/>
      <c r="G3422" s="85"/>
    </row>
    <row r="3423">
      <c r="A3423" s="84"/>
      <c r="B3423" s="85"/>
      <c r="C3423" s="85"/>
      <c r="F3423" s="92"/>
      <c r="G3423" s="85"/>
    </row>
    <row r="3424">
      <c r="A3424" s="84"/>
      <c r="B3424" s="85"/>
      <c r="C3424" s="85"/>
      <c r="F3424" s="92"/>
      <c r="G3424" s="85"/>
    </row>
    <row r="3425">
      <c r="A3425" s="84"/>
      <c r="B3425" s="85"/>
      <c r="C3425" s="85"/>
      <c r="F3425" s="92"/>
      <c r="G3425" s="85"/>
    </row>
    <row r="3426">
      <c r="A3426" s="84"/>
      <c r="B3426" s="85"/>
      <c r="C3426" s="85"/>
      <c r="F3426" s="92"/>
      <c r="G3426" s="85"/>
    </row>
    <row r="3427">
      <c r="A3427" s="84"/>
      <c r="B3427" s="85"/>
      <c r="C3427" s="85"/>
      <c r="F3427" s="92"/>
      <c r="G3427" s="85"/>
    </row>
    <row r="3428">
      <c r="A3428" s="84"/>
      <c r="B3428" s="85"/>
      <c r="C3428" s="85"/>
      <c r="F3428" s="92"/>
      <c r="G3428" s="85"/>
    </row>
    <row r="3429">
      <c r="A3429" s="84"/>
      <c r="B3429" s="85"/>
      <c r="C3429" s="85"/>
      <c r="F3429" s="92"/>
      <c r="G3429" s="85"/>
    </row>
    <row r="3430">
      <c r="A3430" s="84"/>
      <c r="B3430" s="85"/>
      <c r="C3430" s="85"/>
      <c r="F3430" s="92"/>
      <c r="G3430" s="85"/>
    </row>
    <row r="3431">
      <c r="A3431" s="84"/>
      <c r="B3431" s="85"/>
      <c r="C3431" s="85"/>
      <c r="F3431" s="92"/>
      <c r="G3431" s="85"/>
    </row>
    <row r="3432">
      <c r="A3432" s="84"/>
      <c r="B3432" s="85"/>
      <c r="C3432" s="85"/>
      <c r="F3432" s="92"/>
      <c r="G3432" s="85"/>
    </row>
    <row r="3433">
      <c r="A3433" s="84"/>
      <c r="B3433" s="85"/>
      <c r="C3433" s="85"/>
      <c r="F3433" s="92"/>
      <c r="G3433" s="85"/>
    </row>
    <row r="3434">
      <c r="A3434" s="84"/>
      <c r="B3434" s="85"/>
      <c r="C3434" s="85"/>
      <c r="F3434" s="92"/>
      <c r="G3434" s="85"/>
    </row>
    <row r="3435">
      <c r="A3435" s="84"/>
      <c r="B3435" s="85"/>
      <c r="C3435" s="85"/>
      <c r="F3435" s="92"/>
      <c r="G3435" s="85"/>
    </row>
    <row r="3436">
      <c r="A3436" s="84"/>
      <c r="B3436" s="85"/>
      <c r="C3436" s="85"/>
      <c r="F3436" s="92"/>
      <c r="G3436" s="85"/>
    </row>
    <row r="3437">
      <c r="A3437" s="84"/>
      <c r="B3437" s="85"/>
      <c r="C3437" s="85"/>
      <c r="F3437" s="92"/>
      <c r="G3437" s="85"/>
    </row>
    <row r="3438">
      <c r="A3438" s="84"/>
      <c r="B3438" s="85"/>
      <c r="C3438" s="85"/>
      <c r="F3438" s="92"/>
      <c r="G3438" s="85"/>
    </row>
    <row r="3439">
      <c r="A3439" s="84"/>
      <c r="B3439" s="85"/>
      <c r="C3439" s="85"/>
      <c r="F3439" s="92"/>
      <c r="G3439" s="85"/>
    </row>
    <row r="3440">
      <c r="A3440" s="84"/>
      <c r="B3440" s="85"/>
      <c r="C3440" s="85"/>
      <c r="F3440" s="92"/>
      <c r="G3440" s="85"/>
    </row>
    <row r="3441">
      <c r="A3441" s="84"/>
      <c r="B3441" s="85"/>
      <c r="C3441" s="85"/>
      <c r="F3441" s="92"/>
      <c r="G3441" s="85"/>
    </row>
    <row r="3442">
      <c r="A3442" s="84"/>
      <c r="B3442" s="85"/>
      <c r="C3442" s="85"/>
      <c r="F3442" s="92"/>
      <c r="G3442" s="85"/>
    </row>
    <row r="3443">
      <c r="A3443" s="84"/>
      <c r="B3443" s="85"/>
      <c r="C3443" s="85"/>
      <c r="F3443" s="92"/>
      <c r="G3443" s="85"/>
    </row>
    <row r="3444">
      <c r="A3444" s="84"/>
      <c r="B3444" s="85"/>
      <c r="C3444" s="85"/>
      <c r="F3444" s="92"/>
      <c r="G3444" s="85"/>
    </row>
    <row r="3445">
      <c r="A3445" s="84"/>
      <c r="B3445" s="85"/>
      <c r="C3445" s="85"/>
      <c r="F3445" s="92"/>
      <c r="G3445" s="85"/>
    </row>
    <row r="3446">
      <c r="A3446" s="84"/>
      <c r="B3446" s="85"/>
      <c r="C3446" s="85"/>
      <c r="F3446" s="92"/>
      <c r="G3446" s="85"/>
    </row>
    <row r="3447">
      <c r="A3447" s="84"/>
      <c r="B3447" s="85"/>
      <c r="C3447" s="85"/>
      <c r="F3447" s="92"/>
      <c r="G3447" s="85"/>
    </row>
    <row r="3448">
      <c r="A3448" s="84"/>
      <c r="B3448" s="85"/>
      <c r="C3448" s="85"/>
      <c r="F3448" s="92"/>
      <c r="G3448" s="85"/>
    </row>
    <row r="3449">
      <c r="A3449" s="84"/>
      <c r="B3449" s="85"/>
      <c r="C3449" s="85"/>
      <c r="F3449" s="92"/>
      <c r="G3449" s="85"/>
    </row>
    <row r="3450">
      <c r="A3450" s="84"/>
      <c r="B3450" s="85"/>
      <c r="C3450" s="85"/>
      <c r="F3450" s="92"/>
      <c r="G3450" s="85"/>
    </row>
    <row r="3451">
      <c r="A3451" s="84"/>
      <c r="B3451" s="85"/>
      <c r="C3451" s="85"/>
      <c r="F3451" s="92"/>
      <c r="G3451" s="85"/>
    </row>
    <row r="3452">
      <c r="A3452" s="84"/>
      <c r="B3452" s="85"/>
      <c r="C3452" s="85"/>
      <c r="F3452" s="92"/>
      <c r="G3452" s="85"/>
    </row>
    <row r="3453">
      <c r="A3453" s="84"/>
      <c r="B3453" s="85"/>
      <c r="C3453" s="85"/>
      <c r="F3453" s="92"/>
      <c r="G3453" s="85"/>
    </row>
    <row r="3454">
      <c r="A3454" s="84"/>
      <c r="B3454" s="85"/>
      <c r="C3454" s="85"/>
      <c r="F3454" s="92"/>
      <c r="G3454" s="85"/>
    </row>
    <row r="3455">
      <c r="A3455" s="84"/>
      <c r="B3455" s="85"/>
      <c r="C3455" s="85"/>
      <c r="F3455" s="92"/>
      <c r="G3455" s="85"/>
    </row>
    <row r="3456">
      <c r="A3456" s="84"/>
      <c r="B3456" s="85"/>
      <c r="C3456" s="85"/>
      <c r="F3456" s="92"/>
      <c r="G3456" s="85"/>
    </row>
    <row r="3457">
      <c r="A3457" s="84"/>
      <c r="B3457" s="85"/>
      <c r="C3457" s="85"/>
      <c r="F3457" s="92"/>
      <c r="G3457" s="85"/>
    </row>
    <row r="3458">
      <c r="A3458" s="84"/>
      <c r="B3458" s="85"/>
      <c r="C3458" s="85"/>
      <c r="F3458" s="92"/>
      <c r="G3458" s="85"/>
    </row>
    <row r="3459">
      <c r="A3459" s="84"/>
      <c r="B3459" s="85"/>
      <c r="C3459" s="85"/>
      <c r="F3459" s="92"/>
      <c r="G3459" s="85"/>
    </row>
    <row r="3460">
      <c r="A3460" s="84"/>
      <c r="B3460" s="85"/>
      <c r="C3460" s="85"/>
      <c r="F3460" s="92"/>
      <c r="G3460" s="85"/>
    </row>
    <row r="3461">
      <c r="A3461" s="84"/>
      <c r="B3461" s="85"/>
      <c r="C3461" s="85"/>
      <c r="F3461" s="92"/>
      <c r="G3461" s="85"/>
    </row>
    <row r="3462">
      <c r="A3462" s="84"/>
      <c r="B3462" s="85"/>
      <c r="C3462" s="85"/>
      <c r="F3462" s="92"/>
      <c r="G3462" s="85"/>
    </row>
    <row r="3463">
      <c r="A3463" s="84"/>
      <c r="B3463" s="85"/>
      <c r="C3463" s="85"/>
      <c r="F3463" s="92"/>
      <c r="G3463" s="85"/>
    </row>
    <row r="3464">
      <c r="A3464" s="84"/>
      <c r="B3464" s="85"/>
      <c r="C3464" s="85"/>
      <c r="F3464" s="92"/>
      <c r="G3464" s="85"/>
    </row>
    <row r="3465">
      <c r="A3465" s="84"/>
      <c r="B3465" s="85"/>
      <c r="C3465" s="85"/>
      <c r="F3465" s="92"/>
      <c r="G3465" s="85"/>
    </row>
    <row r="3466">
      <c r="A3466" s="84"/>
      <c r="B3466" s="85"/>
      <c r="C3466" s="85"/>
      <c r="F3466" s="92"/>
      <c r="G3466" s="85"/>
    </row>
    <row r="3467">
      <c r="A3467" s="84"/>
      <c r="B3467" s="85"/>
      <c r="C3467" s="85"/>
      <c r="F3467" s="92"/>
      <c r="G3467" s="85"/>
    </row>
    <row r="3468">
      <c r="A3468" s="84"/>
      <c r="B3468" s="85"/>
      <c r="C3468" s="85"/>
      <c r="F3468" s="92"/>
      <c r="G3468" s="85"/>
    </row>
    <row r="3469">
      <c r="A3469" s="84"/>
      <c r="B3469" s="85"/>
      <c r="C3469" s="85"/>
      <c r="F3469" s="92"/>
      <c r="G3469" s="85"/>
    </row>
    <row r="3470">
      <c r="A3470" s="84"/>
      <c r="B3470" s="85"/>
      <c r="C3470" s="85"/>
      <c r="F3470" s="92"/>
      <c r="G3470" s="85"/>
    </row>
    <row r="3471">
      <c r="A3471" s="84"/>
      <c r="B3471" s="85"/>
      <c r="C3471" s="85"/>
      <c r="F3471" s="92"/>
      <c r="G3471" s="85"/>
    </row>
    <row r="3472">
      <c r="A3472" s="84"/>
      <c r="B3472" s="85"/>
      <c r="C3472" s="85"/>
      <c r="F3472" s="92"/>
      <c r="G3472" s="85"/>
    </row>
    <row r="3473">
      <c r="A3473" s="84"/>
      <c r="B3473" s="85"/>
      <c r="C3473" s="85"/>
      <c r="F3473" s="92"/>
      <c r="G3473" s="85"/>
    </row>
    <row r="3474">
      <c r="A3474" s="84"/>
      <c r="B3474" s="85"/>
      <c r="C3474" s="85"/>
      <c r="F3474" s="92"/>
      <c r="G3474" s="85"/>
    </row>
    <row r="3475">
      <c r="A3475" s="84"/>
      <c r="B3475" s="85"/>
      <c r="C3475" s="85"/>
      <c r="F3475" s="92"/>
      <c r="G3475" s="85"/>
    </row>
    <row r="3476">
      <c r="A3476" s="84"/>
      <c r="B3476" s="85"/>
      <c r="C3476" s="85"/>
      <c r="F3476" s="92"/>
      <c r="G3476" s="85"/>
    </row>
    <row r="3477">
      <c r="A3477" s="84"/>
      <c r="B3477" s="85"/>
      <c r="C3477" s="85"/>
      <c r="F3477" s="92"/>
      <c r="G3477" s="85"/>
    </row>
    <row r="3478">
      <c r="A3478" s="84"/>
      <c r="B3478" s="85"/>
      <c r="C3478" s="85"/>
      <c r="F3478" s="92"/>
      <c r="G3478" s="85"/>
    </row>
    <row r="3479">
      <c r="A3479" s="84"/>
      <c r="B3479" s="85"/>
      <c r="C3479" s="85"/>
      <c r="F3479" s="92"/>
      <c r="G3479" s="85"/>
    </row>
    <row r="3480">
      <c r="A3480" s="84"/>
      <c r="B3480" s="85"/>
      <c r="C3480" s="85"/>
      <c r="F3480" s="92"/>
      <c r="G3480" s="85"/>
    </row>
    <row r="3481">
      <c r="A3481" s="84"/>
      <c r="B3481" s="85"/>
      <c r="C3481" s="85"/>
      <c r="F3481" s="92"/>
      <c r="G3481" s="85"/>
    </row>
    <row r="3482">
      <c r="A3482" s="84"/>
      <c r="B3482" s="85"/>
      <c r="C3482" s="85"/>
      <c r="F3482" s="92"/>
      <c r="G3482" s="85"/>
    </row>
    <row r="3483">
      <c r="A3483" s="84"/>
      <c r="B3483" s="85"/>
      <c r="C3483" s="85"/>
      <c r="F3483" s="92"/>
      <c r="G3483" s="85"/>
    </row>
    <row r="3484">
      <c r="A3484" s="84"/>
      <c r="B3484" s="85"/>
      <c r="C3484" s="85"/>
      <c r="F3484" s="92"/>
      <c r="G3484" s="85"/>
    </row>
    <row r="3485">
      <c r="A3485" s="84"/>
      <c r="B3485" s="85"/>
      <c r="C3485" s="85"/>
      <c r="F3485" s="92"/>
      <c r="G3485" s="85"/>
    </row>
    <row r="3486">
      <c r="A3486" s="84"/>
      <c r="B3486" s="85"/>
      <c r="C3486" s="85"/>
      <c r="F3486" s="92"/>
      <c r="G3486" s="85"/>
    </row>
    <row r="3487">
      <c r="A3487" s="84"/>
      <c r="B3487" s="85"/>
      <c r="C3487" s="85"/>
      <c r="F3487" s="92"/>
      <c r="G3487" s="85"/>
    </row>
    <row r="3488">
      <c r="A3488" s="84"/>
      <c r="B3488" s="85"/>
      <c r="C3488" s="85"/>
      <c r="F3488" s="92"/>
      <c r="G3488" s="85"/>
    </row>
    <row r="3489">
      <c r="A3489" s="84"/>
      <c r="B3489" s="85"/>
      <c r="C3489" s="85"/>
      <c r="F3489" s="92"/>
      <c r="G3489" s="85"/>
    </row>
    <row r="3490">
      <c r="A3490" s="84"/>
      <c r="B3490" s="85"/>
      <c r="C3490" s="85"/>
      <c r="F3490" s="92"/>
      <c r="G3490" s="85"/>
    </row>
    <row r="3491">
      <c r="A3491" s="84"/>
      <c r="B3491" s="85"/>
      <c r="C3491" s="85"/>
      <c r="F3491" s="92"/>
      <c r="G3491" s="85"/>
    </row>
    <row r="3492">
      <c r="A3492" s="84"/>
      <c r="B3492" s="85"/>
      <c r="C3492" s="85"/>
      <c r="F3492" s="92"/>
      <c r="G3492" s="85"/>
    </row>
    <row r="3493">
      <c r="A3493" s="84"/>
      <c r="B3493" s="85"/>
      <c r="C3493" s="85"/>
      <c r="F3493" s="92"/>
      <c r="G3493" s="85"/>
    </row>
    <row r="3494">
      <c r="A3494" s="84"/>
      <c r="B3494" s="85"/>
      <c r="C3494" s="85"/>
      <c r="F3494" s="92"/>
      <c r="G3494" s="85"/>
    </row>
    <row r="3495">
      <c r="A3495" s="84"/>
      <c r="B3495" s="85"/>
      <c r="C3495" s="85"/>
      <c r="F3495" s="92"/>
      <c r="G3495" s="85"/>
    </row>
    <row r="3496">
      <c r="A3496" s="84"/>
      <c r="B3496" s="85"/>
      <c r="C3496" s="85"/>
      <c r="F3496" s="92"/>
      <c r="G3496" s="85"/>
    </row>
    <row r="3497">
      <c r="A3497" s="84"/>
      <c r="B3497" s="85"/>
      <c r="C3497" s="85"/>
      <c r="F3497" s="92"/>
      <c r="G3497" s="85"/>
    </row>
    <row r="3498">
      <c r="A3498" s="84"/>
      <c r="B3498" s="85"/>
      <c r="C3498" s="85"/>
      <c r="F3498" s="92"/>
      <c r="G3498" s="85"/>
    </row>
    <row r="3499">
      <c r="A3499" s="84"/>
      <c r="B3499" s="85"/>
      <c r="C3499" s="85"/>
      <c r="F3499" s="92"/>
      <c r="G3499" s="85"/>
    </row>
    <row r="3500">
      <c r="A3500" s="84"/>
      <c r="B3500" s="85"/>
      <c r="C3500" s="85"/>
      <c r="F3500" s="92"/>
      <c r="G3500" s="85"/>
    </row>
    <row r="3501">
      <c r="A3501" s="84"/>
      <c r="B3501" s="85"/>
      <c r="C3501" s="85"/>
      <c r="F3501" s="92"/>
      <c r="G3501" s="85"/>
    </row>
    <row r="3502">
      <c r="A3502" s="84"/>
      <c r="B3502" s="85"/>
      <c r="C3502" s="85"/>
      <c r="F3502" s="92"/>
      <c r="G3502" s="85"/>
    </row>
    <row r="3503">
      <c r="A3503" s="84"/>
      <c r="B3503" s="85"/>
      <c r="C3503" s="85"/>
      <c r="F3503" s="92"/>
      <c r="G3503" s="85"/>
    </row>
    <row r="3504">
      <c r="A3504" s="84"/>
      <c r="B3504" s="85"/>
      <c r="C3504" s="85"/>
      <c r="F3504" s="92"/>
      <c r="G3504" s="85"/>
    </row>
    <row r="3505">
      <c r="A3505" s="84"/>
      <c r="B3505" s="85"/>
      <c r="C3505" s="85"/>
      <c r="F3505" s="92"/>
      <c r="G3505" s="85"/>
    </row>
    <row r="3506">
      <c r="A3506" s="84"/>
      <c r="B3506" s="85"/>
      <c r="C3506" s="85"/>
      <c r="F3506" s="92"/>
      <c r="G3506" s="85"/>
    </row>
    <row r="3507">
      <c r="A3507" s="84"/>
      <c r="B3507" s="85"/>
      <c r="C3507" s="85"/>
      <c r="F3507" s="92"/>
      <c r="G3507" s="85"/>
    </row>
    <row r="3508">
      <c r="A3508" s="84"/>
      <c r="B3508" s="85"/>
      <c r="C3508" s="85"/>
      <c r="F3508" s="92"/>
      <c r="G3508" s="85"/>
    </row>
    <row r="3509">
      <c r="A3509" s="84"/>
      <c r="B3509" s="85"/>
      <c r="C3509" s="85"/>
      <c r="F3509" s="92"/>
      <c r="G3509" s="85"/>
    </row>
    <row r="3510">
      <c r="A3510" s="84"/>
      <c r="B3510" s="85"/>
      <c r="C3510" s="85"/>
      <c r="F3510" s="92"/>
      <c r="G3510" s="85"/>
    </row>
    <row r="3511">
      <c r="A3511" s="84"/>
      <c r="B3511" s="85"/>
      <c r="C3511" s="85"/>
      <c r="F3511" s="92"/>
      <c r="G3511" s="85"/>
    </row>
    <row r="3512">
      <c r="A3512" s="84"/>
      <c r="B3512" s="85"/>
      <c r="C3512" s="85"/>
      <c r="F3512" s="92"/>
      <c r="G3512" s="85"/>
    </row>
    <row r="3513">
      <c r="A3513" s="84"/>
      <c r="B3513" s="85"/>
      <c r="C3513" s="85"/>
      <c r="F3513" s="92"/>
      <c r="G3513" s="85"/>
    </row>
    <row r="3514">
      <c r="A3514" s="84"/>
      <c r="B3514" s="85"/>
      <c r="C3514" s="85"/>
      <c r="F3514" s="92"/>
      <c r="G3514" s="85"/>
    </row>
    <row r="3515">
      <c r="A3515" s="84"/>
      <c r="B3515" s="85"/>
      <c r="C3515" s="85"/>
      <c r="F3515" s="92"/>
      <c r="G3515" s="85"/>
    </row>
    <row r="3516">
      <c r="A3516" s="84"/>
      <c r="B3516" s="85"/>
      <c r="C3516" s="85"/>
      <c r="F3516" s="92"/>
      <c r="G3516" s="85"/>
    </row>
    <row r="3517">
      <c r="A3517" s="84"/>
      <c r="B3517" s="85"/>
      <c r="C3517" s="85"/>
      <c r="F3517" s="92"/>
      <c r="G3517" s="85"/>
    </row>
    <row r="3518">
      <c r="A3518" s="84"/>
      <c r="B3518" s="85"/>
      <c r="C3518" s="85"/>
      <c r="F3518" s="92"/>
      <c r="G3518" s="85"/>
    </row>
    <row r="3519">
      <c r="A3519" s="84"/>
      <c r="B3519" s="85"/>
      <c r="C3519" s="85"/>
      <c r="F3519" s="92"/>
      <c r="G3519" s="85"/>
    </row>
    <row r="3520">
      <c r="A3520" s="84"/>
      <c r="B3520" s="85"/>
      <c r="C3520" s="85"/>
      <c r="F3520" s="92"/>
      <c r="G3520" s="85"/>
    </row>
    <row r="3521">
      <c r="A3521" s="84"/>
      <c r="B3521" s="85"/>
      <c r="C3521" s="85"/>
      <c r="F3521" s="92"/>
      <c r="G3521" s="85"/>
    </row>
    <row r="3522">
      <c r="A3522" s="84"/>
      <c r="B3522" s="85"/>
      <c r="C3522" s="85"/>
      <c r="F3522" s="92"/>
      <c r="G3522" s="85"/>
    </row>
    <row r="3523">
      <c r="A3523" s="84"/>
      <c r="B3523" s="85"/>
      <c r="C3523" s="85"/>
      <c r="F3523" s="92"/>
      <c r="G3523" s="85"/>
    </row>
    <row r="3524">
      <c r="A3524" s="84"/>
      <c r="B3524" s="85"/>
      <c r="C3524" s="85"/>
      <c r="F3524" s="92"/>
      <c r="G3524" s="85"/>
    </row>
    <row r="3525">
      <c r="A3525" s="84"/>
      <c r="B3525" s="85"/>
      <c r="C3525" s="85"/>
      <c r="F3525" s="92"/>
      <c r="G3525" s="85"/>
    </row>
    <row r="3526">
      <c r="A3526" s="84"/>
      <c r="B3526" s="85"/>
      <c r="C3526" s="85"/>
      <c r="F3526" s="92"/>
      <c r="G3526" s="85"/>
    </row>
    <row r="3527">
      <c r="A3527" s="84"/>
      <c r="B3527" s="85"/>
      <c r="C3527" s="85"/>
      <c r="F3527" s="92"/>
      <c r="G3527" s="85"/>
    </row>
    <row r="3528">
      <c r="A3528" s="84"/>
      <c r="B3528" s="85"/>
      <c r="C3528" s="85"/>
      <c r="F3528" s="92"/>
      <c r="G3528" s="85"/>
    </row>
    <row r="3529">
      <c r="A3529" s="84"/>
      <c r="B3529" s="85"/>
      <c r="C3529" s="85"/>
      <c r="F3529" s="92"/>
      <c r="G3529" s="85"/>
    </row>
    <row r="3530">
      <c r="A3530" s="84"/>
      <c r="B3530" s="85"/>
      <c r="C3530" s="85"/>
      <c r="F3530" s="92"/>
      <c r="G3530" s="85"/>
    </row>
    <row r="3531">
      <c r="A3531" s="84"/>
      <c r="B3531" s="85"/>
      <c r="C3531" s="85"/>
      <c r="F3531" s="92"/>
      <c r="G3531" s="85"/>
    </row>
    <row r="3532">
      <c r="A3532" s="84"/>
      <c r="B3532" s="85"/>
      <c r="C3532" s="85"/>
      <c r="F3532" s="92"/>
      <c r="G3532" s="85"/>
    </row>
    <row r="3533">
      <c r="A3533" s="84"/>
      <c r="B3533" s="85"/>
      <c r="C3533" s="85"/>
      <c r="F3533" s="92"/>
      <c r="G3533" s="85"/>
    </row>
    <row r="3534">
      <c r="A3534" s="84"/>
      <c r="B3534" s="85"/>
      <c r="C3534" s="85"/>
      <c r="F3534" s="92"/>
      <c r="G3534" s="85"/>
    </row>
    <row r="3535">
      <c r="A3535" s="84"/>
      <c r="B3535" s="85"/>
      <c r="C3535" s="85"/>
      <c r="F3535" s="92"/>
      <c r="G3535" s="85"/>
    </row>
    <row r="3536">
      <c r="A3536" s="84"/>
      <c r="B3536" s="85"/>
      <c r="C3536" s="85"/>
      <c r="F3536" s="92"/>
      <c r="G3536" s="85"/>
    </row>
    <row r="3537">
      <c r="A3537" s="84"/>
      <c r="B3537" s="85"/>
      <c r="C3537" s="85"/>
      <c r="F3537" s="92"/>
      <c r="G3537" s="85"/>
    </row>
    <row r="3538">
      <c r="A3538" s="84"/>
      <c r="B3538" s="85"/>
      <c r="C3538" s="85"/>
      <c r="F3538" s="92"/>
      <c r="G3538" s="85"/>
    </row>
    <row r="3539">
      <c r="A3539" s="84"/>
      <c r="B3539" s="85"/>
      <c r="C3539" s="85"/>
      <c r="F3539" s="92"/>
      <c r="G3539" s="85"/>
    </row>
    <row r="3540">
      <c r="A3540" s="84"/>
      <c r="B3540" s="85"/>
      <c r="C3540" s="85"/>
      <c r="F3540" s="92"/>
      <c r="G3540" s="85"/>
    </row>
    <row r="3541">
      <c r="A3541" s="84"/>
      <c r="B3541" s="85"/>
      <c r="C3541" s="85"/>
      <c r="F3541" s="92"/>
      <c r="G3541" s="85"/>
    </row>
    <row r="3542">
      <c r="A3542" s="84"/>
      <c r="B3542" s="85"/>
      <c r="C3542" s="85"/>
      <c r="F3542" s="92"/>
      <c r="G3542" s="85"/>
    </row>
    <row r="3543">
      <c r="A3543" s="84"/>
      <c r="B3543" s="85"/>
      <c r="C3543" s="85"/>
      <c r="F3543" s="92"/>
      <c r="G3543" s="85"/>
    </row>
    <row r="3544">
      <c r="A3544" s="84"/>
      <c r="B3544" s="85"/>
      <c r="C3544" s="85"/>
      <c r="F3544" s="92"/>
      <c r="G3544" s="85"/>
    </row>
    <row r="3545">
      <c r="A3545" s="84"/>
      <c r="B3545" s="85"/>
      <c r="C3545" s="85"/>
      <c r="F3545" s="92"/>
      <c r="G3545" s="85"/>
    </row>
    <row r="3546">
      <c r="A3546" s="84"/>
      <c r="B3546" s="85"/>
      <c r="C3546" s="85"/>
      <c r="F3546" s="92"/>
      <c r="G3546" s="85"/>
    </row>
    <row r="3547">
      <c r="A3547" s="84"/>
      <c r="B3547" s="85"/>
      <c r="C3547" s="85"/>
      <c r="F3547" s="92"/>
      <c r="G3547" s="85"/>
    </row>
    <row r="3548">
      <c r="A3548" s="84"/>
      <c r="B3548" s="85"/>
      <c r="C3548" s="85"/>
      <c r="F3548" s="92"/>
      <c r="G3548" s="85"/>
    </row>
    <row r="3549">
      <c r="A3549" s="84"/>
      <c r="B3549" s="85"/>
      <c r="C3549" s="85"/>
      <c r="F3549" s="92"/>
      <c r="G3549" s="85"/>
    </row>
    <row r="3550">
      <c r="A3550" s="84"/>
      <c r="B3550" s="85"/>
      <c r="C3550" s="85"/>
      <c r="F3550" s="92"/>
      <c r="G3550" s="85"/>
    </row>
    <row r="3551">
      <c r="A3551" s="84"/>
      <c r="B3551" s="85"/>
      <c r="C3551" s="85"/>
      <c r="F3551" s="92"/>
      <c r="G3551" s="85"/>
    </row>
    <row r="3552">
      <c r="A3552" s="84"/>
      <c r="B3552" s="85"/>
      <c r="C3552" s="85"/>
      <c r="F3552" s="92"/>
      <c r="G3552" s="85"/>
    </row>
    <row r="3553">
      <c r="A3553" s="84"/>
      <c r="B3553" s="85"/>
      <c r="C3553" s="85"/>
      <c r="F3553" s="92"/>
      <c r="G3553" s="85"/>
    </row>
    <row r="3554">
      <c r="A3554" s="84"/>
      <c r="B3554" s="85"/>
      <c r="C3554" s="85"/>
      <c r="F3554" s="92"/>
      <c r="G3554" s="85"/>
    </row>
    <row r="3555">
      <c r="A3555" s="84"/>
      <c r="B3555" s="85"/>
      <c r="C3555" s="85"/>
      <c r="F3555" s="92"/>
      <c r="G3555" s="85"/>
    </row>
    <row r="3556">
      <c r="A3556" s="84"/>
      <c r="B3556" s="85"/>
      <c r="C3556" s="85"/>
      <c r="F3556" s="92"/>
      <c r="G3556" s="85"/>
    </row>
    <row r="3557">
      <c r="A3557" s="84"/>
      <c r="B3557" s="85"/>
      <c r="C3557" s="85"/>
      <c r="F3557" s="92"/>
      <c r="G3557" s="85"/>
    </row>
    <row r="3558">
      <c r="A3558" s="84"/>
      <c r="B3558" s="85"/>
      <c r="C3558" s="85"/>
      <c r="F3558" s="92"/>
      <c r="G3558" s="85"/>
    </row>
    <row r="3559">
      <c r="A3559" s="84"/>
      <c r="B3559" s="85"/>
      <c r="C3559" s="85"/>
      <c r="F3559" s="92"/>
      <c r="G3559" s="85"/>
    </row>
    <row r="3560">
      <c r="A3560" s="84"/>
      <c r="B3560" s="85"/>
      <c r="C3560" s="85"/>
      <c r="F3560" s="92"/>
      <c r="G3560" s="85"/>
    </row>
    <row r="3561">
      <c r="A3561" s="84"/>
      <c r="B3561" s="85"/>
      <c r="C3561" s="85"/>
      <c r="F3561" s="92"/>
      <c r="G3561" s="85"/>
    </row>
    <row r="3562">
      <c r="A3562" s="84"/>
      <c r="B3562" s="85"/>
      <c r="C3562" s="85"/>
      <c r="F3562" s="92"/>
      <c r="G3562" s="85"/>
    </row>
    <row r="3563">
      <c r="A3563" s="84"/>
      <c r="B3563" s="85"/>
      <c r="C3563" s="85"/>
      <c r="F3563" s="92"/>
      <c r="G3563" s="85"/>
    </row>
    <row r="3564">
      <c r="A3564" s="84"/>
      <c r="B3564" s="85"/>
      <c r="C3564" s="85"/>
      <c r="F3564" s="92"/>
      <c r="G3564" s="85"/>
    </row>
    <row r="3565">
      <c r="A3565" s="84"/>
      <c r="B3565" s="85"/>
      <c r="C3565" s="85"/>
      <c r="F3565" s="92"/>
      <c r="G3565" s="85"/>
    </row>
    <row r="3566">
      <c r="A3566" s="84"/>
      <c r="B3566" s="85"/>
      <c r="C3566" s="85"/>
      <c r="F3566" s="92"/>
      <c r="G3566" s="85"/>
    </row>
    <row r="3567">
      <c r="A3567" s="84"/>
      <c r="B3567" s="85"/>
      <c r="C3567" s="85"/>
      <c r="F3567" s="92"/>
      <c r="G3567" s="85"/>
    </row>
    <row r="3568">
      <c r="A3568" s="84"/>
      <c r="B3568" s="85"/>
      <c r="C3568" s="85"/>
      <c r="F3568" s="92"/>
      <c r="G3568" s="85"/>
    </row>
    <row r="3569">
      <c r="A3569" s="84"/>
      <c r="B3569" s="85"/>
      <c r="C3569" s="85"/>
      <c r="F3569" s="92"/>
      <c r="G3569" s="85"/>
    </row>
    <row r="3570">
      <c r="A3570" s="84"/>
      <c r="B3570" s="85"/>
      <c r="C3570" s="85"/>
      <c r="F3570" s="92"/>
      <c r="G3570" s="85"/>
    </row>
    <row r="3571">
      <c r="A3571" s="84"/>
      <c r="B3571" s="85"/>
      <c r="C3571" s="85"/>
      <c r="F3571" s="92"/>
      <c r="G3571" s="85"/>
    </row>
    <row r="3572">
      <c r="A3572" s="84"/>
      <c r="B3572" s="85"/>
      <c r="C3572" s="85"/>
      <c r="F3572" s="92"/>
      <c r="G3572" s="85"/>
    </row>
    <row r="3573">
      <c r="A3573" s="84"/>
      <c r="B3573" s="85"/>
      <c r="C3573" s="85"/>
      <c r="F3573" s="92"/>
      <c r="G3573" s="85"/>
    </row>
    <row r="3574">
      <c r="A3574" s="84"/>
      <c r="B3574" s="85"/>
      <c r="C3574" s="85"/>
      <c r="F3574" s="92"/>
      <c r="G3574" s="85"/>
    </row>
    <row r="3575">
      <c r="A3575" s="84"/>
      <c r="B3575" s="85"/>
      <c r="C3575" s="85"/>
      <c r="F3575" s="92"/>
      <c r="G3575" s="85"/>
    </row>
    <row r="3576">
      <c r="A3576" s="84"/>
      <c r="B3576" s="85"/>
      <c r="C3576" s="85"/>
      <c r="F3576" s="92"/>
      <c r="G3576" s="85"/>
    </row>
    <row r="3577">
      <c r="A3577" s="84"/>
      <c r="B3577" s="85"/>
      <c r="C3577" s="85"/>
      <c r="F3577" s="92"/>
      <c r="G3577" s="85"/>
    </row>
    <row r="3578">
      <c r="A3578" s="84"/>
      <c r="B3578" s="85"/>
      <c r="C3578" s="85"/>
      <c r="F3578" s="92"/>
      <c r="G3578" s="85"/>
    </row>
    <row r="3579">
      <c r="A3579" s="84"/>
      <c r="B3579" s="85"/>
      <c r="C3579" s="85"/>
      <c r="F3579" s="92"/>
      <c r="G3579" s="85"/>
    </row>
    <row r="3580">
      <c r="A3580" s="84"/>
      <c r="B3580" s="85"/>
      <c r="C3580" s="85"/>
      <c r="F3580" s="92"/>
      <c r="G3580" s="85"/>
    </row>
    <row r="3581">
      <c r="A3581" s="84"/>
      <c r="B3581" s="85"/>
      <c r="C3581" s="85"/>
      <c r="F3581" s="92"/>
      <c r="G3581" s="85"/>
    </row>
    <row r="3582">
      <c r="A3582" s="84"/>
      <c r="B3582" s="85"/>
      <c r="C3582" s="85"/>
      <c r="F3582" s="92"/>
      <c r="G3582" s="85"/>
    </row>
    <row r="3583">
      <c r="A3583" s="84"/>
      <c r="B3583" s="85"/>
      <c r="C3583" s="85"/>
      <c r="F3583" s="92"/>
      <c r="G3583" s="85"/>
    </row>
    <row r="3584">
      <c r="A3584" s="84"/>
      <c r="B3584" s="85"/>
      <c r="C3584" s="85"/>
      <c r="F3584" s="92"/>
      <c r="G3584" s="85"/>
    </row>
    <row r="3585">
      <c r="A3585" s="84"/>
      <c r="B3585" s="85"/>
      <c r="C3585" s="85"/>
      <c r="F3585" s="92"/>
      <c r="G3585" s="85"/>
    </row>
    <row r="3586">
      <c r="A3586" s="84"/>
      <c r="B3586" s="85"/>
      <c r="C3586" s="85"/>
      <c r="F3586" s="92"/>
      <c r="G3586" s="85"/>
    </row>
    <row r="3587">
      <c r="A3587" s="84"/>
      <c r="B3587" s="85"/>
      <c r="C3587" s="85"/>
      <c r="F3587" s="92"/>
      <c r="G3587" s="85"/>
    </row>
    <row r="3588">
      <c r="A3588" s="84"/>
      <c r="B3588" s="85"/>
      <c r="C3588" s="85"/>
      <c r="F3588" s="92"/>
      <c r="G3588" s="85"/>
    </row>
    <row r="3589">
      <c r="A3589" s="84"/>
      <c r="B3589" s="85"/>
      <c r="C3589" s="85"/>
      <c r="F3589" s="92"/>
      <c r="G3589" s="85"/>
    </row>
    <row r="3590">
      <c r="A3590" s="84"/>
      <c r="B3590" s="85"/>
      <c r="C3590" s="85"/>
      <c r="F3590" s="92"/>
      <c r="G3590" s="85"/>
    </row>
    <row r="3591">
      <c r="A3591" s="84"/>
      <c r="B3591" s="85"/>
      <c r="C3591" s="85"/>
      <c r="F3591" s="92"/>
      <c r="G3591" s="85"/>
    </row>
    <row r="3592">
      <c r="A3592" s="84"/>
      <c r="B3592" s="85"/>
      <c r="C3592" s="85"/>
      <c r="F3592" s="92"/>
      <c r="G3592" s="85"/>
    </row>
    <row r="3593">
      <c r="A3593" s="84"/>
      <c r="B3593" s="85"/>
      <c r="C3593" s="85"/>
      <c r="F3593" s="92"/>
      <c r="G3593" s="85"/>
    </row>
    <row r="3594">
      <c r="A3594" s="84"/>
      <c r="B3594" s="85"/>
      <c r="C3594" s="85"/>
      <c r="F3594" s="92"/>
      <c r="G3594" s="85"/>
    </row>
    <row r="3595">
      <c r="A3595" s="84"/>
      <c r="B3595" s="85"/>
      <c r="C3595" s="85"/>
      <c r="F3595" s="92"/>
      <c r="G3595" s="85"/>
    </row>
    <row r="3596">
      <c r="A3596" s="84"/>
      <c r="B3596" s="85"/>
      <c r="C3596" s="85"/>
      <c r="F3596" s="92"/>
      <c r="G3596" s="85"/>
    </row>
    <row r="3597">
      <c r="A3597" s="84"/>
      <c r="B3597" s="85"/>
      <c r="C3597" s="85"/>
      <c r="F3597" s="92"/>
      <c r="G3597" s="85"/>
    </row>
    <row r="3598">
      <c r="A3598" s="84"/>
      <c r="B3598" s="85"/>
      <c r="C3598" s="85"/>
      <c r="F3598" s="92"/>
      <c r="G3598" s="85"/>
    </row>
    <row r="3599">
      <c r="A3599" s="84"/>
      <c r="B3599" s="85"/>
      <c r="C3599" s="85"/>
      <c r="F3599" s="92"/>
      <c r="G3599" s="85"/>
    </row>
    <row r="3600">
      <c r="A3600" s="84"/>
      <c r="B3600" s="85"/>
      <c r="C3600" s="85"/>
      <c r="F3600" s="92"/>
      <c r="G3600" s="85"/>
    </row>
    <row r="3601">
      <c r="A3601" s="84"/>
      <c r="B3601" s="85"/>
      <c r="C3601" s="85"/>
      <c r="F3601" s="92"/>
      <c r="G3601" s="85"/>
    </row>
    <row r="3602">
      <c r="A3602" s="84"/>
      <c r="B3602" s="85"/>
      <c r="C3602" s="85"/>
      <c r="F3602" s="92"/>
      <c r="G3602" s="85"/>
    </row>
    <row r="3603">
      <c r="A3603" s="84"/>
      <c r="B3603" s="85"/>
      <c r="C3603" s="85"/>
      <c r="F3603" s="92"/>
      <c r="G3603" s="85"/>
    </row>
    <row r="3604">
      <c r="A3604" s="84"/>
      <c r="B3604" s="85"/>
      <c r="C3604" s="85"/>
      <c r="F3604" s="92"/>
      <c r="G3604" s="85"/>
    </row>
    <row r="3605">
      <c r="A3605" s="84"/>
      <c r="B3605" s="85"/>
      <c r="C3605" s="85"/>
      <c r="F3605" s="92"/>
      <c r="G3605" s="85"/>
    </row>
    <row r="3606">
      <c r="A3606" s="84"/>
      <c r="B3606" s="85"/>
      <c r="C3606" s="85"/>
      <c r="F3606" s="92"/>
      <c r="G3606" s="85"/>
    </row>
    <row r="3607">
      <c r="A3607" s="84"/>
      <c r="B3607" s="85"/>
      <c r="C3607" s="85"/>
      <c r="F3607" s="92"/>
      <c r="G3607" s="85"/>
    </row>
    <row r="3608">
      <c r="A3608" s="84"/>
      <c r="B3608" s="85"/>
      <c r="C3608" s="85"/>
      <c r="F3608" s="92"/>
      <c r="G3608" s="85"/>
    </row>
    <row r="3609">
      <c r="A3609" s="84"/>
      <c r="B3609" s="85"/>
      <c r="C3609" s="85"/>
      <c r="F3609" s="92"/>
      <c r="G3609" s="85"/>
    </row>
    <row r="3610">
      <c r="A3610" s="84"/>
      <c r="B3610" s="85"/>
      <c r="C3610" s="85"/>
      <c r="F3610" s="92"/>
      <c r="G3610" s="85"/>
    </row>
    <row r="3611">
      <c r="A3611" s="84"/>
      <c r="B3611" s="85"/>
      <c r="C3611" s="85"/>
      <c r="F3611" s="92"/>
      <c r="G3611" s="85"/>
    </row>
    <row r="3612">
      <c r="A3612" s="84"/>
      <c r="B3612" s="85"/>
      <c r="C3612" s="85"/>
      <c r="F3612" s="92"/>
      <c r="G3612" s="85"/>
    </row>
    <row r="3613">
      <c r="A3613" s="84"/>
      <c r="B3613" s="85"/>
      <c r="C3613" s="85"/>
      <c r="F3613" s="92"/>
      <c r="G3613" s="85"/>
    </row>
    <row r="3614">
      <c r="A3614" s="84"/>
      <c r="B3614" s="85"/>
      <c r="C3614" s="85"/>
      <c r="F3614" s="92"/>
      <c r="G3614" s="85"/>
    </row>
    <row r="3615">
      <c r="A3615" s="84"/>
      <c r="B3615" s="85"/>
      <c r="C3615" s="85"/>
      <c r="F3615" s="92"/>
      <c r="G3615" s="85"/>
    </row>
    <row r="3616">
      <c r="A3616" s="84"/>
      <c r="B3616" s="85"/>
      <c r="C3616" s="85"/>
      <c r="F3616" s="92"/>
      <c r="G3616" s="85"/>
    </row>
    <row r="3617">
      <c r="A3617" s="84"/>
      <c r="B3617" s="85"/>
      <c r="C3617" s="85"/>
      <c r="F3617" s="92"/>
      <c r="G3617" s="85"/>
    </row>
    <row r="3618">
      <c r="A3618" s="84"/>
      <c r="B3618" s="85"/>
      <c r="C3618" s="85"/>
      <c r="F3618" s="92"/>
      <c r="G3618" s="85"/>
    </row>
    <row r="3619">
      <c r="A3619" s="84"/>
      <c r="B3619" s="85"/>
      <c r="C3619" s="85"/>
      <c r="F3619" s="92"/>
      <c r="G3619" s="85"/>
    </row>
    <row r="3620">
      <c r="A3620" s="84"/>
      <c r="B3620" s="85"/>
      <c r="C3620" s="85"/>
      <c r="F3620" s="92"/>
      <c r="G3620" s="85"/>
    </row>
    <row r="3621">
      <c r="A3621" s="84"/>
      <c r="B3621" s="85"/>
      <c r="C3621" s="85"/>
      <c r="F3621" s="92"/>
      <c r="G3621" s="85"/>
    </row>
    <row r="3622">
      <c r="A3622" s="84"/>
      <c r="B3622" s="85"/>
      <c r="C3622" s="85"/>
      <c r="F3622" s="92"/>
      <c r="G3622" s="85"/>
    </row>
    <row r="3623">
      <c r="A3623" s="84"/>
      <c r="B3623" s="85"/>
      <c r="C3623" s="85"/>
      <c r="F3623" s="92"/>
      <c r="G3623" s="85"/>
    </row>
    <row r="3624">
      <c r="A3624" s="84"/>
      <c r="B3624" s="85"/>
      <c r="C3624" s="85"/>
      <c r="F3624" s="92"/>
      <c r="G3624" s="85"/>
    </row>
    <row r="3625">
      <c r="A3625" s="84"/>
      <c r="B3625" s="85"/>
      <c r="C3625" s="85"/>
      <c r="F3625" s="92"/>
      <c r="G3625" s="85"/>
    </row>
    <row r="3626">
      <c r="A3626" s="84"/>
      <c r="B3626" s="85"/>
      <c r="C3626" s="85"/>
      <c r="F3626" s="92"/>
      <c r="G3626" s="85"/>
    </row>
    <row r="3627">
      <c r="A3627" s="84"/>
      <c r="B3627" s="85"/>
      <c r="C3627" s="85"/>
      <c r="F3627" s="92"/>
      <c r="G3627" s="85"/>
    </row>
    <row r="3628">
      <c r="A3628" s="84"/>
      <c r="B3628" s="85"/>
      <c r="C3628" s="85"/>
      <c r="F3628" s="92"/>
      <c r="G3628" s="85"/>
    </row>
    <row r="3629">
      <c r="A3629" s="84"/>
      <c r="B3629" s="85"/>
      <c r="C3629" s="85"/>
      <c r="F3629" s="92"/>
      <c r="G3629" s="85"/>
    </row>
    <row r="3630">
      <c r="A3630" s="84"/>
      <c r="B3630" s="85"/>
      <c r="C3630" s="85"/>
      <c r="F3630" s="92"/>
      <c r="G3630" s="85"/>
    </row>
    <row r="3631">
      <c r="A3631" s="84"/>
      <c r="B3631" s="85"/>
      <c r="C3631" s="85"/>
      <c r="F3631" s="92"/>
      <c r="G3631" s="85"/>
    </row>
    <row r="3632">
      <c r="A3632" s="84"/>
      <c r="B3632" s="85"/>
      <c r="C3632" s="85"/>
      <c r="F3632" s="92"/>
      <c r="G3632" s="85"/>
    </row>
    <row r="3633">
      <c r="A3633" s="84"/>
      <c r="B3633" s="85"/>
      <c r="C3633" s="85"/>
      <c r="F3633" s="92"/>
      <c r="G3633" s="85"/>
    </row>
    <row r="3634">
      <c r="A3634" s="84"/>
      <c r="B3634" s="85"/>
      <c r="C3634" s="85"/>
      <c r="F3634" s="92"/>
      <c r="G3634" s="85"/>
    </row>
    <row r="3635">
      <c r="A3635" s="84"/>
      <c r="B3635" s="85"/>
      <c r="C3635" s="85"/>
      <c r="F3635" s="92"/>
      <c r="G3635" s="85"/>
    </row>
    <row r="3636">
      <c r="A3636" s="84"/>
      <c r="B3636" s="85"/>
      <c r="C3636" s="85"/>
      <c r="F3636" s="92"/>
      <c r="G3636" s="85"/>
    </row>
    <row r="3637">
      <c r="A3637" s="84"/>
      <c r="B3637" s="85"/>
      <c r="C3637" s="85"/>
      <c r="F3637" s="92"/>
      <c r="G3637" s="85"/>
    </row>
    <row r="3638">
      <c r="A3638" s="84"/>
      <c r="B3638" s="85"/>
      <c r="C3638" s="85"/>
      <c r="F3638" s="92"/>
      <c r="G3638" s="85"/>
    </row>
    <row r="3639">
      <c r="A3639" s="84"/>
      <c r="B3639" s="85"/>
      <c r="C3639" s="85"/>
      <c r="F3639" s="92"/>
      <c r="G3639" s="85"/>
    </row>
    <row r="3640">
      <c r="A3640" s="84"/>
      <c r="B3640" s="85"/>
      <c r="C3640" s="85"/>
      <c r="F3640" s="92"/>
      <c r="G3640" s="85"/>
    </row>
    <row r="3641">
      <c r="A3641" s="84"/>
      <c r="B3641" s="85"/>
      <c r="C3641" s="85"/>
      <c r="F3641" s="92"/>
      <c r="G3641" s="85"/>
    </row>
    <row r="3642">
      <c r="A3642" s="84"/>
      <c r="B3642" s="85"/>
      <c r="C3642" s="85"/>
      <c r="F3642" s="92"/>
      <c r="G3642" s="85"/>
    </row>
    <row r="3643">
      <c r="A3643" s="84"/>
      <c r="B3643" s="85"/>
      <c r="C3643" s="85"/>
      <c r="F3643" s="92"/>
      <c r="G3643" s="85"/>
    </row>
    <row r="3644">
      <c r="A3644" s="84"/>
      <c r="B3644" s="85"/>
      <c r="C3644" s="85"/>
      <c r="F3644" s="92"/>
      <c r="G3644" s="85"/>
    </row>
    <row r="3645">
      <c r="A3645" s="84"/>
      <c r="B3645" s="85"/>
      <c r="C3645" s="85"/>
      <c r="F3645" s="92"/>
      <c r="G3645" s="85"/>
    </row>
    <row r="3646">
      <c r="A3646" s="84"/>
      <c r="B3646" s="85"/>
      <c r="C3646" s="85"/>
      <c r="F3646" s="92"/>
      <c r="G3646" s="85"/>
    </row>
    <row r="3647">
      <c r="A3647" s="84"/>
      <c r="B3647" s="85"/>
      <c r="C3647" s="85"/>
      <c r="F3647" s="92"/>
      <c r="G3647" s="85"/>
    </row>
    <row r="3648">
      <c r="A3648" s="84"/>
      <c r="B3648" s="85"/>
      <c r="C3648" s="85"/>
      <c r="F3648" s="92"/>
      <c r="G3648" s="85"/>
    </row>
    <row r="3649">
      <c r="A3649" s="84"/>
      <c r="B3649" s="85"/>
      <c r="C3649" s="85"/>
      <c r="F3649" s="92"/>
      <c r="G3649" s="85"/>
    </row>
    <row r="3650">
      <c r="A3650" s="84"/>
      <c r="B3650" s="85"/>
      <c r="C3650" s="85"/>
      <c r="F3650" s="92"/>
      <c r="G3650" s="85"/>
    </row>
    <row r="3651">
      <c r="A3651" s="84"/>
      <c r="B3651" s="85"/>
      <c r="C3651" s="85"/>
      <c r="F3651" s="92"/>
      <c r="G3651" s="85"/>
    </row>
    <row r="3652">
      <c r="A3652" s="84"/>
      <c r="B3652" s="85"/>
      <c r="C3652" s="85"/>
      <c r="F3652" s="92"/>
      <c r="G3652" s="85"/>
    </row>
    <row r="3653">
      <c r="A3653" s="84"/>
      <c r="B3653" s="85"/>
      <c r="C3653" s="85"/>
      <c r="F3653" s="92"/>
      <c r="G3653" s="85"/>
    </row>
    <row r="3654">
      <c r="A3654" s="84"/>
      <c r="B3654" s="85"/>
      <c r="C3654" s="85"/>
      <c r="F3654" s="92"/>
      <c r="G3654" s="85"/>
    </row>
    <row r="3655">
      <c r="A3655" s="84"/>
      <c r="B3655" s="85"/>
      <c r="C3655" s="85"/>
      <c r="F3655" s="92"/>
      <c r="G3655" s="85"/>
    </row>
    <row r="3656">
      <c r="A3656" s="84"/>
      <c r="B3656" s="85"/>
      <c r="C3656" s="85"/>
      <c r="F3656" s="92"/>
      <c r="G3656" s="85"/>
    </row>
    <row r="3657">
      <c r="A3657" s="84"/>
      <c r="B3657" s="85"/>
      <c r="C3657" s="85"/>
      <c r="F3657" s="92"/>
      <c r="G3657" s="85"/>
    </row>
    <row r="3658">
      <c r="A3658" s="84"/>
      <c r="B3658" s="85"/>
      <c r="C3658" s="85"/>
      <c r="F3658" s="92"/>
      <c r="G3658" s="85"/>
    </row>
    <row r="3659">
      <c r="A3659" s="84"/>
      <c r="B3659" s="85"/>
      <c r="C3659" s="85"/>
      <c r="F3659" s="92"/>
      <c r="G3659" s="85"/>
    </row>
    <row r="3660">
      <c r="A3660" s="84"/>
      <c r="B3660" s="85"/>
      <c r="C3660" s="85"/>
      <c r="F3660" s="92"/>
      <c r="G3660" s="85"/>
    </row>
    <row r="3661">
      <c r="A3661" s="84"/>
      <c r="B3661" s="85"/>
      <c r="C3661" s="85"/>
      <c r="F3661" s="92"/>
      <c r="G3661" s="85"/>
    </row>
    <row r="3662">
      <c r="A3662" s="84"/>
      <c r="B3662" s="85"/>
      <c r="C3662" s="85"/>
      <c r="F3662" s="92"/>
      <c r="G3662" s="85"/>
    </row>
    <row r="3663">
      <c r="A3663" s="84"/>
      <c r="B3663" s="85"/>
      <c r="C3663" s="85"/>
      <c r="F3663" s="92"/>
      <c r="G3663" s="85"/>
    </row>
    <row r="3664">
      <c r="A3664" s="84"/>
      <c r="B3664" s="85"/>
      <c r="C3664" s="85"/>
      <c r="F3664" s="92"/>
      <c r="G3664" s="85"/>
    </row>
    <row r="3665">
      <c r="A3665" s="84"/>
      <c r="B3665" s="85"/>
      <c r="C3665" s="85"/>
      <c r="F3665" s="92"/>
      <c r="G3665" s="85"/>
    </row>
    <row r="3666">
      <c r="A3666" s="84"/>
      <c r="B3666" s="85"/>
      <c r="C3666" s="85"/>
      <c r="F3666" s="92"/>
      <c r="G3666" s="85"/>
    </row>
    <row r="3667">
      <c r="A3667" s="84"/>
      <c r="B3667" s="85"/>
      <c r="C3667" s="85"/>
      <c r="F3667" s="92"/>
      <c r="G3667" s="85"/>
    </row>
    <row r="3668">
      <c r="A3668" s="84"/>
      <c r="B3668" s="85"/>
      <c r="C3668" s="85"/>
      <c r="F3668" s="92"/>
      <c r="G3668" s="85"/>
    </row>
    <row r="3669">
      <c r="A3669" s="84"/>
      <c r="B3669" s="85"/>
      <c r="C3669" s="85"/>
      <c r="F3669" s="92"/>
      <c r="G3669" s="85"/>
    </row>
    <row r="3670">
      <c r="A3670" s="84"/>
      <c r="B3670" s="85"/>
      <c r="C3670" s="85"/>
      <c r="F3670" s="92"/>
      <c r="G3670" s="85"/>
    </row>
    <row r="3671">
      <c r="A3671" s="84"/>
      <c r="B3671" s="85"/>
      <c r="C3671" s="85"/>
      <c r="F3671" s="92"/>
      <c r="G3671" s="85"/>
    </row>
    <row r="3672">
      <c r="A3672" s="84"/>
      <c r="B3672" s="85"/>
      <c r="C3672" s="85"/>
      <c r="F3672" s="92"/>
      <c r="G3672" s="85"/>
    </row>
    <row r="3673">
      <c r="A3673" s="84"/>
      <c r="B3673" s="85"/>
      <c r="C3673" s="85"/>
      <c r="F3673" s="92"/>
      <c r="G3673" s="85"/>
    </row>
    <row r="3674">
      <c r="A3674" s="84"/>
      <c r="B3674" s="85"/>
      <c r="C3674" s="85"/>
      <c r="F3674" s="92"/>
      <c r="G3674" s="85"/>
    </row>
    <row r="3675">
      <c r="A3675" s="84"/>
      <c r="B3675" s="85"/>
      <c r="C3675" s="85"/>
      <c r="F3675" s="92"/>
      <c r="G3675" s="85"/>
    </row>
    <row r="3676">
      <c r="A3676" s="84"/>
      <c r="B3676" s="85"/>
      <c r="C3676" s="85"/>
      <c r="F3676" s="92"/>
      <c r="G3676" s="85"/>
    </row>
    <row r="3677">
      <c r="A3677" s="84"/>
      <c r="B3677" s="85"/>
      <c r="C3677" s="85"/>
      <c r="F3677" s="92"/>
      <c r="G3677" s="85"/>
    </row>
    <row r="3678">
      <c r="A3678" s="84"/>
      <c r="B3678" s="85"/>
      <c r="C3678" s="85"/>
      <c r="F3678" s="92"/>
      <c r="G3678" s="85"/>
    </row>
    <row r="3679">
      <c r="A3679" s="84"/>
      <c r="B3679" s="85"/>
      <c r="C3679" s="85"/>
      <c r="F3679" s="92"/>
      <c r="G3679" s="85"/>
    </row>
    <row r="3680">
      <c r="A3680" s="84"/>
      <c r="B3680" s="85"/>
      <c r="C3680" s="85"/>
      <c r="F3680" s="92"/>
      <c r="G3680" s="85"/>
    </row>
    <row r="3681">
      <c r="A3681" s="84"/>
      <c r="B3681" s="85"/>
      <c r="C3681" s="85"/>
      <c r="F3681" s="92"/>
      <c r="G3681" s="85"/>
    </row>
    <row r="3682">
      <c r="A3682" s="84"/>
      <c r="B3682" s="85"/>
      <c r="C3682" s="85"/>
      <c r="F3682" s="92"/>
      <c r="G3682" s="85"/>
    </row>
    <row r="3683">
      <c r="A3683" s="84"/>
      <c r="B3683" s="85"/>
      <c r="C3683" s="85"/>
      <c r="F3683" s="92"/>
      <c r="G3683" s="85"/>
    </row>
    <row r="3684">
      <c r="A3684" s="84"/>
      <c r="B3684" s="85"/>
      <c r="C3684" s="85"/>
      <c r="F3684" s="92"/>
      <c r="G3684" s="85"/>
    </row>
    <row r="3685">
      <c r="A3685" s="84"/>
      <c r="B3685" s="85"/>
      <c r="C3685" s="85"/>
      <c r="F3685" s="92"/>
      <c r="G3685" s="85"/>
    </row>
    <row r="3686">
      <c r="A3686" s="84"/>
      <c r="B3686" s="85"/>
      <c r="C3686" s="85"/>
      <c r="F3686" s="92"/>
      <c r="G3686" s="85"/>
    </row>
    <row r="3687">
      <c r="A3687" s="84"/>
      <c r="B3687" s="85"/>
      <c r="C3687" s="85"/>
      <c r="F3687" s="92"/>
      <c r="G3687" s="85"/>
    </row>
    <row r="3688">
      <c r="A3688" s="84"/>
      <c r="B3688" s="85"/>
      <c r="C3688" s="85"/>
      <c r="F3688" s="92"/>
      <c r="G3688" s="85"/>
    </row>
    <row r="3689">
      <c r="A3689" s="84"/>
      <c r="B3689" s="85"/>
      <c r="C3689" s="85"/>
      <c r="F3689" s="92"/>
      <c r="G3689" s="85"/>
    </row>
    <row r="3690">
      <c r="A3690" s="84"/>
      <c r="B3690" s="85"/>
      <c r="C3690" s="85"/>
      <c r="F3690" s="92"/>
      <c r="G3690" s="85"/>
    </row>
    <row r="3691">
      <c r="A3691" s="84"/>
      <c r="B3691" s="85"/>
      <c r="C3691" s="85"/>
      <c r="F3691" s="92"/>
      <c r="G3691" s="85"/>
    </row>
    <row r="3692">
      <c r="A3692" s="84"/>
      <c r="B3692" s="85"/>
      <c r="C3692" s="85"/>
      <c r="F3692" s="92"/>
      <c r="G3692" s="85"/>
    </row>
    <row r="3693">
      <c r="A3693" s="84"/>
      <c r="B3693" s="85"/>
      <c r="C3693" s="85"/>
      <c r="F3693" s="92"/>
      <c r="G3693" s="85"/>
    </row>
    <row r="3694">
      <c r="A3694" s="84"/>
      <c r="B3694" s="85"/>
      <c r="C3694" s="85"/>
      <c r="F3694" s="92"/>
      <c r="G3694" s="85"/>
    </row>
    <row r="3695">
      <c r="A3695" s="84"/>
      <c r="B3695" s="85"/>
      <c r="C3695" s="85"/>
      <c r="F3695" s="92"/>
      <c r="G3695" s="85"/>
    </row>
    <row r="3696">
      <c r="A3696" s="84"/>
      <c r="B3696" s="85"/>
      <c r="C3696" s="85"/>
      <c r="F3696" s="92"/>
      <c r="G3696" s="85"/>
    </row>
    <row r="3697">
      <c r="A3697" s="84"/>
      <c r="B3697" s="85"/>
      <c r="C3697" s="85"/>
      <c r="F3697" s="92"/>
      <c r="G3697" s="85"/>
    </row>
    <row r="3698">
      <c r="A3698" s="84"/>
      <c r="B3698" s="85"/>
      <c r="C3698" s="85"/>
      <c r="F3698" s="92"/>
      <c r="G3698" s="85"/>
    </row>
    <row r="3699">
      <c r="A3699" s="84"/>
      <c r="B3699" s="85"/>
      <c r="C3699" s="85"/>
      <c r="F3699" s="92"/>
      <c r="G3699" s="85"/>
    </row>
    <row r="3700">
      <c r="A3700" s="84"/>
      <c r="B3700" s="85"/>
      <c r="C3700" s="85"/>
      <c r="F3700" s="92"/>
      <c r="G3700" s="85"/>
    </row>
    <row r="3701">
      <c r="A3701" s="84"/>
      <c r="B3701" s="85"/>
      <c r="C3701" s="85"/>
      <c r="F3701" s="92"/>
      <c r="G3701" s="85"/>
    </row>
    <row r="3702">
      <c r="A3702" s="84"/>
      <c r="B3702" s="85"/>
      <c r="C3702" s="85"/>
      <c r="F3702" s="92"/>
      <c r="G3702" s="85"/>
    </row>
    <row r="3703">
      <c r="A3703" s="84"/>
      <c r="B3703" s="85"/>
      <c r="C3703" s="85"/>
      <c r="F3703" s="92"/>
      <c r="G3703" s="85"/>
    </row>
    <row r="3704">
      <c r="A3704" s="84"/>
      <c r="B3704" s="85"/>
      <c r="C3704" s="85"/>
      <c r="F3704" s="92"/>
      <c r="G3704" s="85"/>
    </row>
    <row r="3705">
      <c r="A3705" s="84"/>
      <c r="B3705" s="85"/>
      <c r="C3705" s="85"/>
      <c r="F3705" s="92"/>
      <c r="G3705" s="85"/>
    </row>
    <row r="3706">
      <c r="A3706" s="84"/>
      <c r="B3706" s="85"/>
      <c r="C3706" s="85"/>
      <c r="F3706" s="92"/>
      <c r="G3706" s="85"/>
    </row>
    <row r="3707">
      <c r="A3707" s="84"/>
      <c r="B3707" s="85"/>
      <c r="C3707" s="85"/>
      <c r="F3707" s="92"/>
      <c r="G3707" s="85"/>
    </row>
    <row r="3708">
      <c r="A3708" s="84"/>
      <c r="B3708" s="85"/>
      <c r="C3708" s="85"/>
      <c r="F3708" s="92"/>
      <c r="G3708" s="85"/>
    </row>
    <row r="3709">
      <c r="A3709" s="84"/>
      <c r="B3709" s="85"/>
      <c r="C3709" s="85"/>
      <c r="F3709" s="92"/>
      <c r="G3709" s="85"/>
    </row>
    <row r="3710">
      <c r="A3710" s="84"/>
      <c r="B3710" s="85"/>
      <c r="C3710" s="85"/>
      <c r="F3710" s="92"/>
      <c r="G3710" s="85"/>
    </row>
    <row r="3711">
      <c r="A3711" s="84"/>
      <c r="B3711" s="85"/>
      <c r="C3711" s="85"/>
      <c r="F3711" s="92"/>
      <c r="G3711" s="85"/>
    </row>
    <row r="3712">
      <c r="A3712" s="84"/>
      <c r="B3712" s="85"/>
      <c r="C3712" s="85"/>
      <c r="F3712" s="92"/>
      <c r="G3712" s="85"/>
    </row>
    <row r="3713">
      <c r="A3713" s="84"/>
      <c r="B3713" s="85"/>
      <c r="C3713" s="85"/>
      <c r="F3713" s="92"/>
      <c r="G3713" s="85"/>
    </row>
    <row r="3714">
      <c r="A3714" s="84"/>
      <c r="B3714" s="85"/>
      <c r="C3714" s="85"/>
      <c r="F3714" s="92"/>
      <c r="G3714" s="85"/>
    </row>
    <row r="3715">
      <c r="A3715" s="84"/>
      <c r="B3715" s="85"/>
      <c r="C3715" s="85"/>
      <c r="F3715" s="92"/>
      <c r="G3715" s="85"/>
    </row>
    <row r="3716">
      <c r="A3716" s="84"/>
      <c r="B3716" s="85"/>
      <c r="C3716" s="85"/>
      <c r="F3716" s="92"/>
      <c r="G3716" s="85"/>
    </row>
    <row r="3717">
      <c r="A3717" s="84"/>
      <c r="B3717" s="85"/>
      <c r="C3717" s="85"/>
      <c r="F3717" s="92"/>
      <c r="G3717" s="85"/>
    </row>
    <row r="3718">
      <c r="A3718" s="84"/>
      <c r="B3718" s="85"/>
      <c r="C3718" s="85"/>
      <c r="F3718" s="92"/>
      <c r="G3718" s="85"/>
    </row>
    <row r="3719">
      <c r="A3719" s="84"/>
      <c r="B3719" s="85"/>
      <c r="C3719" s="85"/>
      <c r="F3719" s="92"/>
      <c r="G3719" s="85"/>
    </row>
    <row r="3720">
      <c r="A3720" s="84"/>
      <c r="B3720" s="85"/>
      <c r="C3720" s="85"/>
      <c r="F3720" s="92"/>
      <c r="G3720" s="85"/>
    </row>
    <row r="3721">
      <c r="A3721" s="84"/>
      <c r="B3721" s="85"/>
      <c r="C3721" s="85"/>
      <c r="F3721" s="92"/>
      <c r="G3721" s="85"/>
    </row>
    <row r="3722">
      <c r="A3722" s="84"/>
      <c r="B3722" s="85"/>
      <c r="C3722" s="85"/>
      <c r="F3722" s="92"/>
      <c r="G3722" s="85"/>
    </row>
    <row r="3723">
      <c r="A3723" s="84"/>
      <c r="B3723" s="85"/>
      <c r="C3723" s="85"/>
      <c r="F3723" s="92"/>
      <c r="G3723" s="85"/>
    </row>
    <row r="3724">
      <c r="A3724" s="84"/>
      <c r="B3724" s="85"/>
      <c r="C3724" s="85"/>
      <c r="F3724" s="92"/>
      <c r="G3724" s="85"/>
    </row>
    <row r="3725">
      <c r="A3725" s="84"/>
      <c r="B3725" s="85"/>
      <c r="C3725" s="85"/>
      <c r="F3725" s="92"/>
      <c r="G3725" s="85"/>
    </row>
    <row r="3726">
      <c r="A3726" s="84"/>
      <c r="B3726" s="85"/>
      <c r="C3726" s="85"/>
      <c r="F3726" s="92"/>
      <c r="G3726" s="85"/>
    </row>
    <row r="3727">
      <c r="A3727" s="84"/>
      <c r="B3727" s="85"/>
      <c r="C3727" s="85"/>
      <c r="F3727" s="92"/>
      <c r="G3727" s="85"/>
    </row>
    <row r="3728">
      <c r="A3728" s="84"/>
      <c r="B3728" s="85"/>
      <c r="C3728" s="85"/>
      <c r="F3728" s="92"/>
      <c r="G3728" s="85"/>
    </row>
    <row r="3729">
      <c r="A3729" s="84"/>
      <c r="B3729" s="85"/>
      <c r="C3729" s="85"/>
      <c r="F3729" s="92"/>
      <c r="G3729" s="85"/>
    </row>
    <row r="3730">
      <c r="A3730" s="84"/>
      <c r="B3730" s="85"/>
      <c r="C3730" s="85"/>
      <c r="F3730" s="92"/>
      <c r="G3730" s="85"/>
    </row>
    <row r="3731">
      <c r="A3731" s="84"/>
      <c r="B3731" s="85"/>
      <c r="C3731" s="85"/>
      <c r="F3731" s="92"/>
      <c r="G3731" s="85"/>
    </row>
    <row r="3732">
      <c r="A3732" s="84"/>
      <c r="B3732" s="85"/>
      <c r="C3732" s="85"/>
      <c r="F3732" s="92"/>
      <c r="G3732" s="85"/>
    </row>
    <row r="3733">
      <c r="A3733" s="84"/>
      <c r="B3733" s="85"/>
      <c r="C3733" s="85"/>
      <c r="F3733" s="92"/>
      <c r="G3733" s="85"/>
    </row>
    <row r="3734">
      <c r="A3734" s="84"/>
      <c r="B3734" s="85"/>
      <c r="C3734" s="85"/>
      <c r="F3734" s="92"/>
      <c r="G3734" s="85"/>
    </row>
    <row r="3735">
      <c r="A3735" s="84"/>
      <c r="B3735" s="85"/>
      <c r="C3735" s="85"/>
      <c r="F3735" s="92"/>
      <c r="G3735" s="85"/>
    </row>
    <row r="3736">
      <c r="A3736" s="84"/>
      <c r="B3736" s="85"/>
      <c r="C3736" s="85"/>
      <c r="F3736" s="92"/>
      <c r="G3736" s="85"/>
    </row>
    <row r="3737">
      <c r="A3737" s="84"/>
      <c r="B3737" s="85"/>
      <c r="C3737" s="85"/>
      <c r="F3737" s="92"/>
      <c r="G3737" s="85"/>
    </row>
    <row r="3738">
      <c r="A3738" s="84"/>
      <c r="B3738" s="85"/>
      <c r="C3738" s="85"/>
      <c r="F3738" s="92"/>
      <c r="G3738" s="85"/>
    </row>
    <row r="3739">
      <c r="A3739" s="84"/>
      <c r="B3739" s="85"/>
      <c r="C3739" s="85"/>
      <c r="F3739" s="92"/>
      <c r="G3739" s="85"/>
    </row>
    <row r="3740">
      <c r="A3740" s="84"/>
      <c r="B3740" s="85"/>
      <c r="C3740" s="85"/>
      <c r="F3740" s="92"/>
      <c r="G3740" s="85"/>
    </row>
    <row r="3741">
      <c r="A3741" s="84"/>
      <c r="B3741" s="85"/>
      <c r="C3741" s="85"/>
      <c r="F3741" s="92"/>
      <c r="G3741" s="85"/>
    </row>
    <row r="3742">
      <c r="A3742" s="84"/>
      <c r="B3742" s="85"/>
      <c r="C3742" s="85"/>
      <c r="F3742" s="92"/>
      <c r="G3742" s="85"/>
    </row>
    <row r="3743">
      <c r="A3743" s="84"/>
      <c r="B3743" s="85"/>
      <c r="C3743" s="85"/>
      <c r="F3743" s="92"/>
      <c r="G3743" s="85"/>
    </row>
    <row r="3744">
      <c r="A3744" s="84"/>
      <c r="B3744" s="85"/>
      <c r="C3744" s="85"/>
      <c r="F3744" s="92"/>
      <c r="G3744" s="85"/>
    </row>
    <row r="3745">
      <c r="A3745" s="84"/>
      <c r="B3745" s="85"/>
      <c r="C3745" s="85"/>
      <c r="F3745" s="92"/>
      <c r="G3745" s="85"/>
    </row>
    <row r="3746">
      <c r="A3746" s="84"/>
      <c r="B3746" s="85"/>
      <c r="C3746" s="85"/>
      <c r="F3746" s="92"/>
      <c r="G3746" s="85"/>
    </row>
    <row r="3747">
      <c r="A3747" s="84"/>
      <c r="B3747" s="85"/>
      <c r="C3747" s="85"/>
      <c r="F3747" s="92"/>
      <c r="G3747" s="85"/>
    </row>
    <row r="3748">
      <c r="A3748" s="84"/>
      <c r="B3748" s="85"/>
      <c r="C3748" s="85"/>
      <c r="F3748" s="92"/>
      <c r="G3748" s="85"/>
    </row>
    <row r="3749">
      <c r="A3749" s="84"/>
      <c r="B3749" s="85"/>
      <c r="C3749" s="85"/>
      <c r="F3749" s="92"/>
      <c r="G3749" s="85"/>
    </row>
    <row r="3750">
      <c r="A3750" s="84"/>
      <c r="B3750" s="85"/>
      <c r="C3750" s="85"/>
      <c r="F3750" s="92"/>
      <c r="G3750" s="85"/>
    </row>
    <row r="3751">
      <c r="A3751" s="84"/>
      <c r="B3751" s="85"/>
      <c r="C3751" s="85"/>
      <c r="F3751" s="92"/>
      <c r="G3751" s="85"/>
    </row>
    <row r="3752">
      <c r="A3752" s="84"/>
      <c r="B3752" s="85"/>
      <c r="C3752" s="85"/>
      <c r="F3752" s="92"/>
      <c r="G3752" s="85"/>
    </row>
    <row r="3753">
      <c r="A3753" s="84"/>
      <c r="B3753" s="85"/>
      <c r="C3753" s="85"/>
      <c r="F3753" s="92"/>
      <c r="G3753" s="85"/>
    </row>
    <row r="3754">
      <c r="A3754" s="84"/>
      <c r="B3754" s="85"/>
      <c r="C3754" s="85"/>
      <c r="F3754" s="92"/>
      <c r="G3754" s="85"/>
    </row>
    <row r="3755">
      <c r="A3755" s="84"/>
      <c r="B3755" s="85"/>
      <c r="C3755" s="85"/>
      <c r="F3755" s="92"/>
      <c r="G3755" s="85"/>
    </row>
    <row r="3756">
      <c r="A3756" s="84"/>
      <c r="B3756" s="85"/>
      <c r="C3756" s="85"/>
      <c r="F3756" s="92"/>
      <c r="G3756" s="85"/>
    </row>
    <row r="3757">
      <c r="A3757" s="84"/>
      <c r="B3757" s="85"/>
      <c r="C3757" s="85"/>
      <c r="F3757" s="92"/>
      <c r="G3757" s="85"/>
    </row>
    <row r="3758">
      <c r="A3758" s="84"/>
      <c r="B3758" s="85"/>
      <c r="C3758" s="85"/>
      <c r="F3758" s="92"/>
      <c r="G3758" s="85"/>
    </row>
    <row r="3759">
      <c r="A3759" s="84"/>
      <c r="B3759" s="85"/>
      <c r="C3759" s="85"/>
      <c r="F3759" s="92"/>
      <c r="G3759" s="85"/>
    </row>
    <row r="3760">
      <c r="A3760" s="84"/>
      <c r="B3760" s="85"/>
      <c r="C3760" s="85"/>
      <c r="F3760" s="92"/>
      <c r="G3760" s="85"/>
    </row>
    <row r="3761">
      <c r="A3761" s="84"/>
      <c r="B3761" s="85"/>
      <c r="C3761" s="85"/>
      <c r="F3761" s="92"/>
      <c r="G3761" s="85"/>
    </row>
    <row r="3762">
      <c r="A3762" s="84"/>
      <c r="B3762" s="85"/>
      <c r="C3762" s="85"/>
      <c r="F3762" s="92"/>
      <c r="G3762" s="85"/>
    </row>
    <row r="3763">
      <c r="A3763" s="84"/>
      <c r="B3763" s="85"/>
      <c r="C3763" s="85"/>
      <c r="F3763" s="92"/>
      <c r="G3763" s="85"/>
    </row>
    <row r="3764">
      <c r="A3764" s="84"/>
      <c r="B3764" s="85"/>
      <c r="C3764" s="85"/>
      <c r="F3764" s="92"/>
      <c r="G3764" s="85"/>
    </row>
    <row r="3765">
      <c r="A3765" s="84"/>
      <c r="B3765" s="85"/>
      <c r="C3765" s="85"/>
      <c r="F3765" s="92"/>
      <c r="G3765" s="85"/>
    </row>
    <row r="3766">
      <c r="A3766" s="84"/>
      <c r="B3766" s="85"/>
      <c r="C3766" s="85"/>
      <c r="F3766" s="92"/>
      <c r="G3766" s="85"/>
    </row>
    <row r="3767">
      <c r="A3767" s="84"/>
      <c r="B3767" s="85"/>
      <c r="C3767" s="85"/>
      <c r="F3767" s="92"/>
      <c r="G3767" s="85"/>
    </row>
    <row r="3768">
      <c r="A3768" s="84"/>
      <c r="B3768" s="85"/>
      <c r="C3768" s="85"/>
      <c r="F3768" s="92"/>
      <c r="G3768" s="85"/>
    </row>
    <row r="3769">
      <c r="A3769" s="84"/>
      <c r="B3769" s="85"/>
      <c r="C3769" s="85"/>
      <c r="F3769" s="92"/>
      <c r="G3769" s="85"/>
    </row>
    <row r="3770">
      <c r="A3770" s="84"/>
      <c r="B3770" s="85"/>
      <c r="C3770" s="85"/>
      <c r="F3770" s="92"/>
      <c r="G3770" s="85"/>
    </row>
    <row r="3771">
      <c r="A3771" s="84"/>
      <c r="B3771" s="85"/>
      <c r="C3771" s="85"/>
      <c r="F3771" s="92"/>
      <c r="G3771" s="85"/>
    </row>
    <row r="3772">
      <c r="A3772" s="84"/>
      <c r="B3772" s="85"/>
      <c r="C3772" s="85"/>
      <c r="F3772" s="92"/>
      <c r="G3772" s="85"/>
    </row>
    <row r="3773">
      <c r="A3773" s="84"/>
      <c r="B3773" s="85"/>
      <c r="C3773" s="85"/>
      <c r="F3773" s="92"/>
      <c r="G3773" s="85"/>
    </row>
    <row r="3774">
      <c r="A3774" s="84"/>
      <c r="B3774" s="85"/>
      <c r="C3774" s="85"/>
      <c r="F3774" s="92"/>
      <c r="G3774" s="85"/>
    </row>
    <row r="3775">
      <c r="A3775" s="84"/>
      <c r="B3775" s="85"/>
      <c r="C3775" s="85"/>
      <c r="F3775" s="92"/>
      <c r="G3775" s="85"/>
    </row>
    <row r="3776">
      <c r="A3776" s="84"/>
      <c r="B3776" s="85"/>
      <c r="C3776" s="85"/>
      <c r="F3776" s="92"/>
      <c r="G3776" s="85"/>
    </row>
    <row r="3777">
      <c r="A3777" s="84"/>
      <c r="B3777" s="85"/>
      <c r="C3777" s="85"/>
      <c r="F3777" s="92"/>
      <c r="G3777" s="85"/>
    </row>
    <row r="3778">
      <c r="A3778" s="84"/>
      <c r="B3778" s="85"/>
      <c r="C3778" s="85"/>
      <c r="F3778" s="92"/>
      <c r="G3778" s="85"/>
    </row>
    <row r="3779">
      <c r="A3779" s="84"/>
      <c r="B3779" s="85"/>
      <c r="C3779" s="85"/>
      <c r="F3779" s="92"/>
      <c r="G3779" s="85"/>
    </row>
    <row r="3780">
      <c r="A3780" s="84"/>
      <c r="B3780" s="85"/>
      <c r="C3780" s="85"/>
      <c r="F3780" s="92"/>
      <c r="G3780" s="85"/>
    </row>
    <row r="3781">
      <c r="A3781" s="84"/>
      <c r="B3781" s="85"/>
      <c r="C3781" s="85"/>
      <c r="F3781" s="92"/>
      <c r="G3781" s="85"/>
    </row>
    <row r="3782">
      <c r="A3782" s="84"/>
      <c r="B3782" s="85"/>
      <c r="C3782" s="85"/>
      <c r="F3782" s="92"/>
      <c r="G3782" s="85"/>
    </row>
    <row r="3783">
      <c r="A3783" s="84"/>
      <c r="B3783" s="85"/>
      <c r="C3783" s="85"/>
      <c r="F3783" s="92"/>
      <c r="G3783" s="85"/>
    </row>
    <row r="3784">
      <c r="A3784" s="84"/>
      <c r="B3784" s="85"/>
      <c r="C3784" s="85"/>
      <c r="F3784" s="92"/>
      <c r="G3784" s="85"/>
    </row>
    <row r="3785">
      <c r="A3785" s="84"/>
      <c r="B3785" s="85"/>
      <c r="C3785" s="85"/>
      <c r="F3785" s="92"/>
      <c r="G3785" s="85"/>
    </row>
    <row r="3786">
      <c r="A3786" s="84"/>
      <c r="B3786" s="85"/>
      <c r="C3786" s="85"/>
      <c r="F3786" s="92"/>
      <c r="G3786" s="85"/>
    </row>
    <row r="3787">
      <c r="A3787" s="84"/>
      <c r="B3787" s="85"/>
      <c r="C3787" s="85"/>
      <c r="F3787" s="92"/>
      <c r="G3787" s="85"/>
    </row>
    <row r="3788">
      <c r="A3788" s="84"/>
      <c r="B3788" s="85"/>
      <c r="C3788" s="85"/>
      <c r="F3788" s="92"/>
      <c r="G3788" s="85"/>
    </row>
    <row r="3789">
      <c r="A3789" s="84"/>
      <c r="B3789" s="85"/>
      <c r="C3789" s="85"/>
      <c r="F3789" s="92"/>
      <c r="G3789" s="85"/>
    </row>
    <row r="3790">
      <c r="A3790" s="84"/>
      <c r="B3790" s="85"/>
      <c r="C3790" s="85"/>
      <c r="F3790" s="92"/>
      <c r="G3790" s="85"/>
    </row>
    <row r="3791">
      <c r="A3791" s="84"/>
      <c r="B3791" s="85"/>
      <c r="C3791" s="85"/>
      <c r="F3791" s="92"/>
      <c r="G3791" s="85"/>
    </row>
    <row r="3792">
      <c r="A3792" s="84"/>
      <c r="B3792" s="85"/>
      <c r="C3792" s="85"/>
      <c r="F3792" s="92"/>
      <c r="G3792" s="85"/>
    </row>
    <row r="3793">
      <c r="A3793" s="84"/>
      <c r="B3793" s="85"/>
      <c r="C3793" s="85"/>
      <c r="F3793" s="92"/>
      <c r="G3793" s="85"/>
    </row>
    <row r="3794">
      <c r="A3794" s="84"/>
      <c r="B3794" s="85"/>
      <c r="C3794" s="85"/>
      <c r="F3794" s="92"/>
      <c r="G3794" s="85"/>
    </row>
    <row r="3795">
      <c r="A3795" s="84"/>
      <c r="B3795" s="85"/>
      <c r="C3795" s="85"/>
      <c r="F3795" s="92"/>
      <c r="G3795" s="85"/>
    </row>
    <row r="3796">
      <c r="A3796" s="84"/>
      <c r="B3796" s="85"/>
      <c r="C3796" s="85"/>
      <c r="F3796" s="92"/>
      <c r="G3796" s="85"/>
    </row>
    <row r="3797">
      <c r="A3797" s="84"/>
      <c r="B3797" s="85"/>
      <c r="C3797" s="85"/>
      <c r="F3797" s="92"/>
      <c r="G3797" s="85"/>
    </row>
    <row r="3798">
      <c r="A3798" s="84"/>
      <c r="B3798" s="85"/>
      <c r="C3798" s="85"/>
      <c r="F3798" s="92"/>
      <c r="G3798" s="85"/>
    </row>
    <row r="3799">
      <c r="A3799" s="84"/>
      <c r="B3799" s="85"/>
      <c r="C3799" s="85"/>
      <c r="F3799" s="92"/>
      <c r="G3799" s="85"/>
    </row>
    <row r="3800">
      <c r="A3800" s="84"/>
      <c r="B3800" s="85"/>
      <c r="C3800" s="85"/>
      <c r="F3800" s="92"/>
      <c r="G3800" s="85"/>
    </row>
    <row r="3801">
      <c r="A3801" s="84"/>
      <c r="B3801" s="85"/>
      <c r="C3801" s="85"/>
      <c r="F3801" s="92"/>
      <c r="G3801" s="85"/>
    </row>
    <row r="3802">
      <c r="A3802" s="84"/>
      <c r="B3802" s="85"/>
      <c r="C3802" s="85"/>
      <c r="F3802" s="92"/>
      <c r="G3802" s="85"/>
    </row>
    <row r="3803">
      <c r="A3803" s="84"/>
      <c r="B3803" s="85"/>
      <c r="C3803" s="85"/>
      <c r="F3803" s="92"/>
      <c r="G3803" s="85"/>
    </row>
    <row r="3804">
      <c r="A3804" s="84"/>
      <c r="B3804" s="85"/>
      <c r="C3804" s="85"/>
      <c r="F3804" s="92"/>
      <c r="G3804" s="85"/>
    </row>
    <row r="3805">
      <c r="A3805" s="84"/>
      <c r="B3805" s="85"/>
      <c r="C3805" s="85"/>
      <c r="F3805" s="92"/>
      <c r="G3805" s="85"/>
    </row>
    <row r="3806">
      <c r="A3806" s="84"/>
      <c r="B3806" s="85"/>
      <c r="C3806" s="85"/>
      <c r="F3806" s="92"/>
      <c r="G3806" s="85"/>
    </row>
    <row r="3807">
      <c r="A3807" s="84"/>
      <c r="B3807" s="85"/>
      <c r="C3807" s="85"/>
      <c r="F3807" s="92"/>
      <c r="G3807" s="85"/>
    </row>
    <row r="3808">
      <c r="A3808" s="84"/>
      <c r="B3808" s="85"/>
      <c r="C3808" s="85"/>
      <c r="F3808" s="92"/>
      <c r="G3808" s="85"/>
    </row>
    <row r="3809">
      <c r="A3809" s="84"/>
      <c r="B3809" s="85"/>
      <c r="C3809" s="85"/>
      <c r="F3809" s="92"/>
      <c r="G3809" s="85"/>
    </row>
    <row r="3810">
      <c r="A3810" s="84"/>
      <c r="B3810" s="85"/>
      <c r="C3810" s="85"/>
      <c r="F3810" s="92"/>
      <c r="G3810" s="85"/>
    </row>
    <row r="3811">
      <c r="A3811" s="84"/>
      <c r="B3811" s="85"/>
      <c r="C3811" s="85"/>
      <c r="F3811" s="92"/>
      <c r="G3811" s="85"/>
    </row>
    <row r="3812">
      <c r="A3812" s="84"/>
      <c r="B3812" s="85"/>
      <c r="C3812" s="85"/>
      <c r="F3812" s="92"/>
      <c r="G3812" s="85"/>
    </row>
    <row r="3813">
      <c r="A3813" s="84"/>
      <c r="B3813" s="85"/>
      <c r="C3813" s="85"/>
      <c r="F3813" s="92"/>
      <c r="G3813" s="85"/>
    </row>
    <row r="3814">
      <c r="A3814" s="84"/>
      <c r="B3814" s="85"/>
      <c r="C3814" s="85"/>
      <c r="F3814" s="92"/>
      <c r="G3814" s="85"/>
    </row>
    <row r="3815">
      <c r="A3815" s="84"/>
      <c r="B3815" s="85"/>
      <c r="C3815" s="85"/>
      <c r="F3815" s="92"/>
      <c r="G3815" s="85"/>
    </row>
    <row r="3816">
      <c r="A3816" s="84"/>
      <c r="B3816" s="85"/>
      <c r="C3816" s="85"/>
      <c r="F3816" s="92"/>
      <c r="G3816" s="85"/>
    </row>
    <row r="3817">
      <c r="A3817" s="84"/>
      <c r="B3817" s="85"/>
      <c r="C3817" s="85"/>
      <c r="F3817" s="92"/>
      <c r="G3817" s="85"/>
    </row>
    <row r="3818">
      <c r="A3818" s="84"/>
      <c r="B3818" s="85"/>
      <c r="C3818" s="85"/>
      <c r="F3818" s="92"/>
      <c r="G3818" s="85"/>
    </row>
    <row r="3819">
      <c r="A3819" s="84"/>
      <c r="B3819" s="85"/>
      <c r="C3819" s="85"/>
      <c r="F3819" s="92"/>
      <c r="G3819" s="85"/>
    </row>
    <row r="3820">
      <c r="A3820" s="84"/>
      <c r="B3820" s="85"/>
      <c r="C3820" s="85"/>
      <c r="F3820" s="92"/>
      <c r="G3820" s="85"/>
    </row>
    <row r="3821">
      <c r="A3821" s="84"/>
      <c r="B3821" s="85"/>
      <c r="C3821" s="85"/>
      <c r="F3821" s="92"/>
      <c r="G3821" s="85"/>
    </row>
    <row r="3822">
      <c r="A3822" s="84"/>
      <c r="B3822" s="85"/>
      <c r="C3822" s="85"/>
      <c r="F3822" s="92"/>
      <c r="G3822" s="85"/>
    </row>
    <row r="3823">
      <c r="A3823" s="84"/>
      <c r="B3823" s="85"/>
      <c r="C3823" s="85"/>
      <c r="F3823" s="92"/>
      <c r="G3823" s="85"/>
    </row>
    <row r="3824">
      <c r="A3824" s="84"/>
      <c r="B3824" s="85"/>
      <c r="C3824" s="85"/>
      <c r="F3824" s="92"/>
      <c r="G3824" s="85"/>
    </row>
    <row r="3825">
      <c r="A3825" s="84"/>
      <c r="B3825" s="85"/>
      <c r="C3825" s="85"/>
      <c r="F3825" s="92"/>
      <c r="G3825" s="85"/>
    </row>
    <row r="3826">
      <c r="A3826" s="84"/>
      <c r="B3826" s="85"/>
      <c r="C3826" s="85"/>
      <c r="F3826" s="92"/>
      <c r="G3826" s="85"/>
    </row>
    <row r="3827">
      <c r="A3827" s="84"/>
      <c r="B3827" s="85"/>
      <c r="C3827" s="85"/>
      <c r="F3827" s="92"/>
      <c r="G3827" s="85"/>
    </row>
    <row r="3828">
      <c r="A3828" s="84"/>
      <c r="B3828" s="85"/>
      <c r="C3828" s="85"/>
      <c r="F3828" s="92"/>
      <c r="G3828" s="85"/>
    </row>
    <row r="3829">
      <c r="A3829" s="84"/>
      <c r="B3829" s="85"/>
      <c r="C3829" s="85"/>
      <c r="F3829" s="92"/>
      <c r="G3829" s="85"/>
    </row>
    <row r="3830">
      <c r="A3830" s="84"/>
      <c r="B3830" s="85"/>
      <c r="C3830" s="85"/>
      <c r="F3830" s="92"/>
      <c r="G3830" s="85"/>
    </row>
    <row r="3831">
      <c r="A3831" s="84"/>
      <c r="B3831" s="85"/>
      <c r="C3831" s="85"/>
      <c r="F3831" s="92"/>
      <c r="G3831" s="85"/>
    </row>
    <row r="3832">
      <c r="A3832" s="84"/>
      <c r="B3832" s="85"/>
      <c r="C3832" s="85"/>
      <c r="F3832" s="92"/>
      <c r="G3832" s="85"/>
    </row>
    <row r="3833">
      <c r="A3833" s="84"/>
      <c r="B3833" s="85"/>
      <c r="C3833" s="85"/>
      <c r="F3833" s="92"/>
      <c r="G3833" s="85"/>
    </row>
    <row r="3834">
      <c r="A3834" s="84"/>
      <c r="B3834" s="85"/>
      <c r="C3834" s="85"/>
      <c r="F3834" s="92"/>
      <c r="G3834" s="85"/>
    </row>
    <row r="3835">
      <c r="A3835" s="84"/>
      <c r="B3835" s="85"/>
      <c r="C3835" s="85"/>
      <c r="F3835" s="92"/>
      <c r="G3835" s="85"/>
    </row>
    <row r="3836">
      <c r="A3836" s="84"/>
      <c r="B3836" s="85"/>
      <c r="C3836" s="85"/>
      <c r="F3836" s="92"/>
      <c r="G3836" s="85"/>
    </row>
    <row r="3837">
      <c r="A3837" s="84"/>
      <c r="B3837" s="85"/>
      <c r="C3837" s="85"/>
      <c r="F3837" s="92"/>
      <c r="G3837" s="85"/>
    </row>
    <row r="3838">
      <c r="A3838" s="84"/>
      <c r="B3838" s="85"/>
      <c r="C3838" s="85"/>
      <c r="F3838" s="92"/>
      <c r="G3838" s="85"/>
    </row>
    <row r="3839">
      <c r="A3839" s="84"/>
      <c r="B3839" s="85"/>
      <c r="C3839" s="85"/>
      <c r="F3839" s="92"/>
      <c r="G3839" s="85"/>
    </row>
    <row r="3840">
      <c r="A3840" s="84"/>
      <c r="B3840" s="85"/>
      <c r="C3840" s="85"/>
      <c r="F3840" s="92"/>
      <c r="G3840" s="85"/>
    </row>
    <row r="3841">
      <c r="A3841" s="84"/>
      <c r="B3841" s="85"/>
      <c r="C3841" s="85"/>
      <c r="F3841" s="92"/>
      <c r="G3841" s="85"/>
    </row>
    <row r="3842">
      <c r="A3842" s="84"/>
      <c r="B3842" s="85"/>
      <c r="C3842" s="85"/>
      <c r="F3842" s="92"/>
      <c r="G3842" s="85"/>
    </row>
    <row r="3843">
      <c r="A3843" s="84"/>
      <c r="B3843" s="85"/>
      <c r="C3843" s="85"/>
      <c r="F3843" s="92"/>
      <c r="G3843" s="85"/>
    </row>
    <row r="3844">
      <c r="A3844" s="84"/>
      <c r="B3844" s="85"/>
      <c r="C3844" s="85"/>
      <c r="F3844" s="92"/>
      <c r="G3844" s="85"/>
    </row>
    <row r="3845">
      <c r="A3845" s="84"/>
      <c r="B3845" s="85"/>
      <c r="C3845" s="85"/>
      <c r="F3845" s="92"/>
      <c r="G3845" s="85"/>
    </row>
    <row r="3846">
      <c r="A3846" s="84"/>
      <c r="B3846" s="85"/>
      <c r="C3846" s="85"/>
      <c r="F3846" s="92"/>
      <c r="G3846" s="85"/>
    </row>
    <row r="3847">
      <c r="A3847" s="84"/>
      <c r="B3847" s="85"/>
      <c r="C3847" s="85"/>
      <c r="F3847" s="92"/>
      <c r="G3847" s="85"/>
    </row>
    <row r="3848">
      <c r="A3848" s="84"/>
      <c r="B3848" s="85"/>
      <c r="C3848" s="85"/>
      <c r="F3848" s="92"/>
      <c r="G3848" s="85"/>
    </row>
    <row r="3849">
      <c r="A3849" s="84"/>
      <c r="B3849" s="85"/>
      <c r="C3849" s="85"/>
      <c r="F3849" s="92"/>
      <c r="G3849" s="85"/>
    </row>
    <row r="3850">
      <c r="A3850" s="84"/>
      <c r="B3850" s="85"/>
      <c r="C3850" s="85"/>
      <c r="F3850" s="92"/>
      <c r="G3850" s="85"/>
    </row>
    <row r="3851">
      <c r="A3851" s="84"/>
      <c r="B3851" s="85"/>
      <c r="C3851" s="85"/>
      <c r="F3851" s="92"/>
      <c r="G3851" s="85"/>
    </row>
    <row r="3852">
      <c r="A3852" s="84"/>
      <c r="B3852" s="85"/>
      <c r="C3852" s="85"/>
      <c r="F3852" s="92"/>
      <c r="G3852" s="85"/>
    </row>
    <row r="3853">
      <c r="A3853" s="84"/>
      <c r="B3853" s="85"/>
      <c r="C3853" s="85"/>
      <c r="F3853" s="92"/>
      <c r="G3853" s="85"/>
    </row>
    <row r="3854">
      <c r="A3854" s="84"/>
      <c r="B3854" s="85"/>
      <c r="C3854" s="85"/>
      <c r="F3854" s="92"/>
      <c r="G3854" s="85"/>
    </row>
    <row r="3855">
      <c r="A3855" s="84"/>
      <c r="B3855" s="85"/>
      <c r="C3855" s="85"/>
      <c r="F3855" s="92"/>
      <c r="G3855" s="85"/>
    </row>
    <row r="3856">
      <c r="A3856" s="84"/>
      <c r="B3856" s="85"/>
      <c r="C3856" s="85"/>
      <c r="F3856" s="92"/>
      <c r="G3856" s="85"/>
    </row>
    <row r="3857">
      <c r="A3857" s="84"/>
      <c r="B3857" s="85"/>
      <c r="C3857" s="85"/>
      <c r="F3857" s="92"/>
      <c r="G3857" s="85"/>
    </row>
    <row r="3858">
      <c r="A3858" s="84"/>
      <c r="B3858" s="85"/>
      <c r="C3858" s="85"/>
      <c r="F3858" s="92"/>
      <c r="G3858" s="85"/>
    </row>
    <row r="3859">
      <c r="A3859" s="84"/>
      <c r="B3859" s="85"/>
      <c r="C3859" s="85"/>
      <c r="F3859" s="92"/>
      <c r="G3859" s="85"/>
    </row>
    <row r="3860">
      <c r="A3860" s="84"/>
      <c r="B3860" s="85"/>
      <c r="C3860" s="85"/>
      <c r="F3860" s="92"/>
      <c r="G3860" s="85"/>
    </row>
    <row r="3861">
      <c r="A3861" s="84"/>
      <c r="B3861" s="85"/>
      <c r="C3861" s="85"/>
      <c r="F3861" s="92"/>
      <c r="G3861" s="85"/>
    </row>
    <row r="3862">
      <c r="A3862" s="84"/>
      <c r="B3862" s="85"/>
      <c r="C3862" s="85"/>
      <c r="F3862" s="92"/>
      <c r="G3862" s="85"/>
    </row>
    <row r="3863">
      <c r="A3863" s="84"/>
      <c r="B3863" s="85"/>
      <c r="C3863" s="85"/>
      <c r="F3863" s="92"/>
      <c r="G3863" s="85"/>
    </row>
    <row r="3864">
      <c r="A3864" s="84"/>
      <c r="B3864" s="85"/>
      <c r="C3864" s="85"/>
      <c r="F3864" s="92"/>
      <c r="G3864" s="85"/>
    </row>
    <row r="3865">
      <c r="A3865" s="84"/>
      <c r="B3865" s="85"/>
      <c r="C3865" s="85"/>
      <c r="F3865" s="92"/>
      <c r="G3865" s="85"/>
    </row>
    <row r="3866">
      <c r="A3866" s="84"/>
      <c r="B3866" s="85"/>
      <c r="C3866" s="85"/>
      <c r="F3866" s="92"/>
      <c r="G3866" s="85"/>
    </row>
    <row r="3867">
      <c r="A3867" s="84"/>
      <c r="B3867" s="85"/>
      <c r="C3867" s="85"/>
      <c r="F3867" s="92"/>
      <c r="G3867" s="85"/>
    </row>
    <row r="3868">
      <c r="A3868" s="84"/>
      <c r="B3868" s="85"/>
      <c r="C3868" s="85"/>
      <c r="F3868" s="92"/>
      <c r="G3868" s="85"/>
    </row>
    <row r="3869">
      <c r="A3869" s="84"/>
      <c r="B3869" s="85"/>
      <c r="C3869" s="85"/>
      <c r="F3869" s="92"/>
      <c r="G3869" s="85"/>
    </row>
    <row r="3870">
      <c r="A3870" s="84"/>
      <c r="B3870" s="85"/>
      <c r="C3870" s="85"/>
      <c r="F3870" s="92"/>
      <c r="G3870" s="85"/>
    </row>
    <row r="3871">
      <c r="A3871" s="84"/>
      <c r="B3871" s="85"/>
      <c r="C3871" s="85"/>
      <c r="F3871" s="92"/>
      <c r="G3871" s="85"/>
    </row>
    <row r="3872">
      <c r="A3872" s="84"/>
      <c r="B3872" s="85"/>
      <c r="C3872" s="85"/>
      <c r="F3872" s="92"/>
      <c r="G3872" s="85"/>
    </row>
    <row r="3873">
      <c r="A3873" s="84"/>
      <c r="B3873" s="85"/>
      <c r="C3873" s="85"/>
      <c r="F3873" s="92"/>
      <c r="G3873" s="85"/>
    </row>
    <row r="3874">
      <c r="A3874" s="84"/>
      <c r="B3874" s="85"/>
      <c r="C3874" s="85"/>
      <c r="F3874" s="92"/>
      <c r="G3874" s="85"/>
    </row>
    <row r="3875">
      <c r="A3875" s="84"/>
      <c r="B3875" s="85"/>
      <c r="C3875" s="85"/>
      <c r="F3875" s="92"/>
      <c r="G3875" s="85"/>
    </row>
    <row r="3876">
      <c r="A3876" s="84"/>
      <c r="B3876" s="85"/>
      <c r="C3876" s="85"/>
      <c r="F3876" s="92"/>
      <c r="G3876" s="85"/>
    </row>
    <row r="3877">
      <c r="A3877" s="84"/>
      <c r="B3877" s="85"/>
      <c r="C3877" s="85"/>
      <c r="F3877" s="92"/>
      <c r="G3877" s="85"/>
    </row>
    <row r="3878">
      <c r="A3878" s="84"/>
      <c r="B3878" s="85"/>
      <c r="C3878" s="85"/>
      <c r="F3878" s="92"/>
      <c r="G3878" s="85"/>
    </row>
    <row r="3879">
      <c r="A3879" s="84"/>
      <c r="B3879" s="85"/>
      <c r="C3879" s="85"/>
      <c r="F3879" s="92"/>
      <c r="G3879" s="85"/>
    </row>
    <row r="3880">
      <c r="A3880" s="84"/>
      <c r="B3880" s="85"/>
      <c r="C3880" s="85"/>
      <c r="F3880" s="92"/>
      <c r="G3880" s="85"/>
    </row>
    <row r="3881">
      <c r="A3881" s="84"/>
      <c r="B3881" s="85"/>
      <c r="C3881" s="85"/>
      <c r="F3881" s="92"/>
      <c r="G3881" s="85"/>
    </row>
    <row r="3882">
      <c r="A3882" s="84"/>
      <c r="B3882" s="85"/>
      <c r="C3882" s="85"/>
      <c r="F3882" s="92"/>
      <c r="G3882" s="85"/>
    </row>
    <row r="3883">
      <c r="A3883" s="84"/>
      <c r="B3883" s="85"/>
      <c r="C3883" s="85"/>
      <c r="F3883" s="92"/>
      <c r="G3883" s="85"/>
    </row>
    <row r="3884">
      <c r="A3884" s="84"/>
      <c r="B3884" s="85"/>
      <c r="C3884" s="85"/>
      <c r="F3884" s="92"/>
      <c r="G3884" s="85"/>
    </row>
    <row r="3885">
      <c r="A3885" s="84"/>
      <c r="B3885" s="85"/>
      <c r="C3885" s="85"/>
      <c r="F3885" s="92"/>
      <c r="G3885" s="85"/>
    </row>
    <row r="3886">
      <c r="A3886" s="84"/>
      <c r="B3886" s="85"/>
      <c r="C3886" s="85"/>
      <c r="F3886" s="92"/>
      <c r="G3886" s="85"/>
    </row>
    <row r="3887">
      <c r="A3887" s="84"/>
      <c r="B3887" s="85"/>
      <c r="C3887" s="85"/>
      <c r="F3887" s="92"/>
      <c r="G3887" s="85"/>
    </row>
    <row r="3888">
      <c r="A3888" s="84"/>
      <c r="B3888" s="85"/>
      <c r="C3888" s="85"/>
      <c r="F3888" s="92"/>
      <c r="G3888" s="85"/>
    </row>
    <row r="3889">
      <c r="A3889" s="84"/>
      <c r="B3889" s="85"/>
      <c r="C3889" s="85"/>
      <c r="F3889" s="92"/>
      <c r="G3889" s="85"/>
    </row>
    <row r="3890">
      <c r="A3890" s="84"/>
      <c r="B3890" s="85"/>
      <c r="C3890" s="85"/>
      <c r="F3890" s="92"/>
      <c r="G3890" s="85"/>
    </row>
    <row r="3891">
      <c r="A3891" s="84"/>
      <c r="B3891" s="85"/>
      <c r="C3891" s="85"/>
      <c r="F3891" s="92"/>
      <c r="G3891" s="85"/>
    </row>
    <row r="3892">
      <c r="A3892" s="84"/>
      <c r="B3892" s="85"/>
      <c r="C3892" s="85"/>
      <c r="F3892" s="92"/>
      <c r="G3892" s="85"/>
    </row>
    <row r="3893">
      <c r="A3893" s="84"/>
      <c r="B3893" s="85"/>
      <c r="C3893" s="85"/>
      <c r="F3893" s="92"/>
      <c r="G3893" s="85"/>
    </row>
    <row r="3894">
      <c r="A3894" s="84"/>
      <c r="B3894" s="85"/>
      <c r="C3894" s="85"/>
      <c r="F3894" s="92"/>
      <c r="G3894" s="85"/>
    </row>
    <row r="3895">
      <c r="A3895" s="84"/>
      <c r="B3895" s="85"/>
      <c r="C3895" s="85"/>
      <c r="F3895" s="92"/>
      <c r="G3895" s="85"/>
    </row>
    <row r="3896">
      <c r="A3896" s="84"/>
      <c r="B3896" s="85"/>
      <c r="C3896" s="85"/>
      <c r="F3896" s="92"/>
      <c r="G3896" s="85"/>
    </row>
    <row r="3897">
      <c r="A3897" s="84"/>
      <c r="B3897" s="85"/>
      <c r="C3897" s="85"/>
      <c r="F3897" s="92"/>
      <c r="G3897" s="85"/>
    </row>
    <row r="3898">
      <c r="A3898" s="84"/>
      <c r="B3898" s="85"/>
      <c r="C3898" s="85"/>
      <c r="F3898" s="92"/>
      <c r="G3898" s="85"/>
    </row>
    <row r="3899">
      <c r="A3899" s="84"/>
      <c r="B3899" s="85"/>
      <c r="C3899" s="85"/>
      <c r="F3899" s="92"/>
      <c r="G3899" s="85"/>
    </row>
    <row r="3900">
      <c r="A3900" s="84"/>
      <c r="B3900" s="85"/>
      <c r="C3900" s="85"/>
      <c r="F3900" s="92"/>
      <c r="G3900" s="85"/>
    </row>
    <row r="3901">
      <c r="A3901" s="84"/>
      <c r="B3901" s="85"/>
      <c r="C3901" s="85"/>
      <c r="F3901" s="92"/>
      <c r="G3901" s="85"/>
    </row>
    <row r="3902">
      <c r="A3902" s="84"/>
      <c r="B3902" s="85"/>
      <c r="C3902" s="85"/>
      <c r="F3902" s="92"/>
      <c r="G3902" s="85"/>
    </row>
    <row r="3903">
      <c r="A3903" s="84"/>
      <c r="B3903" s="85"/>
      <c r="C3903" s="85"/>
      <c r="F3903" s="92"/>
      <c r="G3903" s="85"/>
    </row>
    <row r="3904">
      <c r="A3904" s="84"/>
      <c r="B3904" s="85"/>
      <c r="C3904" s="85"/>
      <c r="F3904" s="92"/>
      <c r="G3904" s="85"/>
    </row>
    <row r="3905">
      <c r="A3905" s="84"/>
      <c r="B3905" s="85"/>
      <c r="C3905" s="85"/>
      <c r="F3905" s="92"/>
      <c r="G3905" s="85"/>
    </row>
    <row r="3906">
      <c r="A3906" s="84"/>
      <c r="B3906" s="85"/>
      <c r="C3906" s="85"/>
      <c r="F3906" s="92"/>
      <c r="G3906" s="85"/>
    </row>
    <row r="3907">
      <c r="A3907" s="84"/>
      <c r="B3907" s="85"/>
      <c r="C3907" s="85"/>
      <c r="F3907" s="92"/>
      <c r="G3907" s="85"/>
    </row>
    <row r="3908">
      <c r="A3908" s="84"/>
      <c r="B3908" s="85"/>
      <c r="C3908" s="85"/>
      <c r="F3908" s="92"/>
      <c r="G3908" s="85"/>
    </row>
    <row r="3909">
      <c r="A3909" s="84"/>
      <c r="B3909" s="85"/>
      <c r="C3909" s="85"/>
      <c r="F3909" s="92"/>
      <c r="G3909" s="85"/>
    </row>
    <row r="3910">
      <c r="A3910" s="84"/>
      <c r="B3910" s="85"/>
      <c r="C3910" s="85"/>
      <c r="F3910" s="92"/>
      <c r="G3910" s="85"/>
    </row>
    <row r="3911">
      <c r="A3911" s="84"/>
      <c r="B3911" s="85"/>
      <c r="C3911" s="85"/>
      <c r="F3911" s="92"/>
      <c r="G3911" s="85"/>
    </row>
    <row r="3912">
      <c r="A3912" s="84"/>
      <c r="B3912" s="85"/>
      <c r="C3912" s="85"/>
      <c r="F3912" s="92"/>
      <c r="G3912" s="85"/>
    </row>
    <row r="3913">
      <c r="A3913" s="84"/>
      <c r="B3913" s="85"/>
      <c r="C3913" s="85"/>
      <c r="F3913" s="92"/>
      <c r="G3913" s="85"/>
    </row>
    <row r="3914">
      <c r="A3914" s="84"/>
      <c r="B3914" s="85"/>
      <c r="C3914" s="85"/>
      <c r="F3914" s="92"/>
      <c r="G3914" s="85"/>
    </row>
    <row r="3915">
      <c r="A3915" s="84"/>
      <c r="B3915" s="85"/>
      <c r="C3915" s="85"/>
      <c r="F3915" s="92"/>
      <c r="G3915" s="85"/>
    </row>
    <row r="3916">
      <c r="A3916" s="84"/>
      <c r="B3916" s="85"/>
      <c r="C3916" s="85"/>
      <c r="F3916" s="92"/>
      <c r="G3916" s="85"/>
    </row>
    <row r="3917">
      <c r="A3917" s="84"/>
      <c r="B3917" s="85"/>
      <c r="C3917" s="85"/>
      <c r="F3917" s="92"/>
      <c r="G3917" s="85"/>
    </row>
    <row r="3918">
      <c r="A3918" s="84"/>
      <c r="B3918" s="85"/>
      <c r="C3918" s="85"/>
      <c r="F3918" s="92"/>
      <c r="G3918" s="85"/>
    </row>
    <row r="3919">
      <c r="A3919" s="84"/>
      <c r="B3919" s="85"/>
      <c r="C3919" s="85"/>
      <c r="F3919" s="92"/>
      <c r="G3919" s="85"/>
    </row>
    <row r="3920">
      <c r="A3920" s="84"/>
      <c r="B3920" s="85"/>
      <c r="C3920" s="85"/>
      <c r="F3920" s="92"/>
      <c r="G3920" s="85"/>
    </row>
    <row r="3921">
      <c r="A3921" s="84"/>
      <c r="B3921" s="85"/>
      <c r="C3921" s="85"/>
      <c r="F3921" s="92"/>
      <c r="G3921" s="85"/>
    </row>
    <row r="3922">
      <c r="A3922" s="84"/>
      <c r="B3922" s="85"/>
      <c r="C3922" s="85"/>
      <c r="F3922" s="92"/>
      <c r="G3922" s="85"/>
    </row>
    <row r="3923">
      <c r="A3923" s="84"/>
      <c r="B3923" s="85"/>
      <c r="C3923" s="85"/>
      <c r="F3923" s="92"/>
      <c r="G3923" s="85"/>
    </row>
    <row r="3924">
      <c r="A3924" s="84"/>
      <c r="B3924" s="85"/>
      <c r="C3924" s="85"/>
      <c r="F3924" s="92"/>
      <c r="G3924" s="85"/>
    </row>
    <row r="3925">
      <c r="A3925" s="84"/>
      <c r="B3925" s="85"/>
      <c r="C3925" s="85"/>
      <c r="F3925" s="92"/>
      <c r="G3925" s="85"/>
    </row>
    <row r="3926">
      <c r="A3926" s="84"/>
      <c r="B3926" s="85"/>
      <c r="C3926" s="85"/>
      <c r="F3926" s="92"/>
      <c r="G3926" s="85"/>
    </row>
    <row r="3927">
      <c r="A3927" s="84"/>
      <c r="B3927" s="85"/>
      <c r="C3927" s="85"/>
      <c r="F3927" s="92"/>
      <c r="G3927" s="85"/>
    </row>
    <row r="3928">
      <c r="A3928" s="84"/>
      <c r="B3928" s="85"/>
      <c r="C3928" s="85"/>
      <c r="F3928" s="92"/>
      <c r="G3928" s="85"/>
    </row>
    <row r="3929">
      <c r="A3929" s="84"/>
      <c r="B3929" s="85"/>
      <c r="C3929" s="85"/>
      <c r="F3929" s="92"/>
      <c r="G3929" s="85"/>
    </row>
    <row r="3930">
      <c r="A3930" s="84"/>
      <c r="B3930" s="85"/>
      <c r="C3930" s="85"/>
      <c r="F3930" s="92"/>
      <c r="G3930" s="85"/>
    </row>
    <row r="3931">
      <c r="A3931" s="84"/>
      <c r="B3931" s="85"/>
      <c r="C3931" s="85"/>
      <c r="F3931" s="92"/>
      <c r="G3931" s="85"/>
    </row>
    <row r="3932">
      <c r="A3932" s="84"/>
      <c r="B3932" s="85"/>
      <c r="C3932" s="85"/>
      <c r="F3932" s="92"/>
      <c r="G3932" s="85"/>
    </row>
    <row r="3933">
      <c r="A3933" s="84"/>
      <c r="B3933" s="85"/>
      <c r="C3933" s="85"/>
      <c r="F3933" s="92"/>
      <c r="G3933" s="85"/>
    </row>
    <row r="3934">
      <c r="A3934" s="84"/>
      <c r="B3934" s="85"/>
      <c r="C3934" s="85"/>
      <c r="F3934" s="92"/>
      <c r="G3934" s="85"/>
    </row>
    <row r="3935">
      <c r="A3935" s="84"/>
      <c r="B3935" s="85"/>
      <c r="C3935" s="85"/>
      <c r="F3935" s="92"/>
      <c r="G3935" s="85"/>
    </row>
    <row r="3936">
      <c r="A3936" s="84"/>
      <c r="B3936" s="85"/>
      <c r="C3936" s="85"/>
      <c r="F3936" s="92"/>
      <c r="G3936" s="85"/>
    </row>
    <row r="3937">
      <c r="A3937" s="84"/>
      <c r="B3937" s="85"/>
      <c r="C3937" s="85"/>
      <c r="F3937" s="92"/>
      <c r="G3937" s="85"/>
    </row>
    <row r="3938">
      <c r="A3938" s="84"/>
      <c r="B3938" s="85"/>
      <c r="C3938" s="85"/>
      <c r="F3938" s="92"/>
      <c r="G3938" s="85"/>
    </row>
    <row r="3939">
      <c r="A3939" s="84"/>
      <c r="B3939" s="85"/>
      <c r="C3939" s="85"/>
      <c r="F3939" s="92"/>
      <c r="G3939" s="85"/>
    </row>
    <row r="3940">
      <c r="A3940" s="84"/>
      <c r="B3940" s="85"/>
      <c r="C3940" s="85"/>
      <c r="F3940" s="92"/>
      <c r="G3940" s="85"/>
    </row>
    <row r="3941">
      <c r="A3941" s="84"/>
      <c r="B3941" s="85"/>
      <c r="C3941" s="85"/>
      <c r="F3941" s="92"/>
      <c r="G3941" s="85"/>
    </row>
    <row r="3942">
      <c r="A3942" s="84"/>
      <c r="B3942" s="85"/>
      <c r="C3942" s="85"/>
      <c r="F3942" s="92"/>
      <c r="G3942" s="85"/>
    </row>
    <row r="3943">
      <c r="A3943" s="84"/>
      <c r="B3943" s="85"/>
      <c r="C3943" s="85"/>
      <c r="F3943" s="92"/>
      <c r="G3943" s="85"/>
    </row>
    <row r="3944">
      <c r="A3944" s="84"/>
      <c r="B3944" s="85"/>
      <c r="C3944" s="85"/>
      <c r="F3944" s="92"/>
      <c r="G3944" s="85"/>
    </row>
    <row r="3945">
      <c r="A3945" s="84"/>
      <c r="B3945" s="85"/>
      <c r="C3945" s="85"/>
      <c r="F3945" s="92"/>
      <c r="G3945" s="85"/>
    </row>
    <row r="3946">
      <c r="A3946" s="84"/>
      <c r="B3946" s="85"/>
      <c r="C3946" s="85"/>
      <c r="F3946" s="92"/>
      <c r="G3946" s="85"/>
    </row>
    <row r="3947">
      <c r="A3947" s="84"/>
      <c r="B3947" s="85"/>
      <c r="C3947" s="85"/>
      <c r="F3947" s="92"/>
      <c r="G3947" s="85"/>
    </row>
    <row r="3948">
      <c r="A3948" s="84"/>
      <c r="B3948" s="85"/>
      <c r="C3948" s="85"/>
      <c r="F3948" s="92"/>
      <c r="G3948" s="85"/>
    </row>
    <row r="3949">
      <c r="A3949" s="84"/>
      <c r="B3949" s="85"/>
      <c r="C3949" s="85"/>
      <c r="F3949" s="92"/>
      <c r="G3949" s="85"/>
    </row>
    <row r="3950">
      <c r="A3950" s="84"/>
      <c r="B3950" s="85"/>
      <c r="C3950" s="85"/>
      <c r="F3950" s="92"/>
      <c r="G3950" s="85"/>
    </row>
    <row r="3951">
      <c r="A3951" s="84"/>
      <c r="B3951" s="85"/>
      <c r="C3951" s="85"/>
      <c r="F3951" s="92"/>
      <c r="G3951" s="85"/>
    </row>
    <row r="3952">
      <c r="A3952" s="84"/>
      <c r="B3952" s="85"/>
      <c r="C3952" s="85"/>
      <c r="F3952" s="92"/>
      <c r="G3952" s="85"/>
    </row>
    <row r="3953">
      <c r="A3953" s="84"/>
      <c r="B3953" s="85"/>
      <c r="C3953" s="85"/>
      <c r="F3953" s="92"/>
      <c r="G3953" s="85"/>
    </row>
    <row r="3954">
      <c r="A3954" s="84"/>
      <c r="B3954" s="85"/>
      <c r="C3954" s="85"/>
      <c r="F3954" s="92"/>
      <c r="G3954" s="85"/>
    </row>
    <row r="3955">
      <c r="A3955" s="84"/>
      <c r="B3955" s="85"/>
      <c r="C3955" s="85"/>
      <c r="F3955" s="92"/>
      <c r="G3955" s="85"/>
    </row>
    <row r="3956">
      <c r="A3956" s="84"/>
      <c r="B3956" s="85"/>
      <c r="C3956" s="85"/>
      <c r="F3956" s="92"/>
      <c r="G3956" s="85"/>
    </row>
    <row r="3957">
      <c r="A3957" s="84"/>
      <c r="B3957" s="85"/>
      <c r="C3957" s="85"/>
      <c r="F3957" s="92"/>
      <c r="G3957" s="85"/>
    </row>
    <row r="3958">
      <c r="A3958" s="84"/>
      <c r="B3958" s="85"/>
      <c r="C3958" s="85"/>
      <c r="F3958" s="92"/>
      <c r="G3958" s="85"/>
    </row>
    <row r="3959">
      <c r="A3959" s="84"/>
      <c r="B3959" s="85"/>
      <c r="C3959" s="85"/>
      <c r="F3959" s="92"/>
      <c r="G3959" s="85"/>
    </row>
    <row r="3960">
      <c r="A3960" s="84"/>
      <c r="B3960" s="85"/>
      <c r="C3960" s="85"/>
      <c r="F3960" s="92"/>
      <c r="G3960" s="85"/>
    </row>
    <row r="3961">
      <c r="A3961" s="84"/>
      <c r="B3961" s="85"/>
      <c r="C3961" s="85"/>
      <c r="F3961" s="92"/>
      <c r="G3961" s="85"/>
    </row>
    <row r="3962">
      <c r="A3962" s="84"/>
      <c r="B3962" s="85"/>
      <c r="C3962" s="85"/>
      <c r="F3962" s="92"/>
      <c r="G3962" s="85"/>
    </row>
    <row r="3963">
      <c r="A3963" s="84"/>
      <c r="B3963" s="85"/>
      <c r="C3963" s="85"/>
      <c r="F3963" s="92"/>
      <c r="G3963" s="85"/>
    </row>
    <row r="3964">
      <c r="A3964" s="84"/>
      <c r="B3964" s="85"/>
      <c r="C3964" s="85"/>
      <c r="F3964" s="92"/>
      <c r="G3964" s="85"/>
    </row>
    <row r="3965">
      <c r="A3965" s="84"/>
      <c r="B3965" s="85"/>
      <c r="C3965" s="85"/>
      <c r="F3965" s="92"/>
      <c r="G3965" s="85"/>
    </row>
    <row r="3966">
      <c r="A3966" s="84"/>
      <c r="B3966" s="85"/>
      <c r="C3966" s="85"/>
      <c r="F3966" s="92"/>
      <c r="G3966" s="85"/>
    </row>
    <row r="3967">
      <c r="A3967" s="84"/>
      <c r="B3967" s="85"/>
      <c r="C3967" s="85"/>
      <c r="F3967" s="92"/>
      <c r="G3967" s="85"/>
    </row>
    <row r="3968">
      <c r="A3968" s="84"/>
      <c r="B3968" s="85"/>
      <c r="C3968" s="85"/>
      <c r="F3968" s="92"/>
      <c r="G3968" s="85"/>
    </row>
    <row r="3969">
      <c r="A3969" s="84"/>
      <c r="B3969" s="85"/>
      <c r="C3969" s="85"/>
      <c r="F3969" s="92"/>
      <c r="G3969" s="85"/>
    </row>
    <row r="3970">
      <c r="A3970" s="84"/>
      <c r="B3970" s="85"/>
      <c r="C3970" s="85"/>
      <c r="F3970" s="92"/>
      <c r="G3970" s="85"/>
    </row>
    <row r="3971">
      <c r="A3971" s="84"/>
      <c r="B3971" s="85"/>
      <c r="C3971" s="85"/>
      <c r="F3971" s="92"/>
      <c r="G3971" s="85"/>
    </row>
    <row r="3972">
      <c r="A3972" s="84"/>
      <c r="B3972" s="85"/>
      <c r="C3972" s="85"/>
      <c r="F3972" s="92"/>
      <c r="G3972" s="85"/>
    </row>
    <row r="3973">
      <c r="A3973" s="84"/>
      <c r="B3973" s="85"/>
      <c r="C3973" s="85"/>
      <c r="F3973" s="92"/>
      <c r="G3973" s="85"/>
    </row>
    <row r="3974">
      <c r="A3974" s="84"/>
      <c r="B3974" s="85"/>
      <c r="C3974" s="85"/>
      <c r="F3974" s="92"/>
      <c r="G3974" s="85"/>
    </row>
    <row r="3975">
      <c r="A3975" s="84"/>
      <c r="B3975" s="85"/>
      <c r="C3975" s="85"/>
      <c r="F3975" s="92"/>
      <c r="G3975" s="85"/>
    </row>
    <row r="3976">
      <c r="A3976" s="84"/>
      <c r="B3976" s="85"/>
      <c r="C3976" s="85"/>
      <c r="F3976" s="92"/>
      <c r="G3976" s="85"/>
    </row>
    <row r="3977">
      <c r="A3977" s="84"/>
      <c r="B3977" s="85"/>
      <c r="C3977" s="85"/>
      <c r="F3977" s="92"/>
      <c r="G3977" s="85"/>
    </row>
    <row r="3978">
      <c r="A3978" s="84"/>
      <c r="B3978" s="85"/>
      <c r="C3978" s="85"/>
      <c r="F3978" s="92"/>
      <c r="G3978" s="85"/>
    </row>
    <row r="3979">
      <c r="A3979" s="84"/>
      <c r="B3979" s="85"/>
      <c r="C3979" s="85"/>
      <c r="F3979" s="92"/>
      <c r="G3979" s="85"/>
    </row>
    <row r="3980">
      <c r="A3980" s="84"/>
      <c r="B3980" s="85"/>
      <c r="C3980" s="85"/>
      <c r="F3980" s="92"/>
      <c r="G3980" s="85"/>
    </row>
    <row r="3981">
      <c r="A3981" s="84"/>
      <c r="B3981" s="85"/>
      <c r="C3981" s="85"/>
      <c r="F3981" s="92"/>
      <c r="G3981" s="85"/>
    </row>
    <row r="3982">
      <c r="A3982" s="84"/>
      <c r="B3982" s="85"/>
      <c r="C3982" s="85"/>
      <c r="F3982" s="92"/>
      <c r="G3982" s="85"/>
    </row>
    <row r="3983">
      <c r="A3983" s="84"/>
      <c r="B3983" s="85"/>
      <c r="C3983" s="85"/>
      <c r="F3983" s="92"/>
      <c r="G3983" s="85"/>
    </row>
    <row r="3984">
      <c r="A3984" s="84"/>
      <c r="B3984" s="85"/>
      <c r="C3984" s="85"/>
      <c r="F3984" s="92"/>
      <c r="G3984" s="85"/>
    </row>
    <row r="3985">
      <c r="A3985" s="84"/>
      <c r="B3985" s="85"/>
      <c r="C3985" s="85"/>
      <c r="F3985" s="92"/>
      <c r="G3985" s="85"/>
    </row>
    <row r="3986">
      <c r="A3986" s="84"/>
      <c r="B3986" s="85"/>
      <c r="C3986" s="85"/>
      <c r="F3986" s="92"/>
      <c r="G3986" s="85"/>
    </row>
    <row r="3987">
      <c r="A3987" s="84"/>
      <c r="B3987" s="85"/>
      <c r="C3987" s="85"/>
      <c r="F3987" s="92"/>
      <c r="G3987" s="85"/>
    </row>
    <row r="3988">
      <c r="A3988" s="84"/>
      <c r="B3988" s="85"/>
      <c r="C3988" s="85"/>
      <c r="F3988" s="92"/>
      <c r="G3988" s="85"/>
    </row>
    <row r="3989">
      <c r="A3989" s="84"/>
      <c r="B3989" s="85"/>
      <c r="C3989" s="85"/>
      <c r="F3989" s="92"/>
      <c r="G3989" s="85"/>
    </row>
    <row r="3990">
      <c r="A3990" s="84"/>
      <c r="B3990" s="85"/>
      <c r="C3990" s="85"/>
      <c r="F3990" s="92"/>
      <c r="G3990" s="85"/>
    </row>
    <row r="3991">
      <c r="A3991" s="84"/>
      <c r="B3991" s="85"/>
      <c r="C3991" s="85"/>
      <c r="F3991" s="92"/>
      <c r="G3991" s="85"/>
    </row>
    <row r="3992">
      <c r="A3992" s="84"/>
      <c r="B3992" s="85"/>
      <c r="C3992" s="85"/>
      <c r="F3992" s="92"/>
      <c r="G3992" s="85"/>
    </row>
    <row r="3993">
      <c r="A3993" s="84"/>
      <c r="B3993" s="85"/>
      <c r="C3993" s="85"/>
      <c r="F3993" s="92"/>
      <c r="G3993" s="85"/>
    </row>
    <row r="3994">
      <c r="A3994" s="84"/>
      <c r="B3994" s="85"/>
      <c r="C3994" s="85"/>
      <c r="F3994" s="92"/>
      <c r="G3994" s="85"/>
    </row>
    <row r="3995">
      <c r="A3995" s="84"/>
      <c r="B3995" s="85"/>
      <c r="C3995" s="85"/>
      <c r="F3995" s="92"/>
      <c r="G3995" s="85"/>
    </row>
    <row r="3996">
      <c r="A3996" s="84"/>
      <c r="B3996" s="85"/>
      <c r="C3996" s="85"/>
      <c r="F3996" s="92"/>
      <c r="G3996" s="85"/>
    </row>
    <row r="3997">
      <c r="A3997" s="84"/>
      <c r="B3997" s="85"/>
      <c r="C3997" s="85"/>
      <c r="F3997" s="92"/>
      <c r="G3997" s="85"/>
    </row>
    <row r="3998">
      <c r="A3998" s="84"/>
      <c r="B3998" s="85"/>
      <c r="C3998" s="85"/>
      <c r="F3998" s="92"/>
      <c r="G3998" s="85"/>
    </row>
    <row r="3999">
      <c r="A3999" s="84"/>
      <c r="B3999" s="85"/>
      <c r="C3999" s="85"/>
      <c r="F3999" s="92"/>
      <c r="G3999" s="85"/>
    </row>
    <row r="4000">
      <c r="A4000" s="84"/>
      <c r="B4000" s="85"/>
      <c r="C4000" s="85"/>
      <c r="F4000" s="92"/>
      <c r="G4000" s="85"/>
    </row>
    <row r="4001">
      <c r="A4001" s="84"/>
      <c r="B4001" s="85"/>
      <c r="C4001" s="85"/>
      <c r="F4001" s="92"/>
      <c r="G4001" s="85"/>
    </row>
    <row r="4002">
      <c r="A4002" s="84"/>
      <c r="B4002" s="85"/>
      <c r="C4002" s="85"/>
      <c r="F4002" s="92"/>
      <c r="G4002" s="85"/>
    </row>
    <row r="4003">
      <c r="A4003" s="84"/>
      <c r="B4003" s="85"/>
      <c r="C4003" s="85"/>
      <c r="F4003" s="92"/>
      <c r="G4003" s="85"/>
    </row>
    <row r="4004">
      <c r="A4004" s="84"/>
      <c r="B4004" s="85"/>
      <c r="C4004" s="85"/>
      <c r="F4004" s="92"/>
      <c r="G4004" s="85"/>
    </row>
    <row r="4005">
      <c r="A4005" s="84"/>
      <c r="B4005" s="85"/>
      <c r="C4005" s="85"/>
      <c r="F4005" s="92"/>
      <c r="G4005" s="85"/>
    </row>
    <row r="4006">
      <c r="A4006" s="84"/>
      <c r="B4006" s="85"/>
      <c r="C4006" s="85"/>
      <c r="F4006" s="92"/>
      <c r="G4006" s="85"/>
    </row>
    <row r="4007">
      <c r="A4007" s="84"/>
      <c r="B4007" s="85"/>
      <c r="C4007" s="85"/>
      <c r="F4007" s="92"/>
      <c r="G4007" s="85"/>
    </row>
    <row r="4008">
      <c r="A4008" s="84"/>
      <c r="B4008" s="85"/>
      <c r="C4008" s="85"/>
      <c r="F4008" s="92"/>
      <c r="G4008" s="85"/>
    </row>
    <row r="4009">
      <c r="A4009" s="84"/>
      <c r="B4009" s="85"/>
      <c r="C4009" s="85"/>
      <c r="F4009" s="92"/>
      <c r="G4009" s="85"/>
    </row>
    <row r="4010">
      <c r="A4010" s="84"/>
      <c r="B4010" s="85"/>
      <c r="C4010" s="85"/>
      <c r="F4010" s="92"/>
      <c r="G4010" s="85"/>
    </row>
    <row r="4011">
      <c r="A4011" s="84"/>
      <c r="B4011" s="85"/>
      <c r="C4011" s="85"/>
      <c r="F4011" s="92"/>
      <c r="G4011" s="85"/>
    </row>
    <row r="4012">
      <c r="A4012" s="84"/>
      <c r="B4012" s="85"/>
      <c r="C4012" s="85"/>
      <c r="F4012" s="92"/>
      <c r="G4012" s="85"/>
    </row>
    <row r="4013">
      <c r="A4013" s="84"/>
      <c r="B4013" s="85"/>
      <c r="C4013" s="85"/>
      <c r="F4013" s="92"/>
      <c r="G4013" s="85"/>
    </row>
    <row r="4014">
      <c r="A4014" s="84"/>
      <c r="B4014" s="85"/>
      <c r="C4014" s="85"/>
      <c r="F4014" s="92"/>
      <c r="G4014" s="85"/>
    </row>
    <row r="4015">
      <c r="A4015" s="84"/>
      <c r="B4015" s="85"/>
      <c r="C4015" s="85"/>
      <c r="F4015" s="92"/>
      <c r="G4015" s="85"/>
    </row>
    <row r="4016">
      <c r="A4016" s="84"/>
      <c r="B4016" s="85"/>
      <c r="C4016" s="85"/>
      <c r="F4016" s="92"/>
      <c r="G4016" s="85"/>
    </row>
    <row r="4017">
      <c r="A4017" s="84"/>
      <c r="B4017" s="85"/>
      <c r="C4017" s="85"/>
      <c r="F4017" s="92"/>
      <c r="G4017" s="85"/>
    </row>
    <row r="4018">
      <c r="A4018" s="84"/>
      <c r="B4018" s="85"/>
      <c r="C4018" s="85"/>
      <c r="F4018" s="92"/>
      <c r="G4018" s="85"/>
    </row>
    <row r="4019">
      <c r="A4019" s="84"/>
      <c r="B4019" s="85"/>
      <c r="C4019" s="85"/>
      <c r="F4019" s="92"/>
      <c r="G4019" s="85"/>
    </row>
    <row r="4020">
      <c r="A4020" s="84"/>
      <c r="B4020" s="85"/>
      <c r="C4020" s="85"/>
      <c r="F4020" s="92"/>
      <c r="G4020" s="85"/>
    </row>
    <row r="4021">
      <c r="A4021" s="84"/>
      <c r="B4021" s="85"/>
      <c r="C4021" s="85"/>
      <c r="F4021" s="92"/>
      <c r="G4021" s="85"/>
    </row>
    <row r="4022">
      <c r="A4022" s="84"/>
      <c r="B4022" s="85"/>
      <c r="C4022" s="85"/>
      <c r="F4022" s="92"/>
      <c r="G4022" s="85"/>
    </row>
    <row r="4023">
      <c r="A4023" s="84"/>
      <c r="B4023" s="85"/>
      <c r="C4023" s="85"/>
      <c r="F4023" s="92"/>
      <c r="G4023" s="85"/>
    </row>
    <row r="4024">
      <c r="A4024" s="84"/>
      <c r="B4024" s="85"/>
      <c r="C4024" s="85"/>
      <c r="F4024" s="92"/>
      <c r="G4024" s="85"/>
    </row>
    <row r="4025">
      <c r="A4025" s="84"/>
      <c r="B4025" s="85"/>
      <c r="C4025" s="85"/>
      <c r="F4025" s="92"/>
      <c r="G4025" s="85"/>
    </row>
    <row r="4026">
      <c r="A4026" s="84"/>
      <c r="B4026" s="85"/>
      <c r="C4026" s="85"/>
      <c r="F4026" s="92"/>
      <c r="G4026" s="85"/>
    </row>
    <row r="4027">
      <c r="A4027" s="84"/>
      <c r="B4027" s="85"/>
      <c r="C4027" s="85"/>
      <c r="F4027" s="92"/>
      <c r="G4027" s="85"/>
    </row>
    <row r="4028">
      <c r="A4028" s="84"/>
      <c r="B4028" s="85"/>
      <c r="C4028" s="85"/>
      <c r="F4028" s="92"/>
      <c r="G4028" s="85"/>
    </row>
    <row r="4029">
      <c r="A4029" s="84"/>
      <c r="B4029" s="85"/>
      <c r="C4029" s="85"/>
      <c r="F4029" s="92"/>
      <c r="G4029" s="85"/>
    </row>
    <row r="4030">
      <c r="A4030" s="84"/>
      <c r="B4030" s="85"/>
      <c r="C4030" s="85"/>
      <c r="F4030" s="92"/>
      <c r="G4030" s="85"/>
    </row>
    <row r="4031">
      <c r="A4031" s="84"/>
      <c r="B4031" s="85"/>
      <c r="C4031" s="85"/>
      <c r="F4031" s="92"/>
      <c r="G4031" s="85"/>
    </row>
    <row r="4032">
      <c r="A4032" s="84"/>
      <c r="B4032" s="85"/>
      <c r="C4032" s="85"/>
      <c r="F4032" s="92"/>
      <c r="G4032" s="85"/>
    </row>
    <row r="4033">
      <c r="A4033" s="84"/>
      <c r="B4033" s="85"/>
      <c r="C4033" s="85"/>
      <c r="F4033" s="92"/>
      <c r="G4033" s="85"/>
    </row>
    <row r="4034">
      <c r="A4034" s="84"/>
      <c r="B4034" s="85"/>
      <c r="C4034" s="85"/>
      <c r="F4034" s="92"/>
      <c r="G4034" s="85"/>
    </row>
    <row r="4035">
      <c r="A4035" s="84"/>
      <c r="B4035" s="85"/>
      <c r="C4035" s="85"/>
      <c r="F4035" s="92"/>
      <c r="G4035" s="85"/>
    </row>
    <row r="4036">
      <c r="A4036" s="84"/>
      <c r="B4036" s="85"/>
      <c r="C4036" s="85"/>
      <c r="F4036" s="92"/>
      <c r="G4036" s="85"/>
    </row>
    <row r="4037">
      <c r="A4037" s="84"/>
      <c r="B4037" s="85"/>
      <c r="C4037" s="85"/>
      <c r="F4037" s="92"/>
      <c r="G4037" s="85"/>
    </row>
    <row r="4038">
      <c r="A4038" s="84"/>
      <c r="B4038" s="85"/>
      <c r="C4038" s="85"/>
      <c r="F4038" s="92"/>
      <c r="G4038" s="85"/>
    </row>
    <row r="4039">
      <c r="A4039" s="84"/>
      <c r="B4039" s="85"/>
      <c r="C4039" s="85"/>
      <c r="F4039" s="92"/>
      <c r="G4039" s="85"/>
    </row>
    <row r="4040">
      <c r="A4040" s="84"/>
      <c r="B4040" s="85"/>
      <c r="C4040" s="85"/>
      <c r="F4040" s="92"/>
      <c r="G4040" s="85"/>
    </row>
    <row r="4041">
      <c r="A4041" s="84"/>
      <c r="B4041" s="85"/>
      <c r="C4041" s="85"/>
      <c r="F4041" s="92"/>
      <c r="G4041" s="85"/>
    </row>
    <row r="4042">
      <c r="A4042" s="84"/>
      <c r="B4042" s="85"/>
      <c r="C4042" s="85"/>
      <c r="F4042" s="92"/>
      <c r="G4042" s="85"/>
    </row>
    <row r="4043">
      <c r="A4043" s="84"/>
      <c r="B4043" s="85"/>
      <c r="C4043" s="85"/>
      <c r="F4043" s="92"/>
      <c r="G4043" s="85"/>
    </row>
    <row r="4044">
      <c r="A4044" s="84"/>
      <c r="B4044" s="85"/>
      <c r="C4044" s="85"/>
      <c r="F4044" s="92"/>
      <c r="G4044" s="85"/>
    </row>
    <row r="4045">
      <c r="A4045" s="84"/>
      <c r="B4045" s="85"/>
      <c r="C4045" s="85"/>
      <c r="F4045" s="92"/>
      <c r="G4045" s="85"/>
    </row>
    <row r="4046">
      <c r="A4046" s="84"/>
      <c r="B4046" s="85"/>
      <c r="C4046" s="85"/>
      <c r="F4046" s="92"/>
      <c r="G4046" s="85"/>
    </row>
    <row r="4047">
      <c r="A4047" s="84"/>
      <c r="B4047" s="85"/>
      <c r="C4047" s="85"/>
      <c r="F4047" s="92"/>
      <c r="G4047" s="85"/>
    </row>
    <row r="4048">
      <c r="A4048" s="84"/>
      <c r="B4048" s="85"/>
      <c r="C4048" s="85"/>
      <c r="F4048" s="92"/>
      <c r="G4048" s="85"/>
    </row>
    <row r="4049">
      <c r="A4049" s="84"/>
      <c r="B4049" s="85"/>
      <c r="C4049" s="85"/>
      <c r="F4049" s="92"/>
      <c r="G4049" s="85"/>
    </row>
    <row r="4050">
      <c r="A4050" s="84"/>
      <c r="B4050" s="85"/>
      <c r="C4050" s="85"/>
      <c r="F4050" s="92"/>
      <c r="G4050" s="85"/>
    </row>
    <row r="4051">
      <c r="A4051" s="84"/>
      <c r="B4051" s="85"/>
      <c r="C4051" s="85"/>
      <c r="F4051" s="92"/>
      <c r="G4051" s="85"/>
    </row>
    <row r="4052">
      <c r="A4052" s="84"/>
      <c r="B4052" s="85"/>
      <c r="C4052" s="85"/>
      <c r="F4052" s="92"/>
      <c r="G4052" s="85"/>
    </row>
    <row r="4053">
      <c r="A4053" s="84"/>
      <c r="B4053" s="85"/>
      <c r="C4053" s="85"/>
      <c r="F4053" s="92"/>
      <c r="G4053" s="85"/>
    </row>
    <row r="4054">
      <c r="A4054" s="84"/>
      <c r="B4054" s="85"/>
      <c r="C4054" s="85"/>
      <c r="F4054" s="92"/>
      <c r="G4054" s="85"/>
    </row>
    <row r="4055">
      <c r="A4055" s="84"/>
      <c r="B4055" s="85"/>
      <c r="C4055" s="85"/>
      <c r="F4055" s="92"/>
      <c r="G4055" s="85"/>
    </row>
    <row r="4056">
      <c r="A4056" s="84"/>
      <c r="B4056" s="85"/>
      <c r="C4056" s="85"/>
      <c r="F4056" s="92"/>
      <c r="G4056" s="85"/>
    </row>
    <row r="4057">
      <c r="A4057" s="84"/>
      <c r="B4057" s="85"/>
      <c r="C4057" s="85"/>
      <c r="F4057" s="92"/>
      <c r="G4057" s="85"/>
    </row>
    <row r="4058">
      <c r="A4058" s="84"/>
      <c r="B4058" s="85"/>
      <c r="C4058" s="85"/>
      <c r="F4058" s="92"/>
      <c r="G4058" s="85"/>
    </row>
    <row r="4059">
      <c r="A4059" s="84"/>
      <c r="B4059" s="85"/>
      <c r="C4059" s="85"/>
      <c r="F4059" s="92"/>
      <c r="G4059" s="85"/>
    </row>
    <row r="4060">
      <c r="A4060" s="84"/>
      <c r="B4060" s="85"/>
      <c r="C4060" s="85"/>
      <c r="F4060" s="92"/>
      <c r="G4060" s="85"/>
    </row>
    <row r="4061">
      <c r="A4061" s="84"/>
      <c r="B4061" s="85"/>
      <c r="C4061" s="85"/>
      <c r="F4061" s="92"/>
      <c r="G4061" s="85"/>
    </row>
    <row r="4062">
      <c r="A4062" s="84"/>
      <c r="B4062" s="85"/>
      <c r="C4062" s="85"/>
      <c r="F4062" s="92"/>
      <c r="G4062" s="85"/>
    </row>
    <row r="4063">
      <c r="A4063" s="84"/>
      <c r="B4063" s="85"/>
      <c r="C4063" s="85"/>
      <c r="F4063" s="92"/>
      <c r="G4063" s="85"/>
    </row>
    <row r="4064">
      <c r="A4064" s="84"/>
      <c r="B4064" s="85"/>
      <c r="C4064" s="85"/>
      <c r="F4064" s="92"/>
      <c r="G4064" s="85"/>
    </row>
    <row r="4065">
      <c r="A4065" s="84"/>
      <c r="B4065" s="85"/>
      <c r="C4065" s="85"/>
      <c r="F4065" s="92"/>
      <c r="G4065" s="85"/>
    </row>
    <row r="4066">
      <c r="A4066" s="84"/>
      <c r="B4066" s="85"/>
      <c r="C4066" s="85"/>
      <c r="F4066" s="92"/>
      <c r="G4066" s="85"/>
    </row>
    <row r="4067">
      <c r="A4067" s="84"/>
      <c r="B4067" s="85"/>
      <c r="C4067" s="85"/>
      <c r="F4067" s="92"/>
      <c r="G4067" s="85"/>
    </row>
    <row r="4068">
      <c r="A4068" s="84"/>
      <c r="B4068" s="85"/>
      <c r="C4068" s="85"/>
      <c r="F4068" s="92"/>
      <c r="G4068" s="85"/>
    </row>
    <row r="4069">
      <c r="A4069" s="84"/>
      <c r="B4069" s="85"/>
      <c r="C4069" s="85"/>
      <c r="F4069" s="92"/>
      <c r="G4069" s="85"/>
    </row>
    <row r="4070">
      <c r="A4070" s="84"/>
      <c r="B4070" s="85"/>
      <c r="C4070" s="85"/>
      <c r="F4070" s="92"/>
      <c r="G4070" s="85"/>
    </row>
    <row r="4071">
      <c r="A4071" s="84"/>
      <c r="B4071" s="85"/>
      <c r="C4071" s="85"/>
      <c r="F4071" s="92"/>
      <c r="G4071" s="85"/>
    </row>
    <row r="4072">
      <c r="A4072" s="84"/>
      <c r="B4072" s="85"/>
      <c r="C4072" s="85"/>
      <c r="F4072" s="92"/>
      <c r="G4072" s="85"/>
    </row>
    <row r="4073">
      <c r="A4073" s="84"/>
      <c r="B4073" s="85"/>
      <c r="C4073" s="85"/>
      <c r="F4073" s="92"/>
      <c r="G4073" s="85"/>
    </row>
    <row r="4074">
      <c r="A4074" s="84"/>
      <c r="B4074" s="85"/>
      <c r="C4074" s="85"/>
      <c r="F4074" s="92"/>
      <c r="G4074" s="85"/>
    </row>
    <row r="4075">
      <c r="A4075" s="84"/>
      <c r="B4075" s="85"/>
      <c r="C4075" s="85"/>
      <c r="F4075" s="92"/>
      <c r="G4075" s="85"/>
    </row>
    <row r="4076">
      <c r="A4076" s="84"/>
      <c r="B4076" s="85"/>
      <c r="C4076" s="85"/>
      <c r="F4076" s="92"/>
      <c r="G4076" s="85"/>
    </row>
    <row r="4077">
      <c r="A4077" s="84"/>
      <c r="B4077" s="85"/>
      <c r="C4077" s="85"/>
      <c r="F4077" s="92"/>
      <c r="G4077" s="85"/>
    </row>
    <row r="4078">
      <c r="A4078" s="84"/>
      <c r="B4078" s="85"/>
      <c r="C4078" s="85"/>
      <c r="F4078" s="92"/>
      <c r="G4078" s="85"/>
    </row>
    <row r="4079">
      <c r="A4079" s="84"/>
      <c r="B4079" s="85"/>
      <c r="C4079" s="85"/>
      <c r="F4079" s="92"/>
      <c r="G4079" s="85"/>
    </row>
    <row r="4080">
      <c r="A4080" s="84"/>
      <c r="B4080" s="85"/>
      <c r="C4080" s="85"/>
      <c r="F4080" s="92"/>
      <c r="G4080" s="85"/>
    </row>
    <row r="4081">
      <c r="A4081" s="84"/>
      <c r="B4081" s="85"/>
      <c r="C4081" s="85"/>
      <c r="F4081" s="92"/>
      <c r="G4081" s="85"/>
    </row>
    <row r="4082">
      <c r="A4082" s="84"/>
      <c r="B4082" s="85"/>
      <c r="C4082" s="85"/>
      <c r="F4082" s="92"/>
      <c r="G4082" s="85"/>
    </row>
    <row r="4083">
      <c r="A4083" s="84"/>
      <c r="B4083" s="85"/>
      <c r="C4083" s="85"/>
      <c r="F4083" s="92"/>
      <c r="G4083" s="85"/>
    </row>
    <row r="4084">
      <c r="A4084" s="84"/>
      <c r="B4084" s="85"/>
      <c r="C4084" s="85"/>
      <c r="F4084" s="92"/>
      <c r="G4084" s="85"/>
    </row>
    <row r="4085">
      <c r="A4085" s="84"/>
      <c r="B4085" s="85"/>
      <c r="C4085" s="85"/>
      <c r="F4085" s="92"/>
      <c r="G4085" s="85"/>
    </row>
    <row r="4086">
      <c r="A4086" s="84"/>
      <c r="B4086" s="85"/>
      <c r="C4086" s="85"/>
      <c r="F4086" s="92"/>
      <c r="G4086" s="85"/>
    </row>
    <row r="4087">
      <c r="A4087" s="84"/>
      <c r="B4087" s="85"/>
      <c r="C4087" s="85"/>
      <c r="F4087" s="92"/>
      <c r="G4087" s="85"/>
    </row>
    <row r="4088">
      <c r="A4088" s="84"/>
      <c r="B4088" s="85"/>
      <c r="C4088" s="85"/>
      <c r="F4088" s="92"/>
      <c r="G4088" s="85"/>
    </row>
    <row r="4089">
      <c r="A4089" s="84"/>
      <c r="B4089" s="85"/>
      <c r="C4089" s="85"/>
      <c r="F4089" s="92"/>
      <c r="G4089" s="85"/>
    </row>
    <row r="4090">
      <c r="A4090" s="84"/>
      <c r="B4090" s="85"/>
      <c r="C4090" s="85"/>
      <c r="F4090" s="92"/>
      <c r="G4090" s="85"/>
    </row>
    <row r="4091">
      <c r="A4091" s="84"/>
      <c r="B4091" s="85"/>
      <c r="C4091" s="85"/>
      <c r="F4091" s="92"/>
      <c r="G4091" s="85"/>
    </row>
    <row r="4092">
      <c r="A4092" s="84"/>
      <c r="B4092" s="85"/>
      <c r="C4092" s="85"/>
      <c r="F4092" s="92"/>
      <c r="G4092" s="85"/>
    </row>
    <row r="4093">
      <c r="A4093" s="84"/>
      <c r="B4093" s="85"/>
      <c r="C4093" s="85"/>
      <c r="F4093" s="92"/>
      <c r="G4093" s="85"/>
    </row>
    <row r="4094">
      <c r="A4094" s="84"/>
      <c r="B4094" s="85"/>
      <c r="C4094" s="85"/>
      <c r="F4094" s="92"/>
      <c r="G4094" s="85"/>
    </row>
    <row r="4095">
      <c r="A4095" s="84"/>
      <c r="B4095" s="85"/>
      <c r="C4095" s="85"/>
      <c r="F4095" s="92"/>
      <c r="G4095" s="85"/>
    </row>
    <row r="4096">
      <c r="A4096" s="84"/>
      <c r="B4096" s="85"/>
      <c r="C4096" s="85"/>
      <c r="F4096" s="92"/>
      <c r="G4096" s="85"/>
    </row>
    <row r="4097">
      <c r="A4097" s="84"/>
      <c r="B4097" s="85"/>
      <c r="C4097" s="85"/>
      <c r="F4097" s="92"/>
      <c r="G4097" s="85"/>
    </row>
    <row r="4098">
      <c r="A4098" s="84"/>
      <c r="B4098" s="85"/>
      <c r="C4098" s="85"/>
      <c r="F4098" s="92"/>
      <c r="G4098" s="85"/>
    </row>
    <row r="4099">
      <c r="A4099" s="84"/>
      <c r="B4099" s="85"/>
      <c r="C4099" s="85"/>
      <c r="F4099" s="92"/>
      <c r="G4099" s="85"/>
    </row>
    <row r="4100">
      <c r="A4100" s="84"/>
      <c r="B4100" s="85"/>
      <c r="C4100" s="85"/>
      <c r="F4100" s="92"/>
      <c r="G4100" s="85"/>
    </row>
    <row r="4101">
      <c r="A4101" s="84"/>
      <c r="B4101" s="85"/>
      <c r="C4101" s="85"/>
      <c r="F4101" s="92"/>
      <c r="G4101" s="85"/>
    </row>
    <row r="4102">
      <c r="A4102" s="84"/>
      <c r="B4102" s="85"/>
      <c r="C4102" s="85"/>
      <c r="F4102" s="92"/>
      <c r="G4102" s="85"/>
    </row>
    <row r="4103">
      <c r="A4103" s="84"/>
      <c r="B4103" s="85"/>
      <c r="C4103" s="85"/>
      <c r="F4103" s="92"/>
      <c r="G4103" s="85"/>
    </row>
    <row r="4104">
      <c r="A4104" s="84"/>
      <c r="B4104" s="85"/>
      <c r="C4104" s="85"/>
      <c r="F4104" s="92"/>
      <c r="G4104" s="85"/>
    </row>
    <row r="4105">
      <c r="A4105" s="84"/>
      <c r="B4105" s="85"/>
      <c r="C4105" s="85"/>
      <c r="F4105" s="92"/>
      <c r="G4105" s="85"/>
    </row>
    <row r="4106">
      <c r="A4106" s="84"/>
      <c r="B4106" s="85"/>
      <c r="C4106" s="85"/>
      <c r="F4106" s="92"/>
      <c r="G4106" s="85"/>
    </row>
    <row r="4107">
      <c r="A4107" s="84"/>
      <c r="B4107" s="85"/>
      <c r="C4107" s="85"/>
      <c r="F4107" s="92"/>
      <c r="G4107" s="85"/>
    </row>
    <row r="4108">
      <c r="A4108" s="84"/>
      <c r="B4108" s="85"/>
      <c r="C4108" s="85"/>
      <c r="F4108" s="92"/>
      <c r="G4108" s="85"/>
    </row>
    <row r="4109">
      <c r="A4109" s="84"/>
      <c r="B4109" s="85"/>
      <c r="C4109" s="85"/>
      <c r="F4109" s="92"/>
      <c r="G4109" s="85"/>
    </row>
    <row r="4110">
      <c r="A4110" s="84"/>
      <c r="B4110" s="85"/>
      <c r="C4110" s="85"/>
      <c r="F4110" s="92"/>
      <c r="G4110" s="85"/>
    </row>
    <row r="4111">
      <c r="A4111" s="84"/>
      <c r="B4111" s="85"/>
      <c r="C4111" s="85"/>
      <c r="F4111" s="92"/>
      <c r="G4111" s="85"/>
    </row>
    <row r="4112">
      <c r="A4112" s="84"/>
      <c r="B4112" s="85"/>
      <c r="C4112" s="85"/>
      <c r="F4112" s="92"/>
      <c r="G4112" s="85"/>
    </row>
    <row r="4113">
      <c r="A4113" s="84"/>
      <c r="B4113" s="85"/>
      <c r="C4113" s="85"/>
      <c r="F4113" s="92"/>
      <c r="G4113" s="85"/>
    </row>
    <row r="4114">
      <c r="A4114" s="84"/>
      <c r="B4114" s="85"/>
      <c r="C4114" s="85"/>
      <c r="F4114" s="92"/>
      <c r="G4114" s="85"/>
    </row>
    <row r="4115">
      <c r="A4115" s="84"/>
      <c r="B4115" s="85"/>
      <c r="C4115" s="85"/>
      <c r="F4115" s="92"/>
      <c r="G4115" s="85"/>
    </row>
    <row r="4116">
      <c r="A4116" s="84"/>
      <c r="B4116" s="85"/>
      <c r="C4116" s="85"/>
      <c r="F4116" s="92"/>
      <c r="G4116" s="85"/>
    </row>
    <row r="4117">
      <c r="A4117" s="84"/>
      <c r="B4117" s="85"/>
      <c r="C4117" s="85"/>
      <c r="F4117" s="92"/>
      <c r="G4117" s="85"/>
    </row>
    <row r="4118">
      <c r="A4118" s="84"/>
      <c r="B4118" s="85"/>
      <c r="C4118" s="85"/>
      <c r="F4118" s="92"/>
      <c r="G4118" s="85"/>
    </row>
    <row r="4119">
      <c r="A4119" s="84"/>
      <c r="B4119" s="85"/>
      <c r="C4119" s="85"/>
      <c r="F4119" s="92"/>
      <c r="G4119" s="85"/>
    </row>
    <row r="4120">
      <c r="A4120" s="84"/>
      <c r="B4120" s="85"/>
      <c r="C4120" s="85"/>
      <c r="F4120" s="92"/>
      <c r="G4120" s="85"/>
    </row>
    <row r="4121">
      <c r="A4121" s="84"/>
      <c r="B4121" s="85"/>
      <c r="C4121" s="85"/>
      <c r="F4121" s="92"/>
      <c r="G4121" s="85"/>
    </row>
    <row r="4122">
      <c r="A4122" s="84"/>
      <c r="B4122" s="85"/>
      <c r="C4122" s="85"/>
      <c r="F4122" s="92"/>
      <c r="G4122" s="85"/>
    </row>
    <row r="4123">
      <c r="A4123" s="84"/>
      <c r="B4123" s="85"/>
      <c r="C4123" s="85"/>
      <c r="F4123" s="92"/>
      <c r="G4123" s="85"/>
    </row>
    <row r="4124">
      <c r="A4124" s="84"/>
      <c r="B4124" s="85"/>
      <c r="C4124" s="85"/>
      <c r="F4124" s="92"/>
      <c r="G4124" s="85"/>
    </row>
    <row r="4125">
      <c r="A4125" s="84"/>
      <c r="B4125" s="85"/>
      <c r="C4125" s="85"/>
      <c r="F4125" s="92"/>
      <c r="G4125" s="85"/>
    </row>
    <row r="4126">
      <c r="A4126" s="84"/>
      <c r="B4126" s="85"/>
      <c r="C4126" s="85"/>
      <c r="F4126" s="92"/>
      <c r="G4126" s="85"/>
    </row>
    <row r="4127">
      <c r="A4127" s="84"/>
      <c r="B4127" s="85"/>
      <c r="C4127" s="85"/>
      <c r="F4127" s="92"/>
      <c r="G4127" s="85"/>
    </row>
    <row r="4128">
      <c r="A4128" s="84"/>
      <c r="B4128" s="85"/>
      <c r="C4128" s="85"/>
      <c r="F4128" s="92"/>
      <c r="G4128" s="85"/>
    </row>
    <row r="4129">
      <c r="A4129" s="84"/>
      <c r="B4129" s="85"/>
      <c r="C4129" s="85"/>
      <c r="F4129" s="92"/>
      <c r="G4129" s="85"/>
    </row>
    <row r="4130">
      <c r="A4130" s="84"/>
      <c r="B4130" s="85"/>
      <c r="C4130" s="85"/>
      <c r="F4130" s="92"/>
      <c r="G4130" s="85"/>
    </row>
    <row r="4131">
      <c r="A4131" s="84"/>
      <c r="B4131" s="85"/>
      <c r="C4131" s="85"/>
      <c r="F4131" s="92"/>
      <c r="G4131" s="85"/>
    </row>
    <row r="4132">
      <c r="A4132" s="84"/>
      <c r="B4132" s="85"/>
      <c r="C4132" s="85"/>
      <c r="F4132" s="92"/>
      <c r="G4132" s="85"/>
    </row>
    <row r="4133">
      <c r="A4133" s="84"/>
      <c r="B4133" s="85"/>
      <c r="C4133" s="85"/>
      <c r="F4133" s="92"/>
      <c r="G4133" s="85"/>
    </row>
    <row r="4134">
      <c r="A4134" s="84"/>
      <c r="B4134" s="85"/>
      <c r="C4134" s="85"/>
      <c r="F4134" s="92"/>
      <c r="G4134" s="85"/>
    </row>
    <row r="4135">
      <c r="A4135" s="84"/>
      <c r="B4135" s="85"/>
      <c r="C4135" s="85"/>
      <c r="F4135" s="92"/>
      <c r="G4135" s="85"/>
    </row>
    <row r="4136">
      <c r="A4136" s="84"/>
      <c r="B4136" s="85"/>
      <c r="C4136" s="85"/>
      <c r="F4136" s="92"/>
      <c r="G4136" s="85"/>
    </row>
    <row r="4137">
      <c r="A4137" s="84"/>
      <c r="B4137" s="85"/>
      <c r="C4137" s="85"/>
      <c r="F4137" s="92"/>
      <c r="G4137" s="85"/>
    </row>
    <row r="4138">
      <c r="A4138" s="84"/>
      <c r="B4138" s="85"/>
      <c r="C4138" s="85"/>
      <c r="F4138" s="92"/>
      <c r="G4138" s="85"/>
    </row>
    <row r="4139">
      <c r="A4139" s="84"/>
      <c r="B4139" s="85"/>
      <c r="C4139" s="85"/>
      <c r="F4139" s="92"/>
      <c r="G4139" s="85"/>
    </row>
    <row r="4140">
      <c r="A4140" s="84"/>
      <c r="B4140" s="85"/>
      <c r="C4140" s="85"/>
      <c r="F4140" s="92"/>
      <c r="G4140" s="85"/>
    </row>
    <row r="4141">
      <c r="A4141" s="84"/>
      <c r="B4141" s="85"/>
      <c r="C4141" s="85"/>
      <c r="F4141" s="92"/>
      <c r="G4141" s="85"/>
    </row>
    <row r="4142">
      <c r="A4142" s="84"/>
      <c r="B4142" s="85"/>
      <c r="C4142" s="85"/>
      <c r="F4142" s="92"/>
      <c r="G4142" s="85"/>
    </row>
    <row r="4143">
      <c r="A4143" s="84"/>
      <c r="B4143" s="85"/>
      <c r="C4143" s="85"/>
      <c r="F4143" s="92"/>
      <c r="G4143" s="85"/>
    </row>
    <row r="4144">
      <c r="A4144" s="84"/>
      <c r="B4144" s="85"/>
      <c r="C4144" s="85"/>
      <c r="F4144" s="92"/>
      <c r="G4144" s="85"/>
    </row>
    <row r="4145">
      <c r="A4145" s="84"/>
      <c r="B4145" s="85"/>
      <c r="C4145" s="85"/>
      <c r="F4145" s="92"/>
      <c r="G4145" s="85"/>
    </row>
    <row r="4146">
      <c r="A4146" s="84"/>
      <c r="B4146" s="85"/>
      <c r="C4146" s="85"/>
      <c r="F4146" s="92"/>
      <c r="G4146" s="85"/>
    </row>
    <row r="4147">
      <c r="A4147" s="84"/>
      <c r="B4147" s="85"/>
      <c r="C4147" s="85"/>
      <c r="F4147" s="92"/>
      <c r="G4147" s="85"/>
    </row>
    <row r="4148">
      <c r="A4148" s="84"/>
      <c r="B4148" s="85"/>
      <c r="C4148" s="85"/>
      <c r="F4148" s="92"/>
      <c r="G4148" s="85"/>
    </row>
    <row r="4149">
      <c r="A4149" s="84"/>
      <c r="B4149" s="85"/>
      <c r="C4149" s="85"/>
      <c r="F4149" s="92"/>
      <c r="G4149" s="85"/>
    </row>
    <row r="4150">
      <c r="A4150" s="84"/>
      <c r="B4150" s="85"/>
      <c r="C4150" s="85"/>
      <c r="F4150" s="92"/>
      <c r="G4150" s="85"/>
    </row>
    <row r="4151">
      <c r="A4151" s="84"/>
      <c r="B4151" s="85"/>
      <c r="C4151" s="85"/>
      <c r="F4151" s="92"/>
      <c r="G4151" s="85"/>
    </row>
    <row r="4152">
      <c r="A4152" s="84"/>
      <c r="B4152" s="85"/>
      <c r="C4152" s="85"/>
      <c r="F4152" s="92"/>
      <c r="G4152" s="85"/>
    </row>
    <row r="4153">
      <c r="A4153" s="84"/>
      <c r="B4153" s="85"/>
      <c r="C4153" s="85"/>
      <c r="F4153" s="92"/>
      <c r="G4153" s="85"/>
    </row>
    <row r="4154">
      <c r="A4154" s="84"/>
      <c r="B4154" s="85"/>
      <c r="C4154" s="85"/>
      <c r="F4154" s="92"/>
      <c r="G4154" s="85"/>
    </row>
    <row r="4155">
      <c r="A4155" s="84"/>
      <c r="B4155" s="85"/>
      <c r="C4155" s="85"/>
      <c r="F4155" s="92"/>
      <c r="G4155" s="85"/>
    </row>
    <row r="4156">
      <c r="A4156" s="84"/>
      <c r="B4156" s="85"/>
      <c r="C4156" s="85"/>
      <c r="F4156" s="92"/>
      <c r="G4156" s="85"/>
    </row>
    <row r="4157">
      <c r="A4157" s="84"/>
      <c r="B4157" s="85"/>
      <c r="C4157" s="85"/>
      <c r="F4157" s="92"/>
      <c r="G4157" s="85"/>
    </row>
    <row r="4158">
      <c r="A4158" s="84"/>
      <c r="B4158" s="85"/>
      <c r="C4158" s="85"/>
      <c r="F4158" s="92"/>
      <c r="G4158" s="85"/>
    </row>
    <row r="4159">
      <c r="A4159" s="84"/>
      <c r="B4159" s="85"/>
      <c r="C4159" s="85"/>
      <c r="F4159" s="92"/>
      <c r="G4159" s="85"/>
    </row>
    <row r="4160">
      <c r="A4160" s="84"/>
      <c r="B4160" s="85"/>
      <c r="C4160" s="85"/>
      <c r="F4160" s="92"/>
      <c r="G4160" s="85"/>
    </row>
    <row r="4161">
      <c r="A4161" s="84"/>
      <c r="B4161" s="85"/>
      <c r="C4161" s="85"/>
      <c r="F4161" s="92"/>
      <c r="G4161" s="85"/>
    </row>
    <row r="4162">
      <c r="A4162" s="84"/>
      <c r="B4162" s="85"/>
      <c r="C4162" s="85"/>
      <c r="F4162" s="92"/>
      <c r="G4162" s="85"/>
    </row>
    <row r="4163">
      <c r="A4163" s="84"/>
      <c r="B4163" s="85"/>
      <c r="C4163" s="85"/>
      <c r="F4163" s="92"/>
      <c r="G4163" s="85"/>
    </row>
    <row r="4164">
      <c r="A4164" s="84"/>
      <c r="B4164" s="85"/>
      <c r="C4164" s="85"/>
      <c r="F4164" s="92"/>
      <c r="G4164" s="85"/>
    </row>
    <row r="4165">
      <c r="A4165" s="84"/>
      <c r="B4165" s="85"/>
      <c r="C4165" s="85"/>
      <c r="F4165" s="92"/>
      <c r="G4165" s="85"/>
    </row>
    <row r="4166">
      <c r="A4166" s="84"/>
      <c r="B4166" s="85"/>
      <c r="C4166" s="85"/>
      <c r="F4166" s="92"/>
      <c r="G4166" s="85"/>
    </row>
    <row r="4167">
      <c r="A4167" s="84"/>
      <c r="B4167" s="85"/>
      <c r="C4167" s="85"/>
      <c r="F4167" s="92"/>
      <c r="G4167" s="85"/>
    </row>
    <row r="4168">
      <c r="A4168" s="84"/>
      <c r="B4168" s="85"/>
      <c r="C4168" s="85"/>
      <c r="F4168" s="92"/>
      <c r="G4168" s="85"/>
    </row>
    <row r="4169">
      <c r="A4169" s="84"/>
      <c r="B4169" s="85"/>
      <c r="C4169" s="85"/>
      <c r="F4169" s="92"/>
      <c r="G4169" s="85"/>
    </row>
    <row r="4170">
      <c r="A4170" s="84"/>
      <c r="B4170" s="85"/>
      <c r="C4170" s="85"/>
      <c r="F4170" s="92"/>
      <c r="G4170" s="85"/>
    </row>
    <row r="4171">
      <c r="A4171" s="84"/>
      <c r="B4171" s="85"/>
      <c r="C4171" s="85"/>
      <c r="F4171" s="92"/>
      <c r="G4171" s="85"/>
    </row>
    <row r="4172">
      <c r="A4172" s="84"/>
      <c r="B4172" s="85"/>
      <c r="C4172" s="85"/>
      <c r="F4172" s="92"/>
      <c r="G4172" s="85"/>
    </row>
    <row r="4173">
      <c r="A4173" s="84"/>
      <c r="B4173" s="85"/>
      <c r="C4173" s="85"/>
      <c r="F4173" s="92"/>
      <c r="G4173" s="85"/>
    </row>
    <row r="4174">
      <c r="A4174" s="84"/>
      <c r="B4174" s="85"/>
      <c r="C4174" s="85"/>
      <c r="F4174" s="92"/>
      <c r="G4174" s="85"/>
    </row>
    <row r="4175">
      <c r="A4175" s="84"/>
      <c r="B4175" s="85"/>
      <c r="C4175" s="85"/>
      <c r="F4175" s="92"/>
      <c r="G4175" s="85"/>
    </row>
    <row r="4176">
      <c r="A4176" s="84"/>
      <c r="B4176" s="85"/>
      <c r="C4176" s="85"/>
      <c r="F4176" s="92"/>
      <c r="G4176" s="85"/>
    </row>
    <row r="4177">
      <c r="A4177" s="84"/>
      <c r="B4177" s="85"/>
      <c r="C4177" s="85"/>
      <c r="F4177" s="92"/>
      <c r="G4177" s="85"/>
    </row>
    <row r="4178">
      <c r="A4178" s="84"/>
      <c r="B4178" s="85"/>
      <c r="C4178" s="85"/>
      <c r="F4178" s="92"/>
      <c r="G4178" s="85"/>
    </row>
    <row r="4179">
      <c r="A4179" s="84"/>
      <c r="B4179" s="85"/>
      <c r="C4179" s="85"/>
      <c r="F4179" s="92"/>
      <c r="G4179" s="85"/>
    </row>
    <row r="4180">
      <c r="A4180" s="84"/>
      <c r="B4180" s="85"/>
      <c r="C4180" s="85"/>
      <c r="F4180" s="92"/>
      <c r="G4180" s="85"/>
    </row>
    <row r="4181">
      <c r="A4181" s="84"/>
      <c r="B4181" s="85"/>
      <c r="C4181" s="85"/>
      <c r="F4181" s="92"/>
      <c r="G4181" s="85"/>
    </row>
    <row r="4182">
      <c r="A4182" s="84"/>
      <c r="B4182" s="85"/>
      <c r="C4182" s="85"/>
      <c r="F4182" s="92"/>
      <c r="G4182" s="85"/>
    </row>
    <row r="4183">
      <c r="A4183" s="84"/>
      <c r="B4183" s="85"/>
      <c r="C4183" s="85"/>
      <c r="F4183" s="92"/>
      <c r="G4183" s="85"/>
    </row>
    <row r="4184">
      <c r="A4184" s="84"/>
      <c r="B4184" s="85"/>
      <c r="C4184" s="85"/>
      <c r="F4184" s="92"/>
      <c r="G4184" s="85"/>
    </row>
    <row r="4185">
      <c r="A4185" s="84"/>
      <c r="B4185" s="85"/>
      <c r="C4185" s="85"/>
      <c r="F4185" s="92"/>
      <c r="G4185" s="85"/>
    </row>
    <row r="4186">
      <c r="A4186" s="84"/>
      <c r="B4186" s="85"/>
      <c r="C4186" s="85"/>
      <c r="F4186" s="92"/>
      <c r="G4186" s="85"/>
    </row>
    <row r="4187">
      <c r="A4187" s="84"/>
      <c r="B4187" s="85"/>
      <c r="C4187" s="85"/>
      <c r="F4187" s="92"/>
      <c r="G4187" s="85"/>
    </row>
    <row r="4188">
      <c r="A4188" s="84"/>
      <c r="B4188" s="85"/>
      <c r="C4188" s="85"/>
      <c r="F4188" s="92"/>
      <c r="G4188" s="85"/>
    </row>
    <row r="4189">
      <c r="A4189" s="84"/>
      <c r="B4189" s="85"/>
      <c r="C4189" s="85"/>
      <c r="F4189" s="92"/>
      <c r="G4189" s="85"/>
    </row>
    <row r="4190">
      <c r="A4190" s="84"/>
      <c r="B4190" s="85"/>
      <c r="C4190" s="85"/>
      <c r="F4190" s="92"/>
      <c r="G4190" s="85"/>
    </row>
    <row r="4191">
      <c r="A4191" s="84"/>
      <c r="B4191" s="85"/>
      <c r="C4191" s="85"/>
      <c r="F4191" s="92"/>
      <c r="G4191" s="85"/>
    </row>
    <row r="4192">
      <c r="A4192" s="84"/>
      <c r="B4192" s="85"/>
      <c r="C4192" s="85"/>
      <c r="F4192" s="92"/>
      <c r="G4192" s="85"/>
    </row>
    <row r="4193">
      <c r="A4193" s="84"/>
      <c r="B4193" s="85"/>
      <c r="C4193" s="85"/>
      <c r="F4193" s="92"/>
      <c r="G4193" s="85"/>
    </row>
    <row r="4194">
      <c r="A4194" s="84"/>
      <c r="B4194" s="85"/>
      <c r="C4194" s="85"/>
      <c r="F4194" s="92"/>
      <c r="G4194" s="85"/>
    </row>
    <row r="4195">
      <c r="A4195" s="84"/>
      <c r="B4195" s="85"/>
      <c r="C4195" s="85"/>
      <c r="F4195" s="92"/>
      <c r="G4195" s="85"/>
    </row>
    <row r="4196">
      <c r="A4196" s="84"/>
      <c r="B4196" s="85"/>
      <c r="C4196" s="85"/>
      <c r="F4196" s="92"/>
      <c r="G4196" s="85"/>
    </row>
    <row r="4197">
      <c r="A4197" s="84"/>
      <c r="B4197" s="85"/>
      <c r="C4197" s="85"/>
      <c r="F4197" s="92"/>
      <c r="G4197" s="85"/>
    </row>
    <row r="4198">
      <c r="A4198" s="84"/>
      <c r="B4198" s="85"/>
      <c r="C4198" s="85"/>
      <c r="F4198" s="92"/>
      <c r="G4198" s="85"/>
    </row>
    <row r="4199">
      <c r="A4199" s="84"/>
      <c r="B4199" s="85"/>
      <c r="C4199" s="85"/>
      <c r="F4199" s="92"/>
      <c r="G4199" s="85"/>
    </row>
    <row r="4200">
      <c r="A4200" s="84"/>
      <c r="B4200" s="85"/>
      <c r="C4200" s="85"/>
      <c r="F4200" s="92"/>
      <c r="G4200" s="85"/>
    </row>
    <row r="4201">
      <c r="A4201" s="84"/>
      <c r="B4201" s="85"/>
      <c r="C4201" s="85"/>
      <c r="F4201" s="92"/>
      <c r="G4201" s="85"/>
    </row>
    <row r="4202">
      <c r="A4202" s="84"/>
      <c r="B4202" s="85"/>
      <c r="C4202" s="85"/>
      <c r="F4202" s="92"/>
      <c r="G4202" s="85"/>
    </row>
    <row r="4203">
      <c r="A4203" s="84"/>
      <c r="B4203" s="85"/>
      <c r="C4203" s="85"/>
      <c r="F4203" s="92"/>
      <c r="G4203" s="85"/>
    </row>
    <row r="4204">
      <c r="A4204" s="84"/>
      <c r="B4204" s="85"/>
      <c r="C4204" s="85"/>
      <c r="F4204" s="92"/>
      <c r="G4204" s="85"/>
    </row>
    <row r="4205">
      <c r="A4205" s="84"/>
      <c r="B4205" s="85"/>
      <c r="C4205" s="85"/>
      <c r="F4205" s="92"/>
      <c r="G4205" s="85"/>
    </row>
    <row r="4206">
      <c r="A4206" s="84"/>
      <c r="B4206" s="85"/>
      <c r="C4206" s="85"/>
      <c r="F4206" s="92"/>
      <c r="G4206" s="85"/>
    </row>
    <row r="4207">
      <c r="A4207" s="84"/>
      <c r="B4207" s="85"/>
      <c r="C4207" s="85"/>
      <c r="F4207" s="92"/>
      <c r="G4207" s="85"/>
    </row>
    <row r="4208">
      <c r="A4208" s="84"/>
      <c r="B4208" s="85"/>
      <c r="C4208" s="85"/>
      <c r="F4208" s="92"/>
      <c r="G4208" s="85"/>
    </row>
    <row r="4209">
      <c r="A4209" s="84"/>
      <c r="B4209" s="85"/>
      <c r="C4209" s="85"/>
      <c r="F4209" s="92"/>
      <c r="G4209" s="85"/>
    </row>
    <row r="4210">
      <c r="A4210" s="84"/>
      <c r="B4210" s="85"/>
      <c r="C4210" s="85"/>
      <c r="F4210" s="92"/>
      <c r="G4210" s="85"/>
    </row>
    <row r="4211">
      <c r="A4211" s="84"/>
      <c r="B4211" s="85"/>
      <c r="C4211" s="85"/>
      <c r="F4211" s="92"/>
      <c r="G4211" s="85"/>
    </row>
    <row r="4212">
      <c r="A4212" s="84"/>
      <c r="B4212" s="85"/>
      <c r="C4212" s="85"/>
      <c r="F4212" s="92"/>
      <c r="G4212" s="85"/>
    </row>
    <row r="4213">
      <c r="A4213" s="84"/>
      <c r="B4213" s="85"/>
      <c r="C4213" s="85"/>
      <c r="F4213" s="92"/>
      <c r="G4213" s="85"/>
    </row>
    <row r="4214">
      <c r="A4214" s="84"/>
      <c r="B4214" s="85"/>
      <c r="C4214" s="85"/>
      <c r="F4214" s="92"/>
      <c r="G4214" s="85"/>
    </row>
    <row r="4215">
      <c r="A4215" s="84"/>
      <c r="B4215" s="85"/>
      <c r="C4215" s="85"/>
      <c r="F4215" s="92"/>
      <c r="G4215" s="85"/>
    </row>
    <row r="4216">
      <c r="A4216" s="84"/>
      <c r="B4216" s="85"/>
      <c r="C4216" s="85"/>
      <c r="F4216" s="92"/>
      <c r="G4216" s="85"/>
    </row>
    <row r="4217">
      <c r="A4217" s="84"/>
      <c r="B4217" s="85"/>
      <c r="C4217" s="85"/>
      <c r="F4217" s="92"/>
      <c r="G4217" s="85"/>
    </row>
    <row r="4218">
      <c r="A4218" s="84"/>
      <c r="B4218" s="85"/>
      <c r="C4218" s="85"/>
      <c r="F4218" s="92"/>
      <c r="G4218" s="85"/>
    </row>
    <row r="4219">
      <c r="A4219" s="84"/>
      <c r="B4219" s="85"/>
      <c r="C4219" s="85"/>
      <c r="F4219" s="92"/>
      <c r="G4219" s="85"/>
    </row>
    <row r="4220">
      <c r="A4220" s="84"/>
      <c r="B4220" s="85"/>
      <c r="C4220" s="85"/>
      <c r="F4220" s="92"/>
      <c r="G4220" s="85"/>
    </row>
    <row r="4221">
      <c r="A4221" s="84"/>
      <c r="B4221" s="85"/>
      <c r="C4221" s="85"/>
      <c r="F4221" s="92"/>
      <c r="G4221" s="85"/>
    </row>
    <row r="4222">
      <c r="A4222" s="84"/>
      <c r="B4222" s="85"/>
      <c r="C4222" s="85"/>
      <c r="F4222" s="92"/>
      <c r="G4222" s="85"/>
    </row>
    <row r="4223">
      <c r="A4223" s="84"/>
      <c r="B4223" s="85"/>
      <c r="C4223" s="85"/>
      <c r="F4223" s="92"/>
      <c r="G4223" s="85"/>
    </row>
    <row r="4224">
      <c r="A4224" s="84"/>
      <c r="B4224" s="85"/>
      <c r="C4224" s="85"/>
      <c r="F4224" s="92"/>
      <c r="G4224" s="85"/>
    </row>
    <row r="4225">
      <c r="A4225" s="84"/>
      <c r="B4225" s="85"/>
      <c r="C4225" s="85"/>
      <c r="F4225" s="92"/>
      <c r="G4225" s="85"/>
    </row>
    <row r="4226">
      <c r="A4226" s="84"/>
      <c r="B4226" s="85"/>
      <c r="C4226" s="85"/>
      <c r="F4226" s="92"/>
      <c r="G4226" s="85"/>
    </row>
    <row r="4227">
      <c r="A4227" s="84"/>
      <c r="B4227" s="85"/>
      <c r="C4227" s="85"/>
      <c r="F4227" s="92"/>
      <c r="G4227" s="85"/>
    </row>
    <row r="4228">
      <c r="A4228" s="84"/>
      <c r="B4228" s="85"/>
      <c r="C4228" s="85"/>
      <c r="F4228" s="92"/>
      <c r="G4228" s="85"/>
    </row>
    <row r="4229">
      <c r="A4229" s="84"/>
      <c r="B4229" s="85"/>
      <c r="C4229" s="85"/>
      <c r="F4229" s="92"/>
      <c r="G4229" s="85"/>
    </row>
    <row r="4230">
      <c r="A4230" s="84"/>
      <c r="B4230" s="85"/>
      <c r="C4230" s="85"/>
      <c r="F4230" s="92"/>
      <c r="G4230" s="85"/>
    </row>
    <row r="4231">
      <c r="A4231" s="84"/>
      <c r="B4231" s="85"/>
      <c r="C4231" s="85"/>
      <c r="F4231" s="92"/>
      <c r="G4231" s="85"/>
    </row>
    <row r="4232">
      <c r="A4232" s="84"/>
      <c r="B4232" s="85"/>
      <c r="C4232" s="85"/>
      <c r="F4232" s="92"/>
      <c r="G4232" s="85"/>
    </row>
    <row r="4233">
      <c r="A4233" s="84"/>
      <c r="B4233" s="85"/>
      <c r="C4233" s="85"/>
      <c r="F4233" s="92"/>
      <c r="G4233" s="85"/>
    </row>
    <row r="4234">
      <c r="A4234" s="84"/>
      <c r="B4234" s="85"/>
      <c r="C4234" s="85"/>
      <c r="F4234" s="92"/>
      <c r="G4234" s="85"/>
    </row>
    <row r="4235">
      <c r="A4235" s="84"/>
      <c r="B4235" s="85"/>
      <c r="C4235" s="85"/>
      <c r="F4235" s="92"/>
      <c r="G4235" s="85"/>
    </row>
    <row r="4236">
      <c r="A4236" s="84"/>
      <c r="B4236" s="85"/>
      <c r="C4236" s="85"/>
      <c r="F4236" s="92"/>
      <c r="G4236" s="85"/>
    </row>
    <row r="4237">
      <c r="A4237" s="84"/>
      <c r="B4237" s="85"/>
      <c r="C4237" s="85"/>
      <c r="F4237" s="92"/>
      <c r="G4237" s="85"/>
    </row>
    <row r="4238">
      <c r="A4238" s="84"/>
      <c r="B4238" s="85"/>
      <c r="C4238" s="85"/>
      <c r="F4238" s="92"/>
      <c r="G4238" s="85"/>
    </row>
    <row r="4239">
      <c r="A4239" s="84"/>
      <c r="B4239" s="85"/>
      <c r="C4239" s="85"/>
      <c r="F4239" s="92"/>
      <c r="G4239" s="85"/>
    </row>
    <row r="4240">
      <c r="A4240" s="84"/>
      <c r="B4240" s="85"/>
      <c r="C4240" s="85"/>
      <c r="F4240" s="92"/>
      <c r="G4240" s="85"/>
    </row>
    <row r="4241">
      <c r="A4241" s="84"/>
      <c r="B4241" s="85"/>
      <c r="C4241" s="85"/>
      <c r="F4241" s="92"/>
      <c r="G4241" s="85"/>
    </row>
    <row r="4242">
      <c r="A4242" s="84"/>
      <c r="B4242" s="85"/>
      <c r="C4242" s="85"/>
      <c r="F4242" s="92"/>
      <c r="G4242" s="85"/>
    </row>
    <row r="4243">
      <c r="A4243" s="84"/>
      <c r="B4243" s="85"/>
      <c r="C4243" s="85"/>
      <c r="F4243" s="92"/>
      <c r="G4243" s="85"/>
    </row>
    <row r="4244">
      <c r="A4244" s="84"/>
      <c r="B4244" s="85"/>
      <c r="C4244" s="85"/>
      <c r="F4244" s="92"/>
      <c r="G4244" s="85"/>
    </row>
    <row r="4245">
      <c r="A4245" s="84"/>
      <c r="B4245" s="85"/>
      <c r="C4245" s="85"/>
      <c r="F4245" s="92"/>
      <c r="G4245" s="85"/>
    </row>
    <row r="4246">
      <c r="A4246" s="84"/>
      <c r="B4246" s="85"/>
      <c r="C4246" s="85"/>
      <c r="F4246" s="92"/>
      <c r="G4246" s="85"/>
    </row>
    <row r="4247">
      <c r="A4247" s="84"/>
      <c r="B4247" s="85"/>
      <c r="C4247" s="85"/>
      <c r="F4247" s="92"/>
      <c r="G4247" s="85"/>
    </row>
    <row r="4248">
      <c r="A4248" s="84"/>
      <c r="B4248" s="85"/>
      <c r="C4248" s="85"/>
      <c r="F4248" s="92"/>
      <c r="G4248" s="85"/>
    </row>
    <row r="4249">
      <c r="A4249" s="84"/>
      <c r="B4249" s="85"/>
      <c r="C4249" s="85"/>
      <c r="F4249" s="92"/>
      <c r="G4249" s="85"/>
    </row>
    <row r="4250">
      <c r="A4250" s="84"/>
      <c r="B4250" s="85"/>
      <c r="C4250" s="85"/>
      <c r="F4250" s="92"/>
      <c r="G4250" s="85"/>
    </row>
    <row r="4251">
      <c r="A4251" s="84"/>
      <c r="B4251" s="85"/>
      <c r="C4251" s="85"/>
      <c r="F4251" s="92"/>
      <c r="G4251" s="85"/>
    </row>
    <row r="4252">
      <c r="A4252" s="84"/>
      <c r="B4252" s="85"/>
      <c r="C4252" s="85"/>
      <c r="F4252" s="92"/>
      <c r="G4252" s="85"/>
    </row>
    <row r="4253">
      <c r="A4253" s="84"/>
      <c r="B4253" s="85"/>
      <c r="C4253" s="85"/>
      <c r="F4253" s="92"/>
      <c r="G4253" s="85"/>
    </row>
    <row r="4254">
      <c r="A4254" s="84"/>
      <c r="B4254" s="85"/>
      <c r="C4254" s="85"/>
      <c r="F4254" s="92"/>
      <c r="G4254" s="85"/>
    </row>
    <row r="4255">
      <c r="A4255" s="84"/>
      <c r="B4255" s="85"/>
      <c r="C4255" s="85"/>
      <c r="F4255" s="92"/>
      <c r="G4255" s="85"/>
    </row>
    <row r="4256">
      <c r="A4256" s="84"/>
      <c r="B4256" s="85"/>
      <c r="C4256" s="85"/>
      <c r="F4256" s="92"/>
      <c r="G4256" s="85"/>
    </row>
    <row r="4257">
      <c r="A4257" s="84"/>
      <c r="B4257" s="85"/>
      <c r="C4257" s="85"/>
      <c r="F4257" s="92"/>
      <c r="G4257" s="85"/>
    </row>
    <row r="4258">
      <c r="A4258" s="84"/>
      <c r="B4258" s="85"/>
      <c r="C4258" s="85"/>
      <c r="F4258" s="92"/>
      <c r="G4258" s="85"/>
    </row>
    <row r="4259">
      <c r="A4259" s="84"/>
      <c r="B4259" s="85"/>
      <c r="C4259" s="85"/>
      <c r="F4259" s="92"/>
      <c r="G4259" s="85"/>
    </row>
    <row r="4260">
      <c r="A4260" s="84"/>
      <c r="B4260" s="85"/>
      <c r="C4260" s="85"/>
      <c r="F4260" s="92"/>
      <c r="G4260" s="85"/>
    </row>
    <row r="4261">
      <c r="A4261" s="84"/>
      <c r="B4261" s="85"/>
      <c r="C4261" s="85"/>
      <c r="F4261" s="92"/>
      <c r="G4261" s="85"/>
    </row>
    <row r="4262">
      <c r="A4262" s="84"/>
      <c r="B4262" s="85"/>
      <c r="C4262" s="85"/>
      <c r="F4262" s="92"/>
      <c r="G4262" s="85"/>
    </row>
    <row r="4263">
      <c r="A4263" s="84"/>
      <c r="B4263" s="85"/>
      <c r="C4263" s="85"/>
      <c r="F4263" s="92"/>
      <c r="G4263" s="85"/>
    </row>
    <row r="4264">
      <c r="A4264" s="84"/>
      <c r="B4264" s="85"/>
      <c r="C4264" s="85"/>
      <c r="F4264" s="92"/>
      <c r="G4264" s="85"/>
    </row>
    <row r="4265">
      <c r="A4265" s="84"/>
      <c r="B4265" s="85"/>
      <c r="C4265" s="85"/>
      <c r="F4265" s="92"/>
      <c r="G4265" s="85"/>
    </row>
    <row r="4266">
      <c r="A4266" s="84"/>
      <c r="B4266" s="85"/>
      <c r="C4266" s="85"/>
      <c r="F4266" s="92"/>
      <c r="G4266" s="85"/>
    </row>
    <row r="4267">
      <c r="A4267" s="84"/>
      <c r="B4267" s="85"/>
      <c r="C4267" s="85"/>
      <c r="F4267" s="92"/>
      <c r="G4267" s="85"/>
    </row>
    <row r="4268">
      <c r="A4268" s="84"/>
      <c r="B4268" s="85"/>
      <c r="C4268" s="85"/>
      <c r="F4268" s="92"/>
      <c r="G4268" s="85"/>
    </row>
    <row r="4269">
      <c r="A4269" s="84"/>
      <c r="B4269" s="85"/>
      <c r="C4269" s="85"/>
      <c r="F4269" s="92"/>
      <c r="G4269" s="85"/>
    </row>
    <row r="4270">
      <c r="A4270" s="84"/>
      <c r="B4270" s="85"/>
      <c r="C4270" s="85"/>
      <c r="F4270" s="92"/>
      <c r="G4270" s="85"/>
    </row>
    <row r="4271">
      <c r="A4271" s="84"/>
      <c r="B4271" s="85"/>
      <c r="C4271" s="85"/>
      <c r="F4271" s="92"/>
      <c r="G4271" s="85"/>
    </row>
    <row r="4272">
      <c r="A4272" s="84"/>
      <c r="B4272" s="85"/>
      <c r="C4272" s="85"/>
      <c r="F4272" s="92"/>
      <c r="G4272" s="85"/>
    </row>
    <row r="4273">
      <c r="A4273" s="84"/>
      <c r="B4273" s="85"/>
      <c r="C4273" s="85"/>
      <c r="F4273" s="92"/>
      <c r="G4273" s="85"/>
    </row>
    <row r="4274">
      <c r="A4274" s="84"/>
      <c r="B4274" s="85"/>
      <c r="C4274" s="85"/>
      <c r="F4274" s="92"/>
      <c r="G4274" s="85"/>
    </row>
    <row r="4275">
      <c r="A4275" s="84"/>
      <c r="B4275" s="85"/>
      <c r="C4275" s="85"/>
      <c r="F4275" s="92"/>
      <c r="G4275" s="85"/>
    </row>
    <row r="4276">
      <c r="A4276" s="84"/>
      <c r="B4276" s="85"/>
      <c r="C4276" s="85"/>
      <c r="F4276" s="92"/>
      <c r="G4276" s="85"/>
    </row>
    <row r="4277">
      <c r="A4277" s="84"/>
      <c r="B4277" s="85"/>
      <c r="C4277" s="85"/>
      <c r="F4277" s="92"/>
      <c r="G4277" s="85"/>
    </row>
    <row r="4278">
      <c r="A4278" s="84"/>
      <c r="B4278" s="85"/>
      <c r="C4278" s="85"/>
      <c r="F4278" s="92"/>
      <c r="G4278" s="85"/>
    </row>
    <row r="4279">
      <c r="A4279" s="84"/>
      <c r="B4279" s="85"/>
      <c r="C4279" s="85"/>
      <c r="F4279" s="92"/>
      <c r="G4279" s="85"/>
    </row>
    <row r="4280">
      <c r="A4280" s="84"/>
      <c r="B4280" s="85"/>
      <c r="C4280" s="85"/>
      <c r="F4280" s="92"/>
      <c r="G4280" s="85"/>
    </row>
    <row r="4281">
      <c r="A4281" s="84"/>
      <c r="B4281" s="85"/>
      <c r="C4281" s="85"/>
      <c r="F4281" s="92"/>
      <c r="G4281" s="85"/>
    </row>
    <row r="4282">
      <c r="A4282" s="84"/>
      <c r="B4282" s="85"/>
      <c r="C4282" s="85"/>
      <c r="F4282" s="92"/>
      <c r="G4282" s="85"/>
    </row>
    <row r="4283">
      <c r="A4283" s="84"/>
      <c r="B4283" s="85"/>
      <c r="C4283" s="85"/>
      <c r="F4283" s="92"/>
      <c r="G4283" s="85"/>
    </row>
    <row r="4284">
      <c r="A4284" s="84"/>
      <c r="B4284" s="85"/>
      <c r="C4284" s="85"/>
      <c r="F4284" s="92"/>
      <c r="G4284" s="85"/>
    </row>
    <row r="4285">
      <c r="A4285" s="84"/>
      <c r="B4285" s="85"/>
      <c r="C4285" s="85"/>
      <c r="F4285" s="92"/>
      <c r="G4285" s="85"/>
    </row>
    <row r="4286">
      <c r="A4286" s="84"/>
      <c r="B4286" s="85"/>
      <c r="C4286" s="85"/>
      <c r="F4286" s="92"/>
      <c r="G4286" s="85"/>
    </row>
    <row r="4287">
      <c r="A4287" s="84"/>
      <c r="B4287" s="85"/>
      <c r="C4287" s="85"/>
      <c r="F4287" s="92"/>
      <c r="G4287" s="85"/>
    </row>
    <row r="4288">
      <c r="A4288" s="84"/>
      <c r="B4288" s="85"/>
      <c r="C4288" s="85"/>
      <c r="F4288" s="92"/>
      <c r="G4288" s="85"/>
    </row>
    <row r="4289">
      <c r="A4289" s="84"/>
      <c r="B4289" s="85"/>
      <c r="C4289" s="85"/>
      <c r="F4289" s="92"/>
      <c r="G4289" s="85"/>
    </row>
    <row r="4290">
      <c r="A4290" s="84"/>
      <c r="B4290" s="85"/>
      <c r="C4290" s="85"/>
      <c r="F4290" s="92"/>
      <c r="G4290" s="85"/>
    </row>
    <row r="4291">
      <c r="A4291" s="84"/>
      <c r="B4291" s="85"/>
      <c r="C4291" s="85"/>
      <c r="F4291" s="92"/>
      <c r="G4291" s="85"/>
    </row>
    <row r="4292">
      <c r="A4292" s="84"/>
      <c r="B4292" s="85"/>
      <c r="C4292" s="85"/>
      <c r="F4292" s="92"/>
      <c r="G4292" s="85"/>
    </row>
    <row r="4293">
      <c r="A4293" s="84"/>
      <c r="B4293" s="85"/>
      <c r="C4293" s="85"/>
      <c r="F4293" s="92"/>
      <c r="G4293" s="85"/>
    </row>
    <row r="4294">
      <c r="A4294" s="84"/>
      <c r="B4294" s="85"/>
      <c r="C4294" s="85"/>
      <c r="F4294" s="92"/>
      <c r="G4294" s="85"/>
    </row>
    <row r="4295">
      <c r="A4295" s="84"/>
      <c r="B4295" s="85"/>
      <c r="C4295" s="85"/>
      <c r="F4295" s="92"/>
      <c r="G4295" s="85"/>
    </row>
    <row r="4296">
      <c r="A4296" s="84"/>
      <c r="B4296" s="85"/>
      <c r="C4296" s="85"/>
      <c r="F4296" s="92"/>
      <c r="G4296" s="85"/>
    </row>
    <row r="4297">
      <c r="A4297" s="84"/>
      <c r="B4297" s="85"/>
      <c r="C4297" s="85"/>
      <c r="F4297" s="92"/>
      <c r="G4297" s="85"/>
    </row>
    <row r="4298">
      <c r="A4298" s="84"/>
      <c r="B4298" s="85"/>
      <c r="C4298" s="85"/>
      <c r="F4298" s="92"/>
      <c r="G4298" s="85"/>
    </row>
    <row r="4299">
      <c r="A4299" s="84"/>
      <c r="B4299" s="85"/>
      <c r="C4299" s="85"/>
      <c r="F4299" s="92"/>
      <c r="G4299" s="85"/>
    </row>
    <row r="4300">
      <c r="A4300" s="84"/>
      <c r="B4300" s="85"/>
      <c r="C4300" s="85"/>
      <c r="F4300" s="92"/>
      <c r="G4300" s="85"/>
    </row>
    <row r="4301">
      <c r="A4301" s="84"/>
      <c r="B4301" s="85"/>
      <c r="C4301" s="85"/>
      <c r="F4301" s="92"/>
      <c r="G4301" s="85"/>
    </row>
    <row r="4302">
      <c r="A4302" s="84"/>
      <c r="B4302" s="85"/>
      <c r="C4302" s="85"/>
      <c r="F4302" s="92"/>
      <c r="G4302" s="85"/>
    </row>
    <row r="4303">
      <c r="A4303" s="84"/>
      <c r="B4303" s="85"/>
      <c r="C4303" s="85"/>
      <c r="F4303" s="92"/>
      <c r="G4303" s="85"/>
    </row>
    <row r="4304">
      <c r="A4304" s="84"/>
      <c r="B4304" s="85"/>
      <c r="C4304" s="85"/>
      <c r="F4304" s="92"/>
      <c r="G4304" s="85"/>
    </row>
    <row r="4305">
      <c r="A4305" s="84"/>
      <c r="B4305" s="85"/>
      <c r="C4305" s="85"/>
      <c r="F4305" s="92"/>
      <c r="G4305" s="85"/>
    </row>
    <row r="4306">
      <c r="A4306" s="84"/>
      <c r="B4306" s="85"/>
      <c r="C4306" s="85"/>
      <c r="F4306" s="92"/>
      <c r="G4306" s="85"/>
    </row>
    <row r="4307">
      <c r="A4307" s="84"/>
      <c r="B4307" s="85"/>
      <c r="C4307" s="85"/>
      <c r="F4307" s="92"/>
      <c r="G4307" s="85"/>
    </row>
    <row r="4308">
      <c r="A4308" s="84"/>
      <c r="B4308" s="85"/>
      <c r="C4308" s="85"/>
      <c r="F4308" s="92"/>
      <c r="G4308" s="85"/>
    </row>
    <row r="4309">
      <c r="A4309" s="84"/>
      <c r="B4309" s="85"/>
      <c r="C4309" s="85"/>
      <c r="F4309" s="92"/>
      <c r="G4309" s="85"/>
    </row>
    <row r="4310">
      <c r="A4310" s="84"/>
      <c r="B4310" s="85"/>
      <c r="C4310" s="85"/>
      <c r="F4310" s="92"/>
      <c r="G4310" s="85"/>
    </row>
    <row r="4311">
      <c r="A4311" s="84"/>
      <c r="B4311" s="85"/>
      <c r="C4311" s="85"/>
      <c r="F4311" s="92"/>
      <c r="G4311" s="85"/>
    </row>
    <row r="4312">
      <c r="A4312" s="84"/>
      <c r="B4312" s="85"/>
      <c r="C4312" s="85"/>
      <c r="F4312" s="92"/>
      <c r="G4312" s="85"/>
    </row>
    <row r="4313">
      <c r="A4313" s="84"/>
      <c r="B4313" s="85"/>
      <c r="C4313" s="85"/>
      <c r="F4313" s="92"/>
      <c r="G4313" s="85"/>
    </row>
    <row r="4314">
      <c r="A4314" s="84"/>
      <c r="B4314" s="85"/>
      <c r="C4314" s="85"/>
      <c r="F4314" s="92"/>
      <c r="G4314" s="85"/>
    </row>
    <row r="4315">
      <c r="A4315" s="84"/>
      <c r="B4315" s="85"/>
      <c r="C4315" s="85"/>
      <c r="F4315" s="92"/>
      <c r="G4315" s="85"/>
    </row>
    <row r="4316">
      <c r="A4316" s="84"/>
      <c r="B4316" s="85"/>
      <c r="C4316" s="85"/>
      <c r="F4316" s="92"/>
      <c r="G4316" s="85"/>
    </row>
    <row r="4317">
      <c r="A4317" s="84"/>
      <c r="B4317" s="85"/>
      <c r="C4317" s="85"/>
      <c r="F4317" s="92"/>
      <c r="G4317" s="85"/>
    </row>
    <row r="4318">
      <c r="A4318" s="84"/>
      <c r="B4318" s="85"/>
      <c r="C4318" s="85"/>
      <c r="F4318" s="92"/>
      <c r="G4318" s="85"/>
    </row>
    <row r="4319">
      <c r="A4319" s="84"/>
      <c r="B4319" s="85"/>
      <c r="C4319" s="85"/>
      <c r="F4319" s="92"/>
      <c r="G4319" s="85"/>
    </row>
    <row r="4320">
      <c r="A4320" s="84"/>
      <c r="B4320" s="85"/>
      <c r="C4320" s="85"/>
      <c r="F4320" s="92"/>
      <c r="G4320" s="85"/>
    </row>
    <row r="4321">
      <c r="A4321" s="84"/>
      <c r="B4321" s="85"/>
      <c r="C4321" s="85"/>
      <c r="F4321" s="92"/>
      <c r="G4321" s="85"/>
    </row>
    <row r="4322">
      <c r="A4322" s="84"/>
      <c r="B4322" s="85"/>
      <c r="C4322" s="85"/>
      <c r="F4322" s="92"/>
      <c r="G4322" s="85"/>
    </row>
    <row r="4323">
      <c r="A4323" s="84"/>
      <c r="B4323" s="85"/>
      <c r="C4323" s="85"/>
      <c r="F4323" s="92"/>
      <c r="G4323" s="85"/>
    </row>
    <row r="4324">
      <c r="A4324" s="84"/>
      <c r="B4324" s="85"/>
      <c r="C4324" s="85"/>
      <c r="F4324" s="92"/>
      <c r="G4324" s="85"/>
    </row>
    <row r="4325">
      <c r="A4325" s="84"/>
      <c r="B4325" s="85"/>
      <c r="C4325" s="85"/>
      <c r="F4325" s="92"/>
      <c r="G4325" s="85"/>
    </row>
    <row r="4326">
      <c r="A4326" s="84"/>
      <c r="B4326" s="85"/>
      <c r="C4326" s="85"/>
      <c r="F4326" s="92"/>
      <c r="G4326" s="85"/>
    </row>
    <row r="4327">
      <c r="A4327" s="84"/>
      <c r="B4327" s="85"/>
      <c r="C4327" s="85"/>
      <c r="F4327" s="92"/>
      <c r="G4327" s="85"/>
    </row>
    <row r="4328">
      <c r="A4328" s="84"/>
      <c r="B4328" s="85"/>
      <c r="C4328" s="85"/>
      <c r="F4328" s="92"/>
      <c r="G4328" s="85"/>
    </row>
    <row r="4329">
      <c r="A4329" s="84"/>
      <c r="B4329" s="85"/>
      <c r="C4329" s="85"/>
      <c r="F4329" s="92"/>
      <c r="G4329" s="85"/>
    </row>
    <row r="4330">
      <c r="A4330" s="84"/>
      <c r="B4330" s="85"/>
      <c r="C4330" s="85"/>
      <c r="F4330" s="92"/>
      <c r="G4330" s="85"/>
    </row>
    <row r="4331">
      <c r="A4331" s="84"/>
      <c r="B4331" s="85"/>
      <c r="C4331" s="85"/>
      <c r="F4331" s="92"/>
      <c r="G4331" s="85"/>
    </row>
    <row r="4332">
      <c r="A4332" s="84"/>
      <c r="B4332" s="85"/>
      <c r="C4332" s="85"/>
      <c r="F4332" s="92"/>
      <c r="G4332" s="85"/>
    </row>
    <row r="4333">
      <c r="A4333" s="84"/>
      <c r="B4333" s="85"/>
      <c r="C4333" s="85"/>
      <c r="F4333" s="92"/>
      <c r="G4333" s="85"/>
    </row>
    <row r="4334">
      <c r="A4334" s="84"/>
      <c r="B4334" s="85"/>
      <c r="C4334" s="85"/>
      <c r="F4334" s="92"/>
      <c r="G4334" s="85"/>
    </row>
    <row r="4335">
      <c r="A4335" s="84"/>
      <c r="B4335" s="85"/>
      <c r="C4335" s="85"/>
      <c r="F4335" s="92"/>
      <c r="G4335" s="85"/>
    </row>
    <row r="4336">
      <c r="A4336" s="84"/>
      <c r="B4336" s="85"/>
      <c r="C4336" s="85"/>
      <c r="F4336" s="92"/>
      <c r="G4336" s="85"/>
    </row>
    <row r="4337">
      <c r="A4337" s="84"/>
      <c r="B4337" s="85"/>
      <c r="C4337" s="85"/>
      <c r="F4337" s="92"/>
      <c r="G4337" s="85"/>
    </row>
    <row r="4338">
      <c r="A4338" s="84"/>
      <c r="B4338" s="85"/>
      <c r="C4338" s="85"/>
      <c r="F4338" s="92"/>
      <c r="G4338" s="85"/>
    </row>
    <row r="4339">
      <c r="A4339" s="84"/>
      <c r="B4339" s="85"/>
      <c r="C4339" s="85"/>
      <c r="F4339" s="92"/>
      <c r="G4339" s="85"/>
    </row>
    <row r="4340">
      <c r="A4340" s="84"/>
      <c r="B4340" s="85"/>
      <c r="C4340" s="85"/>
      <c r="F4340" s="92"/>
      <c r="G4340" s="85"/>
    </row>
    <row r="4341">
      <c r="A4341" s="84"/>
      <c r="B4341" s="85"/>
      <c r="C4341" s="85"/>
      <c r="F4341" s="92"/>
      <c r="G4341" s="85"/>
    </row>
    <row r="4342">
      <c r="A4342" s="84"/>
      <c r="B4342" s="85"/>
      <c r="C4342" s="85"/>
      <c r="F4342" s="92"/>
      <c r="G4342" s="85"/>
    </row>
    <row r="4343">
      <c r="A4343" s="84"/>
      <c r="B4343" s="85"/>
      <c r="C4343" s="85"/>
      <c r="F4343" s="92"/>
      <c r="G4343" s="85"/>
    </row>
    <row r="4344">
      <c r="A4344" s="84"/>
      <c r="B4344" s="85"/>
      <c r="C4344" s="85"/>
      <c r="F4344" s="92"/>
      <c r="G4344" s="85"/>
    </row>
    <row r="4345">
      <c r="A4345" s="84"/>
      <c r="B4345" s="85"/>
      <c r="C4345" s="85"/>
      <c r="F4345" s="92"/>
      <c r="G4345" s="85"/>
    </row>
    <row r="4346">
      <c r="A4346" s="84"/>
      <c r="B4346" s="85"/>
      <c r="C4346" s="85"/>
      <c r="F4346" s="92"/>
      <c r="G4346" s="85"/>
    </row>
    <row r="4347">
      <c r="A4347" s="84"/>
      <c r="B4347" s="85"/>
      <c r="C4347" s="85"/>
      <c r="F4347" s="92"/>
      <c r="G4347" s="85"/>
    </row>
    <row r="4348">
      <c r="A4348" s="84"/>
      <c r="B4348" s="85"/>
      <c r="C4348" s="85"/>
      <c r="F4348" s="92"/>
      <c r="G4348" s="85"/>
    </row>
    <row r="4349">
      <c r="A4349" s="84"/>
      <c r="B4349" s="85"/>
      <c r="C4349" s="85"/>
      <c r="F4349" s="92"/>
      <c r="G4349" s="85"/>
    </row>
    <row r="4350">
      <c r="A4350" s="84"/>
      <c r="B4350" s="85"/>
      <c r="C4350" s="85"/>
      <c r="F4350" s="92"/>
      <c r="G4350" s="85"/>
    </row>
    <row r="4351">
      <c r="A4351" s="84"/>
      <c r="B4351" s="85"/>
      <c r="C4351" s="85"/>
      <c r="F4351" s="92"/>
      <c r="G4351" s="85"/>
    </row>
    <row r="4352">
      <c r="A4352" s="84"/>
      <c r="B4352" s="85"/>
      <c r="C4352" s="85"/>
      <c r="F4352" s="92"/>
      <c r="G4352" s="85"/>
    </row>
    <row r="4353">
      <c r="A4353" s="84"/>
      <c r="B4353" s="85"/>
      <c r="C4353" s="85"/>
      <c r="F4353" s="92"/>
      <c r="G4353" s="85"/>
    </row>
    <row r="4354">
      <c r="A4354" s="84"/>
      <c r="B4354" s="85"/>
      <c r="C4354" s="85"/>
      <c r="F4354" s="92"/>
      <c r="G4354" s="85"/>
    </row>
    <row r="4355">
      <c r="A4355" s="84"/>
      <c r="B4355" s="85"/>
      <c r="C4355" s="85"/>
      <c r="F4355" s="92"/>
      <c r="G4355" s="85"/>
    </row>
    <row r="4356">
      <c r="A4356" s="84"/>
      <c r="B4356" s="85"/>
      <c r="C4356" s="85"/>
      <c r="F4356" s="92"/>
      <c r="G4356" s="85"/>
    </row>
    <row r="4357">
      <c r="A4357" s="84"/>
      <c r="B4357" s="85"/>
      <c r="C4357" s="85"/>
      <c r="F4357" s="92"/>
      <c r="G4357" s="85"/>
    </row>
    <row r="4358">
      <c r="A4358" s="84"/>
      <c r="B4358" s="85"/>
      <c r="C4358" s="85"/>
      <c r="F4358" s="92"/>
      <c r="G4358" s="85"/>
    </row>
    <row r="4359">
      <c r="A4359" s="84"/>
      <c r="B4359" s="85"/>
      <c r="C4359" s="85"/>
      <c r="F4359" s="92"/>
      <c r="G4359" s="85"/>
    </row>
    <row r="4360">
      <c r="A4360" s="84"/>
      <c r="B4360" s="85"/>
      <c r="C4360" s="85"/>
      <c r="F4360" s="92"/>
      <c r="G4360" s="85"/>
    </row>
    <row r="4361">
      <c r="A4361" s="84"/>
      <c r="B4361" s="85"/>
      <c r="C4361" s="85"/>
      <c r="F4361" s="92"/>
      <c r="G4361" s="85"/>
    </row>
    <row r="4362">
      <c r="A4362" s="84"/>
      <c r="B4362" s="85"/>
      <c r="C4362" s="85"/>
      <c r="F4362" s="92"/>
      <c r="G4362" s="85"/>
    </row>
    <row r="4363">
      <c r="A4363" s="84"/>
      <c r="B4363" s="85"/>
      <c r="C4363" s="85"/>
      <c r="F4363" s="92"/>
      <c r="G4363" s="85"/>
    </row>
    <row r="4364">
      <c r="A4364" s="84"/>
      <c r="B4364" s="85"/>
      <c r="C4364" s="85"/>
      <c r="F4364" s="92"/>
      <c r="G4364" s="85"/>
    </row>
    <row r="4365">
      <c r="A4365" s="84"/>
      <c r="B4365" s="85"/>
      <c r="C4365" s="85"/>
      <c r="F4365" s="92"/>
      <c r="G4365" s="85"/>
    </row>
    <row r="4366">
      <c r="A4366" s="84"/>
      <c r="B4366" s="85"/>
      <c r="C4366" s="85"/>
      <c r="F4366" s="92"/>
      <c r="G4366" s="85"/>
    </row>
    <row r="4367">
      <c r="A4367" s="84"/>
      <c r="B4367" s="85"/>
      <c r="C4367" s="85"/>
      <c r="F4367" s="92"/>
      <c r="G4367" s="85"/>
    </row>
    <row r="4368">
      <c r="A4368" s="84"/>
      <c r="B4368" s="85"/>
      <c r="C4368" s="85"/>
      <c r="F4368" s="92"/>
      <c r="G4368" s="85"/>
    </row>
    <row r="4369">
      <c r="A4369" s="84"/>
      <c r="B4369" s="85"/>
      <c r="C4369" s="85"/>
      <c r="F4369" s="92"/>
      <c r="G4369" s="85"/>
    </row>
    <row r="4370">
      <c r="A4370" s="84"/>
      <c r="B4370" s="85"/>
      <c r="C4370" s="85"/>
      <c r="F4370" s="92"/>
      <c r="G4370" s="85"/>
    </row>
    <row r="4371">
      <c r="A4371" s="84"/>
      <c r="B4371" s="85"/>
      <c r="C4371" s="85"/>
      <c r="F4371" s="92"/>
      <c r="G4371" s="85"/>
    </row>
    <row r="4372">
      <c r="A4372" s="84"/>
      <c r="B4372" s="85"/>
      <c r="C4372" s="85"/>
      <c r="F4372" s="92"/>
      <c r="G4372" s="85"/>
    </row>
    <row r="4373">
      <c r="A4373" s="84"/>
      <c r="B4373" s="85"/>
      <c r="C4373" s="85"/>
      <c r="F4373" s="92"/>
      <c r="G4373" s="85"/>
    </row>
    <row r="4374">
      <c r="A4374" s="84"/>
      <c r="B4374" s="85"/>
      <c r="C4374" s="85"/>
      <c r="F4374" s="92"/>
      <c r="G4374" s="85"/>
    </row>
    <row r="4375">
      <c r="A4375" s="84"/>
      <c r="B4375" s="85"/>
      <c r="C4375" s="85"/>
      <c r="F4375" s="92"/>
      <c r="G4375" s="85"/>
    </row>
    <row r="4376">
      <c r="A4376" s="84"/>
      <c r="B4376" s="85"/>
      <c r="C4376" s="85"/>
      <c r="F4376" s="92"/>
      <c r="G4376" s="85"/>
    </row>
    <row r="4377">
      <c r="A4377" s="84"/>
      <c r="B4377" s="85"/>
      <c r="C4377" s="85"/>
      <c r="F4377" s="92"/>
      <c r="G4377" s="85"/>
    </row>
    <row r="4378">
      <c r="A4378" s="84"/>
      <c r="B4378" s="85"/>
      <c r="C4378" s="85"/>
      <c r="F4378" s="92"/>
      <c r="G4378" s="85"/>
    </row>
    <row r="4379">
      <c r="A4379" s="84"/>
      <c r="B4379" s="85"/>
      <c r="C4379" s="85"/>
      <c r="F4379" s="92"/>
      <c r="G4379" s="85"/>
    </row>
    <row r="4380">
      <c r="A4380" s="84"/>
      <c r="B4380" s="85"/>
      <c r="C4380" s="85"/>
      <c r="F4380" s="92"/>
      <c r="G4380" s="85"/>
    </row>
    <row r="4381">
      <c r="A4381" s="84"/>
      <c r="B4381" s="85"/>
      <c r="C4381" s="85"/>
      <c r="F4381" s="92"/>
      <c r="G4381" s="85"/>
    </row>
    <row r="4382">
      <c r="A4382" s="84"/>
      <c r="B4382" s="85"/>
      <c r="C4382" s="85"/>
      <c r="F4382" s="92"/>
      <c r="G4382" s="85"/>
    </row>
    <row r="4383">
      <c r="A4383" s="84"/>
      <c r="B4383" s="85"/>
      <c r="C4383" s="85"/>
      <c r="F4383" s="92"/>
      <c r="G4383" s="85"/>
    </row>
    <row r="4384">
      <c r="A4384" s="84"/>
      <c r="B4384" s="85"/>
      <c r="C4384" s="85"/>
      <c r="F4384" s="92"/>
      <c r="G4384" s="85"/>
    </row>
    <row r="4385">
      <c r="A4385" s="84"/>
      <c r="B4385" s="85"/>
      <c r="C4385" s="85"/>
      <c r="F4385" s="92"/>
      <c r="G4385" s="85"/>
    </row>
    <row r="4386">
      <c r="A4386" s="84"/>
      <c r="B4386" s="85"/>
      <c r="C4386" s="85"/>
      <c r="F4386" s="92"/>
      <c r="G4386" s="85"/>
    </row>
    <row r="4387">
      <c r="A4387" s="84"/>
      <c r="B4387" s="85"/>
      <c r="C4387" s="85"/>
      <c r="F4387" s="92"/>
      <c r="G4387" s="85"/>
    </row>
    <row r="4388">
      <c r="A4388" s="84"/>
      <c r="B4388" s="85"/>
      <c r="C4388" s="85"/>
      <c r="F4388" s="92"/>
      <c r="G4388" s="85"/>
    </row>
    <row r="4389">
      <c r="A4389" s="84"/>
      <c r="B4389" s="85"/>
      <c r="C4389" s="85"/>
      <c r="F4389" s="92"/>
      <c r="G4389" s="85"/>
    </row>
    <row r="4390">
      <c r="A4390" s="84"/>
      <c r="B4390" s="85"/>
      <c r="C4390" s="85"/>
      <c r="F4390" s="92"/>
      <c r="G4390" s="85"/>
    </row>
    <row r="4391">
      <c r="A4391" s="84"/>
      <c r="B4391" s="85"/>
      <c r="C4391" s="85"/>
      <c r="F4391" s="92"/>
      <c r="G4391" s="85"/>
    </row>
    <row r="4392">
      <c r="A4392" s="84"/>
      <c r="B4392" s="85"/>
      <c r="C4392" s="85"/>
      <c r="F4392" s="92"/>
      <c r="G4392" s="85"/>
    </row>
    <row r="4393">
      <c r="A4393" s="84"/>
      <c r="B4393" s="85"/>
      <c r="C4393" s="85"/>
      <c r="F4393" s="92"/>
      <c r="G4393" s="85"/>
    </row>
    <row r="4394">
      <c r="A4394" s="84"/>
      <c r="B4394" s="85"/>
      <c r="C4394" s="85"/>
      <c r="F4394" s="92"/>
      <c r="G4394" s="85"/>
    </row>
    <row r="4395">
      <c r="A4395" s="84"/>
      <c r="B4395" s="85"/>
      <c r="C4395" s="85"/>
      <c r="F4395" s="92"/>
      <c r="G4395" s="85"/>
    </row>
    <row r="4396">
      <c r="A4396" s="84"/>
      <c r="B4396" s="85"/>
      <c r="C4396" s="85"/>
      <c r="F4396" s="92"/>
      <c r="G4396" s="85"/>
    </row>
    <row r="4397">
      <c r="A4397" s="84"/>
      <c r="B4397" s="85"/>
      <c r="C4397" s="85"/>
      <c r="F4397" s="92"/>
      <c r="G4397" s="85"/>
    </row>
    <row r="4398">
      <c r="A4398" s="84"/>
      <c r="B4398" s="85"/>
      <c r="C4398" s="85"/>
      <c r="F4398" s="92"/>
      <c r="G4398" s="85"/>
    </row>
    <row r="4399">
      <c r="A4399" s="84"/>
      <c r="B4399" s="85"/>
      <c r="C4399" s="85"/>
      <c r="F4399" s="92"/>
      <c r="G4399" s="85"/>
    </row>
    <row r="4400">
      <c r="A4400" s="84"/>
      <c r="B4400" s="85"/>
      <c r="C4400" s="85"/>
      <c r="F4400" s="92"/>
      <c r="G4400" s="85"/>
    </row>
    <row r="4401">
      <c r="A4401" s="84"/>
      <c r="B4401" s="85"/>
      <c r="C4401" s="85"/>
      <c r="F4401" s="92"/>
      <c r="G4401" s="85"/>
    </row>
    <row r="4402">
      <c r="A4402" s="84"/>
      <c r="B4402" s="85"/>
      <c r="C4402" s="85"/>
      <c r="F4402" s="92"/>
      <c r="G4402" s="85"/>
    </row>
    <row r="4403">
      <c r="A4403" s="84"/>
      <c r="B4403" s="85"/>
      <c r="C4403" s="85"/>
      <c r="F4403" s="92"/>
      <c r="G4403" s="85"/>
    </row>
    <row r="4404">
      <c r="A4404" s="84"/>
      <c r="B4404" s="85"/>
      <c r="C4404" s="85"/>
      <c r="F4404" s="92"/>
      <c r="G4404" s="85"/>
    </row>
    <row r="4405">
      <c r="A4405" s="84"/>
      <c r="B4405" s="85"/>
      <c r="C4405" s="85"/>
      <c r="F4405" s="92"/>
      <c r="G4405" s="85"/>
    </row>
    <row r="4406">
      <c r="A4406" s="84"/>
      <c r="B4406" s="85"/>
      <c r="C4406" s="85"/>
      <c r="F4406" s="92"/>
      <c r="G4406" s="85"/>
    </row>
    <row r="4407">
      <c r="A4407" s="84"/>
      <c r="B4407" s="85"/>
      <c r="C4407" s="85"/>
      <c r="F4407" s="92"/>
      <c r="G4407" s="85"/>
    </row>
    <row r="4408">
      <c r="A4408" s="84"/>
      <c r="B4408" s="85"/>
      <c r="C4408" s="85"/>
      <c r="F4408" s="92"/>
      <c r="G4408" s="85"/>
    </row>
    <row r="4409">
      <c r="A4409" s="84"/>
      <c r="B4409" s="85"/>
      <c r="C4409" s="85"/>
      <c r="F4409" s="92"/>
      <c r="G4409" s="85"/>
    </row>
    <row r="4410">
      <c r="A4410" s="84"/>
      <c r="B4410" s="85"/>
      <c r="C4410" s="85"/>
      <c r="F4410" s="92"/>
      <c r="G4410" s="85"/>
    </row>
    <row r="4411">
      <c r="A4411" s="84"/>
      <c r="B4411" s="85"/>
      <c r="C4411" s="85"/>
      <c r="F4411" s="92"/>
      <c r="G4411" s="85"/>
    </row>
    <row r="4412">
      <c r="A4412" s="84"/>
      <c r="B4412" s="85"/>
      <c r="C4412" s="85"/>
      <c r="F4412" s="92"/>
      <c r="G4412" s="85"/>
    </row>
    <row r="4413">
      <c r="A4413" s="84"/>
      <c r="B4413" s="85"/>
      <c r="C4413" s="85"/>
      <c r="F4413" s="92"/>
      <c r="G4413" s="85"/>
    </row>
    <row r="4414">
      <c r="A4414" s="84"/>
      <c r="B4414" s="85"/>
      <c r="C4414" s="85"/>
      <c r="F4414" s="92"/>
      <c r="G4414" s="85"/>
    </row>
    <row r="4415">
      <c r="A4415" s="84"/>
      <c r="B4415" s="85"/>
      <c r="C4415" s="85"/>
      <c r="F4415" s="92"/>
      <c r="G4415" s="85"/>
    </row>
    <row r="4416">
      <c r="A4416" s="84"/>
      <c r="B4416" s="85"/>
      <c r="C4416" s="85"/>
      <c r="F4416" s="92"/>
      <c r="G4416" s="85"/>
    </row>
    <row r="4417">
      <c r="A4417" s="84"/>
      <c r="B4417" s="85"/>
      <c r="C4417" s="85"/>
      <c r="F4417" s="92"/>
      <c r="G4417" s="85"/>
    </row>
    <row r="4418">
      <c r="A4418" s="84"/>
      <c r="B4418" s="85"/>
      <c r="C4418" s="85"/>
      <c r="F4418" s="92"/>
      <c r="G4418" s="85"/>
    </row>
    <row r="4419">
      <c r="A4419" s="84"/>
      <c r="B4419" s="85"/>
      <c r="C4419" s="85"/>
      <c r="F4419" s="92"/>
      <c r="G4419" s="85"/>
    </row>
    <row r="4420">
      <c r="A4420" s="84"/>
      <c r="B4420" s="85"/>
      <c r="C4420" s="85"/>
      <c r="F4420" s="92"/>
      <c r="G4420" s="85"/>
    </row>
    <row r="4421">
      <c r="A4421" s="84"/>
      <c r="B4421" s="85"/>
      <c r="C4421" s="85"/>
      <c r="F4421" s="92"/>
      <c r="G4421" s="85"/>
    </row>
    <row r="4422">
      <c r="A4422" s="84"/>
      <c r="B4422" s="85"/>
      <c r="C4422" s="85"/>
      <c r="F4422" s="92"/>
      <c r="G4422" s="85"/>
    </row>
    <row r="4423">
      <c r="A4423" s="84"/>
      <c r="B4423" s="85"/>
      <c r="C4423" s="85"/>
      <c r="F4423" s="92"/>
      <c r="G4423" s="85"/>
    </row>
    <row r="4424">
      <c r="A4424" s="84"/>
      <c r="B4424" s="85"/>
      <c r="C4424" s="85"/>
      <c r="F4424" s="92"/>
      <c r="G4424" s="85"/>
    </row>
    <row r="4425">
      <c r="A4425" s="84"/>
      <c r="B4425" s="85"/>
      <c r="C4425" s="85"/>
      <c r="F4425" s="92"/>
      <c r="G4425" s="85"/>
    </row>
    <row r="4426">
      <c r="A4426" s="84"/>
      <c r="B4426" s="85"/>
      <c r="C4426" s="85"/>
      <c r="F4426" s="92"/>
      <c r="G4426" s="85"/>
    </row>
    <row r="4427">
      <c r="A4427" s="84"/>
      <c r="B4427" s="85"/>
      <c r="C4427" s="85"/>
      <c r="F4427" s="92"/>
      <c r="G4427" s="85"/>
    </row>
    <row r="4428">
      <c r="A4428" s="84"/>
      <c r="B4428" s="85"/>
      <c r="C4428" s="85"/>
      <c r="F4428" s="92"/>
      <c r="G4428" s="85"/>
    </row>
    <row r="4429">
      <c r="A4429" s="84"/>
      <c r="B4429" s="85"/>
      <c r="C4429" s="85"/>
      <c r="F4429" s="92"/>
      <c r="G4429" s="85"/>
    </row>
    <row r="4430">
      <c r="A4430" s="84"/>
      <c r="B4430" s="85"/>
      <c r="C4430" s="85"/>
      <c r="F4430" s="92"/>
      <c r="G4430" s="85"/>
    </row>
    <row r="4431">
      <c r="A4431" s="84"/>
      <c r="B4431" s="85"/>
      <c r="C4431" s="85"/>
      <c r="F4431" s="92"/>
      <c r="G4431" s="85"/>
    </row>
    <row r="4432">
      <c r="A4432" s="84"/>
      <c r="B4432" s="85"/>
      <c r="C4432" s="85"/>
      <c r="F4432" s="92"/>
      <c r="G4432" s="85"/>
    </row>
    <row r="4433">
      <c r="A4433" s="84"/>
      <c r="B4433" s="85"/>
      <c r="C4433" s="85"/>
      <c r="F4433" s="92"/>
      <c r="G4433" s="85"/>
    </row>
    <row r="4434">
      <c r="A4434" s="84"/>
      <c r="B4434" s="85"/>
      <c r="C4434" s="85"/>
      <c r="F4434" s="92"/>
      <c r="G4434" s="85"/>
    </row>
    <row r="4435">
      <c r="A4435" s="84"/>
      <c r="B4435" s="85"/>
      <c r="C4435" s="85"/>
      <c r="F4435" s="92"/>
      <c r="G4435" s="85"/>
    </row>
    <row r="4436">
      <c r="A4436" s="84"/>
      <c r="B4436" s="85"/>
      <c r="C4436" s="85"/>
      <c r="F4436" s="92"/>
      <c r="G4436" s="85"/>
    </row>
    <row r="4437">
      <c r="A4437" s="84"/>
      <c r="B4437" s="85"/>
      <c r="C4437" s="85"/>
      <c r="F4437" s="92"/>
      <c r="G4437" s="85"/>
    </row>
    <row r="4438">
      <c r="A4438" s="84"/>
      <c r="B4438" s="85"/>
      <c r="C4438" s="85"/>
      <c r="F4438" s="92"/>
      <c r="G4438" s="85"/>
    </row>
    <row r="4439">
      <c r="A4439" s="84"/>
      <c r="B4439" s="85"/>
      <c r="C4439" s="85"/>
      <c r="F4439" s="92"/>
      <c r="G4439" s="85"/>
    </row>
    <row r="4440">
      <c r="A4440" s="84"/>
      <c r="B4440" s="85"/>
      <c r="C4440" s="85"/>
      <c r="F4440" s="92"/>
      <c r="G4440" s="85"/>
    </row>
    <row r="4441">
      <c r="A4441" s="84"/>
      <c r="B4441" s="85"/>
      <c r="C4441" s="85"/>
      <c r="F4441" s="92"/>
      <c r="G4441" s="85"/>
    </row>
    <row r="4442">
      <c r="A4442" s="84"/>
      <c r="B4442" s="85"/>
      <c r="C4442" s="85"/>
      <c r="F4442" s="92"/>
      <c r="G4442" s="85"/>
    </row>
    <row r="4443">
      <c r="A4443" s="84"/>
      <c r="B4443" s="85"/>
      <c r="C4443" s="85"/>
      <c r="F4443" s="92"/>
      <c r="G4443" s="85"/>
    </row>
    <row r="4444">
      <c r="A4444" s="84"/>
      <c r="B4444" s="85"/>
      <c r="C4444" s="85"/>
      <c r="F4444" s="92"/>
      <c r="G4444" s="85"/>
    </row>
    <row r="4445">
      <c r="A4445" s="84"/>
      <c r="B4445" s="85"/>
      <c r="C4445" s="85"/>
      <c r="F4445" s="92"/>
      <c r="G4445" s="85"/>
    </row>
    <row r="4446">
      <c r="A4446" s="84"/>
      <c r="B4446" s="85"/>
      <c r="C4446" s="85"/>
      <c r="F4446" s="92"/>
      <c r="G4446" s="85"/>
    </row>
    <row r="4447">
      <c r="A4447" s="84"/>
      <c r="B4447" s="85"/>
      <c r="C4447" s="85"/>
      <c r="F4447" s="92"/>
      <c r="G4447" s="85"/>
    </row>
    <row r="4448">
      <c r="A4448" s="84"/>
      <c r="B4448" s="85"/>
      <c r="C4448" s="85"/>
      <c r="F4448" s="92"/>
      <c r="G4448" s="85"/>
    </row>
    <row r="4449">
      <c r="A4449" s="84"/>
      <c r="B4449" s="85"/>
      <c r="C4449" s="85"/>
      <c r="F4449" s="92"/>
      <c r="G4449" s="85"/>
    </row>
    <row r="4450">
      <c r="A4450" s="84"/>
      <c r="B4450" s="85"/>
      <c r="C4450" s="85"/>
      <c r="F4450" s="92"/>
      <c r="G4450" s="85"/>
    </row>
    <row r="4451">
      <c r="A4451" s="84"/>
      <c r="B4451" s="85"/>
      <c r="C4451" s="85"/>
      <c r="F4451" s="92"/>
      <c r="G4451" s="85"/>
    </row>
    <row r="4452">
      <c r="A4452" s="84"/>
      <c r="B4452" s="85"/>
      <c r="C4452" s="85"/>
      <c r="F4452" s="92"/>
      <c r="G4452" s="85"/>
    </row>
    <row r="4453">
      <c r="A4453" s="84"/>
      <c r="B4453" s="85"/>
      <c r="C4453" s="85"/>
      <c r="F4453" s="92"/>
      <c r="G4453" s="85"/>
    </row>
    <row r="4454">
      <c r="A4454" s="84"/>
      <c r="B4454" s="85"/>
      <c r="C4454" s="85"/>
      <c r="F4454" s="92"/>
      <c r="G4454" s="85"/>
    </row>
    <row r="4455">
      <c r="A4455" s="84"/>
      <c r="B4455" s="85"/>
      <c r="C4455" s="85"/>
      <c r="F4455" s="92"/>
      <c r="G4455" s="85"/>
    </row>
    <row r="4456">
      <c r="A4456" s="84"/>
      <c r="B4456" s="85"/>
      <c r="C4456" s="85"/>
      <c r="F4456" s="92"/>
      <c r="G4456" s="85"/>
    </row>
    <row r="4457">
      <c r="A4457" s="84"/>
      <c r="B4457" s="85"/>
      <c r="C4457" s="85"/>
      <c r="F4457" s="92"/>
      <c r="G4457" s="85"/>
    </row>
    <row r="4458">
      <c r="A4458" s="84"/>
      <c r="B4458" s="85"/>
      <c r="C4458" s="85"/>
      <c r="F4458" s="92"/>
      <c r="G4458" s="85"/>
    </row>
    <row r="4459">
      <c r="A4459" s="84"/>
      <c r="B4459" s="85"/>
      <c r="C4459" s="85"/>
      <c r="F4459" s="92"/>
      <c r="G4459" s="85"/>
    </row>
    <row r="4460">
      <c r="A4460" s="84"/>
      <c r="B4460" s="85"/>
      <c r="C4460" s="85"/>
      <c r="F4460" s="92"/>
      <c r="G4460" s="85"/>
    </row>
    <row r="4461">
      <c r="A4461" s="84"/>
      <c r="B4461" s="85"/>
      <c r="C4461" s="85"/>
      <c r="F4461" s="92"/>
      <c r="G4461" s="85"/>
    </row>
    <row r="4462">
      <c r="A4462" s="84"/>
      <c r="B4462" s="85"/>
      <c r="C4462" s="85"/>
      <c r="F4462" s="92"/>
      <c r="G4462" s="85"/>
    </row>
    <row r="4463">
      <c r="A4463" s="84"/>
      <c r="B4463" s="85"/>
      <c r="C4463" s="85"/>
      <c r="F4463" s="92"/>
      <c r="G4463" s="85"/>
    </row>
    <row r="4464">
      <c r="A4464" s="84"/>
      <c r="B4464" s="85"/>
      <c r="C4464" s="85"/>
      <c r="F4464" s="92"/>
      <c r="G4464" s="85"/>
    </row>
    <row r="4465">
      <c r="A4465" s="84"/>
      <c r="B4465" s="85"/>
      <c r="C4465" s="85"/>
      <c r="F4465" s="92"/>
      <c r="G4465" s="85"/>
    </row>
    <row r="4466">
      <c r="A4466" s="84"/>
      <c r="B4466" s="85"/>
      <c r="C4466" s="85"/>
      <c r="F4466" s="92"/>
      <c r="G4466" s="85"/>
    </row>
    <row r="4467">
      <c r="A4467" s="84"/>
      <c r="B4467" s="85"/>
      <c r="C4467" s="85"/>
      <c r="F4467" s="92"/>
      <c r="G4467" s="85"/>
    </row>
    <row r="4468">
      <c r="A4468" s="84"/>
      <c r="B4468" s="85"/>
      <c r="C4468" s="85"/>
      <c r="F4468" s="92"/>
      <c r="G4468" s="85"/>
    </row>
    <row r="4469">
      <c r="A4469" s="84"/>
      <c r="B4469" s="85"/>
      <c r="C4469" s="85"/>
      <c r="F4469" s="92"/>
      <c r="G4469" s="85"/>
    </row>
    <row r="4470">
      <c r="A4470" s="84"/>
      <c r="B4470" s="85"/>
      <c r="C4470" s="85"/>
      <c r="F4470" s="92"/>
      <c r="G4470" s="85"/>
    </row>
    <row r="4471">
      <c r="A4471" s="84"/>
      <c r="B4471" s="85"/>
      <c r="C4471" s="85"/>
      <c r="F4471" s="92"/>
      <c r="G4471" s="85"/>
    </row>
    <row r="4472">
      <c r="A4472" s="84"/>
      <c r="B4472" s="85"/>
      <c r="C4472" s="85"/>
      <c r="F4472" s="92"/>
      <c r="G4472" s="85"/>
    </row>
    <row r="4473">
      <c r="A4473" s="84"/>
      <c r="B4473" s="85"/>
      <c r="C4473" s="85"/>
      <c r="F4473" s="92"/>
      <c r="G4473" s="85"/>
    </row>
    <row r="4474">
      <c r="A4474" s="84"/>
      <c r="B4474" s="85"/>
      <c r="C4474" s="85"/>
      <c r="F4474" s="92"/>
      <c r="G4474" s="85"/>
    </row>
    <row r="4475">
      <c r="A4475" s="84"/>
      <c r="B4475" s="85"/>
      <c r="C4475" s="85"/>
      <c r="F4475" s="92"/>
      <c r="G4475" s="85"/>
    </row>
    <row r="4476">
      <c r="A4476" s="84"/>
      <c r="B4476" s="85"/>
      <c r="C4476" s="85"/>
      <c r="F4476" s="92"/>
      <c r="G4476" s="85"/>
    </row>
    <row r="4477">
      <c r="A4477" s="84"/>
      <c r="B4477" s="85"/>
      <c r="C4477" s="85"/>
      <c r="F4477" s="92"/>
      <c r="G4477" s="85"/>
    </row>
    <row r="4478">
      <c r="A4478" s="84"/>
      <c r="B4478" s="85"/>
      <c r="C4478" s="85"/>
      <c r="F4478" s="92"/>
      <c r="G4478" s="85"/>
    </row>
    <row r="4479">
      <c r="A4479" s="84"/>
      <c r="B4479" s="85"/>
      <c r="C4479" s="85"/>
      <c r="F4479" s="92"/>
      <c r="G4479" s="85"/>
    </row>
    <row r="4480">
      <c r="A4480" s="84"/>
      <c r="B4480" s="85"/>
      <c r="C4480" s="85"/>
      <c r="F4480" s="92"/>
      <c r="G4480" s="85"/>
    </row>
    <row r="4481">
      <c r="A4481" s="84"/>
      <c r="B4481" s="85"/>
      <c r="C4481" s="85"/>
      <c r="F4481" s="92"/>
      <c r="G4481" s="85"/>
    </row>
    <row r="4482">
      <c r="A4482" s="84"/>
      <c r="B4482" s="85"/>
      <c r="C4482" s="85"/>
      <c r="F4482" s="92"/>
      <c r="G4482" s="85"/>
    </row>
    <row r="4483">
      <c r="A4483" s="84"/>
      <c r="B4483" s="85"/>
      <c r="C4483" s="85"/>
      <c r="F4483" s="92"/>
      <c r="G4483" s="85"/>
    </row>
    <row r="4484">
      <c r="A4484" s="84"/>
      <c r="B4484" s="85"/>
      <c r="C4484" s="85"/>
      <c r="F4484" s="92"/>
      <c r="G4484" s="85"/>
    </row>
    <row r="4485">
      <c r="A4485" s="84"/>
      <c r="B4485" s="85"/>
      <c r="C4485" s="85"/>
      <c r="F4485" s="92"/>
      <c r="G4485" s="85"/>
    </row>
    <row r="4486">
      <c r="A4486" s="84"/>
      <c r="B4486" s="85"/>
      <c r="C4486" s="85"/>
      <c r="F4486" s="92"/>
      <c r="G4486" s="85"/>
    </row>
    <row r="4487">
      <c r="A4487" s="84"/>
      <c r="B4487" s="85"/>
      <c r="C4487" s="85"/>
      <c r="F4487" s="92"/>
      <c r="G4487" s="85"/>
    </row>
    <row r="4488">
      <c r="A4488" s="84"/>
      <c r="B4488" s="85"/>
      <c r="C4488" s="85"/>
      <c r="F4488" s="92"/>
      <c r="G4488" s="85"/>
    </row>
    <row r="4489">
      <c r="A4489" s="84"/>
      <c r="B4489" s="85"/>
      <c r="C4489" s="85"/>
      <c r="F4489" s="92"/>
      <c r="G4489" s="85"/>
    </row>
    <row r="4490">
      <c r="A4490" s="84"/>
      <c r="B4490" s="85"/>
      <c r="C4490" s="85"/>
      <c r="F4490" s="92"/>
      <c r="G4490" s="85"/>
    </row>
    <row r="4491">
      <c r="A4491" s="84"/>
      <c r="B4491" s="85"/>
      <c r="C4491" s="85"/>
      <c r="F4491" s="92"/>
      <c r="G4491" s="85"/>
    </row>
    <row r="4492">
      <c r="A4492" s="84"/>
      <c r="B4492" s="85"/>
      <c r="C4492" s="85"/>
      <c r="F4492" s="92"/>
      <c r="G4492" s="85"/>
    </row>
    <row r="4493">
      <c r="A4493" s="84"/>
      <c r="B4493" s="85"/>
      <c r="C4493" s="85"/>
      <c r="F4493" s="92"/>
      <c r="G4493" s="85"/>
    </row>
    <row r="4494">
      <c r="A4494" s="84"/>
      <c r="B4494" s="85"/>
      <c r="C4494" s="85"/>
      <c r="F4494" s="92"/>
      <c r="G4494" s="85"/>
    </row>
    <row r="4495">
      <c r="A4495" s="84"/>
      <c r="B4495" s="85"/>
      <c r="C4495" s="85"/>
      <c r="F4495" s="92"/>
      <c r="G4495" s="85"/>
    </row>
    <row r="4496">
      <c r="A4496" s="84"/>
      <c r="B4496" s="85"/>
      <c r="C4496" s="85"/>
      <c r="F4496" s="92"/>
      <c r="G4496" s="85"/>
    </row>
    <row r="4497">
      <c r="A4497" s="84"/>
      <c r="B4497" s="85"/>
      <c r="C4497" s="85"/>
      <c r="F4497" s="92"/>
      <c r="G4497" s="85"/>
    </row>
    <row r="4498">
      <c r="A4498" s="84"/>
      <c r="B4498" s="85"/>
      <c r="C4498" s="85"/>
      <c r="F4498" s="92"/>
      <c r="G4498" s="85"/>
    </row>
    <row r="4499">
      <c r="A4499" s="84"/>
      <c r="B4499" s="85"/>
      <c r="C4499" s="85"/>
      <c r="F4499" s="92"/>
      <c r="G4499" s="85"/>
    </row>
    <row r="4500">
      <c r="A4500" s="84"/>
      <c r="B4500" s="85"/>
      <c r="C4500" s="85"/>
      <c r="F4500" s="92"/>
      <c r="G4500" s="85"/>
    </row>
    <row r="4501">
      <c r="A4501" s="84"/>
      <c r="B4501" s="85"/>
      <c r="C4501" s="85"/>
      <c r="F4501" s="92"/>
      <c r="G4501" s="85"/>
    </row>
    <row r="4502">
      <c r="A4502" s="84"/>
      <c r="B4502" s="85"/>
      <c r="C4502" s="85"/>
      <c r="F4502" s="92"/>
      <c r="G4502" s="85"/>
    </row>
    <row r="4503">
      <c r="A4503" s="84"/>
      <c r="B4503" s="85"/>
      <c r="C4503" s="85"/>
      <c r="F4503" s="92"/>
      <c r="G4503" s="85"/>
    </row>
    <row r="4504">
      <c r="A4504" s="84"/>
      <c r="B4504" s="85"/>
      <c r="C4504" s="85"/>
      <c r="F4504" s="92"/>
      <c r="G4504" s="85"/>
    </row>
    <row r="4505">
      <c r="A4505" s="84"/>
      <c r="B4505" s="85"/>
      <c r="C4505" s="85"/>
      <c r="F4505" s="92"/>
      <c r="G4505" s="85"/>
    </row>
    <row r="4506">
      <c r="A4506" s="84"/>
      <c r="B4506" s="85"/>
      <c r="C4506" s="85"/>
      <c r="F4506" s="92"/>
      <c r="G4506" s="85"/>
    </row>
    <row r="4507">
      <c r="A4507" s="84"/>
      <c r="B4507" s="85"/>
      <c r="C4507" s="85"/>
      <c r="F4507" s="92"/>
      <c r="G4507" s="85"/>
    </row>
    <row r="4508">
      <c r="A4508" s="84"/>
      <c r="B4508" s="85"/>
      <c r="C4508" s="85"/>
      <c r="F4508" s="92"/>
      <c r="G4508" s="85"/>
    </row>
    <row r="4509">
      <c r="A4509" s="84"/>
      <c r="B4509" s="85"/>
      <c r="C4509" s="85"/>
      <c r="F4509" s="92"/>
      <c r="G4509" s="85"/>
    </row>
    <row r="4510">
      <c r="A4510" s="84"/>
      <c r="B4510" s="85"/>
      <c r="C4510" s="85"/>
      <c r="F4510" s="92"/>
      <c r="G4510" s="85"/>
    </row>
    <row r="4511">
      <c r="A4511" s="84"/>
      <c r="B4511" s="85"/>
      <c r="C4511" s="85"/>
      <c r="F4511" s="92"/>
      <c r="G4511" s="85"/>
    </row>
    <row r="4512">
      <c r="A4512" s="84"/>
      <c r="B4512" s="85"/>
      <c r="C4512" s="85"/>
      <c r="F4512" s="92"/>
      <c r="G4512" s="85"/>
    </row>
    <row r="4513">
      <c r="A4513" s="84"/>
      <c r="B4513" s="85"/>
      <c r="C4513" s="85"/>
      <c r="F4513" s="92"/>
      <c r="G4513" s="85"/>
    </row>
    <row r="4514">
      <c r="A4514" s="84"/>
      <c r="B4514" s="85"/>
      <c r="C4514" s="85"/>
      <c r="F4514" s="92"/>
      <c r="G4514" s="85"/>
    </row>
    <row r="4515">
      <c r="A4515" s="84"/>
      <c r="B4515" s="85"/>
      <c r="C4515" s="85"/>
      <c r="F4515" s="92"/>
      <c r="G4515" s="85"/>
    </row>
    <row r="4516">
      <c r="A4516" s="84"/>
      <c r="B4516" s="85"/>
      <c r="C4516" s="85"/>
      <c r="F4516" s="92"/>
      <c r="G4516" s="85"/>
    </row>
    <row r="4517">
      <c r="A4517" s="84"/>
      <c r="B4517" s="85"/>
      <c r="C4517" s="85"/>
      <c r="F4517" s="92"/>
      <c r="G4517" s="85"/>
    </row>
    <row r="4518">
      <c r="A4518" s="84"/>
      <c r="B4518" s="85"/>
      <c r="C4518" s="85"/>
      <c r="F4518" s="92"/>
      <c r="G4518" s="85"/>
    </row>
    <row r="4519">
      <c r="A4519" s="84"/>
      <c r="B4519" s="85"/>
      <c r="C4519" s="85"/>
      <c r="F4519" s="92"/>
      <c r="G4519" s="85"/>
    </row>
    <row r="4520">
      <c r="A4520" s="84"/>
      <c r="B4520" s="85"/>
      <c r="C4520" s="85"/>
      <c r="F4520" s="92"/>
      <c r="G4520" s="85"/>
    </row>
    <row r="4521">
      <c r="A4521" s="84"/>
      <c r="B4521" s="85"/>
      <c r="C4521" s="85"/>
      <c r="F4521" s="92"/>
      <c r="G4521" s="85"/>
    </row>
    <row r="4522">
      <c r="A4522" s="84"/>
      <c r="B4522" s="85"/>
      <c r="C4522" s="85"/>
      <c r="F4522" s="92"/>
      <c r="G4522" s="85"/>
    </row>
    <row r="4523">
      <c r="A4523" s="84"/>
      <c r="B4523" s="85"/>
      <c r="C4523" s="85"/>
      <c r="F4523" s="92"/>
      <c r="G4523" s="85"/>
    </row>
    <row r="4524">
      <c r="A4524" s="84"/>
      <c r="B4524" s="85"/>
      <c r="C4524" s="85"/>
      <c r="F4524" s="92"/>
      <c r="G4524" s="85"/>
    </row>
    <row r="4525">
      <c r="A4525" s="84"/>
      <c r="B4525" s="85"/>
      <c r="C4525" s="85"/>
      <c r="F4525" s="92"/>
      <c r="G4525" s="85"/>
    </row>
    <row r="4526">
      <c r="A4526" s="84"/>
      <c r="B4526" s="85"/>
      <c r="C4526" s="85"/>
      <c r="F4526" s="92"/>
      <c r="G4526" s="85"/>
    </row>
    <row r="4527">
      <c r="A4527" s="84"/>
      <c r="B4527" s="85"/>
      <c r="C4527" s="85"/>
      <c r="F4527" s="92"/>
      <c r="G4527" s="85"/>
    </row>
    <row r="4528">
      <c r="A4528" s="84"/>
      <c r="B4528" s="85"/>
      <c r="C4528" s="85"/>
      <c r="F4528" s="92"/>
      <c r="G4528" s="85"/>
    </row>
    <row r="4529">
      <c r="A4529" s="84"/>
      <c r="B4529" s="85"/>
      <c r="C4529" s="85"/>
      <c r="F4529" s="92"/>
      <c r="G4529" s="85"/>
    </row>
    <row r="4530">
      <c r="A4530" s="84"/>
      <c r="B4530" s="85"/>
      <c r="C4530" s="85"/>
      <c r="F4530" s="92"/>
      <c r="G4530" s="85"/>
    </row>
    <row r="4531">
      <c r="A4531" s="84"/>
      <c r="B4531" s="85"/>
      <c r="C4531" s="85"/>
      <c r="F4531" s="92"/>
      <c r="G4531" s="85"/>
    </row>
    <row r="4532">
      <c r="A4532" s="84"/>
      <c r="B4532" s="85"/>
      <c r="C4532" s="85"/>
      <c r="F4532" s="92"/>
      <c r="G4532" s="85"/>
    </row>
    <row r="4533">
      <c r="A4533" s="84"/>
      <c r="B4533" s="85"/>
      <c r="C4533" s="85"/>
      <c r="F4533" s="92"/>
      <c r="G4533" s="85"/>
    </row>
    <row r="4534">
      <c r="A4534" s="84"/>
      <c r="B4534" s="85"/>
      <c r="C4534" s="85"/>
      <c r="F4534" s="92"/>
      <c r="G4534" s="85"/>
    </row>
    <row r="4535">
      <c r="A4535" s="84"/>
      <c r="B4535" s="85"/>
      <c r="C4535" s="85"/>
      <c r="F4535" s="92"/>
      <c r="G4535" s="85"/>
    </row>
    <row r="4536">
      <c r="A4536" s="84"/>
      <c r="B4536" s="85"/>
      <c r="C4536" s="85"/>
      <c r="F4536" s="92"/>
      <c r="G4536" s="85"/>
    </row>
    <row r="4537">
      <c r="A4537" s="84"/>
      <c r="B4537" s="85"/>
      <c r="C4537" s="85"/>
      <c r="F4537" s="92"/>
      <c r="G4537" s="85"/>
    </row>
    <row r="4538">
      <c r="A4538" s="84"/>
      <c r="B4538" s="85"/>
      <c r="C4538" s="85"/>
      <c r="F4538" s="92"/>
      <c r="G4538" s="85"/>
    </row>
    <row r="4539">
      <c r="A4539" s="84"/>
      <c r="B4539" s="85"/>
      <c r="C4539" s="85"/>
      <c r="F4539" s="92"/>
      <c r="G4539" s="85"/>
    </row>
    <row r="4540">
      <c r="A4540" s="84"/>
      <c r="B4540" s="85"/>
      <c r="C4540" s="85"/>
      <c r="F4540" s="92"/>
      <c r="G4540" s="85"/>
    </row>
    <row r="4541">
      <c r="A4541" s="84"/>
      <c r="B4541" s="85"/>
      <c r="C4541" s="85"/>
      <c r="F4541" s="92"/>
      <c r="G4541" s="85"/>
    </row>
    <row r="4542">
      <c r="A4542" s="84"/>
      <c r="B4542" s="85"/>
      <c r="C4542" s="85"/>
      <c r="F4542" s="92"/>
      <c r="G4542" s="85"/>
    </row>
    <row r="4543">
      <c r="A4543" s="84"/>
      <c r="B4543" s="85"/>
      <c r="C4543" s="85"/>
      <c r="F4543" s="92"/>
      <c r="G4543" s="85"/>
    </row>
    <row r="4544">
      <c r="A4544" s="84"/>
      <c r="B4544" s="85"/>
      <c r="C4544" s="85"/>
      <c r="F4544" s="92"/>
      <c r="G4544" s="85"/>
    </row>
    <row r="4545">
      <c r="A4545" s="84"/>
      <c r="B4545" s="85"/>
      <c r="C4545" s="85"/>
      <c r="F4545" s="92"/>
      <c r="G4545" s="85"/>
    </row>
    <row r="4546">
      <c r="A4546" s="84"/>
      <c r="B4546" s="85"/>
      <c r="C4546" s="85"/>
      <c r="F4546" s="92"/>
      <c r="G4546" s="85"/>
    </row>
    <row r="4547">
      <c r="A4547" s="84"/>
      <c r="B4547" s="85"/>
      <c r="C4547" s="85"/>
      <c r="F4547" s="92"/>
      <c r="G4547" s="85"/>
    </row>
    <row r="4548">
      <c r="A4548" s="84"/>
      <c r="B4548" s="85"/>
      <c r="C4548" s="85"/>
      <c r="F4548" s="92"/>
      <c r="G4548" s="85"/>
    </row>
    <row r="4549">
      <c r="A4549" s="84"/>
      <c r="B4549" s="85"/>
      <c r="C4549" s="85"/>
      <c r="F4549" s="92"/>
      <c r="G4549" s="85"/>
    </row>
    <row r="4550">
      <c r="A4550" s="84"/>
      <c r="B4550" s="85"/>
      <c r="C4550" s="85"/>
      <c r="F4550" s="92"/>
      <c r="G4550" s="85"/>
    </row>
    <row r="4551">
      <c r="A4551" s="84"/>
      <c r="B4551" s="85"/>
      <c r="C4551" s="85"/>
      <c r="F4551" s="92"/>
      <c r="G4551" s="85"/>
    </row>
    <row r="4552">
      <c r="A4552" s="84"/>
      <c r="B4552" s="85"/>
      <c r="C4552" s="85"/>
      <c r="F4552" s="92"/>
      <c r="G4552" s="85"/>
    </row>
    <row r="4553">
      <c r="A4553" s="84"/>
      <c r="B4553" s="85"/>
      <c r="C4553" s="85"/>
      <c r="F4553" s="92"/>
      <c r="G4553" s="85"/>
    </row>
    <row r="4554">
      <c r="A4554" s="84"/>
      <c r="B4554" s="85"/>
      <c r="C4554" s="85"/>
      <c r="F4554" s="92"/>
      <c r="G4554" s="85"/>
    </row>
    <row r="4555">
      <c r="A4555" s="84"/>
      <c r="B4555" s="85"/>
      <c r="C4555" s="85"/>
      <c r="F4555" s="92"/>
      <c r="G4555" s="85"/>
    </row>
    <row r="4556">
      <c r="A4556" s="84"/>
      <c r="B4556" s="85"/>
      <c r="C4556" s="85"/>
      <c r="F4556" s="92"/>
      <c r="G4556" s="85"/>
    </row>
    <row r="4557">
      <c r="A4557" s="84"/>
      <c r="B4557" s="85"/>
      <c r="C4557" s="85"/>
      <c r="F4557" s="92"/>
      <c r="G4557" s="85"/>
    </row>
    <row r="4558">
      <c r="A4558" s="84"/>
      <c r="B4558" s="85"/>
      <c r="C4558" s="85"/>
      <c r="F4558" s="92"/>
      <c r="G4558" s="85"/>
    </row>
    <row r="4559">
      <c r="A4559" s="84"/>
      <c r="B4559" s="85"/>
      <c r="C4559" s="85"/>
      <c r="F4559" s="92"/>
      <c r="G4559" s="85"/>
    </row>
    <row r="4560">
      <c r="A4560" s="84"/>
      <c r="B4560" s="85"/>
      <c r="C4560" s="85"/>
      <c r="F4560" s="92"/>
      <c r="G4560" s="85"/>
    </row>
    <row r="4561">
      <c r="A4561" s="84"/>
      <c r="B4561" s="85"/>
      <c r="C4561" s="85"/>
      <c r="F4561" s="92"/>
      <c r="G4561" s="85"/>
    </row>
    <row r="4562">
      <c r="A4562" s="84"/>
      <c r="B4562" s="85"/>
      <c r="C4562" s="85"/>
      <c r="F4562" s="92"/>
      <c r="G4562" s="85"/>
    </row>
    <row r="4563">
      <c r="A4563" s="84"/>
      <c r="B4563" s="85"/>
      <c r="C4563" s="85"/>
      <c r="F4563" s="92"/>
      <c r="G4563" s="85"/>
    </row>
    <row r="4564">
      <c r="A4564" s="84"/>
      <c r="B4564" s="85"/>
      <c r="C4564" s="85"/>
      <c r="F4564" s="92"/>
      <c r="G4564" s="85"/>
    </row>
    <row r="4565">
      <c r="A4565" s="84"/>
      <c r="B4565" s="85"/>
      <c r="C4565" s="85"/>
      <c r="F4565" s="92"/>
      <c r="G4565" s="85"/>
    </row>
    <row r="4566">
      <c r="A4566" s="84"/>
      <c r="B4566" s="85"/>
      <c r="C4566" s="85"/>
      <c r="F4566" s="92"/>
      <c r="G4566" s="85"/>
    </row>
    <row r="4567">
      <c r="A4567" s="84"/>
      <c r="B4567" s="85"/>
      <c r="C4567" s="85"/>
      <c r="F4567" s="92"/>
      <c r="G4567" s="85"/>
    </row>
    <row r="4568">
      <c r="A4568" s="84"/>
      <c r="B4568" s="85"/>
      <c r="C4568" s="85"/>
      <c r="F4568" s="92"/>
      <c r="G4568" s="85"/>
    </row>
    <row r="4569">
      <c r="A4569" s="84"/>
      <c r="B4569" s="85"/>
      <c r="C4569" s="85"/>
      <c r="F4569" s="92"/>
      <c r="G4569" s="85"/>
    </row>
    <row r="4570">
      <c r="A4570" s="84"/>
      <c r="B4570" s="85"/>
      <c r="C4570" s="85"/>
      <c r="F4570" s="92"/>
      <c r="G4570" s="85"/>
    </row>
    <row r="4571">
      <c r="A4571" s="84"/>
      <c r="B4571" s="85"/>
      <c r="C4571" s="85"/>
      <c r="F4571" s="92"/>
      <c r="G4571" s="85"/>
    </row>
    <row r="4572">
      <c r="A4572" s="84"/>
      <c r="B4572" s="85"/>
      <c r="C4572" s="85"/>
      <c r="F4572" s="92"/>
      <c r="G4572" s="85"/>
    </row>
    <row r="4573">
      <c r="A4573" s="84"/>
      <c r="B4573" s="85"/>
      <c r="C4573" s="85"/>
      <c r="F4573" s="92"/>
      <c r="G4573" s="85"/>
    </row>
    <row r="4574">
      <c r="A4574" s="84"/>
      <c r="B4574" s="85"/>
      <c r="C4574" s="85"/>
      <c r="F4574" s="92"/>
      <c r="G4574" s="85"/>
    </row>
    <row r="4575">
      <c r="A4575" s="84"/>
      <c r="B4575" s="85"/>
      <c r="C4575" s="85"/>
      <c r="F4575" s="92"/>
      <c r="G4575" s="85"/>
    </row>
    <row r="4576">
      <c r="A4576" s="84"/>
      <c r="B4576" s="85"/>
      <c r="C4576" s="85"/>
      <c r="F4576" s="92"/>
      <c r="G4576" s="85"/>
    </row>
    <row r="4577">
      <c r="A4577" s="84"/>
      <c r="B4577" s="85"/>
      <c r="C4577" s="85"/>
      <c r="F4577" s="92"/>
      <c r="G4577" s="85"/>
    </row>
    <row r="4578">
      <c r="A4578" s="84"/>
      <c r="B4578" s="85"/>
      <c r="C4578" s="85"/>
      <c r="F4578" s="92"/>
      <c r="G4578" s="85"/>
    </row>
    <row r="4579">
      <c r="A4579" s="84"/>
      <c r="B4579" s="85"/>
      <c r="C4579" s="85"/>
      <c r="F4579" s="92"/>
      <c r="G4579" s="85"/>
    </row>
    <row r="4580">
      <c r="A4580" s="84"/>
      <c r="B4580" s="85"/>
      <c r="C4580" s="85"/>
      <c r="F4580" s="92"/>
      <c r="G4580" s="85"/>
    </row>
    <row r="4581">
      <c r="A4581" s="84"/>
      <c r="B4581" s="85"/>
      <c r="C4581" s="85"/>
      <c r="F4581" s="92"/>
      <c r="G4581" s="85"/>
    </row>
    <row r="4582">
      <c r="A4582" s="84"/>
      <c r="B4582" s="85"/>
      <c r="C4582" s="85"/>
      <c r="F4582" s="92"/>
      <c r="G4582" s="85"/>
    </row>
    <row r="4583">
      <c r="A4583" s="84"/>
      <c r="B4583" s="85"/>
      <c r="C4583" s="85"/>
      <c r="F4583" s="92"/>
      <c r="G4583" s="85"/>
    </row>
    <row r="4584">
      <c r="A4584" s="84"/>
      <c r="B4584" s="85"/>
      <c r="C4584" s="85"/>
      <c r="F4584" s="92"/>
      <c r="G4584" s="85"/>
    </row>
    <row r="4585">
      <c r="A4585" s="84"/>
      <c r="B4585" s="85"/>
      <c r="C4585" s="85"/>
      <c r="F4585" s="92"/>
      <c r="G4585" s="85"/>
    </row>
    <row r="4586">
      <c r="A4586" s="84"/>
      <c r="B4586" s="85"/>
      <c r="C4586" s="85"/>
      <c r="F4586" s="92"/>
      <c r="G4586" s="85"/>
    </row>
    <row r="4587">
      <c r="A4587" s="84"/>
      <c r="B4587" s="85"/>
      <c r="C4587" s="85"/>
      <c r="F4587" s="92"/>
      <c r="G4587" s="85"/>
    </row>
    <row r="4588">
      <c r="A4588" s="84"/>
      <c r="B4588" s="85"/>
      <c r="C4588" s="85"/>
      <c r="F4588" s="92"/>
      <c r="G4588" s="85"/>
    </row>
    <row r="4589">
      <c r="A4589" s="84"/>
      <c r="B4589" s="85"/>
      <c r="C4589" s="85"/>
      <c r="F4589" s="92"/>
      <c r="G4589" s="85"/>
    </row>
    <row r="4590">
      <c r="A4590" s="84"/>
      <c r="B4590" s="85"/>
      <c r="C4590" s="85"/>
      <c r="F4590" s="92"/>
      <c r="G4590" s="85"/>
    </row>
    <row r="4591">
      <c r="A4591" s="84"/>
      <c r="B4591" s="85"/>
      <c r="C4591" s="85"/>
      <c r="F4591" s="92"/>
      <c r="G4591" s="85"/>
    </row>
    <row r="4592">
      <c r="A4592" s="84"/>
      <c r="B4592" s="85"/>
      <c r="C4592" s="85"/>
      <c r="F4592" s="92"/>
      <c r="G4592" s="85"/>
    </row>
    <row r="4593">
      <c r="A4593" s="84"/>
      <c r="B4593" s="85"/>
      <c r="C4593" s="85"/>
      <c r="F4593" s="92"/>
      <c r="G4593" s="85"/>
    </row>
    <row r="4594">
      <c r="A4594" s="84"/>
      <c r="B4594" s="85"/>
      <c r="C4594" s="85"/>
      <c r="F4594" s="92"/>
      <c r="G4594" s="85"/>
    </row>
    <row r="4595">
      <c r="A4595" s="84"/>
      <c r="B4595" s="85"/>
      <c r="C4595" s="85"/>
      <c r="F4595" s="92"/>
      <c r="G4595" s="85"/>
    </row>
    <row r="4596">
      <c r="A4596" s="84"/>
      <c r="B4596" s="85"/>
      <c r="C4596" s="85"/>
      <c r="F4596" s="92"/>
      <c r="G4596" s="85"/>
    </row>
    <row r="4597">
      <c r="A4597" s="84"/>
      <c r="B4597" s="85"/>
      <c r="C4597" s="85"/>
      <c r="F4597" s="92"/>
      <c r="G4597" s="85"/>
    </row>
    <row r="4598">
      <c r="A4598" s="84"/>
      <c r="B4598" s="85"/>
      <c r="C4598" s="85"/>
      <c r="F4598" s="92"/>
      <c r="G4598" s="85"/>
    </row>
    <row r="4599">
      <c r="A4599" s="84"/>
      <c r="B4599" s="85"/>
      <c r="C4599" s="85"/>
      <c r="F4599" s="92"/>
      <c r="G4599" s="85"/>
    </row>
    <row r="4600">
      <c r="A4600" s="84"/>
      <c r="B4600" s="85"/>
      <c r="C4600" s="85"/>
      <c r="F4600" s="92"/>
      <c r="G4600" s="85"/>
    </row>
    <row r="4601">
      <c r="A4601" s="84"/>
      <c r="B4601" s="85"/>
      <c r="C4601" s="85"/>
      <c r="F4601" s="92"/>
      <c r="G4601" s="85"/>
    </row>
    <row r="4602">
      <c r="A4602" s="84"/>
      <c r="B4602" s="85"/>
      <c r="C4602" s="85"/>
      <c r="F4602" s="92"/>
      <c r="G4602" s="85"/>
    </row>
    <row r="4603">
      <c r="A4603" s="84"/>
      <c r="B4603" s="85"/>
      <c r="C4603" s="85"/>
      <c r="F4603" s="92"/>
      <c r="G4603" s="85"/>
    </row>
    <row r="4604">
      <c r="A4604" s="84"/>
      <c r="B4604" s="85"/>
      <c r="C4604" s="85"/>
      <c r="F4604" s="92"/>
      <c r="G4604" s="85"/>
    </row>
    <row r="4605">
      <c r="A4605" s="84"/>
      <c r="B4605" s="85"/>
      <c r="C4605" s="85"/>
      <c r="F4605" s="92"/>
      <c r="G4605" s="85"/>
    </row>
    <row r="4606">
      <c r="A4606" s="84"/>
      <c r="B4606" s="85"/>
      <c r="C4606" s="85"/>
      <c r="F4606" s="92"/>
      <c r="G4606" s="85"/>
    </row>
    <row r="4607">
      <c r="A4607" s="84"/>
      <c r="B4607" s="85"/>
      <c r="C4607" s="85"/>
      <c r="F4607" s="92"/>
      <c r="G4607" s="85"/>
    </row>
    <row r="4608">
      <c r="A4608" s="84"/>
      <c r="B4608" s="85"/>
      <c r="C4608" s="85"/>
      <c r="F4608" s="92"/>
      <c r="G4608" s="85"/>
    </row>
    <row r="4609">
      <c r="A4609" s="84"/>
      <c r="B4609" s="85"/>
      <c r="C4609" s="85"/>
      <c r="F4609" s="92"/>
      <c r="G4609" s="85"/>
    </row>
    <row r="4610">
      <c r="A4610" s="84"/>
      <c r="B4610" s="85"/>
      <c r="C4610" s="85"/>
      <c r="F4610" s="92"/>
      <c r="G4610" s="85"/>
    </row>
    <row r="4611">
      <c r="A4611" s="84"/>
      <c r="B4611" s="85"/>
      <c r="C4611" s="85"/>
      <c r="F4611" s="92"/>
      <c r="G4611" s="85"/>
    </row>
    <row r="4612">
      <c r="A4612" s="84"/>
      <c r="B4612" s="85"/>
      <c r="C4612" s="85"/>
      <c r="F4612" s="92"/>
      <c r="G4612" s="85"/>
    </row>
    <row r="4613">
      <c r="A4613" s="84"/>
      <c r="B4613" s="85"/>
      <c r="C4613" s="85"/>
      <c r="F4613" s="92"/>
      <c r="G4613" s="85"/>
    </row>
    <row r="4614">
      <c r="A4614" s="84"/>
      <c r="B4614" s="85"/>
      <c r="C4614" s="85"/>
      <c r="F4614" s="92"/>
      <c r="G4614" s="85"/>
    </row>
    <row r="4615">
      <c r="A4615" s="84"/>
      <c r="B4615" s="85"/>
      <c r="C4615" s="85"/>
      <c r="F4615" s="92"/>
      <c r="G4615" s="85"/>
    </row>
    <row r="4616">
      <c r="A4616" s="84"/>
      <c r="B4616" s="85"/>
      <c r="C4616" s="85"/>
      <c r="F4616" s="92"/>
      <c r="G4616" s="85"/>
    </row>
    <row r="4617">
      <c r="A4617" s="84"/>
      <c r="B4617" s="85"/>
      <c r="C4617" s="85"/>
      <c r="F4617" s="92"/>
      <c r="G4617" s="85"/>
    </row>
    <row r="4618">
      <c r="A4618" s="84"/>
      <c r="B4618" s="85"/>
      <c r="C4618" s="85"/>
      <c r="F4618" s="92"/>
      <c r="G4618" s="85"/>
    </row>
    <row r="4619">
      <c r="A4619" s="84"/>
      <c r="B4619" s="85"/>
      <c r="C4619" s="85"/>
      <c r="F4619" s="92"/>
      <c r="G4619" s="85"/>
    </row>
    <row r="4620">
      <c r="A4620" s="84"/>
      <c r="B4620" s="85"/>
      <c r="C4620" s="85"/>
      <c r="F4620" s="92"/>
      <c r="G4620" s="85"/>
    </row>
    <row r="4621">
      <c r="A4621" s="84"/>
      <c r="B4621" s="85"/>
      <c r="C4621" s="85"/>
      <c r="F4621" s="92"/>
      <c r="G4621" s="85"/>
    </row>
    <row r="4622">
      <c r="A4622" s="84"/>
      <c r="B4622" s="85"/>
      <c r="C4622" s="85"/>
      <c r="F4622" s="92"/>
      <c r="G4622" s="85"/>
    </row>
    <row r="4623">
      <c r="A4623" s="84"/>
      <c r="B4623" s="85"/>
      <c r="C4623" s="85"/>
      <c r="F4623" s="92"/>
      <c r="G4623" s="85"/>
    </row>
    <row r="4624">
      <c r="A4624" s="84"/>
      <c r="B4624" s="85"/>
      <c r="C4624" s="85"/>
      <c r="F4624" s="92"/>
      <c r="G4624" s="85"/>
    </row>
    <row r="4625">
      <c r="A4625" s="84"/>
      <c r="B4625" s="85"/>
      <c r="C4625" s="85"/>
      <c r="F4625" s="92"/>
      <c r="G4625" s="85"/>
    </row>
    <row r="4626">
      <c r="A4626" s="84"/>
      <c r="B4626" s="85"/>
      <c r="C4626" s="85"/>
      <c r="F4626" s="92"/>
      <c r="G4626" s="85"/>
    </row>
    <row r="4627">
      <c r="A4627" s="84"/>
      <c r="B4627" s="85"/>
      <c r="C4627" s="85"/>
      <c r="F4627" s="92"/>
      <c r="G4627" s="85"/>
    </row>
    <row r="4628">
      <c r="A4628" s="84"/>
      <c r="B4628" s="85"/>
      <c r="C4628" s="85"/>
      <c r="F4628" s="92"/>
      <c r="G4628" s="85"/>
    </row>
    <row r="4629">
      <c r="A4629" s="84"/>
      <c r="B4629" s="85"/>
      <c r="C4629" s="85"/>
      <c r="F4629" s="92"/>
      <c r="G4629" s="85"/>
    </row>
    <row r="4630">
      <c r="A4630" s="84"/>
      <c r="B4630" s="85"/>
      <c r="C4630" s="85"/>
      <c r="F4630" s="92"/>
      <c r="G4630" s="85"/>
    </row>
    <row r="4631">
      <c r="A4631" s="84"/>
      <c r="B4631" s="85"/>
      <c r="C4631" s="85"/>
      <c r="F4631" s="92"/>
      <c r="G4631" s="85"/>
    </row>
    <row r="4632">
      <c r="A4632" s="84"/>
      <c r="B4632" s="85"/>
      <c r="C4632" s="85"/>
      <c r="F4632" s="92"/>
      <c r="G4632" s="85"/>
    </row>
    <row r="4633">
      <c r="A4633" s="84"/>
      <c r="B4633" s="85"/>
      <c r="C4633" s="85"/>
      <c r="F4633" s="92"/>
      <c r="G4633" s="85"/>
    </row>
    <row r="4634">
      <c r="A4634" s="84"/>
      <c r="B4634" s="85"/>
      <c r="C4634" s="85"/>
      <c r="F4634" s="92"/>
      <c r="G4634" s="85"/>
    </row>
    <row r="4635">
      <c r="A4635" s="84"/>
      <c r="B4635" s="85"/>
      <c r="C4635" s="85"/>
      <c r="F4635" s="92"/>
      <c r="G4635" s="85"/>
    </row>
    <row r="4636">
      <c r="A4636" s="84"/>
      <c r="B4636" s="85"/>
      <c r="C4636" s="85"/>
      <c r="F4636" s="92"/>
      <c r="G4636" s="85"/>
    </row>
    <row r="4637">
      <c r="A4637" s="84"/>
      <c r="B4637" s="85"/>
      <c r="C4637" s="85"/>
      <c r="F4637" s="92"/>
      <c r="G4637" s="85"/>
    </row>
    <row r="4638">
      <c r="A4638" s="84"/>
      <c r="B4638" s="85"/>
      <c r="C4638" s="85"/>
      <c r="F4638" s="92"/>
      <c r="G4638" s="85"/>
    </row>
    <row r="4639">
      <c r="A4639" s="84"/>
      <c r="B4639" s="85"/>
      <c r="C4639" s="85"/>
      <c r="F4639" s="92"/>
      <c r="G4639" s="85"/>
    </row>
    <row r="4640">
      <c r="A4640" s="84"/>
      <c r="B4640" s="85"/>
      <c r="C4640" s="85"/>
      <c r="F4640" s="92"/>
      <c r="G4640" s="85"/>
    </row>
    <row r="4641">
      <c r="A4641" s="84"/>
      <c r="B4641" s="85"/>
      <c r="C4641" s="85"/>
      <c r="F4641" s="92"/>
      <c r="G4641" s="85"/>
    </row>
    <row r="4642">
      <c r="A4642" s="84"/>
      <c r="B4642" s="85"/>
      <c r="C4642" s="85"/>
      <c r="F4642" s="92"/>
      <c r="G4642" s="85"/>
    </row>
    <row r="4643">
      <c r="A4643" s="84"/>
      <c r="B4643" s="85"/>
      <c r="C4643" s="85"/>
      <c r="F4643" s="92"/>
      <c r="G4643" s="85"/>
    </row>
    <row r="4644">
      <c r="A4644" s="84"/>
      <c r="B4644" s="85"/>
      <c r="C4644" s="85"/>
      <c r="F4644" s="92"/>
      <c r="G4644" s="85"/>
    </row>
    <row r="4645">
      <c r="A4645" s="84"/>
      <c r="B4645" s="85"/>
      <c r="C4645" s="85"/>
      <c r="F4645" s="92"/>
      <c r="G4645" s="85"/>
    </row>
    <row r="4646">
      <c r="A4646" s="84"/>
      <c r="B4646" s="85"/>
      <c r="C4646" s="85"/>
      <c r="F4646" s="92"/>
      <c r="G4646" s="85"/>
    </row>
    <row r="4647">
      <c r="A4647" s="84"/>
      <c r="B4647" s="85"/>
      <c r="C4647" s="85"/>
      <c r="F4647" s="92"/>
      <c r="G4647" s="85"/>
    </row>
    <row r="4648">
      <c r="A4648" s="84"/>
      <c r="B4648" s="85"/>
      <c r="C4648" s="85"/>
      <c r="F4648" s="92"/>
      <c r="G4648" s="85"/>
    </row>
    <row r="4649">
      <c r="A4649" s="84"/>
      <c r="B4649" s="85"/>
      <c r="C4649" s="85"/>
      <c r="F4649" s="92"/>
      <c r="G4649" s="85"/>
    </row>
    <row r="4650">
      <c r="A4650" s="84"/>
      <c r="B4650" s="85"/>
      <c r="C4650" s="85"/>
      <c r="F4650" s="92"/>
      <c r="G4650" s="85"/>
    </row>
    <row r="4651">
      <c r="A4651" s="84"/>
      <c r="B4651" s="85"/>
      <c r="C4651" s="85"/>
      <c r="F4651" s="92"/>
      <c r="G4651" s="85"/>
    </row>
    <row r="4652">
      <c r="A4652" s="84"/>
      <c r="B4652" s="85"/>
      <c r="C4652" s="85"/>
      <c r="F4652" s="92"/>
      <c r="G4652" s="85"/>
    </row>
    <row r="4653">
      <c r="A4653" s="84"/>
      <c r="B4653" s="85"/>
      <c r="C4653" s="85"/>
      <c r="F4653" s="92"/>
      <c r="G4653" s="85"/>
    </row>
    <row r="4654">
      <c r="A4654" s="84"/>
      <c r="B4654" s="85"/>
      <c r="C4654" s="85"/>
      <c r="F4654" s="92"/>
      <c r="G4654" s="85"/>
    </row>
    <row r="4655">
      <c r="A4655" s="84"/>
      <c r="B4655" s="85"/>
      <c r="C4655" s="85"/>
      <c r="F4655" s="92"/>
      <c r="G4655" s="85"/>
    </row>
    <row r="4656">
      <c r="A4656" s="84"/>
      <c r="B4656" s="85"/>
      <c r="C4656" s="85"/>
      <c r="F4656" s="92"/>
      <c r="G4656" s="85"/>
    </row>
    <row r="4657">
      <c r="A4657" s="84"/>
      <c r="B4657" s="85"/>
      <c r="C4657" s="85"/>
      <c r="F4657" s="92"/>
      <c r="G4657" s="85"/>
    </row>
    <row r="4658">
      <c r="A4658" s="84"/>
      <c r="B4658" s="85"/>
      <c r="C4658" s="85"/>
      <c r="F4658" s="92"/>
      <c r="G4658" s="85"/>
    </row>
    <row r="4659">
      <c r="A4659" s="84"/>
      <c r="B4659" s="85"/>
      <c r="C4659" s="85"/>
      <c r="F4659" s="92"/>
      <c r="G4659" s="85"/>
    </row>
    <row r="4660">
      <c r="A4660" s="84"/>
      <c r="B4660" s="85"/>
      <c r="C4660" s="85"/>
      <c r="F4660" s="92"/>
      <c r="G4660" s="85"/>
    </row>
    <row r="4661">
      <c r="A4661" s="84"/>
      <c r="B4661" s="85"/>
      <c r="C4661" s="85"/>
      <c r="F4661" s="92"/>
      <c r="G4661" s="85"/>
    </row>
    <row r="4662">
      <c r="A4662" s="84"/>
      <c r="B4662" s="85"/>
      <c r="C4662" s="85"/>
      <c r="F4662" s="92"/>
      <c r="G4662" s="85"/>
    </row>
    <row r="4663">
      <c r="A4663" s="84"/>
      <c r="B4663" s="85"/>
      <c r="C4663" s="85"/>
      <c r="F4663" s="92"/>
      <c r="G4663" s="85"/>
    </row>
    <row r="4664">
      <c r="A4664" s="84"/>
      <c r="B4664" s="85"/>
      <c r="C4664" s="85"/>
      <c r="F4664" s="92"/>
      <c r="G4664" s="85"/>
    </row>
    <row r="4665">
      <c r="A4665" s="84"/>
      <c r="B4665" s="85"/>
      <c r="C4665" s="85"/>
      <c r="F4665" s="92"/>
      <c r="G4665" s="85"/>
    </row>
    <row r="4666">
      <c r="A4666" s="84"/>
      <c r="B4666" s="85"/>
      <c r="C4666" s="85"/>
      <c r="F4666" s="92"/>
      <c r="G4666" s="85"/>
    </row>
    <row r="4667">
      <c r="A4667" s="84"/>
      <c r="B4667" s="85"/>
      <c r="C4667" s="85"/>
      <c r="F4667" s="92"/>
      <c r="G4667" s="85"/>
    </row>
    <row r="4668">
      <c r="A4668" s="84"/>
      <c r="B4668" s="85"/>
      <c r="C4668" s="85"/>
      <c r="F4668" s="92"/>
      <c r="G4668" s="85"/>
    </row>
    <row r="4669">
      <c r="A4669" s="84"/>
      <c r="B4669" s="85"/>
      <c r="C4669" s="85"/>
      <c r="F4669" s="92"/>
      <c r="G4669" s="85"/>
    </row>
    <row r="4670">
      <c r="A4670" s="84"/>
      <c r="B4670" s="85"/>
      <c r="C4670" s="85"/>
      <c r="F4670" s="92"/>
      <c r="G4670" s="85"/>
    </row>
    <row r="4671">
      <c r="A4671" s="84"/>
      <c r="B4671" s="85"/>
      <c r="C4671" s="85"/>
      <c r="F4671" s="92"/>
      <c r="G4671" s="85"/>
    </row>
    <row r="4672">
      <c r="A4672" s="84"/>
      <c r="B4672" s="85"/>
      <c r="C4672" s="85"/>
      <c r="F4672" s="92"/>
      <c r="G4672" s="85"/>
    </row>
    <row r="4673">
      <c r="A4673" s="84"/>
      <c r="B4673" s="85"/>
      <c r="C4673" s="85"/>
      <c r="F4673" s="92"/>
      <c r="G4673" s="85"/>
    </row>
    <row r="4674">
      <c r="A4674" s="84"/>
      <c r="B4674" s="85"/>
      <c r="C4674" s="85"/>
      <c r="F4674" s="92"/>
      <c r="G4674" s="85"/>
    </row>
    <row r="4675">
      <c r="A4675" s="84"/>
      <c r="B4675" s="85"/>
      <c r="C4675" s="85"/>
      <c r="F4675" s="92"/>
      <c r="G4675" s="85"/>
    </row>
    <row r="4676">
      <c r="A4676" s="84"/>
      <c r="B4676" s="85"/>
      <c r="C4676" s="85"/>
      <c r="F4676" s="92"/>
      <c r="G4676" s="85"/>
    </row>
    <row r="4677">
      <c r="A4677" s="84"/>
      <c r="B4677" s="85"/>
      <c r="C4677" s="85"/>
      <c r="F4677" s="92"/>
      <c r="G4677" s="85"/>
    </row>
    <row r="4678">
      <c r="A4678" s="84"/>
      <c r="B4678" s="85"/>
      <c r="C4678" s="85"/>
      <c r="F4678" s="92"/>
      <c r="G4678" s="85"/>
    </row>
    <row r="4679">
      <c r="A4679" s="84"/>
      <c r="B4679" s="85"/>
      <c r="C4679" s="85"/>
      <c r="F4679" s="92"/>
      <c r="G4679" s="85"/>
    </row>
    <row r="4680">
      <c r="A4680" s="84"/>
      <c r="B4680" s="85"/>
      <c r="C4680" s="85"/>
      <c r="F4680" s="92"/>
      <c r="G4680" s="85"/>
    </row>
    <row r="4681">
      <c r="A4681" s="84"/>
      <c r="B4681" s="85"/>
      <c r="C4681" s="85"/>
      <c r="F4681" s="92"/>
      <c r="G4681" s="85"/>
    </row>
    <row r="4682">
      <c r="A4682" s="84"/>
      <c r="B4682" s="85"/>
      <c r="C4682" s="85"/>
      <c r="F4682" s="92"/>
      <c r="G4682" s="85"/>
    </row>
    <row r="4683">
      <c r="A4683" s="84"/>
      <c r="B4683" s="85"/>
      <c r="C4683" s="85"/>
      <c r="F4683" s="92"/>
      <c r="G4683" s="85"/>
    </row>
    <row r="4684">
      <c r="A4684" s="84"/>
      <c r="B4684" s="85"/>
      <c r="C4684" s="85"/>
      <c r="F4684" s="92"/>
      <c r="G4684" s="85"/>
    </row>
    <row r="4685">
      <c r="A4685" s="84"/>
      <c r="B4685" s="85"/>
      <c r="C4685" s="85"/>
      <c r="F4685" s="92"/>
      <c r="G4685" s="85"/>
    </row>
    <row r="4686">
      <c r="A4686" s="84"/>
      <c r="B4686" s="85"/>
      <c r="C4686" s="85"/>
      <c r="F4686" s="92"/>
      <c r="G4686" s="85"/>
    </row>
    <row r="4687">
      <c r="A4687" s="84"/>
      <c r="B4687" s="85"/>
      <c r="C4687" s="85"/>
      <c r="F4687" s="92"/>
      <c r="G4687" s="85"/>
    </row>
    <row r="4688">
      <c r="A4688" s="84"/>
      <c r="B4688" s="85"/>
      <c r="C4688" s="85"/>
      <c r="F4688" s="92"/>
      <c r="G4688" s="85"/>
    </row>
    <row r="4689">
      <c r="A4689" s="84"/>
      <c r="B4689" s="85"/>
      <c r="C4689" s="85"/>
      <c r="F4689" s="92"/>
      <c r="G4689" s="85"/>
    </row>
    <row r="4690">
      <c r="A4690" s="84"/>
      <c r="B4690" s="85"/>
      <c r="C4690" s="85"/>
      <c r="F4690" s="92"/>
      <c r="G4690" s="85"/>
    </row>
    <row r="4691">
      <c r="A4691" s="84"/>
      <c r="B4691" s="85"/>
      <c r="C4691" s="85"/>
      <c r="F4691" s="92"/>
      <c r="G4691" s="85"/>
    </row>
    <row r="4692">
      <c r="A4692" s="84"/>
      <c r="B4692" s="85"/>
      <c r="C4692" s="85"/>
      <c r="F4692" s="92"/>
      <c r="G4692" s="85"/>
    </row>
    <row r="4693">
      <c r="A4693" s="84"/>
      <c r="B4693" s="85"/>
      <c r="C4693" s="85"/>
      <c r="F4693" s="92"/>
      <c r="G4693" s="85"/>
    </row>
    <row r="4694">
      <c r="A4694" s="84"/>
      <c r="B4694" s="85"/>
      <c r="C4694" s="85"/>
      <c r="F4694" s="92"/>
      <c r="G4694" s="85"/>
    </row>
    <row r="4695">
      <c r="A4695" s="84"/>
      <c r="B4695" s="85"/>
      <c r="C4695" s="85"/>
      <c r="F4695" s="92"/>
      <c r="G4695" s="85"/>
    </row>
    <row r="4696">
      <c r="A4696" s="84"/>
      <c r="B4696" s="85"/>
      <c r="C4696" s="85"/>
      <c r="F4696" s="92"/>
      <c r="G4696" s="85"/>
    </row>
    <row r="4697">
      <c r="A4697" s="84"/>
      <c r="B4697" s="85"/>
      <c r="C4697" s="85"/>
      <c r="F4697" s="92"/>
      <c r="G4697" s="85"/>
    </row>
    <row r="4698">
      <c r="A4698" s="84"/>
      <c r="B4698" s="85"/>
      <c r="C4698" s="85"/>
      <c r="F4698" s="92"/>
      <c r="G4698" s="85"/>
    </row>
    <row r="4699">
      <c r="A4699" s="84"/>
      <c r="B4699" s="85"/>
      <c r="C4699" s="85"/>
      <c r="F4699" s="92"/>
      <c r="G4699" s="85"/>
    </row>
    <row r="4700">
      <c r="A4700" s="84"/>
      <c r="B4700" s="85"/>
      <c r="C4700" s="85"/>
      <c r="F4700" s="92"/>
      <c r="G4700" s="85"/>
    </row>
    <row r="4701">
      <c r="A4701" s="84"/>
      <c r="B4701" s="85"/>
      <c r="C4701" s="85"/>
      <c r="F4701" s="92"/>
      <c r="G4701" s="85"/>
    </row>
    <row r="4702">
      <c r="A4702" s="84"/>
      <c r="B4702" s="85"/>
      <c r="C4702" s="85"/>
      <c r="F4702" s="92"/>
      <c r="G4702" s="85"/>
    </row>
    <row r="4703">
      <c r="A4703" s="84"/>
      <c r="B4703" s="85"/>
      <c r="C4703" s="85"/>
      <c r="F4703" s="92"/>
      <c r="G4703" s="85"/>
    </row>
    <row r="4704">
      <c r="A4704" s="84"/>
      <c r="B4704" s="85"/>
      <c r="C4704" s="85"/>
      <c r="F4704" s="92"/>
      <c r="G4704" s="85"/>
    </row>
    <row r="4705">
      <c r="A4705" s="84"/>
      <c r="B4705" s="85"/>
      <c r="C4705" s="85"/>
      <c r="F4705" s="92"/>
      <c r="G4705" s="85"/>
    </row>
    <row r="4706">
      <c r="A4706" s="84"/>
      <c r="B4706" s="85"/>
      <c r="C4706" s="85"/>
      <c r="F4706" s="92"/>
      <c r="G4706" s="85"/>
    </row>
    <row r="4707">
      <c r="A4707" s="84"/>
      <c r="B4707" s="85"/>
      <c r="C4707" s="85"/>
      <c r="F4707" s="92"/>
      <c r="G4707" s="85"/>
    </row>
    <row r="4708">
      <c r="A4708" s="84"/>
      <c r="B4708" s="85"/>
      <c r="C4708" s="85"/>
      <c r="F4708" s="92"/>
      <c r="G4708" s="85"/>
    </row>
    <row r="4709">
      <c r="A4709" s="84"/>
      <c r="B4709" s="85"/>
      <c r="C4709" s="85"/>
      <c r="F4709" s="92"/>
      <c r="G4709" s="85"/>
    </row>
    <row r="4710">
      <c r="A4710" s="84"/>
      <c r="B4710" s="85"/>
      <c r="C4710" s="85"/>
      <c r="F4710" s="92"/>
      <c r="G4710" s="85"/>
    </row>
    <row r="4711">
      <c r="A4711" s="84"/>
      <c r="B4711" s="85"/>
      <c r="C4711" s="85"/>
      <c r="F4711" s="92"/>
      <c r="G4711" s="85"/>
    </row>
    <row r="4712">
      <c r="A4712" s="84"/>
      <c r="B4712" s="85"/>
      <c r="C4712" s="85"/>
      <c r="F4712" s="92"/>
      <c r="G4712" s="85"/>
    </row>
    <row r="4713">
      <c r="A4713" s="84"/>
      <c r="B4713" s="85"/>
      <c r="C4713" s="85"/>
      <c r="F4713" s="92"/>
      <c r="G4713" s="85"/>
    </row>
    <row r="4714">
      <c r="A4714" s="84"/>
      <c r="B4714" s="85"/>
      <c r="C4714" s="85"/>
      <c r="F4714" s="92"/>
      <c r="G4714" s="85"/>
    </row>
    <row r="4715">
      <c r="A4715" s="84"/>
      <c r="B4715" s="85"/>
      <c r="C4715" s="85"/>
      <c r="F4715" s="92"/>
      <c r="G4715" s="85"/>
    </row>
    <row r="4716">
      <c r="A4716" s="84"/>
      <c r="B4716" s="85"/>
      <c r="C4716" s="85"/>
      <c r="F4716" s="92"/>
      <c r="G4716" s="85"/>
    </row>
    <row r="4717">
      <c r="A4717" s="84"/>
      <c r="B4717" s="85"/>
      <c r="C4717" s="85"/>
      <c r="F4717" s="92"/>
      <c r="G4717" s="85"/>
    </row>
    <row r="4718">
      <c r="A4718" s="84"/>
      <c r="B4718" s="85"/>
      <c r="C4718" s="85"/>
      <c r="F4718" s="92"/>
      <c r="G4718" s="85"/>
    </row>
    <row r="4719">
      <c r="A4719" s="84"/>
      <c r="B4719" s="85"/>
      <c r="C4719" s="85"/>
      <c r="F4719" s="92"/>
      <c r="G4719" s="85"/>
    </row>
    <row r="4720">
      <c r="A4720" s="84"/>
      <c r="B4720" s="85"/>
      <c r="C4720" s="85"/>
      <c r="F4720" s="92"/>
      <c r="G4720" s="85"/>
    </row>
    <row r="4721">
      <c r="A4721" s="84"/>
      <c r="B4721" s="85"/>
      <c r="C4721" s="85"/>
      <c r="F4721" s="92"/>
      <c r="G4721" s="85"/>
    </row>
    <row r="4722">
      <c r="A4722" s="84"/>
      <c r="B4722" s="85"/>
      <c r="C4722" s="85"/>
      <c r="F4722" s="92"/>
      <c r="G4722" s="85"/>
    </row>
    <row r="4723">
      <c r="A4723" s="84"/>
      <c r="B4723" s="85"/>
      <c r="C4723" s="85"/>
      <c r="F4723" s="92"/>
      <c r="G4723" s="85"/>
    </row>
    <row r="4724">
      <c r="A4724" s="84"/>
      <c r="B4724" s="85"/>
      <c r="C4724" s="85"/>
      <c r="F4724" s="92"/>
      <c r="G4724" s="85"/>
    </row>
    <row r="4725">
      <c r="A4725" s="84"/>
      <c r="B4725" s="85"/>
      <c r="C4725" s="85"/>
      <c r="F4725" s="92"/>
      <c r="G4725" s="85"/>
    </row>
    <row r="4726">
      <c r="A4726" s="84"/>
      <c r="B4726" s="85"/>
      <c r="C4726" s="85"/>
      <c r="F4726" s="92"/>
      <c r="G4726" s="85"/>
    </row>
    <row r="4727">
      <c r="A4727" s="84"/>
      <c r="B4727" s="85"/>
      <c r="C4727" s="85"/>
      <c r="F4727" s="92"/>
      <c r="G4727" s="85"/>
    </row>
    <row r="4728">
      <c r="A4728" s="84"/>
      <c r="B4728" s="85"/>
      <c r="C4728" s="85"/>
      <c r="F4728" s="92"/>
      <c r="G4728" s="85"/>
    </row>
    <row r="4729">
      <c r="A4729" s="84"/>
      <c r="B4729" s="85"/>
      <c r="C4729" s="85"/>
      <c r="F4729" s="92"/>
      <c r="G4729" s="85"/>
    </row>
    <row r="4730">
      <c r="A4730" s="84"/>
      <c r="B4730" s="85"/>
      <c r="C4730" s="85"/>
      <c r="F4730" s="92"/>
      <c r="G4730" s="85"/>
    </row>
    <row r="4731">
      <c r="A4731" s="84"/>
      <c r="B4731" s="85"/>
      <c r="C4731" s="85"/>
      <c r="F4731" s="92"/>
      <c r="G4731" s="85"/>
    </row>
    <row r="4732">
      <c r="A4732" s="84"/>
      <c r="B4732" s="85"/>
      <c r="C4732" s="85"/>
      <c r="F4732" s="92"/>
      <c r="G4732" s="85"/>
    </row>
    <row r="4733">
      <c r="A4733" s="84"/>
      <c r="B4733" s="85"/>
      <c r="C4733" s="85"/>
      <c r="F4733" s="92"/>
      <c r="G4733" s="85"/>
    </row>
    <row r="4734">
      <c r="A4734" s="84"/>
      <c r="B4734" s="85"/>
      <c r="C4734" s="85"/>
      <c r="F4734" s="92"/>
      <c r="G4734" s="85"/>
    </row>
    <row r="4735">
      <c r="A4735" s="84"/>
      <c r="B4735" s="85"/>
      <c r="C4735" s="85"/>
      <c r="F4735" s="92"/>
      <c r="G4735" s="85"/>
    </row>
    <row r="4736">
      <c r="A4736" s="84"/>
      <c r="B4736" s="85"/>
      <c r="C4736" s="85"/>
      <c r="F4736" s="92"/>
      <c r="G4736" s="85"/>
    </row>
    <row r="4737">
      <c r="A4737" s="84"/>
      <c r="B4737" s="85"/>
      <c r="C4737" s="85"/>
      <c r="F4737" s="92"/>
      <c r="G4737" s="85"/>
    </row>
    <row r="4738">
      <c r="A4738" s="84"/>
      <c r="B4738" s="85"/>
      <c r="C4738" s="85"/>
      <c r="F4738" s="92"/>
      <c r="G4738" s="85"/>
    </row>
    <row r="4739">
      <c r="A4739" s="84"/>
      <c r="B4739" s="85"/>
      <c r="C4739" s="85"/>
      <c r="F4739" s="92"/>
      <c r="G4739" s="85"/>
    </row>
    <row r="4740">
      <c r="A4740" s="84"/>
      <c r="B4740" s="85"/>
      <c r="C4740" s="85"/>
      <c r="F4740" s="92"/>
      <c r="G4740" s="85"/>
    </row>
    <row r="4741">
      <c r="A4741" s="84"/>
      <c r="B4741" s="85"/>
      <c r="C4741" s="85"/>
      <c r="F4741" s="92"/>
      <c r="G4741" s="85"/>
    </row>
    <row r="4742">
      <c r="A4742" s="84"/>
      <c r="B4742" s="85"/>
      <c r="C4742" s="85"/>
      <c r="F4742" s="92"/>
      <c r="G4742" s="85"/>
    </row>
    <row r="4743">
      <c r="A4743" s="84"/>
      <c r="B4743" s="85"/>
      <c r="C4743" s="85"/>
      <c r="F4743" s="92"/>
      <c r="G4743" s="85"/>
    </row>
    <row r="4744">
      <c r="A4744" s="84"/>
      <c r="B4744" s="85"/>
      <c r="C4744" s="85"/>
      <c r="F4744" s="92"/>
      <c r="G4744" s="85"/>
    </row>
    <row r="4745">
      <c r="A4745" s="84"/>
      <c r="B4745" s="85"/>
      <c r="C4745" s="85"/>
      <c r="F4745" s="92"/>
      <c r="G4745" s="85"/>
    </row>
    <row r="4746">
      <c r="A4746" s="84"/>
      <c r="B4746" s="85"/>
      <c r="C4746" s="85"/>
      <c r="F4746" s="92"/>
      <c r="G4746" s="85"/>
    </row>
    <row r="4747">
      <c r="A4747" s="84"/>
      <c r="B4747" s="85"/>
      <c r="C4747" s="85"/>
      <c r="F4747" s="92"/>
      <c r="G4747" s="85"/>
    </row>
    <row r="4748">
      <c r="A4748" s="84"/>
      <c r="B4748" s="85"/>
      <c r="C4748" s="85"/>
      <c r="F4748" s="92"/>
      <c r="G4748" s="85"/>
    </row>
    <row r="4749">
      <c r="A4749" s="84"/>
      <c r="B4749" s="85"/>
      <c r="C4749" s="85"/>
      <c r="F4749" s="92"/>
      <c r="G4749" s="85"/>
    </row>
    <row r="4750">
      <c r="A4750" s="84"/>
      <c r="B4750" s="85"/>
      <c r="C4750" s="85"/>
      <c r="F4750" s="92"/>
      <c r="G4750" s="85"/>
    </row>
    <row r="4751">
      <c r="A4751" s="84"/>
      <c r="B4751" s="85"/>
      <c r="C4751" s="85"/>
      <c r="F4751" s="92"/>
      <c r="G4751" s="85"/>
    </row>
    <row r="4752">
      <c r="A4752" s="84"/>
      <c r="B4752" s="85"/>
      <c r="C4752" s="85"/>
      <c r="F4752" s="92"/>
      <c r="G4752" s="85"/>
    </row>
    <row r="4753">
      <c r="A4753" s="84"/>
      <c r="B4753" s="85"/>
      <c r="C4753" s="85"/>
      <c r="F4753" s="92"/>
      <c r="G4753" s="85"/>
    </row>
    <row r="4754">
      <c r="A4754" s="84"/>
      <c r="B4754" s="85"/>
      <c r="C4754" s="85"/>
      <c r="F4754" s="92"/>
      <c r="G4754" s="85"/>
    </row>
    <row r="4755">
      <c r="A4755" s="84"/>
      <c r="B4755" s="85"/>
      <c r="C4755" s="85"/>
      <c r="F4755" s="92"/>
      <c r="G4755" s="85"/>
    </row>
    <row r="4756">
      <c r="A4756" s="84"/>
      <c r="B4756" s="85"/>
      <c r="C4756" s="85"/>
      <c r="F4756" s="92"/>
      <c r="G4756" s="85"/>
    </row>
    <row r="4757">
      <c r="A4757" s="84"/>
      <c r="B4757" s="85"/>
      <c r="C4757" s="85"/>
      <c r="F4757" s="92"/>
      <c r="G4757" s="85"/>
    </row>
    <row r="4758">
      <c r="A4758" s="84"/>
      <c r="B4758" s="85"/>
      <c r="C4758" s="85"/>
      <c r="F4758" s="92"/>
      <c r="G4758" s="85"/>
    </row>
    <row r="4759">
      <c r="A4759" s="84"/>
      <c r="B4759" s="85"/>
      <c r="C4759" s="85"/>
      <c r="F4759" s="92"/>
      <c r="G4759" s="85"/>
    </row>
    <row r="4760">
      <c r="A4760" s="84"/>
      <c r="B4760" s="85"/>
      <c r="C4760" s="85"/>
      <c r="F4760" s="92"/>
      <c r="G4760" s="85"/>
    </row>
    <row r="4761">
      <c r="A4761" s="84"/>
      <c r="B4761" s="85"/>
      <c r="C4761" s="85"/>
      <c r="F4761" s="92"/>
      <c r="G4761" s="85"/>
    </row>
    <row r="4762">
      <c r="A4762" s="84"/>
      <c r="B4762" s="85"/>
      <c r="C4762" s="85"/>
      <c r="F4762" s="92"/>
      <c r="G4762" s="85"/>
    </row>
    <row r="4763">
      <c r="A4763" s="84"/>
      <c r="B4763" s="85"/>
      <c r="C4763" s="85"/>
      <c r="F4763" s="92"/>
      <c r="G4763" s="85"/>
    </row>
    <row r="4764">
      <c r="A4764" s="84"/>
      <c r="B4764" s="85"/>
      <c r="C4764" s="85"/>
      <c r="F4764" s="92"/>
      <c r="G4764" s="85"/>
    </row>
    <row r="4765">
      <c r="A4765" s="84"/>
      <c r="B4765" s="85"/>
      <c r="C4765" s="85"/>
      <c r="F4765" s="92"/>
      <c r="G4765" s="85"/>
    </row>
    <row r="4766">
      <c r="A4766" s="84"/>
      <c r="B4766" s="85"/>
      <c r="C4766" s="85"/>
      <c r="F4766" s="92"/>
      <c r="G4766" s="85"/>
    </row>
    <row r="4767">
      <c r="A4767" s="84"/>
      <c r="B4767" s="85"/>
      <c r="C4767" s="85"/>
      <c r="F4767" s="92"/>
      <c r="G4767" s="85"/>
    </row>
    <row r="4768">
      <c r="A4768" s="84"/>
      <c r="B4768" s="85"/>
      <c r="C4768" s="85"/>
      <c r="F4768" s="92"/>
      <c r="G4768" s="85"/>
    </row>
    <row r="4769">
      <c r="A4769" s="84"/>
      <c r="B4769" s="85"/>
      <c r="C4769" s="85"/>
      <c r="F4769" s="92"/>
      <c r="G4769" s="85"/>
    </row>
    <row r="4770">
      <c r="A4770" s="84"/>
      <c r="B4770" s="85"/>
      <c r="C4770" s="85"/>
      <c r="F4770" s="92"/>
      <c r="G4770" s="85"/>
    </row>
    <row r="4771">
      <c r="A4771" s="84"/>
      <c r="B4771" s="85"/>
      <c r="C4771" s="85"/>
      <c r="F4771" s="92"/>
      <c r="G4771" s="85"/>
    </row>
    <row r="4772">
      <c r="A4772" s="84"/>
      <c r="B4772" s="85"/>
      <c r="C4772" s="85"/>
      <c r="F4772" s="92"/>
      <c r="G4772" s="85"/>
    </row>
    <row r="4773">
      <c r="A4773" s="84"/>
      <c r="B4773" s="85"/>
      <c r="C4773" s="85"/>
      <c r="F4773" s="92"/>
      <c r="G4773" s="85"/>
    </row>
    <row r="4774">
      <c r="A4774" s="84"/>
      <c r="B4774" s="85"/>
      <c r="C4774" s="85"/>
      <c r="F4774" s="92"/>
      <c r="G4774" s="85"/>
    </row>
    <row r="4775">
      <c r="A4775" s="84"/>
      <c r="B4775" s="85"/>
      <c r="C4775" s="85"/>
      <c r="F4775" s="92"/>
      <c r="G4775" s="85"/>
    </row>
    <row r="4776">
      <c r="A4776" s="84"/>
      <c r="B4776" s="85"/>
      <c r="C4776" s="85"/>
      <c r="F4776" s="92"/>
      <c r="G4776" s="85"/>
    </row>
    <row r="4777">
      <c r="A4777" s="84"/>
      <c r="B4777" s="85"/>
      <c r="C4777" s="85"/>
      <c r="F4777" s="92"/>
      <c r="G4777" s="85"/>
    </row>
    <row r="4778">
      <c r="A4778" s="84"/>
      <c r="B4778" s="85"/>
      <c r="C4778" s="85"/>
      <c r="F4778" s="92"/>
      <c r="G4778" s="85"/>
    </row>
    <row r="4779">
      <c r="A4779" s="84"/>
      <c r="B4779" s="85"/>
      <c r="C4779" s="85"/>
      <c r="F4779" s="92"/>
      <c r="G4779" s="85"/>
    </row>
    <row r="4780">
      <c r="A4780" s="84"/>
      <c r="B4780" s="85"/>
      <c r="C4780" s="85"/>
      <c r="F4780" s="92"/>
      <c r="G4780" s="85"/>
    </row>
    <row r="4781">
      <c r="A4781" s="84"/>
      <c r="B4781" s="85"/>
      <c r="C4781" s="85"/>
      <c r="F4781" s="92"/>
      <c r="G4781" s="85"/>
    </row>
    <row r="4782">
      <c r="A4782" s="84"/>
      <c r="B4782" s="85"/>
      <c r="C4782" s="85"/>
      <c r="F4782" s="92"/>
      <c r="G4782" s="85"/>
    </row>
    <row r="4783">
      <c r="A4783" s="84"/>
      <c r="B4783" s="85"/>
      <c r="C4783" s="85"/>
      <c r="F4783" s="92"/>
      <c r="G4783" s="85"/>
    </row>
    <row r="4784">
      <c r="A4784" s="84"/>
      <c r="B4784" s="85"/>
      <c r="C4784" s="85"/>
      <c r="F4784" s="92"/>
      <c r="G4784" s="85"/>
    </row>
    <row r="4785">
      <c r="A4785" s="84"/>
      <c r="B4785" s="85"/>
      <c r="C4785" s="85"/>
      <c r="F4785" s="92"/>
      <c r="G4785" s="85"/>
    </row>
    <row r="4786">
      <c r="A4786" s="84"/>
      <c r="B4786" s="85"/>
      <c r="C4786" s="85"/>
      <c r="F4786" s="92"/>
      <c r="G4786" s="85"/>
    </row>
    <row r="4787">
      <c r="A4787" s="84"/>
      <c r="B4787" s="85"/>
      <c r="C4787" s="85"/>
      <c r="F4787" s="92"/>
      <c r="G4787" s="85"/>
    </row>
    <row r="4788">
      <c r="A4788" s="84"/>
      <c r="B4788" s="85"/>
      <c r="C4788" s="85"/>
      <c r="F4788" s="92"/>
      <c r="G4788" s="85"/>
    </row>
    <row r="4789">
      <c r="A4789" s="84"/>
      <c r="B4789" s="85"/>
      <c r="C4789" s="85"/>
      <c r="F4789" s="92"/>
      <c r="G4789" s="85"/>
    </row>
    <row r="4790">
      <c r="A4790" s="84"/>
      <c r="B4790" s="85"/>
      <c r="C4790" s="85"/>
      <c r="F4790" s="92"/>
      <c r="G4790" s="85"/>
    </row>
    <row r="4791">
      <c r="A4791" s="84"/>
      <c r="B4791" s="85"/>
      <c r="C4791" s="85"/>
      <c r="F4791" s="92"/>
      <c r="G4791" s="85"/>
    </row>
    <row r="4792">
      <c r="A4792" s="84"/>
      <c r="B4792" s="85"/>
      <c r="C4792" s="85"/>
      <c r="F4792" s="92"/>
      <c r="G4792" s="85"/>
    </row>
    <row r="4793">
      <c r="A4793" s="84"/>
      <c r="B4793" s="85"/>
      <c r="C4793" s="85"/>
      <c r="F4793" s="92"/>
      <c r="G4793" s="85"/>
    </row>
    <row r="4794">
      <c r="A4794" s="84"/>
      <c r="B4794" s="85"/>
      <c r="C4794" s="85"/>
      <c r="F4794" s="92"/>
      <c r="G4794" s="85"/>
    </row>
    <row r="4795">
      <c r="A4795" s="84"/>
      <c r="B4795" s="85"/>
      <c r="C4795" s="85"/>
      <c r="F4795" s="92"/>
      <c r="G4795" s="85"/>
    </row>
    <row r="4796">
      <c r="A4796" s="84"/>
      <c r="B4796" s="85"/>
      <c r="C4796" s="85"/>
      <c r="F4796" s="92"/>
      <c r="G4796" s="85"/>
    </row>
    <row r="4797">
      <c r="A4797" s="84"/>
      <c r="B4797" s="85"/>
      <c r="C4797" s="85"/>
      <c r="F4797" s="92"/>
      <c r="G4797" s="85"/>
    </row>
    <row r="4798">
      <c r="A4798" s="84"/>
      <c r="B4798" s="85"/>
      <c r="C4798" s="85"/>
      <c r="F4798" s="92"/>
      <c r="G4798" s="85"/>
    </row>
    <row r="4799">
      <c r="A4799" s="84"/>
      <c r="B4799" s="85"/>
      <c r="C4799" s="85"/>
      <c r="F4799" s="92"/>
      <c r="G4799" s="85"/>
    </row>
    <row r="4800">
      <c r="A4800" s="84"/>
      <c r="B4800" s="85"/>
      <c r="C4800" s="85"/>
      <c r="F4800" s="92"/>
      <c r="G4800" s="85"/>
    </row>
    <row r="4801">
      <c r="A4801" s="84"/>
      <c r="B4801" s="85"/>
      <c r="C4801" s="85"/>
      <c r="F4801" s="92"/>
      <c r="G4801" s="85"/>
    </row>
    <row r="4802">
      <c r="A4802" s="84"/>
      <c r="B4802" s="85"/>
      <c r="C4802" s="85"/>
      <c r="F4802" s="92"/>
      <c r="G4802" s="85"/>
    </row>
    <row r="4803">
      <c r="A4803" s="84"/>
      <c r="B4803" s="85"/>
      <c r="C4803" s="85"/>
      <c r="F4803" s="92"/>
      <c r="G4803" s="85"/>
    </row>
    <row r="4804">
      <c r="A4804" s="84"/>
      <c r="B4804" s="85"/>
      <c r="C4804" s="85"/>
      <c r="F4804" s="92"/>
      <c r="G4804" s="85"/>
    </row>
    <row r="4805">
      <c r="A4805" s="84"/>
      <c r="B4805" s="85"/>
      <c r="C4805" s="85"/>
      <c r="F4805" s="92"/>
      <c r="G4805" s="85"/>
    </row>
    <row r="4806">
      <c r="A4806" s="84"/>
      <c r="B4806" s="85"/>
      <c r="C4806" s="85"/>
      <c r="F4806" s="92"/>
      <c r="G4806" s="85"/>
    </row>
    <row r="4807">
      <c r="A4807" s="84"/>
      <c r="B4807" s="85"/>
      <c r="C4807" s="85"/>
      <c r="F4807" s="92"/>
      <c r="G4807" s="85"/>
    </row>
    <row r="4808">
      <c r="A4808" s="84"/>
      <c r="B4808" s="85"/>
      <c r="C4808" s="85"/>
      <c r="F4808" s="92"/>
      <c r="G4808" s="85"/>
    </row>
    <row r="4809">
      <c r="A4809" s="84"/>
      <c r="B4809" s="85"/>
      <c r="C4809" s="85"/>
      <c r="F4809" s="92"/>
      <c r="G4809" s="85"/>
    </row>
    <row r="4810">
      <c r="A4810" s="84"/>
      <c r="B4810" s="85"/>
      <c r="C4810" s="85"/>
      <c r="F4810" s="92"/>
      <c r="G4810" s="85"/>
    </row>
    <row r="4811">
      <c r="A4811" s="84"/>
      <c r="B4811" s="85"/>
      <c r="C4811" s="85"/>
      <c r="F4811" s="92"/>
      <c r="G4811" s="85"/>
    </row>
    <row r="4812">
      <c r="A4812" s="84"/>
      <c r="B4812" s="85"/>
      <c r="C4812" s="85"/>
      <c r="F4812" s="92"/>
      <c r="G4812" s="85"/>
    </row>
    <row r="4813">
      <c r="A4813" s="84"/>
      <c r="B4813" s="85"/>
      <c r="C4813" s="85"/>
      <c r="F4813" s="92"/>
      <c r="G4813" s="85"/>
    </row>
    <row r="4814">
      <c r="A4814" s="84"/>
      <c r="B4814" s="85"/>
      <c r="C4814" s="85"/>
      <c r="F4814" s="92"/>
      <c r="G4814" s="85"/>
    </row>
    <row r="4815">
      <c r="A4815" s="84"/>
      <c r="B4815" s="85"/>
      <c r="C4815" s="85"/>
      <c r="F4815" s="92"/>
      <c r="G4815" s="85"/>
    </row>
    <row r="4816">
      <c r="A4816" s="84"/>
      <c r="B4816" s="85"/>
      <c r="C4816" s="85"/>
      <c r="F4816" s="92"/>
      <c r="G4816" s="85"/>
    </row>
    <row r="4817">
      <c r="A4817" s="84"/>
      <c r="B4817" s="85"/>
      <c r="C4817" s="85"/>
      <c r="F4817" s="92"/>
      <c r="G4817" s="85"/>
    </row>
    <row r="4818">
      <c r="A4818" s="84"/>
      <c r="B4818" s="85"/>
      <c r="C4818" s="85"/>
      <c r="F4818" s="92"/>
      <c r="G4818" s="85"/>
    </row>
    <row r="4819">
      <c r="A4819" s="84"/>
      <c r="B4819" s="85"/>
      <c r="C4819" s="85"/>
      <c r="F4819" s="92"/>
      <c r="G4819" s="85"/>
    </row>
    <row r="4820">
      <c r="A4820" s="84"/>
      <c r="B4820" s="85"/>
      <c r="C4820" s="85"/>
      <c r="F4820" s="92"/>
      <c r="G4820" s="85"/>
    </row>
    <row r="4821">
      <c r="A4821" s="84"/>
      <c r="B4821" s="85"/>
      <c r="C4821" s="85"/>
      <c r="F4821" s="92"/>
      <c r="G4821" s="85"/>
    </row>
    <row r="4822">
      <c r="A4822" s="84"/>
      <c r="B4822" s="85"/>
      <c r="C4822" s="85"/>
      <c r="F4822" s="92"/>
      <c r="G4822" s="85"/>
    </row>
    <row r="4823">
      <c r="A4823" s="84"/>
      <c r="B4823" s="85"/>
      <c r="C4823" s="85"/>
      <c r="F4823" s="92"/>
      <c r="G4823" s="85"/>
    </row>
    <row r="4824">
      <c r="A4824" s="84"/>
      <c r="B4824" s="85"/>
      <c r="C4824" s="85"/>
      <c r="F4824" s="92"/>
      <c r="G4824" s="85"/>
    </row>
    <row r="4825">
      <c r="A4825" s="84"/>
      <c r="B4825" s="85"/>
      <c r="C4825" s="85"/>
      <c r="F4825" s="92"/>
      <c r="G4825" s="85"/>
    </row>
    <row r="4826">
      <c r="A4826" s="84"/>
      <c r="B4826" s="85"/>
      <c r="C4826" s="85"/>
      <c r="F4826" s="92"/>
      <c r="G4826" s="85"/>
    </row>
    <row r="4827">
      <c r="A4827" s="84"/>
      <c r="B4827" s="85"/>
      <c r="C4827" s="85"/>
      <c r="F4827" s="92"/>
      <c r="G4827" s="85"/>
    </row>
    <row r="4828">
      <c r="A4828" s="84"/>
      <c r="B4828" s="85"/>
      <c r="C4828" s="85"/>
      <c r="F4828" s="92"/>
      <c r="G4828" s="85"/>
    </row>
    <row r="4829">
      <c r="A4829" s="84"/>
      <c r="B4829" s="85"/>
      <c r="C4829" s="85"/>
      <c r="F4829" s="92"/>
      <c r="G4829" s="85"/>
    </row>
    <row r="4830">
      <c r="A4830" s="84"/>
      <c r="B4830" s="85"/>
      <c r="C4830" s="85"/>
      <c r="F4830" s="92"/>
      <c r="G4830" s="85"/>
    </row>
    <row r="4831">
      <c r="A4831" s="84"/>
      <c r="B4831" s="85"/>
      <c r="C4831" s="85"/>
      <c r="F4831" s="92"/>
      <c r="G4831" s="85"/>
    </row>
    <row r="4832">
      <c r="A4832" s="84"/>
      <c r="B4832" s="85"/>
      <c r="C4832" s="85"/>
      <c r="F4832" s="92"/>
      <c r="G4832" s="85"/>
    </row>
    <row r="4833">
      <c r="A4833" s="84"/>
      <c r="B4833" s="85"/>
      <c r="C4833" s="85"/>
      <c r="F4833" s="92"/>
      <c r="G4833" s="85"/>
    </row>
    <row r="4834">
      <c r="A4834" s="84"/>
      <c r="B4834" s="85"/>
      <c r="C4834" s="85"/>
      <c r="F4834" s="92"/>
      <c r="G4834" s="85"/>
    </row>
    <row r="4835">
      <c r="A4835" s="84"/>
      <c r="B4835" s="85"/>
      <c r="C4835" s="85"/>
      <c r="F4835" s="92"/>
      <c r="G4835" s="85"/>
    </row>
    <row r="4836">
      <c r="A4836" s="84"/>
      <c r="B4836" s="85"/>
      <c r="C4836" s="85"/>
      <c r="F4836" s="92"/>
      <c r="G4836" s="85"/>
    </row>
    <row r="4837">
      <c r="A4837" s="84"/>
      <c r="B4837" s="85"/>
      <c r="C4837" s="85"/>
      <c r="F4837" s="92"/>
      <c r="G4837" s="85"/>
    </row>
    <row r="4838">
      <c r="A4838" s="84"/>
      <c r="B4838" s="85"/>
      <c r="C4838" s="85"/>
      <c r="F4838" s="92"/>
      <c r="G4838" s="85"/>
    </row>
    <row r="4839">
      <c r="A4839" s="84"/>
      <c r="B4839" s="85"/>
      <c r="C4839" s="85"/>
      <c r="F4839" s="92"/>
      <c r="G4839" s="85"/>
    </row>
    <row r="4840">
      <c r="A4840" s="84"/>
      <c r="B4840" s="85"/>
      <c r="C4840" s="85"/>
      <c r="F4840" s="92"/>
      <c r="G4840" s="85"/>
    </row>
    <row r="4841">
      <c r="A4841" s="84"/>
      <c r="B4841" s="85"/>
      <c r="C4841" s="85"/>
      <c r="F4841" s="92"/>
      <c r="G4841" s="85"/>
    </row>
    <row r="4842">
      <c r="A4842" s="84"/>
      <c r="B4842" s="85"/>
      <c r="C4842" s="85"/>
      <c r="F4842" s="92"/>
      <c r="G4842" s="85"/>
    </row>
    <row r="4843">
      <c r="A4843" s="84"/>
      <c r="B4843" s="85"/>
      <c r="C4843" s="85"/>
      <c r="F4843" s="92"/>
      <c r="G4843" s="85"/>
    </row>
    <row r="4844">
      <c r="A4844" s="84"/>
      <c r="B4844" s="85"/>
      <c r="C4844" s="85"/>
      <c r="F4844" s="92"/>
      <c r="G4844" s="85"/>
    </row>
    <row r="4845">
      <c r="A4845" s="84"/>
      <c r="B4845" s="85"/>
      <c r="C4845" s="85"/>
      <c r="F4845" s="92"/>
      <c r="G4845" s="85"/>
    </row>
    <row r="4846">
      <c r="A4846" s="84"/>
      <c r="B4846" s="85"/>
      <c r="C4846" s="85"/>
      <c r="F4846" s="92"/>
      <c r="G4846" s="85"/>
    </row>
    <row r="4847">
      <c r="A4847" s="84"/>
      <c r="B4847" s="85"/>
      <c r="C4847" s="85"/>
      <c r="F4847" s="92"/>
      <c r="G4847" s="85"/>
    </row>
    <row r="4848">
      <c r="A4848" s="84"/>
      <c r="B4848" s="85"/>
      <c r="C4848" s="85"/>
      <c r="F4848" s="92"/>
      <c r="G4848" s="85"/>
    </row>
    <row r="4849">
      <c r="A4849" s="84"/>
      <c r="B4849" s="85"/>
      <c r="C4849" s="85"/>
      <c r="F4849" s="92"/>
      <c r="G4849" s="85"/>
    </row>
    <row r="4850">
      <c r="A4850" s="84"/>
      <c r="B4850" s="85"/>
      <c r="C4850" s="85"/>
      <c r="F4850" s="92"/>
      <c r="G4850" s="85"/>
    </row>
    <row r="4851">
      <c r="A4851" s="84"/>
      <c r="B4851" s="85"/>
      <c r="C4851" s="85"/>
      <c r="F4851" s="92"/>
      <c r="G4851" s="85"/>
    </row>
    <row r="4852">
      <c r="A4852" s="84"/>
      <c r="B4852" s="85"/>
      <c r="C4852" s="85"/>
      <c r="F4852" s="92"/>
      <c r="G4852" s="85"/>
    </row>
    <row r="4853">
      <c r="A4853" s="84"/>
      <c r="B4853" s="85"/>
      <c r="C4853" s="85"/>
      <c r="F4853" s="92"/>
      <c r="G4853" s="85"/>
    </row>
    <row r="4854">
      <c r="A4854" s="84"/>
      <c r="B4854" s="85"/>
      <c r="C4854" s="85"/>
      <c r="F4854" s="92"/>
      <c r="G4854" s="85"/>
    </row>
    <row r="4855">
      <c r="A4855" s="84"/>
      <c r="B4855" s="85"/>
      <c r="C4855" s="85"/>
      <c r="F4855" s="92"/>
      <c r="G4855" s="85"/>
    </row>
    <row r="4856">
      <c r="A4856" s="84"/>
      <c r="B4856" s="85"/>
      <c r="C4856" s="85"/>
      <c r="F4856" s="92"/>
      <c r="G4856" s="85"/>
    </row>
    <row r="4857">
      <c r="A4857" s="84"/>
      <c r="B4857" s="85"/>
      <c r="C4857" s="85"/>
      <c r="F4857" s="92"/>
      <c r="G4857" s="85"/>
    </row>
    <row r="4858">
      <c r="A4858" s="84"/>
      <c r="B4858" s="85"/>
      <c r="C4858" s="85"/>
      <c r="F4858" s="92"/>
      <c r="G4858" s="85"/>
    </row>
    <row r="4859">
      <c r="A4859" s="84"/>
      <c r="B4859" s="85"/>
      <c r="C4859" s="85"/>
      <c r="F4859" s="92"/>
      <c r="G4859" s="85"/>
    </row>
    <row r="4860">
      <c r="A4860" s="84"/>
      <c r="B4860" s="85"/>
      <c r="C4860" s="85"/>
      <c r="F4860" s="92"/>
      <c r="G4860" s="85"/>
    </row>
    <row r="4861">
      <c r="A4861" s="84"/>
      <c r="B4861" s="85"/>
      <c r="C4861" s="85"/>
      <c r="F4861" s="92"/>
      <c r="G4861" s="85"/>
    </row>
    <row r="4862">
      <c r="A4862" s="84"/>
      <c r="B4862" s="85"/>
      <c r="C4862" s="85"/>
      <c r="F4862" s="92"/>
      <c r="G4862" s="85"/>
    </row>
    <row r="4863">
      <c r="A4863" s="84"/>
      <c r="B4863" s="85"/>
      <c r="C4863" s="85"/>
      <c r="F4863" s="92"/>
      <c r="G4863" s="85"/>
    </row>
    <row r="4864">
      <c r="A4864" s="84"/>
      <c r="B4864" s="85"/>
      <c r="C4864" s="85"/>
      <c r="F4864" s="92"/>
      <c r="G4864" s="85"/>
    </row>
    <row r="4865">
      <c r="A4865" s="84"/>
      <c r="B4865" s="85"/>
      <c r="C4865" s="85"/>
      <c r="F4865" s="92"/>
      <c r="G4865" s="85"/>
    </row>
    <row r="4866">
      <c r="A4866" s="84"/>
      <c r="B4866" s="85"/>
      <c r="C4866" s="85"/>
      <c r="F4866" s="92"/>
      <c r="G4866" s="85"/>
    </row>
    <row r="4867">
      <c r="A4867" s="84"/>
      <c r="B4867" s="85"/>
      <c r="C4867" s="85"/>
      <c r="F4867" s="92"/>
      <c r="G4867" s="85"/>
    </row>
    <row r="4868">
      <c r="A4868" s="84"/>
      <c r="B4868" s="85"/>
      <c r="C4868" s="85"/>
      <c r="F4868" s="92"/>
      <c r="G4868" s="85"/>
    </row>
    <row r="4869">
      <c r="A4869" s="84"/>
      <c r="B4869" s="85"/>
      <c r="C4869" s="85"/>
      <c r="F4869" s="92"/>
      <c r="G4869" s="85"/>
    </row>
    <row r="4870">
      <c r="A4870" s="84"/>
      <c r="B4870" s="85"/>
      <c r="C4870" s="85"/>
      <c r="F4870" s="92"/>
      <c r="G4870" s="85"/>
    </row>
    <row r="4871">
      <c r="A4871" s="84"/>
      <c r="B4871" s="85"/>
      <c r="C4871" s="85"/>
      <c r="F4871" s="92"/>
      <c r="G4871" s="85"/>
    </row>
    <row r="4872">
      <c r="A4872" s="84"/>
      <c r="B4872" s="85"/>
      <c r="C4872" s="85"/>
      <c r="F4872" s="92"/>
      <c r="G4872" s="85"/>
    </row>
    <row r="4873">
      <c r="A4873" s="84"/>
      <c r="B4873" s="85"/>
      <c r="C4873" s="85"/>
      <c r="F4873" s="92"/>
      <c r="G4873" s="85"/>
    </row>
    <row r="4874">
      <c r="A4874" s="84"/>
      <c r="B4874" s="85"/>
      <c r="C4874" s="85"/>
      <c r="F4874" s="92"/>
      <c r="G4874" s="85"/>
    </row>
    <row r="4875">
      <c r="A4875" s="84"/>
      <c r="B4875" s="85"/>
      <c r="C4875" s="85"/>
      <c r="F4875" s="92"/>
      <c r="G4875" s="85"/>
    </row>
    <row r="4876">
      <c r="A4876" s="84"/>
      <c r="B4876" s="85"/>
      <c r="C4876" s="85"/>
      <c r="F4876" s="92"/>
      <c r="G4876" s="85"/>
    </row>
    <row r="4877">
      <c r="A4877" s="84"/>
      <c r="B4877" s="85"/>
      <c r="C4877" s="85"/>
      <c r="F4877" s="92"/>
      <c r="G4877" s="85"/>
    </row>
    <row r="4878">
      <c r="A4878" s="84"/>
      <c r="B4878" s="85"/>
      <c r="C4878" s="85"/>
      <c r="F4878" s="92"/>
      <c r="G4878" s="85"/>
    </row>
    <row r="4879">
      <c r="A4879" s="84"/>
      <c r="B4879" s="85"/>
      <c r="C4879" s="85"/>
      <c r="F4879" s="92"/>
      <c r="G4879" s="85"/>
    </row>
    <row r="4880">
      <c r="A4880" s="84"/>
      <c r="B4880" s="85"/>
      <c r="C4880" s="85"/>
      <c r="F4880" s="92"/>
      <c r="G4880" s="85"/>
    </row>
    <row r="4881">
      <c r="A4881" s="84"/>
      <c r="B4881" s="85"/>
      <c r="C4881" s="85"/>
      <c r="F4881" s="92"/>
      <c r="G4881" s="85"/>
    </row>
    <row r="4882">
      <c r="A4882" s="84"/>
      <c r="B4882" s="85"/>
      <c r="C4882" s="85"/>
      <c r="F4882" s="92"/>
      <c r="G4882" s="85"/>
    </row>
    <row r="4883">
      <c r="A4883" s="84"/>
      <c r="B4883" s="85"/>
      <c r="C4883" s="85"/>
      <c r="F4883" s="92"/>
      <c r="G4883" s="85"/>
    </row>
    <row r="4884">
      <c r="A4884" s="84"/>
      <c r="B4884" s="85"/>
      <c r="C4884" s="85"/>
      <c r="F4884" s="92"/>
      <c r="G4884" s="85"/>
    </row>
    <row r="4885">
      <c r="A4885" s="84"/>
      <c r="B4885" s="85"/>
      <c r="C4885" s="85"/>
      <c r="F4885" s="92"/>
      <c r="G4885" s="85"/>
    </row>
    <row r="4886">
      <c r="A4886" s="84"/>
      <c r="B4886" s="85"/>
      <c r="C4886" s="85"/>
      <c r="F4886" s="92"/>
      <c r="G4886" s="85"/>
    </row>
    <row r="4887">
      <c r="A4887" s="84"/>
      <c r="B4887" s="85"/>
      <c r="C4887" s="85"/>
      <c r="F4887" s="92"/>
      <c r="G4887" s="85"/>
    </row>
    <row r="4888">
      <c r="A4888" s="84"/>
      <c r="B4888" s="85"/>
      <c r="C4888" s="85"/>
      <c r="F4888" s="92"/>
      <c r="G4888" s="85"/>
    </row>
    <row r="4889">
      <c r="A4889" s="84"/>
      <c r="B4889" s="85"/>
      <c r="C4889" s="85"/>
      <c r="F4889" s="92"/>
      <c r="G4889" s="85"/>
    </row>
    <row r="4890">
      <c r="A4890" s="84"/>
      <c r="B4890" s="85"/>
      <c r="C4890" s="85"/>
      <c r="F4890" s="92"/>
      <c r="G4890" s="85"/>
    </row>
    <row r="4891">
      <c r="A4891" s="84"/>
      <c r="B4891" s="85"/>
      <c r="C4891" s="85"/>
      <c r="F4891" s="92"/>
      <c r="G4891" s="85"/>
    </row>
    <row r="4892">
      <c r="A4892" s="84"/>
      <c r="B4892" s="85"/>
      <c r="C4892" s="85"/>
      <c r="F4892" s="92"/>
      <c r="G4892" s="85"/>
    </row>
    <row r="4893">
      <c r="A4893" s="84"/>
      <c r="B4893" s="85"/>
      <c r="C4893" s="85"/>
      <c r="F4893" s="92"/>
      <c r="G4893" s="85"/>
    </row>
    <row r="4894">
      <c r="A4894" s="84"/>
      <c r="B4894" s="85"/>
      <c r="C4894" s="85"/>
      <c r="F4894" s="92"/>
      <c r="G4894" s="85"/>
    </row>
    <row r="4895">
      <c r="A4895" s="84"/>
      <c r="B4895" s="85"/>
      <c r="C4895" s="85"/>
      <c r="F4895" s="92"/>
      <c r="G4895" s="85"/>
    </row>
    <row r="4896">
      <c r="A4896" s="84"/>
      <c r="B4896" s="85"/>
      <c r="C4896" s="85"/>
      <c r="F4896" s="92"/>
      <c r="G4896" s="85"/>
    </row>
    <row r="4897">
      <c r="A4897" s="84"/>
      <c r="B4897" s="85"/>
      <c r="C4897" s="85"/>
      <c r="F4897" s="92"/>
      <c r="G4897" s="85"/>
    </row>
    <row r="4898">
      <c r="A4898" s="84"/>
      <c r="B4898" s="85"/>
      <c r="C4898" s="85"/>
      <c r="F4898" s="92"/>
      <c r="G4898" s="85"/>
    </row>
    <row r="4899">
      <c r="A4899" s="84"/>
      <c r="B4899" s="85"/>
      <c r="C4899" s="85"/>
      <c r="F4899" s="92"/>
      <c r="G4899" s="85"/>
    </row>
    <row r="4900">
      <c r="A4900" s="84"/>
      <c r="B4900" s="85"/>
      <c r="C4900" s="85"/>
      <c r="F4900" s="92"/>
      <c r="G4900" s="85"/>
    </row>
    <row r="4901">
      <c r="A4901" s="84"/>
      <c r="B4901" s="85"/>
      <c r="C4901" s="85"/>
      <c r="F4901" s="92"/>
      <c r="G4901" s="85"/>
    </row>
    <row r="4902">
      <c r="A4902" s="84"/>
      <c r="B4902" s="85"/>
      <c r="C4902" s="85"/>
      <c r="F4902" s="92"/>
      <c r="G4902" s="85"/>
    </row>
    <row r="4903">
      <c r="A4903" s="84"/>
      <c r="B4903" s="85"/>
      <c r="C4903" s="85"/>
      <c r="F4903" s="92"/>
      <c r="G4903" s="85"/>
    </row>
    <row r="4904">
      <c r="A4904" s="84"/>
      <c r="B4904" s="85"/>
      <c r="C4904" s="85"/>
      <c r="F4904" s="92"/>
      <c r="G4904" s="85"/>
    </row>
    <row r="4905">
      <c r="A4905" s="84"/>
      <c r="B4905" s="85"/>
      <c r="C4905" s="85"/>
      <c r="F4905" s="92"/>
      <c r="G4905" s="85"/>
    </row>
    <row r="4906">
      <c r="A4906" s="84"/>
      <c r="B4906" s="85"/>
      <c r="C4906" s="85"/>
      <c r="F4906" s="92"/>
      <c r="G4906" s="85"/>
    </row>
    <row r="4907">
      <c r="A4907" s="84"/>
      <c r="B4907" s="85"/>
      <c r="C4907" s="85"/>
      <c r="F4907" s="92"/>
      <c r="G4907" s="85"/>
    </row>
    <row r="4908">
      <c r="A4908" s="84"/>
      <c r="B4908" s="85"/>
      <c r="C4908" s="85"/>
      <c r="F4908" s="92"/>
      <c r="G4908" s="85"/>
    </row>
    <row r="4909">
      <c r="A4909" s="84"/>
      <c r="B4909" s="85"/>
      <c r="C4909" s="85"/>
      <c r="F4909" s="92"/>
      <c r="G4909" s="85"/>
    </row>
    <row r="4910">
      <c r="A4910" s="84"/>
      <c r="B4910" s="85"/>
      <c r="C4910" s="85"/>
      <c r="F4910" s="92"/>
      <c r="G4910" s="85"/>
    </row>
    <row r="4911">
      <c r="A4911" s="84"/>
      <c r="B4911" s="85"/>
      <c r="C4911" s="85"/>
      <c r="F4911" s="92"/>
      <c r="G4911" s="85"/>
    </row>
    <row r="4912">
      <c r="A4912" s="84"/>
      <c r="B4912" s="85"/>
      <c r="C4912" s="85"/>
      <c r="F4912" s="92"/>
      <c r="G4912" s="85"/>
    </row>
    <row r="4913">
      <c r="A4913" s="84"/>
      <c r="B4913" s="85"/>
      <c r="C4913" s="85"/>
      <c r="F4913" s="92"/>
      <c r="G4913" s="85"/>
    </row>
    <row r="4914">
      <c r="A4914" s="84"/>
      <c r="B4914" s="85"/>
      <c r="C4914" s="85"/>
      <c r="F4914" s="92"/>
      <c r="G4914" s="85"/>
    </row>
    <row r="4915">
      <c r="A4915" s="84"/>
      <c r="B4915" s="85"/>
      <c r="C4915" s="85"/>
      <c r="F4915" s="92"/>
      <c r="G4915" s="85"/>
    </row>
    <row r="4916">
      <c r="A4916" s="84"/>
      <c r="B4916" s="85"/>
      <c r="C4916" s="85"/>
      <c r="F4916" s="92"/>
      <c r="G4916" s="85"/>
    </row>
    <row r="4917">
      <c r="A4917" s="84"/>
      <c r="B4917" s="85"/>
      <c r="C4917" s="85"/>
      <c r="F4917" s="92"/>
      <c r="G4917" s="85"/>
    </row>
    <row r="4918">
      <c r="A4918" s="84"/>
      <c r="B4918" s="85"/>
      <c r="C4918" s="85"/>
      <c r="F4918" s="92"/>
      <c r="G4918" s="85"/>
    </row>
    <row r="4919">
      <c r="A4919" s="84"/>
      <c r="B4919" s="85"/>
      <c r="C4919" s="85"/>
      <c r="F4919" s="92"/>
      <c r="G4919" s="85"/>
    </row>
    <row r="4920">
      <c r="A4920" s="84"/>
      <c r="B4920" s="85"/>
      <c r="C4920" s="85"/>
      <c r="F4920" s="92"/>
      <c r="G4920" s="85"/>
    </row>
    <row r="4921">
      <c r="A4921" s="84"/>
      <c r="B4921" s="85"/>
      <c r="C4921" s="85"/>
      <c r="F4921" s="92"/>
      <c r="G4921" s="85"/>
    </row>
    <row r="4922">
      <c r="A4922" s="84"/>
      <c r="B4922" s="85"/>
      <c r="C4922" s="85"/>
      <c r="F4922" s="92"/>
      <c r="G4922" s="85"/>
    </row>
    <row r="4923">
      <c r="A4923" s="84"/>
      <c r="B4923" s="85"/>
      <c r="C4923" s="85"/>
      <c r="F4923" s="92"/>
      <c r="G4923" s="85"/>
    </row>
    <row r="4924">
      <c r="A4924" s="84"/>
      <c r="B4924" s="85"/>
      <c r="C4924" s="85"/>
      <c r="F4924" s="92"/>
      <c r="G4924" s="85"/>
    </row>
    <row r="4925">
      <c r="A4925" s="84"/>
      <c r="B4925" s="85"/>
      <c r="C4925" s="85"/>
      <c r="F4925" s="92"/>
      <c r="G4925" s="85"/>
    </row>
    <row r="4926">
      <c r="A4926" s="84"/>
      <c r="B4926" s="85"/>
      <c r="C4926" s="85"/>
      <c r="F4926" s="92"/>
      <c r="G4926" s="85"/>
    </row>
    <row r="4927">
      <c r="A4927" s="84"/>
      <c r="B4927" s="85"/>
      <c r="C4927" s="85"/>
      <c r="F4927" s="92"/>
      <c r="G4927" s="85"/>
    </row>
    <row r="4928">
      <c r="A4928" s="84"/>
      <c r="B4928" s="85"/>
      <c r="C4928" s="85"/>
      <c r="F4928" s="92"/>
      <c r="G4928" s="85"/>
    </row>
    <row r="4929">
      <c r="A4929" s="84"/>
      <c r="B4929" s="85"/>
      <c r="C4929" s="85"/>
      <c r="F4929" s="92"/>
      <c r="G4929" s="85"/>
    </row>
    <row r="4930">
      <c r="A4930" s="84"/>
      <c r="B4930" s="85"/>
      <c r="C4930" s="85"/>
      <c r="F4930" s="92"/>
      <c r="G4930" s="85"/>
    </row>
    <row r="4931">
      <c r="A4931" s="84"/>
      <c r="B4931" s="85"/>
      <c r="C4931" s="85"/>
      <c r="F4931" s="92"/>
      <c r="G4931" s="85"/>
    </row>
    <row r="4932">
      <c r="A4932" s="84"/>
      <c r="B4932" s="85"/>
      <c r="C4932" s="85"/>
      <c r="F4932" s="92"/>
      <c r="G4932" s="85"/>
    </row>
    <row r="4933">
      <c r="A4933" s="84"/>
      <c r="B4933" s="85"/>
      <c r="C4933" s="85"/>
      <c r="F4933" s="92"/>
      <c r="G4933" s="85"/>
    </row>
    <row r="4934">
      <c r="A4934" s="84"/>
      <c r="B4934" s="85"/>
      <c r="C4934" s="85"/>
      <c r="F4934" s="92"/>
      <c r="G4934" s="85"/>
    </row>
    <row r="4935">
      <c r="A4935" s="84"/>
      <c r="B4935" s="85"/>
      <c r="C4935" s="85"/>
      <c r="F4935" s="92"/>
      <c r="G4935" s="85"/>
    </row>
    <row r="4936">
      <c r="A4936" s="84"/>
      <c r="B4936" s="85"/>
      <c r="C4936" s="85"/>
      <c r="F4936" s="92"/>
      <c r="G4936" s="85"/>
    </row>
    <row r="4937">
      <c r="A4937" s="84"/>
      <c r="B4937" s="85"/>
      <c r="C4937" s="85"/>
      <c r="F4937" s="92"/>
      <c r="G4937" s="85"/>
    </row>
    <row r="4938">
      <c r="A4938" s="84"/>
      <c r="B4938" s="85"/>
      <c r="C4938" s="85"/>
      <c r="F4938" s="92"/>
      <c r="G4938" s="85"/>
    </row>
    <row r="4939">
      <c r="A4939" s="84"/>
      <c r="B4939" s="85"/>
      <c r="C4939" s="85"/>
      <c r="F4939" s="92"/>
      <c r="G4939" s="85"/>
    </row>
    <row r="4940">
      <c r="A4940" s="84"/>
      <c r="B4940" s="85"/>
      <c r="C4940" s="85"/>
      <c r="F4940" s="92"/>
      <c r="G4940" s="85"/>
    </row>
    <row r="4941">
      <c r="A4941" s="84"/>
      <c r="B4941" s="85"/>
      <c r="C4941" s="85"/>
      <c r="F4941" s="92"/>
      <c r="G4941" s="85"/>
    </row>
    <row r="4942">
      <c r="A4942" s="84"/>
      <c r="B4942" s="85"/>
      <c r="C4942" s="85"/>
      <c r="F4942" s="92"/>
      <c r="G4942" s="85"/>
    </row>
    <row r="4943">
      <c r="A4943" s="84"/>
      <c r="B4943" s="85"/>
      <c r="C4943" s="85"/>
      <c r="F4943" s="92"/>
      <c r="G4943" s="85"/>
    </row>
    <row r="4944">
      <c r="A4944" s="84"/>
      <c r="B4944" s="85"/>
      <c r="C4944" s="85"/>
      <c r="F4944" s="92"/>
      <c r="G4944" s="85"/>
    </row>
    <row r="4945">
      <c r="A4945" s="84"/>
      <c r="B4945" s="85"/>
      <c r="C4945" s="85"/>
      <c r="F4945" s="92"/>
      <c r="G4945" s="85"/>
    </row>
    <row r="4946">
      <c r="A4946" s="84"/>
      <c r="B4946" s="85"/>
      <c r="C4946" s="85"/>
      <c r="F4946" s="92"/>
      <c r="G4946" s="85"/>
    </row>
    <row r="4947">
      <c r="A4947" s="84"/>
      <c r="B4947" s="85"/>
      <c r="C4947" s="85"/>
      <c r="F4947" s="92"/>
      <c r="G4947" s="85"/>
    </row>
    <row r="4948">
      <c r="A4948" s="84"/>
      <c r="B4948" s="85"/>
      <c r="C4948" s="85"/>
      <c r="F4948" s="92"/>
      <c r="G4948" s="85"/>
    </row>
    <row r="4949">
      <c r="A4949" s="84"/>
      <c r="B4949" s="85"/>
      <c r="C4949" s="85"/>
      <c r="F4949" s="92"/>
      <c r="G4949" s="85"/>
    </row>
    <row r="4950">
      <c r="A4950" s="84"/>
      <c r="B4950" s="85"/>
      <c r="C4950" s="85"/>
      <c r="F4950" s="92"/>
      <c r="G4950" s="85"/>
    </row>
    <row r="4951">
      <c r="A4951" s="84"/>
      <c r="B4951" s="85"/>
      <c r="C4951" s="85"/>
      <c r="F4951" s="92"/>
      <c r="G4951" s="85"/>
    </row>
    <row r="4952">
      <c r="A4952" s="84"/>
      <c r="B4952" s="85"/>
      <c r="C4952" s="85"/>
      <c r="F4952" s="92"/>
      <c r="G4952" s="85"/>
    </row>
    <row r="4953">
      <c r="A4953" s="84"/>
      <c r="B4953" s="85"/>
      <c r="C4953" s="85"/>
      <c r="F4953" s="92"/>
      <c r="G4953" s="85"/>
    </row>
    <row r="4954">
      <c r="A4954" s="84"/>
      <c r="B4954" s="85"/>
      <c r="C4954" s="85"/>
      <c r="F4954" s="92"/>
      <c r="G4954" s="85"/>
    </row>
    <row r="4955">
      <c r="A4955" s="84"/>
      <c r="B4955" s="85"/>
      <c r="C4955" s="85"/>
      <c r="F4955" s="92"/>
      <c r="G4955" s="85"/>
    </row>
    <row r="4956">
      <c r="A4956" s="84"/>
      <c r="B4956" s="85"/>
      <c r="C4956" s="85"/>
      <c r="F4956" s="92"/>
      <c r="G4956" s="85"/>
    </row>
    <row r="4957">
      <c r="A4957" s="84"/>
      <c r="B4957" s="85"/>
      <c r="C4957" s="85"/>
      <c r="F4957" s="92"/>
      <c r="G4957" s="85"/>
    </row>
    <row r="4958">
      <c r="A4958" s="84"/>
      <c r="B4958" s="85"/>
      <c r="C4958" s="85"/>
      <c r="F4958" s="92"/>
      <c r="G4958" s="85"/>
    </row>
    <row r="4959">
      <c r="A4959" s="84"/>
      <c r="B4959" s="85"/>
      <c r="C4959" s="85"/>
      <c r="F4959" s="92"/>
      <c r="G4959" s="85"/>
    </row>
    <row r="4960">
      <c r="A4960" s="84"/>
      <c r="B4960" s="85"/>
      <c r="C4960" s="85"/>
      <c r="F4960" s="92"/>
      <c r="G4960" s="85"/>
    </row>
    <row r="4961">
      <c r="A4961" s="84"/>
      <c r="B4961" s="85"/>
      <c r="C4961" s="85"/>
      <c r="F4961" s="92"/>
      <c r="G4961" s="85"/>
    </row>
    <row r="4962">
      <c r="A4962" s="84"/>
      <c r="B4962" s="85"/>
      <c r="C4962" s="85"/>
      <c r="F4962" s="92"/>
      <c r="G4962" s="85"/>
    </row>
    <row r="4963">
      <c r="A4963" s="84"/>
      <c r="B4963" s="85"/>
      <c r="C4963" s="85"/>
      <c r="F4963" s="92"/>
      <c r="G4963" s="85"/>
    </row>
    <row r="4964">
      <c r="A4964" s="84"/>
      <c r="B4964" s="85"/>
      <c r="C4964" s="85"/>
      <c r="F4964" s="92"/>
      <c r="G4964" s="85"/>
    </row>
    <row r="4965">
      <c r="A4965" s="84"/>
      <c r="B4965" s="85"/>
      <c r="C4965" s="85"/>
      <c r="F4965" s="92"/>
      <c r="G4965" s="85"/>
    </row>
    <row r="4966">
      <c r="A4966" s="84"/>
      <c r="B4966" s="85"/>
      <c r="C4966" s="85"/>
      <c r="F4966" s="92"/>
      <c r="G4966" s="85"/>
    </row>
    <row r="4967">
      <c r="A4967" s="84"/>
      <c r="B4967" s="85"/>
      <c r="C4967" s="85"/>
      <c r="F4967" s="92"/>
      <c r="G4967" s="85"/>
    </row>
    <row r="4968">
      <c r="A4968" s="84"/>
      <c r="B4968" s="85"/>
      <c r="C4968" s="85"/>
      <c r="F4968" s="92"/>
      <c r="G4968" s="85"/>
    </row>
    <row r="4969">
      <c r="A4969" s="84"/>
      <c r="B4969" s="85"/>
      <c r="C4969" s="85"/>
      <c r="F4969" s="92"/>
      <c r="G4969" s="85"/>
    </row>
    <row r="4970">
      <c r="A4970" s="84"/>
      <c r="B4970" s="85"/>
      <c r="C4970" s="85"/>
      <c r="F4970" s="92"/>
      <c r="G4970" s="85"/>
    </row>
    <row r="4971">
      <c r="A4971" s="84"/>
      <c r="B4971" s="85"/>
      <c r="C4971" s="85"/>
      <c r="F4971" s="92"/>
      <c r="G4971" s="85"/>
    </row>
    <row r="4972">
      <c r="A4972" s="84"/>
      <c r="B4972" s="85"/>
      <c r="C4972" s="85"/>
      <c r="F4972" s="92"/>
      <c r="G4972" s="85"/>
    </row>
    <row r="4973">
      <c r="A4973" s="84"/>
      <c r="B4973" s="85"/>
      <c r="C4973" s="85"/>
      <c r="F4973" s="92"/>
      <c r="G4973" s="85"/>
    </row>
    <row r="4974">
      <c r="A4974" s="84"/>
      <c r="B4974" s="85"/>
      <c r="C4974" s="85"/>
      <c r="F4974" s="92"/>
      <c r="G4974" s="85"/>
    </row>
    <row r="4975">
      <c r="A4975" s="84"/>
      <c r="B4975" s="85"/>
      <c r="C4975" s="85"/>
      <c r="F4975" s="92"/>
      <c r="G4975" s="85"/>
    </row>
    <row r="4976">
      <c r="A4976" s="84"/>
      <c r="B4976" s="85"/>
      <c r="C4976" s="85"/>
      <c r="F4976" s="92"/>
      <c r="G4976" s="85"/>
    </row>
    <row r="4977">
      <c r="A4977" s="84"/>
      <c r="B4977" s="85"/>
      <c r="C4977" s="85"/>
      <c r="F4977" s="92"/>
      <c r="G4977" s="85"/>
    </row>
    <row r="4978">
      <c r="A4978" s="84"/>
      <c r="B4978" s="85"/>
      <c r="C4978" s="85"/>
      <c r="F4978" s="92"/>
      <c r="G4978" s="85"/>
    </row>
    <row r="4979">
      <c r="A4979" s="84"/>
      <c r="B4979" s="85"/>
      <c r="C4979" s="85"/>
      <c r="F4979" s="92"/>
      <c r="G4979" s="85"/>
    </row>
    <row r="4980">
      <c r="A4980" s="84"/>
      <c r="B4980" s="85"/>
      <c r="C4980" s="85"/>
      <c r="F4980" s="92"/>
      <c r="G4980" s="85"/>
    </row>
    <row r="4981">
      <c r="A4981" s="84"/>
      <c r="B4981" s="85"/>
      <c r="C4981" s="85"/>
      <c r="F4981" s="92"/>
      <c r="G4981" s="85"/>
    </row>
    <row r="4982">
      <c r="A4982" s="84"/>
      <c r="B4982" s="85"/>
      <c r="C4982" s="85"/>
      <c r="F4982" s="92"/>
      <c r="G4982" s="85"/>
    </row>
    <row r="4983">
      <c r="A4983" s="84"/>
      <c r="B4983" s="85"/>
      <c r="C4983" s="85"/>
      <c r="F4983" s="92"/>
      <c r="G4983" s="85"/>
    </row>
    <row r="4984">
      <c r="A4984" s="84"/>
      <c r="B4984" s="85"/>
      <c r="C4984" s="85"/>
      <c r="F4984" s="92"/>
      <c r="G4984" s="85"/>
    </row>
    <row r="4985">
      <c r="A4985" s="84"/>
      <c r="B4985" s="85"/>
      <c r="C4985" s="85"/>
      <c r="F4985" s="92"/>
      <c r="G4985" s="85"/>
    </row>
    <row r="4986">
      <c r="A4986" s="84"/>
      <c r="B4986" s="85"/>
      <c r="C4986" s="85"/>
      <c r="F4986" s="92"/>
      <c r="G4986" s="85"/>
    </row>
    <row r="4987">
      <c r="A4987" s="84"/>
      <c r="B4987" s="85"/>
      <c r="C4987" s="85"/>
      <c r="F4987" s="92"/>
      <c r="G4987" s="85"/>
    </row>
    <row r="4988">
      <c r="A4988" s="84"/>
      <c r="B4988" s="85"/>
      <c r="C4988" s="85"/>
      <c r="F4988" s="92"/>
      <c r="G4988" s="85"/>
    </row>
    <row r="4989">
      <c r="A4989" s="84"/>
      <c r="B4989" s="85"/>
      <c r="C4989" s="85"/>
      <c r="F4989" s="92"/>
      <c r="G4989" s="85"/>
    </row>
    <row r="4990">
      <c r="A4990" s="84"/>
      <c r="B4990" s="85"/>
      <c r="C4990" s="85"/>
      <c r="F4990" s="92"/>
      <c r="G4990" s="85"/>
    </row>
    <row r="4991">
      <c r="A4991" s="84"/>
      <c r="B4991" s="85"/>
      <c r="C4991" s="85"/>
      <c r="F4991" s="92"/>
      <c r="G4991" s="85"/>
    </row>
    <row r="4992">
      <c r="A4992" s="84"/>
      <c r="B4992" s="85"/>
      <c r="C4992" s="85"/>
      <c r="F4992" s="92"/>
      <c r="G4992" s="85"/>
    </row>
    <row r="4993">
      <c r="A4993" s="84"/>
      <c r="B4993" s="85"/>
      <c r="C4993" s="85"/>
      <c r="F4993" s="92"/>
      <c r="G4993" s="85"/>
    </row>
    <row r="4994">
      <c r="A4994" s="84"/>
      <c r="B4994" s="85"/>
      <c r="C4994" s="85"/>
      <c r="F4994" s="92"/>
      <c r="G4994" s="85"/>
    </row>
    <row r="4995">
      <c r="A4995" s="84"/>
      <c r="B4995" s="85"/>
      <c r="C4995" s="85"/>
      <c r="F4995" s="92"/>
      <c r="G4995" s="85"/>
    </row>
    <row r="4996">
      <c r="A4996" s="84"/>
      <c r="B4996" s="85"/>
      <c r="C4996" s="85"/>
      <c r="F4996" s="92"/>
      <c r="G4996" s="85"/>
    </row>
    <row r="4997">
      <c r="A4997" s="84"/>
      <c r="B4997" s="85"/>
      <c r="C4997" s="85"/>
      <c r="F4997" s="92"/>
      <c r="G4997" s="85"/>
    </row>
    <row r="4998">
      <c r="A4998" s="84"/>
      <c r="B4998" s="85"/>
      <c r="C4998" s="85"/>
      <c r="F4998" s="92"/>
      <c r="G4998" s="85"/>
    </row>
    <row r="4999">
      <c r="A4999" s="84"/>
      <c r="B4999" s="85"/>
      <c r="C4999" s="85"/>
      <c r="F4999" s="92"/>
      <c r="G4999" s="85"/>
    </row>
    <row r="5000">
      <c r="A5000" s="84"/>
      <c r="B5000" s="85"/>
      <c r="C5000" s="85"/>
      <c r="F5000" s="92"/>
      <c r="G5000" s="85"/>
    </row>
    <row r="5001">
      <c r="A5001" s="84"/>
      <c r="B5001" s="85"/>
      <c r="C5001" s="85"/>
      <c r="F5001" s="92"/>
      <c r="G5001" s="85"/>
    </row>
    <row r="5002">
      <c r="A5002" s="84"/>
      <c r="B5002" s="85"/>
      <c r="C5002" s="85"/>
      <c r="F5002" s="92"/>
      <c r="G5002" s="85"/>
    </row>
    <row r="5003">
      <c r="A5003" s="84"/>
      <c r="B5003" s="85"/>
      <c r="C5003" s="85"/>
      <c r="F5003" s="92"/>
      <c r="G5003" s="85"/>
    </row>
    <row r="5004">
      <c r="A5004" s="84"/>
      <c r="B5004" s="85"/>
      <c r="C5004" s="85"/>
      <c r="F5004" s="92"/>
      <c r="G5004" s="85"/>
    </row>
    <row r="5005">
      <c r="A5005" s="84"/>
      <c r="B5005" s="85"/>
      <c r="C5005" s="85"/>
      <c r="F5005" s="92"/>
      <c r="G5005" s="85"/>
    </row>
    <row r="5006">
      <c r="A5006" s="84"/>
      <c r="B5006" s="85"/>
      <c r="C5006" s="85"/>
      <c r="F5006" s="92"/>
      <c r="G5006" s="85"/>
    </row>
    <row r="5007">
      <c r="A5007" s="84"/>
      <c r="B5007" s="85"/>
      <c r="C5007" s="85"/>
      <c r="F5007" s="92"/>
      <c r="G5007" s="85"/>
    </row>
    <row r="5008">
      <c r="A5008" s="84"/>
      <c r="B5008" s="85"/>
      <c r="C5008" s="85"/>
      <c r="F5008" s="92"/>
      <c r="G5008" s="85"/>
    </row>
    <row r="5009">
      <c r="A5009" s="84"/>
      <c r="B5009" s="85"/>
      <c r="C5009" s="85"/>
      <c r="F5009" s="92"/>
      <c r="G5009" s="85"/>
    </row>
    <row r="5010">
      <c r="A5010" s="84"/>
      <c r="B5010" s="85"/>
      <c r="C5010" s="85"/>
      <c r="F5010" s="92"/>
      <c r="G5010" s="85"/>
    </row>
    <row r="5011">
      <c r="A5011" s="84"/>
      <c r="B5011" s="85"/>
      <c r="C5011" s="85"/>
      <c r="F5011" s="92"/>
      <c r="G5011" s="85"/>
    </row>
    <row r="5012">
      <c r="A5012" s="84"/>
      <c r="B5012" s="85"/>
      <c r="C5012" s="85"/>
      <c r="F5012" s="92"/>
      <c r="G5012" s="85"/>
    </row>
    <row r="5013">
      <c r="A5013" s="84"/>
      <c r="B5013" s="85"/>
      <c r="C5013" s="85"/>
      <c r="F5013" s="92"/>
      <c r="G5013" s="85"/>
    </row>
    <row r="5014">
      <c r="A5014" s="84"/>
      <c r="B5014" s="85"/>
      <c r="C5014" s="85"/>
      <c r="F5014" s="92"/>
      <c r="G5014" s="85"/>
    </row>
    <row r="5015">
      <c r="A5015" s="84"/>
      <c r="B5015" s="85"/>
      <c r="C5015" s="85"/>
      <c r="F5015" s="92"/>
      <c r="G5015" s="85"/>
    </row>
    <row r="5016">
      <c r="A5016" s="84"/>
      <c r="B5016" s="85"/>
      <c r="C5016" s="85"/>
      <c r="F5016" s="92"/>
      <c r="G5016" s="85"/>
    </row>
    <row r="5017">
      <c r="A5017" s="84"/>
      <c r="B5017" s="85"/>
      <c r="C5017" s="85"/>
      <c r="F5017" s="92"/>
      <c r="G5017" s="85"/>
    </row>
    <row r="5018">
      <c r="A5018" s="84"/>
      <c r="B5018" s="85"/>
      <c r="C5018" s="85"/>
      <c r="F5018" s="92"/>
      <c r="G5018" s="85"/>
    </row>
    <row r="5019">
      <c r="A5019" s="84"/>
      <c r="B5019" s="85"/>
      <c r="C5019" s="85"/>
      <c r="F5019" s="92"/>
      <c r="G5019" s="85"/>
    </row>
    <row r="5020">
      <c r="A5020" s="84"/>
      <c r="B5020" s="85"/>
      <c r="C5020" s="85"/>
      <c r="F5020" s="92"/>
      <c r="G5020" s="85"/>
    </row>
    <row r="5021">
      <c r="A5021" s="84"/>
      <c r="B5021" s="85"/>
      <c r="C5021" s="85"/>
      <c r="F5021" s="92"/>
      <c r="G5021" s="85"/>
    </row>
    <row r="5022">
      <c r="A5022" s="84"/>
      <c r="B5022" s="85"/>
      <c r="C5022" s="85"/>
      <c r="F5022" s="92"/>
      <c r="G5022" s="85"/>
    </row>
    <row r="5023">
      <c r="A5023" s="84"/>
      <c r="B5023" s="85"/>
      <c r="C5023" s="85"/>
      <c r="F5023" s="92"/>
      <c r="G5023" s="85"/>
    </row>
    <row r="5024">
      <c r="A5024" s="84"/>
      <c r="B5024" s="85"/>
      <c r="C5024" s="85"/>
      <c r="F5024" s="92"/>
      <c r="G5024" s="85"/>
    </row>
    <row r="5025">
      <c r="A5025" s="84"/>
      <c r="B5025" s="85"/>
      <c r="C5025" s="85"/>
      <c r="F5025" s="92"/>
      <c r="G5025" s="85"/>
    </row>
    <row r="5026">
      <c r="A5026" s="84"/>
      <c r="B5026" s="85"/>
      <c r="C5026" s="85"/>
      <c r="F5026" s="92"/>
      <c r="G5026" s="85"/>
    </row>
    <row r="5027">
      <c r="A5027" s="84"/>
      <c r="B5027" s="85"/>
      <c r="C5027" s="85"/>
      <c r="F5027" s="92"/>
      <c r="G5027" s="85"/>
    </row>
    <row r="5028">
      <c r="A5028" s="84"/>
      <c r="B5028" s="85"/>
      <c r="C5028" s="85"/>
      <c r="F5028" s="92"/>
      <c r="G5028" s="85"/>
    </row>
    <row r="5029">
      <c r="A5029" s="84"/>
      <c r="B5029" s="85"/>
      <c r="C5029" s="85"/>
      <c r="F5029" s="92"/>
      <c r="G5029" s="85"/>
    </row>
    <row r="5030">
      <c r="A5030" s="84"/>
      <c r="B5030" s="85"/>
      <c r="C5030" s="85"/>
      <c r="F5030" s="92"/>
      <c r="G5030" s="85"/>
    </row>
    <row r="5031">
      <c r="A5031" s="84"/>
      <c r="B5031" s="85"/>
      <c r="C5031" s="85"/>
      <c r="F5031" s="92"/>
      <c r="G5031" s="85"/>
    </row>
    <row r="5032">
      <c r="A5032" s="84"/>
      <c r="B5032" s="85"/>
      <c r="C5032" s="85"/>
      <c r="F5032" s="92"/>
      <c r="G5032" s="85"/>
    </row>
    <row r="5033">
      <c r="A5033" s="84"/>
      <c r="B5033" s="85"/>
      <c r="C5033" s="85"/>
      <c r="F5033" s="92"/>
      <c r="G5033" s="85"/>
    </row>
    <row r="5034">
      <c r="A5034" s="84"/>
      <c r="B5034" s="85"/>
      <c r="C5034" s="85"/>
      <c r="F5034" s="92"/>
      <c r="G5034" s="85"/>
    </row>
    <row r="5035">
      <c r="A5035" s="84"/>
      <c r="B5035" s="85"/>
      <c r="C5035" s="85"/>
      <c r="F5035" s="92"/>
      <c r="G5035" s="85"/>
    </row>
    <row r="5036">
      <c r="A5036" s="84"/>
      <c r="B5036" s="85"/>
      <c r="C5036" s="85"/>
      <c r="F5036" s="92"/>
      <c r="G5036" s="85"/>
    </row>
    <row r="5037">
      <c r="A5037" s="84"/>
      <c r="B5037" s="85"/>
      <c r="C5037" s="85"/>
      <c r="F5037" s="92"/>
      <c r="G5037" s="85"/>
    </row>
    <row r="5038">
      <c r="A5038" s="84"/>
      <c r="B5038" s="85"/>
      <c r="C5038" s="85"/>
      <c r="F5038" s="92"/>
      <c r="G5038" s="85"/>
    </row>
    <row r="5039">
      <c r="A5039" s="84"/>
      <c r="B5039" s="85"/>
      <c r="C5039" s="85"/>
      <c r="F5039" s="92"/>
      <c r="G5039" s="85"/>
    </row>
    <row r="5040">
      <c r="A5040" s="84"/>
      <c r="B5040" s="85"/>
      <c r="C5040" s="85"/>
      <c r="F5040" s="92"/>
      <c r="G5040" s="85"/>
    </row>
    <row r="5041">
      <c r="A5041" s="84"/>
      <c r="B5041" s="85"/>
      <c r="C5041" s="85"/>
      <c r="F5041" s="92"/>
      <c r="G5041" s="85"/>
    </row>
    <row r="5042">
      <c r="A5042" s="84"/>
      <c r="B5042" s="85"/>
      <c r="C5042" s="85"/>
      <c r="F5042" s="92"/>
      <c r="G5042" s="85"/>
    </row>
    <row r="5043">
      <c r="A5043" s="84"/>
      <c r="B5043" s="85"/>
      <c r="C5043" s="85"/>
      <c r="F5043" s="92"/>
      <c r="G5043" s="85"/>
    </row>
    <row r="5044">
      <c r="A5044" s="84"/>
      <c r="B5044" s="85"/>
      <c r="C5044" s="85"/>
      <c r="F5044" s="92"/>
      <c r="G5044" s="85"/>
    </row>
    <row r="5045">
      <c r="A5045" s="84"/>
      <c r="B5045" s="85"/>
      <c r="C5045" s="85"/>
      <c r="F5045" s="92"/>
      <c r="G5045" s="85"/>
    </row>
    <row r="5046">
      <c r="A5046" s="84"/>
      <c r="B5046" s="85"/>
      <c r="C5046" s="85"/>
      <c r="F5046" s="92"/>
      <c r="G5046" s="85"/>
    </row>
    <row r="5047">
      <c r="A5047" s="84"/>
      <c r="B5047" s="85"/>
      <c r="C5047" s="85"/>
      <c r="F5047" s="92"/>
      <c r="G5047" s="85"/>
    </row>
    <row r="5048">
      <c r="A5048" s="84"/>
      <c r="B5048" s="85"/>
      <c r="C5048" s="85"/>
      <c r="F5048" s="92"/>
      <c r="G5048" s="85"/>
    </row>
    <row r="5049">
      <c r="A5049" s="84"/>
      <c r="B5049" s="85"/>
      <c r="C5049" s="85"/>
      <c r="F5049" s="92"/>
      <c r="G5049" s="85"/>
    </row>
    <row r="5050">
      <c r="A5050" s="84"/>
      <c r="B5050" s="85"/>
      <c r="C5050" s="85"/>
      <c r="F5050" s="92"/>
      <c r="G5050" s="85"/>
    </row>
    <row r="5051">
      <c r="A5051" s="84"/>
      <c r="B5051" s="85"/>
      <c r="C5051" s="85"/>
      <c r="F5051" s="92"/>
      <c r="G5051" s="85"/>
    </row>
    <row r="5052">
      <c r="A5052" s="84"/>
      <c r="B5052" s="85"/>
      <c r="C5052" s="85"/>
      <c r="F5052" s="92"/>
      <c r="G5052" s="85"/>
    </row>
    <row r="5053">
      <c r="A5053" s="84"/>
      <c r="B5053" s="85"/>
      <c r="C5053" s="85"/>
      <c r="F5053" s="92"/>
      <c r="G5053" s="85"/>
    </row>
    <row r="5054">
      <c r="A5054" s="84"/>
      <c r="B5054" s="85"/>
      <c r="C5054" s="85"/>
      <c r="F5054" s="92"/>
      <c r="G5054" s="85"/>
    </row>
    <row r="5055">
      <c r="A5055" s="84"/>
      <c r="B5055" s="85"/>
      <c r="C5055" s="85"/>
      <c r="F5055" s="92"/>
      <c r="G5055" s="85"/>
    </row>
    <row r="5056">
      <c r="A5056" s="84"/>
      <c r="B5056" s="85"/>
      <c r="C5056" s="85"/>
      <c r="F5056" s="92"/>
      <c r="G5056" s="85"/>
    </row>
    <row r="5057">
      <c r="A5057" s="84"/>
      <c r="B5057" s="85"/>
      <c r="C5057" s="85"/>
      <c r="F5057" s="92"/>
      <c r="G5057" s="85"/>
    </row>
    <row r="5058">
      <c r="A5058" s="84"/>
      <c r="B5058" s="85"/>
      <c r="C5058" s="85"/>
      <c r="F5058" s="92"/>
      <c r="G5058" s="85"/>
    </row>
    <row r="5059">
      <c r="A5059" s="84"/>
      <c r="B5059" s="85"/>
      <c r="C5059" s="85"/>
      <c r="F5059" s="92"/>
      <c r="G5059" s="85"/>
    </row>
    <row r="5060">
      <c r="A5060" s="84"/>
      <c r="B5060" s="85"/>
      <c r="C5060" s="85"/>
      <c r="F5060" s="92"/>
      <c r="G5060" s="85"/>
    </row>
    <row r="5061">
      <c r="A5061" s="84"/>
      <c r="B5061" s="85"/>
      <c r="C5061" s="85"/>
      <c r="F5061" s="92"/>
      <c r="G5061" s="85"/>
    </row>
    <row r="5062">
      <c r="A5062" s="84"/>
      <c r="B5062" s="85"/>
      <c r="C5062" s="85"/>
      <c r="F5062" s="92"/>
      <c r="G5062" s="85"/>
    </row>
    <row r="5063">
      <c r="A5063" s="84"/>
      <c r="B5063" s="85"/>
      <c r="C5063" s="85"/>
      <c r="F5063" s="92"/>
      <c r="G5063" s="85"/>
    </row>
    <row r="5064">
      <c r="A5064" s="84"/>
      <c r="B5064" s="85"/>
      <c r="C5064" s="85"/>
      <c r="F5064" s="92"/>
      <c r="G5064" s="85"/>
    </row>
    <row r="5065">
      <c r="A5065" s="84"/>
      <c r="B5065" s="85"/>
      <c r="C5065" s="85"/>
      <c r="F5065" s="92"/>
      <c r="G5065" s="85"/>
    </row>
    <row r="5066">
      <c r="A5066" s="84"/>
      <c r="B5066" s="85"/>
      <c r="C5066" s="85"/>
      <c r="F5066" s="92"/>
      <c r="G5066" s="85"/>
    </row>
    <row r="5067">
      <c r="A5067" s="84"/>
      <c r="B5067" s="85"/>
      <c r="C5067" s="85"/>
      <c r="F5067" s="92"/>
      <c r="G5067" s="85"/>
    </row>
    <row r="5068">
      <c r="A5068" s="84"/>
      <c r="B5068" s="85"/>
      <c r="C5068" s="85"/>
      <c r="F5068" s="92"/>
      <c r="G5068" s="85"/>
    </row>
    <row r="5069">
      <c r="A5069" s="84"/>
      <c r="B5069" s="85"/>
      <c r="C5069" s="85"/>
      <c r="F5069" s="92"/>
      <c r="G5069" s="85"/>
    </row>
    <row r="5070">
      <c r="A5070" s="84"/>
      <c r="B5070" s="85"/>
      <c r="C5070" s="85"/>
      <c r="F5070" s="92"/>
      <c r="G5070" s="85"/>
    </row>
    <row r="5071">
      <c r="A5071" s="84"/>
      <c r="B5071" s="85"/>
      <c r="C5071" s="85"/>
      <c r="F5071" s="92"/>
      <c r="G5071" s="85"/>
    </row>
    <row r="5072">
      <c r="A5072" s="84"/>
      <c r="B5072" s="85"/>
      <c r="C5072" s="85"/>
      <c r="F5072" s="92"/>
      <c r="G5072" s="85"/>
    </row>
    <row r="5073">
      <c r="A5073" s="84"/>
      <c r="B5073" s="85"/>
      <c r="C5073" s="85"/>
      <c r="F5073" s="92"/>
      <c r="G5073" s="85"/>
    </row>
    <row r="5074">
      <c r="A5074" s="84"/>
      <c r="B5074" s="85"/>
      <c r="C5074" s="85"/>
      <c r="F5074" s="92"/>
      <c r="G5074" s="85"/>
    </row>
    <row r="5075">
      <c r="A5075" s="84"/>
      <c r="B5075" s="85"/>
      <c r="C5075" s="85"/>
      <c r="F5075" s="92"/>
      <c r="G5075" s="85"/>
    </row>
    <row r="5076">
      <c r="A5076" s="84"/>
      <c r="B5076" s="85"/>
      <c r="C5076" s="85"/>
      <c r="F5076" s="92"/>
      <c r="G5076" s="85"/>
    </row>
    <row r="5077">
      <c r="A5077" s="84"/>
      <c r="B5077" s="85"/>
      <c r="C5077" s="85"/>
      <c r="F5077" s="92"/>
      <c r="G5077" s="85"/>
    </row>
    <row r="5078">
      <c r="A5078" s="84"/>
      <c r="B5078" s="85"/>
      <c r="C5078" s="85"/>
      <c r="F5078" s="92"/>
      <c r="G5078" s="85"/>
    </row>
    <row r="5079">
      <c r="A5079" s="84"/>
      <c r="B5079" s="85"/>
      <c r="C5079" s="85"/>
      <c r="F5079" s="92"/>
      <c r="G5079" s="85"/>
    </row>
    <row r="5080">
      <c r="A5080" s="84"/>
      <c r="B5080" s="85"/>
      <c r="C5080" s="85"/>
      <c r="F5080" s="92"/>
      <c r="G5080" s="85"/>
    </row>
    <row r="5081">
      <c r="A5081" s="84"/>
      <c r="B5081" s="85"/>
      <c r="C5081" s="85"/>
      <c r="F5081" s="92"/>
      <c r="G5081" s="85"/>
    </row>
    <row r="5082">
      <c r="A5082" s="84"/>
      <c r="B5082" s="85"/>
      <c r="C5082" s="85"/>
      <c r="F5082" s="92"/>
      <c r="G5082" s="85"/>
    </row>
    <row r="5083">
      <c r="A5083" s="84"/>
      <c r="B5083" s="85"/>
      <c r="C5083" s="85"/>
      <c r="F5083" s="92"/>
      <c r="G5083" s="85"/>
    </row>
    <row r="5084">
      <c r="A5084" s="84"/>
      <c r="B5084" s="85"/>
      <c r="C5084" s="85"/>
      <c r="F5084" s="92"/>
      <c r="G5084" s="85"/>
    </row>
    <row r="5085">
      <c r="A5085" s="84"/>
      <c r="B5085" s="85"/>
      <c r="C5085" s="85"/>
      <c r="F5085" s="92"/>
      <c r="G5085" s="85"/>
    </row>
    <row r="5086">
      <c r="A5086" s="84"/>
      <c r="B5086" s="85"/>
      <c r="C5086" s="85"/>
      <c r="F5086" s="92"/>
      <c r="G5086" s="85"/>
    </row>
    <row r="5087">
      <c r="A5087" s="84"/>
      <c r="B5087" s="85"/>
      <c r="C5087" s="85"/>
      <c r="F5087" s="92"/>
      <c r="G5087" s="85"/>
    </row>
    <row r="5088">
      <c r="A5088" s="84"/>
      <c r="B5088" s="85"/>
      <c r="C5088" s="85"/>
      <c r="F5088" s="92"/>
      <c r="G5088" s="85"/>
    </row>
    <row r="5089">
      <c r="A5089" s="84"/>
      <c r="B5089" s="85"/>
      <c r="C5089" s="85"/>
      <c r="F5089" s="92"/>
      <c r="G5089" s="85"/>
    </row>
    <row r="5090">
      <c r="A5090" s="84"/>
      <c r="B5090" s="85"/>
      <c r="C5090" s="85"/>
      <c r="F5090" s="92"/>
      <c r="G5090" s="85"/>
    </row>
    <row r="5091">
      <c r="A5091" s="84"/>
      <c r="B5091" s="85"/>
      <c r="C5091" s="85"/>
      <c r="F5091" s="92"/>
      <c r="G5091" s="85"/>
    </row>
    <row r="5092">
      <c r="A5092" s="84"/>
      <c r="B5092" s="85"/>
      <c r="C5092" s="85"/>
      <c r="F5092" s="92"/>
      <c r="G5092" s="85"/>
    </row>
    <row r="5093">
      <c r="A5093" s="84"/>
      <c r="B5093" s="85"/>
      <c r="C5093" s="85"/>
      <c r="F5093" s="92"/>
      <c r="G5093" s="85"/>
    </row>
    <row r="5094">
      <c r="A5094" s="84"/>
      <c r="B5094" s="85"/>
      <c r="C5094" s="85"/>
      <c r="F5094" s="92"/>
      <c r="G5094" s="85"/>
    </row>
    <row r="5095">
      <c r="A5095" s="84"/>
      <c r="B5095" s="85"/>
      <c r="C5095" s="85"/>
      <c r="F5095" s="92"/>
      <c r="G5095" s="85"/>
    </row>
    <row r="5096">
      <c r="A5096" s="84"/>
      <c r="B5096" s="85"/>
      <c r="C5096" s="85"/>
      <c r="F5096" s="92"/>
      <c r="G5096" s="85"/>
    </row>
    <row r="5097">
      <c r="A5097" s="84"/>
      <c r="B5097" s="85"/>
      <c r="C5097" s="85"/>
      <c r="F5097" s="92"/>
      <c r="G5097" s="85"/>
    </row>
    <row r="5098">
      <c r="A5098" s="84"/>
      <c r="B5098" s="85"/>
      <c r="C5098" s="85"/>
      <c r="F5098" s="92"/>
      <c r="G5098" s="85"/>
    </row>
    <row r="5099">
      <c r="A5099" s="84"/>
      <c r="B5099" s="85"/>
      <c r="C5099" s="85"/>
      <c r="F5099" s="92"/>
      <c r="G5099" s="85"/>
    </row>
    <row r="5100">
      <c r="A5100" s="84"/>
      <c r="B5100" s="85"/>
      <c r="C5100" s="85"/>
      <c r="F5100" s="92"/>
      <c r="G5100" s="85"/>
    </row>
    <row r="5101">
      <c r="A5101" s="84"/>
      <c r="B5101" s="85"/>
      <c r="C5101" s="85"/>
      <c r="F5101" s="92"/>
      <c r="G5101" s="85"/>
    </row>
    <row r="5102">
      <c r="A5102" s="84"/>
      <c r="B5102" s="85"/>
      <c r="C5102" s="85"/>
      <c r="F5102" s="92"/>
      <c r="G5102" s="85"/>
    </row>
    <row r="5103">
      <c r="A5103" s="84"/>
      <c r="B5103" s="85"/>
      <c r="C5103" s="85"/>
      <c r="F5103" s="92"/>
      <c r="G5103" s="85"/>
    </row>
    <row r="5104">
      <c r="A5104" s="84"/>
      <c r="B5104" s="85"/>
      <c r="C5104" s="85"/>
      <c r="F5104" s="92"/>
      <c r="G5104" s="85"/>
    </row>
    <row r="5105">
      <c r="A5105" s="84"/>
      <c r="B5105" s="85"/>
      <c r="C5105" s="85"/>
      <c r="F5105" s="92"/>
      <c r="G5105" s="85"/>
    </row>
    <row r="5106">
      <c r="A5106" s="84"/>
      <c r="B5106" s="85"/>
      <c r="C5106" s="85"/>
      <c r="F5106" s="92"/>
      <c r="G5106" s="85"/>
    </row>
    <row r="5107">
      <c r="A5107" s="84"/>
      <c r="B5107" s="85"/>
      <c r="C5107" s="85"/>
      <c r="F5107" s="92"/>
      <c r="G5107" s="85"/>
    </row>
    <row r="5108">
      <c r="A5108" s="84"/>
      <c r="B5108" s="85"/>
      <c r="C5108" s="85"/>
      <c r="F5108" s="92"/>
      <c r="G5108" s="85"/>
    </row>
    <row r="5109">
      <c r="A5109" s="84"/>
      <c r="B5109" s="85"/>
      <c r="C5109" s="85"/>
      <c r="F5109" s="92"/>
      <c r="G5109" s="85"/>
    </row>
    <row r="5110">
      <c r="A5110" s="84"/>
      <c r="B5110" s="85"/>
      <c r="C5110" s="85"/>
      <c r="F5110" s="92"/>
      <c r="G5110" s="85"/>
    </row>
    <row r="5111">
      <c r="A5111" s="84"/>
      <c r="B5111" s="85"/>
      <c r="C5111" s="85"/>
      <c r="F5111" s="92"/>
      <c r="G5111" s="85"/>
    </row>
    <row r="5112">
      <c r="A5112" s="84"/>
      <c r="B5112" s="85"/>
      <c r="C5112" s="85"/>
      <c r="F5112" s="92"/>
      <c r="G5112" s="85"/>
    </row>
    <row r="5113">
      <c r="A5113" s="84"/>
      <c r="B5113" s="85"/>
      <c r="C5113" s="85"/>
      <c r="F5113" s="92"/>
      <c r="G5113" s="85"/>
    </row>
    <row r="5114">
      <c r="A5114" s="84"/>
      <c r="B5114" s="85"/>
      <c r="C5114" s="85"/>
      <c r="F5114" s="92"/>
      <c r="G5114" s="85"/>
    </row>
    <row r="5115">
      <c r="A5115" s="84"/>
      <c r="B5115" s="85"/>
      <c r="C5115" s="85"/>
      <c r="F5115" s="92"/>
      <c r="G5115" s="85"/>
    </row>
    <row r="5116">
      <c r="A5116" s="84"/>
      <c r="B5116" s="85"/>
      <c r="C5116" s="85"/>
      <c r="F5116" s="92"/>
      <c r="G5116" s="85"/>
    </row>
    <row r="5117">
      <c r="A5117" s="84"/>
      <c r="B5117" s="85"/>
      <c r="C5117" s="85"/>
      <c r="F5117" s="92"/>
      <c r="G5117" s="85"/>
    </row>
    <row r="5118">
      <c r="A5118" s="84"/>
      <c r="B5118" s="85"/>
      <c r="C5118" s="85"/>
      <c r="F5118" s="92"/>
      <c r="G5118" s="85"/>
    </row>
    <row r="5119">
      <c r="A5119" s="84"/>
      <c r="B5119" s="85"/>
      <c r="C5119" s="85"/>
      <c r="F5119" s="92"/>
      <c r="G5119" s="85"/>
    </row>
    <row r="5120">
      <c r="A5120" s="84"/>
      <c r="B5120" s="85"/>
      <c r="C5120" s="85"/>
      <c r="F5120" s="92"/>
      <c r="G5120" s="85"/>
    </row>
    <row r="5121">
      <c r="A5121" s="84"/>
      <c r="B5121" s="85"/>
      <c r="C5121" s="85"/>
      <c r="F5121" s="92"/>
      <c r="G5121" s="85"/>
    </row>
    <row r="5122">
      <c r="A5122" s="84"/>
      <c r="B5122" s="85"/>
      <c r="C5122" s="85"/>
      <c r="F5122" s="92"/>
      <c r="G5122" s="85"/>
    </row>
    <row r="5123">
      <c r="A5123" s="84"/>
      <c r="B5123" s="85"/>
      <c r="C5123" s="85"/>
      <c r="F5123" s="92"/>
      <c r="G5123" s="85"/>
    </row>
    <row r="5124">
      <c r="A5124" s="84"/>
      <c r="B5124" s="85"/>
      <c r="C5124" s="85"/>
      <c r="F5124" s="92"/>
      <c r="G5124" s="85"/>
    </row>
    <row r="5125">
      <c r="A5125" s="84"/>
      <c r="B5125" s="85"/>
      <c r="C5125" s="85"/>
      <c r="F5125" s="92"/>
      <c r="G5125" s="85"/>
    </row>
    <row r="5126">
      <c r="A5126" s="84"/>
      <c r="B5126" s="85"/>
      <c r="C5126" s="85"/>
      <c r="F5126" s="92"/>
      <c r="G5126" s="85"/>
    </row>
    <row r="5127">
      <c r="A5127" s="84"/>
      <c r="B5127" s="85"/>
      <c r="C5127" s="85"/>
      <c r="F5127" s="92"/>
      <c r="G5127" s="85"/>
    </row>
    <row r="5128">
      <c r="A5128" s="84"/>
      <c r="B5128" s="85"/>
      <c r="C5128" s="85"/>
      <c r="F5128" s="92"/>
      <c r="G5128" s="85"/>
    </row>
    <row r="5129">
      <c r="A5129" s="84"/>
      <c r="B5129" s="85"/>
      <c r="C5129" s="85"/>
      <c r="F5129" s="92"/>
      <c r="G5129" s="85"/>
    </row>
    <row r="5130">
      <c r="A5130" s="84"/>
      <c r="B5130" s="85"/>
      <c r="C5130" s="85"/>
      <c r="F5130" s="92"/>
      <c r="G5130" s="85"/>
    </row>
    <row r="5131">
      <c r="A5131" s="84"/>
      <c r="B5131" s="85"/>
      <c r="C5131" s="85"/>
      <c r="F5131" s="92"/>
      <c r="G5131" s="85"/>
    </row>
    <row r="5132">
      <c r="A5132" s="84"/>
      <c r="B5132" s="85"/>
      <c r="C5132" s="85"/>
      <c r="F5132" s="92"/>
      <c r="G5132" s="85"/>
    </row>
    <row r="5133">
      <c r="A5133" s="84"/>
      <c r="B5133" s="85"/>
      <c r="C5133" s="85"/>
      <c r="F5133" s="92"/>
      <c r="G5133" s="85"/>
    </row>
    <row r="5134">
      <c r="A5134" s="84"/>
      <c r="B5134" s="85"/>
      <c r="C5134" s="85"/>
      <c r="F5134" s="92"/>
      <c r="G5134" s="85"/>
    </row>
    <row r="5135">
      <c r="A5135" s="84"/>
      <c r="B5135" s="85"/>
      <c r="C5135" s="85"/>
      <c r="F5135" s="92"/>
      <c r="G5135" s="85"/>
    </row>
    <row r="5136">
      <c r="A5136" s="84"/>
      <c r="B5136" s="85"/>
      <c r="C5136" s="85"/>
      <c r="F5136" s="92"/>
      <c r="G5136" s="85"/>
    </row>
    <row r="5137">
      <c r="A5137" s="84"/>
      <c r="B5137" s="85"/>
      <c r="C5137" s="85"/>
      <c r="F5137" s="92"/>
      <c r="G5137" s="85"/>
    </row>
    <row r="5138">
      <c r="A5138" s="84"/>
      <c r="B5138" s="85"/>
      <c r="C5138" s="85"/>
      <c r="F5138" s="92"/>
      <c r="G5138" s="85"/>
    </row>
    <row r="5139">
      <c r="A5139" s="84"/>
      <c r="B5139" s="85"/>
      <c r="C5139" s="85"/>
      <c r="F5139" s="92"/>
      <c r="G5139" s="85"/>
    </row>
    <row r="5140">
      <c r="A5140" s="84"/>
      <c r="B5140" s="85"/>
      <c r="C5140" s="85"/>
      <c r="F5140" s="92"/>
      <c r="G5140" s="85"/>
    </row>
    <row r="5141">
      <c r="A5141" s="84"/>
      <c r="B5141" s="85"/>
      <c r="C5141" s="85"/>
      <c r="F5141" s="92"/>
      <c r="G5141" s="85"/>
    </row>
    <row r="5142">
      <c r="A5142" s="84"/>
      <c r="B5142" s="85"/>
      <c r="C5142" s="85"/>
      <c r="F5142" s="92"/>
      <c r="G5142" s="85"/>
    </row>
    <row r="5143">
      <c r="A5143" s="84"/>
      <c r="B5143" s="85"/>
      <c r="C5143" s="85"/>
      <c r="F5143" s="92"/>
      <c r="G5143" s="85"/>
    </row>
    <row r="5144">
      <c r="A5144" s="84"/>
      <c r="B5144" s="85"/>
      <c r="C5144" s="85"/>
      <c r="F5144" s="92"/>
      <c r="G5144" s="85"/>
    </row>
    <row r="5145">
      <c r="A5145" s="84"/>
      <c r="B5145" s="85"/>
      <c r="C5145" s="85"/>
      <c r="F5145" s="92"/>
      <c r="G5145" s="85"/>
    </row>
    <row r="5146">
      <c r="A5146" s="84"/>
      <c r="B5146" s="85"/>
      <c r="C5146" s="85"/>
      <c r="F5146" s="92"/>
      <c r="G5146" s="85"/>
    </row>
    <row r="5147">
      <c r="A5147" s="84"/>
      <c r="B5147" s="85"/>
      <c r="C5147" s="85"/>
      <c r="F5147" s="92"/>
      <c r="G5147" s="85"/>
    </row>
    <row r="5148">
      <c r="A5148" s="84"/>
      <c r="B5148" s="85"/>
      <c r="C5148" s="85"/>
      <c r="F5148" s="92"/>
      <c r="G5148" s="85"/>
    </row>
    <row r="5149">
      <c r="A5149" s="84"/>
      <c r="B5149" s="85"/>
      <c r="C5149" s="85"/>
      <c r="F5149" s="92"/>
      <c r="G5149" s="85"/>
    </row>
    <row r="5150">
      <c r="A5150" s="84"/>
      <c r="B5150" s="85"/>
      <c r="C5150" s="85"/>
      <c r="F5150" s="92"/>
      <c r="G5150" s="85"/>
    </row>
    <row r="5151">
      <c r="A5151" s="84"/>
      <c r="B5151" s="85"/>
      <c r="C5151" s="85"/>
      <c r="F5151" s="92"/>
      <c r="G5151" s="85"/>
    </row>
    <row r="5152">
      <c r="A5152" s="84"/>
      <c r="B5152" s="85"/>
      <c r="C5152" s="85"/>
      <c r="F5152" s="92"/>
      <c r="G5152" s="85"/>
    </row>
    <row r="5153">
      <c r="A5153" s="84"/>
      <c r="B5153" s="85"/>
      <c r="C5153" s="85"/>
      <c r="F5153" s="92"/>
      <c r="G5153" s="85"/>
    </row>
    <row r="5154">
      <c r="A5154" s="84"/>
      <c r="B5154" s="85"/>
      <c r="C5154" s="85"/>
      <c r="F5154" s="92"/>
      <c r="G5154" s="85"/>
    </row>
    <row r="5155">
      <c r="A5155" s="84"/>
      <c r="B5155" s="85"/>
      <c r="C5155" s="85"/>
      <c r="F5155" s="92"/>
      <c r="G5155" s="85"/>
    </row>
    <row r="5156">
      <c r="A5156" s="84"/>
      <c r="B5156" s="85"/>
      <c r="C5156" s="85"/>
      <c r="F5156" s="92"/>
      <c r="G5156" s="85"/>
    </row>
    <row r="5157">
      <c r="A5157" s="84"/>
      <c r="B5157" s="85"/>
      <c r="C5157" s="85"/>
      <c r="F5157" s="92"/>
      <c r="G5157" s="85"/>
    </row>
    <row r="5158">
      <c r="A5158" s="84"/>
      <c r="B5158" s="85"/>
      <c r="C5158" s="85"/>
      <c r="F5158" s="92"/>
      <c r="G5158" s="85"/>
    </row>
    <row r="5159">
      <c r="A5159" s="84"/>
      <c r="B5159" s="85"/>
      <c r="C5159" s="85"/>
      <c r="F5159" s="92"/>
      <c r="G5159" s="85"/>
    </row>
    <row r="5160">
      <c r="A5160" s="84"/>
      <c r="B5160" s="85"/>
      <c r="C5160" s="85"/>
      <c r="F5160" s="92"/>
      <c r="G5160" s="85"/>
    </row>
    <row r="5161">
      <c r="A5161" s="84"/>
      <c r="B5161" s="85"/>
      <c r="C5161" s="85"/>
      <c r="F5161" s="92"/>
      <c r="G5161" s="85"/>
    </row>
    <row r="5162">
      <c r="A5162" s="84"/>
      <c r="B5162" s="85"/>
      <c r="C5162" s="85"/>
      <c r="F5162" s="92"/>
      <c r="G5162" s="85"/>
    </row>
    <row r="5163">
      <c r="A5163" s="84"/>
      <c r="B5163" s="85"/>
      <c r="C5163" s="85"/>
      <c r="F5163" s="92"/>
      <c r="G5163" s="85"/>
    </row>
    <row r="5164">
      <c r="A5164" s="84"/>
      <c r="B5164" s="85"/>
      <c r="C5164" s="85"/>
      <c r="F5164" s="92"/>
      <c r="G5164" s="85"/>
    </row>
    <row r="5165">
      <c r="A5165" s="84"/>
      <c r="B5165" s="85"/>
      <c r="C5165" s="85"/>
      <c r="F5165" s="92"/>
      <c r="G5165" s="85"/>
    </row>
    <row r="5166">
      <c r="A5166" s="84"/>
      <c r="B5166" s="85"/>
      <c r="C5166" s="85"/>
      <c r="F5166" s="92"/>
      <c r="G5166" s="85"/>
    </row>
    <row r="5167">
      <c r="A5167" s="84"/>
      <c r="B5167" s="85"/>
      <c r="C5167" s="85"/>
      <c r="F5167" s="92"/>
      <c r="G5167" s="85"/>
    </row>
    <row r="5168">
      <c r="A5168" s="84"/>
      <c r="B5168" s="85"/>
      <c r="C5168" s="85"/>
      <c r="F5168" s="92"/>
      <c r="G5168" s="85"/>
    </row>
    <row r="5169">
      <c r="A5169" s="84"/>
      <c r="B5169" s="85"/>
      <c r="C5169" s="85"/>
      <c r="F5169" s="92"/>
      <c r="G5169" s="85"/>
    </row>
    <row r="5170">
      <c r="A5170" s="84"/>
      <c r="B5170" s="85"/>
      <c r="C5170" s="85"/>
      <c r="F5170" s="92"/>
      <c r="G5170" s="85"/>
    </row>
    <row r="5171">
      <c r="A5171" s="84"/>
      <c r="B5171" s="85"/>
      <c r="C5171" s="85"/>
      <c r="F5171" s="92"/>
      <c r="G5171" s="85"/>
    </row>
    <row r="5172">
      <c r="A5172" s="84"/>
      <c r="B5172" s="85"/>
      <c r="C5172" s="85"/>
      <c r="F5172" s="92"/>
      <c r="G5172" s="85"/>
    </row>
    <row r="5173">
      <c r="A5173" s="84"/>
      <c r="B5173" s="85"/>
      <c r="C5173" s="85"/>
      <c r="F5173" s="92"/>
      <c r="G5173" s="85"/>
    </row>
    <row r="5174">
      <c r="A5174" s="84"/>
      <c r="B5174" s="85"/>
      <c r="C5174" s="85"/>
      <c r="F5174" s="92"/>
      <c r="G5174" s="85"/>
    </row>
    <row r="5175">
      <c r="A5175" s="84"/>
      <c r="B5175" s="85"/>
      <c r="C5175" s="85"/>
      <c r="F5175" s="92"/>
      <c r="G5175" s="85"/>
    </row>
    <row r="5176">
      <c r="A5176" s="84"/>
      <c r="B5176" s="85"/>
      <c r="C5176" s="85"/>
      <c r="F5176" s="92"/>
      <c r="G5176" s="85"/>
    </row>
    <row r="5177">
      <c r="A5177" s="84"/>
      <c r="B5177" s="85"/>
      <c r="C5177" s="85"/>
      <c r="F5177" s="92"/>
      <c r="G5177" s="85"/>
    </row>
    <row r="5178">
      <c r="A5178" s="84"/>
      <c r="B5178" s="85"/>
      <c r="C5178" s="85"/>
      <c r="F5178" s="92"/>
      <c r="G5178" s="85"/>
    </row>
    <row r="5179">
      <c r="A5179" s="84"/>
      <c r="B5179" s="85"/>
      <c r="C5179" s="85"/>
      <c r="F5179" s="92"/>
      <c r="G5179" s="85"/>
    </row>
    <row r="5180">
      <c r="A5180" s="84"/>
      <c r="B5180" s="85"/>
      <c r="C5180" s="85"/>
      <c r="F5180" s="92"/>
      <c r="G5180" s="85"/>
    </row>
    <row r="5181">
      <c r="A5181" s="84"/>
      <c r="B5181" s="85"/>
      <c r="C5181" s="85"/>
      <c r="F5181" s="92"/>
      <c r="G5181" s="85"/>
    </row>
    <row r="5182">
      <c r="A5182" s="84"/>
      <c r="B5182" s="85"/>
      <c r="C5182" s="85"/>
      <c r="F5182" s="92"/>
      <c r="G5182" s="85"/>
    </row>
    <row r="5183">
      <c r="A5183" s="84"/>
      <c r="B5183" s="85"/>
      <c r="C5183" s="85"/>
      <c r="F5183" s="92"/>
      <c r="G5183" s="85"/>
    </row>
    <row r="5184">
      <c r="A5184" s="84"/>
      <c r="B5184" s="85"/>
      <c r="C5184" s="85"/>
      <c r="F5184" s="92"/>
      <c r="G5184" s="85"/>
    </row>
    <row r="5185">
      <c r="A5185" s="84"/>
      <c r="B5185" s="85"/>
      <c r="C5185" s="85"/>
      <c r="F5185" s="92"/>
      <c r="G5185" s="85"/>
    </row>
    <row r="5186">
      <c r="A5186" s="84"/>
      <c r="B5186" s="85"/>
      <c r="C5186" s="85"/>
      <c r="F5186" s="92"/>
      <c r="G5186" s="85"/>
    </row>
    <row r="5187">
      <c r="A5187" s="84"/>
      <c r="B5187" s="85"/>
      <c r="C5187" s="85"/>
      <c r="F5187" s="92"/>
      <c r="G5187" s="85"/>
    </row>
    <row r="5188">
      <c r="A5188" s="84"/>
      <c r="B5188" s="85"/>
      <c r="C5188" s="85"/>
      <c r="F5188" s="92"/>
      <c r="G5188" s="85"/>
    </row>
    <row r="5189">
      <c r="A5189" s="84"/>
      <c r="B5189" s="85"/>
      <c r="C5189" s="85"/>
      <c r="F5189" s="92"/>
      <c r="G5189" s="85"/>
    </row>
    <row r="5190">
      <c r="A5190" s="84"/>
      <c r="B5190" s="85"/>
      <c r="C5190" s="85"/>
      <c r="F5190" s="92"/>
      <c r="G5190" s="85"/>
    </row>
    <row r="5191">
      <c r="A5191" s="84"/>
      <c r="B5191" s="85"/>
      <c r="C5191" s="85"/>
      <c r="F5191" s="92"/>
      <c r="G5191" s="85"/>
    </row>
    <row r="5192">
      <c r="A5192" s="84"/>
      <c r="B5192" s="85"/>
      <c r="C5192" s="85"/>
      <c r="F5192" s="92"/>
      <c r="G5192" s="85"/>
    </row>
    <row r="5193">
      <c r="A5193" s="84"/>
      <c r="B5193" s="85"/>
      <c r="C5193" s="85"/>
      <c r="F5193" s="92"/>
      <c r="G5193" s="85"/>
    </row>
    <row r="5194">
      <c r="A5194" s="84"/>
      <c r="B5194" s="85"/>
      <c r="C5194" s="85"/>
      <c r="F5194" s="92"/>
      <c r="G5194" s="85"/>
    </row>
    <row r="5195">
      <c r="A5195" s="84"/>
      <c r="B5195" s="85"/>
      <c r="C5195" s="85"/>
      <c r="F5195" s="92"/>
      <c r="G5195" s="85"/>
    </row>
    <row r="5196">
      <c r="A5196" s="84"/>
      <c r="B5196" s="85"/>
      <c r="C5196" s="85"/>
      <c r="F5196" s="92"/>
      <c r="G5196" s="85"/>
    </row>
    <row r="5197">
      <c r="A5197" s="84"/>
      <c r="B5197" s="85"/>
      <c r="C5197" s="85"/>
      <c r="F5197" s="92"/>
      <c r="G5197" s="85"/>
    </row>
    <row r="5198">
      <c r="A5198" s="84"/>
      <c r="B5198" s="85"/>
      <c r="C5198" s="85"/>
      <c r="F5198" s="92"/>
      <c r="G5198" s="85"/>
    </row>
    <row r="5199">
      <c r="A5199" s="84"/>
      <c r="B5199" s="85"/>
      <c r="C5199" s="85"/>
      <c r="F5199" s="92"/>
      <c r="G5199" s="85"/>
    </row>
    <row r="5200">
      <c r="A5200" s="84"/>
      <c r="B5200" s="85"/>
      <c r="C5200" s="85"/>
      <c r="F5200" s="92"/>
      <c r="G5200" s="85"/>
    </row>
    <row r="5201">
      <c r="A5201" s="84"/>
      <c r="B5201" s="85"/>
      <c r="C5201" s="85"/>
      <c r="F5201" s="92"/>
      <c r="G5201" s="85"/>
    </row>
    <row r="5202">
      <c r="A5202" s="84"/>
      <c r="B5202" s="85"/>
      <c r="C5202" s="85"/>
      <c r="F5202" s="92"/>
      <c r="G5202" s="85"/>
    </row>
    <row r="5203">
      <c r="A5203" s="84"/>
      <c r="B5203" s="85"/>
      <c r="C5203" s="85"/>
      <c r="F5203" s="92"/>
      <c r="G5203" s="85"/>
    </row>
    <row r="5204">
      <c r="A5204" s="84"/>
      <c r="B5204" s="85"/>
      <c r="C5204" s="85"/>
      <c r="F5204" s="92"/>
      <c r="G5204" s="85"/>
    </row>
    <row r="5205">
      <c r="A5205" s="84"/>
      <c r="B5205" s="85"/>
      <c r="C5205" s="85"/>
      <c r="F5205" s="92"/>
      <c r="G5205" s="85"/>
    </row>
    <row r="5206">
      <c r="A5206" s="84"/>
      <c r="B5206" s="85"/>
      <c r="C5206" s="85"/>
      <c r="F5206" s="92"/>
      <c r="G5206" s="85"/>
    </row>
    <row r="5207">
      <c r="A5207" s="84"/>
      <c r="B5207" s="85"/>
      <c r="C5207" s="85"/>
      <c r="F5207" s="92"/>
      <c r="G5207" s="85"/>
    </row>
    <row r="5208">
      <c r="A5208" s="84"/>
      <c r="B5208" s="85"/>
      <c r="C5208" s="85"/>
      <c r="F5208" s="92"/>
      <c r="G5208" s="85"/>
    </row>
    <row r="5209">
      <c r="A5209" s="84"/>
      <c r="B5209" s="85"/>
      <c r="C5209" s="85"/>
      <c r="F5209" s="92"/>
      <c r="G5209" s="85"/>
    </row>
    <row r="5210">
      <c r="A5210" s="84"/>
      <c r="B5210" s="85"/>
      <c r="C5210" s="85"/>
      <c r="F5210" s="92"/>
      <c r="G5210" s="85"/>
    </row>
    <row r="5211">
      <c r="A5211" s="84"/>
      <c r="B5211" s="85"/>
      <c r="C5211" s="85"/>
      <c r="F5211" s="92"/>
      <c r="G5211" s="85"/>
    </row>
    <row r="5212">
      <c r="A5212" s="84"/>
      <c r="B5212" s="85"/>
      <c r="C5212" s="85"/>
      <c r="F5212" s="92"/>
      <c r="G5212" s="85"/>
    </row>
    <row r="5213">
      <c r="A5213" s="84"/>
      <c r="B5213" s="85"/>
      <c r="C5213" s="85"/>
      <c r="F5213" s="92"/>
      <c r="G5213" s="85"/>
    </row>
    <row r="5214">
      <c r="A5214" s="84"/>
      <c r="B5214" s="85"/>
      <c r="C5214" s="85"/>
      <c r="F5214" s="92"/>
      <c r="G5214" s="85"/>
    </row>
    <row r="5215">
      <c r="A5215" s="84"/>
      <c r="B5215" s="85"/>
      <c r="C5215" s="85"/>
      <c r="F5215" s="92"/>
      <c r="G5215" s="85"/>
    </row>
    <row r="5216">
      <c r="A5216" s="84"/>
      <c r="B5216" s="85"/>
      <c r="C5216" s="85"/>
      <c r="F5216" s="92"/>
      <c r="G5216" s="85"/>
    </row>
    <row r="5217">
      <c r="A5217" s="84"/>
      <c r="B5217" s="85"/>
      <c r="C5217" s="85"/>
      <c r="F5217" s="92"/>
      <c r="G5217" s="85"/>
    </row>
    <row r="5218">
      <c r="A5218" s="84"/>
      <c r="B5218" s="85"/>
      <c r="C5218" s="85"/>
      <c r="F5218" s="92"/>
      <c r="G5218" s="85"/>
    </row>
    <row r="5219">
      <c r="A5219" s="84"/>
      <c r="B5219" s="85"/>
      <c r="C5219" s="85"/>
      <c r="F5219" s="92"/>
      <c r="G5219" s="85"/>
    </row>
    <row r="5220">
      <c r="A5220" s="84"/>
      <c r="B5220" s="85"/>
      <c r="C5220" s="85"/>
      <c r="F5220" s="92"/>
      <c r="G5220" s="85"/>
    </row>
    <row r="5221">
      <c r="A5221" s="84"/>
      <c r="B5221" s="85"/>
      <c r="C5221" s="85"/>
      <c r="F5221" s="92"/>
      <c r="G5221" s="85"/>
    </row>
    <row r="5222">
      <c r="A5222" s="84"/>
      <c r="B5222" s="85"/>
      <c r="C5222" s="85"/>
      <c r="F5222" s="92"/>
      <c r="G5222" s="85"/>
    </row>
    <row r="5223">
      <c r="A5223" s="84"/>
      <c r="B5223" s="85"/>
      <c r="C5223" s="85"/>
      <c r="F5223" s="92"/>
      <c r="G5223" s="85"/>
    </row>
    <row r="5224">
      <c r="A5224" s="84"/>
      <c r="B5224" s="85"/>
      <c r="C5224" s="85"/>
      <c r="F5224" s="92"/>
      <c r="G5224" s="85"/>
    </row>
    <row r="5225">
      <c r="A5225" s="84"/>
      <c r="B5225" s="85"/>
      <c r="C5225" s="85"/>
      <c r="F5225" s="92"/>
      <c r="G5225" s="85"/>
    </row>
    <row r="5226">
      <c r="A5226" s="84"/>
      <c r="B5226" s="85"/>
      <c r="C5226" s="85"/>
      <c r="F5226" s="92"/>
      <c r="G5226" s="85"/>
    </row>
    <row r="5227">
      <c r="A5227" s="84"/>
      <c r="B5227" s="85"/>
      <c r="C5227" s="85"/>
      <c r="F5227" s="92"/>
      <c r="G5227" s="85"/>
    </row>
    <row r="5228">
      <c r="A5228" s="84"/>
      <c r="B5228" s="85"/>
      <c r="C5228" s="85"/>
      <c r="F5228" s="92"/>
      <c r="G5228" s="85"/>
    </row>
    <row r="5229">
      <c r="A5229" s="84"/>
      <c r="B5229" s="85"/>
      <c r="C5229" s="85"/>
      <c r="F5229" s="92"/>
      <c r="G5229" s="85"/>
    </row>
    <row r="5230">
      <c r="A5230" s="84"/>
      <c r="B5230" s="85"/>
      <c r="C5230" s="85"/>
      <c r="F5230" s="92"/>
      <c r="G5230" s="85"/>
    </row>
    <row r="5231">
      <c r="A5231" s="84"/>
      <c r="B5231" s="85"/>
      <c r="C5231" s="85"/>
      <c r="F5231" s="92"/>
      <c r="G5231" s="85"/>
    </row>
    <row r="5232">
      <c r="A5232" s="84"/>
      <c r="B5232" s="85"/>
      <c r="C5232" s="85"/>
      <c r="F5232" s="92"/>
      <c r="G5232" s="85"/>
    </row>
    <row r="5233">
      <c r="A5233" s="84"/>
      <c r="B5233" s="85"/>
      <c r="C5233" s="85"/>
      <c r="F5233" s="92"/>
      <c r="G5233" s="85"/>
    </row>
    <row r="5234">
      <c r="A5234" s="84"/>
      <c r="B5234" s="85"/>
      <c r="C5234" s="85"/>
      <c r="F5234" s="92"/>
      <c r="G5234" s="85"/>
    </row>
    <row r="5235">
      <c r="A5235" s="84"/>
      <c r="B5235" s="85"/>
      <c r="C5235" s="85"/>
      <c r="F5235" s="92"/>
      <c r="G5235" s="85"/>
    </row>
    <row r="5236">
      <c r="A5236" s="84"/>
      <c r="B5236" s="85"/>
      <c r="C5236" s="85"/>
      <c r="F5236" s="92"/>
      <c r="G5236" s="85"/>
    </row>
    <row r="5237">
      <c r="A5237" s="84"/>
      <c r="B5237" s="85"/>
      <c r="C5237" s="85"/>
      <c r="F5237" s="92"/>
      <c r="G5237" s="85"/>
    </row>
    <row r="5238">
      <c r="A5238" s="84"/>
      <c r="B5238" s="85"/>
      <c r="C5238" s="85"/>
      <c r="F5238" s="92"/>
      <c r="G5238" s="85"/>
    </row>
    <row r="5239">
      <c r="A5239" s="84"/>
      <c r="B5239" s="85"/>
      <c r="C5239" s="85"/>
      <c r="F5239" s="92"/>
      <c r="G5239" s="85"/>
    </row>
    <row r="5240">
      <c r="A5240" s="84"/>
      <c r="B5240" s="85"/>
      <c r="C5240" s="85"/>
      <c r="F5240" s="92"/>
      <c r="G5240" s="85"/>
    </row>
    <row r="5241">
      <c r="A5241" s="84"/>
      <c r="B5241" s="85"/>
      <c r="C5241" s="85"/>
      <c r="F5241" s="92"/>
      <c r="G5241" s="85"/>
    </row>
    <row r="5242">
      <c r="A5242" s="84"/>
      <c r="B5242" s="85"/>
      <c r="C5242" s="85"/>
      <c r="F5242" s="92"/>
      <c r="G5242" s="85"/>
    </row>
    <row r="5243">
      <c r="A5243" s="84"/>
      <c r="B5243" s="85"/>
      <c r="C5243" s="85"/>
      <c r="F5243" s="92"/>
      <c r="G5243" s="85"/>
    </row>
    <row r="5244">
      <c r="A5244" s="84"/>
      <c r="B5244" s="85"/>
      <c r="C5244" s="85"/>
      <c r="F5244" s="92"/>
      <c r="G5244" s="85"/>
    </row>
    <row r="5245">
      <c r="A5245" s="84"/>
      <c r="B5245" s="85"/>
      <c r="C5245" s="85"/>
      <c r="F5245" s="92"/>
      <c r="G5245" s="85"/>
    </row>
    <row r="5246">
      <c r="A5246" s="84"/>
      <c r="B5246" s="85"/>
      <c r="C5246" s="85"/>
      <c r="F5246" s="92"/>
      <c r="G5246" s="85"/>
    </row>
    <row r="5247">
      <c r="A5247" s="84"/>
      <c r="B5247" s="85"/>
      <c r="C5247" s="85"/>
      <c r="F5247" s="92"/>
      <c r="G5247" s="85"/>
    </row>
    <row r="5248">
      <c r="A5248" s="84"/>
      <c r="B5248" s="85"/>
      <c r="C5248" s="85"/>
      <c r="F5248" s="92"/>
      <c r="G5248" s="85"/>
    </row>
    <row r="5249">
      <c r="A5249" s="84"/>
      <c r="B5249" s="85"/>
      <c r="C5249" s="85"/>
      <c r="F5249" s="92"/>
      <c r="G5249" s="85"/>
    </row>
    <row r="5250">
      <c r="A5250" s="84"/>
      <c r="B5250" s="85"/>
      <c r="C5250" s="85"/>
      <c r="F5250" s="92"/>
      <c r="G5250" s="85"/>
    </row>
    <row r="5251">
      <c r="A5251" s="84"/>
      <c r="B5251" s="85"/>
      <c r="C5251" s="85"/>
      <c r="F5251" s="92"/>
      <c r="G5251" s="85"/>
    </row>
    <row r="5252">
      <c r="A5252" s="84"/>
      <c r="B5252" s="85"/>
      <c r="C5252" s="85"/>
      <c r="F5252" s="92"/>
      <c r="G5252" s="85"/>
    </row>
    <row r="5253">
      <c r="A5253" s="84"/>
      <c r="B5253" s="85"/>
      <c r="C5253" s="85"/>
      <c r="F5253" s="92"/>
      <c r="G5253" s="85"/>
    </row>
    <row r="5254">
      <c r="A5254" s="84"/>
      <c r="B5254" s="85"/>
      <c r="C5254" s="85"/>
      <c r="F5254" s="92"/>
      <c r="G5254" s="85"/>
    </row>
    <row r="5255">
      <c r="A5255" s="84"/>
      <c r="B5255" s="85"/>
      <c r="C5255" s="85"/>
      <c r="F5255" s="92"/>
      <c r="G5255" s="85"/>
    </row>
    <row r="5256">
      <c r="A5256" s="84"/>
      <c r="B5256" s="85"/>
      <c r="C5256" s="85"/>
      <c r="F5256" s="92"/>
      <c r="G5256" s="85"/>
    </row>
    <row r="5257">
      <c r="A5257" s="84"/>
      <c r="B5257" s="85"/>
      <c r="C5257" s="85"/>
      <c r="F5257" s="92"/>
      <c r="G5257" s="85"/>
    </row>
    <row r="5258">
      <c r="A5258" s="84"/>
      <c r="B5258" s="85"/>
      <c r="C5258" s="85"/>
      <c r="F5258" s="92"/>
      <c r="G5258" s="85"/>
    </row>
    <row r="5259">
      <c r="A5259" s="84"/>
      <c r="B5259" s="85"/>
      <c r="C5259" s="85"/>
      <c r="F5259" s="92"/>
      <c r="G5259" s="85"/>
    </row>
    <row r="5260">
      <c r="A5260" s="84"/>
      <c r="B5260" s="85"/>
      <c r="C5260" s="85"/>
      <c r="F5260" s="92"/>
      <c r="G5260" s="85"/>
    </row>
    <row r="5261">
      <c r="A5261" s="84"/>
      <c r="B5261" s="85"/>
      <c r="C5261" s="85"/>
      <c r="F5261" s="92"/>
      <c r="G5261" s="85"/>
    </row>
    <row r="5262">
      <c r="A5262" s="84"/>
      <c r="B5262" s="85"/>
      <c r="C5262" s="85"/>
      <c r="F5262" s="92"/>
      <c r="G5262" s="85"/>
    </row>
    <row r="5263">
      <c r="A5263" s="84"/>
      <c r="B5263" s="85"/>
      <c r="C5263" s="85"/>
      <c r="F5263" s="92"/>
      <c r="G5263" s="85"/>
    </row>
    <row r="5264">
      <c r="A5264" s="84"/>
      <c r="B5264" s="85"/>
      <c r="C5264" s="85"/>
      <c r="F5264" s="92"/>
      <c r="G5264" s="85"/>
    </row>
    <row r="5265">
      <c r="A5265" s="84"/>
      <c r="B5265" s="85"/>
      <c r="C5265" s="85"/>
      <c r="F5265" s="92"/>
      <c r="G5265" s="85"/>
    </row>
    <row r="5266">
      <c r="A5266" s="84"/>
      <c r="B5266" s="85"/>
      <c r="C5266" s="85"/>
      <c r="F5266" s="92"/>
      <c r="G5266" s="85"/>
    </row>
    <row r="5267">
      <c r="A5267" s="84"/>
      <c r="B5267" s="85"/>
      <c r="C5267" s="85"/>
      <c r="F5267" s="92"/>
      <c r="G5267" s="85"/>
    </row>
    <row r="5268">
      <c r="A5268" s="84"/>
      <c r="B5268" s="85"/>
      <c r="C5268" s="85"/>
      <c r="F5268" s="92"/>
      <c r="G5268" s="85"/>
    </row>
    <row r="5269">
      <c r="A5269" s="84"/>
      <c r="B5269" s="85"/>
      <c r="C5269" s="85"/>
      <c r="F5269" s="92"/>
      <c r="G5269" s="85"/>
    </row>
    <row r="5270">
      <c r="A5270" s="84"/>
      <c r="B5270" s="85"/>
      <c r="C5270" s="85"/>
      <c r="F5270" s="92"/>
      <c r="G5270" s="85"/>
    </row>
    <row r="5271">
      <c r="A5271" s="84"/>
      <c r="B5271" s="85"/>
      <c r="C5271" s="85"/>
      <c r="F5271" s="92"/>
      <c r="G5271" s="85"/>
    </row>
    <row r="5272">
      <c r="A5272" s="84"/>
      <c r="B5272" s="85"/>
      <c r="C5272" s="85"/>
      <c r="F5272" s="92"/>
      <c r="G5272" s="85"/>
    </row>
    <row r="5273">
      <c r="A5273" s="84"/>
      <c r="B5273" s="85"/>
      <c r="C5273" s="85"/>
      <c r="F5273" s="92"/>
      <c r="G5273" s="85"/>
    </row>
    <row r="5274">
      <c r="A5274" s="84"/>
      <c r="B5274" s="85"/>
      <c r="C5274" s="85"/>
      <c r="F5274" s="92"/>
      <c r="G5274" s="85"/>
    </row>
    <row r="5275">
      <c r="A5275" s="84"/>
      <c r="B5275" s="85"/>
      <c r="C5275" s="85"/>
      <c r="F5275" s="92"/>
      <c r="G5275" s="85"/>
    </row>
    <row r="5276">
      <c r="A5276" s="84"/>
      <c r="B5276" s="85"/>
      <c r="C5276" s="85"/>
      <c r="F5276" s="92"/>
      <c r="G5276" s="85"/>
    </row>
    <row r="5277">
      <c r="A5277" s="84"/>
      <c r="B5277" s="85"/>
      <c r="C5277" s="85"/>
      <c r="F5277" s="92"/>
      <c r="G5277" s="85"/>
    </row>
    <row r="5278">
      <c r="A5278" s="84"/>
      <c r="B5278" s="85"/>
      <c r="C5278" s="85"/>
      <c r="F5278" s="92"/>
      <c r="G5278" s="85"/>
    </row>
    <row r="5279">
      <c r="A5279" s="84"/>
      <c r="B5279" s="85"/>
      <c r="C5279" s="85"/>
      <c r="F5279" s="92"/>
      <c r="G5279" s="85"/>
    </row>
    <row r="5280">
      <c r="A5280" s="84"/>
      <c r="B5280" s="85"/>
      <c r="C5280" s="85"/>
      <c r="F5280" s="92"/>
      <c r="G5280" s="85"/>
    </row>
    <row r="5281">
      <c r="A5281" s="84"/>
      <c r="B5281" s="85"/>
      <c r="C5281" s="85"/>
      <c r="F5281" s="92"/>
      <c r="G5281" s="85"/>
    </row>
    <row r="5282">
      <c r="A5282" s="84"/>
      <c r="B5282" s="85"/>
      <c r="C5282" s="85"/>
      <c r="F5282" s="92"/>
      <c r="G5282" s="85"/>
    </row>
    <row r="5283">
      <c r="A5283" s="84"/>
      <c r="B5283" s="85"/>
      <c r="C5283" s="85"/>
      <c r="F5283" s="92"/>
      <c r="G5283" s="85"/>
    </row>
    <row r="5284">
      <c r="A5284" s="84"/>
      <c r="B5284" s="85"/>
      <c r="C5284" s="85"/>
      <c r="F5284" s="92"/>
      <c r="G5284" s="85"/>
    </row>
    <row r="5285">
      <c r="A5285" s="84"/>
      <c r="B5285" s="85"/>
      <c r="C5285" s="85"/>
      <c r="F5285" s="92"/>
      <c r="G5285" s="85"/>
    </row>
    <row r="5286">
      <c r="A5286" s="84"/>
      <c r="B5286" s="85"/>
      <c r="C5286" s="85"/>
      <c r="F5286" s="92"/>
      <c r="G5286" s="85"/>
    </row>
    <row r="5287">
      <c r="A5287" s="84"/>
      <c r="B5287" s="85"/>
      <c r="C5287" s="85"/>
      <c r="F5287" s="92"/>
      <c r="G5287" s="85"/>
    </row>
    <row r="5288">
      <c r="A5288" s="84"/>
      <c r="B5288" s="85"/>
      <c r="C5288" s="85"/>
      <c r="F5288" s="92"/>
      <c r="G5288" s="85"/>
    </row>
    <row r="5289">
      <c r="A5289" s="84"/>
      <c r="B5289" s="85"/>
      <c r="C5289" s="85"/>
      <c r="F5289" s="92"/>
      <c r="G5289" s="85"/>
    </row>
    <row r="5290">
      <c r="A5290" s="84"/>
      <c r="B5290" s="85"/>
      <c r="C5290" s="85"/>
      <c r="F5290" s="92"/>
      <c r="G5290" s="85"/>
    </row>
    <row r="5291">
      <c r="A5291" s="84"/>
      <c r="B5291" s="85"/>
      <c r="C5291" s="85"/>
      <c r="F5291" s="92"/>
      <c r="G5291" s="85"/>
    </row>
    <row r="5292">
      <c r="A5292" s="84"/>
      <c r="B5292" s="85"/>
      <c r="C5292" s="85"/>
      <c r="F5292" s="92"/>
      <c r="G5292" s="85"/>
    </row>
    <row r="5293">
      <c r="A5293" s="84"/>
      <c r="B5293" s="85"/>
      <c r="C5293" s="85"/>
      <c r="F5293" s="92"/>
      <c r="G5293" s="85"/>
    </row>
    <row r="5294">
      <c r="A5294" s="84"/>
      <c r="B5294" s="85"/>
      <c r="C5294" s="85"/>
      <c r="F5294" s="92"/>
      <c r="G5294" s="85"/>
    </row>
    <row r="5295">
      <c r="A5295" s="84"/>
      <c r="B5295" s="85"/>
      <c r="C5295" s="85"/>
      <c r="F5295" s="92"/>
      <c r="G5295" s="85"/>
    </row>
    <row r="5296">
      <c r="A5296" s="84"/>
      <c r="B5296" s="85"/>
      <c r="C5296" s="85"/>
      <c r="F5296" s="92"/>
      <c r="G5296" s="85"/>
    </row>
    <row r="5297">
      <c r="A5297" s="84"/>
      <c r="B5297" s="85"/>
      <c r="C5297" s="85"/>
      <c r="F5297" s="92"/>
      <c r="G5297" s="85"/>
    </row>
    <row r="5298">
      <c r="A5298" s="84"/>
      <c r="B5298" s="85"/>
      <c r="C5298" s="85"/>
      <c r="F5298" s="92"/>
      <c r="G5298" s="85"/>
    </row>
    <row r="5299">
      <c r="A5299" s="84"/>
      <c r="B5299" s="85"/>
      <c r="C5299" s="85"/>
      <c r="F5299" s="92"/>
      <c r="G5299" s="85"/>
    </row>
    <row r="5300">
      <c r="A5300" s="84"/>
      <c r="B5300" s="85"/>
      <c r="C5300" s="85"/>
      <c r="F5300" s="92"/>
      <c r="G5300" s="85"/>
    </row>
    <row r="5301">
      <c r="A5301" s="84"/>
      <c r="B5301" s="85"/>
      <c r="C5301" s="85"/>
      <c r="F5301" s="92"/>
      <c r="G5301" s="85"/>
    </row>
    <row r="5302">
      <c r="A5302" s="84"/>
      <c r="B5302" s="85"/>
      <c r="C5302" s="85"/>
      <c r="F5302" s="92"/>
      <c r="G5302" s="85"/>
    </row>
    <row r="5303">
      <c r="A5303" s="84"/>
      <c r="B5303" s="85"/>
      <c r="C5303" s="85"/>
      <c r="F5303" s="92"/>
      <c r="G5303" s="85"/>
    </row>
    <row r="5304">
      <c r="A5304" s="84"/>
      <c r="B5304" s="85"/>
      <c r="C5304" s="85"/>
      <c r="F5304" s="92"/>
      <c r="G5304" s="85"/>
    </row>
    <row r="5305">
      <c r="A5305" s="84"/>
      <c r="B5305" s="85"/>
      <c r="C5305" s="85"/>
      <c r="F5305" s="92"/>
      <c r="G5305" s="85"/>
    </row>
    <row r="5306">
      <c r="A5306" s="84"/>
      <c r="B5306" s="85"/>
      <c r="C5306" s="85"/>
      <c r="F5306" s="92"/>
      <c r="G5306" s="85"/>
    </row>
    <row r="5307">
      <c r="A5307" s="84"/>
      <c r="B5307" s="85"/>
      <c r="C5307" s="85"/>
      <c r="F5307" s="92"/>
      <c r="G5307" s="85"/>
    </row>
    <row r="5308">
      <c r="A5308" s="84"/>
      <c r="B5308" s="85"/>
      <c r="C5308" s="85"/>
      <c r="F5308" s="92"/>
      <c r="G5308" s="85"/>
    </row>
    <row r="5309">
      <c r="A5309" s="84"/>
      <c r="B5309" s="85"/>
      <c r="C5309" s="85"/>
      <c r="F5309" s="92"/>
      <c r="G5309" s="85"/>
    </row>
    <row r="5310">
      <c r="A5310" s="84"/>
      <c r="B5310" s="85"/>
      <c r="C5310" s="85"/>
      <c r="F5310" s="92"/>
      <c r="G5310" s="85"/>
    </row>
    <row r="5311">
      <c r="A5311" s="84"/>
      <c r="B5311" s="85"/>
      <c r="C5311" s="85"/>
      <c r="F5311" s="92"/>
      <c r="G5311" s="85"/>
    </row>
    <row r="5312">
      <c r="A5312" s="84"/>
      <c r="B5312" s="85"/>
      <c r="C5312" s="85"/>
      <c r="F5312" s="92"/>
      <c r="G5312" s="85"/>
    </row>
    <row r="5313">
      <c r="A5313" s="84"/>
      <c r="B5313" s="85"/>
      <c r="C5313" s="85"/>
      <c r="F5313" s="92"/>
      <c r="G5313" s="85"/>
    </row>
    <row r="5314">
      <c r="A5314" s="84"/>
      <c r="B5314" s="85"/>
      <c r="C5314" s="85"/>
      <c r="F5314" s="92"/>
      <c r="G5314" s="85"/>
    </row>
    <row r="5315">
      <c r="A5315" s="84"/>
      <c r="B5315" s="85"/>
      <c r="C5315" s="85"/>
      <c r="F5315" s="92"/>
      <c r="G5315" s="85"/>
    </row>
    <row r="5316">
      <c r="A5316" s="84"/>
      <c r="B5316" s="85"/>
      <c r="C5316" s="85"/>
      <c r="F5316" s="92"/>
      <c r="G5316" s="85"/>
    </row>
    <row r="5317">
      <c r="A5317" s="84"/>
      <c r="B5317" s="85"/>
      <c r="C5317" s="85"/>
      <c r="F5317" s="92"/>
      <c r="G5317" s="85"/>
    </row>
    <row r="5318">
      <c r="A5318" s="84"/>
      <c r="B5318" s="85"/>
      <c r="C5318" s="85"/>
      <c r="F5318" s="92"/>
      <c r="G5318" s="85"/>
    </row>
    <row r="5319">
      <c r="A5319" s="84"/>
      <c r="B5319" s="85"/>
      <c r="C5319" s="85"/>
      <c r="F5319" s="92"/>
      <c r="G5319" s="85"/>
    </row>
    <row r="5320">
      <c r="A5320" s="84"/>
      <c r="B5320" s="85"/>
      <c r="C5320" s="85"/>
      <c r="F5320" s="92"/>
      <c r="G5320" s="85"/>
    </row>
    <row r="5321">
      <c r="A5321" s="84"/>
      <c r="B5321" s="85"/>
      <c r="C5321" s="85"/>
      <c r="F5321" s="92"/>
      <c r="G5321" s="85"/>
    </row>
    <row r="5322">
      <c r="A5322" s="84"/>
      <c r="B5322" s="85"/>
      <c r="C5322" s="85"/>
      <c r="F5322" s="92"/>
      <c r="G5322" s="85"/>
    </row>
    <row r="5323">
      <c r="A5323" s="84"/>
      <c r="B5323" s="85"/>
      <c r="C5323" s="85"/>
      <c r="F5323" s="92"/>
      <c r="G5323" s="85"/>
    </row>
    <row r="5324">
      <c r="A5324" s="84"/>
      <c r="B5324" s="85"/>
      <c r="C5324" s="85"/>
      <c r="F5324" s="92"/>
      <c r="G5324" s="85"/>
    </row>
    <row r="5325">
      <c r="A5325" s="84"/>
      <c r="B5325" s="85"/>
      <c r="C5325" s="85"/>
      <c r="F5325" s="92"/>
      <c r="G5325" s="85"/>
    </row>
    <row r="5326">
      <c r="A5326" s="84"/>
      <c r="B5326" s="85"/>
      <c r="C5326" s="85"/>
      <c r="F5326" s="92"/>
      <c r="G5326" s="85"/>
    </row>
    <row r="5327">
      <c r="A5327" s="84"/>
      <c r="B5327" s="85"/>
      <c r="C5327" s="85"/>
      <c r="F5327" s="92"/>
      <c r="G5327" s="85"/>
    </row>
    <row r="5328">
      <c r="A5328" s="84"/>
      <c r="B5328" s="85"/>
      <c r="C5328" s="85"/>
      <c r="F5328" s="92"/>
      <c r="G5328" s="85"/>
    </row>
    <row r="5329">
      <c r="A5329" s="84"/>
      <c r="B5329" s="85"/>
      <c r="C5329" s="85"/>
      <c r="F5329" s="92"/>
      <c r="G5329" s="85"/>
    </row>
    <row r="5330">
      <c r="A5330" s="84"/>
      <c r="B5330" s="85"/>
      <c r="C5330" s="85"/>
      <c r="F5330" s="92"/>
      <c r="G5330" s="85"/>
    </row>
    <row r="5331">
      <c r="A5331" s="84"/>
      <c r="B5331" s="85"/>
      <c r="C5331" s="85"/>
      <c r="F5331" s="92"/>
      <c r="G5331" s="85"/>
    </row>
    <row r="5332">
      <c r="A5332" s="84"/>
      <c r="B5332" s="85"/>
      <c r="C5332" s="85"/>
      <c r="F5332" s="92"/>
      <c r="G5332" s="85"/>
    </row>
    <row r="5333">
      <c r="A5333" s="84"/>
      <c r="B5333" s="85"/>
      <c r="C5333" s="85"/>
      <c r="F5333" s="92"/>
      <c r="G5333" s="85"/>
    </row>
    <row r="5334">
      <c r="A5334" s="84"/>
      <c r="B5334" s="85"/>
      <c r="C5334" s="85"/>
      <c r="F5334" s="92"/>
      <c r="G5334" s="85"/>
    </row>
    <row r="5335">
      <c r="A5335" s="84"/>
      <c r="B5335" s="85"/>
      <c r="C5335" s="85"/>
      <c r="F5335" s="92"/>
      <c r="G5335" s="85"/>
    </row>
    <row r="5336">
      <c r="A5336" s="84"/>
      <c r="B5336" s="85"/>
      <c r="C5336" s="85"/>
      <c r="F5336" s="92"/>
      <c r="G5336" s="85"/>
    </row>
    <row r="5337">
      <c r="A5337" s="84"/>
      <c r="B5337" s="85"/>
      <c r="C5337" s="85"/>
      <c r="F5337" s="92"/>
      <c r="G5337" s="85"/>
    </row>
    <row r="5338">
      <c r="A5338" s="84"/>
      <c r="B5338" s="85"/>
      <c r="C5338" s="85"/>
      <c r="F5338" s="92"/>
      <c r="G5338" s="85"/>
    </row>
    <row r="5339">
      <c r="A5339" s="84"/>
      <c r="B5339" s="85"/>
      <c r="C5339" s="85"/>
      <c r="F5339" s="92"/>
      <c r="G5339" s="85"/>
    </row>
    <row r="5340">
      <c r="A5340" s="84"/>
      <c r="B5340" s="85"/>
      <c r="C5340" s="85"/>
      <c r="F5340" s="92"/>
      <c r="G5340" s="85"/>
    </row>
    <row r="5341">
      <c r="A5341" s="84"/>
      <c r="B5341" s="85"/>
      <c r="C5341" s="85"/>
      <c r="F5341" s="92"/>
      <c r="G5341" s="85"/>
    </row>
    <row r="5342">
      <c r="A5342" s="84"/>
      <c r="B5342" s="85"/>
      <c r="C5342" s="85"/>
      <c r="F5342" s="92"/>
      <c r="G5342" s="85"/>
    </row>
    <row r="5343">
      <c r="A5343" s="84"/>
      <c r="B5343" s="85"/>
      <c r="C5343" s="85"/>
      <c r="F5343" s="92"/>
      <c r="G5343" s="85"/>
    </row>
    <row r="5344">
      <c r="A5344" s="84"/>
      <c r="B5344" s="85"/>
      <c r="C5344" s="85"/>
      <c r="F5344" s="92"/>
      <c r="G5344" s="85"/>
    </row>
    <row r="5345">
      <c r="A5345" s="84"/>
      <c r="B5345" s="85"/>
      <c r="C5345" s="85"/>
      <c r="F5345" s="92"/>
      <c r="G5345" s="85"/>
    </row>
    <row r="5346">
      <c r="A5346" s="84"/>
      <c r="B5346" s="85"/>
      <c r="C5346" s="85"/>
      <c r="F5346" s="92"/>
      <c r="G5346" s="85"/>
    </row>
    <row r="5347">
      <c r="A5347" s="84"/>
      <c r="B5347" s="85"/>
      <c r="C5347" s="85"/>
      <c r="F5347" s="92"/>
      <c r="G5347" s="85"/>
    </row>
    <row r="5348">
      <c r="A5348" s="84"/>
      <c r="B5348" s="85"/>
      <c r="C5348" s="85"/>
      <c r="F5348" s="92"/>
      <c r="G5348" s="85"/>
    </row>
    <row r="5349">
      <c r="A5349" s="84"/>
      <c r="B5349" s="85"/>
      <c r="C5349" s="85"/>
      <c r="F5349" s="92"/>
      <c r="G5349" s="85"/>
    </row>
    <row r="5350">
      <c r="A5350" s="84"/>
      <c r="B5350" s="85"/>
      <c r="C5350" s="85"/>
      <c r="F5350" s="92"/>
      <c r="G5350" s="85"/>
    </row>
    <row r="5351">
      <c r="A5351" s="84"/>
      <c r="B5351" s="85"/>
      <c r="C5351" s="85"/>
      <c r="F5351" s="92"/>
      <c r="G5351" s="85"/>
    </row>
    <row r="5352">
      <c r="A5352" s="84"/>
      <c r="B5352" s="85"/>
      <c r="C5352" s="85"/>
      <c r="F5352" s="92"/>
      <c r="G5352" s="85"/>
    </row>
    <row r="5353">
      <c r="A5353" s="84"/>
      <c r="B5353" s="85"/>
      <c r="C5353" s="85"/>
      <c r="F5353" s="92"/>
      <c r="G5353" s="85"/>
    </row>
    <row r="5354">
      <c r="A5354" s="84"/>
      <c r="B5354" s="85"/>
      <c r="C5354" s="85"/>
      <c r="F5354" s="92"/>
      <c r="G5354" s="85"/>
    </row>
    <row r="5355">
      <c r="A5355" s="84"/>
      <c r="B5355" s="85"/>
      <c r="C5355" s="85"/>
      <c r="F5355" s="92"/>
      <c r="G5355" s="85"/>
    </row>
    <row r="5356">
      <c r="A5356" s="84"/>
      <c r="B5356" s="85"/>
      <c r="C5356" s="85"/>
      <c r="F5356" s="92"/>
      <c r="G5356" s="85"/>
    </row>
    <row r="5357">
      <c r="A5357" s="84"/>
      <c r="B5357" s="85"/>
      <c r="C5357" s="85"/>
      <c r="F5357" s="92"/>
      <c r="G5357" s="85"/>
    </row>
    <row r="5358">
      <c r="A5358" s="84"/>
      <c r="B5358" s="85"/>
      <c r="C5358" s="85"/>
      <c r="F5358" s="92"/>
      <c r="G5358" s="85"/>
    </row>
    <row r="5359">
      <c r="A5359" s="84"/>
      <c r="B5359" s="85"/>
      <c r="C5359" s="85"/>
      <c r="F5359" s="92"/>
      <c r="G5359" s="85"/>
    </row>
    <row r="5360">
      <c r="A5360" s="84"/>
      <c r="B5360" s="85"/>
      <c r="C5360" s="85"/>
      <c r="F5360" s="92"/>
      <c r="G5360" s="85"/>
    </row>
    <row r="5361">
      <c r="A5361" s="84"/>
      <c r="B5361" s="85"/>
      <c r="C5361" s="85"/>
      <c r="F5361" s="92"/>
      <c r="G5361" s="85"/>
    </row>
    <row r="5362">
      <c r="A5362" s="84"/>
      <c r="B5362" s="85"/>
      <c r="C5362" s="85"/>
      <c r="F5362" s="92"/>
      <c r="G5362" s="85"/>
    </row>
    <row r="5363">
      <c r="A5363" s="84"/>
      <c r="B5363" s="85"/>
      <c r="C5363" s="85"/>
      <c r="F5363" s="92"/>
      <c r="G5363" s="85"/>
    </row>
    <row r="5364">
      <c r="A5364" s="84"/>
      <c r="B5364" s="85"/>
      <c r="C5364" s="85"/>
      <c r="F5364" s="92"/>
      <c r="G5364" s="85"/>
    </row>
    <row r="5365">
      <c r="A5365" s="84"/>
      <c r="B5365" s="85"/>
      <c r="C5365" s="85"/>
      <c r="F5365" s="92"/>
      <c r="G5365" s="85"/>
    </row>
    <row r="5366">
      <c r="A5366" s="84"/>
      <c r="B5366" s="85"/>
      <c r="C5366" s="85"/>
      <c r="F5366" s="92"/>
      <c r="G5366" s="85"/>
    </row>
    <row r="5367">
      <c r="A5367" s="84"/>
      <c r="B5367" s="85"/>
      <c r="C5367" s="85"/>
      <c r="F5367" s="92"/>
      <c r="G5367" s="85"/>
    </row>
    <row r="5368">
      <c r="A5368" s="84"/>
      <c r="B5368" s="85"/>
      <c r="C5368" s="85"/>
      <c r="F5368" s="92"/>
      <c r="G5368" s="85"/>
    </row>
    <row r="5369">
      <c r="A5369" s="84"/>
      <c r="B5369" s="85"/>
      <c r="C5369" s="85"/>
      <c r="F5369" s="92"/>
      <c r="G5369" s="85"/>
    </row>
    <row r="5370">
      <c r="A5370" s="84"/>
      <c r="B5370" s="85"/>
      <c r="C5370" s="85"/>
      <c r="F5370" s="92"/>
      <c r="G5370" s="85"/>
    </row>
    <row r="5371">
      <c r="A5371" s="84"/>
      <c r="B5371" s="85"/>
      <c r="C5371" s="85"/>
      <c r="F5371" s="92"/>
      <c r="G5371" s="85"/>
    </row>
    <row r="5372">
      <c r="A5372" s="84"/>
      <c r="B5372" s="85"/>
      <c r="C5372" s="85"/>
      <c r="F5372" s="92"/>
      <c r="G5372" s="85"/>
    </row>
    <row r="5373">
      <c r="A5373" s="84"/>
      <c r="B5373" s="85"/>
      <c r="C5373" s="85"/>
      <c r="F5373" s="92"/>
      <c r="G5373" s="85"/>
    </row>
    <row r="5374">
      <c r="A5374" s="84"/>
      <c r="B5374" s="85"/>
      <c r="C5374" s="85"/>
      <c r="F5374" s="92"/>
      <c r="G5374" s="85"/>
    </row>
    <row r="5375">
      <c r="A5375" s="84"/>
      <c r="B5375" s="85"/>
      <c r="C5375" s="85"/>
      <c r="F5375" s="92"/>
      <c r="G5375" s="85"/>
    </row>
    <row r="5376">
      <c r="A5376" s="84"/>
      <c r="B5376" s="85"/>
      <c r="C5376" s="85"/>
      <c r="F5376" s="92"/>
      <c r="G5376" s="85"/>
    </row>
    <row r="5377">
      <c r="A5377" s="84"/>
      <c r="B5377" s="85"/>
      <c r="C5377" s="85"/>
      <c r="F5377" s="92"/>
      <c r="G5377" s="85"/>
    </row>
    <row r="5378">
      <c r="A5378" s="84"/>
      <c r="B5378" s="85"/>
      <c r="C5378" s="85"/>
      <c r="F5378" s="92"/>
      <c r="G5378" s="85"/>
    </row>
    <row r="5379">
      <c r="A5379" s="84"/>
      <c r="B5379" s="85"/>
      <c r="C5379" s="85"/>
      <c r="F5379" s="92"/>
      <c r="G5379" s="85"/>
    </row>
    <row r="5380">
      <c r="A5380" s="84"/>
      <c r="B5380" s="85"/>
      <c r="C5380" s="85"/>
      <c r="F5380" s="92"/>
      <c r="G5380" s="85"/>
    </row>
    <row r="5381">
      <c r="A5381" s="84"/>
      <c r="B5381" s="85"/>
      <c r="C5381" s="85"/>
      <c r="F5381" s="92"/>
      <c r="G5381" s="85"/>
    </row>
    <row r="5382">
      <c r="A5382" s="84"/>
      <c r="B5382" s="85"/>
      <c r="C5382" s="85"/>
      <c r="F5382" s="92"/>
      <c r="G5382" s="85"/>
    </row>
    <row r="5383">
      <c r="A5383" s="84"/>
      <c r="B5383" s="85"/>
      <c r="C5383" s="85"/>
      <c r="F5383" s="92"/>
      <c r="G5383" s="85"/>
    </row>
    <row r="5384">
      <c r="A5384" s="84"/>
      <c r="B5384" s="85"/>
      <c r="C5384" s="85"/>
      <c r="F5384" s="92"/>
      <c r="G5384" s="85"/>
    </row>
    <row r="5385">
      <c r="A5385" s="84"/>
      <c r="B5385" s="85"/>
      <c r="C5385" s="85"/>
      <c r="F5385" s="92"/>
      <c r="G5385" s="85"/>
    </row>
    <row r="5386">
      <c r="A5386" s="84"/>
      <c r="B5386" s="85"/>
      <c r="C5386" s="85"/>
      <c r="F5386" s="92"/>
      <c r="G5386" s="85"/>
    </row>
    <row r="5387">
      <c r="A5387" s="84"/>
      <c r="B5387" s="85"/>
      <c r="C5387" s="85"/>
      <c r="F5387" s="92"/>
      <c r="G5387" s="85"/>
    </row>
    <row r="5388">
      <c r="A5388" s="84"/>
      <c r="B5388" s="85"/>
      <c r="C5388" s="85"/>
      <c r="F5388" s="92"/>
      <c r="G5388" s="85"/>
    </row>
    <row r="5389">
      <c r="A5389" s="84"/>
      <c r="B5389" s="85"/>
      <c r="C5389" s="85"/>
      <c r="F5389" s="92"/>
      <c r="G5389" s="85"/>
    </row>
    <row r="5390">
      <c r="A5390" s="84"/>
      <c r="B5390" s="85"/>
      <c r="C5390" s="85"/>
      <c r="F5390" s="92"/>
      <c r="G5390" s="85"/>
    </row>
    <row r="5391">
      <c r="A5391" s="84"/>
      <c r="B5391" s="85"/>
      <c r="C5391" s="85"/>
      <c r="F5391" s="92"/>
      <c r="G5391" s="85"/>
    </row>
    <row r="5392">
      <c r="A5392" s="84"/>
      <c r="B5392" s="85"/>
      <c r="C5392" s="85"/>
      <c r="F5392" s="92"/>
      <c r="G5392" s="85"/>
    </row>
    <row r="5393">
      <c r="A5393" s="84"/>
      <c r="B5393" s="85"/>
      <c r="C5393" s="85"/>
      <c r="F5393" s="92"/>
      <c r="G5393" s="85"/>
    </row>
    <row r="5394">
      <c r="A5394" s="84"/>
      <c r="B5394" s="85"/>
      <c r="C5394" s="85"/>
      <c r="F5394" s="92"/>
      <c r="G5394" s="85"/>
    </row>
    <row r="5395">
      <c r="A5395" s="84"/>
      <c r="B5395" s="85"/>
      <c r="C5395" s="85"/>
      <c r="F5395" s="92"/>
      <c r="G5395" s="85"/>
    </row>
    <row r="5396">
      <c r="A5396" s="84"/>
      <c r="B5396" s="85"/>
      <c r="C5396" s="85"/>
      <c r="F5396" s="92"/>
      <c r="G5396" s="85"/>
    </row>
    <row r="5397">
      <c r="A5397" s="84"/>
      <c r="B5397" s="85"/>
      <c r="C5397" s="85"/>
      <c r="F5397" s="92"/>
      <c r="G5397" s="85"/>
    </row>
    <row r="5398">
      <c r="A5398" s="84"/>
      <c r="B5398" s="85"/>
      <c r="C5398" s="85"/>
      <c r="F5398" s="92"/>
      <c r="G5398" s="85"/>
    </row>
    <row r="5399">
      <c r="A5399" s="84"/>
      <c r="B5399" s="85"/>
      <c r="C5399" s="85"/>
      <c r="F5399" s="92"/>
      <c r="G5399" s="85"/>
    </row>
    <row r="5400">
      <c r="A5400" s="84"/>
      <c r="B5400" s="85"/>
      <c r="C5400" s="85"/>
      <c r="F5400" s="92"/>
      <c r="G5400" s="85"/>
    </row>
    <row r="5401">
      <c r="A5401" s="84"/>
      <c r="B5401" s="85"/>
      <c r="C5401" s="85"/>
      <c r="F5401" s="92"/>
      <c r="G5401" s="85"/>
    </row>
    <row r="5402">
      <c r="A5402" s="84"/>
      <c r="B5402" s="85"/>
      <c r="C5402" s="85"/>
      <c r="F5402" s="92"/>
      <c r="G5402" s="85"/>
    </row>
    <row r="5403">
      <c r="A5403" s="84"/>
      <c r="B5403" s="85"/>
      <c r="C5403" s="85"/>
      <c r="F5403" s="92"/>
      <c r="G5403" s="85"/>
    </row>
    <row r="5404">
      <c r="A5404" s="84"/>
      <c r="B5404" s="85"/>
      <c r="C5404" s="85"/>
      <c r="F5404" s="92"/>
      <c r="G5404" s="85"/>
    </row>
    <row r="5405">
      <c r="A5405" s="84"/>
      <c r="B5405" s="85"/>
      <c r="C5405" s="85"/>
      <c r="F5405" s="92"/>
      <c r="G5405" s="85"/>
    </row>
    <row r="5406">
      <c r="A5406" s="84"/>
      <c r="B5406" s="85"/>
      <c r="C5406" s="85"/>
      <c r="F5406" s="92"/>
      <c r="G5406" s="85"/>
    </row>
    <row r="5407">
      <c r="A5407" s="84"/>
      <c r="B5407" s="85"/>
      <c r="C5407" s="85"/>
      <c r="F5407" s="92"/>
      <c r="G5407" s="85"/>
    </row>
    <row r="5408">
      <c r="A5408" s="84"/>
      <c r="B5408" s="85"/>
      <c r="C5408" s="85"/>
      <c r="F5408" s="92"/>
      <c r="G5408" s="85"/>
    </row>
    <row r="5409">
      <c r="A5409" s="84"/>
      <c r="B5409" s="85"/>
      <c r="C5409" s="85"/>
      <c r="F5409" s="92"/>
      <c r="G5409" s="85"/>
    </row>
    <row r="5410">
      <c r="A5410" s="84"/>
      <c r="B5410" s="85"/>
      <c r="C5410" s="85"/>
      <c r="F5410" s="92"/>
      <c r="G5410" s="85"/>
    </row>
    <row r="5411">
      <c r="A5411" s="84"/>
      <c r="B5411" s="85"/>
      <c r="C5411" s="85"/>
      <c r="F5411" s="92"/>
      <c r="G5411" s="85"/>
    </row>
    <row r="5412">
      <c r="A5412" s="84"/>
      <c r="B5412" s="85"/>
      <c r="C5412" s="85"/>
      <c r="F5412" s="92"/>
      <c r="G5412" s="85"/>
    </row>
    <row r="5413">
      <c r="A5413" s="84"/>
      <c r="B5413" s="85"/>
      <c r="C5413" s="85"/>
      <c r="F5413" s="92"/>
      <c r="G5413" s="85"/>
    </row>
    <row r="5414">
      <c r="A5414" s="84"/>
      <c r="B5414" s="85"/>
      <c r="C5414" s="85"/>
      <c r="F5414" s="92"/>
      <c r="G5414" s="85"/>
    </row>
    <row r="5415">
      <c r="A5415" s="84"/>
      <c r="B5415" s="85"/>
      <c r="C5415" s="85"/>
      <c r="F5415" s="92"/>
      <c r="G5415" s="85"/>
    </row>
    <row r="5416">
      <c r="A5416" s="84"/>
      <c r="B5416" s="85"/>
      <c r="C5416" s="85"/>
      <c r="F5416" s="92"/>
      <c r="G5416" s="85"/>
    </row>
    <row r="5417">
      <c r="A5417" s="84"/>
      <c r="B5417" s="85"/>
      <c r="C5417" s="85"/>
      <c r="F5417" s="92"/>
      <c r="G5417" s="85"/>
    </row>
    <row r="5418">
      <c r="A5418" s="84"/>
      <c r="B5418" s="85"/>
      <c r="C5418" s="85"/>
      <c r="F5418" s="92"/>
      <c r="G5418" s="85"/>
    </row>
    <row r="5419">
      <c r="A5419" s="84"/>
      <c r="B5419" s="85"/>
      <c r="C5419" s="85"/>
      <c r="F5419" s="92"/>
      <c r="G5419" s="85"/>
    </row>
    <row r="5420">
      <c r="A5420" s="84"/>
      <c r="B5420" s="85"/>
      <c r="C5420" s="85"/>
      <c r="F5420" s="92"/>
      <c r="G5420" s="85"/>
    </row>
    <row r="5421">
      <c r="A5421" s="84"/>
      <c r="B5421" s="85"/>
      <c r="C5421" s="85"/>
      <c r="F5421" s="92"/>
      <c r="G5421" s="85"/>
    </row>
    <row r="5422">
      <c r="A5422" s="84"/>
      <c r="B5422" s="85"/>
      <c r="C5422" s="85"/>
      <c r="F5422" s="92"/>
      <c r="G5422" s="85"/>
    </row>
    <row r="5423">
      <c r="A5423" s="84"/>
      <c r="B5423" s="85"/>
      <c r="C5423" s="85"/>
      <c r="F5423" s="92"/>
      <c r="G5423" s="85"/>
    </row>
    <row r="5424">
      <c r="A5424" s="84"/>
      <c r="B5424" s="85"/>
      <c r="C5424" s="85"/>
      <c r="F5424" s="92"/>
      <c r="G5424" s="85"/>
    </row>
    <row r="5425">
      <c r="A5425" s="84"/>
      <c r="B5425" s="85"/>
      <c r="C5425" s="85"/>
      <c r="F5425" s="92"/>
      <c r="G5425" s="85"/>
    </row>
    <row r="5426">
      <c r="A5426" s="84"/>
      <c r="B5426" s="85"/>
      <c r="C5426" s="85"/>
      <c r="F5426" s="92"/>
      <c r="G5426" s="85"/>
    </row>
    <row r="5427">
      <c r="A5427" s="84"/>
      <c r="B5427" s="85"/>
      <c r="C5427" s="85"/>
      <c r="F5427" s="92"/>
      <c r="G5427" s="85"/>
    </row>
    <row r="5428">
      <c r="A5428" s="84"/>
      <c r="B5428" s="85"/>
      <c r="C5428" s="85"/>
      <c r="F5428" s="92"/>
      <c r="G5428" s="85"/>
    </row>
    <row r="5429">
      <c r="A5429" s="84"/>
      <c r="B5429" s="85"/>
      <c r="C5429" s="85"/>
      <c r="F5429" s="92"/>
      <c r="G5429" s="85"/>
    </row>
    <row r="5430">
      <c r="A5430" s="84"/>
      <c r="B5430" s="85"/>
      <c r="C5430" s="85"/>
      <c r="F5430" s="92"/>
      <c r="G5430" s="85"/>
    </row>
    <row r="5431">
      <c r="A5431" s="84"/>
      <c r="B5431" s="85"/>
      <c r="C5431" s="85"/>
      <c r="F5431" s="92"/>
      <c r="G5431" s="85"/>
    </row>
    <row r="5432">
      <c r="A5432" s="84"/>
      <c r="B5432" s="85"/>
      <c r="C5432" s="85"/>
      <c r="F5432" s="92"/>
      <c r="G5432" s="85"/>
    </row>
    <row r="5433">
      <c r="A5433" s="84"/>
      <c r="B5433" s="85"/>
      <c r="C5433" s="85"/>
      <c r="F5433" s="92"/>
      <c r="G5433" s="85"/>
    </row>
    <row r="5434">
      <c r="A5434" s="84"/>
      <c r="B5434" s="85"/>
      <c r="C5434" s="85"/>
      <c r="F5434" s="92"/>
      <c r="G5434" s="85"/>
    </row>
    <row r="5435">
      <c r="A5435" s="84"/>
      <c r="B5435" s="85"/>
      <c r="C5435" s="85"/>
      <c r="F5435" s="92"/>
      <c r="G5435" s="85"/>
    </row>
    <row r="5436">
      <c r="A5436" s="84"/>
      <c r="B5436" s="85"/>
      <c r="C5436" s="85"/>
      <c r="F5436" s="92"/>
      <c r="G5436" s="85"/>
    </row>
    <row r="5437">
      <c r="A5437" s="84"/>
      <c r="B5437" s="85"/>
      <c r="C5437" s="85"/>
      <c r="F5437" s="92"/>
      <c r="G5437" s="85"/>
    </row>
    <row r="5438">
      <c r="A5438" s="84"/>
      <c r="B5438" s="85"/>
      <c r="C5438" s="85"/>
      <c r="F5438" s="92"/>
      <c r="G5438" s="85"/>
    </row>
    <row r="5439">
      <c r="A5439" s="84"/>
      <c r="B5439" s="85"/>
      <c r="C5439" s="85"/>
      <c r="F5439" s="92"/>
      <c r="G5439" s="85"/>
    </row>
    <row r="5440">
      <c r="A5440" s="84"/>
      <c r="B5440" s="85"/>
      <c r="C5440" s="85"/>
      <c r="F5440" s="92"/>
      <c r="G5440" s="85"/>
    </row>
    <row r="5441">
      <c r="A5441" s="84"/>
      <c r="B5441" s="85"/>
      <c r="C5441" s="85"/>
      <c r="F5441" s="92"/>
      <c r="G5441" s="85"/>
    </row>
    <row r="5442">
      <c r="A5442" s="84"/>
      <c r="B5442" s="85"/>
      <c r="C5442" s="85"/>
      <c r="F5442" s="92"/>
      <c r="G5442" s="85"/>
    </row>
    <row r="5443">
      <c r="A5443" s="84"/>
      <c r="B5443" s="85"/>
      <c r="C5443" s="85"/>
      <c r="F5443" s="92"/>
      <c r="G5443" s="85"/>
    </row>
    <row r="5444">
      <c r="A5444" s="84"/>
      <c r="B5444" s="85"/>
      <c r="C5444" s="85"/>
      <c r="F5444" s="92"/>
      <c r="G5444" s="85"/>
    </row>
    <row r="5445">
      <c r="A5445" s="84"/>
      <c r="B5445" s="85"/>
      <c r="C5445" s="85"/>
      <c r="F5445" s="92"/>
      <c r="G5445" s="85"/>
    </row>
    <row r="5446">
      <c r="A5446" s="84"/>
      <c r="B5446" s="85"/>
      <c r="C5446" s="85"/>
      <c r="F5446" s="92"/>
      <c r="G5446" s="85"/>
    </row>
    <row r="5447">
      <c r="A5447" s="84"/>
      <c r="B5447" s="85"/>
      <c r="C5447" s="85"/>
      <c r="F5447" s="92"/>
      <c r="G5447" s="85"/>
    </row>
    <row r="5448">
      <c r="A5448" s="84"/>
      <c r="B5448" s="85"/>
      <c r="C5448" s="85"/>
      <c r="F5448" s="92"/>
      <c r="G5448" s="85"/>
    </row>
    <row r="5449">
      <c r="A5449" s="84"/>
      <c r="B5449" s="85"/>
      <c r="C5449" s="85"/>
      <c r="F5449" s="92"/>
      <c r="G5449" s="85"/>
    </row>
    <row r="5450">
      <c r="A5450" s="84"/>
      <c r="B5450" s="85"/>
      <c r="C5450" s="85"/>
      <c r="F5450" s="92"/>
      <c r="G5450" s="85"/>
    </row>
    <row r="5451">
      <c r="A5451" s="84"/>
      <c r="B5451" s="85"/>
      <c r="C5451" s="85"/>
      <c r="F5451" s="92"/>
      <c r="G5451" s="85"/>
    </row>
    <row r="5452">
      <c r="A5452" s="84"/>
      <c r="B5452" s="85"/>
      <c r="C5452" s="85"/>
      <c r="F5452" s="92"/>
      <c r="G5452" s="85"/>
    </row>
    <row r="5453">
      <c r="A5453" s="84"/>
      <c r="B5453" s="85"/>
      <c r="C5453" s="85"/>
      <c r="F5453" s="92"/>
      <c r="G5453" s="85"/>
    </row>
    <row r="5454">
      <c r="A5454" s="84"/>
      <c r="B5454" s="85"/>
      <c r="C5454" s="85"/>
      <c r="F5454" s="92"/>
      <c r="G5454" s="85"/>
    </row>
    <row r="5455">
      <c r="A5455" s="84"/>
      <c r="B5455" s="85"/>
      <c r="C5455" s="85"/>
      <c r="F5455" s="92"/>
      <c r="G5455" s="85"/>
    </row>
    <row r="5456">
      <c r="A5456" s="84"/>
      <c r="B5456" s="85"/>
      <c r="C5456" s="85"/>
      <c r="F5456" s="92"/>
      <c r="G5456" s="85"/>
    </row>
    <row r="5457">
      <c r="A5457" s="84"/>
      <c r="B5457" s="85"/>
      <c r="C5457" s="85"/>
      <c r="F5457" s="92"/>
      <c r="G5457" s="85"/>
    </row>
    <row r="5458">
      <c r="A5458" s="84"/>
      <c r="B5458" s="85"/>
      <c r="C5458" s="85"/>
      <c r="F5458" s="92"/>
      <c r="G5458" s="85"/>
    </row>
    <row r="5459">
      <c r="A5459" s="84"/>
      <c r="B5459" s="85"/>
      <c r="C5459" s="85"/>
      <c r="F5459" s="92"/>
      <c r="G5459" s="85"/>
    </row>
    <row r="5460">
      <c r="A5460" s="84"/>
      <c r="B5460" s="85"/>
      <c r="C5460" s="85"/>
      <c r="F5460" s="92"/>
      <c r="G5460" s="85"/>
    </row>
    <row r="5461">
      <c r="A5461" s="84"/>
      <c r="B5461" s="85"/>
      <c r="C5461" s="85"/>
      <c r="F5461" s="92"/>
      <c r="G5461" s="85"/>
    </row>
    <row r="5462">
      <c r="A5462" s="84"/>
      <c r="B5462" s="85"/>
      <c r="C5462" s="85"/>
      <c r="F5462" s="92"/>
      <c r="G5462" s="85"/>
    </row>
    <row r="5463">
      <c r="A5463" s="84"/>
      <c r="B5463" s="85"/>
      <c r="C5463" s="85"/>
      <c r="F5463" s="92"/>
      <c r="G5463" s="85"/>
    </row>
    <row r="5464">
      <c r="A5464" s="84"/>
      <c r="B5464" s="85"/>
      <c r="C5464" s="85"/>
      <c r="F5464" s="92"/>
      <c r="G5464" s="85"/>
    </row>
    <row r="5465">
      <c r="A5465" s="84"/>
      <c r="B5465" s="85"/>
      <c r="C5465" s="85"/>
      <c r="F5465" s="92"/>
      <c r="G5465" s="85"/>
    </row>
    <row r="5466">
      <c r="A5466" s="84"/>
      <c r="B5466" s="85"/>
      <c r="C5466" s="85"/>
      <c r="F5466" s="92"/>
      <c r="G5466" s="85"/>
    </row>
    <row r="5467">
      <c r="A5467" s="84"/>
      <c r="B5467" s="85"/>
      <c r="C5467" s="85"/>
      <c r="F5467" s="92"/>
      <c r="G5467" s="85"/>
    </row>
    <row r="5468">
      <c r="A5468" s="84"/>
      <c r="B5468" s="85"/>
      <c r="C5468" s="85"/>
      <c r="F5468" s="92"/>
      <c r="G5468" s="85"/>
    </row>
    <row r="5469">
      <c r="A5469" s="84"/>
      <c r="B5469" s="85"/>
      <c r="C5469" s="85"/>
      <c r="F5469" s="92"/>
      <c r="G5469" s="85"/>
    </row>
    <row r="5470">
      <c r="A5470" s="84"/>
      <c r="B5470" s="85"/>
      <c r="C5470" s="85"/>
      <c r="F5470" s="92"/>
      <c r="G5470" s="85"/>
    </row>
    <row r="5471">
      <c r="A5471" s="84"/>
      <c r="B5471" s="85"/>
      <c r="C5471" s="85"/>
      <c r="F5471" s="92"/>
      <c r="G5471" s="85"/>
    </row>
    <row r="5472">
      <c r="A5472" s="84"/>
      <c r="B5472" s="85"/>
      <c r="C5472" s="85"/>
      <c r="F5472" s="92"/>
      <c r="G5472" s="85"/>
    </row>
    <row r="5473">
      <c r="A5473" s="84"/>
      <c r="B5473" s="85"/>
      <c r="C5473" s="85"/>
      <c r="F5473" s="92"/>
      <c r="G5473" s="85"/>
    </row>
    <row r="5474">
      <c r="A5474" s="84"/>
      <c r="B5474" s="85"/>
      <c r="C5474" s="85"/>
      <c r="F5474" s="92"/>
      <c r="G5474" s="85"/>
    </row>
    <row r="5475">
      <c r="A5475" s="84"/>
      <c r="B5475" s="85"/>
      <c r="C5475" s="85"/>
      <c r="F5475" s="92"/>
      <c r="G5475" s="85"/>
    </row>
    <row r="5476">
      <c r="A5476" s="84"/>
      <c r="B5476" s="85"/>
      <c r="C5476" s="85"/>
      <c r="F5476" s="92"/>
      <c r="G5476" s="85"/>
    </row>
    <row r="5477">
      <c r="A5477" s="84"/>
      <c r="B5477" s="85"/>
      <c r="C5477" s="85"/>
      <c r="F5477" s="92"/>
      <c r="G5477" s="85"/>
    </row>
    <row r="5478">
      <c r="A5478" s="84"/>
      <c r="B5478" s="85"/>
      <c r="C5478" s="85"/>
      <c r="F5478" s="92"/>
      <c r="G5478" s="85"/>
    </row>
    <row r="5479">
      <c r="A5479" s="84"/>
      <c r="B5479" s="85"/>
      <c r="C5479" s="85"/>
      <c r="F5479" s="92"/>
      <c r="G5479" s="85"/>
    </row>
    <row r="5480">
      <c r="A5480" s="84"/>
      <c r="B5480" s="85"/>
      <c r="C5480" s="85"/>
      <c r="F5480" s="92"/>
      <c r="G5480" s="85"/>
    </row>
    <row r="5481">
      <c r="A5481" s="84"/>
      <c r="B5481" s="85"/>
      <c r="C5481" s="85"/>
      <c r="F5481" s="92"/>
      <c r="G5481" s="85"/>
    </row>
    <row r="5482">
      <c r="A5482" s="84"/>
      <c r="B5482" s="85"/>
      <c r="C5482" s="85"/>
      <c r="F5482" s="92"/>
      <c r="G5482" s="85"/>
    </row>
    <row r="5483">
      <c r="A5483" s="84"/>
      <c r="B5483" s="85"/>
      <c r="C5483" s="85"/>
      <c r="F5483" s="92"/>
      <c r="G5483" s="85"/>
    </row>
    <row r="5484">
      <c r="A5484" s="84"/>
      <c r="B5484" s="85"/>
      <c r="C5484" s="85"/>
      <c r="F5484" s="92"/>
      <c r="G5484" s="85"/>
    </row>
    <row r="5485">
      <c r="A5485" s="84"/>
      <c r="B5485" s="85"/>
      <c r="C5485" s="85"/>
      <c r="F5485" s="92"/>
      <c r="G5485" s="85"/>
    </row>
    <row r="5486">
      <c r="A5486" s="84"/>
      <c r="B5486" s="85"/>
      <c r="C5486" s="85"/>
      <c r="F5486" s="92"/>
      <c r="G5486" s="85"/>
    </row>
    <row r="5487">
      <c r="A5487" s="84"/>
      <c r="B5487" s="85"/>
      <c r="C5487" s="85"/>
      <c r="F5487" s="92"/>
      <c r="G5487" s="85"/>
    </row>
    <row r="5488">
      <c r="A5488" s="84"/>
      <c r="B5488" s="85"/>
      <c r="C5488" s="85"/>
      <c r="F5488" s="92"/>
      <c r="G5488" s="85"/>
    </row>
    <row r="5489">
      <c r="A5489" s="84"/>
      <c r="B5489" s="85"/>
      <c r="C5489" s="85"/>
      <c r="F5489" s="92"/>
      <c r="G5489" s="85"/>
    </row>
    <row r="5490">
      <c r="A5490" s="84"/>
      <c r="B5490" s="85"/>
      <c r="C5490" s="85"/>
      <c r="F5490" s="92"/>
      <c r="G5490" s="85"/>
    </row>
    <row r="5491">
      <c r="A5491" s="84"/>
      <c r="B5491" s="85"/>
      <c r="C5491" s="85"/>
      <c r="F5491" s="92"/>
      <c r="G5491" s="85"/>
    </row>
    <row r="5492">
      <c r="A5492" s="84"/>
      <c r="B5492" s="85"/>
      <c r="C5492" s="85"/>
      <c r="F5492" s="92"/>
      <c r="G5492" s="85"/>
    </row>
    <row r="5493">
      <c r="A5493" s="84"/>
      <c r="B5493" s="85"/>
      <c r="C5493" s="85"/>
      <c r="F5493" s="92"/>
      <c r="G5493" s="85"/>
    </row>
    <row r="5494">
      <c r="A5494" s="84"/>
      <c r="B5494" s="85"/>
      <c r="C5494" s="85"/>
      <c r="F5494" s="92"/>
      <c r="G5494" s="85"/>
    </row>
    <row r="5495">
      <c r="A5495" s="84"/>
      <c r="B5495" s="85"/>
      <c r="C5495" s="85"/>
      <c r="F5495" s="92"/>
      <c r="G5495" s="85"/>
    </row>
    <row r="5496">
      <c r="A5496" s="84"/>
      <c r="B5496" s="85"/>
      <c r="C5496" s="85"/>
      <c r="F5496" s="92"/>
      <c r="G5496" s="85"/>
    </row>
    <row r="5497">
      <c r="A5497" s="84"/>
      <c r="B5497" s="85"/>
      <c r="C5497" s="85"/>
      <c r="F5497" s="92"/>
      <c r="G5497" s="85"/>
    </row>
    <row r="5498">
      <c r="A5498" s="84"/>
      <c r="B5498" s="85"/>
      <c r="C5498" s="85"/>
      <c r="F5498" s="92"/>
      <c r="G5498" s="85"/>
    </row>
    <row r="5499">
      <c r="A5499" s="84"/>
      <c r="B5499" s="85"/>
      <c r="C5499" s="85"/>
      <c r="F5499" s="92"/>
      <c r="G5499" s="85"/>
    </row>
    <row r="5500">
      <c r="A5500" s="84"/>
      <c r="B5500" s="85"/>
      <c r="C5500" s="85"/>
      <c r="F5500" s="92"/>
      <c r="G5500" s="85"/>
    </row>
    <row r="5501">
      <c r="A5501" s="84"/>
      <c r="B5501" s="85"/>
      <c r="C5501" s="85"/>
      <c r="F5501" s="92"/>
      <c r="G5501" s="85"/>
    </row>
    <row r="5502">
      <c r="A5502" s="84"/>
      <c r="B5502" s="85"/>
      <c r="C5502" s="85"/>
      <c r="F5502" s="92"/>
      <c r="G5502" s="85"/>
    </row>
    <row r="5503">
      <c r="A5503" s="84"/>
      <c r="B5503" s="85"/>
      <c r="C5503" s="85"/>
      <c r="F5503" s="92"/>
      <c r="G5503" s="85"/>
    </row>
    <row r="5504">
      <c r="A5504" s="84"/>
      <c r="B5504" s="85"/>
      <c r="C5504" s="85"/>
      <c r="F5504" s="92"/>
      <c r="G5504" s="85"/>
    </row>
    <row r="5505">
      <c r="A5505" s="84"/>
      <c r="B5505" s="85"/>
      <c r="C5505" s="85"/>
      <c r="F5505" s="92"/>
      <c r="G5505" s="85"/>
    </row>
    <row r="5506">
      <c r="A5506" s="84"/>
      <c r="B5506" s="85"/>
      <c r="C5506" s="85"/>
      <c r="F5506" s="92"/>
      <c r="G5506" s="85"/>
    </row>
    <row r="5507">
      <c r="A5507" s="84"/>
      <c r="B5507" s="85"/>
      <c r="C5507" s="85"/>
      <c r="F5507" s="92"/>
      <c r="G5507" s="85"/>
    </row>
    <row r="5508">
      <c r="A5508" s="84"/>
      <c r="B5508" s="85"/>
      <c r="C5508" s="85"/>
      <c r="F5508" s="92"/>
      <c r="G5508" s="85"/>
    </row>
    <row r="5509">
      <c r="A5509" s="84"/>
      <c r="B5509" s="85"/>
      <c r="C5509" s="85"/>
      <c r="F5509" s="92"/>
      <c r="G5509" s="85"/>
    </row>
    <row r="5510">
      <c r="A5510" s="84"/>
      <c r="B5510" s="85"/>
      <c r="C5510" s="85"/>
      <c r="F5510" s="92"/>
      <c r="G5510" s="85"/>
    </row>
    <row r="5511">
      <c r="A5511" s="84"/>
      <c r="B5511" s="85"/>
      <c r="C5511" s="85"/>
      <c r="F5511" s="92"/>
      <c r="G5511" s="85"/>
    </row>
    <row r="5512">
      <c r="A5512" s="84"/>
      <c r="B5512" s="85"/>
      <c r="C5512" s="85"/>
      <c r="F5512" s="92"/>
      <c r="G5512" s="85"/>
    </row>
    <row r="5513">
      <c r="A5513" s="84"/>
      <c r="B5513" s="85"/>
      <c r="C5513" s="85"/>
      <c r="F5513" s="92"/>
      <c r="G5513" s="85"/>
    </row>
    <row r="5514">
      <c r="A5514" s="84"/>
      <c r="B5514" s="85"/>
      <c r="C5514" s="85"/>
      <c r="F5514" s="92"/>
      <c r="G5514" s="85"/>
    </row>
    <row r="5515">
      <c r="A5515" s="84"/>
      <c r="B5515" s="85"/>
      <c r="C5515" s="85"/>
      <c r="F5515" s="92"/>
      <c r="G5515" s="85"/>
    </row>
    <row r="5516">
      <c r="A5516" s="84"/>
      <c r="B5516" s="85"/>
      <c r="C5516" s="85"/>
      <c r="F5516" s="92"/>
      <c r="G5516" s="85"/>
    </row>
    <row r="5517">
      <c r="A5517" s="84"/>
      <c r="B5517" s="85"/>
      <c r="C5517" s="85"/>
      <c r="F5517" s="92"/>
      <c r="G5517" s="85"/>
    </row>
    <row r="5518">
      <c r="A5518" s="84"/>
      <c r="B5518" s="85"/>
      <c r="C5518" s="85"/>
      <c r="F5518" s="92"/>
      <c r="G5518" s="85"/>
    </row>
    <row r="5519">
      <c r="A5519" s="84"/>
      <c r="B5519" s="85"/>
      <c r="C5519" s="85"/>
      <c r="F5519" s="92"/>
      <c r="G5519" s="85"/>
    </row>
    <row r="5520">
      <c r="A5520" s="84"/>
      <c r="B5520" s="85"/>
      <c r="C5520" s="85"/>
      <c r="F5520" s="92"/>
      <c r="G5520" s="85"/>
    </row>
    <row r="5521">
      <c r="A5521" s="84"/>
      <c r="B5521" s="85"/>
      <c r="C5521" s="85"/>
      <c r="F5521" s="92"/>
      <c r="G5521" s="85"/>
    </row>
    <row r="5522">
      <c r="A5522" s="84"/>
      <c r="B5522" s="85"/>
      <c r="C5522" s="85"/>
      <c r="F5522" s="92"/>
      <c r="G5522" s="85"/>
    </row>
    <row r="5523">
      <c r="A5523" s="84"/>
      <c r="B5523" s="85"/>
      <c r="C5523" s="85"/>
      <c r="F5523" s="92"/>
      <c r="G5523" s="85"/>
    </row>
    <row r="5524">
      <c r="A5524" s="84"/>
      <c r="B5524" s="85"/>
      <c r="C5524" s="85"/>
      <c r="F5524" s="92"/>
      <c r="G5524" s="85"/>
    </row>
    <row r="5525">
      <c r="A5525" s="84"/>
      <c r="B5525" s="85"/>
      <c r="C5525" s="85"/>
      <c r="F5525" s="92"/>
      <c r="G5525" s="85"/>
    </row>
    <row r="5526">
      <c r="A5526" s="84"/>
      <c r="B5526" s="85"/>
      <c r="C5526" s="85"/>
      <c r="F5526" s="92"/>
      <c r="G5526" s="85"/>
    </row>
    <row r="5527">
      <c r="A5527" s="84"/>
      <c r="B5527" s="85"/>
      <c r="C5527" s="85"/>
      <c r="F5527" s="92"/>
      <c r="G5527" s="85"/>
    </row>
    <row r="5528">
      <c r="A5528" s="84"/>
      <c r="B5528" s="85"/>
      <c r="C5528" s="85"/>
      <c r="F5528" s="92"/>
      <c r="G5528" s="85"/>
    </row>
    <row r="5529">
      <c r="A5529" s="84"/>
      <c r="B5529" s="85"/>
      <c r="C5529" s="85"/>
      <c r="F5529" s="92"/>
      <c r="G5529" s="85"/>
    </row>
    <row r="5530">
      <c r="A5530" s="84"/>
      <c r="B5530" s="85"/>
      <c r="C5530" s="85"/>
      <c r="F5530" s="92"/>
      <c r="G5530" s="85"/>
    </row>
    <row r="5531">
      <c r="A5531" s="84"/>
      <c r="B5531" s="85"/>
      <c r="C5531" s="85"/>
      <c r="F5531" s="92"/>
      <c r="G5531" s="85"/>
    </row>
    <row r="5532">
      <c r="A5532" s="84"/>
      <c r="B5532" s="85"/>
      <c r="C5532" s="85"/>
      <c r="F5532" s="92"/>
      <c r="G5532" s="85"/>
    </row>
    <row r="5533">
      <c r="A5533" s="84"/>
      <c r="B5533" s="85"/>
      <c r="C5533" s="85"/>
      <c r="F5533" s="92"/>
      <c r="G5533" s="85"/>
    </row>
    <row r="5534">
      <c r="A5534" s="84"/>
      <c r="B5534" s="85"/>
      <c r="C5534" s="85"/>
      <c r="F5534" s="92"/>
      <c r="G5534" s="85"/>
    </row>
    <row r="5535">
      <c r="A5535" s="84"/>
      <c r="B5535" s="85"/>
      <c r="C5535" s="85"/>
      <c r="F5535" s="92"/>
      <c r="G5535" s="85"/>
    </row>
    <row r="5536">
      <c r="A5536" s="84"/>
      <c r="B5536" s="85"/>
      <c r="C5536" s="85"/>
      <c r="F5536" s="92"/>
      <c r="G5536" s="85"/>
    </row>
    <row r="5537">
      <c r="A5537" s="84"/>
      <c r="B5537" s="85"/>
      <c r="C5537" s="85"/>
      <c r="F5537" s="92"/>
      <c r="G5537" s="85"/>
    </row>
    <row r="5538">
      <c r="A5538" s="84"/>
      <c r="B5538" s="85"/>
      <c r="C5538" s="85"/>
      <c r="F5538" s="92"/>
      <c r="G5538" s="85"/>
    </row>
    <row r="5539">
      <c r="A5539" s="84"/>
      <c r="B5539" s="85"/>
      <c r="C5539" s="85"/>
      <c r="F5539" s="92"/>
      <c r="G5539" s="85"/>
    </row>
    <row r="5540">
      <c r="A5540" s="84"/>
      <c r="B5540" s="85"/>
      <c r="C5540" s="85"/>
      <c r="F5540" s="92"/>
      <c r="G5540" s="85"/>
    </row>
    <row r="5541">
      <c r="A5541" s="84"/>
      <c r="B5541" s="85"/>
      <c r="C5541" s="85"/>
      <c r="F5541" s="92"/>
      <c r="G5541" s="85"/>
    </row>
    <row r="5542">
      <c r="A5542" s="84"/>
      <c r="B5542" s="85"/>
      <c r="C5542" s="85"/>
      <c r="F5542" s="92"/>
      <c r="G5542" s="85"/>
    </row>
    <row r="5543">
      <c r="A5543" s="84"/>
      <c r="B5543" s="85"/>
      <c r="C5543" s="85"/>
      <c r="F5543" s="92"/>
      <c r="G5543" s="85"/>
    </row>
    <row r="5544">
      <c r="A5544" s="84"/>
      <c r="B5544" s="85"/>
      <c r="C5544" s="85"/>
      <c r="F5544" s="92"/>
      <c r="G5544" s="85"/>
    </row>
    <row r="5545">
      <c r="A5545" s="84"/>
      <c r="B5545" s="85"/>
      <c r="C5545" s="85"/>
      <c r="F5545" s="92"/>
      <c r="G5545" s="85"/>
    </row>
    <row r="5546">
      <c r="A5546" s="84"/>
      <c r="B5546" s="85"/>
      <c r="C5546" s="85"/>
      <c r="F5546" s="92"/>
      <c r="G5546" s="85"/>
    </row>
    <row r="5547">
      <c r="A5547" s="84"/>
      <c r="B5547" s="85"/>
      <c r="C5547" s="85"/>
      <c r="F5547" s="92"/>
      <c r="G5547" s="85"/>
    </row>
    <row r="5548">
      <c r="A5548" s="84"/>
      <c r="B5548" s="85"/>
      <c r="C5548" s="85"/>
      <c r="F5548" s="92"/>
      <c r="G5548" s="85"/>
    </row>
    <row r="5549">
      <c r="A5549" s="84"/>
      <c r="B5549" s="85"/>
      <c r="C5549" s="85"/>
      <c r="F5549" s="92"/>
      <c r="G5549" s="85"/>
    </row>
    <row r="5550">
      <c r="A5550" s="84"/>
      <c r="B5550" s="85"/>
      <c r="C5550" s="85"/>
      <c r="F5550" s="92"/>
      <c r="G5550" s="85"/>
    </row>
    <row r="5551">
      <c r="A5551" s="84"/>
      <c r="B5551" s="85"/>
      <c r="C5551" s="85"/>
      <c r="F5551" s="92"/>
      <c r="G5551" s="85"/>
    </row>
    <row r="5552">
      <c r="A5552" s="84"/>
      <c r="B5552" s="85"/>
      <c r="C5552" s="85"/>
      <c r="F5552" s="92"/>
      <c r="G5552" s="85"/>
    </row>
    <row r="5553">
      <c r="A5553" s="84"/>
      <c r="B5553" s="85"/>
      <c r="C5553" s="85"/>
      <c r="F5553" s="92"/>
      <c r="G5553" s="85"/>
    </row>
    <row r="5554">
      <c r="A5554" s="84"/>
      <c r="B5554" s="85"/>
      <c r="C5554" s="85"/>
      <c r="F5554" s="92"/>
      <c r="G5554" s="85"/>
    </row>
    <row r="5555">
      <c r="A5555" s="84"/>
      <c r="B5555" s="85"/>
      <c r="C5555" s="85"/>
      <c r="F5555" s="92"/>
      <c r="G5555" s="85"/>
    </row>
    <row r="5556">
      <c r="A5556" s="84"/>
      <c r="B5556" s="85"/>
      <c r="C5556" s="85"/>
      <c r="F5556" s="92"/>
      <c r="G5556" s="85"/>
    </row>
    <row r="5557">
      <c r="A5557" s="84"/>
      <c r="B5557" s="85"/>
      <c r="C5557" s="85"/>
      <c r="F5557" s="92"/>
      <c r="G5557" s="85"/>
    </row>
    <row r="5558">
      <c r="A5558" s="84"/>
      <c r="B5558" s="85"/>
      <c r="C5558" s="85"/>
      <c r="F5558" s="92"/>
      <c r="G5558" s="85"/>
    </row>
    <row r="5559">
      <c r="A5559" s="84"/>
      <c r="B5559" s="85"/>
      <c r="C5559" s="85"/>
      <c r="F5559" s="92"/>
      <c r="G5559" s="85"/>
    </row>
    <row r="5560">
      <c r="A5560" s="84"/>
      <c r="B5560" s="85"/>
      <c r="C5560" s="85"/>
      <c r="F5560" s="92"/>
      <c r="G5560" s="85"/>
    </row>
    <row r="5561">
      <c r="A5561" s="84"/>
      <c r="B5561" s="85"/>
      <c r="C5561" s="85"/>
      <c r="F5561" s="92"/>
      <c r="G5561" s="85"/>
    </row>
    <row r="5562">
      <c r="A5562" s="84"/>
      <c r="B5562" s="85"/>
      <c r="C5562" s="85"/>
      <c r="F5562" s="92"/>
      <c r="G5562" s="85"/>
    </row>
    <row r="5563">
      <c r="A5563" s="84"/>
      <c r="B5563" s="85"/>
      <c r="C5563" s="85"/>
      <c r="F5563" s="92"/>
      <c r="G5563" s="85"/>
    </row>
    <row r="5564">
      <c r="A5564" s="84"/>
      <c r="B5564" s="85"/>
      <c r="C5564" s="85"/>
      <c r="F5564" s="92"/>
      <c r="G5564" s="85"/>
    </row>
    <row r="5565">
      <c r="A5565" s="84"/>
      <c r="B5565" s="85"/>
      <c r="C5565" s="85"/>
      <c r="F5565" s="92"/>
      <c r="G5565" s="85"/>
    </row>
    <row r="5566">
      <c r="A5566" s="84"/>
      <c r="B5566" s="85"/>
      <c r="C5566" s="85"/>
      <c r="F5566" s="92"/>
      <c r="G5566" s="85"/>
    </row>
    <row r="5567">
      <c r="A5567" s="84"/>
      <c r="B5567" s="85"/>
      <c r="C5567" s="85"/>
      <c r="F5567" s="92"/>
      <c r="G5567" s="85"/>
    </row>
    <row r="5568">
      <c r="A5568" s="84"/>
      <c r="B5568" s="85"/>
      <c r="C5568" s="85"/>
      <c r="F5568" s="92"/>
      <c r="G5568" s="85"/>
    </row>
    <row r="5569">
      <c r="A5569" s="84"/>
      <c r="B5569" s="85"/>
      <c r="C5569" s="85"/>
      <c r="F5569" s="92"/>
      <c r="G5569" s="85"/>
    </row>
    <row r="5570">
      <c r="A5570" s="84"/>
      <c r="B5570" s="85"/>
      <c r="C5570" s="85"/>
      <c r="F5570" s="92"/>
      <c r="G5570" s="85"/>
    </row>
    <row r="5571">
      <c r="A5571" s="84"/>
      <c r="B5571" s="85"/>
      <c r="C5571" s="85"/>
      <c r="F5571" s="92"/>
      <c r="G5571" s="85"/>
    </row>
    <row r="5572">
      <c r="A5572" s="84"/>
      <c r="B5572" s="85"/>
      <c r="C5572" s="85"/>
      <c r="F5572" s="92"/>
      <c r="G5572" s="85"/>
    </row>
    <row r="5573">
      <c r="A5573" s="84"/>
      <c r="B5573" s="85"/>
      <c r="C5573" s="85"/>
      <c r="F5573" s="92"/>
      <c r="G5573" s="85"/>
    </row>
    <row r="5574">
      <c r="A5574" s="84"/>
      <c r="B5574" s="85"/>
      <c r="C5574" s="85"/>
      <c r="F5574" s="92"/>
      <c r="G5574" s="85"/>
    </row>
    <row r="5575">
      <c r="A5575" s="84"/>
      <c r="B5575" s="85"/>
      <c r="C5575" s="85"/>
      <c r="F5575" s="92"/>
      <c r="G5575" s="85"/>
    </row>
    <row r="5576">
      <c r="A5576" s="84"/>
      <c r="B5576" s="85"/>
      <c r="C5576" s="85"/>
      <c r="F5576" s="92"/>
      <c r="G5576" s="85"/>
    </row>
    <row r="5577">
      <c r="A5577" s="84"/>
      <c r="B5577" s="85"/>
      <c r="C5577" s="85"/>
      <c r="F5577" s="92"/>
      <c r="G5577" s="85"/>
    </row>
    <row r="5578">
      <c r="A5578" s="84"/>
      <c r="B5578" s="85"/>
      <c r="C5578" s="85"/>
      <c r="F5578" s="92"/>
      <c r="G5578" s="85"/>
    </row>
    <row r="5579">
      <c r="A5579" s="84"/>
      <c r="B5579" s="85"/>
      <c r="C5579" s="85"/>
      <c r="F5579" s="92"/>
      <c r="G5579" s="85"/>
    </row>
    <row r="5580">
      <c r="A5580" s="84"/>
      <c r="B5580" s="85"/>
      <c r="C5580" s="85"/>
      <c r="F5580" s="92"/>
      <c r="G5580" s="85"/>
    </row>
    <row r="5581">
      <c r="A5581" s="84"/>
      <c r="B5581" s="85"/>
      <c r="C5581" s="85"/>
      <c r="F5581" s="92"/>
      <c r="G5581" s="85"/>
    </row>
    <row r="5582">
      <c r="A5582" s="84"/>
      <c r="B5582" s="85"/>
      <c r="C5582" s="85"/>
      <c r="F5582" s="92"/>
      <c r="G5582" s="85"/>
    </row>
    <row r="5583">
      <c r="A5583" s="84"/>
      <c r="B5583" s="85"/>
      <c r="C5583" s="85"/>
      <c r="F5583" s="92"/>
      <c r="G5583" s="85"/>
    </row>
    <row r="5584">
      <c r="A5584" s="84"/>
      <c r="B5584" s="85"/>
      <c r="C5584" s="85"/>
      <c r="F5584" s="92"/>
      <c r="G5584" s="85"/>
    </row>
    <row r="5585">
      <c r="A5585" s="84"/>
      <c r="B5585" s="85"/>
      <c r="C5585" s="85"/>
      <c r="F5585" s="92"/>
      <c r="G5585" s="85"/>
    </row>
    <row r="5586">
      <c r="A5586" s="84"/>
      <c r="B5586" s="85"/>
      <c r="C5586" s="85"/>
      <c r="F5586" s="92"/>
      <c r="G5586" s="85"/>
    </row>
    <row r="5587">
      <c r="A5587" s="84"/>
      <c r="B5587" s="85"/>
      <c r="C5587" s="85"/>
      <c r="F5587" s="92"/>
      <c r="G5587" s="85"/>
    </row>
    <row r="5588">
      <c r="A5588" s="84"/>
      <c r="B5588" s="85"/>
      <c r="C5588" s="85"/>
      <c r="F5588" s="92"/>
      <c r="G5588" s="85"/>
    </row>
    <row r="5589">
      <c r="A5589" s="84"/>
      <c r="B5589" s="85"/>
      <c r="C5589" s="85"/>
      <c r="F5589" s="92"/>
      <c r="G5589" s="85"/>
    </row>
    <row r="5590">
      <c r="A5590" s="84"/>
      <c r="B5590" s="85"/>
      <c r="C5590" s="85"/>
      <c r="F5590" s="92"/>
      <c r="G5590" s="85"/>
    </row>
    <row r="5591">
      <c r="A5591" s="84"/>
      <c r="B5591" s="85"/>
      <c r="C5591" s="85"/>
      <c r="F5591" s="92"/>
      <c r="G5591" s="85"/>
    </row>
    <row r="5592">
      <c r="A5592" s="84"/>
      <c r="B5592" s="85"/>
      <c r="C5592" s="85"/>
      <c r="F5592" s="92"/>
      <c r="G5592" s="85"/>
    </row>
    <row r="5593">
      <c r="A5593" s="84"/>
      <c r="B5593" s="85"/>
      <c r="C5593" s="85"/>
      <c r="F5593" s="92"/>
      <c r="G5593" s="85"/>
    </row>
    <row r="5594">
      <c r="A5594" s="84"/>
      <c r="B5594" s="85"/>
      <c r="C5594" s="85"/>
      <c r="F5594" s="92"/>
      <c r="G5594" s="85"/>
    </row>
    <row r="5595">
      <c r="A5595" s="84"/>
      <c r="B5595" s="85"/>
      <c r="C5595" s="85"/>
      <c r="F5595" s="92"/>
      <c r="G5595" s="85"/>
    </row>
    <row r="5596">
      <c r="A5596" s="84"/>
      <c r="B5596" s="85"/>
      <c r="C5596" s="85"/>
      <c r="F5596" s="92"/>
      <c r="G5596" s="85"/>
    </row>
    <row r="5597">
      <c r="A5597" s="84"/>
      <c r="B5597" s="85"/>
      <c r="C5597" s="85"/>
      <c r="F5597" s="92"/>
      <c r="G5597" s="85"/>
    </row>
    <row r="5598">
      <c r="A5598" s="84"/>
      <c r="B5598" s="85"/>
      <c r="C5598" s="85"/>
      <c r="F5598" s="92"/>
      <c r="G5598" s="85"/>
    </row>
    <row r="5599">
      <c r="A5599" s="84"/>
      <c r="B5599" s="85"/>
      <c r="C5599" s="85"/>
      <c r="F5599" s="92"/>
      <c r="G5599" s="85"/>
    </row>
    <row r="5600">
      <c r="A5600" s="84"/>
      <c r="B5600" s="85"/>
      <c r="C5600" s="85"/>
      <c r="F5600" s="92"/>
      <c r="G5600" s="85"/>
    </row>
    <row r="5601">
      <c r="A5601" s="84"/>
      <c r="B5601" s="85"/>
      <c r="C5601" s="85"/>
      <c r="F5601" s="92"/>
      <c r="G5601" s="85"/>
    </row>
    <row r="5602">
      <c r="A5602" s="84"/>
      <c r="B5602" s="85"/>
      <c r="C5602" s="85"/>
      <c r="F5602" s="92"/>
      <c r="G5602" s="85"/>
    </row>
    <row r="5603">
      <c r="A5603" s="84"/>
      <c r="B5603" s="85"/>
      <c r="C5603" s="85"/>
      <c r="F5603" s="92"/>
      <c r="G5603" s="85"/>
    </row>
    <row r="5604">
      <c r="A5604" s="84"/>
      <c r="B5604" s="85"/>
      <c r="C5604" s="85"/>
      <c r="F5604" s="92"/>
      <c r="G5604" s="85"/>
    </row>
    <row r="5605">
      <c r="A5605" s="84"/>
      <c r="B5605" s="85"/>
      <c r="C5605" s="85"/>
      <c r="F5605" s="92"/>
      <c r="G5605" s="85"/>
    </row>
    <row r="5606">
      <c r="A5606" s="84"/>
      <c r="B5606" s="85"/>
      <c r="C5606" s="85"/>
      <c r="F5606" s="92"/>
      <c r="G5606" s="85"/>
    </row>
    <row r="5607">
      <c r="A5607" s="84"/>
      <c r="B5607" s="85"/>
      <c r="C5607" s="85"/>
      <c r="F5607" s="92"/>
      <c r="G5607" s="85"/>
    </row>
    <row r="5608">
      <c r="A5608" s="84"/>
      <c r="B5608" s="85"/>
      <c r="C5608" s="85"/>
      <c r="F5608" s="92"/>
      <c r="G5608" s="85"/>
    </row>
    <row r="5609">
      <c r="A5609" s="84"/>
      <c r="B5609" s="85"/>
      <c r="C5609" s="85"/>
      <c r="F5609" s="92"/>
      <c r="G5609" s="85"/>
    </row>
    <row r="5610">
      <c r="A5610" s="84"/>
      <c r="B5610" s="85"/>
      <c r="C5610" s="85"/>
      <c r="F5610" s="92"/>
      <c r="G5610" s="85"/>
    </row>
    <row r="5611">
      <c r="A5611" s="84"/>
      <c r="B5611" s="85"/>
      <c r="C5611" s="85"/>
      <c r="F5611" s="92"/>
      <c r="G5611" s="85"/>
    </row>
    <row r="5612">
      <c r="A5612" s="84"/>
      <c r="B5612" s="85"/>
      <c r="C5612" s="85"/>
      <c r="F5612" s="92"/>
      <c r="G5612" s="85"/>
    </row>
    <row r="5613">
      <c r="A5613" s="84"/>
      <c r="B5613" s="85"/>
      <c r="C5613" s="85"/>
      <c r="F5613" s="92"/>
      <c r="G5613" s="85"/>
    </row>
    <row r="5614">
      <c r="A5614" s="84"/>
      <c r="B5614" s="85"/>
      <c r="C5614" s="85"/>
      <c r="F5614" s="92"/>
      <c r="G5614" s="85"/>
    </row>
    <row r="5615">
      <c r="A5615" s="84"/>
      <c r="B5615" s="85"/>
      <c r="C5615" s="85"/>
      <c r="F5615" s="92"/>
      <c r="G5615" s="85"/>
    </row>
    <row r="5616">
      <c r="A5616" s="84"/>
      <c r="B5616" s="85"/>
      <c r="C5616" s="85"/>
      <c r="F5616" s="92"/>
      <c r="G5616" s="85"/>
    </row>
    <row r="5617">
      <c r="A5617" s="84"/>
      <c r="B5617" s="85"/>
      <c r="C5617" s="85"/>
      <c r="F5617" s="92"/>
      <c r="G5617" s="85"/>
    </row>
    <row r="5618">
      <c r="A5618" s="84"/>
      <c r="B5618" s="85"/>
      <c r="C5618" s="85"/>
      <c r="F5618" s="92"/>
      <c r="G5618" s="85"/>
    </row>
    <row r="5619">
      <c r="A5619" s="84"/>
      <c r="B5619" s="85"/>
      <c r="C5619" s="85"/>
      <c r="F5619" s="92"/>
      <c r="G5619" s="85"/>
    </row>
    <row r="5620">
      <c r="A5620" s="84"/>
      <c r="B5620" s="85"/>
      <c r="C5620" s="85"/>
      <c r="F5620" s="92"/>
      <c r="G5620" s="85"/>
    </row>
    <row r="5621">
      <c r="A5621" s="84"/>
      <c r="B5621" s="85"/>
      <c r="C5621" s="85"/>
      <c r="F5621" s="92"/>
      <c r="G5621" s="85"/>
    </row>
    <row r="5622">
      <c r="A5622" s="84"/>
      <c r="B5622" s="85"/>
      <c r="C5622" s="85"/>
      <c r="F5622" s="92"/>
      <c r="G5622" s="85"/>
    </row>
    <row r="5623">
      <c r="A5623" s="84"/>
      <c r="B5623" s="85"/>
      <c r="C5623" s="85"/>
      <c r="F5623" s="92"/>
      <c r="G5623" s="85"/>
    </row>
    <row r="5624">
      <c r="A5624" s="84"/>
      <c r="B5624" s="85"/>
      <c r="C5624" s="85"/>
      <c r="F5624" s="92"/>
      <c r="G5624" s="85"/>
    </row>
    <row r="5625">
      <c r="A5625" s="84"/>
      <c r="B5625" s="85"/>
      <c r="C5625" s="85"/>
      <c r="F5625" s="92"/>
      <c r="G5625" s="85"/>
    </row>
    <row r="5626">
      <c r="A5626" s="84"/>
      <c r="B5626" s="85"/>
      <c r="C5626" s="85"/>
      <c r="F5626" s="92"/>
      <c r="G5626" s="85"/>
    </row>
    <row r="5627">
      <c r="A5627" s="84"/>
      <c r="B5627" s="85"/>
      <c r="C5627" s="85"/>
      <c r="F5627" s="92"/>
      <c r="G5627" s="85"/>
    </row>
    <row r="5628">
      <c r="A5628" s="84"/>
      <c r="B5628" s="85"/>
      <c r="C5628" s="85"/>
      <c r="F5628" s="92"/>
      <c r="G5628" s="85"/>
    </row>
    <row r="5629">
      <c r="A5629" s="84"/>
      <c r="B5629" s="85"/>
      <c r="C5629" s="85"/>
      <c r="F5629" s="92"/>
      <c r="G5629" s="85"/>
    </row>
    <row r="5630">
      <c r="A5630" s="84"/>
      <c r="B5630" s="85"/>
      <c r="C5630" s="85"/>
      <c r="F5630" s="92"/>
      <c r="G5630" s="85"/>
    </row>
    <row r="5631">
      <c r="A5631" s="84"/>
      <c r="B5631" s="85"/>
      <c r="C5631" s="85"/>
      <c r="F5631" s="92"/>
      <c r="G5631" s="85"/>
    </row>
    <row r="5632">
      <c r="A5632" s="84"/>
      <c r="B5632" s="85"/>
      <c r="C5632" s="85"/>
      <c r="F5632" s="92"/>
      <c r="G5632" s="85"/>
    </row>
    <row r="5633">
      <c r="A5633" s="84"/>
      <c r="B5633" s="85"/>
      <c r="C5633" s="85"/>
      <c r="F5633" s="92"/>
      <c r="G5633" s="85"/>
    </row>
    <row r="5634">
      <c r="A5634" s="84"/>
      <c r="B5634" s="85"/>
      <c r="C5634" s="85"/>
      <c r="F5634" s="92"/>
      <c r="G5634" s="85"/>
    </row>
    <row r="5635">
      <c r="A5635" s="84"/>
      <c r="B5635" s="85"/>
      <c r="C5635" s="85"/>
      <c r="F5635" s="92"/>
      <c r="G5635" s="85"/>
    </row>
    <row r="5636">
      <c r="A5636" s="84"/>
      <c r="B5636" s="85"/>
      <c r="C5636" s="85"/>
      <c r="F5636" s="92"/>
      <c r="G5636" s="85"/>
    </row>
    <row r="5637">
      <c r="A5637" s="84"/>
      <c r="B5637" s="85"/>
      <c r="C5637" s="85"/>
      <c r="F5637" s="92"/>
      <c r="G5637" s="85"/>
    </row>
    <row r="5638">
      <c r="A5638" s="84"/>
      <c r="B5638" s="85"/>
      <c r="C5638" s="85"/>
      <c r="F5638" s="92"/>
      <c r="G5638" s="85"/>
    </row>
    <row r="5639">
      <c r="A5639" s="84"/>
      <c r="B5639" s="85"/>
      <c r="C5639" s="85"/>
      <c r="F5639" s="92"/>
      <c r="G5639" s="85"/>
    </row>
    <row r="5640">
      <c r="A5640" s="84"/>
      <c r="B5640" s="85"/>
      <c r="C5640" s="85"/>
      <c r="F5640" s="92"/>
      <c r="G5640" s="85"/>
    </row>
    <row r="5641">
      <c r="A5641" s="84"/>
      <c r="B5641" s="85"/>
      <c r="C5641" s="85"/>
      <c r="F5641" s="92"/>
      <c r="G5641" s="85"/>
    </row>
    <row r="5642">
      <c r="A5642" s="84"/>
      <c r="B5642" s="85"/>
      <c r="C5642" s="85"/>
      <c r="F5642" s="92"/>
      <c r="G5642" s="85"/>
    </row>
    <row r="5643">
      <c r="A5643" s="84"/>
      <c r="B5643" s="85"/>
      <c r="C5643" s="85"/>
      <c r="F5643" s="92"/>
      <c r="G5643" s="85"/>
    </row>
    <row r="5644">
      <c r="A5644" s="84"/>
      <c r="B5644" s="85"/>
      <c r="C5644" s="85"/>
      <c r="F5644" s="92"/>
      <c r="G5644" s="85"/>
    </row>
    <row r="5645">
      <c r="A5645" s="84"/>
      <c r="B5645" s="85"/>
      <c r="C5645" s="85"/>
      <c r="F5645" s="92"/>
      <c r="G5645" s="85"/>
    </row>
    <row r="5646">
      <c r="A5646" s="84"/>
      <c r="B5646" s="85"/>
      <c r="C5646" s="85"/>
      <c r="F5646" s="92"/>
      <c r="G5646" s="85"/>
    </row>
    <row r="5647">
      <c r="A5647" s="84"/>
      <c r="B5647" s="85"/>
      <c r="C5647" s="85"/>
      <c r="F5647" s="92"/>
      <c r="G5647" s="85"/>
    </row>
    <row r="5648">
      <c r="A5648" s="84"/>
      <c r="B5648" s="85"/>
      <c r="C5648" s="85"/>
      <c r="F5648" s="92"/>
      <c r="G5648" s="85"/>
    </row>
    <row r="5649">
      <c r="A5649" s="84"/>
      <c r="B5649" s="85"/>
      <c r="C5649" s="85"/>
      <c r="F5649" s="92"/>
      <c r="G5649" s="85"/>
    </row>
    <row r="5650">
      <c r="A5650" s="84"/>
      <c r="B5650" s="85"/>
      <c r="C5650" s="85"/>
      <c r="F5650" s="92"/>
      <c r="G5650" s="85"/>
    </row>
    <row r="5651">
      <c r="A5651" s="84"/>
      <c r="B5651" s="85"/>
      <c r="C5651" s="85"/>
      <c r="F5651" s="92"/>
      <c r="G5651" s="85"/>
    </row>
    <row r="5652">
      <c r="A5652" s="84"/>
      <c r="B5652" s="85"/>
      <c r="C5652" s="85"/>
      <c r="F5652" s="92"/>
      <c r="G5652" s="85"/>
    </row>
    <row r="5653">
      <c r="A5653" s="84"/>
      <c r="B5653" s="85"/>
      <c r="C5653" s="85"/>
      <c r="F5653" s="92"/>
      <c r="G5653" s="85"/>
    </row>
    <row r="5654">
      <c r="A5654" s="84"/>
      <c r="B5654" s="85"/>
      <c r="C5654" s="85"/>
      <c r="F5654" s="92"/>
      <c r="G5654" s="85"/>
    </row>
    <row r="5655">
      <c r="A5655" s="84"/>
      <c r="B5655" s="85"/>
      <c r="C5655" s="85"/>
      <c r="F5655" s="92"/>
      <c r="G5655" s="85"/>
    </row>
    <row r="5656">
      <c r="A5656" s="84"/>
      <c r="B5656" s="85"/>
      <c r="C5656" s="85"/>
      <c r="F5656" s="92"/>
      <c r="G5656" s="85"/>
    </row>
    <row r="5657">
      <c r="A5657" s="84"/>
      <c r="B5657" s="85"/>
      <c r="C5657" s="85"/>
      <c r="F5657" s="92"/>
      <c r="G5657" s="85"/>
    </row>
    <row r="5658">
      <c r="A5658" s="84"/>
      <c r="B5658" s="85"/>
      <c r="C5658" s="85"/>
      <c r="F5658" s="92"/>
      <c r="G5658" s="85"/>
    </row>
    <row r="5659">
      <c r="A5659" s="84"/>
      <c r="B5659" s="85"/>
      <c r="C5659" s="85"/>
      <c r="F5659" s="92"/>
      <c r="G5659" s="85"/>
    </row>
    <row r="5660">
      <c r="A5660" s="84"/>
      <c r="B5660" s="85"/>
      <c r="C5660" s="85"/>
      <c r="F5660" s="92"/>
      <c r="G5660" s="85"/>
    </row>
    <row r="5661">
      <c r="A5661" s="84"/>
      <c r="B5661" s="85"/>
      <c r="C5661" s="85"/>
      <c r="F5661" s="92"/>
      <c r="G5661" s="85"/>
    </row>
    <row r="5662">
      <c r="A5662" s="84"/>
      <c r="B5662" s="85"/>
      <c r="C5662" s="85"/>
      <c r="F5662" s="92"/>
      <c r="G5662" s="85"/>
    </row>
    <row r="5663">
      <c r="A5663" s="84"/>
      <c r="B5663" s="85"/>
      <c r="C5663" s="85"/>
      <c r="F5663" s="92"/>
      <c r="G5663" s="85"/>
    </row>
    <row r="5664">
      <c r="A5664" s="84"/>
      <c r="B5664" s="85"/>
      <c r="C5664" s="85"/>
      <c r="F5664" s="92"/>
      <c r="G5664" s="85"/>
    </row>
    <row r="5665">
      <c r="A5665" s="84"/>
      <c r="B5665" s="85"/>
      <c r="C5665" s="85"/>
      <c r="F5665" s="92"/>
      <c r="G5665" s="85"/>
    </row>
    <row r="5666">
      <c r="A5666" s="84"/>
      <c r="B5666" s="85"/>
      <c r="C5666" s="85"/>
      <c r="F5666" s="92"/>
      <c r="G5666" s="85"/>
    </row>
    <row r="5667">
      <c r="A5667" s="84"/>
      <c r="B5667" s="85"/>
      <c r="C5667" s="85"/>
      <c r="F5667" s="92"/>
      <c r="G5667" s="85"/>
    </row>
    <row r="5668">
      <c r="A5668" s="84"/>
      <c r="B5668" s="85"/>
      <c r="C5668" s="85"/>
      <c r="F5668" s="92"/>
      <c r="G5668" s="85"/>
    </row>
    <row r="5669">
      <c r="A5669" s="84"/>
      <c r="B5669" s="85"/>
      <c r="C5669" s="85"/>
      <c r="F5669" s="92"/>
      <c r="G5669" s="85"/>
    </row>
    <row r="5670">
      <c r="A5670" s="84"/>
      <c r="B5670" s="85"/>
      <c r="C5670" s="85"/>
      <c r="F5670" s="92"/>
      <c r="G5670" s="85"/>
    </row>
    <row r="5671">
      <c r="A5671" s="84"/>
      <c r="B5671" s="85"/>
      <c r="C5671" s="85"/>
      <c r="F5671" s="92"/>
      <c r="G5671" s="85"/>
    </row>
    <row r="5672">
      <c r="A5672" s="84"/>
      <c r="B5672" s="85"/>
      <c r="C5672" s="85"/>
      <c r="F5672" s="92"/>
      <c r="G5672" s="85"/>
    </row>
    <row r="5673">
      <c r="A5673" s="84"/>
      <c r="B5673" s="85"/>
      <c r="C5673" s="85"/>
      <c r="F5673" s="92"/>
      <c r="G5673" s="85"/>
    </row>
    <row r="5674">
      <c r="A5674" s="84"/>
      <c r="B5674" s="85"/>
      <c r="C5674" s="85"/>
      <c r="F5674" s="92"/>
      <c r="G5674" s="85"/>
    </row>
    <row r="5675">
      <c r="A5675" s="84"/>
      <c r="B5675" s="85"/>
      <c r="C5675" s="85"/>
      <c r="F5675" s="92"/>
      <c r="G5675" s="85"/>
    </row>
    <row r="5676">
      <c r="A5676" s="84"/>
      <c r="B5676" s="85"/>
      <c r="C5676" s="85"/>
      <c r="F5676" s="92"/>
      <c r="G5676" s="85"/>
    </row>
    <row r="5677">
      <c r="A5677" s="84"/>
      <c r="B5677" s="85"/>
      <c r="C5677" s="85"/>
      <c r="F5677" s="92"/>
      <c r="G5677" s="85"/>
    </row>
    <row r="5678">
      <c r="A5678" s="84"/>
      <c r="B5678" s="85"/>
      <c r="C5678" s="85"/>
      <c r="F5678" s="92"/>
      <c r="G5678" s="85"/>
    </row>
    <row r="5679">
      <c r="A5679" s="84"/>
      <c r="B5679" s="85"/>
      <c r="C5679" s="85"/>
      <c r="F5679" s="92"/>
      <c r="G5679" s="85"/>
    </row>
    <row r="5680">
      <c r="A5680" s="84"/>
      <c r="B5680" s="85"/>
      <c r="C5680" s="85"/>
      <c r="F5680" s="92"/>
      <c r="G5680" s="85"/>
    </row>
    <row r="5681">
      <c r="A5681" s="84"/>
      <c r="B5681" s="85"/>
      <c r="C5681" s="85"/>
      <c r="F5681" s="92"/>
      <c r="G5681" s="85"/>
    </row>
    <row r="5682">
      <c r="A5682" s="84"/>
      <c r="B5682" s="85"/>
      <c r="C5682" s="85"/>
      <c r="F5682" s="92"/>
      <c r="G5682" s="85"/>
    </row>
    <row r="5683">
      <c r="A5683" s="84"/>
      <c r="B5683" s="85"/>
      <c r="C5683" s="85"/>
      <c r="F5683" s="92"/>
      <c r="G5683" s="85"/>
    </row>
    <row r="5684">
      <c r="A5684" s="84"/>
      <c r="B5684" s="85"/>
      <c r="C5684" s="85"/>
      <c r="F5684" s="92"/>
      <c r="G5684" s="85"/>
    </row>
    <row r="5685">
      <c r="A5685" s="84"/>
      <c r="B5685" s="85"/>
      <c r="C5685" s="85"/>
      <c r="F5685" s="92"/>
      <c r="G5685" s="85"/>
    </row>
    <row r="5686">
      <c r="A5686" s="84"/>
      <c r="B5686" s="85"/>
      <c r="C5686" s="85"/>
      <c r="F5686" s="92"/>
      <c r="G5686" s="85"/>
    </row>
    <row r="5687">
      <c r="A5687" s="84"/>
      <c r="B5687" s="85"/>
      <c r="C5687" s="85"/>
      <c r="F5687" s="92"/>
      <c r="G5687" s="85"/>
    </row>
    <row r="5688">
      <c r="A5688" s="84"/>
      <c r="B5688" s="85"/>
      <c r="C5688" s="85"/>
      <c r="F5688" s="92"/>
      <c r="G5688" s="85"/>
    </row>
    <row r="5689">
      <c r="A5689" s="84"/>
      <c r="B5689" s="85"/>
      <c r="C5689" s="85"/>
      <c r="F5689" s="92"/>
      <c r="G5689" s="85"/>
    </row>
    <row r="5690">
      <c r="A5690" s="84"/>
      <c r="B5690" s="85"/>
      <c r="C5690" s="85"/>
      <c r="F5690" s="92"/>
      <c r="G5690" s="85"/>
    </row>
    <row r="5691">
      <c r="A5691" s="84"/>
      <c r="B5691" s="85"/>
      <c r="C5691" s="85"/>
      <c r="F5691" s="92"/>
      <c r="G5691" s="85"/>
    </row>
    <row r="5692">
      <c r="A5692" s="84"/>
      <c r="B5692" s="85"/>
      <c r="C5692" s="85"/>
      <c r="F5692" s="92"/>
      <c r="G5692" s="85"/>
    </row>
    <row r="5693">
      <c r="A5693" s="84"/>
      <c r="B5693" s="85"/>
      <c r="C5693" s="85"/>
      <c r="F5693" s="92"/>
      <c r="G5693" s="85"/>
    </row>
    <row r="5694">
      <c r="A5694" s="84"/>
      <c r="B5694" s="85"/>
      <c r="C5694" s="85"/>
      <c r="F5694" s="92"/>
      <c r="G5694" s="85"/>
    </row>
    <row r="5695">
      <c r="A5695" s="84"/>
      <c r="B5695" s="85"/>
      <c r="C5695" s="85"/>
      <c r="F5695" s="92"/>
      <c r="G5695" s="85"/>
    </row>
    <row r="5696">
      <c r="A5696" s="84"/>
      <c r="B5696" s="85"/>
      <c r="C5696" s="85"/>
      <c r="F5696" s="92"/>
      <c r="G5696" s="85"/>
    </row>
    <row r="5697">
      <c r="A5697" s="84"/>
      <c r="B5697" s="85"/>
      <c r="C5697" s="85"/>
      <c r="F5697" s="92"/>
      <c r="G5697" s="85"/>
    </row>
    <row r="5698">
      <c r="A5698" s="84"/>
      <c r="B5698" s="85"/>
      <c r="C5698" s="85"/>
      <c r="F5698" s="92"/>
      <c r="G5698" s="85"/>
    </row>
    <row r="5699">
      <c r="A5699" s="84"/>
      <c r="B5699" s="85"/>
      <c r="C5699" s="85"/>
      <c r="F5699" s="92"/>
      <c r="G5699" s="85"/>
    </row>
    <row r="5700">
      <c r="A5700" s="84"/>
      <c r="B5700" s="85"/>
      <c r="C5700" s="85"/>
      <c r="F5700" s="92"/>
      <c r="G5700" s="85"/>
    </row>
    <row r="5701">
      <c r="A5701" s="84"/>
      <c r="B5701" s="85"/>
      <c r="C5701" s="85"/>
      <c r="F5701" s="92"/>
      <c r="G5701" s="85"/>
    </row>
    <row r="5702">
      <c r="A5702" s="84"/>
      <c r="B5702" s="85"/>
      <c r="C5702" s="85"/>
      <c r="F5702" s="92"/>
      <c r="G5702" s="85"/>
    </row>
    <row r="5703">
      <c r="A5703" s="84"/>
      <c r="B5703" s="85"/>
      <c r="C5703" s="85"/>
      <c r="F5703" s="92"/>
      <c r="G5703" s="85"/>
    </row>
    <row r="5704">
      <c r="A5704" s="84"/>
      <c r="B5704" s="85"/>
      <c r="C5704" s="85"/>
      <c r="F5704" s="92"/>
      <c r="G5704" s="85"/>
    </row>
    <row r="5705">
      <c r="A5705" s="84"/>
      <c r="B5705" s="85"/>
      <c r="C5705" s="85"/>
      <c r="F5705" s="92"/>
      <c r="G5705" s="85"/>
    </row>
    <row r="5706">
      <c r="A5706" s="84"/>
      <c r="B5706" s="85"/>
      <c r="C5706" s="85"/>
      <c r="F5706" s="92"/>
      <c r="G5706" s="85"/>
    </row>
    <row r="5707">
      <c r="A5707" s="84"/>
      <c r="B5707" s="85"/>
      <c r="C5707" s="85"/>
      <c r="F5707" s="92"/>
      <c r="G5707" s="85"/>
    </row>
    <row r="5708">
      <c r="A5708" s="84"/>
      <c r="B5708" s="85"/>
      <c r="C5708" s="85"/>
      <c r="F5708" s="92"/>
      <c r="G5708" s="85"/>
    </row>
    <row r="5709">
      <c r="A5709" s="84"/>
      <c r="B5709" s="85"/>
      <c r="C5709" s="85"/>
      <c r="F5709" s="92"/>
      <c r="G5709" s="85"/>
    </row>
    <row r="5710">
      <c r="A5710" s="84"/>
      <c r="B5710" s="85"/>
      <c r="C5710" s="85"/>
      <c r="F5710" s="92"/>
      <c r="G5710" s="85"/>
    </row>
    <row r="5711">
      <c r="A5711" s="84"/>
      <c r="B5711" s="85"/>
      <c r="C5711" s="85"/>
      <c r="F5711" s="92"/>
      <c r="G5711" s="85"/>
    </row>
    <row r="5712">
      <c r="A5712" s="84"/>
      <c r="B5712" s="85"/>
      <c r="C5712" s="85"/>
      <c r="F5712" s="92"/>
      <c r="G5712" s="85"/>
    </row>
    <row r="5713">
      <c r="A5713" s="84"/>
      <c r="B5713" s="85"/>
      <c r="C5713" s="85"/>
      <c r="F5713" s="92"/>
      <c r="G5713" s="85"/>
    </row>
    <row r="5714">
      <c r="A5714" s="84"/>
      <c r="B5714" s="85"/>
      <c r="C5714" s="85"/>
      <c r="F5714" s="92"/>
      <c r="G5714" s="85"/>
    </row>
    <row r="5715">
      <c r="A5715" s="84"/>
      <c r="B5715" s="85"/>
      <c r="C5715" s="85"/>
      <c r="F5715" s="92"/>
      <c r="G5715" s="85"/>
    </row>
    <row r="5716">
      <c r="A5716" s="84"/>
      <c r="B5716" s="85"/>
      <c r="C5716" s="85"/>
      <c r="F5716" s="92"/>
      <c r="G5716" s="85"/>
    </row>
    <row r="5717">
      <c r="A5717" s="84"/>
      <c r="B5717" s="85"/>
      <c r="C5717" s="85"/>
      <c r="F5717" s="92"/>
      <c r="G5717" s="85"/>
    </row>
    <row r="5718">
      <c r="A5718" s="84"/>
      <c r="B5718" s="85"/>
      <c r="C5718" s="85"/>
      <c r="F5718" s="92"/>
      <c r="G5718" s="85"/>
    </row>
    <row r="5719">
      <c r="A5719" s="84"/>
      <c r="B5719" s="85"/>
      <c r="C5719" s="85"/>
      <c r="F5719" s="92"/>
      <c r="G5719" s="85"/>
    </row>
    <row r="5720">
      <c r="A5720" s="84"/>
      <c r="B5720" s="85"/>
      <c r="C5720" s="85"/>
      <c r="F5720" s="92"/>
      <c r="G5720" s="85"/>
    </row>
    <row r="5721">
      <c r="A5721" s="84"/>
      <c r="B5721" s="85"/>
      <c r="C5721" s="85"/>
      <c r="F5721" s="92"/>
      <c r="G5721" s="85"/>
    </row>
    <row r="5722">
      <c r="A5722" s="84"/>
      <c r="B5722" s="85"/>
      <c r="C5722" s="85"/>
      <c r="F5722" s="92"/>
      <c r="G5722" s="85"/>
    </row>
    <row r="5723">
      <c r="A5723" s="84"/>
      <c r="B5723" s="85"/>
      <c r="C5723" s="85"/>
      <c r="F5723" s="92"/>
      <c r="G5723" s="85"/>
    </row>
    <row r="5724">
      <c r="A5724" s="84"/>
      <c r="B5724" s="85"/>
      <c r="C5724" s="85"/>
      <c r="F5724" s="92"/>
      <c r="G5724" s="85"/>
    </row>
    <row r="5725">
      <c r="A5725" s="84"/>
      <c r="B5725" s="85"/>
      <c r="C5725" s="85"/>
      <c r="F5725" s="92"/>
      <c r="G5725" s="85"/>
    </row>
    <row r="5726">
      <c r="A5726" s="84"/>
      <c r="B5726" s="85"/>
      <c r="C5726" s="85"/>
      <c r="F5726" s="92"/>
      <c r="G5726" s="85"/>
    </row>
    <row r="5727">
      <c r="A5727" s="84"/>
      <c r="B5727" s="85"/>
      <c r="C5727" s="85"/>
      <c r="F5727" s="92"/>
      <c r="G5727" s="85"/>
    </row>
    <row r="5728">
      <c r="A5728" s="84"/>
      <c r="B5728" s="85"/>
      <c r="C5728" s="85"/>
      <c r="F5728" s="92"/>
      <c r="G5728" s="85"/>
    </row>
    <row r="5729">
      <c r="A5729" s="84"/>
      <c r="B5729" s="85"/>
      <c r="C5729" s="85"/>
      <c r="F5729" s="92"/>
      <c r="G5729" s="85"/>
    </row>
    <row r="5730">
      <c r="A5730" s="84"/>
      <c r="B5730" s="85"/>
      <c r="C5730" s="85"/>
      <c r="F5730" s="92"/>
      <c r="G5730" s="85"/>
    </row>
    <row r="5731">
      <c r="A5731" s="84"/>
      <c r="B5731" s="85"/>
      <c r="C5731" s="85"/>
      <c r="F5731" s="92"/>
      <c r="G5731" s="85"/>
    </row>
    <row r="5732">
      <c r="A5732" s="84"/>
      <c r="B5732" s="85"/>
      <c r="C5732" s="85"/>
      <c r="F5732" s="92"/>
      <c r="G5732" s="85"/>
    </row>
    <row r="5733">
      <c r="A5733" s="84"/>
      <c r="B5733" s="85"/>
      <c r="C5733" s="85"/>
      <c r="F5733" s="92"/>
      <c r="G5733" s="85"/>
    </row>
    <row r="5734">
      <c r="A5734" s="84"/>
      <c r="B5734" s="85"/>
      <c r="C5734" s="85"/>
      <c r="F5734" s="92"/>
      <c r="G5734" s="85"/>
    </row>
    <row r="5735">
      <c r="A5735" s="84"/>
      <c r="B5735" s="85"/>
      <c r="C5735" s="85"/>
      <c r="F5735" s="92"/>
      <c r="G5735" s="85"/>
    </row>
    <row r="5736">
      <c r="A5736" s="84"/>
      <c r="B5736" s="85"/>
      <c r="C5736" s="85"/>
      <c r="F5736" s="92"/>
      <c r="G5736" s="85"/>
    </row>
    <row r="5737">
      <c r="A5737" s="84"/>
      <c r="B5737" s="85"/>
      <c r="C5737" s="85"/>
      <c r="F5737" s="92"/>
      <c r="G5737" s="85"/>
    </row>
    <row r="5738">
      <c r="A5738" s="84"/>
      <c r="B5738" s="85"/>
      <c r="C5738" s="85"/>
      <c r="F5738" s="92"/>
      <c r="G5738" s="85"/>
    </row>
    <row r="5739">
      <c r="A5739" s="84"/>
      <c r="B5739" s="85"/>
      <c r="C5739" s="85"/>
      <c r="F5739" s="92"/>
      <c r="G5739" s="85"/>
    </row>
    <row r="5740">
      <c r="A5740" s="84"/>
      <c r="B5740" s="85"/>
      <c r="C5740" s="85"/>
      <c r="F5740" s="92"/>
      <c r="G5740" s="85"/>
    </row>
    <row r="5741">
      <c r="A5741" s="84"/>
      <c r="B5741" s="85"/>
      <c r="C5741" s="85"/>
      <c r="F5741" s="92"/>
      <c r="G5741" s="85"/>
    </row>
    <row r="5742">
      <c r="A5742" s="84"/>
      <c r="B5742" s="85"/>
      <c r="C5742" s="85"/>
      <c r="F5742" s="92"/>
      <c r="G5742" s="85"/>
    </row>
    <row r="5743">
      <c r="A5743" s="84"/>
      <c r="B5743" s="85"/>
      <c r="C5743" s="85"/>
      <c r="F5743" s="92"/>
      <c r="G5743" s="85"/>
    </row>
    <row r="5744">
      <c r="A5744" s="84"/>
      <c r="B5744" s="85"/>
      <c r="C5744" s="85"/>
      <c r="F5744" s="92"/>
      <c r="G5744" s="85"/>
    </row>
    <row r="5745">
      <c r="A5745" s="84"/>
      <c r="B5745" s="85"/>
      <c r="C5745" s="85"/>
      <c r="F5745" s="92"/>
      <c r="G5745" s="85"/>
    </row>
    <row r="5746">
      <c r="A5746" s="84"/>
      <c r="B5746" s="85"/>
      <c r="C5746" s="85"/>
      <c r="F5746" s="92"/>
      <c r="G5746" s="85"/>
    </row>
    <row r="5747">
      <c r="A5747" s="84"/>
      <c r="B5747" s="85"/>
      <c r="C5747" s="85"/>
      <c r="F5747" s="92"/>
      <c r="G5747" s="85"/>
    </row>
    <row r="5748">
      <c r="A5748" s="84"/>
      <c r="B5748" s="85"/>
      <c r="C5748" s="85"/>
      <c r="F5748" s="92"/>
      <c r="G5748" s="85"/>
    </row>
    <row r="5749">
      <c r="A5749" s="84"/>
      <c r="B5749" s="85"/>
      <c r="C5749" s="85"/>
      <c r="F5749" s="92"/>
      <c r="G5749" s="85"/>
    </row>
    <row r="5750">
      <c r="A5750" s="84"/>
      <c r="B5750" s="85"/>
      <c r="C5750" s="85"/>
      <c r="F5750" s="92"/>
      <c r="G5750" s="85"/>
    </row>
    <row r="5751">
      <c r="A5751" s="84"/>
      <c r="B5751" s="85"/>
      <c r="C5751" s="85"/>
      <c r="F5751" s="92"/>
      <c r="G5751" s="85"/>
    </row>
    <row r="5752">
      <c r="A5752" s="84"/>
      <c r="B5752" s="85"/>
      <c r="C5752" s="85"/>
      <c r="F5752" s="92"/>
      <c r="G5752" s="85"/>
    </row>
    <row r="5753">
      <c r="A5753" s="84"/>
      <c r="B5753" s="85"/>
      <c r="C5753" s="85"/>
      <c r="F5753" s="92"/>
      <c r="G5753" s="85"/>
    </row>
    <row r="5754">
      <c r="A5754" s="84"/>
      <c r="B5754" s="85"/>
      <c r="C5754" s="85"/>
      <c r="F5754" s="92"/>
      <c r="G5754" s="85"/>
    </row>
    <row r="5755">
      <c r="A5755" s="84"/>
      <c r="B5755" s="85"/>
      <c r="C5755" s="85"/>
      <c r="F5755" s="92"/>
      <c r="G5755" s="85"/>
    </row>
    <row r="5756">
      <c r="A5756" s="84"/>
      <c r="B5756" s="85"/>
      <c r="C5756" s="85"/>
      <c r="F5756" s="92"/>
      <c r="G5756" s="85"/>
    </row>
    <row r="5757">
      <c r="A5757" s="84"/>
      <c r="B5757" s="85"/>
      <c r="C5757" s="85"/>
      <c r="F5757" s="92"/>
      <c r="G5757" s="85"/>
    </row>
    <row r="5758">
      <c r="A5758" s="84"/>
      <c r="B5758" s="85"/>
      <c r="C5758" s="85"/>
      <c r="F5758" s="92"/>
      <c r="G5758" s="85"/>
    </row>
    <row r="5759">
      <c r="A5759" s="84"/>
      <c r="B5759" s="85"/>
      <c r="C5759" s="85"/>
      <c r="F5759" s="92"/>
      <c r="G5759" s="85"/>
    </row>
    <row r="5760">
      <c r="A5760" s="84"/>
      <c r="B5760" s="85"/>
      <c r="C5760" s="85"/>
      <c r="F5760" s="92"/>
      <c r="G5760" s="85"/>
    </row>
    <row r="5761">
      <c r="A5761" s="84"/>
      <c r="B5761" s="85"/>
      <c r="C5761" s="85"/>
      <c r="F5761" s="92"/>
      <c r="G5761" s="85"/>
    </row>
    <row r="5762">
      <c r="A5762" s="84"/>
      <c r="B5762" s="85"/>
      <c r="C5762" s="85"/>
      <c r="F5762" s="92"/>
      <c r="G5762" s="85"/>
    </row>
    <row r="5763">
      <c r="A5763" s="84"/>
      <c r="B5763" s="85"/>
      <c r="C5763" s="85"/>
      <c r="F5763" s="92"/>
      <c r="G5763" s="85"/>
    </row>
    <row r="5764">
      <c r="A5764" s="84"/>
      <c r="B5764" s="85"/>
      <c r="C5764" s="85"/>
      <c r="F5764" s="92"/>
      <c r="G5764" s="85"/>
    </row>
    <row r="5765">
      <c r="A5765" s="84"/>
      <c r="B5765" s="85"/>
      <c r="C5765" s="85"/>
      <c r="F5765" s="92"/>
      <c r="G5765" s="85"/>
    </row>
    <row r="5766">
      <c r="A5766" s="84"/>
      <c r="B5766" s="85"/>
      <c r="C5766" s="85"/>
      <c r="F5766" s="92"/>
      <c r="G5766" s="85"/>
    </row>
    <row r="5767">
      <c r="A5767" s="84"/>
      <c r="B5767" s="85"/>
      <c r="C5767" s="85"/>
      <c r="F5767" s="92"/>
      <c r="G5767" s="85"/>
    </row>
    <row r="5768">
      <c r="A5768" s="84"/>
      <c r="B5768" s="85"/>
      <c r="C5768" s="85"/>
      <c r="F5768" s="92"/>
      <c r="G5768" s="85"/>
    </row>
    <row r="5769">
      <c r="A5769" s="84"/>
      <c r="B5769" s="85"/>
      <c r="C5769" s="85"/>
      <c r="F5769" s="92"/>
      <c r="G5769" s="85"/>
    </row>
    <row r="5770">
      <c r="A5770" s="84"/>
      <c r="B5770" s="85"/>
      <c r="C5770" s="85"/>
      <c r="F5770" s="92"/>
      <c r="G5770" s="85"/>
    </row>
    <row r="5771">
      <c r="A5771" s="84"/>
      <c r="B5771" s="85"/>
      <c r="C5771" s="85"/>
      <c r="F5771" s="92"/>
      <c r="G5771" s="85"/>
    </row>
    <row r="5772">
      <c r="A5772" s="84"/>
      <c r="B5772" s="85"/>
      <c r="C5772" s="85"/>
      <c r="F5772" s="92"/>
      <c r="G5772" s="85"/>
    </row>
    <row r="5773">
      <c r="A5773" s="84"/>
      <c r="B5773" s="85"/>
      <c r="C5773" s="85"/>
      <c r="F5773" s="92"/>
      <c r="G5773" s="85"/>
    </row>
    <row r="5774">
      <c r="A5774" s="84"/>
      <c r="B5774" s="85"/>
      <c r="C5774" s="85"/>
      <c r="F5774" s="92"/>
      <c r="G5774" s="85"/>
    </row>
    <row r="5775">
      <c r="A5775" s="84"/>
      <c r="B5775" s="85"/>
      <c r="C5775" s="85"/>
      <c r="F5775" s="92"/>
      <c r="G5775" s="85"/>
    </row>
    <row r="5776">
      <c r="A5776" s="84"/>
      <c r="B5776" s="85"/>
      <c r="C5776" s="85"/>
      <c r="F5776" s="92"/>
      <c r="G5776" s="85"/>
    </row>
    <row r="5777">
      <c r="A5777" s="84"/>
      <c r="B5777" s="85"/>
      <c r="C5777" s="85"/>
      <c r="F5777" s="92"/>
      <c r="G5777" s="85"/>
    </row>
    <row r="5778">
      <c r="A5778" s="84"/>
      <c r="B5778" s="85"/>
      <c r="C5778" s="85"/>
      <c r="F5778" s="92"/>
      <c r="G5778" s="85"/>
    </row>
    <row r="5779">
      <c r="A5779" s="84"/>
      <c r="B5779" s="85"/>
      <c r="C5779" s="85"/>
      <c r="F5779" s="92"/>
      <c r="G5779" s="85"/>
    </row>
    <row r="5780">
      <c r="A5780" s="84"/>
      <c r="B5780" s="85"/>
      <c r="C5780" s="85"/>
      <c r="F5780" s="92"/>
      <c r="G5780" s="85"/>
    </row>
    <row r="5781">
      <c r="A5781" s="84"/>
      <c r="B5781" s="85"/>
      <c r="C5781" s="85"/>
      <c r="F5781" s="92"/>
      <c r="G5781" s="85"/>
    </row>
    <row r="5782">
      <c r="A5782" s="84"/>
      <c r="B5782" s="85"/>
      <c r="C5782" s="85"/>
      <c r="F5782" s="92"/>
      <c r="G5782" s="85"/>
    </row>
    <row r="5783">
      <c r="A5783" s="84"/>
      <c r="B5783" s="85"/>
      <c r="C5783" s="85"/>
      <c r="F5783" s="92"/>
      <c r="G5783" s="85"/>
    </row>
    <row r="5784">
      <c r="A5784" s="84"/>
      <c r="B5784" s="85"/>
      <c r="C5784" s="85"/>
      <c r="F5784" s="92"/>
      <c r="G5784" s="85"/>
    </row>
    <row r="5785">
      <c r="A5785" s="84"/>
      <c r="B5785" s="85"/>
      <c r="C5785" s="85"/>
      <c r="F5785" s="92"/>
      <c r="G5785" s="85"/>
    </row>
    <row r="5786">
      <c r="A5786" s="84"/>
      <c r="B5786" s="85"/>
      <c r="C5786" s="85"/>
      <c r="F5786" s="92"/>
      <c r="G5786" s="85"/>
    </row>
    <row r="5787">
      <c r="A5787" s="84"/>
      <c r="B5787" s="85"/>
      <c r="C5787" s="85"/>
      <c r="F5787" s="92"/>
      <c r="G5787" s="85"/>
    </row>
    <row r="5788">
      <c r="A5788" s="84"/>
      <c r="B5788" s="85"/>
      <c r="C5788" s="85"/>
      <c r="F5788" s="92"/>
      <c r="G5788" s="85"/>
    </row>
    <row r="5789">
      <c r="A5789" s="84"/>
      <c r="B5789" s="85"/>
      <c r="C5789" s="85"/>
      <c r="F5789" s="92"/>
      <c r="G5789" s="85"/>
    </row>
    <row r="5790">
      <c r="A5790" s="84"/>
      <c r="B5790" s="85"/>
      <c r="C5790" s="85"/>
      <c r="F5790" s="92"/>
      <c r="G5790" s="85"/>
    </row>
    <row r="5791">
      <c r="A5791" s="84"/>
      <c r="B5791" s="85"/>
      <c r="C5791" s="85"/>
      <c r="F5791" s="92"/>
      <c r="G5791" s="85"/>
    </row>
    <row r="5792">
      <c r="A5792" s="84"/>
      <c r="B5792" s="85"/>
      <c r="C5792" s="85"/>
      <c r="F5792" s="92"/>
      <c r="G5792" s="85"/>
    </row>
    <row r="5793">
      <c r="A5793" s="84"/>
      <c r="B5793" s="85"/>
      <c r="C5793" s="85"/>
      <c r="F5793" s="92"/>
      <c r="G5793" s="85"/>
    </row>
    <row r="5794">
      <c r="A5794" s="84"/>
      <c r="B5794" s="85"/>
      <c r="C5794" s="85"/>
      <c r="F5794" s="92"/>
      <c r="G5794" s="85"/>
    </row>
    <row r="5795">
      <c r="A5795" s="84"/>
      <c r="B5795" s="85"/>
      <c r="C5795" s="85"/>
      <c r="F5795" s="92"/>
      <c r="G5795" s="85"/>
    </row>
    <row r="5796">
      <c r="A5796" s="84"/>
      <c r="B5796" s="85"/>
      <c r="C5796" s="85"/>
      <c r="F5796" s="92"/>
      <c r="G5796" s="85"/>
    </row>
    <row r="5797">
      <c r="A5797" s="84"/>
      <c r="B5797" s="85"/>
      <c r="C5797" s="85"/>
      <c r="F5797" s="92"/>
      <c r="G5797" s="85"/>
    </row>
    <row r="5798">
      <c r="A5798" s="84"/>
      <c r="B5798" s="85"/>
      <c r="C5798" s="85"/>
      <c r="F5798" s="92"/>
      <c r="G5798" s="85"/>
    </row>
    <row r="5799">
      <c r="A5799" s="84"/>
      <c r="B5799" s="85"/>
      <c r="C5799" s="85"/>
      <c r="F5799" s="92"/>
      <c r="G5799" s="85"/>
    </row>
    <row r="5800">
      <c r="A5800" s="84"/>
      <c r="B5800" s="85"/>
      <c r="C5800" s="85"/>
      <c r="F5800" s="92"/>
      <c r="G5800" s="85"/>
    </row>
    <row r="5801">
      <c r="A5801" s="84"/>
      <c r="B5801" s="85"/>
      <c r="C5801" s="85"/>
      <c r="F5801" s="92"/>
      <c r="G5801" s="85"/>
    </row>
    <row r="5802">
      <c r="A5802" s="84"/>
      <c r="B5802" s="85"/>
      <c r="C5802" s="85"/>
      <c r="F5802" s="92"/>
      <c r="G5802" s="85"/>
    </row>
    <row r="5803">
      <c r="A5803" s="84"/>
      <c r="B5803" s="85"/>
      <c r="C5803" s="85"/>
      <c r="F5803" s="92"/>
      <c r="G5803" s="85"/>
    </row>
    <row r="5804">
      <c r="A5804" s="84"/>
      <c r="B5804" s="85"/>
      <c r="C5804" s="85"/>
      <c r="F5804" s="92"/>
      <c r="G5804" s="85"/>
    </row>
    <row r="5805">
      <c r="A5805" s="84"/>
      <c r="B5805" s="85"/>
      <c r="C5805" s="85"/>
      <c r="F5805" s="92"/>
      <c r="G5805" s="85"/>
    </row>
    <row r="5806">
      <c r="A5806" s="84"/>
      <c r="B5806" s="85"/>
      <c r="C5806" s="85"/>
      <c r="F5806" s="92"/>
      <c r="G5806" s="85"/>
    </row>
    <row r="5807">
      <c r="A5807" s="84"/>
      <c r="B5807" s="85"/>
      <c r="C5807" s="85"/>
      <c r="F5807" s="92"/>
      <c r="G5807" s="85"/>
    </row>
    <row r="5808">
      <c r="A5808" s="84"/>
      <c r="B5808" s="85"/>
      <c r="C5808" s="85"/>
      <c r="F5808" s="92"/>
      <c r="G5808" s="85"/>
    </row>
    <row r="5809">
      <c r="A5809" s="84"/>
      <c r="B5809" s="85"/>
      <c r="C5809" s="85"/>
      <c r="F5809" s="92"/>
      <c r="G5809" s="85"/>
    </row>
    <row r="5810">
      <c r="A5810" s="84"/>
      <c r="B5810" s="85"/>
      <c r="C5810" s="85"/>
      <c r="F5810" s="92"/>
      <c r="G5810" s="85"/>
    </row>
    <row r="5811">
      <c r="A5811" s="84"/>
      <c r="B5811" s="85"/>
      <c r="C5811" s="85"/>
      <c r="F5811" s="92"/>
      <c r="G5811" s="85"/>
    </row>
    <row r="5812">
      <c r="A5812" s="84"/>
      <c r="B5812" s="85"/>
      <c r="C5812" s="85"/>
      <c r="F5812" s="92"/>
      <c r="G5812" s="85"/>
    </row>
    <row r="5813">
      <c r="A5813" s="84"/>
      <c r="B5813" s="85"/>
      <c r="C5813" s="85"/>
      <c r="F5813" s="92"/>
      <c r="G5813" s="85"/>
    </row>
    <row r="5814">
      <c r="A5814" s="84"/>
      <c r="B5814" s="85"/>
      <c r="C5814" s="85"/>
      <c r="F5814" s="92"/>
      <c r="G5814" s="85"/>
    </row>
    <row r="5815">
      <c r="A5815" s="84"/>
      <c r="B5815" s="85"/>
      <c r="C5815" s="85"/>
      <c r="F5815" s="92"/>
      <c r="G5815" s="85"/>
    </row>
    <row r="5816">
      <c r="A5816" s="84"/>
      <c r="B5816" s="85"/>
      <c r="C5816" s="85"/>
      <c r="F5816" s="92"/>
      <c r="G5816" s="85"/>
    </row>
    <row r="5817">
      <c r="A5817" s="84"/>
      <c r="B5817" s="85"/>
      <c r="C5817" s="85"/>
      <c r="F5817" s="92"/>
      <c r="G5817" s="85"/>
    </row>
    <row r="5818">
      <c r="A5818" s="84"/>
      <c r="B5818" s="85"/>
      <c r="C5818" s="85"/>
      <c r="F5818" s="92"/>
      <c r="G5818" s="85"/>
    </row>
    <row r="5819">
      <c r="A5819" s="84"/>
      <c r="B5819" s="85"/>
      <c r="C5819" s="85"/>
      <c r="F5819" s="92"/>
      <c r="G5819" s="85"/>
    </row>
    <row r="5820">
      <c r="A5820" s="84"/>
      <c r="B5820" s="85"/>
      <c r="C5820" s="85"/>
      <c r="F5820" s="92"/>
      <c r="G5820" s="85"/>
    </row>
    <row r="5821">
      <c r="A5821" s="84"/>
      <c r="B5821" s="85"/>
      <c r="C5821" s="85"/>
      <c r="F5821" s="92"/>
      <c r="G5821" s="85"/>
    </row>
    <row r="5822">
      <c r="A5822" s="84"/>
      <c r="B5822" s="85"/>
      <c r="C5822" s="85"/>
      <c r="F5822" s="92"/>
      <c r="G5822" s="85"/>
    </row>
    <row r="5823">
      <c r="A5823" s="84"/>
      <c r="B5823" s="85"/>
      <c r="C5823" s="85"/>
      <c r="F5823" s="92"/>
      <c r="G5823" s="85"/>
    </row>
    <row r="5824">
      <c r="A5824" s="84"/>
      <c r="B5824" s="85"/>
      <c r="C5824" s="85"/>
      <c r="F5824" s="92"/>
      <c r="G5824" s="85"/>
    </row>
    <row r="5825">
      <c r="A5825" s="84"/>
      <c r="B5825" s="85"/>
      <c r="C5825" s="85"/>
      <c r="F5825" s="92"/>
      <c r="G5825" s="85"/>
    </row>
    <row r="5826">
      <c r="A5826" s="84"/>
      <c r="B5826" s="85"/>
      <c r="C5826" s="85"/>
      <c r="F5826" s="92"/>
      <c r="G5826" s="85"/>
    </row>
    <row r="5827">
      <c r="A5827" s="84"/>
      <c r="B5827" s="85"/>
      <c r="C5827" s="85"/>
      <c r="F5827" s="92"/>
      <c r="G5827" s="85"/>
    </row>
    <row r="5828">
      <c r="A5828" s="84"/>
      <c r="B5828" s="85"/>
      <c r="C5828" s="85"/>
      <c r="F5828" s="92"/>
      <c r="G5828" s="85"/>
    </row>
    <row r="5829">
      <c r="A5829" s="84"/>
      <c r="B5829" s="85"/>
      <c r="C5829" s="85"/>
      <c r="F5829" s="92"/>
      <c r="G5829" s="85"/>
    </row>
    <row r="5830">
      <c r="A5830" s="84"/>
      <c r="B5830" s="85"/>
      <c r="C5830" s="85"/>
      <c r="F5830" s="92"/>
      <c r="G5830" s="85"/>
    </row>
    <row r="5831">
      <c r="A5831" s="84"/>
      <c r="B5831" s="85"/>
      <c r="C5831" s="85"/>
      <c r="F5831" s="92"/>
      <c r="G5831" s="85"/>
    </row>
    <row r="5832">
      <c r="A5832" s="84"/>
      <c r="B5832" s="85"/>
      <c r="C5832" s="85"/>
      <c r="F5832" s="92"/>
      <c r="G5832" s="85"/>
    </row>
    <row r="5833">
      <c r="A5833" s="84"/>
      <c r="B5833" s="85"/>
      <c r="C5833" s="85"/>
      <c r="F5833" s="92"/>
      <c r="G5833" s="85"/>
    </row>
    <row r="5834">
      <c r="A5834" s="84"/>
      <c r="B5834" s="85"/>
      <c r="C5834" s="85"/>
      <c r="F5834" s="92"/>
      <c r="G5834" s="85"/>
    </row>
    <row r="5835">
      <c r="A5835" s="84"/>
      <c r="B5835" s="85"/>
      <c r="C5835" s="85"/>
      <c r="F5835" s="92"/>
      <c r="G5835" s="85"/>
    </row>
    <row r="5836">
      <c r="A5836" s="84"/>
      <c r="B5836" s="85"/>
      <c r="C5836" s="85"/>
      <c r="F5836" s="92"/>
      <c r="G5836" s="85"/>
    </row>
    <row r="5837">
      <c r="A5837" s="84"/>
      <c r="B5837" s="85"/>
      <c r="C5837" s="85"/>
      <c r="F5837" s="92"/>
      <c r="G5837" s="85"/>
    </row>
    <row r="5838">
      <c r="A5838" s="84"/>
      <c r="B5838" s="85"/>
      <c r="C5838" s="85"/>
      <c r="F5838" s="92"/>
      <c r="G5838" s="85"/>
    </row>
    <row r="5839">
      <c r="A5839" s="84"/>
      <c r="B5839" s="85"/>
      <c r="C5839" s="85"/>
      <c r="F5839" s="92"/>
      <c r="G5839" s="85"/>
    </row>
    <row r="5840">
      <c r="A5840" s="84"/>
      <c r="B5840" s="85"/>
      <c r="C5840" s="85"/>
      <c r="F5840" s="92"/>
      <c r="G5840" s="85"/>
    </row>
    <row r="5841">
      <c r="A5841" s="84"/>
      <c r="B5841" s="85"/>
      <c r="C5841" s="85"/>
      <c r="F5841" s="92"/>
      <c r="G5841" s="85"/>
    </row>
    <row r="5842">
      <c r="A5842" s="84"/>
      <c r="B5842" s="85"/>
      <c r="C5842" s="85"/>
      <c r="F5842" s="92"/>
      <c r="G5842" s="85"/>
    </row>
    <row r="5843">
      <c r="A5843" s="84"/>
      <c r="B5843" s="85"/>
      <c r="C5843" s="85"/>
      <c r="F5843" s="92"/>
      <c r="G5843" s="85"/>
    </row>
    <row r="5844">
      <c r="A5844" s="84"/>
      <c r="B5844" s="85"/>
      <c r="C5844" s="85"/>
      <c r="F5844" s="92"/>
      <c r="G5844" s="85"/>
    </row>
    <row r="5845">
      <c r="A5845" s="84"/>
      <c r="B5845" s="85"/>
      <c r="C5845" s="85"/>
      <c r="F5845" s="92"/>
      <c r="G5845" s="85"/>
    </row>
    <row r="5846">
      <c r="A5846" s="84"/>
      <c r="B5846" s="85"/>
      <c r="C5846" s="85"/>
      <c r="F5846" s="92"/>
      <c r="G5846" s="85"/>
    </row>
    <row r="5847">
      <c r="A5847" s="84"/>
      <c r="B5847" s="85"/>
      <c r="C5847" s="85"/>
      <c r="F5847" s="92"/>
      <c r="G5847" s="85"/>
    </row>
    <row r="5848">
      <c r="A5848" s="84"/>
      <c r="B5848" s="85"/>
      <c r="C5848" s="85"/>
      <c r="F5848" s="92"/>
      <c r="G5848" s="85"/>
    </row>
    <row r="5849">
      <c r="A5849" s="84"/>
      <c r="B5849" s="85"/>
      <c r="C5849" s="85"/>
      <c r="F5849" s="92"/>
      <c r="G5849" s="85"/>
    </row>
    <row r="5850">
      <c r="A5850" s="84"/>
      <c r="B5850" s="85"/>
      <c r="C5850" s="85"/>
      <c r="F5850" s="92"/>
      <c r="G5850" s="85"/>
    </row>
    <row r="5851">
      <c r="A5851" s="84"/>
      <c r="B5851" s="85"/>
      <c r="C5851" s="85"/>
      <c r="F5851" s="92"/>
      <c r="G5851" s="85"/>
    </row>
    <row r="5852">
      <c r="A5852" s="84"/>
      <c r="B5852" s="85"/>
      <c r="C5852" s="85"/>
      <c r="F5852" s="92"/>
      <c r="G5852" s="85"/>
    </row>
    <row r="5853">
      <c r="A5853" s="84"/>
      <c r="B5853" s="85"/>
      <c r="C5853" s="85"/>
      <c r="F5853" s="92"/>
      <c r="G5853" s="85"/>
    </row>
    <row r="5854">
      <c r="A5854" s="84"/>
      <c r="B5854" s="85"/>
      <c r="C5854" s="85"/>
      <c r="F5854" s="92"/>
      <c r="G5854" s="85"/>
    </row>
    <row r="5855">
      <c r="A5855" s="84"/>
      <c r="B5855" s="85"/>
      <c r="C5855" s="85"/>
      <c r="F5855" s="92"/>
      <c r="G5855" s="85"/>
    </row>
    <row r="5856">
      <c r="A5856" s="84"/>
      <c r="B5856" s="85"/>
      <c r="C5856" s="85"/>
      <c r="F5856" s="92"/>
      <c r="G5856" s="85"/>
    </row>
    <row r="5857">
      <c r="A5857" s="84"/>
      <c r="B5857" s="85"/>
      <c r="C5857" s="85"/>
      <c r="F5857" s="92"/>
      <c r="G5857" s="85"/>
    </row>
    <row r="5858">
      <c r="A5858" s="84"/>
      <c r="B5858" s="85"/>
      <c r="C5858" s="85"/>
      <c r="F5858" s="92"/>
      <c r="G5858" s="85"/>
    </row>
    <row r="5859">
      <c r="A5859" s="84"/>
      <c r="B5859" s="85"/>
      <c r="C5859" s="85"/>
      <c r="F5859" s="92"/>
      <c r="G5859" s="85"/>
    </row>
    <row r="5860">
      <c r="A5860" s="84"/>
      <c r="B5860" s="85"/>
      <c r="C5860" s="85"/>
      <c r="F5860" s="92"/>
      <c r="G5860" s="85"/>
    </row>
    <row r="5861">
      <c r="A5861" s="84"/>
      <c r="B5861" s="85"/>
      <c r="C5861" s="85"/>
      <c r="F5861" s="92"/>
      <c r="G5861" s="85"/>
    </row>
    <row r="5862">
      <c r="A5862" s="84"/>
      <c r="B5862" s="85"/>
      <c r="C5862" s="85"/>
      <c r="F5862" s="92"/>
      <c r="G5862" s="85"/>
    </row>
    <row r="5863">
      <c r="A5863" s="84"/>
      <c r="B5863" s="85"/>
      <c r="C5863" s="85"/>
      <c r="F5863" s="92"/>
      <c r="G5863" s="85"/>
    </row>
    <row r="5864">
      <c r="A5864" s="84"/>
      <c r="B5864" s="85"/>
      <c r="C5864" s="85"/>
      <c r="F5864" s="92"/>
      <c r="G5864" s="85"/>
    </row>
    <row r="5865">
      <c r="A5865" s="84"/>
      <c r="B5865" s="85"/>
      <c r="C5865" s="85"/>
      <c r="F5865" s="92"/>
      <c r="G5865" s="85"/>
    </row>
    <row r="5866">
      <c r="A5866" s="84"/>
      <c r="B5866" s="85"/>
      <c r="C5866" s="85"/>
      <c r="F5866" s="92"/>
      <c r="G5866" s="85"/>
    </row>
    <row r="5867">
      <c r="A5867" s="84"/>
      <c r="B5867" s="85"/>
      <c r="C5867" s="85"/>
      <c r="F5867" s="92"/>
      <c r="G5867" s="85"/>
    </row>
    <row r="5868">
      <c r="A5868" s="84"/>
      <c r="B5868" s="85"/>
      <c r="C5868" s="85"/>
      <c r="F5868" s="92"/>
      <c r="G5868" s="85"/>
    </row>
    <row r="5869">
      <c r="A5869" s="84"/>
      <c r="B5869" s="85"/>
      <c r="C5869" s="85"/>
      <c r="F5869" s="92"/>
      <c r="G5869" s="85"/>
    </row>
    <row r="5870">
      <c r="A5870" s="84"/>
      <c r="B5870" s="85"/>
      <c r="C5870" s="85"/>
      <c r="F5870" s="92"/>
      <c r="G5870" s="85"/>
    </row>
    <row r="5871">
      <c r="A5871" s="84"/>
      <c r="B5871" s="85"/>
      <c r="C5871" s="85"/>
      <c r="F5871" s="92"/>
      <c r="G5871" s="85"/>
    </row>
    <row r="5872">
      <c r="A5872" s="84"/>
      <c r="B5872" s="85"/>
      <c r="C5872" s="85"/>
      <c r="F5872" s="92"/>
      <c r="G5872" s="85"/>
    </row>
    <row r="5873">
      <c r="A5873" s="84"/>
      <c r="B5873" s="85"/>
      <c r="C5873" s="85"/>
      <c r="F5873" s="92"/>
      <c r="G5873" s="85"/>
    </row>
    <row r="5874">
      <c r="A5874" s="84"/>
      <c r="B5874" s="85"/>
      <c r="C5874" s="85"/>
      <c r="F5874" s="92"/>
      <c r="G5874" s="85"/>
    </row>
    <row r="5875">
      <c r="A5875" s="84"/>
      <c r="B5875" s="85"/>
      <c r="C5875" s="85"/>
      <c r="F5875" s="92"/>
      <c r="G5875" s="85"/>
    </row>
    <row r="5876">
      <c r="A5876" s="84"/>
      <c r="B5876" s="85"/>
      <c r="C5876" s="85"/>
      <c r="F5876" s="92"/>
      <c r="G5876" s="85"/>
    </row>
    <row r="5877">
      <c r="A5877" s="84"/>
      <c r="B5877" s="85"/>
      <c r="C5877" s="85"/>
      <c r="F5877" s="92"/>
      <c r="G5877" s="85"/>
    </row>
    <row r="5878">
      <c r="A5878" s="84"/>
      <c r="B5878" s="85"/>
      <c r="C5878" s="85"/>
      <c r="F5878" s="92"/>
      <c r="G5878" s="85"/>
    </row>
    <row r="5879">
      <c r="A5879" s="84"/>
      <c r="B5879" s="85"/>
      <c r="C5879" s="85"/>
      <c r="F5879" s="92"/>
      <c r="G5879" s="85"/>
    </row>
    <row r="5880">
      <c r="A5880" s="84"/>
      <c r="B5880" s="85"/>
      <c r="C5880" s="85"/>
      <c r="F5880" s="92"/>
      <c r="G5880" s="85"/>
    </row>
    <row r="5881">
      <c r="A5881" s="84"/>
      <c r="B5881" s="85"/>
      <c r="C5881" s="85"/>
      <c r="F5881" s="92"/>
      <c r="G5881" s="85"/>
    </row>
    <row r="5882">
      <c r="A5882" s="84"/>
      <c r="B5882" s="85"/>
      <c r="C5882" s="85"/>
      <c r="F5882" s="92"/>
      <c r="G5882" s="85"/>
    </row>
    <row r="5883">
      <c r="A5883" s="84"/>
      <c r="B5883" s="85"/>
      <c r="C5883" s="85"/>
      <c r="F5883" s="92"/>
      <c r="G5883" s="85"/>
    </row>
    <row r="5884">
      <c r="A5884" s="84"/>
      <c r="B5884" s="85"/>
      <c r="C5884" s="85"/>
      <c r="F5884" s="92"/>
      <c r="G5884" s="85"/>
    </row>
    <row r="5885">
      <c r="A5885" s="84"/>
      <c r="B5885" s="85"/>
      <c r="C5885" s="85"/>
      <c r="F5885" s="92"/>
      <c r="G5885" s="85"/>
    </row>
    <row r="5886">
      <c r="A5886" s="84"/>
      <c r="B5886" s="85"/>
      <c r="C5886" s="85"/>
      <c r="F5886" s="92"/>
      <c r="G5886" s="85"/>
    </row>
    <row r="5887">
      <c r="A5887" s="84"/>
      <c r="B5887" s="85"/>
      <c r="C5887" s="85"/>
      <c r="F5887" s="92"/>
      <c r="G5887" s="85"/>
    </row>
    <row r="5888">
      <c r="A5888" s="84"/>
      <c r="B5888" s="85"/>
      <c r="C5888" s="85"/>
      <c r="F5888" s="92"/>
      <c r="G5888" s="85"/>
    </row>
    <row r="5889">
      <c r="A5889" s="84"/>
      <c r="B5889" s="85"/>
      <c r="C5889" s="85"/>
      <c r="F5889" s="92"/>
      <c r="G5889" s="85"/>
    </row>
    <row r="5890">
      <c r="A5890" s="84"/>
      <c r="B5890" s="85"/>
      <c r="C5890" s="85"/>
      <c r="F5890" s="92"/>
      <c r="G5890" s="85"/>
    </row>
    <row r="5891">
      <c r="A5891" s="84"/>
      <c r="B5891" s="85"/>
      <c r="C5891" s="85"/>
      <c r="F5891" s="92"/>
      <c r="G5891" s="85"/>
    </row>
    <row r="5892">
      <c r="A5892" s="84"/>
      <c r="B5892" s="85"/>
      <c r="C5892" s="85"/>
      <c r="F5892" s="92"/>
      <c r="G5892" s="85"/>
    </row>
    <row r="5893">
      <c r="A5893" s="84"/>
      <c r="B5893" s="85"/>
      <c r="C5893" s="85"/>
      <c r="F5893" s="92"/>
      <c r="G5893" s="85"/>
    </row>
    <row r="5894">
      <c r="A5894" s="84"/>
      <c r="B5894" s="85"/>
      <c r="C5894" s="85"/>
      <c r="F5894" s="92"/>
      <c r="G5894" s="85"/>
    </row>
    <row r="5895">
      <c r="A5895" s="84"/>
      <c r="B5895" s="85"/>
      <c r="C5895" s="85"/>
      <c r="F5895" s="92"/>
      <c r="G5895" s="85"/>
    </row>
    <row r="5896">
      <c r="A5896" s="84"/>
      <c r="B5896" s="85"/>
      <c r="C5896" s="85"/>
      <c r="F5896" s="92"/>
      <c r="G5896" s="85"/>
    </row>
    <row r="5897">
      <c r="A5897" s="84"/>
      <c r="B5897" s="85"/>
      <c r="C5897" s="85"/>
      <c r="F5897" s="92"/>
      <c r="G5897" s="85"/>
    </row>
    <row r="5898">
      <c r="A5898" s="84"/>
      <c r="B5898" s="85"/>
      <c r="C5898" s="85"/>
      <c r="F5898" s="92"/>
      <c r="G5898" s="85"/>
    </row>
    <row r="5899">
      <c r="A5899" s="84"/>
      <c r="B5899" s="85"/>
      <c r="C5899" s="85"/>
      <c r="F5899" s="92"/>
      <c r="G5899" s="85"/>
    </row>
    <row r="5900">
      <c r="A5900" s="84"/>
      <c r="B5900" s="85"/>
      <c r="C5900" s="85"/>
      <c r="F5900" s="92"/>
      <c r="G5900" s="85"/>
    </row>
    <row r="5901">
      <c r="A5901" s="84"/>
      <c r="B5901" s="85"/>
      <c r="C5901" s="85"/>
      <c r="F5901" s="92"/>
      <c r="G5901" s="85"/>
    </row>
    <row r="5902">
      <c r="A5902" s="84"/>
      <c r="B5902" s="85"/>
      <c r="C5902" s="85"/>
      <c r="F5902" s="92"/>
      <c r="G5902" s="85"/>
    </row>
    <row r="5903">
      <c r="A5903" s="84"/>
      <c r="B5903" s="85"/>
      <c r="C5903" s="85"/>
      <c r="F5903" s="92"/>
      <c r="G5903" s="85"/>
    </row>
    <row r="5904">
      <c r="A5904" s="84"/>
      <c r="B5904" s="85"/>
      <c r="C5904" s="85"/>
      <c r="F5904" s="92"/>
      <c r="G5904" s="85"/>
    </row>
    <row r="5905">
      <c r="A5905" s="84"/>
      <c r="B5905" s="85"/>
      <c r="C5905" s="85"/>
      <c r="F5905" s="92"/>
      <c r="G5905" s="85"/>
    </row>
    <row r="5906">
      <c r="A5906" s="84"/>
      <c r="B5906" s="85"/>
      <c r="C5906" s="85"/>
      <c r="F5906" s="92"/>
      <c r="G5906" s="85"/>
    </row>
    <row r="5907">
      <c r="A5907" s="84"/>
      <c r="B5907" s="85"/>
      <c r="C5907" s="85"/>
      <c r="F5907" s="92"/>
      <c r="G5907" s="85"/>
    </row>
    <row r="5908">
      <c r="A5908" s="84"/>
      <c r="B5908" s="85"/>
      <c r="C5908" s="85"/>
      <c r="F5908" s="92"/>
      <c r="G5908" s="85"/>
    </row>
    <row r="5909">
      <c r="A5909" s="84"/>
      <c r="B5909" s="85"/>
      <c r="C5909" s="85"/>
      <c r="F5909" s="92"/>
      <c r="G5909" s="85"/>
    </row>
    <row r="5910">
      <c r="A5910" s="84"/>
      <c r="B5910" s="85"/>
      <c r="C5910" s="85"/>
      <c r="F5910" s="92"/>
      <c r="G5910" s="85"/>
    </row>
    <row r="5911">
      <c r="A5911" s="84"/>
      <c r="B5911" s="85"/>
      <c r="C5911" s="85"/>
      <c r="F5911" s="92"/>
      <c r="G5911" s="85"/>
    </row>
    <row r="5912">
      <c r="A5912" s="84"/>
      <c r="B5912" s="85"/>
      <c r="C5912" s="85"/>
      <c r="F5912" s="92"/>
      <c r="G5912" s="85"/>
    </row>
    <row r="5913">
      <c r="A5913" s="84"/>
      <c r="B5913" s="85"/>
      <c r="C5913" s="85"/>
      <c r="F5913" s="92"/>
      <c r="G5913" s="85"/>
    </row>
    <row r="5914">
      <c r="A5914" s="84"/>
      <c r="B5914" s="85"/>
      <c r="C5914" s="85"/>
      <c r="F5914" s="92"/>
      <c r="G5914" s="85"/>
    </row>
    <row r="5915">
      <c r="A5915" s="84"/>
      <c r="B5915" s="85"/>
      <c r="C5915" s="85"/>
      <c r="F5915" s="92"/>
      <c r="G5915" s="85"/>
    </row>
    <row r="5916">
      <c r="A5916" s="84"/>
      <c r="B5916" s="85"/>
      <c r="C5916" s="85"/>
      <c r="F5916" s="92"/>
      <c r="G5916" s="85"/>
    </row>
    <row r="5917">
      <c r="A5917" s="84"/>
      <c r="B5917" s="85"/>
      <c r="C5917" s="85"/>
      <c r="F5917" s="92"/>
      <c r="G5917" s="85"/>
    </row>
    <row r="5918">
      <c r="A5918" s="84"/>
      <c r="B5918" s="85"/>
      <c r="C5918" s="85"/>
      <c r="F5918" s="92"/>
      <c r="G5918" s="85"/>
    </row>
    <row r="5919">
      <c r="A5919" s="84"/>
      <c r="B5919" s="85"/>
      <c r="C5919" s="85"/>
      <c r="F5919" s="92"/>
      <c r="G5919" s="85"/>
    </row>
    <row r="5920">
      <c r="A5920" s="84"/>
      <c r="B5920" s="85"/>
      <c r="C5920" s="85"/>
      <c r="F5920" s="92"/>
      <c r="G5920" s="85"/>
    </row>
    <row r="5921">
      <c r="A5921" s="84"/>
      <c r="B5921" s="85"/>
      <c r="C5921" s="85"/>
      <c r="F5921" s="92"/>
      <c r="G5921" s="85"/>
    </row>
    <row r="5922">
      <c r="A5922" s="84"/>
      <c r="B5922" s="85"/>
      <c r="C5922" s="85"/>
      <c r="F5922" s="92"/>
      <c r="G5922" s="85"/>
    </row>
    <row r="5923">
      <c r="A5923" s="84"/>
      <c r="B5923" s="85"/>
      <c r="C5923" s="85"/>
      <c r="F5923" s="92"/>
      <c r="G5923" s="85"/>
    </row>
    <row r="5924">
      <c r="A5924" s="84"/>
      <c r="B5924" s="85"/>
      <c r="C5924" s="85"/>
      <c r="F5924" s="92"/>
      <c r="G5924" s="85"/>
    </row>
    <row r="5925">
      <c r="A5925" s="84"/>
      <c r="B5925" s="85"/>
      <c r="C5925" s="85"/>
      <c r="F5925" s="92"/>
      <c r="G5925" s="85"/>
    </row>
    <row r="5926">
      <c r="A5926" s="84"/>
      <c r="B5926" s="85"/>
      <c r="C5926" s="85"/>
      <c r="F5926" s="92"/>
      <c r="G5926" s="85"/>
    </row>
    <row r="5927">
      <c r="A5927" s="84"/>
      <c r="B5927" s="85"/>
      <c r="C5927" s="85"/>
      <c r="F5927" s="92"/>
      <c r="G5927" s="85"/>
    </row>
    <row r="5928">
      <c r="A5928" s="84"/>
      <c r="B5928" s="85"/>
      <c r="C5928" s="85"/>
      <c r="F5928" s="92"/>
      <c r="G5928" s="85"/>
    </row>
    <row r="5929">
      <c r="A5929" s="84"/>
      <c r="B5929" s="85"/>
      <c r="C5929" s="85"/>
      <c r="F5929" s="92"/>
      <c r="G5929" s="85"/>
    </row>
    <row r="5930">
      <c r="A5930" s="84"/>
      <c r="B5930" s="85"/>
      <c r="C5930" s="85"/>
      <c r="F5930" s="92"/>
      <c r="G5930" s="85"/>
    </row>
    <row r="5931">
      <c r="A5931" s="84"/>
      <c r="B5931" s="85"/>
      <c r="C5931" s="85"/>
      <c r="F5931" s="92"/>
      <c r="G5931" s="85"/>
    </row>
    <row r="5932">
      <c r="A5932" s="84"/>
      <c r="B5932" s="85"/>
      <c r="C5932" s="85"/>
      <c r="F5932" s="92"/>
      <c r="G5932" s="85"/>
    </row>
    <row r="5933">
      <c r="A5933" s="84"/>
      <c r="B5933" s="85"/>
      <c r="C5933" s="85"/>
      <c r="F5933" s="92"/>
      <c r="G5933" s="85"/>
    </row>
    <row r="5934">
      <c r="A5934" s="84"/>
      <c r="B5934" s="85"/>
      <c r="C5934" s="85"/>
      <c r="F5934" s="92"/>
      <c r="G5934" s="85"/>
    </row>
    <row r="5935">
      <c r="A5935" s="84"/>
      <c r="B5935" s="85"/>
      <c r="C5935" s="85"/>
      <c r="F5935" s="92"/>
      <c r="G5935" s="85"/>
    </row>
    <row r="5936">
      <c r="A5936" s="84"/>
      <c r="B5936" s="85"/>
      <c r="C5936" s="85"/>
      <c r="F5936" s="92"/>
      <c r="G5936" s="85"/>
    </row>
    <row r="5937">
      <c r="A5937" s="84"/>
      <c r="B5937" s="85"/>
      <c r="C5937" s="85"/>
      <c r="F5937" s="92"/>
      <c r="G5937" s="85"/>
    </row>
    <row r="5938">
      <c r="A5938" s="84"/>
      <c r="B5938" s="85"/>
      <c r="C5938" s="85"/>
      <c r="F5938" s="92"/>
      <c r="G5938" s="85"/>
    </row>
    <row r="5939">
      <c r="A5939" s="84"/>
      <c r="B5939" s="85"/>
      <c r="C5939" s="85"/>
      <c r="F5939" s="92"/>
      <c r="G5939" s="85"/>
    </row>
    <row r="5940">
      <c r="A5940" s="84"/>
      <c r="B5940" s="85"/>
      <c r="C5940" s="85"/>
      <c r="F5940" s="92"/>
      <c r="G5940" s="85"/>
    </row>
    <row r="5941">
      <c r="A5941" s="84"/>
      <c r="B5941" s="85"/>
      <c r="C5941" s="85"/>
      <c r="F5941" s="92"/>
      <c r="G5941" s="85"/>
    </row>
    <row r="5942">
      <c r="A5942" s="84"/>
      <c r="B5942" s="85"/>
      <c r="C5942" s="85"/>
      <c r="F5942" s="92"/>
      <c r="G5942" s="85"/>
    </row>
    <row r="5943">
      <c r="A5943" s="84"/>
      <c r="B5943" s="85"/>
      <c r="C5943" s="85"/>
      <c r="F5943" s="92"/>
      <c r="G5943" s="85"/>
    </row>
    <row r="5944">
      <c r="A5944" s="84"/>
      <c r="B5944" s="85"/>
      <c r="C5944" s="85"/>
      <c r="F5944" s="92"/>
      <c r="G5944" s="85"/>
    </row>
    <row r="5945">
      <c r="A5945" s="84"/>
      <c r="B5945" s="85"/>
      <c r="C5945" s="85"/>
      <c r="F5945" s="92"/>
      <c r="G5945" s="85"/>
    </row>
    <row r="5946">
      <c r="A5946" s="84"/>
      <c r="B5946" s="85"/>
      <c r="C5946" s="85"/>
      <c r="F5946" s="92"/>
      <c r="G5946" s="85"/>
    </row>
    <row r="5947">
      <c r="A5947" s="84"/>
      <c r="B5947" s="85"/>
      <c r="C5947" s="85"/>
      <c r="F5947" s="92"/>
      <c r="G5947" s="85"/>
    </row>
    <row r="5948">
      <c r="A5948" s="84"/>
      <c r="B5948" s="85"/>
      <c r="C5948" s="85"/>
      <c r="F5948" s="92"/>
      <c r="G5948" s="85"/>
    </row>
    <row r="5949">
      <c r="A5949" s="84"/>
      <c r="B5949" s="85"/>
      <c r="C5949" s="85"/>
      <c r="F5949" s="92"/>
      <c r="G5949" s="85"/>
    </row>
    <row r="5950">
      <c r="A5950" s="84"/>
      <c r="B5950" s="85"/>
      <c r="C5950" s="85"/>
      <c r="F5950" s="92"/>
      <c r="G5950" s="85"/>
    </row>
    <row r="5951">
      <c r="A5951" s="84"/>
      <c r="B5951" s="85"/>
      <c r="C5951" s="85"/>
      <c r="F5951" s="92"/>
      <c r="G5951" s="85"/>
    </row>
    <row r="5952">
      <c r="A5952" s="84"/>
      <c r="B5952" s="85"/>
      <c r="C5952" s="85"/>
      <c r="F5952" s="92"/>
      <c r="G5952" s="85"/>
    </row>
    <row r="5953">
      <c r="A5953" s="84"/>
      <c r="B5953" s="85"/>
      <c r="C5953" s="85"/>
      <c r="F5953" s="92"/>
      <c r="G5953" s="85"/>
    </row>
    <row r="5954">
      <c r="A5954" s="84"/>
      <c r="B5954" s="85"/>
      <c r="C5954" s="85"/>
      <c r="F5954" s="92"/>
      <c r="G5954" s="85"/>
    </row>
    <row r="5955">
      <c r="A5955" s="84"/>
      <c r="B5955" s="85"/>
      <c r="C5955" s="85"/>
      <c r="F5955" s="92"/>
      <c r="G5955" s="85"/>
    </row>
    <row r="5956">
      <c r="A5956" s="84"/>
      <c r="B5956" s="85"/>
      <c r="C5956" s="85"/>
      <c r="F5956" s="92"/>
      <c r="G5956" s="85"/>
    </row>
    <row r="5957">
      <c r="A5957" s="84"/>
      <c r="B5957" s="85"/>
      <c r="C5957" s="85"/>
      <c r="F5957" s="92"/>
      <c r="G5957" s="85"/>
    </row>
    <row r="5958">
      <c r="A5958" s="84"/>
      <c r="B5958" s="85"/>
      <c r="C5958" s="85"/>
      <c r="F5958" s="92"/>
      <c r="G5958" s="85"/>
    </row>
    <row r="5959">
      <c r="A5959" s="84"/>
      <c r="B5959" s="85"/>
      <c r="C5959" s="85"/>
      <c r="F5959" s="92"/>
      <c r="G5959" s="85"/>
    </row>
    <row r="5960">
      <c r="A5960" s="84"/>
      <c r="B5960" s="85"/>
      <c r="C5960" s="85"/>
      <c r="F5960" s="92"/>
      <c r="G5960" s="85"/>
    </row>
    <row r="5961">
      <c r="A5961" s="84"/>
      <c r="B5961" s="85"/>
      <c r="C5961" s="85"/>
      <c r="F5961" s="92"/>
      <c r="G5961" s="85"/>
    </row>
    <row r="5962">
      <c r="A5962" s="84"/>
      <c r="B5962" s="85"/>
      <c r="C5962" s="85"/>
      <c r="F5962" s="92"/>
      <c r="G5962" s="85"/>
    </row>
    <row r="5963">
      <c r="A5963" s="84"/>
      <c r="B5963" s="85"/>
      <c r="C5963" s="85"/>
      <c r="F5963" s="92"/>
      <c r="G5963" s="85"/>
    </row>
    <row r="5964">
      <c r="A5964" s="84"/>
      <c r="B5964" s="85"/>
      <c r="C5964" s="85"/>
      <c r="F5964" s="92"/>
      <c r="G5964" s="85"/>
    </row>
    <row r="5965">
      <c r="A5965" s="84"/>
      <c r="B5965" s="85"/>
      <c r="C5965" s="85"/>
      <c r="F5965" s="92"/>
      <c r="G5965" s="85"/>
    </row>
    <row r="5966">
      <c r="A5966" s="84"/>
      <c r="B5966" s="85"/>
      <c r="C5966" s="85"/>
      <c r="F5966" s="92"/>
      <c r="G5966" s="85"/>
    </row>
    <row r="5967">
      <c r="A5967" s="84"/>
      <c r="B5967" s="85"/>
      <c r="C5967" s="85"/>
      <c r="F5967" s="92"/>
      <c r="G5967" s="85"/>
    </row>
    <row r="5968">
      <c r="A5968" s="84"/>
      <c r="B5968" s="85"/>
      <c r="C5968" s="85"/>
      <c r="F5968" s="92"/>
      <c r="G5968" s="85"/>
    </row>
    <row r="5969">
      <c r="A5969" s="84"/>
      <c r="B5969" s="85"/>
      <c r="C5969" s="85"/>
      <c r="F5969" s="92"/>
      <c r="G5969" s="85"/>
    </row>
    <row r="5970">
      <c r="A5970" s="84"/>
      <c r="B5970" s="85"/>
      <c r="C5970" s="85"/>
      <c r="F5970" s="92"/>
      <c r="G5970" s="85"/>
    </row>
    <row r="5971">
      <c r="A5971" s="84"/>
      <c r="B5971" s="85"/>
      <c r="C5971" s="85"/>
      <c r="F5971" s="92"/>
      <c r="G5971" s="85"/>
    </row>
    <row r="5972">
      <c r="A5972" s="84"/>
      <c r="B5972" s="85"/>
      <c r="C5972" s="85"/>
      <c r="F5972" s="92"/>
      <c r="G5972" s="85"/>
    </row>
    <row r="5973">
      <c r="A5973" s="84"/>
      <c r="B5973" s="85"/>
      <c r="C5973" s="85"/>
      <c r="F5973" s="92"/>
      <c r="G5973" s="85"/>
    </row>
    <row r="5974">
      <c r="A5974" s="84"/>
      <c r="B5974" s="85"/>
      <c r="C5974" s="85"/>
      <c r="F5974" s="92"/>
      <c r="G5974" s="85"/>
    </row>
    <row r="5975">
      <c r="A5975" s="84"/>
      <c r="B5975" s="85"/>
      <c r="C5975" s="85"/>
      <c r="F5975" s="92"/>
      <c r="G5975" s="85"/>
    </row>
    <row r="5976">
      <c r="A5976" s="84"/>
      <c r="B5976" s="85"/>
      <c r="C5976" s="85"/>
      <c r="F5976" s="92"/>
      <c r="G5976" s="85"/>
    </row>
    <row r="5977">
      <c r="A5977" s="84"/>
      <c r="B5977" s="85"/>
      <c r="C5977" s="85"/>
      <c r="F5977" s="92"/>
      <c r="G5977" s="85"/>
    </row>
    <row r="5978">
      <c r="A5978" s="84"/>
      <c r="B5978" s="85"/>
      <c r="C5978" s="85"/>
      <c r="F5978" s="92"/>
      <c r="G5978" s="85"/>
    </row>
    <row r="5979">
      <c r="A5979" s="84"/>
      <c r="B5979" s="85"/>
      <c r="C5979" s="85"/>
      <c r="F5979" s="92"/>
      <c r="G5979" s="85"/>
    </row>
    <row r="5980">
      <c r="A5980" s="84"/>
      <c r="B5980" s="85"/>
      <c r="C5980" s="85"/>
      <c r="F5980" s="92"/>
      <c r="G5980" s="85"/>
    </row>
    <row r="5981">
      <c r="A5981" s="84"/>
      <c r="B5981" s="85"/>
      <c r="C5981" s="85"/>
      <c r="F5981" s="92"/>
      <c r="G5981" s="85"/>
    </row>
    <row r="5982">
      <c r="A5982" s="84"/>
      <c r="B5982" s="85"/>
      <c r="C5982" s="85"/>
      <c r="F5982" s="92"/>
      <c r="G5982" s="85"/>
    </row>
    <row r="5983">
      <c r="A5983" s="84"/>
      <c r="B5983" s="85"/>
      <c r="C5983" s="85"/>
      <c r="F5983" s="92"/>
      <c r="G5983" s="85"/>
    </row>
    <row r="5984">
      <c r="A5984" s="84"/>
      <c r="B5984" s="85"/>
      <c r="C5984" s="85"/>
      <c r="F5984" s="92"/>
      <c r="G5984" s="85"/>
    </row>
    <row r="5985">
      <c r="A5985" s="84"/>
      <c r="B5985" s="85"/>
      <c r="C5985" s="85"/>
      <c r="F5985" s="92"/>
      <c r="G5985" s="85"/>
    </row>
    <row r="5986">
      <c r="A5986" s="84"/>
      <c r="B5986" s="85"/>
      <c r="C5986" s="85"/>
      <c r="F5986" s="92"/>
      <c r="G5986" s="85"/>
    </row>
    <row r="5987">
      <c r="A5987" s="84"/>
      <c r="B5987" s="85"/>
      <c r="C5987" s="85"/>
      <c r="F5987" s="92"/>
      <c r="G5987" s="85"/>
    </row>
    <row r="5988">
      <c r="A5988" s="84"/>
      <c r="B5988" s="85"/>
      <c r="C5988" s="85"/>
      <c r="F5988" s="92"/>
      <c r="G5988" s="85"/>
    </row>
    <row r="5989">
      <c r="A5989" s="84"/>
      <c r="B5989" s="85"/>
      <c r="C5989" s="85"/>
      <c r="F5989" s="92"/>
      <c r="G5989" s="85"/>
    </row>
    <row r="5990">
      <c r="A5990" s="84"/>
      <c r="B5990" s="85"/>
      <c r="C5990" s="85"/>
      <c r="F5990" s="92"/>
      <c r="G5990" s="85"/>
    </row>
    <row r="5991">
      <c r="A5991" s="84"/>
      <c r="B5991" s="85"/>
      <c r="C5991" s="85"/>
      <c r="F5991" s="92"/>
      <c r="G5991" s="85"/>
    </row>
    <row r="5992">
      <c r="A5992" s="84"/>
      <c r="B5992" s="85"/>
      <c r="C5992" s="85"/>
      <c r="F5992" s="92"/>
      <c r="G5992" s="85"/>
    </row>
    <row r="5993">
      <c r="A5993" s="84"/>
      <c r="B5993" s="85"/>
      <c r="C5993" s="85"/>
      <c r="F5993" s="92"/>
      <c r="G5993" s="85"/>
    </row>
    <row r="5994">
      <c r="A5994" s="84"/>
      <c r="B5994" s="85"/>
      <c r="C5994" s="85"/>
      <c r="F5994" s="92"/>
      <c r="G5994" s="85"/>
    </row>
    <row r="5995">
      <c r="A5995" s="84"/>
      <c r="B5995" s="85"/>
      <c r="C5995" s="85"/>
      <c r="F5995" s="92"/>
      <c r="G5995" s="85"/>
    </row>
    <row r="5996">
      <c r="A5996" s="84"/>
      <c r="B5996" s="85"/>
      <c r="C5996" s="85"/>
      <c r="F5996" s="92"/>
      <c r="G5996" s="85"/>
    </row>
    <row r="5997">
      <c r="A5997" s="84"/>
      <c r="B5997" s="85"/>
      <c r="C5997" s="85"/>
      <c r="F5997" s="92"/>
      <c r="G5997" s="85"/>
    </row>
    <row r="5998">
      <c r="A5998" s="84"/>
      <c r="B5998" s="85"/>
      <c r="C5998" s="85"/>
      <c r="F5998" s="92"/>
      <c r="G5998" s="85"/>
    </row>
    <row r="5999">
      <c r="A5999" s="84"/>
      <c r="B5999" s="85"/>
      <c r="C5999" s="85"/>
      <c r="F5999" s="92"/>
      <c r="G5999" s="85"/>
    </row>
    <row r="6000">
      <c r="A6000" s="84"/>
      <c r="B6000" s="85"/>
      <c r="C6000" s="85"/>
      <c r="F6000" s="92"/>
      <c r="G6000" s="85"/>
    </row>
    <row r="6001">
      <c r="A6001" s="84"/>
      <c r="B6001" s="85"/>
      <c r="C6001" s="85"/>
      <c r="F6001" s="92"/>
      <c r="G6001" s="85"/>
    </row>
    <row r="6002">
      <c r="A6002" s="84"/>
      <c r="B6002" s="85"/>
      <c r="C6002" s="85"/>
      <c r="F6002" s="92"/>
      <c r="G6002" s="85"/>
    </row>
    <row r="6003">
      <c r="A6003" s="84"/>
      <c r="B6003" s="85"/>
      <c r="C6003" s="85"/>
      <c r="F6003" s="92"/>
      <c r="G6003" s="85"/>
    </row>
    <row r="6004">
      <c r="A6004" s="84"/>
      <c r="B6004" s="85"/>
      <c r="C6004" s="85"/>
      <c r="F6004" s="92"/>
      <c r="G6004" s="85"/>
    </row>
    <row r="6005">
      <c r="A6005" s="84"/>
      <c r="B6005" s="85"/>
      <c r="C6005" s="85"/>
      <c r="F6005" s="92"/>
      <c r="G6005" s="85"/>
    </row>
    <row r="6006">
      <c r="A6006" s="84"/>
      <c r="B6006" s="85"/>
      <c r="C6006" s="85"/>
      <c r="F6006" s="92"/>
      <c r="G6006" s="85"/>
    </row>
    <row r="6007">
      <c r="A6007" s="84"/>
      <c r="B6007" s="85"/>
      <c r="C6007" s="85"/>
      <c r="F6007" s="92"/>
      <c r="G6007" s="85"/>
    </row>
    <row r="6008">
      <c r="A6008" s="84"/>
      <c r="B6008" s="85"/>
      <c r="C6008" s="85"/>
      <c r="F6008" s="92"/>
      <c r="G6008" s="85"/>
    </row>
    <row r="6009">
      <c r="A6009" s="84"/>
      <c r="B6009" s="85"/>
      <c r="C6009" s="85"/>
      <c r="F6009" s="92"/>
      <c r="G6009" s="85"/>
    </row>
    <row r="6010">
      <c r="A6010" s="84"/>
      <c r="B6010" s="85"/>
      <c r="C6010" s="85"/>
      <c r="F6010" s="92"/>
      <c r="G6010" s="85"/>
    </row>
    <row r="6011">
      <c r="A6011" s="84"/>
      <c r="B6011" s="85"/>
      <c r="C6011" s="85"/>
      <c r="F6011" s="92"/>
      <c r="G6011" s="85"/>
    </row>
    <row r="6012">
      <c r="A6012" s="84"/>
      <c r="B6012" s="85"/>
      <c r="C6012" s="85"/>
      <c r="F6012" s="92"/>
      <c r="G6012" s="85"/>
    </row>
    <row r="6013">
      <c r="A6013" s="84"/>
      <c r="B6013" s="85"/>
      <c r="C6013" s="85"/>
      <c r="F6013" s="92"/>
      <c r="G6013" s="85"/>
    </row>
    <row r="6014">
      <c r="A6014" s="84"/>
      <c r="B6014" s="85"/>
      <c r="C6014" s="85"/>
      <c r="F6014" s="92"/>
      <c r="G6014" s="85"/>
    </row>
    <row r="6015">
      <c r="A6015" s="84"/>
      <c r="B6015" s="85"/>
      <c r="C6015" s="85"/>
      <c r="F6015" s="92"/>
      <c r="G6015" s="85"/>
    </row>
    <row r="6016">
      <c r="A6016" s="84"/>
      <c r="B6016" s="85"/>
      <c r="C6016" s="85"/>
      <c r="F6016" s="92"/>
      <c r="G6016" s="85"/>
    </row>
    <row r="6017">
      <c r="A6017" s="84"/>
      <c r="B6017" s="85"/>
      <c r="C6017" s="85"/>
      <c r="F6017" s="92"/>
      <c r="G6017" s="85"/>
    </row>
    <row r="6018">
      <c r="A6018" s="84"/>
      <c r="B6018" s="85"/>
      <c r="C6018" s="85"/>
      <c r="F6018" s="92"/>
      <c r="G6018" s="85"/>
    </row>
    <row r="6019">
      <c r="A6019" s="84"/>
      <c r="B6019" s="85"/>
      <c r="C6019" s="85"/>
      <c r="F6019" s="92"/>
      <c r="G6019" s="85"/>
    </row>
    <row r="6020">
      <c r="A6020" s="84"/>
      <c r="B6020" s="85"/>
      <c r="C6020" s="85"/>
      <c r="F6020" s="92"/>
      <c r="G6020" s="85"/>
    </row>
    <row r="6021">
      <c r="A6021" s="84"/>
      <c r="B6021" s="85"/>
      <c r="C6021" s="85"/>
      <c r="F6021" s="92"/>
      <c r="G6021" s="85"/>
    </row>
    <row r="6022">
      <c r="A6022" s="84"/>
      <c r="B6022" s="85"/>
      <c r="C6022" s="85"/>
      <c r="F6022" s="92"/>
      <c r="G6022" s="85"/>
    </row>
    <row r="6023">
      <c r="A6023" s="84"/>
      <c r="B6023" s="85"/>
      <c r="C6023" s="85"/>
      <c r="F6023" s="92"/>
      <c r="G6023" s="85"/>
    </row>
    <row r="6024">
      <c r="A6024" s="84"/>
      <c r="B6024" s="85"/>
      <c r="C6024" s="85"/>
      <c r="F6024" s="92"/>
      <c r="G6024" s="85"/>
    </row>
    <row r="6025">
      <c r="A6025" s="84"/>
      <c r="B6025" s="85"/>
      <c r="C6025" s="85"/>
      <c r="F6025" s="92"/>
      <c r="G6025" s="85"/>
    </row>
    <row r="6026">
      <c r="A6026" s="84"/>
      <c r="B6026" s="85"/>
      <c r="C6026" s="85"/>
      <c r="F6026" s="92"/>
      <c r="G6026" s="85"/>
    </row>
    <row r="6027">
      <c r="A6027" s="84"/>
      <c r="B6027" s="85"/>
      <c r="C6027" s="85"/>
      <c r="F6027" s="92"/>
      <c r="G6027" s="85"/>
    </row>
    <row r="6028">
      <c r="A6028" s="84"/>
      <c r="B6028" s="85"/>
      <c r="C6028" s="85"/>
      <c r="F6028" s="92"/>
      <c r="G6028" s="85"/>
    </row>
    <row r="6029">
      <c r="A6029" s="84"/>
      <c r="B6029" s="85"/>
      <c r="C6029" s="85"/>
      <c r="F6029" s="92"/>
      <c r="G6029" s="85"/>
    </row>
    <row r="6030">
      <c r="A6030" s="84"/>
      <c r="B6030" s="85"/>
      <c r="C6030" s="85"/>
      <c r="F6030" s="92"/>
      <c r="G6030" s="85"/>
    </row>
    <row r="6031">
      <c r="A6031" s="84"/>
      <c r="B6031" s="85"/>
      <c r="C6031" s="85"/>
      <c r="F6031" s="92"/>
      <c r="G6031" s="85"/>
    </row>
    <row r="6032">
      <c r="A6032" s="84"/>
      <c r="B6032" s="85"/>
      <c r="C6032" s="85"/>
      <c r="F6032" s="92"/>
      <c r="G6032" s="85"/>
    </row>
    <row r="6033">
      <c r="A6033" s="84"/>
      <c r="B6033" s="85"/>
      <c r="C6033" s="85"/>
      <c r="F6033" s="92"/>
      <c r="G6033" s="85"/>
    </row>
    <row r="6034">
      <c r="A6034" s="84"/>
      <c r="B6034" s="85"/>
      <c r="C6034" s="85"/>
      <c r="F6034" s="92"/>
      <c r="G6034" s="85"/>
    </row>
    <row r="6035">
      <c r="A6035" s="84"/>
      <c r="B6035" s="85"/>
      <c r="C6035" s="85"/>
      <c r="F6035" s="92"/>
      <c r="G6035" s="85"/>
    </row>
    <row r="6036">
      <c r="A6036" s="84"/>
      <c r="B6036" s="85"/>
      <c r="C6036" s="85"/>
      <c r="F6036" s="92"/>
      <c r="G6036" s="85"/>
    </row>
    <row r="6037">
      <c r="A6037" s="84"/>
      <c r="B6037" s="85"/>
      <c r="C6037" s="85"/>
      <c r="F6037" s="92"/>
      <c r="G6037" s="85"/>
    </row>
    <row r="6038">
      <c r="A6038" s="84"/>
      <c r="B6038" s="85"/>
      <c r="C6038" s="85"/>
      <c r="F6038" s="92"/>
      <c r="G6038" s="85"/>
    </row>
    <row r="6039">
      <c r="A6039" s="84"/>
      <c r="B6039" s="85"/>
      <c r="C6039" s="85"/>
      <c r="F6039" s="92"/>
      <c r="G6039" s="85"/>
    </row>
    <row r="6040">
      <c r="A6040" s="84"/>
      <c r="B6040" s="85"/>
      <c r="C6040" s="85"/>
      <c r="F6040" s="92"/>
      <c r="G6040" s="85"/>
    </row>
    <row r="6041">
      <c r="A6041" s="84"/>
      <c r="B6041" s="85"/>
      <c r="C6041" s="85"/>
      <c r="F6041" s="92"/>
      <c r="G6041" s="85"/>
    </row>
    <row r="6042">
      <c r="A6042" s="84"/>
      <c r="B6042" s="85"/>
      <c r="C6042" s="85"/>
      <c r="F6042" s="92"/>
      <c r="G6042" s="85"/>
    </row>
    <row r="6043">
      <c r="A6043" s="84"/>
      <c r="B6043" s="85"/>
      <c r="C6043" s="85"/>
      <c r="F6043" s="92"/>
      <c r="G6043" s="85"/>
    </row>
    <row r="6044">
      <c r="A6044" s="84"/>
      <c r="B6044" s="85"/>
      <c r="C6044" s="85"/>
      <c r="F6044" s="92"/>
      <c r="G6044" s="85"/>
    </row>
    <row r="6045">
      <c r="A6045" s="84"/>
      <c r="B6045" s="85"/>
      <c r="C6045" s="85"/>
      <c r="F6045" s="92"/>
      <c r="G6045" s="85"/>
    </row>
    <row r="6046">
      <c r="A6046" s="84"/>
      <c r="B6046" s="85"/>
      <c r="C6046" s="85"/>
      <c r="F6046" s="92"/>
      <c r="G6046" s="85"/>
    </row>
    <row r="6047">
      <c r="A6047" s="84"/>
      <c r="B6047" s="85"/>
      <c r="C6047" s="85"/>
      <c r="F6047" s="92"/>
      <c r="G6047" s="85"/>
    </row>
    <row r="6048">
      <c r="A6048" s="84"/>
      <c r="B6048" s="85"/>
      <c r="C6048" s="85"/>
      <c r="F6048" s="92"/>
      <c r="G6048" s="85"/>
    </row>
    <row r="6049">
      <c r="A6049" s="84"/>
      <c r="B6049" s="85"/>
      <c r="C6049" s="85"/>
      <c r="F6049" s="92"/>
      <c r="G6049" s="85"/>
    </row>
    <row r="6050">
      <c r="A6050" s="84"/>
      <c r="B6050" s="85"/>
      <c r="C6050" s="85"/>
      <c r="F6050" s="92"/>
      <c r="G6050" s="85"/>
    </row>
    <row r="6051">
      <c r="A6051" s="84"/>
      <c r="B6051" s="85"/>
      <c r="C6051" s="85"/>
      <c r="F6051" s="92"/>
      <c r="G6051" s="85"/>
    </row>
    <row r="6052">
      <c r="A6052" s="84"/>
      <c r="B6052" s="85"/>
      <c r="C6052" s="85"/>
      <c r="F6052" s="92"/>
      <c r="G6052" s="85"/>
    </row>
    <row r="6053">
      <c r="A6053" s="84"/>
      <c r="B6053" s="85"/>
      <c r="C6053" s="85"/>
      <c r="F6053" s="92"/>
      <c r="G6053" s="85"/>
    </row>
    <row r="6054">
      <c r="A6054" s="84"/>
      <c r="B6054" s="85"/>
      <c r="C6054" s="85"/>
      <c r="F6054" s="92"/>
      <c r="G6054" s="85"/>
    </row>
    <row r="6055">
      <c r="A6055" s="84"/>
      <c r="B6055" s="85"/>
      <c r="C6055" s="85"/>
      <c r="F6055" s="92"/>
      <c r="G6055" s="85"/>
    </row>
    <row r="6056">
      <c r="A6056" s="84"/>
      <c r="B6056" s="85"/>
      <c r="C6056" s="85"/>
      <c r="F6056" s="92"/>
      <c r="G6056" s="85"/>
    </row>
    <row r="6057">
      <c r="A6057" s="84"/>
      <c r="B6057" s="85"/>
      <c r="C6057" s="85"/>
      <c r="F6057" s="92"/>
      <c r="G6057" s="85"/>
    </row>
    <row r="6058">
      <c r="A6058" s="84"/>
      <c r="B6058" s="85"/>
      <c r="C6058" s="85"/>
      <c r="F6058" s="92"/>
      <c r="G6058" s="85"/>
    </row>
    <row r="6059">
      <c r="A6059" s="84"/>
      <c r="B6059" s="85"/>
      <c r="C6059" s="85"/>
      <c r="F6059" s="92"/>
      <c r="G6059" s="85"/>
    </row>
    <row r="6060">
      <c r="A6060" s="84"/>
      <c r="B6060" s="85"/>
      <c r="C6060" s="85"/>
      <c r="F6060" s="92"/>
      <c r="G6060" s="85"/>
    </row>
    <row r="6061">
      <c r="A6061" s="84"/>
      <c r="B6061" s="85"/>
      <c r="C6061" s="85"/>
      <c r="F6061" s="92"/>
      <c r="G6061" s="85"/>
    </row>
    <row r="6062">
      <c r="A6062" s="84"/>
      <c r="B6062" s="85"/>
      <c r="C6062" s="85"/>
      <c r="F6062" s="92"/>
      <c r="G6062" s="85"/>
    </row>
    <row r="6063">
      <c r="A6063" s="84"/>
      <c r="B6063" s="85"/>
      <c r="C6063" s="85"/>
      <c r="F6063" s="92"/>
      <c r="G6063" s="85"/>
    </row>
    <row r="6064">
      <c r="A6064" s="84"/>
      <c r="B6064" s="85"/>
      <c r="C6064" s="85"/>
      <c r="F6064" s="92"/>
      <c r="G6064" s="85"/>
    </row>
    <row r="6065">
      <c r="A6065" s="84"/>
      <c r="B6065" s="85"/>
      <c r="C6065" s="85"/>
      <c r="F6065" s="92"/>
      <c r="G6065" s="85"/>
    </row>
    <row r="6066">
      <c r="A6066" s="84"/>
      <c r="B6066" s="85"/>
      <c r="C6066" s="85"/>
      <c r="F6066" s="92"/>
      <c r="G6066" s="85"/>
    </row>
    <row r="6067">
      <c r="A6067" s="84"/>
      <c r="B6067" s="85"/>
      <c r="C6067" s="85"/>
      <c r="F6067" s="92"/>
      <c r="G6067" s="85"/>
    </row>
    <row r="6068">
      <c r="A6068" s="84"/>
      <c r="B6068" s="85"/>
      <c r="C6068" s="85"/>
      <c r="F6068" s="92"/>
      <c r="G6068" s="85"/>
    </row>
    <row r="6069">
      <c r="A6069" s="84"/>
      <c r="B6069" s="85"/>
      <c r="C6069" s="85"/>
      <c r="F6069" s="92"/>
      <c r="G6069" s="85"/>
    </row>
    <row r="6070">
      <c r="A6070" s="84"/>
      <c r="B6070" s="85"/>
      <c r="C6070" s="85"/>
      <c r="F6070" s="92"/>
      <c r="G6070" s="85"/>
    </row>
    <row r="6071">
      <c r="A6071" s="84"/>
      <c r="B6071" s="85"/>
      <c r="C6071" s="85"/>
      <c r="F6071" s="92"/>
      <c r="G6071" s="85"/>
    </row>
    <row r="6072">
      <c r="A6072" s="84"/>
      <c r="B6072" s="85"/>
      <c r="C6072" s="85"/>
      <c r="F6072" s="92"/>
      <c r="G6072" s="85"/>
    </row>
    <row r="6073">
      <c r="A6073" s="84"/>
      <c r="B6073" s="85"/>
      <c r="C6073" s="85"/>
      <c r="F6073" s="92"/>
      <c r="G6073" s="85"/>
    </row>
    <row r="6074">
      <c r="A6074" s="84"/>
      <c r="B6074" s="85"/>
      <c r="C6074" s="85"/>
      <c r="F6074" s="92"/>
      <c r="G6074" s="85"/>
    </row>
    <row r="6075">
      <c r="A6075" s="84"/>
      <c r="B6075" s="85"/>
      <c r="C6075" s="85"/>
      <c r="F6075" s="92"/>
      <c r="G6075" s="85"/>
    </row>
    <row r="6076">
      <c r="A6076" s="84"/>
      <c r="B6076" s="85"/>
      <c r="C6076" s="85"/>
      <c r="F6076" s="92"/>
      <c r="G6076" s="85"/>
    </row>
    <row r="6077">
      <c r="A6077" s="84"/>
      <c r="B6077" s="85"/>
      <c r="C6077" s="85"/>
      <c r="F6077" s="92"/>
      <c r="G6077" s="85"/>
    </row>
    <row r="6078">
      <c r="A6078" s="84"/>
      <c r="B6078" s="85"/>
      <c r="C6078" s="85"/>
      <c r="F6078" s="92"/>
      <c r="G6078" s="85"/>
    </row>
    <row r="6079">
      <c r="A6079" s="84"/>
      <c r="B6079" s="85"/>
      <c r="C6079" s="85"/>
      <c r="F6079" s="92"/>
      <c r="G6079" s="85"/>
    </row>
    <row r="6080">
      <c r="A6080" s="84"/>
      <c r="B6080" s="85"/>
      <c r="C6080" s="85"/>
      <c r="F6080" s="92"/>
      <c r="G6080" s="85"/>
    </row>
    <row r="6081">
      <c r="A6081" s="84"/>
      <c r="B6081" s="85"/>
      <c r="C6081" s="85"/>
      <c r="F6081" s="92"/>
      <c r="G6081" s="85"/>
    </row>
    <row r="6082">
      <c r="A6082" s="84"/>
      <c r="B6082" s="85"/>
      <c r="C6082" s="85"/>
      <c r="F6082" s="92"/>
      <c r="G6082" s="85"/>
    </row>
    <row r="6083">
      <c r="A6083" s="84"/>
      <c r="B6083" s="85"/>
      <c r="C6083" s="85"/>
      <c r="F6083" s="92"/>
      <c r="G6083" s="85"/>
    </row>
    <row r="6084">
      <c r="A6084" s="84"/>
      <c r="B6084" s="85"/>
      <c r="C6084" s="85"/>
      <c r="F6084" s="92"/>
      <c r="G6084" s="85"/>
    </row>
    <row r="6085">
      <c r="A6085" s="84"/>
      <c r="B6085" s="85"/>
      <c r="C6085" s="85"/>
      <c r="F6085" s="92"/>
      <c r="G6085" s="85"/>
    </row>
    <row r="6086">
      <c r="A6086" s="84"/>
      <c r="B6086" s="85"/>
      <c r="C6086" s="85"/>
      <c r="F6086" s="92"/>
      <c r="G6086" s="85"/>
    </row>
    <row r="6087">
      <c r="A6087" s="84"/>
      <c r="B6087" s="85"/>
      <c r="C6087" s="85"/>
      <c r="F6087" s="92"/>
      <c r="G6087" s="85"/>
    </row>
    <row r="6088">
      <c r="A6088" s="84"/>
      <c r="B6088" s="85"/>
      <c r="C6088" s="85"/>
      <c r="F6088" s="92"/>
      <c r="G6088" s="85"/>
    </row>
    <row r="6089">
      <c r="A6089" s="84"/>
      <c r="B6089" s="85"/>
      <c r="C6089" s="85"/>
      <c r="F6089" s="92"/>
      <c r="G6089" s="85"/>
    </row>
    <row r="6090">
      <c r="A6090" s="84"/>
      <c r="B6090" s="85"/>
      <c r="C6090" s="85"/>
      <c r="F6090" s="92"/>
      <c r="G6090" s="85"/>
    </row>
    <row r="6091">
      <c r="A6091" s="84"/>
      <c r="B6091" s="85"/>
      <c r="C6091" s="85"/>
      <c r="F6091" s="92"/>
      <c r="G6091" s="85"/>
    </row>
    <row r="6092">
      <c r="A6092" s="84"/>
      <c r="B6092" s="85"/>
      <c r="C6092" s="85"/>
      <c r="F6092" s="92"/>
      <c r="G6092" s="85"/>
    </row>
    <row r="6093">
      <c r="A6093" s="84"/>
      <c r="B6093" s="85"/>
      <c r="C6093" s="85"/>
      <c r="F6093" s="92"/>
      <c r="G6093" s="85"/>
    </row>
    <row r="6094">
      <c r="A6094" s="84"/>
      <c r="B6094" s="85"/>
      <c r="C6094" s="85"/>
      <c r="F6094" s="92"/>
      <c r="G6094" s="85"/>
    </row>
    <row r="6095">
      <c r="A6095" s="84"/>
      <c r="B6095" s="85"/>
      <c r="C6095" s="85"/>
      <c r="F6095" s="92"/>
      <c r="G6095" s="85"/>
    </row>
    <row r="6096">
      <c r="A6096" s="84"/>
      <c r="B6096" s="85"/>
      <c r="C6096" s="85"/>
      <c r="F6096" s="92"/>
      <c r="G6096" s="85"/>
    </row>
    <row r="6097">
      <c r="A6097" s="84"/>
      <c r="B6097" s="85"/>
      <c r="C6097" s="85"/>
      <c r="F6097" s="92"/>
      <c r="G6097" s="85"/>
    </row>
    <row r="6098">
      <c r="A6098" s="84"/>
      <c r="B6098" s="85"/>
      <c r="C6098" s="85"/>
      <c r="F6098" s="92"/>
      <c r="G6098" s="85"/>
    </row>
    <row r="6099">
      <c r="A6099" s="84"/>
      <c r="B6099" s="85"/>
      <c r="C6099" s="85"/>
      <c r="F6099" s="92"/>
      <c r="G6099" s="85"/>
    </row>
    <row r="6100">
      <c r="A6100" s="84"/>
      <c r="B6100" s="85"/>
      <c r="C6100" s="85"/>
      <c r="F6100" s="92"/>
      <c r="G6100" s="85"/>
    </row>
    <row r="6101">
      <c r="A6101" s="84"/>
      <c r="B6101" s="85"/>
      <c r="C6101" s="85"/>
      <c r="F6101" s="92"/>
      <c r="G6101" s="85"/>
    </row>
    <row r="6102">
      <c r="A6102" s="84"/>
      <c r="B6102" s="85"/>
      <c r="C6102" s="85"/>
      <c r="F6102" s="92"/>
      <c r="G6102" s="85"/>
    </row>
    <row r="6103">
      <c r="A6103" s="84"/>
      <c r="B6103" s="85"/>
      <c r="C6103" s="85"/>
      <c r="F6103" s="92"/>
      <c r="G6103" s="85"/>
    </row>
    <row r="6104">
      <c r="A6104" s="84"/>
      <c r="B6104" s="85"/>
      <c r="C6104" s="85"/>
      <c r="F6104" s="92"/>
      <c r="G6104" s="85"/>
    </row>
    <row r="6105">
      <c r="A6105" s="84"/>
      <c r="B6105" s="85"/>
      <c r="C6105" s="85"/>
      <c r="F6105" s="92"/>
      <c r="G6105" s="85"/>
    </row>
    <row r="6106">
      <c r="A6106" s="84"/>
      <c r="B6106" s="85"/>
      <c r="C6106" s="85"/>
      <c r="F6106" s="92"/>
      <c r="G6106" s="85"/>
    </row>
    <row r="6107">
      <c r="A6107" s="84"/>
      <c r="B6107" s="85"/>
      <c r="C6107" s="85"/>
      <c r="F6107" s="92"/>
      <c r="G6107" s="85"/>
    </row>
    <row r="6108">
      <c r="A6108" s="84"/>
      <c r="B6108" s="85"/>
      <c r="C6108" s="85"/>
      <c r="F6108" s="92"/>
      <c r="G6108" s="85"/>
    </row>
    <row r="6109">
      <c r="A6109" s="84"/>
      <c r="B6109" s="85"/>
      <c r="C6109" s="85"/>
      <c r="F6109" s="92"/>
      <c r="G6109" s="85"/>
    </row>
    <row r="6110">
      <c r="A6110" s="84"/>
      <c r="B6110" s="85"/>
      <c r="C6110" s="85"/>
      <c r="F6110" s="92"/>
      <c r="G6110" s="85"/>
    </row>
    <row r="6111">
      <c r="A6111" s="84"/>
      <c r="B6111" s="85"/>
      <c r="C6111" s="85"/>
      <c r="F6111" s="92"/>
      <c r="G6111" s="85"/>
    </row>
    <row r="6112">
      <c r="A6112" s="84"/>
      <c r="B6112" s="85"/>
      <c r="C6112" s="85"/>
      <c r="F6112" s="92"/>
      <c r="G6112" s="85"/>
    </row>
    <row r="6113">
      <c r="A6113" s="84"/>
      <c r="B6113" s="85"/>
      <c r="C6113" s="85"/>
      <c r="F6113" s="92"/>
      <c r="G6113" s="85"/>
    </row>
    <row r="6114">
      <c r="A6114" s="84"/>
      <c r="B6114" s="85"/>
      <c r="C6114" s="85"/>
      <c r="F6114" s="92"/>
      <c r="G6114" s="85"/>
    </row>
    <row r="6115">
      <c r="A6115" s="84"/>
      <c r="B6115" s="85"/>
      <c r="C6115" s="85"/>
      <c r="F6115" s="92"/>
      <c r="G6115" s="85"/>
    </row>
    <row r="6116">
      <c r="A6116" s="84"/>
      <c r="B6116" s="85"/>
      <c r="C6116" s="85"/>
      <c r="F6116" s="92"/>
      <c r="G6116" s="85"/>
    </row>
    <row r="6117">
      <c r="A6117" s="84"/>
      <c r="B6117" s="85"/>
      <c r="C6117" s="85"/>
      <c r="F6117" s="92"/>
      <c r="G6117" s="85"/>
    </row>
    <row r="6118">
      <c r="A6118" s="84"/>
      <c r="B6118" s="85"/>
      <c r="C6118" s="85"/>
      <c r="F6118" s="92"/>
      <c r="G6118" s="85"/>
    </row>
    <row r="6119">
      <c r="A6119" s="84"/>
      <c r="B6119" s="85"/>
      <c r="C6119" s="85"/>
      <c r="F6119" s="92"/>
      <c r="G6119" s="85"/>
    </row>
    <row r="6120">
      <c r="A6120" s="84"/>
      <c r="B6120" s="85"/>
      <c r="C6120" s="85"/>
      <c r="F6120" s="92"/>
      <c r="G6120" s="85"/>
    </row>
    <row r="6121">
      <c r="A6121" s="84"/>
      <c r="B6121" s="85"/>
      <c r="C6121" s="85"/>
      <c r="F6121" s="92"/>
      <c r="G6121" s="85"/>
    </row>
    <row r="6122">
      <c r="A6122" s="84"/>
      <c r="B6122" s="85"/>
      <c r="C6122" s="85"/>
      <c r="F6122" s="92"/>
      <c r="G6122" s="85"/>
    </row>
    <row r="6123">
      <c r="A6123" s="84"/>
      <c r="B6123" s="85"/>
      <c r="C6123" s="85"/>
      <c r="F6123" s="92"/>
      <c r="G6123" s="85"/>
    </row>
    <row r="6124">
      <c r="A6124" s="84"/>
      <c r="B6124" s="85"/>
      <c r="C6124" s="85"/>
      <c r="F6124" s="92"/>
      <c r="G6124" s="85"/>
    </row>
    <row r="6125">
      <c r="A6125" s="84"/>
      <c r="B6125" s="85"/>
      <c r="C6125" s="85"/>
      <c r="F6125" s="92"/>
      <c r="G6125" s="85"/>
    </row>
    <row r="6126">
      <c r="A6126" s="84"/>
      <c r="B6126" s="85"/>
      <c r="C6126" s="85"/>
      <c r="F6126" s="92"/>
      <c r="G6126" s="85"/>
    </row>
    <row r="6127">
      <c r="A6127" s="84"/>
      <c r="B6127" s="85"/>
      <c r="C6127" s="85"/>
      <c r="F6127" s="92"/>
      <c r="G6127" s="85"/>
    </row>
    <row r="6128">
      <c r="A6128" s="84"/>
      <c r="B6128" s="85"/>
      <c r="C6128" s="85"/>
      <c r="F6128" s="92"/>
      <c r="G6128" s="85"/>
    </row>
    <row r="6129">
      <c r="A6129" s="84"/>
      <c r="B6129" s="85"/>
      <c r="C6129" s="85"/>
      <c r="F6129" s="92"/>
      <c r="G6129" s="85"/>
    </row>
    <row r="6130">
      <c r="A6130" s="84"/>
      <c r="B6130" s="85"/>
      <c r="C6130" s="85"/>
      <c r="F6130" s="92"/>
      <c r="G6130" s="85"/>
    </row>
    <row r="6131">
      <c r="A6131" s="84"/>
      <c r="B6131" s="85"/>
      <c r="C6131" s="85"/>
      <c r="F6131" s="92"/>
      <c r="G6131" s="85"/>
    </row>
    <row r="6132">
      <c r="A6132" s="84"/>
      <c r="B6132" s="85"/>
      <c r="C6132" s="85"/>
      <c r="F6132" s="92"/>
      <c r="G6132" s="85"/>
    </row>
    <row r="6133">
      <c r="A6133" s="84"/>
      <c r="B6133" s="85"/>
      <c r="C6133" s="85"/>
      <c r="F6133" s="92"/>
      <c r="G6133" s="85"/>
    </row>
    <row r="6134">
      <c r="A6134" s="84"/>
      <c r="B6134" s="85"/>
      <c r="C6134" s="85"/>
      <c r="F6134" s="92"/>
      <c r="G6134" s="85"/>
    </row>
    <row r="6135">
      <c r="A6135" s="84"/>
      <c r="B6135" s="85"/>
      <c r="C6135" s="85"/>
      <c r="F6135" s="92"/>
      <c r="G6135" s="85"/>
    </row>
    <row r="6136">
      <c r="A6136" s="84"/>
      <c r="B6136" s="85"/>
      <c r="C6136" s="85"/>
      <c r="F6136" s="92"/>
      <c r="G6136" s="85"/>
    </row>
    <row r="6137">
      <c r="A6137" s="84"/>
      <c r="B6137" s="85"/>
      <c r="C6137" s="85"/>
      <c r="F6137" s="92"/>
      <c r="G6137" s="85"/>
    </row>
    <row r="6138">
      <c r="A6138" s="84"/>
      <c r="B6138" s="85"/>
      <c r="C6138" s="85"/>
      <c r="F6138" s="92"/>
      <c r="G6138" s="85"/>
    </row>
    <row r="6139">
      <c r="A6139" s="84"/>
      <c r="B6139" s="85"/>
      <c r="C6139" s="85"/>
      <c r="F6139" s="92"/>
      <c r="G6139" s="85"/>
    </row>
    <row r="6140">
      <c r="A6140" s="84"/>
      <c r="B6140" s="85"/>
      <c r="C6140" s="85"/>
      <c r="F6140" s="92"/>
      <c r="G6140" s="85"/>
    </row>
    <row r="6141">
      <c r="A6141" s="84"/>
      <c r="B6141" s="85"/>
      <c r="C6141" s="85"/>
      <c r="F6141" s="92"/>
      <c r="G6141" s="85"/>
    </row>
    <row r="6142">
      <c r="A6142" s="84"/>
      <c r="B6142" s="85"/>
      <c r="C6142" s="85"/>
      <c r="F6142" s="92"/>
      <c r="G6142" s="85"/>
    </row>
    <row r="6143">
      <c r="A6143" s="84"/>
      <c r="B6143" s="85"/>
      <c r="C6143" s="85"/>
      <c r="F6143" s="92"/>
      <c r="G6143" s="85"/>
    </row>
    <row r="6144">
      <c r="A6144" s="84"/>
      <c r="B6144" s="85"/>
      <c r="C6144" s="85"/>
      <c r="F6144" s="92"/>
      <c r="G6144" s="85"/>
    </row>
    <row r="6145">
      <c r="A6145" s="84"/>
      <c r="B6145" s="85"/>
      <c r="C6145" s="85"/>
      <c r="F6145" s="92"/>
      <c r="G6145" s="85"/>
    </row>
    <row r="6146">
      <c r="A6146" s="84"/>
      <c r="B6146" s="85"/>
      <c r="C6146" s="85"/>
      <c r="F6146" s="92"/>
      <c r="G6146" s="85"/>
    </row>
    <row r="6147">
      <c r="A6147" s="84"/>
      <c r="B6147" s="85"/>
      <c r="C6147" s="85"/>
      <c r="F6147" s="92"/>
      <c r="G6147" s="85"/>
    </row>
    <row r="6148">
      <c r="A6148" s="84"/>
      <c r="B6148" s="85"/>
      <c r="C6148" s="85"/>
      <c r="F6148" s="92"/>
      <c r="G6148" s="85"/>
    </row>
    <row r="6149">
      <c r="A6149" s="84"/>
      <c r="B6149" s="85"/>
      <c r="C6149" s="85"/>
      <c r="F6149" s="92"/>
      <c r="G6149" s="85"/>
    </row>
    <row r="6150">
      <c r="A6150" s="84"/>
      <c r="B6150" s="85"/>
      <c r="C6150" s="85"/>
      <c r="F6150" s="92"/>
      <c r="G6150" s="85"/>
    </row>
    <row r="6151">
      <c r="A6151" s="84"/>
      <c r="B6151" s="85"/>
      <c r="C6151" s="85"/>
      <c r="F6151" s="92"/>
      <c r="G6151" s="85"/>
    </row>
    <row r="6152">
      <c r="A6152" s="84"/>
      <c r="B6152" s="85"/>
      <c r="C6152" s="85"/>
      <c r="F6152" s="92"/>
      <c r="G6152" s="85"/>
    </row>
    <row r="6153">
      <c r="A6153" s="84"/>
      <c r="B6153" s="85"/>
      <c r="C6153" s="85"/>
      <c r="F6153" s="92"/>
      <c r="G6153" s="85"/>
    </row>
    <row r="6154">
      <c r="A6154" s="84"/>
      <c r="B6154" s="85"/>
      <c r="C6154" s="85"/>
      <c r="F6154" s="92"/>
      <c r="G6154" s="85"/>
    </row>
    <row r="6155">
      <c r="A6155" s="84"/>
      <c r="B6155" s="85"/>
      <c r="C6155" s="85"/>
      <c r="F6155" s="92"/>
      <c r="G6155" s="85"/>
    </row>
    <row r="6156">
      <c r="A6156" s="84"/>
      <c r="B6156" s="85"/>
      <c r="C6156" s="85"/>
      <c r="F6156" s="92"/>
      <c r="G6156" s="85"/>
    </row>
    <row r="6157">
      <c r="A6157" s="84"/>
      <c r="B6157" s="85"/>
      <c r="C6157" s="85"/>
      <c r="F6157" s="92"/>
      <c r="G6157" s="85"/>
    </row>
    <row r="6158">
      <c r="A6158" s="84"/>
      <c r="B6158" s="85"/>
      <c r="C6158" s="85"/>
      <c r="F6158" s="92"/>
      <c r="G6158" s="85"/>
    </row>
    <row r="6159">
      <c r="A6159" s="84"/>
      <c r="B6159" s="85"/>
      <c r="C6159" s="85"/>
      <c r="F6159" s="92"/>
      <c r="G6159" s="85"/>
    </row>
    <row r="6160">
      <c r="A6160" s="84"/>
      <c r="B6160" s="85"/>
      <c r="C6160" s="85"/>
      <c r="F6160" s="92"/>
      <c r="G6160" s="85"/>
    </row>
    <row r="6161">
      <c r="A6161" s="84"/>
      <c r="B6161" s="85"/>
      <c r="C6161" s="85"/>
      <c r="F6161" s="92"/>
      <c r="G6161" s="85"/>
    </row>
    <row r="6162">
      <c r="A6162" s="84"/>
      <c r="B6162" s="85"/>
      <c r="C6162" s="85"/>
      <c r="F6162" s="92"/>
      <c r="G6162" s="85"/>
    </row>
    <row r="6163">
      <c r="A6163" s="84"/>
      <c r="B6163" s="85"/>
      <c r="C6163" s="85"/>
      <c r="F6163" s="92"/>
      <c r="G6163" s="85"/>
    </row>
    <row r="6164">
      <c r="A6164" s="84"/>
      <c r="B6164" s="85"/>
      <c r="C6164" s="85"/>
      <c r="F6164" s="92"/>
      <c r="G6164" s="85"/>
    </row>
    <row r="6165">
      <c r="A6165" s="84"/>
      <c r="B6165" s="85"/>
      <c r="C6165" s="85"/>
      <c r="F6165" s="92"/>
      <c r="G6165" s="85"/>
    </row>
    <row r="6166">
      <c r="A6166" s="84"/>
      <c r="B6166" s="85"/>
      <c r="C6166" s="85"/>
      <c r="F6166" s="92"/>
      <c r="G6166" s="85"/>
    </row>
    <row r="6167">
      <c r="A6167" s="84"/>
      <c r="B6167" s="85"/>
      <c r="C6167" s="85"/>
      <c r="F6167" s="92"/>
      <c r="G6167" s="85"/>
    </row>
    <row r="6168">
      <c r="A6168" s="84"/>
      <c r="B6168" s="85"/>
      <c r="C6168" s="85"/>
      <c r="F6168" s="92"/>
      <c r="G6168" s="85"/>
    </row>
    <row r="6169">
      <c r="A6169" s="84"/>
      <c r="B6169" s="85"/>
      <c r="C6169" s="85"/>
      <c r="F6169" s="92"/>
      <c r="G6169" s="85"/>
    </row>
    <row r="6170">
      <c r="A6170" s="84"/>
      <c r="B6170" s="85"/>
      <c r="C6170" s="85"/>
      <c r="F6170" s="92"/>
      <c r="G6170" s="85"/>
    </row>
    <row r="6171">
      <c r="A6171" s="84"/>
      <c r="B6171" s="85"/>
      <c r="C6171" s="85"/>
      <c r="F6171" s="92"/>
      <c r="G6171" s="85"/>
    </row>
    <row r="6172">
      <c r="A6172" s="84"/>
      <c r="B6172" s="85"/>
      <c r="C6172" s="85"/>
      <c r="F6172" s="92"/>
      <c r="G6172" s="85"/>
    </row>
    <row r="6173">
      <c r="A6173" s="84"/>
      <c r="B6173" s="85"/>
      <c r="C6173" s="85"/>
      <c r="F6173" s="92"/>
      <c r="G6173" s="85"/>
    </row>
    <row r="6174">
      <c r="A6174" s="84"/>
      <c r="B6174" s="85"/>
      <c r="C6174" s="85"/>
      <c r="F6174" s="92"/>
      <c r="G6174" s="85"/>
    </row>
    <row r="6175">
      <c r="A6175" s="84"/>
      <c r="B6175" s="85"/>
      <c r="C6175" s="85"/>
      <c r="F6175" s="92"/>
      <c r="G6175" s="85"/>
    </row>
    <row r="6176">
      <c r="A6176" s="84"/>
      <c r="B6176" s="85"/>
      <c r="C6176" s="85"/>
      <c r="F6176" s="92"/>
      <c r="G6176" s="85"/>
    </row>
    <row r="6177">
      <c r="A6177" s="84"/>
      <c r="B6177" s="85"/>
      <c r="C6177" s="85"/>
      <c r="F6177" s="92"/>
      <c r="G6177" s="85"/>
    </row>
    <row r="6178">
      <c r="A6178" s="84"/>
      <c r="B6178" s="85"/>
      <c r="C6178" s="85"/>
      <c r="F6178" s="92"/>
      <c r="G6178" s="85"/>
    </row>
    <row r="6179">
      <c r="A6179" s="84"/>
      <c r="B6179" s="85"/>
      <c r="C6179" s="85"/>
      <c r="F6179" s="92"/>
      <c r="G6179" s="85"/>
    </row>
    <row r="6180">
      <c r="A6180" s="84"/>
      <c r="B6180" s="85"/>
      <c r="C6180" s="85"/>
      <c r="F6180" s="92"/>
      <c r="G6180" s="85"/>
    </row>
    <row r="6181">
      <c r="A6181" s="84"/>
      <c r="B6181" s="85"/>
      <c r="C6181" s="85"/>
      <c r="F6181" s="92"/>
      <c r="G6181" s="85"/>
    </row>
    <row r="6182">
      <c r="A6182" s="84"/>
      <c r="B6182" s="85"/>
      <c r="C6182" s="85"/>
      <c r="F6182" s="92"/>
      <c r="G6182" s="85"/>
    </row>
    <row r="6183">
      <c r="A6183" s="84"/>
      <c r="B6183" s="85"/>
      <c r="C6183" s="85"/>
      <c r="F6183" s="92"/>
      <c r="G6183" s="85"/>
    </row>
    <row r="6184">
      <c r="A6184" s="84"/>
      <c r="B6184" s="85"/>
      <c r="C6184" s="85"/>
      <c r="F6184" s="92"/>
      <c r="G6184" s="85"/>
    </row>
    <row r="6185">
      <c r="A6185" s="84"/>
      <c r="B6185" s="85"/>
      <c r="C6185" s="85"/>
      <c r="F6185" s="92"/>
      <c r="G6185" s="85"/>
    </row>
    <row r="6186">
      <c r="A6186" s="84"/>
      <c r="B6186" s="85"/>
      <c r="C6186" s="85"/>
      <c r="F6186" s="92"/>
      <c r="G6186" s="85"/>
    </row>
    <row r="6187">
      <c r="A6187" s="84"/>
      <c r="B6187" s="85"/>
      <c r="C6187" s="85"/>
      <c r="F6187" s="92"/>
      <c r="G6187" s="85"/>
    </row>
    <row r="6188">
      <c r="A6188" s="84"/>
      <c r="B6188" s="85"/>
      <c r="C6188" s="85"/>
      <c r="F6188" s="92"/>
      <c r="G6188" s="85"/>
    </row>
    <row r="6189">
      <c r="A6189" s="84"/>
      <c r="B6189" s="85"/>
      <c r="C6189" s="85"/>
      <c r="F6189" s="92"/>
      <c r="G6189" s="85"/>
    </row>
    <row r="6190">
      <c r="A6190" s="84"/>
      <c r="B6190" s="85"/>
      <c r="C6190" s="85"/>
      <c r="F6190" s="92"/>
      <c r="G6190" s="85"/>
    </row>
    <row r="6191">
      <c r="A6191" s="84"/>
      <c r="B6191" s="85"/>
      <c r="C6191" s="85"/>
      <c r="F6191" s="92"/>
      <c r="G6191" s="85"/>
    </row>
    <row r="6192">
      <c r="A6192" s="84"/>
      <c r="B6192" s="85"/>
      <c r="C6192" s="85"/>
      <c r="F6192" s="92"/>
      <c r="G6192" s="85"/>
    </row>
    <row r="6193">
      <c r="A6193" s="84"/>
      <c r="B6193" s="85"/>
      <c r="C6193" s="85"/>
      <c r="F6193" s="92"/>
      <c r="G6193" s="85"/>
    </row>
    <row r="6194">
      <c r="A6194" s="84"/>
      <c r="B6194" s="85"/>
      <c r="C6194" s="85"/>
      <c r="F6194" s="92"/>
      <c r="G6194" s="85"/>
    </row>
    <row r="6195">
      <c r="A6195" s="84"/>
      <c r="B6195" s="85"/>
      <c r="C6195" s="85"/>
      <c r="F6195" s="92"/>
      <c r="G6195" s="85"/>
    </row>
    <row r="6196">
      <c r="A6196" s="84"/>
      <c r="B6196" s="85"/>
      <c r="C6196" s="85"/>
      <c r="F6196" s="92"/>
      <c r="G6196" s="85"/>
    </row>
    <row r="6197">
      <c r="A6197" s="84"/>
      <c r="B6197" s="85"/>
      <c r="C6197" s="85"/>
      <c r="F6197" s="92"/>
      <c r="G6197" s="85"/>
    </row>
    <row r="6198">
      <c r="A6198" s="84"/>
      <c r="B6198" s="85"/>
      <c r="C6198" s="85"/>
      <c r="F6198" s="92"/>
      <c r="G6198" s="85"/>
    </row>
    <row r="6199">
      <c r="A6199" s="84"/>
      <c r="B6199" s="85"/>
      <c r="C6199" s="85"/>
      <c r="F6199" s="92"/>
      <c r="G6199" s="85"/>
    </row>
    <row r="6200">
      <c r="A6200" s="84"/>
      <c r="B6200" s="85"/>
      <c r="C6200" s="85"/>
      <c r="F6200" s="92"/>
      <c r="G6200" s="85"/>
    </row>
    <row r="6201">
      <c r="A6201" s="84"/>
      <c r="B6201" s="85"/>
      <c r="C6201" s="85"/>
      <c r="F6201" s="92"/>
      <c r="G6201" s="85"/>
    </row>
    <row r="6202">
      <c r="A6202" s="84"/>
      <c r="B6202" s="85"/>
      <c r="C6202" s="85"/>
      <c r="F6202" s="92"/>
      <c r="G6202" s="85"/>
    </row>
    <row r="6203">
      <c r="A6203" s="84"/>
      <c r="B6203" s="85"/>
      <c r="C6203" s="85"/>
      <c r="F6203" s="92"/>
      <c r="G6203" s="85"/>
    </row>
    <row r="6204">
      <c r="A6204" s="84"/>
      <c r="B6204" s="85"/>
      <c r="C6204" s="85"/>
      <c r="F6204" s="92"/>
      <c r="G6204" s="85"/>
    </row>
    <row r="6205">
      <c r="A6205" s="84"/>
      <c r="B6205" s="85"/>
      <c r="C6205" s="85"/>
      <c r="F6205" s="92"/>
      <c r="G6205" s="85"/>
    </row>
    <row r="6206">
      <c r="A6206" s="84"/>
      <c r="B6206" s="85"/>
      <c r="C6206" s="85"/>
      <c r="F6206" s="92"/>
      <c r="G6206" s="85"/>
    </row>
    <row r="6207">
      <c r="A6207" s="84"/>
      <c r="B6207" s="85"/>
      <c r="C6207" s="85"/>
      <c r="F6207" s="92"/>
      <c r="G6207" s="85"/>
    </row>
    <row r="6208">
      <c r="A6208" s="84"/>
      <c r="B6208" s="85"/>
      <c r="C6208" s="85"/>
      <c r="F6208" s="92"/>
      <c r="G6208" s="85"/>
    </row>
    <row r="6209">
      <c r="A6209" s="84"/>
      <c r="B6209" s="85"/>
      <c r="C6209" s="85"/>
      <c r="F6209" s="92"/>
      <c r="G6209" s="85"/>
    </row>
    <row r="6210">
      <c r="A6210" s="84"/>
      <c r="B6210" s="85"/>
      <c r="C6210" s="85"/>
      <c r="F6210" s="92"/>
      <c r="G6210" s="85"/>
    </row>
    <row r="6211">
      <c r="A6211" s="84"/>
      <c r="B6211" s="85"/>
      <c r="C6211" s="85"/>
      <c r="F6211" s="92"/>
      <c r="G6211" s="85"/>
    </row>
    <row r="6212">
      <c r="A6212" s="84"/>
      <c r="B6212" s="85"/>
      <c r="C6212" s="85"/>
      <c r="F6212" s="92"/>
      <c r="G6212" s="85"/>
    </row>
    <row r="6213">
      <c r="A6213" s="84"/>
      <c r="B6213" s="85"/>
      <c r="C6213" s="85"/>
      <c r="F6213" s="92"/>
      <c r="G6213" s="85"/>
    </row>
    <row r="6214">
      <c r="A6214" s="84"/>
      <c r="B6214" s="85"/>
      <c r="C6214" s="85"/>
      <c r="F6214" s="92"/>
      <c r="G6214" s="85"/>
    </row>
    <row r="6215">
      <c r="A6215" s="84"/>
      <c r="B6215" s="85"/>
      <c r="C6215" s="85"/>
      <c r="F6215" s="92"/>
      <c r="G6215" s="85"/>
    </row>
    <row r="6216">
      <c r="A6216" s="84"/>
      <c r="B6216" s="85"/>
      <c r="C6216" s="85"/>
      <c r="F6216" s="92"/>
      <c r="G6216" s="85"/>
    </row>
    <row r="6217">
      <c r="A6217" s="84"/>
      <c r="B6217" s="85"/>
      <c r="C6217" s="85"/>
      <c r="F6217" s="92"/>
      <c r="G6217" s="85"/>
    </row>
    <row r="6218">
      <c r="A6218" s="84"/>
      <c r="B6218" s="85"/>
      <c r="C6218" s="85"/>
      <c r="F6218" s="92"/>
      <c r="G6218" s="85"/>
    </row>
    <row r="6219">
      <c r="A6219" s="84"/>
      <c r="B6219" s="85"/>
      <c r="C6219" s="85"/>
      <c r="F6219" s="92"/>
      <c r="G6219" s="85"/>
    </row>
    <row r="6220">
      <c r="A6220" s="84"/>
      <c r="B6220" s="85"/>
      <c r="C6220" s="85"/>
      <c r="F6220" s="92"/>
      <c r="G6220" s="85"/>
    </row>
    <row r="6221">
      <c r="A6221" s="84"/>
      <c r="B6221" s="85"/>
      <c r="C6221" s="85"/>
      <c r="F6221" s="92"/>
      <c r="G6221" s="85"/>
    </row>
    <row r="6222">
      <c r="A6222" s="84"/>
      <c r="B6222" s="85"/>
      <c r="C6222" s="85"/>
      <c r="F6222" s="92"/>
      <c r="G6222" s="85"/>
    </row>
    <row r="6223">
      <c r="A6223" s="84"/>
      <c r="B6223" s="85"/>
      <c r="C6223" s="85"/>
      <c r="F6223" s="92"/>
      <c r="G6223" s="85"/>
    </row>
    <row r="6224">
      <c r="A6224" s="84"/>
      <c r="B6224" s="85"/>
      <c r="C6224" s="85"/>
      <c r="F6224" s="92"/>
      <c r="G6224" s="85"/>
    </row>
    <row r="6225">
      <c r="A6225" s="84"/>
      <c r="B6225" s="85"/>
      <c r="C6225" s="85"/>
      <c r="F6225" s="92"/>
      <c r="G6225" s="85"/>
    </row>
    <row r="6226">
      <c r="A6226" s="84"/>
      <c r="B6226" s="85"/>
      <c r="C6226" s="85"/>
      <c r="F6226" s="92"/>
      <c r="G6226" s="85"/>
    </row>
    <row r="6227">
      <c r="A6227" s="84"/>
      <c r="B6227" s="85"/>
      <c r="C6227" s="85"/>
      <c r="F6227" s="92"/>
      <c r="G6227" s="85"/>
    </row>
    <row r="6228">
      <c r="A6228" s="84"/>
      <c r="B6228" s="85"/>
      <c r="C6228" s="85"/>
      <c r="F6228" s="92"/>
      <c r="G6228" s="85"/>
    </row>
    <row r="6229">
      <c r="A6229" s="84"/>
      <c r="B6229" s="85"/>
      <c r="C6229" s="85"/>
      <c r="F6229" s="92"/>
      <c r="G6229" s="85"/>
    </row>
    <row r="6230">
      <c r="A6230" s="84"/>
      <c r="B6230" s="85"/>
      <c r="C6230" s="85"/>
      <c r="F6230" s="92"/>
      <c r="G6230" s="85"/>
    </row>
    <row r="6231">
      <c r="A6231" s="84"/>
      <c r="B6231" s="85"/>
      <c r="C6231" s="85"/>
      <c r="F6231" s="92"/>
      <c r="G6231" s="85"/>
    </row>
    <row r="6232">
      <c r="A6232" s="84"/>
      <c r="B6232" s="85"/>
      <c r="C6232" s="85"/>
      <c r="F6232" s="92"/>
      <c r="G6232" s="85"/>
    </row>
    <row r="6233">
      <c r="A6233" s="84"/>
      <c r="B6233" s="85"/>
      <c r="C6233" s="85"/>
      <c r="F6233" s="92"/>
      <c r="G6233" s="85"/>
    </row>
    <row r="6234">
      <c r="A6234" s="84"/>
      <c r="B6234" s="85"/>
      <c r="C6234" s="85"/>
      <c r="F6234" s="92"/>
      <c r="G6234" s="85"/>
    </row>
    <row r="6235">
      <c r="A6235" s="84"/>
      <c r="B6235" s="85"/>
      <c r="C6235" s="85"/>
      <c r="F6235" s="92"/>
      <c r="G6235" s="85"/>
    </row>
    <row r="6236">
      <c r="A6236" s="84"/>
      <c r="B6236" s="85"/>
      <c r="C6236" s="85"/>
      <c r="F6236" s="92"/>
      <c r="G6236" s="85"/>
    </row>
    <row r="6237">
      <c r="A6237" s="84"/>
      <c r="B6237" s="85"/>
      <c r="C6237" s="85"/>
      <c r="F6237" s="92"/>
      <c r="G6237" s="85"/>
    </row>
    <row r="6238">
      <c r="A6238" s="84"/>
      <c r="B6238" s="85"/>
      <c r="C6238" s="85"/>
      <c r="F6238" s="92"/>
      <c r="G6238" s="85"/>
    </row>
    <row r="6239">
      <c r="A6239" s="84"/>
      <c r="B6239" s="85"/>
      <c r="C6239" s="85"/>
      <c r="F6239" s="92"/>
      <c r="G6239" s="85"/>
    </row>
    <row r="6240">
      <c r="A6240" s="84"/>
      <c r="B6240" s="85"/>
      <c r="C6240" s="85"/>
      <c r="F6240" s="92"/>
      <c r="G6240" s="85"/>
    </row>
    <row r="6241">
      <c r="A6241" s="84"/>
      <c r="B6241" s="85"/>
      <c r="C6241" s="85"/>
      <c r="F6241" s="92"/>
      <c r="G6241" s="85"/>
    </row>
    <row r="6242">
      <c r="A6242" s="84"/>
      <c r="B6242" s="85"/>
      <c r="C6242" s="85"/>
      <c r="F6242" s="92"/>
      <c r="G6242" s="85"/>
    </row>
    <row r="6243">
      <c r="A6243" s="84"/>
      <c r="B6243" s="85"/>
      <c r="C6243" s="85"/>
      <c r="F6243" s="92"/>
      <c r="G6243" s="85"/>
    </row>
    <row r="6244">
      <c r="A6244" s="84"/>
      <c r="B6244" s="85"/>
      <c r="C6244" s="85"/>
      <c r="F6244" s="92"/>
      <c r="G6244" s="85"/>
    </row>
    <row r="6245">
      <c r="A6245" s="84"/>
      <c r="B6245" s="85"/>
      <c r="C6245" s="85"/>
      <c r="F6245" s="92"/>
      <c r="G6245" s="85"/>
    </row>
    <row r="6246">
      <c r="A6246" s="84"/>
      <c r="B6246" s="85"/>
      <c r="C6246" s="85"/>
      <c r="F6246" s="92"/>
      <c r="G6246" s="85"/>
    </row>
    <row r="6247">
      <c r="A6247" s="84"/>
      <c r="B6247" s="85"/>
      <c r="C6247" s="85"/>
      <c r="F6247" s="92"/>
      <c r="G6247" s="85"/>
    </row>
    <row r="6248">
      <c r="A6248" s="84"/>
      <c r="B6248" s="85"/>
      <c r="C6248" s="85"/>
      <c r="F6248" s="92"/>
      <c r="G6248" s="85"/>
    </row>
    <row r="6249">
      <c r="A6249" s="84"/>
      <c r="B6249" s="85"/>
      <c r="C6249" s="85"/>
      <c r="F6249" s="92"/>
      <c r="G6249" s="85"/>
    </row>
    <row r="6250">
      <c r="A6250" s="84"/>
      <c r="B6250" s="85"/>
      <c r="C6250" s="85"/>
      <c r="F6250" s="92"/>
      <c r="G6250" s="85"/>
    </row>
    <row r="6251">
      <c r="A6251" s="84"/>
      <c r="B6251" s="85"/>
      <c r="C6251" s="85"/>
      <c r="F6251" s="92"/>
      <c r="G6251" s="85"/>
    </row>
    <row r="6252">
      <c r="A6252" s="84"/>
      <c r="B6252" s="85"/>
      <c r="C6252" s="85"/>
      <c r="F6252" s="92"/>
      <c r="G6252" s="85"/>
    </row>
    <row r="6253">
      <c r="A6253" s="84"/>
      <c r="B6253" s="85"/>
      <c r="C6253" s="85"/>
      <c r="F6253" s="92"/>
      <c r="G6253" s="85"/>
    </row>
    <row r="6254">
      <c r="A6254" s="84"/>
      <c r="B6254" s="85"/>
      <c r="C6254" s="85"/>
      <c r="F6254" s="92"/>
      <c r="G6254" s="85"/>
    </row>
    <row r="6255">
      <c r="A6255" s="84"/>
      <c r="B6255" s="85"/>
      <c r="C6255" s="85"/>
      <c r="F6255" s="92"/>
      <c r="G6255" s="85"/>
    </row>
    <row r="6256">
      <c r="A6256" s="84"/>
      <c r="B6256" s="85"/>
      <c r="C6256" s="85"/>
      <c r="F6256" s="92"/>
      <c r="G6256" s="85"/>
    </row>
    <row r="6257">
      <c r="A6257" s="84"/>
      <c r="B6257" s="85"/>
      <c r="C6257" s="85"/>
      <c r="F6257" s="92"/>
      <c r="G6257" s="85"/>
    </row>
    <row r="6258">
      <c r="A6258" s="84"/>
      <c r="B6258" s="85"/>
      <c r="C6258" s="85"/>
      <c r="F6258" s="92"/>
      <c r="G6258" s="85"/>
    </row>
    <row r="6259">
      <c r="A6259" s="84"/>
      <c r="B6259" s="85"/>
      <c r="C6259" s="85"/>
      <c r="F6259" s="92"/>
      <c r="G6259" s="85"/>
    </row>
    <row r="6260">
      <c r="A6260" s="84"/>
      <c r="B6260" s="85"/>
      <c r="C6260" s="85"/>
      <c r="F6260" s="92"/>
      <c r="G6260" s="85"/>
    </row>
    <row r="6261">
      <c r="A6261" s="84"/>
      <c r="B6261" s="85"/>
      <c r="C6261" s="85"/>
      <c r="F6261" s="92"/>
      <c r="G6261" s="85"/>
    </row>
    <row r="6262">
      <c r="A6262" s="84"/>
      <c r="B6262" s="85"/>
      <c r="C6262" s="85"/>
      <c r="F6262" s="92"/>
      <c r="G6262" s="85"/>
    </row>
    <row r="6263">
      <c r="A6263" s="84"/>
      <c r="B6263" s="85"/>
      <c r="C6263" s="85"/>
      <c r="F6263" s="92"/>
      <c r="G6263" s="85"/>
    </row>
    <row r="6264">
      <c r="A6264" s="84"/>
      <c r="B6264" s="85"/>
      <c r="C6264" s="85"/>
      <c r="F6264" s="92"/>
      <c r="G6264" s="85"/>
    </row>
    <row r="6265">
      <c r="A6265" s="84"/>
      <c r="B6265" s="85"/>
      <c r="C6265" s="85"/>
      <c r="F6265" s="92"/>
      <c r="G6265" s="85"/>
    </row>
    <row r="6266">
      <c r="A6266" s="84"/>
      <c r="B6266" s="85"/>
      <c r="C6266" s="85"/>
      <c r="F6266" s="92"/>
      <c r="G6266" s="85"/>
    </row>
    <row r="6267">
      <c r="A6267" s="84"/>
      <c r="B6267" s="85"/>
      <c r="C6267" s="85"/>
      <c r="F6267" s="92"/>
      <c r="G6267" s="85"/>
    </row>
    <row r="6268">
      <c r="A6268" s="84"/>
      <c r="B6268" s="85"/>
      <c r="C6268" s="85"/>
      <c r="F6268" s="92"/>
      <c r="G6268" s="85"/>
    </row>
    <row r="6269">
      <c r="A6269" s="84"/>
      <c r="B6269" s="85"/>
      <c r="C6269" s="85"/>
      <c r="F6269" s="92"/>
      <c r="G6269" s="85"/>
    </row>
    <row r="6270">
      <c r="A6270" s="84"/>
      <c r="B6270" s="85"/>
      <c r="C6270" s="85"/>
      <c r="F6270" s="92"/>
      <c r="G6270" s="85"/>
    </row>
    <row r="6271">
      <c r="A6271" s="84"/>
      <c r="B6271" s="85"/>
      <c r="C6271" s="85"/>
      <c r="F6271" s="92"/>
      <c r="G6271" s="85"/>
    </row>
    <row r="6272">
      <c r="A6272" s="84"/>
      <c r="B6272" s="85"/>
      <c r="C6272" s="85"/>
      <c r="F6272" s="92"/>
      <c r="G6272" s="85"/>
    </row>
    <row r="6273">
      <c r="A6273" s="84"/>
      <c r="B6273" s="85"/>
      <c r="C6273" s="85"/>
      <c r="F6273" s="92"/>
      <c r="G6273" s="85"/>
    </row>
    <row r="6274">
      <c r="A6274" s="84"/>
      <c r="B6274" s="85"/>
      <c r="C6274" s="85"/>
      <c r="F6274" s="92"/>
      <c r="G6274" s="85"/>
    </row>
    <row r="6275">
      <c r="A6275" s="84"/>
      <c r="B6275" s="85"/>
      <c r="C6275" s="85"/>
      <c r="F6275" s="92"/>
      <c r="G6275" s="85"/>
    </row>
    <row r="6276">
      <c r="A6276" s="84"/>
      <c r="B6276" s="85"/>
      <c r="C6276" s="85"/>
      <c r="F6276" s="92"/>
      <c r="G6276" s="85"/>
    </row>
    <row r="6277">
      <c r="A6277" s="84"/>
      <c r="B6277" s="85"/>
      <c r="C6277" s="85"/>
      <c r="F6277" s="92"/>
      <c r="G6277" s="85"/>
    </row>
    <row r="6278">
      <c r="A6278" s="84"/>
      <c r="B6278" s="85"/>
      <c r="C6278" s="85"/>
      <c r="F6278" s="92"/>
      <c r="G6278" s="85"/>
    </row>
    <row r="6279">
      <c r="A6279" s="84"/>
      <c r="B6279" s="85"/>
      <c r="C6279" s="85"/>
      <c r="F6279" s="92"/>
      <c r="G6279" s="85"/>
    </row>
    <row r="6280">
      <c r="A6280" s="84"/>
      <c r="B6280" s="85"/>
      <c r="C6280" s="85"/>
      <c r="F6280" s="92"/>
      <c r="G6280" s="85"/>
    </row>
    <row r="6281">
      <c r="A6281" s="84"/>
      <c r="B6281" s="85"/>
      <c r="C6281" s="85"/>
      <c r="F6281" s="92"/>
      <c r="G6281" s="85"/>
    </row>
    <row r="6282">
      <c r="A6282" s="84"/>
      <c r="B6282" s="85"/>
      <c r="C6282" s="85"/>
      <c r="F6282" s="92"/>
      <c r="G6282" s="85"/>
    </row>
    <row r="6283">
      <c r="A6283" s="84"/>
      <c r="B6283" s="85"/>
      <c r="C6283" s="85"/>
      <c r="F6283" s="92"/>
      <c r="G6283" s="85"/>
    </row>
    <row r="6284">
      <c r="A6284" s="84"/>
      <c r="B6284" s="85"/>
      <c r="C6284" s="85"/>
      <c r="F6284" s="92"/>
      <c r="G6284" s="85"/>
    </row>
    <row r="6285">
      <c r="A6285" s="84"/>
      <c r="B6285" s="85"/>
      <c r="C6285" s="85"/>
      <c r="F6285" s="92"/>
      <c r="G6285" s="85"/>
    </row>
    <row r="6286">
      <c r="A6286" s="84"/>
      <c r="B6286" s="85"/>
      <c r="C6286" s="85"/>
      <c r="F6286" s="92"/>
      <c r="G6286" s="85"/>
    </row>
    <row r="6287">
      <c r="A6287" s="84"/>
      <c r="B6287" s="85"/>
      <c r="C6287" s="85"/>
      <c r="F6287" s="92"/>
      <c r="G6287" s="85"/>
    </row>
    <row r="6288">
      <c r="A6288" s="84"/>
      <c r="B6288" s="85"/>
      <c r="C6288" s="85"/>
      <c r="F6288" s="92"/>
      <c r="G6288" s="85"/>
    </row>
    <row r="6289">
      <c r="A6289" s="84"/>
      <c r="B6289" s="85"/>
      <c r="C6289" s="85"/>
      <c r="F6289" s="92"/>
      <c r="G6289" s="85"/>
    </row>
    <row r="6290">
      <c r="A6290" s="84"/>
      <c r="B6290" s="85"/>
      <c r="C6290" s="85"/>
      <c r="F6290" s="92"/>
      <c r="G6290" s="85"/>
    </row>
    <row r="6291">
      <c r="A6291" s="84"/>
      <c r="B6291" s="85"/>
      <c r="C6291" s="85"/>
      <c r="F6291" s="92"/>
      <c r="G6291" s="85"/>
    </row>
    <row r="6292">
      <c r="A6292" s="84"/>
      <c r="B6292" s="85"/>
      <c r="C6292" s="85"/>
      <c r="F6292" s="92"/>
      <c r="G6292" s="85"/>
    </row>
    <row r="6293">
      <c r="A6293" s="84"/>
      <c r="B6293" s="85"/>
      <c r="C6293" s="85"/>
      <c r="F6293" s="92"/>
      <c r="G6293" s="85"/>
    </row>
    <row r="6294">
      <c r="A6294" s="84"/>
      <c r="B6294" s="85"/>
      <c r="C6294" s="85"/>
      <c r="F6294" s="92"/>
      <c r="G6294" s="85"/>
    </row>
    <row r="6295">
      <c r="A6295" s="84"/>
      <c r="B6295" s="85"/>
      <c r="C6295" s="85"/>
      <c r="F6295" s="92"/>
      <c r="G6295" s="85"/>
    </row>
    <row r="6296">
      <c r="A6296" s="84"/>
      <c r="B6296" s="85"/>
      <c r="C6296" s="85"/>
      <c r="F6296" s="92"/>
      <c r="G6296" s="85"/>
    </row>
    <row r="6297">
      <c r="A6297" s="84"/>
      <c r="B6297" s="85"/>
      <c r="C6297" s="85"/>
      <c r="F6297" s="92"/>
      <c r="G6297" s="85"/>
    </row>
    <row r="6298">
      <c r="A6298" s="84"/>
      <c r="B6298" s="85"/>
      <c r="C6298" s="85"/>
      <c r="F6298" s="92"/>
      <c r="G6298" s="85"/>
    </row>
    <row r="6299">
      <c r="A6299" s="84"/>
      <c r="B6299" s="85"/>
      <c r="C6299" s="85"/>
      <c r="F6299" s="92"/>
      <c r="G6299" s="85"/>
    </row>
    <row r="6300">
      <c r="A6300" s="84"/>
      <c r="B6300" s="85"/>
      <c r="C6300" s="85"/>
      <c r="F6300" s="92"/>
      <c r="G6300" s="85"/>
    </row>
    <row r="6301">
      <c r="A6301" s="84"/>
      <c r="B6301" s="85"/>
      <c r="C6301" s="85"/>
      <c r="F6301" s="92"/>
      <c r="G6301" s="85"/>
    </row>
    <row r="6302">
      <c r="A6302" s="84"/>
      <c r="B6302" s="85"/>
      <c r="C6302" s="85"/>
      <c r="F6302" s="92"/>
      <c r="G6302" s="85"/>
    </row>
    <row r="6303">
      <c r="A6303" s="84"/>
      <c r="B6303" s="85"/>
      <c r="C6303" s="85"/>
      <c r="F6303" s="92"/>
      <c r="G6303" s="85"/>
    </row>
    <row r="6304">
      <c r="A6304" s="84"/>
      <c r="B6304" s="85"/>
      <c r="C6304" s="85"/>
      <c r="F6304" s="92"/>
      <c r="G6304" s="85"/>
    </row>
    <row r="6305">
      <c r="A6305" s="84"/>
      <c r="B6305" s="85"/>
      <c r="C6305" s="85"/>
      <c r="F6305" s="92"/>
      <c r="G6305" s="85"/>
    </row>
    <row r="6306">
      <c r="A6306" s="84"/>
      <c r="B6306" s="85"/>
      <c r="C6306" s="85"/>
      <c r="F6306" s="92"/>
      <c r="G6306" s="85"/>
    </row>
    <row r="6307">
      <c r="A6307" s="84"/>
      <c r="B6307" s="85"/>
      <c r="C6307" s="85"/>
      <c r="F6307" s="92"/>
      <c r="G6307" s="85"/>
    </row>
    <row r="6308">
      <c r="A6308" s="84"/>
      <c r="B6308" s="85"/>
      <c r="C6308" s="85"/>
      <c r="F6308" s="92"/>
      <c r="G6308" s="85"/>
    </row>
    <row r="6309">
      <c r="A6309" s="84"/>
      <c r="B6309" s="85"/>
      <c r="C6309" s="85"/>
      <c r="F6309" s="92"/>
      <c r="G6309" s="85"/>
    </row>
    <row r="6310">
      <c r="A6310" s="84"/>
      <c r="B6310" s="85"/>
      <c r="C6310" s="85"/>
      <c r="F6310" s="92"/>
      <c r="G6310" s="85"/>
    </row>
    <row r="6311">
      <c r="A6311" s="84"/>
      <c r="B6311" s="85"/>
      <c r="C6311" s="85"/>
      <c r="F6311" s="92"/>
      <c r="G6311" s="85"/>
    </row>
    <row r="6312">
      <c r="A6312" s="84"/>
      <c r="B6312" s="85"/>
      <c r="C6312" s="85"/>
      <c r="F6312" s="92"/>
      <c r="G6312" s="85"/>
    </row>
    <row r="6313">
      <c r="A6313" s="84"/>
      <c r="B6313" s="85"/>
      <c r="C6313" s="85"/>
      <c r="F6313" s="92"/>
      <c r="G6313" s="85"/>
    </row>
    <row r="6314">
      <c r="A6314" s="84"/>
      <c r="B6314" s="85"/>
      <c r="C6314" s="85"/>
      <c r="F6314" s="92"/>
      <c r="G6314" s="85"/>
    </row>
    <row r="6315">
      <c r="A6315" s="84"/>
      <c r="B6315" s="85"/>
      <c r="C6315" s="85"/>
      <c r="F6315" s="92"/>
      <c r="G6315" s="85"/>
    </row>
    <row r="6316">
      <c r="A6316" s="84"/>
      <c r="B6316" s="85"/>
      <c r="C6316" s="85"/>
      <c r="F6316" s="92"/>
      <c r="G6316" s="85"/>
    </row>
    <row r="6317">
      <c r="A6317" s="84"/>
      <c r="B6317" s="85"/>
      <c r="C6317" s="85"/>
      <c r="F6317" s="92"/>
      <c r="G6317" s="85"/>
    </row>
    <row r="6318">
      <c r="A6318" s="84"/>
      <c r="B6318" s="85"/>
      <c r="C6318" s="85"/>
      <c r="F6318" s="92"/>
      <c r="G6318" s="85"/>
    </row>
    <row r="6319">
      <c r="A6319" s="84"/>
      <c r="B6319" s="85"/>
      <c r="C6319" s="85"/>
      <c r="F6319" s="92"/>
      <c r="G6319" s="85"/>
    </row>
    <row r="6320">
      <c r="A6320" s="84"/>
      <c r="B6320" s="85"/>
      <c r="C6320" s="85"/>
      <c r="F6320" s="92"/>
      <c r="G6320" s="85"/>
    </row>
    <row r="6321">
      <c r="A6321" s="84"/>
      <c r="B6321" s="85"/>
      <c r="C6321" s="85"/>
      <c r="F6321" s="92"/>
      <c r="G6321" s="85"/>
    </row>
    <row r="6322">
      <c r="A6322" s="84"/>
      <c r="B6322" s="85"/>
      <c r="C6322" s="85"/>
      <c r="F6322" s="92"/>
      <c r="G6322" s="85"/>
    </row>
    <row r="6323">
      <c r="A6323" s="84"/>
      <c r="B6323" s="85"/>
      <c r="C6323" s="85"/>
      <c r="F6323" s="92"/>
      <c r="G6323" s="85"/>
    </row>
    <row r="6324">
      <c r="A6324" s="84"/>
      <c r="B6324" s="85"/>
      <c r="C6324" s="85"/>
      <c r="F6324" s="92"/>
      <c r="G6324" s="85"/>
    </row>
    <row r="6325">
      <c r="A6325" s="84"/>
      <c r="B6325" s="85"/>
      <c r="C6325" s="85"/>
      <c r="F6325" s="92"/>
      <c r="G6325" s="85"/>
    </row>
    <row r="6326">
      <c r="A6326" s="84"/>
      <c r="B6326" s="85"/>
      <c r="C6326" s="85"/>
      <c r="F6326" s="92"/>
      <c r="G6326" s="85"/>
    </row>
    <row r="6327">
      <c r="A6327" s="84"/>
      <c r="B6327" s="85"/>
      <c r="C6327" s="85"/>
      <c r="F6327" s="92"/>
      <c r="G6327" s="85"/>
    </row>
    <row r="6328">
      <c r="A6328" s="84"/>
      <c r="B6328" s="85"/>
      <c r="C6328" s="85"/>
      <c r="F6328" s="92"/>
      <c r="G6328" s="85"/>
    </row>
    <row r="6329">
      <c r="A6329" s="84"/>
      <c r="B6329" s="85"/>
      <c r="C6329" s="85"/>
      <c r="F6329" s="92"/>
      <c r="G6329" s="85"/>
    </row>
    <row r="6330">
      <c r="A6330" s="84"/>
      <c r="B6330" s="85"/>
      <c r="C6330" s="85"/>
      <c r="F6330" s="92"/>
      <c r="G6330" s="85"/>
    </row>
    <row r="6331">
      <c r="A6331" s="84"/>
      <c r="B6331" s="85"/>
      <c r="C6331" s="85"/>
      <c r="F6331" s="92"/>
      <c r="G6331" s="85"/>
    </row>
    <row r="6332">
      <c r="A6332" s="84"/>
      <c r="B6332" s="85"/>
      <c r="C6332" s="85"/>
      <c r="F6332" s="92"/>
      <c r="G6332" s="85"/>
    </row>
    <row r="6333">
      <c r="A6333" s="84"/>
      <c r="B6333" s="85"/>
      <c r="C6333" s="85"/>
      <c r="F6333" s="92"/>
      <c r="G6333" s="85"/>
    </row>
    <row r="6334">
      <c r="A6334" s="84"/>
      <c r="B6334" s="85"/>
      <c r="C6334" s="85"/>
      <c r="F6334" s="92"/>
      <c r="G6334" s="85"/>
    </row>
    <row r="6335">
      <c r="A6335" s="84"/>
      <c r="B6335" s="85"/>
      <c r="C6335" s="85"/>
      <c r="F6335" s="92"/>
      <c r="G6335" s="85"/>
    </row>
    <row r="6336">
      <c r="A6336" s="84"/>
      <c r="B6336" s="85"/>
      <c r="C6336" s="85"/>
      <c r="F6336" s="92"/>
      <c r="G6336" s="85"/>
    </row>
    <row r="6337">
      <c r="A6337" s="84"/>
      <c r="B6337" s="85"/>
      <c r="C6337" s="85"/>
      <c r="F6337" s="92"/>
      <c r="G6337" s="85"/>
    </row>
    <row r="6338">
      <c r="A6338" s="84"/>
      <c r="B6338" s="85"/>
      <c r="C6338" s="85"/>
      <c r="F6338" s="92"/>
      <c r="G6338" s="85"/>
    </row>
    <row r="6339">
      <c r="A6339" s="84"/>
      <c r="B6339" s="85"/>
      <c r="C6339" s="85"/>
      <c r="F6339" s="92"/>
      <c r="G6339" s="85"/>
    </row>
    <row r="6340">
      <c r="A6340" s="84"/>
      <c r="B6340" s="85"/>
      <c r="C6340" s="85"/>
      <c r="F6340" s="92"/>
      <c r="G6340" s="85"/>
    </row>
    <row r="6341">
      <c r="A6341" s="84"/>
      <c r="B6341" s="85"/>
      <c r="C6341" s="85"/>
      <c r="F6341" s="92"/>
      <c r="G6341" s="85"/>
    </row>
    <row r="6342">
      <c r="A6342" s="84"/>
      <c r="B6342" s="85"/>
      <c r="C6342" s="85"/>
      <c r="F6342" s="92"/>
      <c r="G6342" s="85"/>
    </row>
    <row r="6343">
      <c r="A6343" s="84"/>
      <c r="B6343" s="85"/>
      <c r="C6343" s="85"/>
      <c r="F6343" s="92"/>
      <c r="G6343" s="85"/>
    </row>
    <row r="6344">
      <c r="A6344" s="84"/>
      <c r="B6344" s="85"/>
      <c r="C6344" s="85"/>
      <c r="F6344" s="92"/>
      <c r="G6344" s="85"/>
    </row>
    <row r="6345">
      <c r="A6345" s="84"/>
      <c r="B6345" s="85"/>
      <c r="C6345" s="85"/>
      <c r="F6345" s="92"/>
      <c r="G6345" s="85"/>
    </row>
    <row r="6346">
      <c r="A6346" s="84"/>
      <c r="B6346" s="85"/>
      <c r="C6346" s="85"/>
      <c r="F6346" s="92"/>
      <c r="G6346" s="85"/>
    </row>
    <row r="6347">
      <c r="A6347" s="84"/>
      <c r="B6347" s="85"/>
      <c r="C6347" s="85"/>
      <c r="F6347" s="92"/>
      <c r="G6347" s="85"/>
    </row>
    <row r="6348">
      <c r="A6348" s="84"/>
      <c r="B6348" s="85"/>
      <c r="C6348" s="85"/>
      <c r="F6348" s="92"/>
      <c r="G6348" s="85"/>
    </row>
    <row r="6349">
      <c r="A6349" s="84"/>
      <c r="B6349" s="85"/>
      <c r="C6349" s="85"/>
      <c r="F6349" s="92"/>
      <c r="G6349" s="85"/>
    </row>
    <row r="6350">
      <c r="A6350" s="84"/>
      <c r="B6350" s="85"/>
      <c r="C6350" s="85"/>
      <c r="F6350" s="92"/>
      <c r="G6350" s="85"/>
    </row>
    <row r="6351">
      <c r="A6351" s="84"/>
      <c r="B6351" s="85"/>
      <c r="C6351" s="85"/>
      <c r="F6351" s="92"/>
      <c r="G6351" s="85"/>
    </row>
    <row r="6352">
      <c r="A6352" s="84"/>
      <c r="B6352" s="85"/>
      <c r="C6352" s="85"/>
      <c r="F6352" s="92"/>
      <c r="G6352" s="85"/>
    </row>
    <row r="6353">
      <c r="A6353" s="84"/>
      <c r="B6353" s="85"/>
      <c r="C6353" s="85"/>
      <c r="F6353" s="92"/>
      <c r="G6353" s="85"/>
    </row>
    <row r="6354">
      <c r="A6354" s="84"/>
      <c r="B6354" s="85"/>
      <c r="C6354" s="85"/>
      <c r="F6354" s="92"/>
      <c r="G6354" s="85"/>
    </row>
    <row r="6355">
      <c r="A6355" s="84"/>
      <c r="B6355" s="85"/>
      <c r="C6355" s="85"/>
      <c r="F6355" s="92"/>
      <c r="G6355" s="85"/>
    </row>
    <row r="6356">
      <c r="A6356" s="84"/>
      <c r="B6356" s="85"/>
      <c r="C6356" s="85"/>
      <c r="F6356" s="92"/>
      <c r="G6356" s="85"/>
    </row>
    <row r="6357">
      <c r="A6357" s="84"/>
      <c r="B6357" s="85"/>
      <c r="C6357" s="85"/>
      <c r="F6357" s="92"/>
      <c r="G6357" s="85"/>
    </row>
    <row r="6358">
      <c r="A6358" s="84"/>
      <c r="B6358" s="85"/>
      <c r="C6358" s="85"/>
      <c r="F6358" s="92"/>
      <c r="G6358" s="85"/>
    </row>
    <row r="6359">
      <c r="A6359" s="84"/>
      <c r="B6359" s="85"/>
      <c r="C6359" s="85"/>
      <c r="F6359" s="92"/>
      <c r="G6359" s="85"/>
    </row>
    <row r="6360">
      <c r="A6360" s="84"/>
      <c r="B6360" s="85"/>
      <c r="C6360" s="85"/>
      <c r="F6360" s="92"/>
      <c r="G6360" s="85"/>
    </row>
    <row r="6361">
      <c r="A6361" s="84"/>
      <c r="B6361" s="85"/>
      <c r="C6361" s="85"/>
      <c r="F6361" s="92"/>
      <c r="G6361" s="85"/>
    </row>
    <row r="6362">
      <c r="A6362" s="84"/>
      <c r="B6362" s="85"/>
      <c r="C6362" s="85"/>
      <c r="F6362" s="92"/>
      <c r="G6362" s="85"/>
    </row>
    <row r="6363">
      <c r="A6363" s="84"/>
      <c r="B6363" s="85"/>
      <c r="C6363" s="85"/>
      <c r="F6363" s="92"/>
      <c r="G6363" s="85"/>
    </row>
    <row r="6364">
      <c r="A6364" s="84"/>
      <c r="B6364" s="85"/>
      <c r="C6364" s="85"/>
      <c r="F6364" s="92"/>
      <c r="G6364" s="85"/>
    </row>
    <row r="6365">
      <c r="A6365" s="84"/>
      <c r="B6365" s="85"/>
      <c r="C6365" s="85"/>
      <c r="F6365" s="92"/>
      <c r="G6365" s="85"/>
    </row>
    <row r="6366">
      <c r="A6366" s="84"/>
      <c r="B6366" s="85"/>
      <c r="C6366" s="85"/>
      <c r="F6366" s="92"/>
      <c r="G6366" s="85"/>
    </row>
    <row r="6367">
      <c r="A6367" s="84"/>
      <c r="B6367" s="85"/>
      <c r="C6367" s="85"/>
      <c r="F6367" s="92"/>
      <c r="G6367" s="85"/>
    </row>
    <row r="6368">
      <c r="A6368" s="84"/>
      <c r="B6368" s="85"/>
      <c r="C6368" s="85"/>
      <c r="F6368" s="92"/>
      <c r="G6368" s="85"/>
    </row>
    <row r="6369">
      <c r="A6369" s="84"/>
      <c r="B6369" s="85"/>
      <c r="C6369" s="85"/>
      <c r="F6369" s="92"/>
      <c r="G6369" s="85"/>
    </row>
    <row r="6370">
      <c r="A6370" s="84"/>
      <c r="B6370" s="85"/>
      <c r="C6370" s="85"/>
      <c r="F6370" s="92"/>
      <c r="G6370" s="85"/>
    </row>
    <row r="6371">
      <c r="A6371" s="84"/>
      <c r="B6371" s="85"/>
      <c r="C6371" s="85"/>
      <c r="F6371" s="92"/>
      <c r="G6371" s="85"/>
    </row>
    <row r="6372">
      <c r="A6372" s="84"/>
      <c r="B6372" s="85"/>
      <c r="C6372" s="85"/>
      <c r="F6372" s="92"/>
      <c r="G6372" s="85"/>
    </row>
    <row r="6373">
      <c r="A6373" s="84"/>
      <c r="B6373" s="85"/>
      <c r="C6373" s="85"/>
      <c r="F6373" s="92"/>
      <c r="G6373" s="85"/>
    </row>
    <row r="6374">
      <c r="A6374" s="84"/>
      <c r="B6374" s="85"/>
      <c r="C6374" s="85"/>
      <c r="F6374" s="92"/>
      <c r="G6374" s="85"/>
    </row>
    <row r="6375">
      <c r="A6375" s="84"/>
      <c r="B6375" s="85"/>
      <c r="C6375" s="85"/>
      <c r="F6375" s="92"/>
      <c r="G6375" s="85"/>
    </row>
    <row r="6376">
      <c r="A6376" s="84"/>
      <c r="B6376" s="85"/>
      <c r="C6376" s="85"/>
      <c r="F6376" s="92"/>
      <c r="G6376" s="85"/>
    </row>
    <row r="6377">
      <c r="A6377" s="84"/>
      <c r="B6377" s="85"/>
      <c r="C6377" s="85"/>
      <c r="F6377" s="92"/>
      <c r="G6377" s="85"/>
    </row>
    <row r="6378">
      <c r="A6378" s="84"/>
      <c r="B6378" s="85"/>
      <c r="C6378" s="85"/>
      <c r="F6378" s="92"/>
      <c r="G6378" s="85"/>
    </row>
    <row r="6379">
      <c r="A6379" s="84"/>
      <c r="B6379" s="85"/>
      <c r="C6379" s="85"/>
      <c r="F6379" s="92"/>
      <c r="G6379" s="85"/>
    </row>
    <row r="6380">
      <c r="A6380" s="84"/>
      <c r="B6380" s="85"/>
      <c r="C6380" s="85"/>
      <c r="F6380" s="92"/>
      <c r="G6380" s="85"/>
    </row>
    <row r="6381">
      <c r="A6381" s="84"/>
      <c r="B6381" s="85"/>
      <c r="C6381" s="85"/>
      <c r="F6381" s="92"/>
      <c r="G6381" s="85"/>
    </row>
    <row r="6382">
      <c r="A6382" s="84"/>
      <c r="B6382" s="85"/>
      <c r="C6382" s="85"/>
      <c r="F6382" s="92"/>
      <c r="G6382" s="85"/>
    </row>
    <row r="6383">
      <c r="A6383" s="84"/>
      <c r="B6383" s="85"/>
      <c r="C6383" s="85"/>
      <c r="F6383" s="92"/>
      <c r="G6383" s="85"/>
    </row>
    <row r="6384">
      <c r="A6384" s="84"/>
      <c r="B6384" s="85"/>
      <c r="C6384" s="85"/>
      <c r="F6384" s="92"/>
      <c r="G6384" s="85"/>
    </row>
    <row r="6385">
      <c r="A6385" s="84"/>
      <c r="B6385" s="85"/>
      <c r="C6385" s="85"/>
      <c r="F6385" s="92"/>
      <c r="G6385" s="85"/>
    </row>
    <row r="6386">
      <c r="A6386" s="84"/>
      <c r="B6386" s="85"/>
      <c r="C6386" s="85"/>
      <c r="F6386" s="92"/>
      <c r="G6386" s="85"/>
    </row>
    <row r="6387">
      <c r="A6387" s="84"/>
      <c r="B6387" s="85"/>
      <c r="C6387" s="85"/>
      <c r="F6387" s="92"/>
      <c r="G6387" s="85"/>
    </row>
    <row r="6388">
      <c r="A6388" s="84"/>
      <c r="B6388" s="85"/>
      <c r="C6388" s="85"/>
      <c r="F6388" s="92"/>
      <c r="G6388" s="85"/>
    </row>
    <row r="6389">
      <c r="A6389" s="84"/>
      <c r="B6389" s="85"/>
      <c r="C6389" s="85"/>
      <c r="F6389" s="92"/>
      <c r="G6389" s="85"/>
    </row>
    <row r="6390">
      <c r="A6390" s="84"/>
      <c r="B6390" s="85"/>
      <c r="C6390" s="85"/>
      <c r="F6390" s="92"/>
      <c r="G6390" s="85"/>
    </row>
    <row r="6391">
      <c r="A6391" s="84"/>
      <c r="B6391" s="85"/>
      <c r="C6391" s="85"/>
      <c r="F6391" s="92"/>
      <c r="G6391" s="85"/>
    </row>
    <row r="6392">
      <c r="A6392" s="84"/>
      <c r="B6392" s="85"/>
      <c r="C6392" s="85"/>
      <c r="F6392" s="92"/>
      <c r="G6392" s="85"/>
    </row>
    <row r="6393">
      <c r="A6393" s="84"/>
      <c r="B6393" s="85"/>
      <c r="C6393" s="85"/>
      <c r="F6393" s="92"/>
      <c r="G6393" s="85"/>
    </row>
    <row r="6394">
      <c r="A6394" s="84"/>
      <c r="B6394" s="85"/>
      <c r="C6394" s="85"/>
      <c r="F6394" s="92"/>
      <c r="G6394" s="85"/>
    </row>
    <row r="6395">
      <c r="A6395" s="84"/>
      <c r="B6395" s="85"/>
      <c r="C6395" s="85"/>
      <c r="F6395" s="92"/>
      <c r="G6395" s="85"/>
    </row>
    <row r="6396">
      <c r="A6396" s="84"/>
      <c r="B6396" s="85"/>
      <c r="C6396" s="85"/>
      <c r="F6396" s="92"/>
      <c r="G6396" s="85"/>
    </row>
    <row r="6397">
      <c r="A6397" s="84"/>
      <c r="B6397" s="85"/>
      <c r="C6397" s="85"/>
      <c r="F6397" s="92"/>
      <c r="G6397" s="85"/>
    </row>
    <row r="6398">
      <c r="A6398" s="84"/>
      <c r="B6398" s="85"/>
      <c r="C6398" s="85"/>
      <c r="F6398" s="92"/>
      <c r="G6398" s="85"/>
    </row>
    <row r="6399">
      <c r="A6399" s="84"/>
      <c r="B6399" s="85"/>
      <c r="C6399" s="85"/>
      <c r="F6399" s="92"/>
      <c r="G6399" s="85"/>
    </row>
    <row r="6400">
      <c r="A6400" s="84"/>
      <c r="B6400" s="85"/>
      <c r="C6400" s="85"/>
      <c r="F6400" s="92"/>
      <c r="G6400" s="85"/>
    </row>
    <row r="6401">
      <c r="A6401" s="84"/>
      <c r="B6401" s="85"/>
      <c r="C6401" s="85"/>
      <c r="F6401" s="92"/>
      <c r="G6401" s="85"/>
    </row>
    <row r="6402">
      <c r="A6402" s="84"/>
      <c r="B6402" s="85"/>
      <c r="C6402" s="85"/>
      <c r="F6402" s="92"/>
      <c r="G6402" s="85"/>
    </row>
    <row r="6403">
      <c r="A6403" s="84"/>
      <c r="B6403" s="85"/>
      <c r="C6403" s="85"/>
      <c r="F6403" s="92"/>
      <c r="G6403" s="85"/>
    </row>
    <row r="6404">
      <c r="A6404" s="84"/>
      <c r="B6404" s="85"/>
      <c r="C6404" s="85"/>
      <c r="F6404" s="92"/>
      <c r="G6404" s="85"/>
    </row>
    <row r="6405">
      <c r="A6405" s="84"/>
      <c r="B6405" s="85"/>
      <c r="C6405" s="85"/>
      <c r="F6405" s="92"/>
      <c r="G6405" s="85"/>
    </row>
    <row r="6406">
      <c r="A6406" s="84"/>
      <c r="B6406" s="85"/>
      <c r="C6406" s="85"/>
      <c r="F6406" s="92"/>
      <c r="G6406" s="85"/>
    </row>
    <row r="6407">
      <c r="A6407" s="84"/>
      <c r="B6407" s="85"/>
      <c r="C6407" s="85"/>
      <c r="F6407" s="92"/>
      <c r="G6407" s="85"/>
    </row>
    <row r="6408">
      <c r="A6408" s="84"/>
      <c r="B6408" s="85"/>
      <c r="C6408" s="85"/>
      <c r="F6408" s="92"/>
      <c r="G6408" s="85"/>
    </row>
    <row r="6409">
      <c r="A6409" s="84"/>
      <c r="B6409" s="85"/>
      <c r="C6409" s="85"/>
      <c r="F6409" s="92"/>
      <c r="G6409" s="85"/>
    </row>
    <row r="6410">
      <c r="A6410" s="84"/>
      <c r="B6410" s="85"/>
      <c r="C6410" s="85"/>
      <c r="F6410" s="92"/>
      <c r="G6410" s="85"/>
    </row>
    <row r="6411">
      <c r="A6411" s="84"/>
      <c r="B6411" s="85"/>
      <c r="C6411" s="85"/>
      <c r="F6411" s="92"/>
      <c r="G6411" s="85"/>
    </row>
    <row r="6412">
      <c r="A6412" s="84"/>
      <c r="B6412" s="85"/>
      <c r="C6412" s="85"/>
      <c r="F6412" s="92"/>
      <c r="G6412" s="85"/>
    </row>
    <row r="6413">
      <c r="A6413" s="84"/>
      <c r="B6413" s="85"/>
      <c r="C6413" s="85"/>
      <c r="F6413" s="92"/>
      <c r="G6413" s="85"/>
    </row>
    <row r="6414">
      <c r="A6414" s="84"/>
      <c r="B6414" s="85"/>
      <c r="C6414" s="85"/>
      <c r="F6414" s="92"/>
      <c r="G6414" s="85"/>
    </row>
    <row r="6415">
      <c r="A6415" s="84"/>
      <c r="B6415" s="85"/>
      <c r="C6415" s="85"/>
      <c r="F6415" s="92"/>
      <c r="G6415" s="85"/>
    </row>
    <row r="6416">
      <c r="A6416" s="84"/>
      <c r="B6416" s="85"/>
      <c r="C6416" s="85"/>
      <c r="F6416" s="92"/>
      <c r="G6416" s="85"/>
    </row>
    <row r="6417">
      <c r="A6417" s="84"/>
      <c r="B6417" s="85"/>
      <c r="C6417" s="85"/>
      <c r="F6417" s="92"/>
      <c r="G6417" s="85"/>
    </row>
    <row r="6418">
      <c r="A6418" s="84"/>
      <c r="B6418" s="85"/>
      <c r="C6418" s="85"/>
      <c r="F6418" s="92"/>
      <c r="G6418" s="85"/>
    </row>
    <row r="6419">
      <c r="A6419" s="84"/>
      <c r="B6419" s="85"/>
      <c r="C6419" s="85"/>
      <c r="F6419" s="92"/>
      <c r="G6419" s="85"/>
    </row>
    <row r="6420">
      <c r="A6420" s="84"/>
      <c r="B6420" s="85"/>
      <c r="C6420" s="85"/>
      <c r="F6420" s="92"/>
      <c r="G6420" s="85"/>
    </row>
    <row r="6421">
      <c r="A6421" s="84"/>
      <c r="B6421" s="85"/>
      <c r="C6421" s="85"/>
      <c r="F6421" s="92"/>
      <c r="G6421" s="85"/>
    </row>
    <row r="6422">
      <c r="A6422" s="84"/>
      <c r="B6422" s="85"/>
      <c r="C6422" s="85"/>
      <c r="F6422" s="92"/>
      <c r="G6422" s="85"/>
    </row>
    <row r="6423">
      <c r="A6423" s="84"/>
      <c r="B6423" s="85"/>
      <c r="C6423" s="85"/>
      <c r="F6423" s="92"/>
      <c r="G6423" s="85"/>
    </row>
    <row r="6424">
      <c r="A6424" s="84"/>
      <c r="B6424" s="85"/>
      <c r="C6424" s="85"/>
      <c r="F6424" s="92"/>
      <c r="G6424" s="85"/>
    </row>
    <row r="6425">
      <c r="A6425" s="84"/>
      <c r="B6425" s="85"/>
      <c r="C6425" s="85"/>
      <c r="F6425" s="92"/>
      <c r="G6425" s="85"/>
    </row>
    <row r="6426">
      <c r="A6426" s="84"/>
      <c r="B6426" s="85"/>
      <c r="C6426" s="85"/>
      <c r="F6426" s="92"/>
      <c r="G6426" s="85"/>
    </row>
    <row r="6427">
      <c r="A6427" s="84"/>
      <c r="B6427" s="85"/>
      <c r="C6427" s="85"/>
      <c r="F6427" s="92"/>
      <c r="G6427" s="85"/>
    </row>
    <row r="6428">
      <c r="A6428" s="84"/>
      <c r="B6428" s="85"/>
      <c r="C6428" s="85"/>
      <c r="F6428" s="92"/>
      <c r="G6428" s="85"/>
    </row>
    <row r="6429">
      <c r="A6429" s="84"/>
      <c r="B6429" s="85"/>
      <c r="C6429" s="85"/>
      <c r="F6429" s="92"/>
      <c r="G6429" s="85"/>
    </row>
    <row r="6430">
      <c r="A6430" s="84"/>
      <c r="B6430" s="85"/>
      <c r="C6430" s="85"/>
      <c r="F6430" s="92"/>
      <c r="G6430" s="85"/>
    </row>
    <row r="6431">
      <c r="A6431" s="84"/>
      <c r="B6431" s="85"/>
      <c r="C6431" s="85"/>
      <c r="F6431" s="92"/>
      <c r="G6431" s="85"/>
    </row>
    <row r="6432">
      <c r="A6432" s="84"/>
      <c r="B6432" s="85"/>
      <c r="C6432" s="85"/>
      <c r="F6432" s="92"/>
      <c r="G6432" s="85"/>
    </row>
    <row r="6433">
      <c r="A6433" s="84"/>
      <c r="B6433" s="85"/>
      <c r="C6433" s="85"/>
      <c r="F6433" s="92"/>
      <c r="G6433" s="85"/>
    </row>
    <row r="6434">
      <c r="A6434" s="84"/>
      <c r="B6434" s="85"/>
      <c r="C6434" s="85"/>
      <c r="F6434" s="92"/>
      <c r="G6434" s="85"/>
    </row>
    <row r="6435">
      <c r="A6435" s="84"/>
      <c r="B6435" s="85"/>
      <c r="C6435" s="85"/>
      <c r="F6435" s="92"/>
      <c r="G6435" s="85"/>
    </row>
    <row r="6436">
      <c r="A6436" s="84"/>
      <c r="B6436" s="85"/>
      <c r="C6436" s="85"/>
      <c r="F6436" s="92"/>
      <c r="G6436" s="85"/>
    </row>
    <row r="6437">
      <c r="A6437" s="84"/>
      <c r="B6437" s="85"/>
      <c r="C6437" s="85"/>
      <c r="F6437" s="92"/>
      <c r="G6437" s="85"/>
    </row>
    <row r="6438">
      <c r="A6438" s="84"/>
      <c r="B6438" s="85"/>
      <c r="C6438" s="85"/>
      <c r="F6438" s="92"/>
      <c r="G6438" s="85"/>
    </row>
    <row r="6439">
      <c r="A6439" s="84"/>
      <c r="B6439" s="85"/>
      <c r="C6439" s="85"/>
      <c r="F6439" s="92"/>
      <c r="G6439" s="85"/>
    </row>
    <row r="6440">
      <c r="A6440" s="84"/>
      <c r="B6440" s="85"/>
      <c r="C6440" s="85"/>
      <c r="F6440" s="92"/>
      <c r="G6440" s="85"/>
    </row>
    <row r="6441">
      <c r="A6441" s="84"/>
      <c r="B6441" s="85"/>
      <c r="C6441" s="85"/>
      <c r="F6441" s="92"/>
      <c r="G6441" s="85"/>
    </row>
    <row r="6442">
      <c r="A6442" s="84"/>
      <c r="B6442" s="85"/>
      <c r="C6442" s="85"/>
      <c r="F6442" s="92"/>
      <c r="G6442" s="85"/>
    </row>
    <row r="6443">
      <c r="A6443" s="84"/>
      <c r="B6443" s="85"/>
      <c r="C6443" s="85"/>
      <c r="F6443" s="92"/>
      <c r="G6443" s="85"/>
    </row>
    <row r="6444">
      <c r="A6444" s="84"/>
      <c r="B6444" s="85"/>
      <c r="C6444" s="85"/>
      <c r="F6444" s="92"/>
      <c r="G6444" s="85"/>
    </row>
    <row r="6445">
      <c r="A6445" s="84"/>
      <c r="B6445" s="85"/>
      <c r="C6445" s="85"/>
      <c r="F6445" s="92"/>
      <c r="G6445" s="85"/>
    </row>
    <row r="6446">
      <c r="A6446" s="84"/>
      <c r="B6446" s="85"/>
      <c r="C6446" s="85"/>
      <c r="F6446" s="92"/>
      <c r="G6446" s="85"/>
    </row>
    <row r="6447">
      <c r="A6447" s="84"/>
      <c r="B6447" s="85"/>
      <c r="C6447" s="85"/>
      <c r="F6447" s="92"/>
      <c r="G6447" s="85"/>
    </row>
    <row r="6448">
      <c r="A6448" s="84"/>
      <c r="B6448" s="85"/>
      <c r="C6448" s="85"/>
      <c r="F6448" s="92"/>
      <c r="G6448" s="85"/>
    </row>
    <row r="6449">
      <c r="A6449" s="84"/>
      <c r="B6449" s="85"/>
      <c r="C6449" s="85"/>
      <c r="F6449" s="92"/>
      <c r="G6449" s="85"/>
    </row>
    <row r="6450">
      <c r="A6450" s="84"/>
      <c r="B6450" s="85"/>
      <c r="C6450" s="85"/>
      <c r="F6450" s="92"/>
      <c r="G6450" s="85"/>
    </row>
    <row r="6451">
      <c r="A6451" s="84"/>
      <c r="B6451" s="85"/>
      <c r="C6451" s="85"/>
      <c r="F6451" s="92"/>
      <c r="G6451" s="85"/>
    </row>
    <row r="6452">
      <c r="A6452" s="84"/>
      <c r="B6452" s="85"/>
      <c r="C6452" s="85"/>
      <c r="F6452" s="92"/>
      <c r="G6452" s="85"/>
    </row>
    <row r="6453">
      <c r="A6453" s="84"/>
      <c r="B6453" s="85"/>
      <c r="C6453" s="85"/>
      <c r="F6453" s="92"/>
      <c r="G6453" s="85"/>
    </row>
    <row r="6454">
      <c r="A6454" s="84"/>
      <c r="B6454" s="85"/>
      <c r="C6454" s="85"/>
      <c r="F6454" s="92"/>
      <c r="G6454" s="85"/>
    </row>
    <row r="6455">
      <c r="A6455" s="84"/>
      <c r="B6455" s="85"/>
      <c r="C6455" s="85"/>
      <c r="F6455" s="92"/>
      <c r="G6455" s="85"/>
    </row>
    <row r="6456">
      <c r="A6456" s="84"/>
      <c r="B6456" s="85"/>
      <c r="C6456" s="85"/>
      <c r="F6456" s="92"/>
      <c r="G6456" s="85"/>
    </row>
    <row r="6457">
      <c r="A6457" s="84"/>
      <c r="B6457" s="85"/>
      <c r="C6457" s="85"/>
      <c r="F6457" s="92"/>
      <c r="G6457" s="85"/>
    </row>
    <row r="6458">
      <c r="A6458" s="84"/>
      <c r="B6458" s="85"/>
      <c r="C6458" s="85"/>
      <c r="F6458" s="92"/>
      <c r="G6458" s="85"/>
    </row>
    <row r="6459">
      <c r="A6459" s="84"/>
      <c r="B6459" s="85"/>
      <c r="C6459" s="85"/>
      <c r="F6459" s="92"/>
      <c r="G6459" s="85"/>
    </row>
    <row r="6460">
      <c r="A6460" s="84"/>
      <c r="B6460" s="85"/>
      <c r="C6460" s="85"/>
      <c r="F6460" s="92"/>
      <c r="G6460" s="85"/>
    </row>
    <row r="6461">
      <c r="A6461" s="84"/>
      <c r="B6461" s="85"/>
      <c r="C6461" s="85"/>
      <c r="F6461" s="92"/>
      <c r="G6461" s="85"/>
    </row>
    <row r="6462">
      <c r="A6462" s="84"/>
      <c r="B6462" s="85"/>
      <c r="C6462" s="85"/>
      <c r="F6462" s="92"/>
      <c r="G6462" s="85"/>
    </row>
    <row r="6463">
      <c r="A6463" s="84"/>
      <c r="B6463" s="85"/>
      <c r="C6463" s="85"/>
      <c r="F6463" s="92"/>
      <c r="G6463" s="85"/>
    </row>
    <row r="6464">
      <c r="A6464" s="84"/>
      <c r="B6464" s="85"/>
      <c r="C6464" s="85"/>
      <c r="F6464" s="92"/>
      <c r="G6464" s="85"/>
    </row>
    <row r="6465">
      <c r="A6465" s="84"/>
      <c r="B6465" s="85"/>
      <c r="C6465" s="85"/>
      <c r="F6465" s="92"/>
      <c r="G6465" s="85"/>
    </row>
    <row r="6466">
      <c r="A6466" s="84"/>
      <c r="B6466" s="85"/>
      <c r="C6466" s="85"/>
      <c r="F6466" s="92"/>
      <c r="G6466" s="85"/>
    </row>
    <row r="6467">
      <c r="A6467" s="84"/>
      <c r="B6467" s="85"/>
      <c r="C6467" s="85"/>
      <c r="F6467" s="92"/>
      <c r="G6467" s="85"/>
    </row>
    <row r="6468">
      <c r="A6468" s="84"/>
      <c r="B6468" s="85"/>
      <c r="C6468" s="85"/>
      <c r="F6468" s="92"/>
      <c r="G6468" s="85"/>
    </row>
    <row r="6469">
      <c r="A6469" s="84"/>
      <c r="B6469" s="85"/>
      <c r="C6469" s="85"/>
      <c r="F6469" s="92"/>
      <c r="G6469" s="85"/>
    </row>
    <row r="6470">
      <c r="A6470" s="84"/>
      <c r="B6470" s="85"/>
      <c r="C6470" s="85"/>
      <c r="F6470" s="92"/>
      <c r="G6470" s="85"/>
    </row>
    <row r="6471">
      <c r="A6471" s="84"/>
      <c r="B6471" s="85"/>
      <c r="C6471" s="85"/>
      <c r="F6471" s="92"/>
      <c r="G6471" s="85"/>
    </row>
    <row r="6472">
      <c r="A6472" s="84"/>
      <c r="B6472" s="85"/>
      <c r="C6472" s="85"/>
      <c r="F6472" s="92"/>
      <c r="G6472" s="85"/>
    </row>
    <row r="6473">
      <c r="A6473" s="84"/>
      <c r="B6473" s="85"/>
      <c r="C6473" s="85"/>
      <c r="F6473" s="92"/>
      <c r="G6473" s="85"/>
    </row>
    <row r="6474">
      <c r="A6474" s="84"/>
      <c r="B6474" s="85"/>
      <c r="C6474" s="85"/>
      <c r="F6474" s="92"/>
      <c r="G6474" s="85"/>
    </row>
    <row r="6475">
      <c r="A6475" s="84"/>
      <c r="B6475" s="85"/>
      <c r="C6475" s="85"/>
      <c r="F6475" s="92"/>
      <c r="G6475" s="85"/>
    </row>
    <row r="6476">
      <c r="A6476" s="84"/>
      <c r="B6476" s="85"/>
      <c r="C6476" s="85"/>
      <c r="F6476" s="92"/>
      <c r="G6476" s="85"/>
    </row>
    <row r="6477">
      <c r="A6477" s="84"/>
      <c r="B6477" s="85"/>
      <c r="C6477" s="85"/>
      <c r="F6477" s="92"/>
      <c r="G6477" s="85"/>
    </row>
    <row r="6478">
      <c r="A6478" s="84"/>
      <c r="B6478" s="85"/>
      <c r="C6478" s="85"/>
      <c r="F6478" s="92"/>
      <c r="G6478" s="85"/>
    </row>
    <row r="6479">
      <c r="A6479" s="84"/>
      <c r="B6479" s="85"/>
      <c r="C6479" s="85"/>
      <c r="F6479" s="92"/>
      <c r="G6479" s="85"/>
    </row>
    <row r="6480">
      <c r="A6480" s="84"/>
      <c r="B6480" s="85"/>
      <c r="C6480" s="85"/>
      <c r="F6480" s="92"/>
      <c r="G6480" s="85"/>
    </row>
    <row r="6481">
      <c r="A6481" s="84"/>
      <c r="B6481" s="85"/>
      <c r="C6481" s="85"/>
      <c r="F6481" s="92"/>
      <c r="G6481" s="85"/>
    </row>
    <row r="6482">
      <c r="A6482" s="84"/>
      <c r="B6482" s="85"/>
      <c r="C6482" s="85"/>
      <c r="F6482" s="92"/>
      <c r="G6482" s="85"/>
    </row>
    <row r="6483">
      <c r="A6483" s="84"/>
      <c r="B6483" s="85"/>
      <c r="C6483" s="85"/>
      <c r="F6483" s="92"/>
      <c r="G6483" s="85"/>
    </row>
    <row r="6484">
      <c r="A6484" s="84"/>
      <c r="B6484" s="85"/>
      <c r="C6484" s="85"/>
      <c r="F6484" s="92"/>
      <c r="G6484" s="85"/>
    </row>
    <row r="6485">
      <c r="A6485" s="84"/>
      <c r="B6485" s="85"/>
      <c r="C6485" s="85"/>
      <c r="F6485" s="92"/>
      <c r="G6485" s="85"/>
    </row>
    <row r="6486">
      <c r="A6486" s="84"/>
      <c r="B6486" s="85"/>
      <c r="C6486" s="85"/>
      <c r="F6486" s="92"/>
      <c r="G6486" s="85"/>
    </row>
    <row r="6487">
      <c r="A6487" s="84"/>
      <c r="B6487" s="85"/>
      <c r="C6487" s="85"/>
      <c r="F6487" s="92"/>
      <c r="G6487" s="85"/>
    </row>
    <row r="6488">
      <c r="A6488" s="84"/>
      <c r="B6488" s="85"/>
      <c r="C6488" s="85"/>
      <c r="F6488" s="92"/>
      <c r="G6488" s="85"/>
    </row>
    <row r="6489">
      <c r="A6489" s="84"/>
      <c r="B6489" s="85"/>
      <c r="C6489" s="85"/>
      <c r="F6489" s="92"/>
      <c r="G6489" s="85"/>
    </row>
    <row r="6490">
      <c r="A6490" s="84"/>
      <c r="B6490" s="85"/>
      <c r="C6490" s="85"/>
      <c r="F6490" s="92"/>
      <c r="G6490" s="85"/>
    </row>
    <row r="6491">
      <c r="A6491" s="84"/>
      <c r="B6491" s="85"/>
      <c r="C6491" s="85"/>
      <c r="F6491" s="92"/>
      <c r="G6491" s="85"/>
    </row>
    <row r="6492">
      <c r="A6492" s="84"/>
      <c r="B6492" s="85"/>
      <c r="C6492" s="85"/>
      <c r="F6492" s="92"/>
      <c r="G6492" s="85"/>
    </row>
    <row r="6493">
      <c r="A6493" s="84"/>
      <c r="B6493" s="85"/>
      <c r="C6493" s="85"/>
      <c r="F6493" s="92"/>
      <c r="G6493" s="85"/>
    </row>
    <row r="6494">
      <c r="A6494" s="84"/>
      <c r="B6494" s="85"/>
      <c r="C6494" s="85"/>
      <c r="F6494" s="92"/>
      <c r="G6494" s="85"/>
    </row>
    <row r="6495">
      <c r="A6495" s="84"/>
      <c r="B6495" s="85"/>
      <c r="C6495" s="85"/>
      <c r="F6495" s="92"/>
      <c r="G6495" s="85"/>
    </row>
    <row r="6496">
      <c r="A6496" s="84"/>
      <c r="B6496" s="85"/>
      <c r="C6496" s="85"/>
      <c r="F6496" s="92"/>
      <c r="G6496" s="85"/>
    </row>
    <row r="6497">
      <c r="A6497" s="84"/>
      <c r="B6497" s="85"/>
      <c r="C6497" s="85"/>
      <c r="F6497" s="92"/>
      <c r="G6497" s="85"/>
    </row>
    <row r="6498">
      <c r="A6498" s="84"/>
      <c r="B6498" s="85"/>
      <c r="C6498" s="85"/>
      <c r="F6498" s="92"/>
      <c r="G6498" s="85"/>
    </row>
    <row r="6499">
      <c r="A6499" s="84"/>
      <c r="B6499" s="85"/>
      <c r="C6499" s="85"/>
      <c r="F6499" s="92"/>
      <c r="G6499" s="85"/>
    </row>
    <row r="6500">
      <c r="A6500" s="84"/>
      <c r="B6500" s="85"/>
      <c r="C6500" s="85"/>
      <c r="F6500" s="92"/>
      <c r="G6500" s="85"/>
    </row>
    <row r="6501">
      <c r="A6501" s="84"/>
      <c r="B6501" s="85"/>
      <c r="C6501" s="85"/>
      <c r="F6501" s="92"/>
      <c r="G6501" s="85"/>
    </row>
    <row r="6502">
      <c r="A6502" s="84"/>
      <c r="B6502" s="85"/>
      <c r="C6502" s="85"/>
      <c r="F6502" s="92"/>
      <c r="G6502" s="85"/>
    </row>
    <row r="6503">
      <c r="A6503" s="84"/>
      <c r="B6503" s="85"/>
      <c r="C6503" s="85"/>
      <c r="F6503" s="92"/>
      <c r="G6503" s="85"/>
    </row>
    <row r="6504">
      <c r="A6504" s="84"/>
      <c r="B6504" s="85"/>
      <c r="C6504" s="85"/>
      <c r="F6504" s="92"/>
      <c r="G6504" s="85"/>
    </row>
    <row r="6505">
      <c r="A6505" s="84"/>
      <c r="B6505" s="85"/>
      <c r="C6505" s="85"/>
      <c r="F6505" s="92"/>
      <c r="G6505" s="85"/>
    </row>
    <row r="6506">
      <c r="A6506" s="84"/>
      <c r="B6506" s="85"/>
      <c r="C6506" s="85"/>
      <c r="F6506" s="92"/>
      <c r="G6506" s="85"/>
    </row>
    <row r="6507">
      <c r="A6507" s="84"/>
      <c r="B6507" s="85"/>
      <c r="C6507" s="85"/>
      <c r="F6507" s="92"/>
      <c r="G6507" s="85"/>
    </row>
    <row r="6508">
      <c r="A6508" s="84"/>
      <c r="B6508" s="85"/>
      <c r="C6508" s="85"/>
      <c r="F6508" s="92"/>
      <c r="G6508" s="85"/>
    </row>
    <row r="6509">
      <c r="A6509" s="84"/>
      <c r="B6509" s="85"/>
      <c r="C6509" s="85"/>
      <c r="F6509" s="92"/>
      <c r="G6509" s="85"/>
    </row>
    <row r="6510">
      <c r="A6510" s="84"/>
      <c r="B6510" s="85"/>
      <c r="C6510" s="85"/>
      <c r="F6510" s="92"/>
      <c r="G6510" s="85"/>
    </row>
    <row r="6511">
      <c r="A6511" s="84"/>
      <c r="B6511" s="85"/>
      <c r="C6511" s="85"/>
      <c r="F6511" s="92"/>
      <c r="G6511" s="85"/>
    </row>
    <row r="6512">
      <c r="A6512" s="84"/>
      <c r="B6512" s="85"/>
      <c r="C6512" s="85"/>
      <c r="F6512" s="92"/>
      <c r="G6512" s="85"/>
    </row>
    <row r="6513">
      <c r="A6513" s="84"/>
      <c r="B6513" s="85"/>
      <c r="C6513" s="85"/>
      <c r="F6513" s="92"/>
      <c r="G6513" s="85"/>
    </row>
    <row r="6514">
      <c r="A6514" s="84"/>
      <c r="B6514" s="85"/>
      <c r="C6514" s="85"/>
      <c r="F6514" s="92"/>
      <c r="G6514" s="85"/>
    </row>
    <row r="6515">
      <c r="A6515" s="84"/>
      <c r="B6515" s="85"/>
      <c r="C6515" s="85"/>
      <c r="F6515" s="92"/>
      <c r="G6515" s="85"/>
    </row>
    <row r="6516">
      <c r="A6516" s="84"/>
      <c r="B6516" s="85"/>
      <c r="C6516" s="85"/>
      <c r="F6516" s="92"/>
      <c r="G6516" s="85"/>
    </row>
    <row r="6517">
      <c r="A6517" s="84"/>
      <c r="B6517" s="85"/>
      <c r="C6517" s="85"/>
      <c r="F6517" s="92"/>
      <c r="G6517" s="85"/>
    </row>
    <row r="6518">
      <c r="A6518" s="84"/>
      <c r="B6518" s="85"/>
      <c r="C6518" s="85"/>
      <c r="F6518" s="92"/>
      <c r="G6518" s="85"/>
    </row>
    <row r="6519">
      <c r="A6519" s="84"/>
      <c r="B6519" s="85"/>
      <c r="C6519" s="85"/>
      <c r="F6519" s="92"/>
      <c r="G6519" s="85"/>
    </row>
    <row r="6520">
      <c r="A6520" s="84"/>
      <c r="B6520" s="85"/>
      <c r="C6520" s="85"/>
      <c r="F6520" s="92"/>
      <c r="G6520" s="85"/>
    </row>
    <row r="6521">
      <c r="A6521" s="84"/>
      <c r="B6521" s="85"/>
      <c r="C6521" s="85"/>
      <c r="F6521" s="92"/>
      <c r="G6521" s="85"/>
    </row>
    <row r="6522">
      <c r="A6522" s="84"/>
      <c r="B6522" s="85"/>
      <c r="C6522" s="85"/>
      <c r="F6522" s="92"/>
      <c r="G6522" s="85"/>
    </row>
    <row r="6523">
      <c r="A6523" s="84"/>
      <c r="B6523" s="85"/>
      <c r="C6523" s="85"/>
      <c r="F6523" s="92"/>
      <c r="G6523" s="85"/>
    </row>
    <row r="6524">
      <c r="A6524" s="84"/>
      <c r="B6524" s="85"/>
      <c r="C6524" s="85"/>
      <c r="F6524" s="92"/>
      <c r="G6524" s="85"/>
    </row>
    <row r="6525">
      <c r="A6525" s="84"/>
      <c r="B6525" s="85"/>
      <c r="C6525" s="85"/>
      <c r="F6525" s="92"/>
      <c r="G6525" s="85"/>
    </row>
    <row r="6526">
      <c r="A6526" s="84"/>
      <c r="B6526" s="85"/>
      <c r="C6526" s="85"/>
      <c r="F6526" s="92"/>
      <c r="G6526" s="85"/>
    </row>
    <row r="6527">
      <c r="A6527" s="84"/>
      <c r="B6527" s="85"/>
      <c r="C6527" s="85"/>
      <c r="F6527" s="92"/>
      <c r="G6527" s="85"/>
    </row>
    <row r="6528">
      <c r="A6528" s="84"/>
      <c r="B6528" s="85"/>
      <c r="C6528" s="85"/>
      <c r="F6528" s="92"/>
      <c r="G6528" s="85"/>
    </row>
    <row r="6529">
      <c r="A6529" s="84"/>
      <c r="B6529" s="85"/>
      <c r="C6529" s="85"/>
      <c r="F6529" s="92"/>
      <c r="G6529" s="85"/>
    </row>
    <row r="6530">
      <c r="A6530" s="84"/>
      <c r="B6530" s="85"/>
      <c r="C6530" s="85"/>
      <c r="F6530" s="92"/>
      <c r="G6530" s="85"/>
    </row>
    <row r="6531">
      <c r="A6531" s="84"/>
      <c r="B6531" s="85"/>
      <c r="C6531" s="85"/>
      <c r="F6531" s="92"/>
      <c r="G6531" s="85"/>
    </row>
    <row r="6532">
      <c r="A6532" s="84"/>
      <c r="B6532" s="85"/>
      <c r="C6532" s="85"/>
      <c r="F6532" s="92"/>
      <c r="G6532" s="85"/>
    </row>
    <row r="6533">
      <c r="A6533" s="84"/>
      <c r="B6533" s="85"/>
      <c r="C6533" s="85"/>
      <c r="F6533" s="92"/>
      <c r="G6533" s="85"/>
    </row>
    <row r="6534">
      <c r="A6534" s="84"/>
      <c r="B6534" s="85"/>
      <c r="C6534" s="85"/>
      <c r="F6534" s="92"/>
      <c r="G6534" s="85"/>
    </row>
    <row r="6535">
      <c r="A6535" s="84"/>
      <c r="B6535" s="85"/>
      <c r="C6535" s="85"/>
      <c r="F6535" s="92"/>
      <c r="G6535" s="85"/>
    </row>
    <row r="6536">
      <c r="A6536" s="84"/>
      <c r="B6536" s="85"/>
      <c r="C6536" s="85"/>
      <c r="F6536" s="92"/>
      <c r="G6536" s="85"/>
    </row>
    <row r="6537">
      <c r="A6537" s="84"/>
      <c r="B6537" s="85"/>
      <c r="C6537" s="85"/>
      <c r="F6537" s="92"/>
      <c r="G6537" s="85"/>
    </row>
    <row r="6538">
      <c r="A6538" s="84"/>
      <c r="B6538" s="85"/>
      <c r="C6538" s="85"/>
      <c r="F6538" s="92"/>
      <c r="G6538" s="85"/>
    </row>
    <row r="6539">
      <c r="A6539" s="84"/>
      <c r="B6539" s="85"/>
      <c r="C6539" s="85"/>
      <c r="F6539" s="92"/>
      <c r="G6539" s="85"/>
    </row>
    <row r="6540">
      <c r="A6540" s="84"/>
      <c r="B6540" s="85"/>
      <c r="C6540" s="85"/>
      <c r="F6540" s="92"/>
      <c r="G6540" s="85"/>
    </row>
    <row r="6541">
      <c r="A6541" s="84"/>
      <c r="B6541" s="85"/>
      <c r="C6541" s="85"/>
      <c r="F6541" s="92"/>
      <c r="G6541" s="85"/>
    </row>
    <row r="6542">
      <c r="A6542" s="84"/>
      <c r="B6542" s="85"/>
      <c r="C6542" s="85"/>
      <c r="F6542" s="92"/>
      <c r="G6542" s="85"/>
    </row>
    <row r="6543">
      <c r="A6543" s="84"/>
      <c r="B6543" s="85"/>
      <c r="C6543" s="85"/>
      <c r="F6543" s="92"/>
      <c r="G6543" s="85"/>
    </row>
    <row r="6544">
      <c r="A6544" s="84"/>
      <c r="B6544" s="85"/>
      <c r="C6544" s="85"/>
      <c r="F6544" s="92"/>
      <c r="G6544" s="85"/>
    </row>
    <row r="6545">
      <c r="A6545" s="84"/>
      <c r="B6545" s="85"/>
      <c r="C6545" s="85"/>
      <c r="F6545" s="92"/>
      <c r="G6545" s="85"/>
    </row>
    <row r="6546">
      <c r="A6546" s="84"/>
      <c r="B6546" s="85"/>
      <c r="C6546" s="85"/>
      <c r="F6546" s="92"/>
      <c r="G6546" s="85"/>
    </row>
    <row r="6547">
      <c r="A6547" s="84"/>
      <c r="B6547" s="85"/>
      <c r="C6547" s="85"/>
      <c r="F6547" s="92"/>
      <c r="G6547" s="85"/>
    </row>
    <row r="6548">
      <c r="A6548" s="84"/>
      <c r="B6548" s="85"/>
      <c r="C6548" s="85"/>
      <c r="F6548" s="92"/>
      <c r="G6548" s="85"/>
    </row>
    <row r="6549">
      <c r="A6549" s="84"/>
      <c r="B6549" s="85"/>
      <c r="C6549" s="85"/>
      <c r="F6549" s="92"/>
      <c r="G6549" s="85"/>
    </row>
    <row r="6550">
      <c r="A6550" s="84"/>
      <c r="B6550" s="85"/>
      <c r="C6550" s="85"/>
      <c r="F6550" s="92"/>
      <c r="G6550" s="85"/>
    </row>
    <row r="6551">
      <c r="A6551" s="84"/>
      <c r="B6551" s="85"/>
      <c r="C6551" s="85"/>
      <c r="F6551" s="92"/>
      <c r="G6551" s="85"/>
    </row>
    <row r="6552">
      <c r="A6552" s="84"/>
      <c r="B6552" s="85"/>
      <c r="C6552" s="85"/>
      <c r="F6552" s="92"/>
      <c r="G6552" s="85"/>
    </row>
    <row r="6553">
      <c r="A6553" s="84"/>
      <c r="B6553" s="85"/>
      <c r="C6553" s="85"/>
      <c r="F6553" s="92"/>
      <c r="G6553" s="85"/>
    </row>
    <row r="6554">
      <c r="A6554" s="84"/>
      <c r="B6554" s="85"/>
      <c r="C6554" s="85"/>
      <c r="F6554" s="92"/>
      <c r="G6554" s="85"/>
    </row>
    <row r="6555">
      <c r="A6555" s="84"/>
      <c r="B6555" s="85"/>
      <c r="C6555" s="85"/>
      <c r="F6555" s="92"/>
      <c r="G6555" s="85"/>
    </row>
    <row r="6556">
      <c r="A6556" s="84"/>
      <c r="B6556" s="85"/>
      <c r="C6556" s="85"/>
      <c r="F6556" s="92"/>
      <c r="G6556" s="85"/>
    </row>
    <row r="6557">
      <c r="A6557" s="84"/>
      <c r="B6557" s="85"/>
      <c r="C6557" s="85"/>
      <c r="F6557" s="92"/>
      <c r="G6557" s="85"/>
    </row>
    <row r="6558">
      <c r="A6558" s="84"/>
      <c r="B6558" s="85"/>
      <c r="C6558" s="85"/>
      <c r="F6558" s="92"/>
      <c r="G6558" s="85"/>
    </row>
    <row r="6559">
      <c r="A6559" s="84"/>
      <c r="B6559" s="85"/>
      <c r="C6559" s="85"/>
      <c r="F6559" s="92"/>
      <c r="G6559" s="85"/>
    </row>
    <row r="6560">
      <c r="A6560" s="84"/>
      <c r="B6560" s="85"/>
      <c r="C6560" s="85"/>
      <c r="F6560" s="92"/>
      <c r="G6560" s="85"/>
    </row>
    <row r="6561">
      <c r="A6561" s="84"/>
      <c r="B6561" s="85"/>
      <c r="C6561" s="85"/>
      <c r="F6561" s="92"/>
      <c r="G6561" s="85"/>
    </row>
    <row r="6562">
      <c r="A6562" s="84"/>
      <c r="B6562" s="85"/>
      <c r="C6562" s="85"/>
      <c r="F6562" s="92"/>
      <c r="G6562" s="85"/>
    </row>
    <row r="6563">
      <c r="A6563" s="84"/>
      <c r="B6563" s="85"/>
      <c r="C6563" s="85"/>
      <c r="F6563" s="92"/>
      <c r="G6563" s="85"/>
    </row>
    <row r="6564">
      <c r="A6564" s="84"/>
      <c r="B6564" s="85"/>
      <c r="C6564" s="85"/>
      <c r="F6564" s="92"/>
      <c r="G6564" s="85"/>
    </row>
    <row r="6565">
      <c r="A6565" s="84"/>
      <c r="B6565" s="85"/>
      <c r="C6565" s="85"/>
      <c r="F6565" s="92"/>
      <c r="G6565" s="85"/>
    </row>
    <row r="6566">
      <c r="A6566" s="84"/>
      <c r="B6566" s="85"/>
      <c r="C6566" s="85"/>
      <c r="F6566" s="92"/>
      <c r="G6566" s="85"/>
    </row>
    <row r="6567">
      <c r="A6567" s="84"/>
      <c r="B6567" s="85"/>
      <c r="C6567" s="85"/>
      <c r="F6567" s="92"/>
      <c r="G6567" s="85"/>
    </row>
    <row r="6568">
      <c r="A6568" s="84"/>
      <c r="B6568" s="85"/>
      <c r="C6568" s="85"/>
      <c r="F6568" s="92"/>
      <c r="G6568" s="85"/>
    </row>
    <row r="6569">
      <c r="A6569" s="84"/>
      <c r="B6569" s="85"/>
      <c r="C6569" s="85"/>
      <c r="F6569" s="92"/>
      <c r="G6569" s="85"/>
    </row>
    <row r="6570">
      <c r="A6570" s="84"/>
      <c r="B6570" s="85"/>
      <c r="C6570" s="85"/>
      <c r="F6570" s="92"/>
      <c r="G6570" s="85"/>
    </row>
    <row r="6571">
      <c r="A6571" s="84"/>
      <c r="B6571" s="85"/>
      <c r="C6571" s="85"/>
      <c r="F6571" s="92"/>
      <c r="G6571" s="85"/>
    </row>
    <row r="6572">
      <c r="A6572" s="84"/>
      <c r="B6572" s="85"/>
      <c r="C6572" s="85"/>
      <c r="F6572" s="92"/>
      <c r="G6572" s="85"/>
    </row>
    <row r="6573">
      <c r="A6573" s="84"/>
      <c r="B6573" s="85"/>
      <c r="C6573" s="85"/>
      <c r="F6573" s="92"/>
      <c r="G6573" s="85"/>
    </row>
    <row r="6574">
      <c r="A6574" s="84"/>
      <c r="B6574" s="85"/>
      <c r="C6574" s="85"/>
      <c r="F6574" s="92"/>
      <c r="G6574" s="85"/>
    </row>
    <row r="6575">
      <c r="A6575" s="84"/>
      <c r="B6575" s="85"/>
      <c r="C6575" s="85"/>
      <c r="F6575" s="92"/>
      <c r="G6575" s="85"/>
    </row>
    <row r="6576">
      <c r="A6576" s="84"/>
      <c r="B6576" s="85"/>
      <c r="C6576" s="85"/>
      <c r="F6576" s="92"/>
      <c r="G6576" s="85"/>
    </row>
    <row r="6577">
      <c r="A6577" s="84"/>
      <c r="B6577" s="85"/>
      <c r="C6577" s="85"/>
      <c r="F6577" s="92"/>
      <c r="G6577" s="85"/>
    </row>
    <row r="6578">
      <c r="A6578" s="84"/>
      <c r="B6578" s="85"/>
      <c r="C6578" s="85"/>
      <c r="F6578" s="92"/>
      <c r="G6578" s="85"/>
    </row>
    <row r="6579">
      <c r="A6579" s="84"/>
      <c r="B6579" s="85"/>
      <c r="C6579" s="85"/>
      <c r="F6579" s="92"/>
      <c r="G6579" s="85"/>
    </row>
    <row r="6580">
      <c r="A6580" s="84"/>
      <c r="B6580" s="85"/>
      <c r="C6580" s="85"/>
      <c r="F6580" s="92"/>
      <c r="G6580" s="85"/>
    </row>
    <row r="6581">
      <c r="A6581" s="84"/>
      <c r="B6581" s="85"/>
      <c r="C6581" s="85"/>
      <c r="F6581" s="92"/>
      <c r="G6581" s="85"/>
    </row>
    <row r="6582">
      <c r="A6582" s="84"/>
      <c r="B6582" s="85"/>
      <c r="C6582" s="85"/>
      <c r="F6582" s="92"/>
      <c r="G6582" s="85"/>
    </row>
    <row r="6583">
      <c r="A6583" s="84"/>
      <c r="B6583" s="85"/>
      <c r="C6583" s="85"/>
      <c r="F6583" s="92"/>
      <c r="G6583" s="85"/>
    </row>
    <row r="6584">
      <c r="A6584" s="84"/>
      <c r="B6584" s="85"/>
      <c r="C6584" s="85"/>
      <c r="F6584" s="92"/>
      <c r="G6584" s="85"/>
    </row>
    <row r="6585">
      <c r="A6585" s="84"/>
      <c r="B6585" s="85"/>
      <c r="C6585" s="85"/>
      <c r="F6585" s="92"/>
      <c r="G6585" s="85"/>
    </row>
    <row r="6586">
      <c r="A6586" s="84"/>
      <c r="B6586" s="85"/>
      <c r="C6586" s="85"/>
      <c r="F6586" s="92"/>
      <c r="G6586" s="85"/>
    </row>
    <row r="6587">
      <c r="A6587" s="84"/>
      <c r="B6587" s="85"/>
      <c r="C6587" s="85"/>
      <c r="F6587" s="92"/>
      <c r="G6587" s="85"/>
    </row>
    <row r="6588">
      <c r="A6588" s="84"/>
      <c r="B6588" s="85"/>
      <c r="C6588" s="85"/>
      <c r="F6588" s="92"/>
      <c r="G6588" s="85"/>
    </row>
    <row r="6589">
      <c r="A6589" s="84"/>
      <c r="B6589" s="85"/>
      <c r="C6589" s="85"/>
      <c r="F6589" s="92"/>
      <c r="G6589" s="85"/>
    </row>
    <row r="6590">
      <c r="A6590" s="84"/>
      <c r="B6590" s="85"/>
      <c r="C6590" s="85"/>
      <c r="F6590" s="92"/>
      <c r="G6590" s="85"/>
    </row>
    <row r="6591">
      <c r="A6591" s="84"/>
      <c r="B6591" s="85"/>
      <c r="C6591" s="85"/>
      <c r="F6591" s="92"/>
      <c r="G6591" s="85"/>
    </row>
    <row r="6592">
      <c r="A6592" s="84"/>
      <c r="B6592" s="85"/>
      <c r="C6592" s="85"/>
      <c r="F6592" s="92"/>
      <c r="G6592" s="85"/>
    </row>
    <row r="6593">
      <c r="A6593" s="84"/>
      <c r="B6593" s="85"/>
      <c r="C6593" s="85"/>
      <c r="F6593" s="92"/>
      <c r="G6593" s="85"/>
    </row>
    <row r="6594">
      <c r="A6594" s="84"/>
      <c r="B6594" s="85"/>
      <c r="C6594" s="85"/>
      <c r="F6594" s="92"/>
      <c r="G6594" s="85"/>
    </row>
    <row r="6595">
      <c r="A6595" s="84"/>
      <c r="B6595" s="85"/>
      <c r="C6595" s="85"/>
      <c r="F6595" s="92"/>
      <c r="G6595" s="85"/>
    </row>
    <row r="6596">
      <c r="A6596" s="84"/>
      <c r="B6596" s="85"/>
      <c r="C6596" s="85"/>
      <c r="F6596" s="92"/>
      <c r="G6596" s="85"/>
    </row>
    <row r="6597">
      <c r="A6597" s="84"/>
      <c r="B6597" s="85"/>
      <c r="C6597" s="85"/>
      <c r="F6597" s="92"/>
      <c r="G6597" s="85"/>
    </row>
    <row r="6598">
      <c r="A6598" s="84"/>
      <c r="B6598" s="85"/>
      <c r="C6598" s="85"/>
      <c r="F6598" s="92"/>
      <c r="G6598" s="85"/>
    </row>
    <row r="6599">
      <c r="A6599" s="84"/>
      <c r="B6599" s="85"/>
      <c r="C6599" s="85"/>
      <c r="F6599" s="92"/>
      <c r="G6599" s="85"/>
    </row>
    <row r="6600">
      <c r="A6600" s="84"/>
      <c r="B6600" s="85"/>
      <c r="C6600" s="85"/>
      <c r="F6600" s="92"/>
      <c r="G6600" s="85"/>
    </row>
    <row r="6601">
      <c r="A6601" s="84"/>
      <c r="B6601" s="85"/>
      <c r="C6601" s="85"/>
      <c r="F6601" s="92"/>
      <c r="G6601" s="85"/>
    </row>
    <row r="6602">
      <c r="A6602" s="84"/>
      <c r="B6602" s="85"/>
      <c r="C6602" s="85"/>
      <c r="F6602" s="92"/>
      <c r="G6602" s="85"/>
    </row>
    <row r="6603">
      <c r="A6603" s="84"/>
      <c r="B6603" s="85"/>
      <c r="C6603" s="85"/>
      <c r="F6603" s="92"/>
      <c r="G6603" s="85"/>
    </row>
    <row r="6604">
      <c r="A6604" s="84"/>
      <c r="B6604" s="85"/>
      <c r="C6604" s="85"/>
      <c r="F6604" s="92"/>
      <c r="G6604" s="85"/>
    </row>
    <row r="6605">
      <c r="A6605" s="84"/>
      <c r="B6605" s="85"/>
      <c r="C6605" s="85"/>
      <c r="F6605" s="92"/>
      <c r="G6605" s="85"/>
    </row>
    <row r="6606">
      <c r="A6606" s="84"/>
      <c r="B6606" s="85"/>
      <c r="C6606" s="85"/>
      <c r="F6606" s="92"/>
      <c r="G6606" s="85"/>
    </row>
    <row r="6607">
      <c r="A6607" s="84"/>
      <c r="B6607" s="85"/>
      <c r="C6607" s="85"/>
      <c r="F6607" s="92"/>
      <c r="G6607" s="85"/>
    </row>
    <row r="6608">
      <c r="A6608" s="84"/>
      <c r="B6608" s="85"/>
      <c r="C6608" s="85"/>
      <c r="F6608" s="92"/>
      <c r="G6608" s="85"/>
    </row>
    <row r="6609">
      <c r="A6609" s="84"/>
      <c r="B6609" s="85"/>
      <c r="C6609" s="85"/>
      <c r="F6609" s="92"/>
      <c r="G6609" s="85"/>
    </row>
    <row r="6610">
      <c r="A6610" s="84"/>
      <c r="B6610" s="85"/>
      <c r="C6610" s="85"/>
      <c r="F6610" s="92"/>
      <c r="G6610" s="85"/>
    </row>
    <row r="6611">
      <c r="A6611" s="84"/>
      <c r="B6611" s="85"/>
      <c r="C6611" s="85"/>
      <c r="F6611" s="92"/>
      <c r="G6611" s="85"/>
    </row>
    <row r="6612">
      <c r="A6612" s="84"/>
      <c r="B6612" s="85"/>
      <c r="C6612" s="85"/>
      <c r="F6612" s="92"/>
      <c r="G6612" s="85"/>
    </row>
    <row r="6613">
      <c r="A6613" s="84"/>
      <c r="B6613" s="85"/>
      <c r="C6613" s="85"/>
      <c r="F6613" s="92"/>
      <c r="G6613" s="85"/>
    </row>
    <row r="6614">
      <c r="A6614" s="84"/>
      <c r="B6614" s="85"/>
      <c r="C6614" s="85"/>
      <c r="F6614" s="92"/>
      <c r="G6614" s="85"/>
    </row>
    <row r="6615">
      <c r="A6615" s="84"/>
      <c r="B6615" s="85"/>
      <c r="C6615" s="85"/>
      <c r="F6615" s="92"/>
      <c r="G6615" s="85"/>
    </row>
    <row r="6616">
      <c r="A6616" s="84"/>
      <c r="B6616" s="85"/>
      <c r="C6616" s="85"/>
      <c r="F6616" s="92"/>
      <c r="G6616" s="85"/>
    </row>
    <row r="6617">
      <c r="A6617" s="84"/>
      <c r="B6617" s="85"/>
      <c r="C6617" s="85"/>
      <c r="F6617" s="92"/>
      <c r="G6617" s="85"/>
    </row>
    <row r="6618">
      <c r="A6618" s="84"/>
      <c r="B6618" s="85"/>
      <c r="C6618" s="85"/>
      <c r="F6618" s="92"/>
      <c r="G6618" s="85"/>
    </row>
    <row r="6619">
      <c r="A6619" s="84"/>
      <c r="B6619" s="85"/>
      <c r="C6619" s="85"/>
      <c r="F6619" s="92"/>
      <c r="G6619" s="85"/>
    </row>
    <row r="6620">
      <c r="A6620" s="84"/>
      <c r="B6620" s="85"/>
      <c r="C6620" s="85"/>
      <c r="F6620" s="92"/>
      <c r="G6620" s="85"/>
    </row>
    <row r="6621">
      <c r="A6621" s="84"/>
      <c r="B6621" s="85"/>
      <c r="C6621" s="85"/>
      <c r="F6621" s="92"/>
      <c r="G6621" s="85"/>
    </row>
    <row r="6622">
      <c r="A6622" s="84"/>
      <c r="B6622" s="85"/>
      <c r="C6622" s="85"/>
      <c r="F6622" s="92"/>
      <c r="G6622" s="85"/>
    </row>
    <row r="6623">
      <c r="A6623" s="84"/>
      <c r="B6623" s="85"/>
      <c r="C6623" s="85"/>
      <c r="F6623" s="92"/>
      <c r="G6623" s="85"/>
    </row>
    <row r="6624">
      <c r="A6624" s="84"/>
      <c r="B6624" s="85"/>
      <c r="C6624" s="85"/>
      <c r="F6624" s="92"/>
      <c r="G6624" s="85"/>
    </row>
    <row r="6625">
      <c r="A6625" s="84"/>
      <c r="B6625" s="85"/>
      <c r="C6625" s="85"/>
      <c r="F6625" s="92"/>
      <c r="G6625" s="85"/>
    </row>
    <row r="6626">
      <c r="A6626" s="84"/>
      <c r="B6626" s="85"/>
      <c r="C6626" s="85"/>
      <c r="F6626" s="92"/>
      <c r="G6626" s="85"/>
    </row>
    <row r="6627">
      <c r="A6627" s="84"/>
      <c r="B6627" s="85"/>
      <c r="C6627" s="85"/>
      <c r="F6627" s="92"/>
      <c r="G6627" s="85"/>
    </row>
    <row r="6628">
      <c r="A6628" s="84"/>
      <c r="B6628" s="85"/>
      <c r="C6628" s="85"/>
      <c r="F6628" s="92"/>
      <c r="G6628" s="85"/>
    </row>
    <row r="6629">
      <c r="A6629" s="84"/>
      <c r="B6629" s="85"/>
      <c r="C6629" s="85"/>
      <c r="F6629" s="92"/>
      <c r="G6629" s="85"/>
    </row>
    <row r="6630">
      <c r="A6630" s="84"/>
      <c r="B6630" s="85"/>
      <c r="C6630" s="85"/>
      <c r="F6630" s="92"/>
      <c r="G6630" s="85"/>
    </row>
    <row r="6631">
      <c r="A6631" s="84"/>
      <c r="B6631" s="85"/>
      <c r="C6631" s="85"/>
      <c r="F6631" s="92"/>
      <c r="G6631" s="85"/>
    </row>
    <row r="6632">
      <c r="A6632" s="84"/>
      <c r="B6632" s="85"/>
      <c r="C6632" s="85"/>
      <c r="F6632" s="92"/>
      <c r="G6632" s="85"/>
    </row>
    <row r="6633">
      <c r="A6633" s="84"/>
      <c r="B6633" s="85"/>
      <c r="C6633" s="85"/>
      <c r="F6633" s="92"/>
      <c r="G6633" s="85"/>
    </row>
    <row r="6634">
      <c r="A6634" s="84"/>
      <c r="B6634" s="85"/>
      <c r="C6634" s="85"/>
      <c r="F6634" s="92"/>
      <c r="G6634" s="85"/>
    </row>
    <row r="6635">
      <c r="A6635" s="84"/>
      <c r="B6635" s="85"/>
      <c r="C6635" s="85"/>
      <c r="F6635" s="92"/>
      <c r="G6635" s="85"/>
    </row>
    <row r="6636">
      <c r="A6636" s="84"/>
      <c r="B6636" s="85"/>
      <c r="C6636" s="85"/>
      <c r="F6636" s="92"/>
      <c r="G6636" s="85"/>
    </row>
    <row r="6637">
      <c r="A6637" s="84"/>
      <c r="B6637" s="85"/>
      <c r="C6637" s="85"/>
      <c r="F6637" s="92"/>
      <c r="G6637" s="85"/>
    </row>
    <row r="6638">
      <c r="A6638" s="84"/>
      <c r="B6638" s="85"/>
      <c r="C6638" s="85"/>
      <c r="F6638" s="92"/>
      <c r="G6638" s="85"/>
    </row>
    <row r="6639">
      <c r="A6639" s="84"/>
      <c r="B6639" s="85"/>
      <c r="C6639" s="85"/>
      <c r="F6639" s="92"/>
      <c r="G6639" s="85"/>
    </row>
    <row r="6640">
      <c r="A6640" s="84"/>
      <c r="B6640" s="85"/>
      <c r="C6640" s="85"/>
      <c r="F6640" s="92"/>
      <c r="G6640" s="85"/>
    </row>
    <row r="6641">
      <c r="A6641" s="84"/>
      <c r="B6641" s="85"/>
      <c r="C6641" s="85"/>
      <c r="F6641" s="92"/>
      <c r="G6641" s="85"/>
    </row>
    <row r="6642">
      <c r="A6642" s="84"/>
      <c r="B6642" s="85"/>
      <c r="C6642" s="85"/>
      <c r="F6642" s="92"/>
      <c r="G6642" s="85"/>
    </row>
    <row r="6643">
      <c r="A6643" s="84"/>
      <c r="B6643" s="85"/>
      <c r="C6643" s="85"/>
      <c r="F6643" s="92"/>
      <c r="G6643" s="85"/>
    </row>
    <row r="6644">
      <c r="A6644" s="84"/>
      <c r="B6644" s="85"/>
      <c r="C6644" s="85"/>
      <c r="F6644" s="92"/>
      <c r="G6644" s="85"/>
    </row>
    <row r="6645">
      <c r="A6645" s="84"/>
      <c r="B6645" s="85"/>
      <c r="C6645" s="85"/>
      <c r="F6645" s="92"/>
      <c r="G6645" s="85"/>
    </row>
    <row r="6646">
      <c r="A6646" s="84"/>
      <c r="B6646" s="85"/>
      <c r="C6646" s="85"/>
      <c r="F6646" s="92"/>
      <c r="G6646" s="85"/>
    </row>
    <row r="6647">
      <c r="A6647" s="84"/>
      <c r="B6647" s="85"/>
      <c r="C6647" s="85"/>
      <c r="F6647" s="92"/>
      <c r="G6647" s="85"/>
    </row>
    <row r="6648">
      <c r="A6648" s="84"/>
      <c r="B6648" s="85"/>
      <c r="C6648" s="85"/>
      <c r="F6648" s="92"/>
      <c r="G6648" s="85"/>
    </row>
    <row r="6649">
      <c r="A6649" s="84"/>
      <c r="B6649" s="85"/>
      <c r="C6649" s="85"/>
      <c r="F6649" s="92"/>
      <c r="G6649" s="85"/>
    </row>
    <row r="6650">
      <c r="A6650" s="84"/>
      <c r="B6650" s="85"/>
      <c r="C6650" s="85"/>
      <c r="F6650" s="92"/>
      <c r="G6650" s="85"/>
    </row>
    <row r="6651">
      <c r="A6651" s="84"/>
      <c r="B6651" s="85"/>
      <c r="C6651" s="85"/>
      <c r="F6651" s="92"/>
      <c r="G6651" s="85"/>
    </row>
    <row r="6652">
      <c r="A6652" s="84"/>
      <c r="B6652" s="85"/>
      <c r="C6652" s="85"/>
      <c r="F6652" s="92"/>
      <c r="G6652" s="85"/>
    </row>
    <row r="6653">
      <c r="A6653" s="84"/>
      <c r="B6653" s="85"/>
      <c r="C6653" s="85"/>
      <c r="F6653" s="92"/>
      <c r="G6653" s="85"/>
    </row>
    <row r="6654">
      <c r="A6654" s="84"/>
      <c r="B6654" s="85"/>
      <c r="C6654" s="85"/>
      <c r="F6654" s="92"/>
      <c r="G6654" s="85"/>
    </row>
    <row r="6655">
      <c r="A6655" s="84"/>
      <c r="B6655" s="85"/>
      <c r="C6655" s="85"/>
      <c r="F6655" s="92"/>
      <c r="G6655" s="85"/>
    </row>
    <row r="6656">
      <c r="A6656" s="84"/>
      <c r="B6656" s="85"/>
      <c r="C6656" s="85"/>
      <c r="F6656" s="92"/>
      <c r="G6656" s="85"/>
    </row>
    <row r="6657">
      <c r="A6657" s="84"/>
      <c r="B6657" s="85"/>
      <c r="C6657" s="85"/>
      <c r="F6657" s="92"/>
      <c r="G6657" s="85"/>
    </row>
    <row r="6658">
      <c r="A6658" s="84"/>
      <c r="B6658" s="85"/>
      <c r="C6658" s="85"/>
      <c r="F6658" s="92"/>
      <c r="G6658" s="85"/>
    </row>
    <row r="6659">
      <c r="A6659" s="84"/>
      <c r="B6659" s="85"/>
      <c r="C6659" s="85"/>
      <c r="F6659" s="92"/>
      <c r="G6659" s="85"/>
    </row>
    <row r="6660">
      <c r="A6660" s="84"/>
      <c r="B6660" s="85"/>
      <c r="C6660" s="85"/>
      <c r="F6660" s="92"/>
      <c r="G6660" s="85"/>
    </row>
    <row r="6661">
      <c r="A6661" s="84"/>
      <c r="B6661" s="85"/>
      <c r="C6661" s="85"/>
      <c r="F6661" s="92"/>
      <c r="G6661" s="85"/>
    </row>
    <row r="6662">
      <c r="A6662" s="84"/>
      <c r="B6662" s="85"/>
      <c r="C6662" s="85"/>
      <c r="F6662" s="92"/>
      <c r="G6662" s="85"/>
    </row>
    <row r="6663">
      <c r="A6663" s="84"/>
      <c r="B6663" s="85"/>
      <c r="C6663" s="85"/>
      <c r="F6663" s="92"/>
      <c r="G6663" s="85"/>
    </row>
    <row r="6664">
      <c r="A6664" s="84"/>
      <c r="B6664" s="85"/>
      <c r="C6664" s="85"/>
      <c r="F6664" s="92"/>
      <c r="G6664" s="85"/>
    </row>
    <row r="6665">
      <c r="A6665" s="84"/>
      <c r="B6665" s="85"/>
      <c r="C6665" s="85"/>
      <c r="F6665" s="92"/>
      <c r="G6665" s="85"/>
    </row>
    <row r="6666">
      <c r="A6666" s="84"/>
      <c r="B6666" s="85"/>
      <c r="C6666" s="85"/>
      <c r="F6666" s="92"/>
      <c r="G6666" s="85"/>
    </row>
    <row r="6667">
      <c r="A6667" s="84"/>
      <c r="B6667" s="85"/>
      <c r="C6667" s="85"/>
      <c r="F6667" s="92"/>
      <c r="G6667" s="85"/>
    </row>
    <row r="6668">
      <c r="A6668" s="84"/>
      <c r="B6668" s="85"/>
      <c r="C6668" s="85"/>
      <c r="F6668" s="92"/>
      <c r="G6668" s="85"/>
    </row>
    <row r="6669">
      <c r="A6669" s="84"/>
      <c r="B6669" s="85"/>
      <c r="C6669" s="85"/>
      <c r="F6669" s="92"/>
      <c r="G6669" s="85"/>
    </row>
    <row r="6670">
      <c r="A6670" s="84"/>
      <c r="B6670" s="85"/>
      <c r="C6670" s="85"/>
      <c r="F6670" s="92"/>
      <c r="G6670" s="85"/>
    </row>
    <row r="6671">
      <c r="A6671" s="84"/>
      <c r="B6671" s="85"/>
      <c r="C6671" s="85"/>
      <c r="F6671" s="92"/>
      <c r="G6671" s="85"/>
    </row>
    <row r="6672">
      <c r="A6672" s="84"/>
      <c r="B6672" s="85"/>
      <c r="C6672" s="85"/>
      <c r="F6672" s="92"/>
      <c r="G6672" s="85"/>
    </row>
    <row r="6673">
      <c r="A6673" s="84"/>
      <c r="B6673" s="85"/>
      <c r="C6673" s="85"/>
      <c r="F6673" s="92"/>
      <c r="G6673" s="85"/>
    </row>
    <row r="6674">
      <c r="A6674" s="84"/>
      <c r="B6674" s="85"/>
      <c r="C6674" s="85"/>
      <c r="F6674" s="92"/>
      <c r="G6674" s="85"/>
    </row>
    <row r="6675">
      <c r="A6675" s="84"/>
      <c r="B6675" s="85"/>
      <c r="C6675" s="85"/>
      <c r="F6675" s="92"/>
      <c r="G6675" s="85"/>
    </row>
    <row r="6676">
      <c r="A6676" s="84"/>
      <c r="B6676" s="85"/>
      <c r="C6676" s="85"/>
      <c r="F6676" s="92"/>
      <c r="G6676" s="85"/>
    </row>
    <row r="6677">
      <c r="A6677" s="84"/>
      <c r="B6677" s="85"/>
      <c r="C6677" s="85"/>
      <c r="F6677" s="92"/>
      <c r="G6677" s="85"/>
    </row>
    <row r="6678">
      <c r="A6678" s="84"/>
      <c r="B6678" s="85"/>
      <c r="C6678" s="85"/>
      <c r="F6678" s="92"/>
      <c r="G6678" s="85"/>
    </row>
    <row r="6679">
      <c r="A6679" s="84"/>
      <c r="B6679" s="85"/>
      <c r="C6679" s="85"/>
      <c r="F6679" s="92"/>
      <c r="G6679" s="85"/>
    </row>
    <row r="6680">
      <c r="A6680" s="84"/>
      <c r="B6680" s="85"/>
      <c r="C6680" s="85"/>
      <c r="F6680" s="92"/>
      <c r="G6680" s="85"/>
    </row>
    <row r="6681">
      <c r="A6681" s="84"/>
      <c r="B6681" s="85"/>
      <c r="C6681" s="85"/>
      <c r="F6681" s="92"/>
      <c r="G6681" s="85"/>
    </row>
    <row r="6682">
      <c r="A6682" s="84"/>
      <c r="B6682" s="85"/>
      <c r="C6682" s="85"/>
      <c r="F6682" s="92"/>
      <c r="G6682" s="85"/>
    </row>
    <row r="6683">
      <c r="A6683" s="84"/>
      <c r="B6683" s="85"/>
      <c r="C6683" s="85"/>
      <c r="F6683" s="92"/>
      <c r="G6683" s="85"/>
    </row>
    <row r="6684">
      <c r="A6684" s="84"/>
      <c r="B6684" s="85"/>
      <c r="C6684" s="85"/>
      <c r="F6684" s="92"/>
      <c r="G6684" s="85"/>
    </row>
    <row r="6685">
      <c r="A6685" s="84"/>
      <c r="B6685" s="85"/>
      <c r="C6685" s="85"/>
      <c r="F6685" s="92"/>
      <c r="G6685" s="85"/>
    </row>
    <row r="6686">
      <c r="A6686" s="84"/>
      <c r="B6686" s="85"/>
      <c r="C6686" s="85"/>
      <c r="F6686" s="92"/>
      <c r="G6686" s="85"/>
    </row>
    <row r="6687">
      <c r="A6687" s="84"/>
      <c r="B6687" s="85"/>
      <c r="C6687" s="85"/>
      <c r="F6687" s="92"/>
      <c r="G6687" s="85"/>
    </row>
    <row r="6688">
      <c r="A6688" s="84"/>
      <c r="B6688" s="85"/>
      <c r="C6688" s="85"/>
      <c r="F6688" s="92"/>
      <c r="G6688" s="85"/>
    </row>
    <row r="6689">
      <c r="A6689" s="84"/>
      <c r="B6689" s="85"/>
      <c r="C6689" s="85"/>
      <c r="F6689" s="92"/>
      <c r="G6689" s="85"/>
    </row>
    <row r="6690">
      <c r="A6690" s="84"/>
      <c r="B6690" s="85"/>
      <c r="C6690" s="85"/>
      <c r="F6690" s="92"/>
      <c r="G6690" s="85"/>
    </row>
    <row r="6691">
      <c r="A6691" s="84"/>
      <c r="B6691" s="85"/>
      <c r="C6691" s="85"/>
      <c r="F6691" s="92"/>
      <c r="G6691" s="85"/>
    </row>
    <row r="6692">
      <c r="A6692" s="84"/>
      <c r="B6692" s="85"/>
      <c r="C6692" s="85"/>
      <c r="F6692" s="92"/>
      <c r="G6692" s="85"/>
    </row>
    <row r="6693">
      <c r="A6693" s="84"/>
      <c r="B6693" s="85"/>
      <c r="C6693" s="85"/>
      <c r="F6693" s="92"/>
      <c r="G6693" s="85"/>
    </row>
    <row r="6694">
      <c r="A6694" s="84"/>
      <c r="B6694" s="85"/>
      <c r="C6694" s="85"/>
      <c r="F6694" s="92"/>
      <c r="G6694" s="85"/>
    </row>
    <row r="6695">
      <c r="A6695" s="84"/>
      <c r="B6695" s="85"/>
      <c r="C6695" s="85"/>
      <c r="F6695" s="92"/>
      <c r="G6695" s="85"/>
    </row>
    <row r="6696">
      <c r="A6696" s="84"/>
      <c r="B6696" s="85"/>
      <c r="C6696" s="85"/>
      <c r="F6696" s="92"/>
      <c r="G6696" s="85"/>
    </row>
    <row r="6697">
      <c r="A6697" s="84"/>
      <c r="B6697" s="85"/>
      <c r="C6697" s="85"/>
      <c r="F6697" s="92"/>
      <c r="G6697" s="85"/>
    </row>
    <row r="6698">
      <c r="A6698" s="84"/>
      <c r="B6698" s="85"/>
      <c r="C6698" s="85"/>
      <c r="F6698" s="92"/>
      <c r="G6698" s="85"/>
    </row>
    <row r="6699">
      <c r="A6699" s="84"/>
      <c r="B6699" s="85"/>
      <c r="C6699" s="85"/>
      <c r="F6699" s="92"/>
      <c r="G6699" s="85"/>
    </row>
    <row r="6700">
      <c r="A6700" s="84"/>
      <c r="B6700" s="85"/>
      <c r="C6700" s="85"/>
      <c r="F6700" s="92"/>
      <c r="G6700" s="85"/>
    </row>
    <row r="6701">
      <c r="A6701" s="84"/>
      <c r="B6701" s="85"/>
      <c r="C6701" s="85"/>
      <c r="F6701" s="92"/>
      <c r="G6701" s="85"/>
    </row>
    <row r="6702">
      <c r="A6702" s="84"/>
      <c r="B6702" s="85"/>
      <c r="C6702" s="85"/>
      <c r="F6702" s="92"/>
      <c r="G6702" s="85"/>
    </row>
    <row r="6703">
      <c r="A6703" s="84"/>
      <c r="B6703" s="85"/>
      <c r="C6703" s="85"/>
      <c r="F6703" s="92"/>
      <c r="G6703" s="85"/>
    </row>
    <row r="6704">
      <c r="A6704" s="84"/>
      <c r="B6704" s="85"/>
      <c r="C6704" s="85"/>
      <c r="F6704" s="92"/>
      <c r="G6704" s="85"/>
    </row>
    <row r="6705">
      <c r="A6705" s="84"/>
      <c r="B6705" s="85"/>
      <c r="C6705" s="85"/>
      <c r="F6705" s="92"/>
      <c r="G6705" s="85"/>
    </row>
    <row r="6706">
      <c r="A6706" s="84"/>
      <c r="B6706" s="85"/>
      <c r="C6706" s="85"/>
      <c r="F6706" s="92"/>
      <c r="G6706" s="85"/>
    </row>
    <row r="6707">
      <c r="A6707" s="84"/>
      <c r="B6707" s="85"/>
      <c r="C6707" s="85"/>
      <c r="F6707" s="92"/>
      <c r="G6707" s="85"/>
    </row>
    <row r="6708">
      <c r="A6708" s="84"/>
      <c r="B6708" s="85"/>
      <c r="C6708" s="85"/>
      <c r="F6708" s="92"/>
      <c r="G6708" s="85"/>
    </row>
    <row r="6709">
      <c r="A6709" s="84"/>
      <c r="B6709" s="85"/>
      <c r="C6709" s="85"/>
      <c r="F6709" s="92"/>
      <c r="G6709" s="85"/>
    </row>
    <row r="6710">
      <c r="A6710" s="84"/>
      <c r="B6710" s="85"/>
      <c r="C6710" s="85"/>
      <c r="F6710" s="92"/>
      <c r="G6710" s="85"/>
    </row>
    <row r="6711">
      <c r="A6711" s="84"/>
      <c r="B6711" s="85"/>
      <c r="C6711" s="85"/>
      <c r="F6711" s="92"/>
      <c r="G6711" s="85"/>
    </row>
    <row r="6712">
      <c r="A6712" s="84"/>
      <c r="B6712" s="85"/>
      <c r="C6712" s="85"/>
      <c r="F6712" s="92"/>
      <c r="G6712" s="85"/>
    </row>
    <row r="6713">
      <c r="A6713" s="84"/>
      <c r="B6713" s="85"/>
      <c r="C6713" s="85"/>
      <c r="F6713" s="92"/>
      <c r="G6713" s="85"/>
    </row>
    <row r="6714">
      <c r="A6714" s="84"/>
      <c r="B6714" s="85"/>
      <c r="C6714" s="85"/>
      <c r="F6714" s="92"/>
      <c r="G6714" s="85"/>
    </row>
    <row r="6715">
      <c r="A6715" s="84"/>
      <c r="B6715" s="85"/>
      <c r="C6715" s="85"/>
      <c r="F6715" s="92"/>
      <c r="G6715" s="85"/>
    </row>
    <row r="6716">
      <c r="A6716" s="84"/>
      <c r="B6716" s="85"/>
      <c r="C6716" s="85"/>
      <c r="F6716" s="92"/>
      <c r="G6716" s="85"/>
    </row>
    <row r="6717">
      <c r="A6717" s="84"/>
      <c r="B6717" s="85"/>
      <c r="C6717" s="85"/>
      <c r="F6717" s="92"/>
      <c r="G6717" s="85"/>
    </row>
    <row r="6718">
      <c r="A6718" s="84"/>
      <c r="B6718" s="85"/>
      <c r="C6718" s="85"/>
      <c r="F6718" s="92"/>
      <c r="G6718" s="85"/>
    </row>
    <row r="6719">
      <c r="A6719" s="84"/>
      <c r="B6719" s="85"/>
      <c r="C6719" s="85"/>
      <c r="F6719" s="92"/>
      <c r="G6719" s="85"/>
    </row>
    <row r="6720">
      <c r="A6720" s="84"/>
      <c r="B6720" s="85"/>
      <c r="C6720" s="85"/>
      <c r="F6720" s="92"/>
      <c r="G6720" s="85"/>
    </row>
    <row r="6721">
      <c r="A6721" s="84"/>
      <c r="B6721" s="85"/>
      <c r="C6721" s="85"/>
      <c r="F6721" s="92"/>
      <c r="G6721" s="85"/>
    </row>
    <row r="6722">
      <c r="A6722" s="84"/>
      <c r="B6722" s="85"/>
      <c r="C6722" s="85"/>
      <c r="F6722" s="92"/>
      <c r="G6722" s="85"/>
    </row>
    <row r="6723">
      <c r="A6723" s="84"/>
      <c r="B6723" s="85"/>
      <c r="C6723" s="85"/>
      <c r="F6723" s="92"/>
      <c r="G6723" s="85"/>
    </row>
    <row r="6724">
      <c r="A6724" s="84"/>
      <c r="B6724" s="85"/>
      <c r="C6724" s="85"/>
      <c r="F6724" s="92"/>
      <c r="G6724" s="85"/>
    </row>
    <row r="6725">
      <c r="A6725" s="84"/>
      <c r="B6725" s="85"/>
      <c r="C6725" s="85"/>
      <c r="F6725" s="92"/>
      <c r="G6725" s="85"/>
    </row>
    <row r="6726">
      <c r="A6726" s="84"/>
      <c r="B6726" s="85"/>
      <c r="C6726" s="85"/>
      <c r="F6726" s="92"/>
      <c r="G6726" s="85"/>
    </row>
    <row r="6727">
      <c r="A6727" s="84"/>
      <c r="B6727" s="85"/>
      <c r="C6727" s="85"/>
      <c r="F6727" s="92"/>
      <c r="G6727" s="85"/>
    </row>
    <row r="6728">
      <c r="A6728" s="84"/>
      <c r="B6728" s="85"/>
      <c r="C6728" s="85"/>
      <c r="F6728" s="92"/>
      <c r="G6728" s="85"/>
    </row>
    <row r="6729">
      <c r="A6729" s="84"/>
      <c r="B6729" s="85"/>
      <c r="C6729" s="85"/>
      <c r="F6729" s="92"/>
      <c r="G6729" s="85"/>
    </row>
    <row r="6730">
      <c r="A6730" s="84"/>
      <c r="B6730" s="85"/>
      <c r="C6730" s="85"/>
      <c r="F6730" s="92"/>
      <c r="G6730" s="85"/>
    </row>
    <row r="6731">
      <c r="A6731" s="84"/>
      <c r="B6731" s="85"/>
      <c r="C6731" s="85"/>
      <c r="F6731" s="92"/>
      <c r="G6731" s="85"/>
    </row>
    <row r="6732">
      <c r="A6732" s="84"/>
      <c r="B6732" s="85"/>
      <c r="C6732" s="85"/>
      <c r="F6732" s="92"/>
      <c r="G6732" s="85"/>
    </row>
    <row r="6733">
      <c r="A6733" s="84"/>
      <c r="B6733" s="85"/>
      <c r="C6733" s="85"/>
      <c r="F6733" s="92"/>
      <c r="G6733" s="85"/>
    </row>
    <row r="6734">
      <c r="A6734" s="84"/>
      <c r="B6734" s="85"/>
      <c r="C6734" s="85"/>
      <c r="F6734" s="92"/>
      <c r="G6734" s="85"/>
    </row>
    <row r="6735">
      <c r="A6735" s="84"/>
      <c r="B6735" s="85"/>
      <c r="C6735" s="85"/>
      <c r="F6735" s="92"/>
      <c r="G6735" s="85"/>
    </row>
    <row r="6736">
      <c r="A6736" s="84"/>
      <c r="B6736" s="85"/>
      <c r="C6736" s="85"/>
      <c r="F6736" s="92"/>
      <c r="G6736" s="85"/>
    </row>
    <row r="6737">
      <c r="A6737" s="84"/>
      <c r="B6737" s="85"/>
      <c r="C6737" s="85"/>
      <c r="F6737" s="92"/>
      <c r="G6737" s="85"/>
    </row>
    <row r="6738">
      <c r="A6738" s="84"/>
      <c r="B6738" s="85"/>
      <c r="C6738" s="85"/>
      <c r="F6738" s="92"/>
      <c r="G6738" s="85"/>
    </row>
    <row r="6739">
      <c r="A6739" s="84"/>
      <c r="B6739" s="85"/>
      <c r="C6739" s="85"/>
      <c r="F6739" s="92"/>
      <c r="G6739" s="85"/>
    </row>
    <row r="6740">
      <c r="A6740" s="84"/>
      <c r="B6740" s="85"/>
      <c r="C6740" s="85"/>
      <c r="F6740" s="92"/>
      <c r="G6740" s="85"/>
    </row>
    <row r="6741">
      <c r="A6741" s="84"/>
      <c r="B6741" s="85"/>
      <c r="C6741" s="85"/>
      <c r="F6741" s="92"/>
      <c r="G6741" s="85"/>
    </row>
    <row r="6742">
      <c r="A6742" s="84"/>
      <c r="B6742" s="85"/>
      <c r="C6742" s="85"/>
      <c r="F6742" s="92"/>
      <c r="G6742" s="85"/>
    </row>
    <row r="6743">
      <c r="A6743" s="84"/>
      <c r="B6743" s="85"/>
      <c r="C6743" s="85"/>
      <c r="F6743" s="92"/>
      <c r="G6743" s="85"/>
    </row>
    <row r="6744">
      <c r="A6744" s="84"/>
      <c r="B6744" s="85"/>
      <c r="C6744" s="85"/>
      <c r="F6744" s="92"/>
      <c r="G6744" s="85"/>
    </row>
    <row r="6745">
      <c r="A6745" s="84"/>
      <c r="B6745" s="85"/>
      <c r="C6745" s="85"/>
      <c r="F6745" s="92"/>
      <c r="G6745" s="85"/>
    </row>
    <row r="6746">
      <c r="A6746" s="84"/>
      <c r="B6746" s="85"/>
      <c r="C6746" s="85"/>
      <c r="F6746" s="92"/>
      <c r="G6746" s="85"/>
    </row>
    <row r="6747">
      <c r="A6747" s="84"/>
      <c r="B6747" s="85"/>
      <c r="C6747" s="85"/>
      <c r="F6747" s="92"/>
      <c r="G6747" s="85"/>
    </row>
    <row r="6748">
      <c r="A6748" s="84"/>
      <c r="B6748" s="85"/>
      <c r="C6748" s="85"/>
      <c r="F6748" s="92"/>
      <c r="G6748" s="85"/>
    </row>
    <row r="6749">
      <c r="A6749" s="84"/>
      <c r="B6749" s="85"/>
      <c r="C6749" s="85"/>
      <c r="F6749" s="92"/>
      <c r="G6749" s="85"/>
    </row>
    <row r="6750">
      <c r="A6750" s="84"/>
      <c r="B6750" s="85"/>
      <c r="C6750" s="85"/>
      <c r="F6750" s="92"/>
      <c r="G6750" s="85"/>
    </row>
    <row r="6751">
      <c r="A6751" s="84"/>
      <c r="B6751" s="85"/>
      <c r="C6751" s="85"/>
      <c r="F6751" s="92"/>
      <c r="G6751" s="85"/>
    </row>
    <row r="6752">
      <c r="A6752" s="84"/>
      <c r="B6752" s="85"/>
      <c r="C6752" s="85"/>
      <c r="F6752" s="92"/>
      <c r="G6752" s="85"/>
    </row>
    <row r="6753">
      <c r="A6753" s="84"/>
      <c r="B6753" s="85"/>
      <c r="C6753" s="85"/>
      <c r="F6753" s="92"/>
      <c r="G6753" s="85"/>
    </row>
    <row r="6754">
      <c r="A6754" s="84"/>
      <c r="B6754" s="85"/>
      <c r="C6754" s="85"/>
      <c r="F6754" s="92"/>
      <c r="G6754" s="85"/>
    </row>
    <row r="6755">
      <c r="A6755" s="84"/>
      <c r="B6755" s="85"/>
      <c r="C6755" s="85"/>
      <c r="F6755" s="92"/>
      <c r="G6755" s="85"/>
    </row>
    <row r="6756">
      <c r="A6756" s="84"/>
      <c r="B6756" s="85"/>
      <c r="C6756" s="85"/>
      <c r="F6756" s="92"/>
      <c r="G6756" s="85"/>
    </row>
    <row r="6757">
      <c r="A6757" s="84"/>
      <c r="B6757" s="85"/>
      <c r="C6757" s="85"/>
      <c r="F6757" s="92"/>
      <c r="G6757" s="85"/>
    </row>
    <row r="6758">
      <c r="A6758" s="84"/>
      <c r="B6758" s="85"/>
      <c r="C6758" s="85"/>
      <c r="F6758" s="92"/>
      <c r="G6758" s="85"/>
    </row>
    <row r="6759">
      <c r="A6759" s="84"/>
      <c r="B6759" s="85"/>
      <c r="C6759" s="85"/>
      <c r="F6759" s="92"/>
      <c r="G6759" s="85"/>
    </row>
    <row r="6760">
      <c r="A6760" s="84"/>
      <c r="B6760" s="85"/>
      <c r="C6760" s="85"/>
      <c r="F6760" s="92"/>
      <c r="G6760" s="85"/>
    </row>
    <row r="6761">
      <c r="A6761" s="84"/>
      <c r="B6761" s="85"/>
      <c r="C6761" s="85"/>
      <c r="F6761" s="92"/>
      <c r="G6761" s="85"/>
    </row>
    <row r="6762">
      <c r="A6762" s="84"/>
      <c r="B6762" s="85"/>
      <c r="C6762" s="85"/>
      <c r="F6762" s="92"/>
      <c r="G6762" s="85"/>
    </row>
    <row r="6763">
      <c r="A6763" s="84"/>
      <c r="B6763" s="85"/>
      <c r="C6763" s="85"/>
      <c r="F6763" s="92"/>
      <c r="G6763" s="85"/>
    </row>
    <row r="6764">
      <c r="A6764" s="84"/>
      <c r="B6764" s="85"/>
      <c r="C6764" s="85"/>
      <c r="F6764" s="92"/>
      <c r="G6764" s="85"/>
    </row>
    <row r="6765">
      <c r="A6765" s="84"/>
      <c r="B6765" s="85"/>
      <c r="C6765" s="85"/>
      <c r="F6765" s="92"/>
      <c r="G6765" s="85"/>
    </row>
    <row r="6766">
      <c r="A6766" s="84"/>
      <c r="B6766" s="85"/>
      <c r="C6766" s="85"/>
      <c r="F6766" s="92"/>
      <c r="G6766" s="85"/>
    </row>
    <row r="6767">
      <c r="A6767" s="84"/>
      <c r="B6767" s="85"/>
      <c r="C6767" s="85"/>
      <c r="F6767" s="92"/>
      <c r="G6767" s="85"/>
    </row>
    <row r="6768">
      <c r="A6768" s="84"/>
      <c r="B6768" s="85"/>
      <c r="C6768" s="85"/>
      <c r="F6768" s="92"/>
      <c r="G6768" s="85"/>
    </row>
    <row r="6769">
      <c r="A6769" s="84"/>
      <c r="B6769" s="85"/>
      <c r="C6769" s="85"/>
      <c r="F6769" s="92"/>
      <c r="G6769" s="85"/>
    </row>
    <row r="6770">
      <c r="A6770" s="84"/>
      <c r="B6770" s="85"/>
      <c r="C6770" s="85"/>
      <c r="F6770" s="92"/>
      <c r="G6770" s="85"/>
    </row>
    <row r="6771">
      <c r="A6771" s="84"/>
      <c r="B6771" s="85"/>
      <c r="C6771" s="85"/>
      <c r="F6771" s="92"/>
      <c r="G6771" s="85"/>
    </row>
    <row r="6772">
      <c r="A6772" s="84"/>
      <c r="B6772" s="85"/>
      <c r="C6772" s="85"/>
      <c r="F6772" s="92"/>
      <c r="G6772" s="85"/>
    </row>
    <row r="6773">
      <c r="A6773" s="84"/>
      <c r="B6773" s="85"/>
      <c r="C6773" s="85"/>
      <c r="F6773" s="92"/>
      <c r="G6773" s="85"/>
    </row>
    <row r="6774">
      <c r="A6774" s="84"/>
      <c r="B6774" s="85"/>
      <c r="C6774" s="85"/>
      <c r="F6774" s="92"/>
      <c r="G6774" s="85"/>
    </row>
    <row r="6775">
      <c r="A6775" s="84"/>
      <c r="B6775" s="85"/>
      <c r="C6775" s="85"/>
      <c r="F6775" s="92"/>
      <c r="G6775" s="85"/>
    </row>
    <row r="6776">
      <c r="A6776" s="84"/>
      <c r="B6776" s="85"/>
      <c r="C6776" s="85"/>
      <c r="F6776" s="92"/>
      <c r="G6776" s="85"/>
    </row>
    <row r="6777">
      <c r="A6777" s="84"/>
      <c r="B6777" s="85"/>
      <c r="C6777" s="85"/>
      <c r="F6777" s="92"/>
      <c r="G6777" s="85"/>
    </row>
    <row r="6778">
      <c r="A6778" s="84"/>
      <c r="B6778" s="85"/>
      <c r="C6778" s="85"/>
      <c r="F6778" s="92"/>
      <c r="G6778" s="85"/>
    </row>
    <row r="6779">
      <c r="A6779" s="84"/>
      <c r="B6779" s="85"/>
      <c r="C6779" s="85"/>
      <c r="F6779" s="92"/>
      <c r="G6779" s="85"/>
    </row>
    <row r="6780">
      <c r="A6780" s="84"/>
      <c r="B6780" s="85"/>
      <c r="C6780" s="85"/>
      <c r="F6780" s="92"/>
      <c r="G6780" s="85"/>
    </row>
    <row r="6781">
      <c r="A6781" s="84"/>
      <c r="B6781" s="85"/>
      <c r="C6781" s="85"/>
      <c r="F6781" s="92"/>
      <c r="G6781" s="85"/>
    </row>
    <row r="6782">
      <c r="A6782" s="84"/>
      <c r="B6782" s="85"/>
      <c r="C6782" s="85"/>
      <c r="F6782" s="92"/>
      <c r="G6782" s="85"/>
    </row>
    <row r="6783">
      <c r="A6783" s="84"/>
      <c r="B6783" s="85"/>
      <c r="C6783" s="85"/>
      <c r="F6783" s="92"/>
      <c r="G6783" s="85"/>
    </row>
    <row r="6784">
      <c r="A6784" s="84"/>
      <c r="B6784" s="85"/>
      <c r="C6784" s="85"/>
      <c r="F6784" s="92"/>
      <c r="G6784" s="85"/>
    </row>
    <row r="6785">
      <c r="A6785" s="84"/>
      <c r="B6785" s="85"/>
      <c r="C6785" s="85"/>
      <c r="F6785" s="92"/>
      <c r="G6785" s="85"/>
    </row>
    <row r="6786">
      <c r="A6786" s="84"/>
      <c r="B6786" s="85"/>
      <c r="C6786" s="85"/>
      <c r="F6786" s="92"/>
      <c r="G6786" s="85"/>
    </row>
    <row r="6787">
      <c r="A6787" s="84"/>
      <c r="B6787" s="85"/>
      <c r="C6787" s="85"/>
      <c r="F6787" s="92"/>
      <c r="G6787" s="85"/>
    </row>
    <row r="6788">
      <c r="A6788" s="84"/>
      <c r="B6788" s="85"/>
      <c r="C6788" s="85"/>
      <c r="F6788" s="92"/>
      <c r="G6788" s="85"/>
    </row>
    <row r="6789">
      <c r="A6789" s="84"/>
      <c r="B6789" s="85"/>
      <c r="C6789" s="85"/>
      <c r="F6789" s="92"/>
      <c r="G6789" s="85"/>
    </row>
    <row r="6790">
      <c r="A6790" s="84"/>
      <c r="B6790" s="85"/>
      <c r="C6790" s="85"/>
      <c r="F6790" s="92"/>
      <c r="G6790" s="85"/>
    </row>
    <row r="6791">
      <c r="A6791" s="84"/>
      <c r="B6791" s="85"/>
      <c r="C6791" s="85"/>
      <c r="F6791" s="92"/>
      <c r="G6791" s="85"/>
    </row>
    <row r="6792">
      <c r="A6792" s="84"/>
      <c r="B6792" s="85"/>
      <c r="C6792" s="85"/>
      <c r="F6792" s="92"/>
      <c r="G6792" s="85"/>
    </row>
    <row r="6793">
      <c r="A6793" s="84"/>
      <c r="B6793" s="85"/>
      <c r="C6793" s="85"/>
      <c r="F6793" s="92"/>
      <c r="G6793" s="85"/>
    </row>
    <row r="6794">
      <c r="A6794" s="84"/>
      <c r="B6794" s="85"/>
      <c r="C6794" s="85"/>
      <c r="F6794" s="92"/>
      <c r="G6794" s="85"/>
    </row>
    <row r="6795">
      <c r="A6795" s="84"/>
      <c r="B6795" s="85"/>
      <c r="C6795" s="85"/>
      <c r="F6795" s="92"/>
      <c r="G6795" s="85"/>
    </row>
    <row r="6796">
      <c r="A6796" s="84"/>
      <c r="B6796" s="85"/>
      <c r="C6796" s="85"/>
      <c r="F6796" s="92"/>
      <c r="G6796" s="85"/>
    </row>
    <row r="6797">
      <c r="A6797" s="84"/>
      <c r="B6797" s="85"/>
      <c r="C6797" s="85"/>
      <c r="F6797" s="92"/>
      <c r="G6797" s="85"/>
    </row>
    <row r="6798">
      <c r="A6798" s="84"/>
      <c r="B6798" s="85"/>
      <c r="C6798" s="85"/>
      <c r="F6798" s="92"/>
      <c r="G6798" s="85"/>
    </row>
    <row r="6799">
      <c r="A6799" s="84"/>
      <c r="B6799" s="85"/>
      <c r="C6799" s="85"/>
      <c r="F6799" s="92"/>
      <c r="G6799" s="85"/>
    </row>
    <row r="6800">
      <c r="A6800" s="84"/>
      <c r="B6800" s="85"/>
      <c r="C6800" s="85"/>
      <c r="F6800" s="92"/>
      <c r="G6800" s="85"/>
    </row>
    <row r="6801">
      <c r="A6801" s="84"/>
      <c r="B6801" s="85"/>
      <c r="C6801" s="85"/>
      <c r="F6801" s="92"/>
      <c r="G6801" s="85"/>
    </row>
    <row r="6802">
      <c r="A6802" s="84"/>
      <c r="B6802" s="85"/>
      <c r="C6802" s="85"/>
      <c r="F6802" s="92"/>
      <c r="G6802" s="85"/>
    </row>
    <row r="6803">
      <c r="A6803" s="84"/>
      <c r="B6803" s="85"/>
      <c r="C6803" s="85"/>
      <c r="F6803" s="92"/>
      <c r="G6803" s="85"/>
    </row>
    <row r="6804">
      <c r="A6804" s="84"/>
      <c r="B6804" s="85"/>
      <c r="C6804" s="85"/>
      <c r="F6804" s="92"/>
      <c r="G6804" s="85"/>
    </row>
    <row r="6805">
      <c r="A6805" s="84"/>
      <c r="B6805" s="85"/>
      <c r="C6805" s="85"/>
      <c r="F6805" s="92"/>
      <c r="G6805" s="85"/>
    </row>
    <row r="6806">
      <c r="A6806" s="84"/>
      <c r="B6806" s="85"/>
      <c r="C6806" s="85"/>
      <c r="F6806" s="92"/>
      <c r="G6806" s="85"/>
    </row>
    <row r="6807">
      <c r="A6807" s="84"/>
      <c r="B6807" s="85"/>
      <c r="C6807" s="85"/>
      <c r="F6807" s="92"/>
      <c r="G6807" s="85"/>
    </row>
    <row r="6808">
      <c r="A6808" s="84"/>
      <c r="B6808" s="85"/>
      <c r="C6808" s="85"/>
      <c r="F6808" s="92"/>
      <c r="G6808" s="85"/>
    </row>
    <row r="6809">
      <c r="A6809" s="84"/>
      <c r="B6809" s="85"/>
      <c r="C6809" s="85"/>
      <c r="F6809" s="92"/>
      <c r="G6809" s="85"/>
    </row>
    <row r="6810">
      <c r="A6810" s="84"/>
      <c r="B6810" s="85"/>
      <c r="C6810" s="85"/>
      <c r="F6810" s="92"/>
      <c r="G6810" s="85"/>
    </row>
    <row r="6811">
      <c r="A6811" s="84"/>
      <c r="B6811" s="85"/>
      <c r="C6811" s="85"/>
      <c r="F6811" s="92"/>
      <c r="G6811" s="85"/>
    </row>
    <row r="6812">
      <c r="A6812" s="84"/>
      <c r="B6812" s="85"/>
      <c r="C6812" s="85"/>
      <c r="F6812" s="92"/>
      <c r="G6812" s="85"/>
    </row>
    <row r="6813">
      <c r="A6813" s="84"/>
      <c r="B6813" s="85"/>
      <c r="C6813" s="85"/>
      <c r="F6813" s="92"/>
      <c r="G6813" s="85"/>
    </row>
    <row r="6814">
      <c r="A6814" s="84"/>
      <c r="B6814" s="85"/>
      <c r="C6814" s="85"/>
      <c r="F6814" s="92"/>
      <c r="G6814" s="85"/>
    </row>
    <row r="6815">
      <c r="A6815" s="84"/>
      <c r="B6815" s="85"/>
      <c r="C6815" s="85"/>
      <c r="F6815" s="92"/>
      <c r="G6815" s="85"/>
    </row>
    <row r="6816">
      <c r="A6816" s="84"/>
      <c r="B6816" s="85"/>
      <c r="C6816" s="85"/>
      <c r="F6816" s="92"/>
      <c r="G6816" s="85"/>
    </row>
    <row r="6817">
      <c r="A6817" s="84"/>
      <c r="B6817" s="85"/>
      <c r="C6817" s="85"/>
      <c r="F6817" s="92"/>
      <c r="G6817" s="85"/>
    </row>
    <row r="6818">
      <c r="A6818" s="84"/>
      <c r="B6818" s="85"/>
      <c r="C6818" s="85"/>
      <c r="F6818" s="92"/>
      <c r="G6818" s="85"/>
    </row>
    <row r="6819">
      <c r="A6819" s="84"/>
      <c r="B6819" s="85"/>
      <c r="C6819" s="85"/>
      <c r="F6819" s="92"/>
      <c r="G6819" s="85"/>
    </row>
    <row r="6820">
      <c r="A6820" s="84"/>
      <c r="B6820" s="85"/>
      <c r="C6820" s="85"/>
      <c r="F6820" s="92"/>
      <c r="G6820" s="85"/>
    </row>
    <row r="6821">
      <c r="A6821" s="84"/>
      <c r="B6821" s="85"/>
      <c r="C6821" s="85"/>
      <c r="F6821" s="92"/>
      <c r="G6821" s="85"/>
    </row>
    <row r="6822">
      <c r="A6822" s="84"/>
      <c r="B6822" s="85"/>
      <c r="C6822" s="85"/>
      <c r="F6822" s="92"/>
      <c r="G6822" s="85"/>
    </row>
    <row r="6823">
      <c r="A6823" s="84"/>
      <c r="B6823" s="85"/>
      <c r="C6823" s="85"/>
      <c r="F6823" s="92"/>
      <c r="G6823" s="85"/>
    </row>
    <row r="6824">
      <c r="A6824" s="84"/>
      <c r="B6824" s="85"/>
      <c r="C6824" s="85"/>
      <c r="F6824" s="92"/>
      <c r="G6824" s="85"/>
    </row>
    <row r="6825">
      <c r="A6825" s="84"/>
      <c r="B6825" s="85"/>
      <c r="C6825" s="85"/>
      <c r="F6825" s="92"/>
      <c r="G6825" s="85"/>
    </row>
    <row r="6826">
      <c r="A6826" s="84"/>
      <c r="B6826" s="85"/>
      <c r="C6826" s="85"/>
      <c r="F6826" s="92"/>
      <c r="G6826" s="85"/>
    </row>
    <row r="6827">
      <c r="A6827" s="84"/>
      <c r="B6827" s="85"/>
      <c r="C6827" s="85"/>
      <c r="F6827" s="92"/>
      <c r="G6827" s="85"/>
    </row>
    <row r="6828">
      <c r="A6828" s="84"/>
      <c r="B6828" s="85"/>
      <c r="C6828" s="85"/>
      <c r="F6828" s="92"/>
      <c r="G6828" s="85"/>
    </row>
    <row r="6829">
      <c r="A6829" s="84"/>
      <c r="B6829" s="85"/>
      <c r="C6829" s="85"/>
      <c r="F6829" s="92"/>
      <c r="G6829" s="85"/>
    </row>
    <row r="6830">
      <c r="A6830" s="84"/>
      <c r="B6830" s="85"/>
      <c r="C6830" s="85"/>
      <c r="F6830" s="92"/>
      <c r="G6830" s="85"/>
    </row>
    <row r="6831">
      <c r="A6831" s="84"/>
      <c r="B6831" s="85"/>
      <c r="C6831" s="85"/>
      <c r="F6831" s="92"/>
      <c r="G6831" s="85"/>
    </row>
    <row r="6832">
      <c r="A6832" s="84"/>
      <c r="B6832" s="85"/>
      <c r="C6832" s="85"/>
      <c r="F6832" s="92"/>
      <c r="G6832" s="85"/>
    </row>
    <row r="6833">
      <c r="A6833" s="84"/>
      <c r="B6833" s="85"/>
      <c r="C6833" s="85"/>
      <c r="F6833" s="92"/>
      <c r="G6833" s="85"/>
    </row>
    <row r="6834">
      <c r="A6834" s="84"/>
      <c r="B6834" s="85"/>
      <c r="C6834" s="85"/>
      <c r="F6834" s="92"/>
      <c r="G6834" s="85"/>
    </row>
    <row r="6835">
      <c r="A6835" s="84"/>
      <c r="B6835" s="85"/>
      <c r="C6835" s="85"/>
      <c r="F6835" s="92"/>
      <c r="G6835" s="85"/>
    </row>
    <row r="6836">
      <c r="A6836" s="84"/>
      <c r="B6836" s="85"/>
      <c r="C6836" s="85"/>
      <c r="F6836" s="92"/>
      <c r="G6836" s="85"/>
    </row>
    <row r="6837">
      <c r="A6837" s="84"/>
      <c r="B6837" s="85"/>
      <c r="C6837" s="85"/>
      <c r="F6837" s="92"/>
      <c r="G6837" s="85"/>
    </row>
    <row r="6838">
      <c r="A6838" s="84"/>
      <c r="B6838" s="85"/>
      <c r="C6838" s="85"/>
      <c r="F6838" s="92"/>
      <c r="G6838" s="85"/>
    </row>
    <row r="6839">
      <c r="A6839" s="84"/>
      <c r="B6839" s="85"/>
      <c r="C6839" s="85"/>
      <c r="F6839" s="92"/>
      <c r="G6839" s="85"/>
    </row>
    <row r="6840">
      <c r="A6840" s="84"/>
      <c r="B6840" s="85"/>
      <c r="C6840" s="85"/>
      <c r="F6840" s="92"/>
      <c r="G6840" s="85"/>
    </row>
    <row r="6841">
      <c r="A6841" s="84"/>
      <c r="B6841" s="85"/>
      <c r="C6841" s="85"/>
      <c r="F6841" s="92"/>
      <c r="G6841" s="85"/>
    </row>
    <row r="6842">
      <c r="A6842" s="84"/>
      <c r="B6842" s="85"/>
      <c r="C6842" s="85"/>
      <c r="F6842" s="92"/>
      <c r="G6842" s="85"/>
    </row>
    <row r="6843">
      <c r="A6843" s="84"/>
      <c r="B6843" s="85"/>
      <c r="C6843" s="85"/>
      <c r="F6843" s="92"/>
      <c r="G6843" s="85"/>
    </row>
    <row r="6844">
      <c r="A6844" s="84"/>
      <c r="B6844" s="85"/>
      <c r="C6844" s="85"/>
      <c r="F6844" s="92"/>
      <c r="G6844" s="85"/>
    </row>
    <row r="6845">
      <c r="A6845" s="84"/>
      <c r="B6845" s="85"/>
      <c r="C6845" s="85"/>
      <c r="F6845" s="92"/>
      <c r="G6845" s="85"/>
    </row>
    <row r="6846">
      <c r="A6846" s="84"/>
      <c r="B6846" s="85"/>
      <c r="C6846" s="85"/>
      <c r="F6846" s="92"/>
      <c r="G6846" s="85"/>
    </row>
    <row r="6847">
      <c r="A6847" s="84"/>
      <c r="B6847" s="85"/>
      <c r="C6847" s="85"/>
      <c r="F6847" s="92"/>
      <c r="G6847" s="85"/>
    </row>
    <row r="6848">
      <c r="A6848" s="84"/>
      <c r="B6848" s="85"/>
      <c r="C6848" s="85"/>
      <c r="F6848" s="92"/>
      <c r="G6848" s="85"/>
    </row>
    <row r="6849">
      <c r="A6849" s="84"/>
      <c r="B6849" s="85"/>
      <c r="C6849" s="85"/>
      <c r="F6849" s="92"/>
      <c r="G6849" s="85"/>
    </row>
    <row r="6850">
      <c r="A6850" s="84"/>
      <c r="B6850" s="85"/>
      <c r="C6850" s="85"/>
      <c r="F6850" s="92"/>
      <c r="G6850" s="85"/>
    </row>
    <row r="6851">
      <c r="A6851" s="84"/>
      <c r="B6851" s="85"/>
      <c r="C6851" s="85"/>
      <c r="F6851" s="92"/>
      <c r="G6851" s="85"/>
    </row>
    <row r="6852">
      <c r="A6852" s="84"/>
      <c r="B6852" s="85"/>
      <c r="C6852" s="85"/>
      <c r="F6852" s="92"/>
      <c r="G6852" s="85"/>
    </row>
    <row r="6853">
      <c r="A6853" s="84"/>
      <c r="B6853" s="85"/>
      <c r="C6853" s="85"/>
      <c r="F6853" s="92"/>
      <c r="G6853" s="85"/>
    </row>
    <row r="6854">
      <c r="A6854" s="84"/>
      <c r="B6854" s="85"/>
      <c r="C6854" s="85"/>
      <c r="F6854" s="92"/>
      <c r="G6854" s="85"/>
    </row>
    <row r="6855">
      <c r="A6855" s="84"/>
      <c r="B6855" s="85"/>
      <c r="C6855" s="85"/>
      <c r="F6855" s="92"/>
      <c r="G6855" s="85"/>
    </row>
    <row r="6856">
      <c r="A6856" s="84"/>
      <c r="B6856" s="85"/>
      <c r="C6856" s="85"/>
      <c r="F6856" s="92"/>
      <c r="G6856" s="85"/>
    </row>
    <row r="6857">
      <c r="A6857" s="84"/>
      <c r="B6857" s="85"/>
      <c r="C6857" s="85"/>
      <c r="F6857" s="92"/>
      <c r="G6857" s="85"/>
    </row>
    <row r="6858">
      <c r="A6858" s="84"/>
      <c r="B6858" s="85"/>
      <c r="C6858" s="85"/>
      <c r="F6858" s="92"/>
      <c r="G6858" s="85"/>
    </row>
    <row r="6859">
      <c r="A6859" s="84"/>
      <c r="B6859" s="85"/>
      <c r="C6859" s="85"/>
      <c r="F6859" s="92"/>
      <c r="G6859" s="85"/>
    </row>
    <row r="6860">
      <c r="A6860" s="84"/>
      <c r="B6860" s="85"/>
      <c r="C6860" s="85"/>
      <c r="F6860" s="92"/>
      <c r="G6860" s="85"/>
    </row>
    <row r="6861">
      <c r="A6861" s="84"/>
      <c r="B6861" s="85"/>
      <c r="C6861" s="85"/>
      <c r="F6861" s="92"/>
      <c r="G6861" s="85"/>
    </row>
    <row r="6862">
      <c r="A6862" s="84"/>
      <c r="B6862" s="85"/>
      <c r="C6862" s="85"/>
      <c r="F6862" s="92"/>
      <c r="G6862" s="85"/>
    </row>
    <row r="6863">
      <c r="A6863" s="84"/>
      <c r="B6863" s="85"/>
      <c r="C6863" s="85"/>
      <c r="F6863" s="92"/>
      <c r="G6863" s="85"/>
    </row>
    <row r="6864">
      <c r="A6864" s="84"/>
      <c r="B6864" s="85"/>
      <c r="C6864" s="85"/>
      <c r="F6864" s="92"/>
      <c r="G6864" s="85"/>
    </row>
    <row r="6865">
      <c r="A6865" s="84"/>
      <c r="B6865" s="85"/>
      <c r="C6865" s="85"/>
      <c r="F6865" s="92"/>
      <c r="G6865" s="85"/>
    </row>
    <row r="6866">
      <c r="A6866" s="84"/>
      <c r="B6866" s="85"/>
      <c r="C6866" s="85"/>
      <c r="F6866" s="92"/>
      <c r="G6866" s="85"/>
    </row>
    <row r="6867">
      <c r="A6867" s="84"/>
      <c r="B6867" s="85"/>
      <c r="C6867" s="85"/>
      <c r="F6867" s="92"/>
      <c r="G6867" s="85"/>
    </row>
    <row r="6868">
      <c r="A6868" s="84"/>
      <c r="B6868" s="85"/>
      <c r="C6868" s="85"/>
      <c r="F6868" s="92"/>
      <c r="G6868" s="85"/>
    </row>
    <row r="6869">
      <c r="A6869" s="84"/>
      <c r="B6869" s="85"/>
      <c r="C6869" s="85"/>
      <c r="F6869" s="92"/>
      <c r="G6869" s="85"/>
    </row>
    <row r="6870">
      <c r="A6870" s="84"/>
      <c r="B6870" s="85"/>
      <c r="C6870" s="85"/>
      <c r="F6870" s="92"/>
      <c r="G6870" s="85"/>
    </row>
    <row r="6871">
      <c r="A6871" s="84"/>
      <c r="B6871" s="85"/>
      <c r="C6871" s="85"/>
      <c r="F6871" s="92"/>
      <c r="G6871" s="85"/>
    </row>
    <row r="6872">
      <c r="A6872" s="84"/>
      <c r="B6872" s="85"/>
      <c r="C6872" s="85"/>
      <c r="F6872" s="92"/>
      <c r="G6872" s="85"/>
    </row>
    <row r="6873">
      <c r="A6873" s="84"/>
      <c r="B6873" s="85"/>
      <c r="C6873" s="85"/>
      <c r="F6873" s="92"/>
      <c r="G6873" s="85"/>
    </row>
    <row r="6874">
      <c r="A6874" s="84"/>
      <c r="B6874" s="85"/>
      <c r="C6874" s="85"/>
      <c r="F6874" s="92"/>
      <c r="G6874" s="85"/>
    </row>
    <row r="6875">
      <c r="A6875" s="84"/>
      <c r="B6875" s="85"/>
      <c r="C6875" s="85"/>
      <c r="F6875" s="92"/>
      <c r="G6875" s="85"/>
    </row>
    <row r="6876">
      <c r="A6876" s="84"/>
      <c r="B6876" s="85"/>
      <c r="C6876" s="85"/>
      <c r="F6876" s="92"/>
      <c r="G6876" s="85"/>
    </row>
    <row r="6877">
      <c r="A6877" s="84"/>
      <c r="B6877" s="85"/>
      <c r="C6877" s="85"/>
      <c r="F6877" s="92"/>
      <c r="G6877" s="85"/>
    </row>
    <row r="6878">
      <c r="A6878" s="84"/>
      <c r="B6878" s="85"/>
      <c r="C6878" s="85"/>
      <c r="F6878" s="92"/>
      <c r="G6878" s="85"/>
    </row>
    <row r="6879">
      <c r="A6879" s="84"/>
      <c r="B6879" s="85"/>
      <c r="C6879" s="85"/>
      <c r="F6879" s="92"/>
      <c r="G6879" s="85"/>
    </row>
    <row r="6880">
      <c r="A6880" s="84"/>
      <c r="B6880" s="85"/>
      <c r="C6880" s="85"/>
      <c r="F6880" s="92"/>
      <c r="G6880" s="85"/>
    </row>
    <row r="6881">
      <c r="A6881" s="84"/>
      <c r="B6881" s="85"/>
      <c r="C6881" s="85"/>
      <c r="F6881" s="92"/>
      <c r="G6881" s="85"/>
    </row>
    <row r="6882">
      <c r="A6882" s="84"/>
      <c r="B6882" s="85"/>
      <c r="C6882" s="85"/>
      <c r="F6882" s="92"/>
      <c r="G6882" s="85"/>
    </row>
    <row r="6883">
      <c r="A6883" s="84"/>
      <c r="B6883" s="85"/>
      <c r="C6883" s="85"/>
      <c r="F6883" s="92"/>
      <c r="G6883" s="85"/>
    </row>
    <row r="6884">
      <c r="A6884" s="84"/>
      <c r="B6884" s="85"/>
      <c r="C6884" s="85"/>
      <c r="F6884" s="92"/>
      <c r="G6884" s="85"/>
    </row>
    <row r="6885">
      <c r="A6885" s="84"/>
      <c r="B6885" s="85"/>
      <c r="C6885" s="85"/>
      <c r="F6885" s="92"/>
      <c r="G6885" s="85"/>
    </row>
    <row r="6886">
      <c r="A6886" s="84"/>
      <c r="B6886" s="85"/>
      <c r="C6886" s="85"/>
      <c r="F6886" s="92"/>
      <c r="G6886" s="85"/>
    </row>
    <row r="6887">
      <c r="A6887" s="84"/>
      <c r="B6887" s="85"/>
      <c r="C6887" s="85"/>
      <c r="F6887" s="92"/>
      <c r="G6887" s="85"/>
    </row>
    <row r="6888">
      <c r="A6888" s="84"/>
      <c r="B6888" s="85"/>
      <c r="C6888" s="85"/>
      <c r="F6888" s="92"/>
      <c r="G6888" s="85"/>
    </row>
    <row r="6889">
      <c r="A6889" s="84"/>
      <c r="B6889" s="85"/>
      <c r="C6889" s="85"/>
      <c r="F6889" s="92"/>
      <c r="G6889" s="85"/>
    </row>
    <row r="6890">
      <c r="A6890" s="84"/>
      <c r="B6890" s="85"/>
      <c r="C6890" s="85"/>
      <c r="F6890" s="92"/>
      <c r="G6890" s="85"/>
    </row>
    <row r="6891">
      <c r="A6891" s="84"/>
      <c r="B6891" s="85"/>
      <c r="C6891" s="85"/>
      <c r="F6891" s="92"/>
      <c r="G6891" s="85"/>
    </row>
    <row r="6892">
      <c r="A6892" s="84"/>
      <c r="B6892" s="85"/>
      <c r="C6892" s="85"/>
      <c r="F6892" s="92"/>
      <c r="G6892" s="85"/>
    </row>
    <row r="6893">
      <c r="A6893" s="84"/>
      <c r="B6893" s="85"/>
      <c r="C6893" s="85"/>
      <c r="F6893" s="92"/>
      <c r="G6893" s="85"/>
    </row>
    <row r="6894">
      <c r="A6894" s="84"/>
      <c r="B6894" s="85"/>
      <c r="C6894" s="85"/>
      <c r="F6894" s="92"/>
      <c r="G6894" s="85"/>
    </row>
    <row r="6895">
      <c r="A6895" s="84"/>
      <c r="B6895" s="85"/>
      <c r="C6895" s="85"/>
      <c r="F6895" s="92"/>
      <c r="G6895" s="85"/>
    </row>
    <row r="6896">
      <c r="A6896" s="84"/>
      <c r="B6896" s="85"/>
      <c r="C6896" s="85"/>
      <c r="F6896" s="92"/>
      <c r="G6896" s="85"/>
    </row>
    <row r="6897">
      <c r="A6897" s="84"/>
      <c r="B6897" s="85"/>
      <c r="C6897" s="85"/>
      <c r="F6897" s="92"/>
      <c r="G6897" s="85"/>
    </row>
    <row r="6898">
      <c r="A6898" s="84"/>
      <c r="B6898" s="85"/>
      <c r="C6898" s="85"/>
      <c r="F6898" s="92"/>
      <c r="G6898" s="85"/>
    </row>
    <row r="6899">
      <c r="A6899" s="84"/>
      <c r="B6899" s="85"/>
      <c r="C6899" s="85"/>
      <c r="F6899" s="92"/>
      <c r="G6899" s="85"/>
    </row>
    <row r="6900">
      <c r="A6900" s="84"/>
      <c r="B6900" s="85"/>
      <c r="C6900" s="85"/>
      <c r="F6900" s="92"/>
      <c r="G6900" s="85"/>
    </row>
    <row r="6901">
      <c r="A6901" s="84"/>
      <c r="B6901" s="85"/>
      <c r="C6901" s="85"/>
      <c r="F6901" s="92"/>
      <c r="G6901" s="85"/>
    </row>
    <row r="6902">
      <c r="A6902" s="84"/>
      <c r="B6902" s="85"/>
      <c r="C6902" s="85"/>
      <c r="F6902" s="92"/>
      <c r="G6902" s="85"/>
    </row>
    <row r="6903">
      <c r="A6903" s="84"/>
      <c r="B6903" s="85"/>
      <c r="C6903" s="85"/>
      <c r="F6903" s="92"/>
      <c r="G6903" s="85"/>
    </row>
    <row r="6904">
      <c r="A6904" s="84"/>
      <c r="B6904" s="85"/>
      <c r="C6904" s="85"/>
      <c r="F6904" s="92"/>
      <c r="G6904" s="85"/>
    </row>
    <row r="6905">
      <c r="A6905" s="84"/>
      <c r="B6905" s="85"/>
      <c r="C6905" s="85"/>
      <c r="F6905" s="92"/>
      <c r="G6905" s="85"/>
    </row>
    <row r="6906">
      <c r="A6906" s="84"/>
      <c r="B6906" s="85"/>
      <c r="C6906" s="85"/>
      <c r="F6906" s="92"/>
      <c r="G6906" s="85"/>
    </row>
    <row r="6907">
      <c r="A6907" s="84"/>
      <c r="B6907" s="85"/>
      <c r="C6907" s="85"/>
      <c r="F6907" s="92"/>
      <c r="G6907" s="85"/>
    </row>
    <row r="6908">
      <c r="A6908" s="84"/>
      <c r="B6908" s="85"/>
      <c r="C6908" s="85"/>
      <c r="F6908" s="92"/>
      <c r="G6908" s="85"/>
    </row>
    <row r="6909">
      <c r="A6909" s="84"/>
      <c r="B6909" s="85"/>
      <c r="C6909" s="85"/>
      <c r="F6909" s="92"/>
      <c r="G6909" s="85"/>
    </row>
    <row r="6910">
      <c r="A6910" s="84"/>
      <c r="B6910" s="85"/>
      <c r="C6910" s="85"/>
      <c r="F6910" s="92"/>
      <c r="G6910" s="85"/>
    </row>
    <row r="6911">
      <c r="A6911" s="84"/>
      <c r="B6911" s="85"/>
      <c r="C6911" s="85"/>
      <c r="F6911" s="92"/>
      <c r="G6911" s="85"/>
    </row>
    <row r="6912">
      <c r="A6912" s="84"/>
      <c r="B6912" s="85"/>
      <c r="C6912" s="85"/>
      <c r="F6912" s="92"/>
      <c r="G6912" s="85"/>
    </row>
    <row r="6913">
      <c r="A6913" s="84"/>
      <c r="B6913" s="85"/>
      <c r="C6913" s="85"/>
      <c r="F6913" s="92"/>
      <c r="G6913" s="85"/>
    </row>
    <row r="6914">
      <c r="A6914" s="84"/>
      <c r="B6914" s="85"/>
      <c r="C6914" s="85"/>
      <c r="F6914" s="92"/>
      <c r="G6914" s="85"/>
    </row>
    <row r="6915">
      <c r="A6915" s="84"/>
      <c r="B6915" s="85"/>
      <c r="C6915" s="85"/>
      <c r="F6915" s="92"/>
      <c r="G6915" s="85"/>
    </row>
    <row r="6916">
      <c r="A6916" s="84"/>
      <c r="B6916" s="85"/>
      <c r="C6916" s="85"/>
      <c r="F6916" s="92"/>
      <c r="G6916" s="85"/>
    </row>
    <row r="6917">
      <c r="A6917" s="84"/>
      <c r="B6917" s="85"/>
      <c r="C6917" s="85"/>
      <c r="F6917" s="92"/>
      <c r="G6917" s="85"/>
    </row>
    <row r="6918">
      <c r="A6918" s="84"/>
      <c r="B6918" s="85"/>
      <c r="C6918" s="85"/>
      <c r="F6918" s="92"/>
      <c r="G6918" s="85"/>
    </row>
    <row r="6919">
      <c r="A6919" s="84"/>
      <c r="B6919" s="85"/>
      <c r="C6919" s="85"/>
      <c r="F6919" s="92"/>
      <c r="G6919" s="85"/>
    </row>
    <row r="6920">
      <c r="A6920" s="84"/>
      <c r="B6920" s="85"/>
      <c r="C6920" s="85"/>
      <c r="F6920" s="92"/>
      <c r="G6920" s="85"/>
    </row>
    <row r="6921">
      <c r="A6921" s="84"/>
      <c r="B6921" s="85"/>
      <c r="C6921" s="85"/>
      <c r="F6921" s="92"/>
      <c r="G6921" s="85"/>
    </row>
    <row r="6922">
      <c r="A6922" s="84"/>
      <c r="B6922" s="85"/>
      <c r="C6922" s="85"/>
      <c r="F6922" s="92"/>
      <c r="G6922" s="85"/>
    </row>
    <row r="6923">
      <c r="A6923" s="84"/>
      <c r="B6923" s="85"/>
      <c r="C6923" s="85"/>
      <c r="F6923" s="92"/>
      <c r="G6923" s="85"/>
    </row>
    <row r="6924">
      <c r="A6924" s="84"/>
      <c r="B6924" s="85"/>
      <c r="C6924" s="85"/>
      <c r="F6924" s="92"/>
      <c r="G6924" s="85"/>
    </row>
    <row r="6925">
      <c r="A6925" s="84"/>
      <c r="B6925" s="85"/>
      <c r="C6925" s="85"/>
      <c r="F6925" s="92"/>
      <c r="G6925" s="85"/>
    </row>
    <row r="6926">
      <c r="A6926" s="84"/>
      <c r="B6926" s="85"/>
      <c r="C6926" s="85"/>
      <c r="F6926" s="92"/>
      <c r="G6926" s="85"/>
    </row>
    <row r="6927">
      <c r="A6927" s="84"/>
      <c r="B6927" s="85"/>
      <c r="C6927" s="85"/>
      <c r="F6927" s="92"/>
      <c r="G6927" s="85"/>
    </row>
    <row r="6928">
      <c r="A6928" s="84"/>
      <c r="B6928" s="85"/>
      <c r="C6928" s="85"/>
      <c r="F6928" s="92"/>
      <c r="G6928" s="85"/>
    </row>
    <row r="6929">
      <c r="A6929" s="84"/>
      <c r="B6929" s="85"/>
      <c r="C6929" s="85"/>
      <c r="F6929" s="92"/>
      <c r="G6929" s="85"/>
    </row>
    <row r="6930">
      <c r="A6930" s="84"/>
      <c r="B6930" s="85"/>
      <c r="C6930" s="85"/>
      <c r="F6930" s="92"/>
      <c r="G6930" s="85"/>
    </row>
    <row r="6931">
      <c r="A6931" s="84"/>
      <c r="B6931" s="85"/>
      <c r="C6931" s="85"/>
      <c r="F6931" s="92"/>
      <c r="G6931" s="85"/>
    </row>
    <row r="6932">
      <c r="A6932" s="84"/>
      <c r="B6932" s="85"/>
      <c r="C6932" s="85"/>
      <c r="F6932" s="92"/>
      <c r="G6932" s="85"/>
    </row>
    <row r="6933">
      <c r="A6933" s="84"/>
      <c r="B6933" s="85"/>
      <c r="C6933" s="85"/>
      <c r="F6933" s="92"/>
      <c r="G6933" s="85"/>
    </row>
    <row r="6934">
      <c r="A6934" s="84"/>
      <c r="B6934" s="85"/>
      <c r="C6934" s="85"/>
      <c r="F6934" s="92"/>
      <c r="G6934" s="85"/>
    </row>
    <row r="6935">
      <c r="A6935" s="84"/>
      <c r="B6935" s="85"/>
      <c r="C6935" s="85"/>
      <c r="F6935" s="92"/>
      <c r="G6935" s="85"/>
    </row>
    <row r="6936">
      <c r="A6936" s="84"/>
      <c r="B6936" s="85"/>
      <c r="C6936" s="85"/>
      <c r="F6936" s="92"/>
      <c r="G6936" s="85"/>
    </row>
    <row r="6937">
      <c r="A6937" s="84"/>
      <c r="B6937" s="85"/>
      <c r="C6937" s="85"/>
      <c r="F6937" s="92"/>
      <c r="G6937" s="85"/>
    </row>
    <row r="6938">
      <c r="A6938" s="84"/>
      <c r="B6938" s="85"/>
      <c r="C6938" s="85"/>
      <c r="F6938" s="92"/>
      <c r="G6938" s="85"/>
    </row>
    <row r="6939">
      <c r="A6939" s="84"/>
      <c r="B6939" s="85"/>
      <c r="C6939" s="85"/>
      <c r="F6939" s="92"/>
      <c r="G6939" s="85"/>
    </row>
    <row r="6940">
      <c r="A6940" s="84"/>
      <c r="B6940" s="85"/>
      <c r="C6940" s="85"/>
      <c r="F6940" s="92"/>
      <c r="G6940" s="85"/>
    </row>
    <row r="6941">
      <c r="A6941" s="84"/>
      <c r="B6941" s="85"/>
      <c r="C6941" s="85"/>
      <c r="F6941" s="92"/>
      <c r="G6941" s="85"/>
    </row>
    <row r="6942">
      <c r="A6942" s="84"/>
      <c r="B6942" s="85"/>
      <c r="C6942" s="85"/>
      <c r="F6942" s="92"/>
      <c r="G6942" s="85"/>
    </row>
    <row r="6943">
      <c r="A6943" s="84"/>
      <c r="B6943" s="85"/>
      <c r="C6943" s="85"/>
      <c r="F6943" s="92"/>
      <c r="G6943" s="85"/>
    </row>
    <row r="6944">
      <c r="A6944" s="84"/>
      <c r="B6944" s="85"/>
      <c r="C6944" s="85"/>
      <c r="F6944" s="92"/>
      <c r="G6944" s="85"/>
    </row>
    <row r="6945">
      <c r="A6945" s="84"/>
      <c r="B6945" s="85"/>
      <c r="C6945" s="85"/>
      <c r="F6945" s="92"/>
      <c r="G6945" s="85"/>
    </row>
    <row r="6946">
      <c r="A6946" s="84"/>
      <c r="B6946" s="85"/>
      <c r="C6946" s="85"/>
      <c r="F6946" s="92"/>
      <c r="G6946" s="85"/>
    </row>
    <row r="6947">
      <c r="A6947" s="84"/>
      <c r="B6947" s="85"/>
      <c r="C6947" s="85"/>
      <c r="F6947" s="92"/>
      <c r="G6947" s="85"/>
    </row>
    <row r="6948">
      <c r="A6948" s="84"/>
      <c r="B6948" s="85"/>
      <c r="C6948" s="85"/>
      <c r="F6948" s="92"/>
      <c r="G6948" s="85"/>
    </row>
    <row r="6949">
      <c r="A6949" s="84"/>
      <c r="B6949" s="85"/>
      <c r="C6949" s="85"/>
      <c r="F6949" s="92"/>
      <c r="G6949" s="85"/>
    </row>
    <row r="6950">
      <c r="A6950" s="84"/>
      <c r="B6950" s="85"/>
      <c r="C6950" s="85"/>
      <c r="F6950" s="92"/>
      <c r="G6950" s="85"/>
    </row>
    <row r="6951">
      <c r="A6951" s="84"/>
      <c r="B6951" s="85"/>
      <c r="C6951" s="85"/>
      <c r="F6951" s="92"/>
      <c r="G6951" s="85"/>
    </row>
    <row r="6952">
      <c r="A6952" s="84"/>
      <c r="B6952" s="85"/>
      <c r="C6952" s="85"/>
      <c r="F6952" s="92"/>
      <c r="G6952" s="85"/>
    </row>
    <row r="6953">
      <c r="A6953" s="84"/>
      <c r="B6953" s="85"/>
      <c r="C6953" s="85"/>
      <c r="F6953" s="92"/>
      <c r="G6953" s="85"/>
    </row>
    <row r="6954">
      <c r="A6954" s="84"/>
      <c r="B6954" s="85"/>
      <c r="C6954" s="85"/>
      <c r="F6954" s="92"/>
      <c r="G6954" s="85"/>
    </row>
    <row r="6955">
      <c r="A6955" s="84"/>
      <c r="B6955" s="85"/>
      <c r="C6955" s="85"/>
      <c r="F6955" s="92"/>
      <c r="G6955" s="85"/>
    </row>
    <row r="6956">
      <c r="A6956" s="84"/>
      <c r="B6956" s="85"/>
      <c r="C6956" s="85"/>
      <c r="F6956" s="92"/>
      <c r="G6956" s="85"/>
    </row>
    <row r="6957">
      <c r="A6957" s="84"/>
      <c r="B6957" s="85"/>
      <c r="C6957" s="85"/>
      <c r="F6957" s="92"/>
      <c r="G6957" s="85"/>
    </row>
    <row r="6958">
      <c r="A6958" s="84"/>
      <c r="B6958" s="85"/>
      <c r="C6958" s="85"/>
      <c r="F6958" s="92"/>
      <c r="G6958" s="85"/>
    </row>
    <row r="6959">
      <c r="A6959" s="84"/>
      <c r="B6959" s="85"/>
      <c r="C6959" s="85"/>
      <c r="F6959" s="92"/>
      <c r="G6959" s="85"/>
    </row>
    <row r="6960">
      <c r="A6960" s="84"/>
      <c r="B6960" s="85"/>
      <c r="C6960" s="85"/>
      <c r="F6960" s="92"/>
      <c r="G6960" s="85"/>
    </row>
    <row r="6961">
      <c r="A6961" s="84"/>
      <c r="B6961" s="85"/>
      <c r="C6961" s="85"/>
      <c r="F6961" s="92"/>
      <c r="G6961" s="85"/>
    </row>
    <row r="6962">
      <c r="A6962" s="84"/>
      <c r="B6962" s="85"/>
      <c r="C6962" s="85"/>
      <c r="F6962" s="92"/>
      <c r="G6962" s="85"/>
    </row>
    <row r="6963">
      <c r="A6963" s="84"/>
      <c r="B6963" s="85"/>
      <c r="C6963" s="85"/>
      <c r="F6963" s="92"/>
      <c r="G6963" s="85"/>
    </row>
    <row r="6964">
      <c r="A6964" s="84"/>
      <c r="B6964" s="85"/>
      <c r="C6964" s="85"/>
      <c r="F6964" s="92"/>
      <c r="G6964" s="85"/>
    </row>
    <row r="6965">
      <c r="A6965" s="84"/>
      <c r="B6965" s="85"/>
      <c r="C6965" s="85"/>
      <c r="F6965" s="92"/>
      <c r="G6965" s="85"/>
    </row>
    <row r="6966">
      <c r="A6966" s="84"/>
      <c r="B6966" s="85"/>
      <c r="C6966" s="85"/>
      <c r="F6966" s="92"/>
      <c r="G6966" s="85"/>
    </row>
    <row r="6967">
      <c r="A6967" s="84"/>
      <c r="B6967" s="85"/>
      <c r="C6967" s="85"/>
      <c r="F6967" s="92"/>
      <c r="G6967" s="85"/>
    </row>
    <row r="6968">
      <c r="A6968" s="84"/>
      <c r="B6968" s="85"/>
      <c r="C6968" s="85"/>
      <c r="F6968" s="92"/>
      <c r="G6968" s="85"/>
    </row>
    <row r="6969">
      <c r="A6969" s="84"/>
      <c r="B6969" s="85"/>
      <c r="C6969" s="85"/>
      <c r="F6969" s="92"/>
      <c r="G6969" s="85"/>
    </row>
    <row r="6970">
      <c r="A6970" s="84"/>
      <c r="B6970" s="85"/>
      <c r="C6970" s="85"/>
      <c r="F6970" s="92"/>
      <c r="G6970" s="85"/>
    </row>
    <row r="6971">
      <c r="A6971" s="84"/>
      <c r="B6971" s="85"/>
      <c r="C6971" s="85"/>
      <c r="F6971" s="92"/>
      <c r="G6971" s="85"/>
    </row>
    <row r="6972">
      <c r="A6972" s="84"/>
      <c r="B6972" s="85"/>
      <c r="C6972" s="85"/>
      <c r="F6972" s="92"/>
      <c r="G6972" s="85"/>
    </row>
    <row r="6973">
      <c r="A6973" s="84"/>
      <c r="B6973" s="85"/>
      <c r="C6973" s="85"/>
      <c r="F6973" s="92"/>
      <c r="G6973" s="85"/>
    </row>
    <row r="6974">
      <c r="A6974" s="84"/>
      <c r="B6974" s="85"/>
      <c r="C6974" s="85"/>
      <c r="F6974" s="92"/>
      <c r="G6974" s="85"/>
    </row>
    <row r="6975">
      <c r="A6975" s="84"/>
      <c r="B6975" s="85"/>
      <c r="C6975" s="85"/>
      <c r="F6975" s="92"/>
      <c r="G6975" s="85"/>
    </row>
    <row r="6976">
      <c r="A6976" s="84"/>
      <c r="B6976" s="85"/>
      <c r="C6976" s="85"/>
      <c r="F6976" s="92"/>
      <c r="G6976" s="85"/>
    </row>
    <row r="6977">
      <c r="A6977" s="84"/>
      <c r="B6977" s="85"/>
      <c r="C6977" s="85"/>
      <c r="F6977" s="92"/>
      <c r="G6977" s="85"/>
    </row>
    <row r="6978">
      <c r="A6978" s="84"/>
      <c r="B6978" s="85"/>
      <c r="C6978" s="85"/>
      <c r="F6978" s="92"/>
      <c r="G6978" s="85"/>
    </row>
    <row r="6979">
      <c r="A6979" s="84"/>
      <c r="B6979" s="85"/>
      <c r="C6979" s="85"/>
      <c r="F6979" s="92"/>
      <c r="G6979" s="85"/>
    </row>
    <row r="6980">
      <c r="A6980" s="84"/>
      <c r="B6980" s="85"/>
      <c r="C6980" s="85"/>
      <c r="F6980" s="92"/>
      <c r="G6980" s="85"/>
    </row>
    <row r="6981">
      <c r="A6981" s="84"/>
      <c r="B6981" s="85"/>
      <c r="C6981" s="85"/>
      <c r="F6981" s="92"/>
      <c r="G6981" s="85"/>
    </row>
    <row r="6982">
      <c r="A6982" s="84"/>
      <c r="B6982" s="85"/>
      <c r="C6982" s="85"/>
      <c r="F6982" s="92"/>
      <c r="G6982" s="85"/>
    </row>
    <row r="6983">
      <c r="A6983" s="84"/>
      <c r="B6983" s="85"/>
      <c r="C6983" s="85"/>
      <c r="F6983" s="92"/>
      <c r="G6983" s="85"/>
    </row>
    <row r="6984">
      <c r="A6984" s="84"/>
      <c r="B6984" s="85"/>
      <c r="C6984" s="85"/>
      <c r="F6984" s="92"/>
      <c r="G6984" s="85"/>
    </row>
    <row r="6985">
      <c r="A6985" s="84"/>
      <c r="B6985" s="85"/>
      <c r="C6985" s="85"/>
      <c r="F6985" s="92"/>
      <c r="G6985" s="85"/>
    </row>
    <row r="6986">
      <c r="A6986" s="84"/>
      <c r="B6986" s="85"/>
      <c r="C6986" s="85"/>
      <c r="F6986" s="92"/>
      <c r="G6986" s="85"/>
    </row>
    <row r="6987">
      <c r="A6987" s="84"/>
      <c r="B6987" s="85"/>
      <c r="C6987" s="85"/>
      <c r="F6987" s="92"/>
      <c r="G6987" s="85"/>
    </row>
    <row r="6988">
      <c r="A6988" s="84"/>
      <c r="B6988" s="85"/>
      <c r="C6988" s="85"/>
      <c r="F6988" s="92"/>
      <c r="G6988" s="85"/>
    </row>
    <row r="6989">
      <c r="A6989" s="84"/>
      <c r="B6989" s="85"/>
      <c r="C6989" s="85"/>
      <c r="F6989" s="92"/>
      <c r="G6989" s="85"/>
    </row>
    <row r="6990">
      <c r="A6990" s="84"/>
      <c r="B6990" s="85"/>
      <c r="C6990" s="85"/>
      <c r="F6990" s="92"/>
      <c r="G6990" s="85"/>
    </row>
    <row r="6991">
      <c r="A6991" s="84"/>
      <c r="B6991" s="85"/>
      <c r="C6991" s="85"/>
      <c r="F6991" s="92"/>
      <c r="G6991" s="85"/>
    </row>
    <row r="6992">
      <c r="A6992" s="84"/>
      <c r="B6992" s="85"/>
      <c r="C6992" s="85"/>
      <c r="F6992" s="92"/>
      <c r="G6992" s="85"/>
    </row>
    <row r="6993">
      <c r="A6993" s="84"/>
      <c r="B6993" s="85"/>
      <c r="C6993" s="85"/>
      <c r="F6993" s="92"/>
      <c r="G6993" s="85"/>
    </row>
    <row r="6994">
      <c r="A6994" s="84"/>
      <c r="B6994" s="85"/>
      <c r="C6994" s="85"/>
      <c r="F6994" s="92"/>
      <c r="G6994" s="85"/>
    </row>
    <row r="6995">
      <c r="A6995" s="84"/>
      <c r="B6995" s="85"/>
      <c r="C6995" s="85"/>
      <c r="F6995" s="92"/>
      <c r="G6995" s="85"/>
    </row>
    <row r="6996">
      <c r="A6996" s="84"/>
      <c r="B6996" s="85"/>
      <c r="C6996" s="85"/>
      <c r="F6996" s="92"/>
      <c r="G6996" s="85"/>
    </row>
    <row r="6997">
      <c r="A6997" s="84"/>
      <c r="B6997" s="85"/>
      <c r="C6997" s="85"/>
      <c r="F6997" s="92"/>
      <c r="G6997" s="85"/>
    </row>
    <row r="6998">
      <c r="A6998" s="84"/>
      <c r="B6998" s="85"/>
      <c r="C6998" s="85"/>
      <c r="F6998" s="92"/>
      <c r="G6998" s="85"/>
    </row>
    <row r="6999">
      <c r="A6999" s="84"/>
      <c r="B6999" s="85"/>
      <c r="C6999" s="85"/>
      <c r="F6999" s="92"/>
      <c r="G6999" s="85"/>
    </row>
    <row r="7000">
      <c r="A7000" s="84"/>
      <c r="B7000" s="85"/>
      <c r="C7000" s="85"/>
      <c r="F7000" s="92"/>
      <c r="G7000" s="85"/>
    </row>
    <row r="7001">
      <c r="A7001" s="84"/>
      <c r="B7001" s="85"/>
      <c r="C7001" s="85"/>
      <c r="F7001" s="92"/>
      <c r="G7001" s="85"/>
    </row>
    <row r="7002">
      <c r="A7002" s="84"/>
      <c r="B7002" s="85"/>
      <c r="C7002" s="85"/>
      <c r="F7002" s="92"/>
      <c r="G7002" s="85"/>
    </row>
    <row r="7003">
      <c r="A7003" s="84"/>
      <c r="B7003" s="85"/>
      <c r="C7003" s="85"/>
      <c r="F7003" s="92"/>
      <c r="G7003" s="85"/>
    </row>
    <row r="7004">
      <c r="A7004" s="84"/>
      <c r="B7004" s="85"/>
      <c r="C7004" s="85"/>
      <c r="F7004" s="92"/>
      <c r="G7004" s="85"/>
    </row>
    <row r="7005">
      <c r="A7005" s="84"/>
      <c r="B7005" s="85"/>
      <c r="C7005" s="85"/>
      <c r="F7005" s="92"/>
      <c r="G7005" s="85"/>
    </row>
    <row r="7006">
      <c r="A7006" s="84"/>
      <c r="B7006" s="85"/>
      <c r="C7006" s="85"/>
      <c r="F7006" s="92"/>
      <c r="G7006" s="85"/>
    </row>
    <row r="7007">
      <c r="A7007" s="84"/>
      <c r="B7007" s="85"/>
      <c r="C7007" s="85"/>
      <c r="F7007" s="92"/>
      <c r="G7007" s="85"/>
    </row>
    <row r="7008">
      <c r="A7008" s="84"/>
      <c r="B7008" s="85"/>
      <c r="C7008" s="85"/>
      <c r="F7008" s="92"/>
      <c r="G7008" s="85"/>
    </row>
    <row r="7009">
      <c r="A7009" s="84"/>
      <c r="B7009" s="85"/>
      <c r="C7009" s="85"/>
      <c r="F7009" s="92"/>
      <c r="G7009" s="85"/>
    </row>
    <row r="7010">
      <c r="A7010" s="84"/>
      <c r="B7010" s="85"/>
      <c r="C7010" s="85"/>
      <c r="F7010" s="92"/>
      <c r="G7010" s="85"/>
    </row>
    <row r="7011">
      <c r="A7011" s="84"/>
      <c r="B7011" s="85"/>
      <c r="C7011" s="85"/>
      <c r="F7011" s="92"/>
      <c r="G7011" s="85"/>
    </row>
    <row r="7012">
      <c r="A7012" s="84"/>
      <c r="B7012" s="85"/>
      <c r="C7012" s="85"/>
      <c r="F7012" s="92"/>
      <c r="G7012" s="85"/>
    </row>
    <row r="7013">
      <c r="A7013" s="84"/>
      <c r="B7013" s="85"/>
      <c r="C7013" s="85"/>
      <c r="F7013" s="92"/>
      <c r="G7013" s="85"/>
    </row>
    <row r="7014">
      <c r="A7014" s="84"/>
      <c r="B7014" s="85"/>
      <c r="C7014" s="85"/>
      <c r="F7014" s="92"/>
      <c r="G7014" s="85"/>
    </row>
    <row r="7015">
      <c r="A7015" s="84"/>
      <c r="B7015" s="85"/>
      <c r="C7015" s="85"/>
      <c r="F7015" s="92"/>
      <c r="G7015" s="85"/>
    </row>
    <row r="7016">
      <c r="A7016" s="84"/>
      <c r="B7016" s="85"/>
      <c r="C7016" s="85"/>
      <c r="F7016" s="92"/>
      <c r="G7016" s="85"/>
    </row>
    <row r="7017">
      <c r="A7017" s="84"/>
      <c r="B7017" s="85"/>
      <c r="C7017" s="85"/>
      <c r="F7017" s="92"/>
      <c r="G7017" s="85"/>
    </row>
    <row r="7018">
      <c r="A7018" s="84"/>
      <c r="B7018" s="85"/>
      <c r="C7018" s="85"/>
      <c r="F7018" s="92"/>
      <c r="G7018" s="85"/>
    </row>
    <row r="7019">
      <c r="A7019" s="84"/>
      <c r="B7019" s="85"/>
      <c r="C7019" s="85"/>
      <c r="F7019" s="92"/>
      <c r="G7019" s="85"/>
    </row>
    <row r="7020">
      <c r="A7020" s="84"/>
      <c r="B7020" s="85"/>
      <c r="C7020" s="85"/>
      <c r="F7020" s="92"/>
      <c r="G7020" s="85"/>
    </row>
    <row r="7021">
      <c r="A7021" s="84"/>
      <c r="B7021" s="85"/>
      <c r="C7021" s="85"/>
      <c r="F7021" s="92"/>
      <c r="G7021" s="85"/>
    </row>
    <row r="7022">
      <c r="A7022" s="84"/>
      <c r="B7022" s="85"/>
      <c r="C7022" s="85"/>
      <c r="F7022" s="92"/>
      <c r="G7022" s="85"/>
    </row>
    <row r="7023">
      <c r="A7023" s="84"/>
      <c r="B7023" s="85"/>
      <c r="C7023" s="85"/>
      <c r="F7023" s="92"/>
      <c r="G7023" s="85"/>
    </row>
    <row r="7024">
      <c r="A7024" s="84"/>
      <c r="B7024" s="85"/>
      <c r="C7024" s="85"/>
      <c r="F7024" s="92"/>
      <c r="G7024" s="85"/>
    </row>
    <row r="7025">
      <c r="A7025" s="84"/>
      <c r="B7025" s="85"/>
      <c r="C7025" s="85"/>
      <c r="F7025" s="92"/>
      <c r="G7025" s="85"/>
    </row>
    <row r="7026">
      <c r="A7026" s="84"/>
      <c r="B7026" s="85"/>
      <c r="C7026" s="85"/>
      <c r="F7026" s="92"/>
      <c r="G7026" s="85"/>
    </row>
    <row r="7027">
      <c r="A7027" s="84"/>
      <c r="B7027" s="85"/>
      <c r="C7027" s="85"/>
      <c r="F7027" s="92"/>
      <c r="G7027" s="85"/>
    </row>
    <row r="7028">
      <c r="A7028" s="84"/>
      <c r="B7028" s="85"/>
      <c r="C7028" s="85"/>
      <c r="F7028" s="92"/>
      <c r="G7028" s="85"/>
    </row>
    <row r="7029">
      <c r="A7029" s="84"/>
      <c r="B7029" s="85"/>
      <c r="C7029" s="85"/>
      <c r="F7029" s="92"/>
      <c r="G7029" s="85"/>
    </row>
    <row r="7030">
      <c r="A7030" s="84"/>
      <c r="B7030" s="85"/>
      <c r="C7030" s="85"/>
      <c r="F7030" s="92"/>
      <c r="G7030" s="85"/>
    </row>
    <row r="7031">
      <c r="A7031" s="84"/>
      <c r="B7031" s="85"/>
      <c r="C7031" s="85"/>
      <c r="F7031" s="92"/>
      <c r="G7031" s="85"/>
    </row>
    <row r="7032">
      <c r="A7032" s="84"/>
      <c r="B7032" s="85"/>
      <c r="C7032" s="85"/>
      <c r="F7032" s="92"/>
      <c r="G7032" s="85"/>
    </row>
    <row r="7033">
      <c r="A7033" s="84"/>
      <c r="B7033" s="85"/>
      <c r="C7033" s="85"/>
      <c r="F7033" s="92"/>
      <c r="G7033" s="85"/>
    </row>
    <row r="7034">
      <c r="A7034" s="84"/>
      <c r="B7034" s="85"/>
      <c r="C7034" s="85"/>
      <c r="F7034" s="92"/>
      <c r="G7034" s="85"/>
    </row>
    <row r="7035">
      <c r="A7035" s="84"/>
      <c r="B7035" s="85"/>
      <c r="C7035" s="85"/>
      <c r="F7035" s="92"/>
      <c r="G7035" s="85"/>
    </row>
    <row r="7036">
      <c r="A7036" s="84"/>
      <c r="B7036" s="85"/>
      <c r="C7036" s="85"/>
      <c r="F7036" s="92"/>
      <c r="G7036" s="85"/>
    </row>
    <row r="7037">
      <c r="A7037" s="84"/>
      <c r="B7037" s="85"/>
      <c r="C7037" s="85"/>
      <c r="F7037" s="92"/>
      <c r="G7037" s="85"/>
    </row>
    <row r="7038">
      <c r="A7038" s="84"/>
      <c r="B7038" s="85"/>
      <c r="C7038" s="85"/>
      <c r="F7038" s="92"/>
      <c r="G7038" s="85"/>
    </row>
    <row r="7039">
      <c r="A7039" s="84"/>
      <c r="B7039" s="85"/>
      <c r="C7039" s="85"/>
      <c r="F7039" s="92"/>
      <c r="G7039" s="85"/>
    </row>
    <row r="7040">
      <c r="A7040" s="84"/>
      <c r="B7040" s="85"/>
      <c r="C7040" s="85"/>
      <c r="F7040" s="92"/>
      <c r="G7040" s="85"/>
    </row>
    <row r="7041">
      <c r="A7041" s="84"/>
      <c r="B7041" s="85"/>
      <c r="C7041" s="85"/>
      <c r="F7041" s="92"/>
      <c r="G7041" s="85"/>
    </row>
    <row r="7042">
      <c r="A7042" s="84"/>
      <c r="B7042" s="85"/>
      <c r="C7042" s="85"/>
      <c r="F7042" s="92"/>
      <c r="G7042" s="85"/>
    </row>
    <row r="7043">
      <c r="A7043" s="84"/>
      <c r="B7043" s="85"/>
      <c r="C7043" s="85"/>
      <c r="F7043" s="92"/>
      <c r="G7043" s="85"/>
    </row>
    <row r="7044">
      <c r="A7044" s="84"/>
      <c r="B7044" s="85"/>
      <c r="C7044" s="85"/>
      <c r="F7044" s="92"/>
      <c r="G7044" s="85"/>
    </row>
    <row r="7045">
      <c r="A7045" s="84"/>
      <c r="B7045" s="85"/>
      <c r="C7045" s="85"/>
      <c r="F7045" s="92"/>
      <c r="G7045" s="85"/>
    </row>
    <row r="7046">
      <c r="A7046" s="84"/>
      <c r="B7046" s="85"/>
      <c r="C7046" s="85"/>
      <c r="F7046" s="92"/>
      <c r="G7046" s="85"/>
    </row>
    <row r="7047">
      <c r="A7047" s="84"/>
      <c r="B7047" s="85"/>
      <c r="C7047" s="85"/>
      <c r="F7047" s="92"/>
      <c r="G7047" s="85"/>
    </row>
    <row r="7048">
      <c r="A7048" s="84"/>
      <c r="B7048" s="85"/>
      <c r="C7048" s="85"/>
      <c r="F7048" s="92"/>
      <c r="G7048" s="85"/>
    </row>
    <row r="7049">
      <c r="A7049" s="84"/>
      <c r="B7049" s="85"/>
      <c r="C7049" s="85"/>
      <c r="F7049" s="92"/>
      <c r="G7049" s="85"/>
    </row>
    <row r="7050">
      <c r="A7050" s="84"/>
      <c r="B7050" s="85"/>
      <c r="C7050" s="85"/>
      <c r="F7050" s="92"/>
      <c r="G7050" s="85"/>
    </row>
    <row r="7051">
      <c r="A7051" s="84"/>
      <c r="B7051" s="85"/>
      <c r="C7051" s="85"/>
      <c r="F7051" s="92"/>
      <c r="G7051" s="85"/>
    </row>
    <row r="7052">
      <c r="A7052" s="84"/>
      <c r="B7052" s="85"/>
      <c r="C7052" s="85"/>
      <c r="F7052" s="92"/>
      <c r="G7052" s="85"/>
    </row>
    <row r="7053">
      <c r="A7053" s="84"/>
      <c r="B7053" s="85"/>
      <c r="C7053" s="85"/>
      <c r="F7053" s="92"/>
      <c r="G7053" s="85"/>
    </row>
    <row r="7054">
      <c r="A7054" s="84"/>
      <c r="B7054" s="85"/>
      <c r="C7054" s="85"/>
      <c r="F7054" s="92"/>
      <c r="G7054" s="85"/>
    </row>
    <row r="7055">
      <c r="A7055" s="84"/>
      <c r="B7055" s="85"/>
      <c r="C7055" s="85"/>
      <c r="F7055" s="92"/>
      <c r="G7055" s="85"/>
    </row>
    <row r="7056">
      <c r="A7056" s="84"/>
      <c r="B7056" s="85"/>
      <c r="C7056" s="85"/>
      <c r="F7056" s="92"/>
      <c r="G7056" s="85"/>
    </row>
    <row r="7057">
      <c r="A7057" s="84"/>
      <c r="B7057" s="85"/>
      <c r="C7057" s="85"/>
      <c r="F7057" s="92"/>
      <c r="G7057" s="85"/>
    </row>
    <row r="7058">
      <c r="A7058" s="84"/>
      <c r="B7058" s="85"/>
      <c r="C7058" s="85"/>
      <c r="F7058" s="92"/>
      <c r="G7058" s="85"/>
    </row>
    <row r="7059">
      <c r="A7059" s="84"/>
      <c r="B7059" s="85"/>
      <c r="C7059" s="85"/>
      <c r="F7059" s="92"/>
      <c r="G7059" s="85"/>
    </row>
    <row r="7060">
      <c r="A7060" s="84"/>
      <c r="B7060" s="85"/>
      <c r="C7060" s="85"/>
      <c r="F7060" s="92"/>
      <c r="G7060" s="85"/>
    </row>
    <row r="7061">
      <c r="A7061" s="84"/>
      <c r="B7061" s="85"/>
      <c r="C7061" s="85"/>
      <c r="F7061" s="92"/>
      <c r="G7061" s="85"/>
    </row>
    <row r="7062">
      <c r="A7062" s="84"/>
      <c r="B7062" s="85"/>
      <c r="C7062" s="85"/>
      <c r="F7062" s="92"/>
      <c r="G7062" s="85"/>
    </row>
    <row r="7063">
      <c r="A7063" s="84"/>
      <c r="B7063" s="85"/>
      <c r="C7063" s="85"/>
      <c r="F7063" s="92"/>
      <c r="G7063" s="85"/>
    </row>
    <row r="7064">
      <c r="A7064" s="84"/>
      <c r="B7064" s="85"/>
      <c r="C7064" s="85"/>
      <c r="F7064" s="92"/>
      <c r="G7064" s="85"/>
    </row>
    <row r="7065">
      <c r="A7065" s="84"/>
      <c r="B7065" s="85"/>
      <c r="C7065" s="85"/>
      <c r="F7065" s="92"/>
      <c r="G7065" s="85"/>
    </row>
    <row r="7066">
      <c r="A7066" s="84"/>
      <c r="B7066" s="85"/>
      <c r="C7066" s="85"/>
      <c r="F7066" s="92"/>
      <c r="G7066" s="85"/>
    </row>
    <row r="7067">
      <c r="A7067" s="84"/>
      <c r="B7067" s="85"/>
      <c r="C7067" s="85"/>
      <c r="F7067" s="92"/>
      <c r="G7067" s="85"/>
    </row>
    <row r="7068">
      <c r="A7068" s="84"/>
      <c r="B7068" s="85"/>
      <c r="C7068" s="85"/>
      <c r="F7068" s="92"/>
      <c r="G7068" s="85"/>
    </row>
    <row r="7069">
      <c r="A7069" s="84"/>
      <c r="B7069" s="85"/>
      <c r="C7069" s="85"/>
      <c r="F7069" s="92"/>
      <c r="G7069" s="85"/>
    </row>
    <row r="7070">
      <c r="A7070" s="84"/>
      <c r="B7070" s="85"/>
      <c r="C7070" s="85"/>
      <c r="F7070" s="92"/>
      <c r="G7070" s="85"/>
    </row>
    <row r="7071">
      <c r="A7071" s="84"/>
      <c r="B7071" s="85"/>
      <c r="C7071" s="85"/>
      <c r="F7071" s="92"/>
      <c r="G7071" s="85"/>
    </row>
    <row r="7072">
      <c r="A7072" s="84"/>
      <c r="B7072" s="85"/>
      <c r="C7072" s="85"/>
      <c r="F7072" s="92"/>
      <c r="G7072" s="85"/>
    </row>
    <row r="7073">
      <c r="A7073" s="84"/>
      <c r="B7073" s="85"/>
      <c r="C7073" s="85"/>
      <c r="F7073" s="92"/>
      <c r="G7073" s="85"/>
    </row>
    <row r="7074">
      <c r="A7074" s="84"/>
      <c r="B7074" s="85"/>
      <c r="C7074" s="85"/>
      <c r="F7074" s="92"/>
      <c r="G7074" s="85"/>
    </row>
    <row r="7075">
      <c r="A7075" s="84"/>
      <c r="B7075" s="85"/>
      <c r="C7075" s="85"/>
      <c r="F7075" s="92"/>
      <c r="G7075" s="85"/>
    </row>
    <row r="7076">
      <c r="A7076" s="84"/>
      <c r="B7076" s="85"/>
      <c r="C7076" s="85"/>
      <c r="F7076" s="92"/>
      <c r="G7076" s="85"/>
    </row>
    <row r="7077">
      <c r="A7077" s="84"/>
      <c r="B7077" s="85"/>
      <c r="C7077" s="85"/>
      <c r="F7077" s="92"/>
      <c r="G7077" s="85"/>
    </row>
    <row r="7078">
      <c r="A7078" s="84"/>
      <c r="B7078" s="85"/>
      <c r="C7078" s="85"/>
      <c r="F7078" s="92"/>
      <c r="G7078" s="85"/>
    </row>
    <row r="7079">
      <c r="A7079" s="84"/>
      <c r="B7079" s="85"/>
      <c r="C7079" s="85"/>
      <c r="F7079" s="92"/>
      <c r="G7079" s="85"/>
    </row>
    <row r="7080">
      <c r="A7080" s="84"/>
      <c r="B7080" s="85"/>
      <c r="C7080" s="85"/>
      <c r="F7080" s="92"/>
      <c r="G7080" s="85"/>
    </row>
    <row r="7081">
      <c r="A7081" s="84"/>
      <c r="B7081" s="85"/>
      <c r="C7081" s="85"/>
      <c r="F7081" s="92"/>
      <c r="G7081" s="85"/>
    </row>
    <row r="7082">
      <c r="A7082" s="84"/>
      <c r="B7082" s="85"/>
      <c r="C7082" s="85"/>
      <c r="F7082" s="92"/>
      <c r="G7082" s="85"/>
    </row>
    <row r="7083">
      <c r="A7083" s="84"/>
      <c r="B7083" s="85"/>
      <c r="C7083" s="85"/>
      <c r="F7083" s="92"/>
      <c r="G7083" s="85"/>
    </row>
    <row r="7084">
      <c r="A7084" s="84"/>
      <c r="B7084" s="85"/>
      <c r="C7084" s="85"/>
      <c r="F7084" s="92"/>
      <c r="G7084" s="85"/>
    </row>
    <row r="7085">
      <c r="A7085" s="84"/>
      <c r="B7085" s="85"/>
      <c r="C7085" s="85"/>
      <c r="F7085" s="92"/>
      <c r="G7085" s="85"/>
    </row>
    <row r="7086">
      <c r="A7086" s="84"/>
      <c r="B7086" s="85"/>
      <c r="C7086" s="85"/>
      <c r="F7086" s="92"/>
      <c r="G7086" s="85"/>
    </row>
    <row r="7087">
      <c r="A7087" s="84"/>
      <c r="B7087" s="85"/>
      <c r="C7087" s="85"/>
      <c r="F7087" s="92"/>
      <c r="G7087" s="85"/>
    </row>
    <row r="7088">
      <c r="A7088" s="84"/>
      <c r="B7088" s="85"/>
      <c r="C7088" s="85"/>
      <c r="F7088" s="92"/>
      <c r="G7088" s="85"/>
    </row>
    <row r="7089">
      <c r="A7089" s="84"/>
      <c r="B7089" s="85"/>
      <c r="C7089" s="85"/>
      <c r="F7089" s="92"/>
      <c r="G7089" s="85"/>
    </row>
    <row r="7090">
      <c r="A7090" s="84"/>
      <c r="B7090" s="85"/>
      <c r="C7090" s="85"/>
      <c r="F7090" s="92"/>
      <c r="G7090" s="85"/>
    </row>
    <row r="7091">
      <c r="A7091" s="84"/>
      <c r="B7091" s="85"/>
      <c r="C7091" s="85"/>
      <c r="F7091" s="92"/>
      <c r="G7091" s="85"/>
    </row>
    <row r="7092">
      <c r="A7092" s="84"/>
      <c r="B7092" s="85"/>
      <c r="C7092" s="85"/>
      <c r="F7092" s="92"/>
      <c r="G7092" s="85"/>
    </row>
    <row r="7093">
      <c r="A7093" s="84"/>
      <c r="B7093" s="85"/>
      <c r="C7093" s="85"/>
      <c r="F7093" s="92"/>
      <c r="G7093" s="85"/>
    </row>
    <row r="7094">
      <c r="A7094" s="84"/>
      <c r="B7094" s="85"/>
      <c r="C7094" s="85"/>
      <c r="F7094" s="92"/>
      <c r="G7094" s="85"/>
    </row>
    <row r="7095">
      <c r="A7095" s="84"/>
      <c r="B7095" s="85"/>
      <c r="C7095" s="85"/>
      <c r="F7095" s="92"/>
      <c r="G7095" s="85"/>
    </row>
    <row r="7096">
      <c r="A7096" s="84"/>
      <c r="B7096" s="85"/>
      <c r="C7096" s="85"/>
      <c r="F7096" s="92"/>
      <c r="G7096" s="85"/>
    </row>
    <row r="7097">
      <c r="A7097" s="84"/>
      <c r="B7097" s="85"/>
      <c r="C7097" s="85"/>
      <c r="F7097" s="92"/>
      <c r="G7097" s="85"/>
    </row>
    <row r="7098">
      <c r="A7098" s="84"/>
      <c r="B7098" s="85"/>
      <c r="C7098" s="85"/>
      <c r="F7098" s="92"/>
      <c r="G7098" s="85"/>
    </row>
    <row r="7099">
      <c r="A7099" s="84"/>
      <c r="B7099" s="85"/>
      <c r="C7099" s="85"/>
      <c r="F7099" s="92"/>
      <c r="G7099" s="85"/>
    </row>
    <row r="7100">
      <c r="A7100" s="84"/>
      <c r="B7100" s="85"/>
      <c r="C7100" s="85"/>
      <c r="F7100" s="92"/>
      <c r="G7100" s="85"/>
    </row>
    <row r="7101">
      <c r="A7101" s="84"/>
      <c r="B7101" s="85"/>
      <c r="C7101" s="85"/>
      <c r="F7101" s="92"/>
      <c r="G7101" s="85"/>
    </row>
    <row r="7102">
      <c r="A7102" s="84"/>
      <c r="B7102" s="85"/>
      <c r="C7102" s="85"/>
      <c r="F7102" s="92"/>
      <c r="G7102" s="85"/>
    </row>
    <row r="7103">
      <c r="A7103" s="84"/>
      <c r="B7103" s="85"/>
      <c r="C7103" s="85"/>
      <c r="F7103" s="92"/>
      <c r="G7103" s="85"/>
    </row>
    <row r="7104">
      <c r="A7104" s="84"/>
      <c r="B7104" s="85"/>
      <c r="C7104" s="85"/>
      <c r="F7104" s="92"/>
      <c r="G7104" s="85"/>
    </row>
    <row r="7105">
      <c r="A7105" s="84"/>
      <c r="B7105" s="85"/>
      <c r="C7105" s="85"/>
      <c r="F7105" s="92"/>
      <c r="G7105" s="85"/>
    </row>
    <row r="7106">
      <c r="A7106" s="84"/>
      <c r="B7106" s="85"/>
      <c r="C7106" s="85"/>
      <c r="F7106" s="92"/>
      <c r="G7106" s="85"/>
    </row>
    <row r="7107">
      <c r="A7107" s="84"/>
      <c r="B7107" s="85"/>
      <c r="C7107" s="85"/>
      <c r="F7107" s="92"/>
      <c r="G7107" s="85"/>
    </row>
    <row r="7108">
      <c r="A7108" s="84"/>
      <c r="B7108" s="85"/>
      <c r="C7108" s="85"/>
      <c r="F7108" s="92"/>
      <c r="G7108" s="85"/>
    </row>
    <row r="7109">
      <c r="A7109" s="84"/>
      <c r="B7109" s="85"/>
      <c r="C7109" s="85"/>
      <c r="F7109" s="92"/>
      <c r="G7109" s="85"/>
    </row>
    <row r="7110">
      <c r="A7110" s="84"/>
      <c r="B7110" s="85"/>
      <c r="C7110" s="85"/>
      <c r="F7110" s="92"/>
      <c r="G7110" s="85"/>
    </row>
    <row r="7111">
      <c r="A7111" s="84"/>
      <c r="B7111" s="85"/>
      <c r="C7111" s="85"/>
      <c r="F7111" s="92"/>
      <c r="G7111" s="85"/>
    </row>
    <row r="7112">
      <c r="A7112" s="84"/>
      <c r="B7112" s="85"/>
      <c r="C7112" s="85"/>
      <c r="F7112" s="92"/>
      <c r="G7112" s="85"/>
    </row>
    <row r="7113">
      <c r="A7113" s="84"/>
      <c r="B7113" s="85"/>
      <c r="C7113" s="85"/>
      <c r="F7113" s="92"/>
      <c r="G7113" s="85"/>
    </row>
    <row r="7114">
      <c r="A7114" s="84"/>
      <c r="B7114" s="85"/>
      <c r="C7114" s="85"/>
      <c r="F7114" s="92"/>
      <c r="G7114" s="85"/>
    </row>
    <row r="7115">
      <c r="A7115" s="84"/>
      <c r="B7115" s="85"/>
      <c r="C7115" s="85"/>
      <c r="F7115" s="92"/>
      <c r="G7115" s="85"/>
    </row>
    <row r="7116">
      <c r="A7116" s="84"/>
      <c r="B7116" s="85"/>
      <c r="C7116" s="85"/>
      <c r="F7116" s="92"/>
      <c r="G7116" s="85"/>
    </row>
    <row r="7117">
      <c r="A7117" s="84"/>
      <c r="B7117" s="85"/>
      <c r="C7117" s="85"/>
      <c r="F7117" s="92"/>
      <c r="G7117" s="85"/>
    </row>
    <row r="7118">
      <c r="A7118" s="84"/>
      <c r="B7118" s="85"/>
      <c r="C7118" s="85"/>
      <c r="F7118" s="92"/>
      <c r="G7118" s="85"/>
    </row>
    <row r="7119">
      <c r="A7119" s="84"/>
      <c r="B7119" s="85"/>
      <c r="C7119" s="85"/>
      <c r="F7119" s="92"/>
      <c r="G7119" s="85"/>
    </row>
    <row r="7120">
      <c r="A7120" s="84"/>
      <c r="B7120" s="85"/>
      <c r="C7120" s="85"/>
      <c r="F7120" s="92"/>
      <c r="G7120" s="85"/>
    </row>
    <row r="7121">
      <c r="A7121" s="84"/>
      <c r="B7121" s="85"/>
      <c r="C7121" s="85"/>
      <c r="F7121" s="92"/>
      <c r="G7121" s="85"/>
    </row>
    <row r="7122">
      <c r="A7122" s="84"/>
      <c r="B7122" s="85"/>
      <c r="C7122" s="85"/>
      <c r="F7122" s="92"/>
      <c r="G7122" s="85"/>
    </row>
    <row r="7123">
      <c r="A7123" s="84"/>
      <c r="B7123" s="85"/>
      <c r="C7123" s="85"/>
      <c r="F7123" s="92"/>
      <c r="G7123" s="85"/>
    </row>
    <row r="7124">
      <c r="A7124" s="84"/>
      <c r="B7124" s="85"/>
      <c r="C7124" s="85"/>
      <c r="F7124" s="92"/>
      <c r="G7124" s="85"/>
    </row>
    <row r="7125">
      <c r="A7125" s="84"/>
      <c r="B7125" s="85"/>
      <c r="C7125" s="85"/>
      <c r="F7125" s="92"/>
      <c r="G7125" s="85"/>
    </row>
    <row r="7126">
      <c r="A7126" s="84"/>
      <c r="B7126" s="85"/>
      <c r="C7126" s="85"/>
      <c r="F7126" s="92"/>
      <c r="G7126" s="85"/>
    </row>
    <row r="7127">
      <c r="A7127" s="84"/>
      <c r="B7127" s="85"/>
      <c r="C7127" s="85"/>
      <c r="F7127" s="92"/>
      <c r="G7127" s="85"/>
    </row>
    <row r="7128">
      <c r="A7128" s="84"/>
      <c r="B7128" s="85"/>
      <c r="C7128" s="85"/>
      <c r="F7128" s="92"/>
      <c r="G7128" s="85"/>
    </row>
    <row r="7129">
      <c r="A7129" s="84"/>
      <c r="B7129" s="85"/>
      <c r="C7129" s="85"/>
      <c r="F7129" s="92"/>
      <c r="G7129" s="85"/>
    </row>
    <row r="7130">
      <c r="A7130" s="84"/>
      <c r="B7130" s="85"/>
      <c r="C7130" s="85"/>
      <c r="F7130" s="92"/>
      <c r="G7130" s="85"/>
    </row>
    <row r="7131">
      <c r="A7131" s="84"/>
      <c r="B7131" s="85"/>
      <c r="C7131" s="85"/>
      <c r="F7131" s="92"/>
      <c r="G7131" s="85"/>
    </row>
    <row r="7132">
      <c r="A7132" s="84"/>
      <c r="B7132" s="85"/>
      <c r="C7132" s="85"/>
      <c r="F7132" s="92"/>
      <c r="G7132" s="85"/>
    </row>
    <row r="7133">
      <c r="A7133" s="84"/>
      <c r="B7133" s="85"/>
      <c r="C7133" s="85"/>
      <c r="F7133" s="92"/>
      <c r="G7133" s="85"/>
    </row>
    <row r="7134">
      <c r="A7134" s="84"/>
      <c r="B7134" s="85"/>
      <c r="C7134" s="85"/>
      <c r="F7134" s="92"/>
      <c r="G7134" s="85"/>
    </row>
    <row r="7135">
      <c r="A7135" s="84"/>
      <c r="B7135" s="85"/>
      <c r="C7135" s="85"/>
      <c r="F7135" s="92"/>
      <c r="G7135" s="85"/>
    </row>
    <row r="7136">
      <c r="A7136" s="84"/>
      <c r="B7136" s="85"/>
      <c r="C7136" s="85"/>
      <c r="F7136" s="92"/>
      <c r="G7136" s="85"/>
    </row>
    <row r="7137">
      <c r="A7137" s="84"/>
      <c r="B7137" s="85"/>
      <c r="C7137" s="85"/>
      <c r="F7137" s="92"/>
      <c r="G7137" s="85"/>
    </row>
    <row r="7138">
      <c r="A7138" s="84"/>
      <c r="B7138" s="85"/>
      <c r="C7138" s="85"/>
      <c r="F7138" s="92"/>
      <c r="G7138" s="85"/>
    </row>
    <row r="7139">
      <c r="A7139" s="84"/>
      <c r="B7139" s="85"/>
      <c r="C7139" s="85"/>
      <c r="F7139" s="92"/>
      <c r="G7139" s="85"/>
    </row>
    <row r="7140">
      <c r="A7140" s="84"/>
      <c r="B7140" s="85"/>
      <c r="C7140" s="85"/>
      <c r="F7140" s="92"/>
      <c r="G7140" s="85"/>
    </row>
    <row r="7141">
      <c r="A7141" s="84"/>
      <c r="B7141" s="85"/>
      <c r="C7141" s="85"/>
      <c r="F7141" s="92"/>
      <c r="G7141" s="85"/>
    </row>
    <row r="7142">
      <c r="A7142" s="84"/>
      <c r="B7142" s="85"/>
      <c r="C7142" s="85"/>
      <c r="F7142" s="92"/>
      <c r="G7142" s="85"/>
    </row>
    <row r="7143">
      <c r="A7143" s="84"/>
      <c r="B7143" s="85"/>
      <c r="C7143" s="85"/>
      <c r="F7143" s="92"/>
      <c r="G7143" s="85"/>
    </row>
    <row r="7144">
      <c r="A7144" s="84"/>
      <c r="B7144" s="85"/>
      <c r="C7144" s="85"/>
      <c r="F7144" s="92"/>
      <c r="G7144" s="85"/>
    </row>
    <row r="7145">
      <c r="A7145" s="84"/>
      <c r="B7145" s="85"/>
      <c r="C7145" s="85"/>
      <c r="F7145" s="92"/>
      <c r="G7145" s="85"/>
    </row>
    <row r="7146">
      <c r="A7146" s="84"/>
      <c r="B7146" s="85"/>
      <c r="C7146" s="85"/>
      <c r="F7146" s="92"/>
      <c r="G7146" s="85"/>
    </row>
    <row r="7147">
      <c r="A7147" s="84"/>
      <c r="B7147" s="85"/>
      <c r="C7147" s="85"/>
      <c r="F7147" s="92"/>
      <c r="G7147" s="85"/>
    </row>
    <row r="7148">
      <c r="A7148" s="84"/>
      <c r="B7148" s="85"/>
      <c r="C7148" s="85"/>
      <c r="F7148" s="92"/>
      <c r="G7148" s="85"/>
    </row>
    <row r="7149">
      <c r="A7149" s="84"/>
      <c r="B7149" s="85"/>
      <c r="C7149" s="85"/>
      <c r="F7149" s="92"/>
      <c r="G7149" s="85"/>
    </row>
    <row r="7150">
      <c r="A7150" s="84"/>
      <c r="B7150" s="85"/>
      <c r="C7150" s="85"/>
      <c r="F7150" s="92"/>
      <c r="G7150" s="85"/>
    </row>
    <row r="7151">
      <c r="A7151" s="84"/>
      <c r="B7151" s="85"/>
      <c r="C7151" s="85"/>
      <c r="F7151" s="92"/>
      <c r="G7151" s="85"/>
    </row>
    <row r="7152">
      <c r="A7152" s="84"/>
      <c r="B7152" s="85"/>
      <c r="C7152" s="85"/>
      <c r="F7152" s="92"/>
      <c r="G7152" s="85"/>
    </row>
    <row r="7153">
      <c r="A7153" s="84"/>
      <c r="B7153" s="85"/>
      <c r="C7153" s="85"/>
      <c r="F7153" s="92"/>
      <c r="G7153" s="85"/>
    </row>
    <row r="7154">
      <c r="A7154" s="84"/>
      <c r="B7154" s="85"/>
      <c r="C7154" s="85"/>
      <c r="F7154" s="92"/>
      <c r="G7154" s="85"/>
    </row>
    <row r="7155">
      <c r="A7155" s="84"/>
      <c r="B7155" s="85"/>
      <c r="C7155" s="85"/>
      <c r="F7155" s="92"/>
      <c r="G7155" s="85"/>
    </row>
    <row r="7156">
      <c r="A7156" s="84"/>
      <c r="B7156" s="85"/>
      <c r="C7156" s="85"/>
      <c r="F7156" s="92"/>
      <c r="G7156" s="85"/>
    </row>
    <row r="7157">
      <c r="A7157" s="84"/>
      <c r="B7157" s="85"/>
      <c r="C7157" s="85"/>
      <c r="F7157" s="92"/>
      <c r="G7157" s="85"/>
    </row>
    <row r="7158">
      <c r="A7158" s="84"/>
      <c r="B7158" s="85"/>
      <c r="C7158" s="85"/>
      <c r="F7158" s="92"/>
      <c r="G7158" s="85"/>
    </row>
    <row r="7159">
      <c r="A7159" s="84"/>
      <c r="B7159" s="85"/>
      <c r="C7159" s="85"/>
      <c r="F7159" s="92"/>
      <c r="G7159" s="85"/>
    </row>
    <row r="7160">
      <c r="A7160" s="84"/>
      <c r="B7160" s="85"/>
      <c r="C7160" s="85"/>
      <c r="F7160" s="92"/>
      <c r="G7160" s="85"/>
    </row>
    <row r="7161">
      <c r="A7161" s="84"/>
      <c r="B7161" s="85"/>
      <c r="C7161" s="85"/>
      <c r="F7161" s="92"/>
      <c r="G7161" s="85"/>
    </row>
    <row r="7162">
      <c r="A7162" s="84"/>
      <c r="B7162" s="85"/>
      <c r="C7162" s="85"/>
      <c r="F7162" s="92"/>
      <c r="G7162" s="85"/>
    </row>
    <row r="7163">
      <c r="A7163" s="84"/>
      <c r="B7163" s="85"/>
      <c r="C7163" s="85"/>
      <c r="F7163" s="92"/>
      <c r="G7163" s="85"/>
    </row>
    <row r="7164">
      <c r="A7164" s="84"/>
      <c r="B7164" s="85"/>
      <c r="C7164" s="85"/>
      <c r="F7164" s="92"/>
      <c r="G7164" s="85"/>
    </row>
    <row r="7165">
      <c r="A7165" s="84"/>
      <c r="B7165" s="85"/>
      <c r="C7165" s="85"/>
      <c r="F7165" s="92"/>
      <c r="G7165" s="85"/>
    </row>
    <row r="7166">
      <c r="A7166" s="84"/>
      <c r="B7166" s="85"/>
      <c r="C7166" s="85"/>
      <c r="F7166" s="92"/>
      <c r="G7166" s="85"/>
    </row>
    <row r="7167">
      <c r="A7167" s="84"/>
      <c r="B7167" s="85"/>
      <c r="C7167" s="85"/>
      <c r="F7167" s="92"/>
      <c r="G7167" s="85"/>
    </row>
    <row r="7168">
      <c r="A7168" s="84"/>
      <c r="B7168" s="85"/>
      <c r="C7168" s="85"/>
      <c r="F7168" s="92"/>
      <c r="G7168" s="85"/>
    </row>
    <row r="7169">
      <c r="A7169" s="84"/>
      <c r="B7169" s="85"/>
      <c r="C7169" s="85"/>
      <c r="F7169" s="92"/>
      <c r="G7169" s="85"/>
    </row>
    <row r="7170">
      <c r="A7170" s="84"/>
      <c r="B7170" s="85"/>
      <c r="C7170" s="85"/>
      <c r="F7170" s="92"/>
      <c r="G7170" s="85"/>
    </row>
    <row r="7171">
      <c r="A7171" s="84"/>
      <c r="B7171" s="85"/>
      <c r="C7171" s="85"/>
      <c r="F7171" s="92"/>
      <c r="G7171" s="85"/>
    </row>
    <row r="7172">
      <c r="A7172" s="84"/>
      <c r="B7172" s="85"/>
      <c r="C7172" s="85"/>
      <c r="F7172" s="92"/>
      <c r="G7172" s="85"/>
    </row>
    <row r="7173">
      <c r="A7173" s="84"/>
      <c r="B7173" s="85"/>
      <c r="C7173" s="85"/>
      <c r="F7173" s="92"/>
      <c r="G7173" s="85"/>
    </row>
    <row r="7174">
      <c r="A7174" s="84"/>
      <c r="B7174" s="85"/>
      <c r="C7174" s="85"/>
      <c r="F7174" s="92"/>
      <c r="G7174" s="85"/>
    </row>
    <row r="7175">
      <c r="A7175" s="84"/>
      <c r="B7175" s="85"/>
      <c r="C7175" s="85"/>
      <c r="F7175" s="92"/>
      <c r="G7175" s="85"/>
    </row>
    <row r="7176">
      <c r="A7176" s="84"/>
      <c r="B7176" s="85"/>
      <c r="C7176" s="85"/>
      <c r="F7176" s="92"/>
      <c r="G7176" s="85"/>
    </row>
    <row r="7177">
      <c r="A7177" s="84"/>
      <c r="B7177" s="85"/>
      <c r="C7177" s="85"/>
      <c r="F7177" s="92"/>
      <c r="G7177" s="85"/>
    </row>
    <row r="7178">
      <c r="A7178" s="84"/>
      <c r="B7178" s="85"/>
      <c r="C7178" s="85"/>
      <c r="F7178" s="92"/>
      <c r="G7178" s="85"/>
    </row>
    <row r="7179">
      <c r="A7179" s="84"/>
      <c r="B7179" s="85"/>
      <c r="C7179" s="85"/>
      <c r="F7179" s="92"/>
      <c r="G7179" s="85"/>
    </row>
    <row r="7180">
      <c r="A7180" s="84"/>
      <c r="B7180" s="85"/>
      <c r="C7180" s="85"/>
      <c r="F7180" s="92"/>
      <c r="G7180" s="85"/>
    </row>
    <row r="7181">
      <c r="A7181" s="84"/>
      <c r="B7181" s="85"/>
      <c r="C7181" s="85"/>
      <c r="F7181" s="92"/>
      <c r="G7181" s="85"/>
    </row>
    <row r="7182">
      <c r="A7182" s="84"/>
      <c r="B7182" s="85"/>
      <c r="C7182" s="85"/>
      <c r="F7182" s="92"/>
      <c r="G7182" s="85"/>
    </row>
    <row r="7183">
      <c r="A7183" s="84"/>
      <c r="B7183" s="85"/>
      <c r="C7183" s="85"/>
      <c r="F7183" s="92"/>
      <c r="G7183" s="85"/>
    </row>
    <row r="7184">
      <c r="A7184" s="84"/>
      <c r="B7184" s="85"/>
      <c r="C7184" s="85"/>
      <c r="F7184" s="92"/>
      <c r="G7184" s="85"/>
    </row>
    <row r="7185">
      <c r="A7185" s="84"/>
      <c r="B7185" s="85"/>
      <c r="C7185" s="85"/>
      <c r="F7185" s="92"/>
      <c r="G7185" s="85"/>
    </row>
    <row r="7186">
      <c r="A7186" s="84"/>
      <c r="B7186" s="85"/>
      <c r="C7186" s="85"/>
      <c r="F7186" s="92"/>
      <c r="G7186" s="85"/>
    </row>
    <row r="7187">
      <c r="A7187" s="84"/>
      <c r="B7187" s="85"/>
      <c r="C7187" s="85"/>
      <c r="F7187" s="92"/>
      <c r="G7187" s="85"/>
    </row>
    <row r="7188">
      <c r="A7188" s="84"/>
      <c r="B7188" s="85"/>
      <c r="C7188" s="85"/>
      <c r="F7188" s="92"/>
      <c r="G7188" s="85"/>
    </row>
    <row r="7189">
      <c r="A7189" s="84"/>
      <c r="B7189" s="85"/>
      <c r="C7189" s="85"/>
      <c r="F7189" s="92"/>
      <c r="G7189" s="85"/>
    </row>
    <row r="7190">
      <c r="A7190" s="84"/>
      <c r="B7190" s="85"/>
      <c r="C7190" s="85"/>
      <c r="F7190" s="92"/>
      <c r="G7190" s="85"/>
    </row>
    <row r="7191">
      <c r="A7191" s="84"/>
      <c r="B7191" s="85"/>
      <c r="C7191" s="85"/>
      <c r="F7191" s="92"/>
      <c r="G7191" s="85"/>
    </row>
    <row r="7192">
      <c r="A7192" s="84"/>
      <c r="B7192" s="85"/>
      <c r="C7192" s="85"/>
      <c r="F7192" s="92"/>
      <c r="G7192" s="85"/>
    </row>
    <row r="7193">
      <c r="A7193" s="84"/>
      <c r="B7193" s="85"/>
      <c r="C7193" s="85"/>
      <c r="F7193" s="92"/>
      <c r="G7193" s="85"/>
    </row>
    <row r="7194">
      <c r="A7194" s="84"/>
      <c r="B7194" s="85"/>
      <c r="C7194" s="85"/>
      <c r="F7194" s="92"/>
      <c r="G7194" s="85"/>
    </row>
    <row r="7195">
      <c r="A7195" s="84"/>
      <c r="B7195" s="85"/>
      <c r="C7195" s="85"/>
      <c r="F7195" s="92"/>
      <c r="G7195" s="85"/>
    </row>
    <row r="7196">
      <c r="A7196" s="84"/>
      <c r="B7196" s="85"/>
      <c r="C7196" s="85"/>
      <c r="F7196" s="92"/>
      <c r="G7196" s="85"/>
    </row>
    <row r="7197">
      <c r="A7197" s="84"/>
      <c r="B7197" s="85"/>
      <c r="C7197" s="85"/>
      <c r="F7197" s="92"/>
      <c r="G7197" s="85"/>
    </row>
    <row r="7198">
      <c r="A7198" s="84"/>
      <c r="B7198" s="85"/>
      <c r="C7198" s="85"/>
      <c r="F7198" s="92"/>
      <c r="G7198" s="85"/>
    </row>
    <row r="7199">
      <c r="A7199" s="84"/>
      <c r="B7199" s="85"/>
      <c r="C7199" s="85"/>
      <c r="F7199" s="92"/>
      <c r="G7199" s="85"/>
    </row>
    <row r="7200">
      <c r="A7200" s="84"/>
      <c r="B7200" s="85"/>
      <c r="C7200" s="85"/>
      <c r="F7200" s="92"/>
      <c r="G7200" s="85"/>
    </row>
    <row r="7201">
      <c r="A7201" s="84"/>
      <c r="B7201" s="85"/>
      <c r="C7201" s="85"/>
      <c r="F7201" s="92"/>
      <c r="G7201" s="85"/>
    </row>
    <row r="7202">
      <c r="A7202" s="84"/>
      <c r="B7202" s="85"/>
      <c r="C7202" s="85"/>
      <c r="F7202" s="92"/>
      <c r="G7202" s="85"/>
    </row>
    <row r="7203">
      <c r="A7203" s="84"/>
      <c r="B7203" s="85"/>
      <c r="C7203" s="85"/>
      <c r="F7203" s="92"/>
      <c r="G7203" s="85"/>
    </row>
    <row r="7204">
      <c r="A7204" s="84"/>
      <c r="B7204" s="85"/>
      <c r="C7204" s="85"/>
      <c r="F7204" s="92"/>
      <c r="G7204" s="85"/>
    </row>
    <row r="7205">
      <c r="A7205" s="84"/>
      <c r="B7205" s="85"/>
      <c r="C7205" s="85"/>
      <c r="F7205" s="92"/>
      <c r="G7205" s="85"/>
    </row>
    <row r="7206">
      <c r="A7206" s="84"/>
      <c r="B7206" s="85"/>
      <c r="C7206" s="85"/>
      <c r="F7206" s="92"/>
      <c r="G7206" s="85"/>
    </row>
    <row r="7207">
      <c r="A7207" s="84"/>
      <c r="B7207" s="85"/>
      <c r="C7207" s="85"/>
      <c r="F7207" s="92"/>
      <c r="G7207" s="85"/>
    </row>
    <row r="7208">
      <c r="A7208" s="84"/>
      <c r="B7208" s="85"/>
      <c r="C7208" s="85"/>
      <c r="F7208" s="92"/>
      <c r="G7208" s="85"/>
    </row>
    <row r="7209">
      <c r="A7209" s="84"/>
      <c r="B7209" s="85"/>
      <c r="C7209" s="85"/>
      <c r="F7209" s="92"/>
      <c r="G7209" s="85"/>
    </row>
    <row r="7210">
      <c r="A7210" s="84"/>
      <c r="B7210" s="85"/>
      <c r="C7210" s="85"/>
      <c r="F7210" s="92"/>
      <c r="G7210" s="85"/>
    </row>
    <row r="7211">
      <c r="A7211" s="84"/>
      <c r="B7211" s="85"/>
      <c r="C7211" s="85"/>
      <c r="F7211" s="92"/>
      <c r="G7211" s="85"/>
    </row>
    <row r="7212">
      <c r="A7212" s="84"/>
      <c r="B7212" s="85"/>
      <c r="C7212" s="85"/>
      <c r="F7212" s="92"/>
      <c r="G7212" s="85"/>
    </row>
    <row r="7213">
      <c r="A7213" s="84"/>
      <c r="B7213" s="85"/>
      <c r="C7213" s="85"/>
      <c r="F7213" s="92"/>
      <c r="G7213" s="85"/>
    </row>
    <row r="7214">
      <c r="A7214" s="84"/>
      <c r="B7214" s="85"/>
      <c r="C7214" s="85"/>
      <c r="F7214" s="92"/>
      <c r="G7214" s="85"/>
    </row>
    <row r="7215">
      <c r="A7215" s="84"/>
      <c r="B7215" s="85"/>
      <c r="C7215" s="85"/>
      <c r="F7215" s="92"/>
      <c r="G7215" s="85"/>
    </row>
    <row r="7216">
      <c r="A7216" s="84"/>
      <c r="B7216" s="85"/>
      <c r="C7216" s="85"/>
      <c r="F7216" s="92"/>
      <c r="G7216" s="85"/>
    </row>
    <row r="7217">
      <c r="A7217" s="84"/>
      <c r="B7217" s="85"/>
      <c r="C7217" s="85"/>
      <c r="F7217" s="92"/>
      <c r="G7217" s="85"/>
    </row>
    <row r="7218">
      <c r="A7218" s="84"/>
      <c r="B7218" s="85"/>
      <c r="C7218" s="85"/>
      <c r="F7218" s="92"/>
      <c r="G7218" s="85"/>
    </row>
    <row r="7219">
      <c r="A7219" s="84"/>
      <c r="B7219" s="85"/>
      <c r="C7219" s="85"/>
      <c r="F7219" s="92"/>
      <c r="G7219" s="85"/>
    </row>
    <row r="7220">
      <c r="A7220" s="84"/>
      <c r="B7220" s="85"/>
      <c r="C7220" s="85"/>
      <c r="F7220" s="92"/>
      <c r="G7220" s="85"/>
    </row>
    <row r="7221">
      <c r="A7221" s="84"/>
      <c r="B7221" s="85"/>
      <c r="C7221" s="85"/>
      <c r="F7221" s="92"/>
      <c r="G7221" s="85"/>
    </row>
    <row r="7222">
      <c r="A7222" s="84"/>
      <c r="B7222" s="85"/>
      <c r="C7222" s="85"/>
      <c r="F7222" s="92"/>
      <c r="G7222" s="85"/>
    </row>
    <row r="7223">
      <c r="A7223" s="84"/>
      <c r="B7223" s="85"/>
      <c r="C7223" s="85"/>
      <c r="F7223" s="92"/>
      <c r="G7223" s="85"/>
    </row>
    <row r="7224">
      <c r="A7224" s="84"/>
      <c r="B7224" s="85"/>
      <c r="C7224" s="85"/>
      <c r="F7224" s="92"/>
      <c r="G7224" s="85"/>
    </row>
    <row r="7225">
      <c r="A7225" s="84"/>
      <c r="B7225" s="85"/>
      <c r="C7225" s="85"/>
      <c r="F7225" s="92"/>
      <c r="G7225" s="85"/>
    </row>
    <row r="7226">
      <c r="A7226" s="84"/>
      <c r="B7226" s="85"/>
      <c r="C7226" s="85"/>
      <c r="F7226" s="92"/>
      <c r="G7226" s="85"/>
    </row>
    <row r="7227">
      <c r="A7227" s="84"/>
      <c r="B7227" s="85"/>
      <c r="C7227" s="85"/>
      <c r="F7227" s="92"/>
      <c r="G7227" s="85"/>
    </row>
    <row r="7228">
      <c r="A7228" s="84"/>
      <c r="B7228" s="85"/>
      <c r="C7228" s="85"/>
      <c r="F7228" s="92"/>
      <c r="G7228" s="85"/>
    </row>
    <row r="7229">
      <c r="A7229" s="84"/>
      <c r="B7229" s="85"/>
      <c r="C7229" s="85"/>
      <c r="F7229" s="92"/>
      <c r="G7229" s="85"/>
    </row>
    <row r="7230">
      <c r="A7230" s="84"/>
      <c r="B7230" s="85"/>
      <c r="C7230" s="85"/>
      <c r="F7230" s="92"/>
      <c r="G7230" s="85"/>
    </row>
    <row r="7231">
      <c r="A7231" s="84"/>
      <c r="B7231" s="85"/>
      <c r="C7231" s="85"/>
      <c r="F7231" s="92"/>
      <c r="G7231" s="85"/>
    </row>
    <row r="7232">
      <c r="A7232" s="84"/>
      <c r="B7232" s="85"/>
      <c r="C7232" s="85"/>
      <c r="F7232" s="92"/>
      <c r="G7232" s="85"/>
    </row>
    <row r="7233">
      <c r="A7233" s="84"/>
      <c r="B7233" s="85"/>
      <c r="C7233" s="85"/>
      <c r="F7233" s="92"/>
      <c r="G7233" s="85"/>
    </row>
    <row r="7234">
      <c r="A7234" s="84"/>
      <c r="B7234" s="85"/>
      <c r="C7234" s="85"/>
      <c r="F7234" s="92"/>
      <c r="G7234" s="85"/>
    </row>
    <row r="7235">
      <c r="A7235" s="84"/>
      <c r="B7235" s="85"/>
      <c r="C7235" s="85"/>
      <c r="F7235" s="92"/>
      <c r="G7235" s="85"/>
    </row>
    <row r="7236">
      <c r="A7236" s="84"/>
      <c r="B7236" s="85"/>
      <c r="C7236" s="85"/>
      <c r="F7236" s="92"/>
      <c r="G7236" s="85"/>
    </row>
    <row r="7237">
      <c r="A7237" s="84"/>
      <c r="B7237" s="85"/>
      <c r="C7237" s="85"/>
      <c r="F7237" s="92"/>
      <c r="G7237" s="85"/>
    </row>
    <row r="7238">
      <c r="A7238" s="84"/>
      <c r="B7238" s="85"/>
      <c r="C7238" s="85"/>
      <c r="F7238" s="92"/>
      <c r="G7238" s="85"/>
    </row>
    <row r="7239">
      <c r="A7239" s="84"/>
      <c r="B7239" s="85"/>
      <c r="C7239" s="85"/>
      <c r="F7239" s="92"/>
      <c r="G7239" s="85"/>
    </row>
    <row r="7240">
      <c r="A7240" s="84"/>
      <c r="B7240" s="85"/>
      <c r="C7240" s="85"/>
      <c r="F7240" s="92"/>
      <c r="G7240" s="85"/>
    </row>
    <row r="7241">
      <c r="A7241" s="84"/>
      <c r="B7241" s="85"/>
      <c r="C7241" s="85"/>
      <c r="F7241" s="92"/>
      <c r="G7241" s="85"/>
    </row>
    <row r="7242">
      <c r="A7242" s="84"/>
      <c r="B7242" s="85"/>
      <c r="C7242" s="85"/>
      <c r="F7242" s="92"/>
      <c r="G7242" s="85"/>
    </row>
    <row r="7243">
      <c r="A7243" s="84"/>
      <c r="B7243" s="85"/>
      <c r="C7243" s="85"/>
      <c r="F7243" s="92"/>
      <c r="G7243" s="85"/>
    </row>
    <row r="7244">
      <c r="A7244" s="84"/>
      <c r="B7244" s="85"/>
      <c r="C7244" s="85"/>
      <c r="F7244" s="92"/>
      <c r="G7244" s="85"/>
    </row>
    <row r="7245">
      <c r="A7245" s="84"/>
      <c r="B7245" s="85"/>
      <c r="C7245" s="85"/>
      <c r="F7245" s="92"/>
      <c r="G7245" s="85"/>
    </row>
    <row r="7246">
      <c r="A7246" s="84"/>
      <c r="B7246" s="85"/>
      <c r="C7246" s="85"/>
      <c r="F7246" s="92"/>
      <c r="G7246" s="85"/>
    </row>
    <row r="7247">
      <c r="A7247" s="84"/>
      <c r="B7247" s="85"/>
      <c r="C7247" s="85"/>
      <c r="F7247" s="92"/>
      <c r="G7247" s="85"/>
    </row>
    <row r="7248">
      <c r="A7248" s="84"/>
      <c r="B7248" s="85"/>
      <c r="C7248" s="85"/>
      <c r="F7248" s="92"/>
      <c r="G7248" s="85"/>
    </row>
    <row r="7249">
      <c r="A7249" s="84"/>
      <c r="B7249" s="85"/>
      <c r="C7249" s="85"/>
      <c r="F7249" s="92"/>
      <c r="G7249" s="85"/>
    </row>
    <row r="7250">
      <c r="A7250" s="84"/>
      <c r="B7250" s="85"/>
      <c r="C7250" s="85"/>
      <c r="F7250" s="92"/>
      <c r="G7250" s="85"/>
    </row>
    <row r="7251">
      <c r="A7251" s="84"/>
      <c r="B7251" s="85"/>
      <c r="C7251" s="85"/>
      <c r="F7251" s="92"/>
      <c r="G7251" s="85"/>
    </row>
    <row r="7252">
      <c r="A7252" s="84"/>
      <c r="B7252" s="85"/>
      <c r="C7252" s="85"/>
      <c r="F7252" s="92"/>
      <c r="G7252" s="85"/>
    </row>
    <row r="7253">
      <c r="A7253" s="84"/>
      <c r="B7253" s="85"/>
      <c r="C7253" s="85"/>
      <c r="F7253" s="92"/>
      <c r="G7253" s="85"/>
    </row>
    <row r="7254">
      <c r="A7254" s="84"/>
      <c r="B7254" s="85"/>
      <c r="C7254" s="85"/>
      <c r="F7254" s="92"/>
      <c r="G7254" s="85"/>
    </row>
    <row r="7255">
      <c r="A7255" s="84"/>
      <c r="B7255" s="85"/>
      <c r="C7255" s="85"/>
      <c r="F7255" s="92"/>
      <c r="G7255" s="85"/>
    </row>
    <row r="7256">
      <c r="A7256" s="84"/>
      <c r="B7256" s="85"/>
      <c r="C7256" s="85"/>
      <c r="F7256" s="92"/>
      <c r="G7256" s="85"/>
    </row>
    <row r="7257">
      <c r="A7257" s="84"/>
      <c r="B7257" s="85"/>
      <c r="C7257" s="85"/>
      <c r="F7257" s="92"/>
      <c r="G7257" s="85"/>
    </row>
    <row r="7258">
      <c r="A7258" s="84"/>
      <c r="B7258" s="85"/>
      <c r="C7258" s="85"/>
      <c r="F7258" s="92"/>
      <c r="G7258" s="85"/>
    </row>
    <row r="7259">
      <c r="A7259" s="84"/>
      <c r="B7259" s="85"/>
      <c r="C7259" s="85"/>
      <c r="F7259" s="92"/>
      <c r="G7259" s="85"/>
    </row>
    <row r="7260">
      <c r="A7260" s="84"/>
      <c r="B7260" s="85"/>
      <c r="C7260" s="85"/>
      <c r="F7260" s="92"/>
      <c r="G7260" s="85"/>
    </row>
    <row r="7261">
      <c r="A7261" s="84"/>
      <c r="B7261" s="85"/>
      <c r="C7261" s="85"/>
      <c r="F7261" s="92"/>
      <c r="G7261" s="85"/>
    </row>
    <row r="7262">
      <c r="A7262" s="84"/>
      <c r="B7262" s="85"/>
      <c r="C7262" s="85"/>
      <c r="F7262" s="92"/>
      <c r="G7262" s="85"/>
    </row>
    <row r="7263">
      <c r="A7263" s="84"/>
      <c r="B7263" s="85"/>
      <c r="C7263" s="85"/>
      <c r="F7263" s="92"/>
      <c r="G7263" s="85"/>
    </row>
    <row r="7264">
      <c r="A7264" s="84"/>
      <c r="B7264" s="85"/>
      <c r="C7264" s="85"/>
      <c r="F7264" s="92"/>
      <c r="G7264" s="85"/>
    </row>
    <row r="7265">
      <c r="A7265" s="84"/>
      <c r="B7265" s="85"/>
      <c r="C7265" s="85"/>
      <c r="F7265" s="92"/>
      <c r="G7265" s="85"/>
    </row>
    <row r="7266">
      <c r="A7266" s="84"/>
      <c r="B7266" s="85"/>
      <c r="C7266" s="85"/>
      <c r="F7266" s="92"/>
      <c r="G7266" s="85"/>
    </row>
    <row r="7267">
      <c r="A7267" s="84"/>
      <c r="B7267" s="85"/>
      <c r="C7267" s="85"/>
      <c r="F7267" s="92"/>
      <c r="G7267" s="85"/>
    </row>
    <row r="7268">
      <c r="A7268" s="84"/>
      <c r="B7268" s="85"/>
      <c r="C7268" s="85"/>
      <c r="F7268" s="92"/>
      <c r="G7268" s="85"/>
    </row>
    <row r="7269">
      <c r="A7269" s="84"/>
      <c r="B7269" s="85"/>
      <c r="C7269" s="85"/>
      <c r="F7269" s="92"/>
      <c r="G7269" s="85"/>
    </row>
    <row r="7270">
      <c r="A7270" s="84"/>
      <c r="B7270" s="85"/>
      <c r="C7270" s="85"/>
      <c r="F7270" s="92"/>
      <c r="G7270" s="85"/>
    </row>
    <row r="7271">
      <c r="A7271" s="84"/>
      <c r="B7271" s="85"/>
      <c r="C7271" s="85"/>
      <c r="F7271" s="92"/>
      <c r="G7271" s="85"/>
    </row>
    <row r="7272">
      <c r="A7272" s="84"/>
      <c r="B7272" s="85"/>
      <c r="C7272" s="85"/>
      <c r="F7272" s="92"/>
      <c r="G7272" s="85"/>
    </row>
    <row r="7273">
      <c r="A7273" s="84"/>
      <c r="B7273" s="85"/>
      <c r="C7273" s="85"/>
      <c r="F7273" s="92"/>
      <c r="G7273" s="85"/>
    </row>
    <row r="7274">
      <c r="A7274" s="84"/>
      <c r="B7274" s="85"/>
      <c r="C7274" s="85"/>
      <c r="F7274" s="92"/>
      <c r="G7274" s="85"/>
    </row>
    <row r="7275">
      <c r="A7275" s="84"/>
      <c r="B7275" s="85"/>
      <c r="C7275" s="85"/>
      <c r="F7275" s="92"/>
      <c r="G7275" s="85"/>
    </row>
    <row r="7276">
      <c r="A7276" s="84"/>
      <c r="B7276" s="85"/>
      <c r="C7276" s="85"/>
      <c r="F7276" s="92"/>
      <c r="G7276" s="85"/>
    </row>
    <row r="7277">
      <c r="A7277" s="84"/>
      <c r="B7277" s="85"/>
      <c r="C7277" s="85"/>
      <c r="F7277" s="92"/>
      <c r="G7277" s="85"/>
    </row>
    <row r="7278">
      <c r="A7278" s="84"/>
      <c r="B7278" s="85"/>
      <c r="C7278" s="85"/>
      <c r="F7278" s="92"/>
      <c r="G7278" s="85"/>
    </row>
    <row r="7279">
      <c r="A7279" s="84"/>
      <c r="B7279" s="85"/>
      <c r="C7279" s="85"/>
      <c r="F7279" s="92"/>
      <c r="G7279" s="85"/>
    </row>
    <row r="7280">
      <c r="A7280" s="84"/>
      <c r="B7280" s="85"/>
      <c r="C7280" s="85"/>
      <c r="F7280" s="92"/>
      <c r="G7280" s="85"/>
    </row>
    <row r="7281">
      <c r="A7281" s="84"/>
      <c r="B7281" s="85"/>
      <c r="C7281" s="85"/>
      <c r="F7281" s="92"/>
      <c r="G7281" s="85"/>
    </row>
    <row r="7282">
      <c r="A7282" s="84"/>
      <c r="B7282" s="85"/>
      <c r="C7282" s="85"/>
      <c r="F7282" s="92"/>
      <c r="G7282" s="85"/>
    </row>
    <row r="7283">
      <c r="A7283" s="84"/>
      <c r="B7283" s="85"/>
      <c r="C7283" s="85"/>
      <c r="F7283" s="92"/>
      <c r="G7283" s="85"/>
    </row>
    <row r="7284">
      <c r="A7284" s="84"/>
      <c r="B7284" s="85"/>
      <c r="C7284" s="85"/>
      <c r="F7284" s="92"/>
      <c r="G7284" s="85"/>
    </row>
    <row r="7285">
      <c r="A7285" s="84"/>
      <c r="B7285" s="85"/>
      <c r="C7285" s="85"/>
      <c r="F7285" s="92"/>
      <c r="G7285" s="85"/>
    </row>
    <row r="7286">
      <c r="A7286" s="84"/>
      <c r="B7286" s="85"/>
      <c r="C7286" s="85"/>
      <c r="F7286" s="92"/>
      <c r="G7286" s="85"/>
    </row>
    <row r="7287">
      <c r="A7287" s="84"/>
      <c r="B7287" s="85"/>
      <c r="C7287" s="85"/>
      <c r="F7287" s="92"/>
      <c r="G7287" s="85"/>
    </row>
    <row r="7288">
      <c r="A7288" s="84"/>
      <c r="B7288" s="85"/>
      <c r="C7288" s="85"/>
      <c r="F7288" s="92"/>
      <c r="G7288" s="85"/>
    </row>
    <row r="7289">
      <c r="A7289" s="84"/>
      <c r="B7289" s="85"/>
      <c r="C7289" s="85"/>
      <c r="F7289" s="92"/>
      <c r="G7289" s="85"/>
    </row>
    <row r="7290">
      <c r="A7290" s="84"/>
      <c r="B7290" s="85"/>
      <c r="C7290" s="85"/>
      <c r="F7290" s="92"/>
      <c r="G7290" s="85"/>
    </row>
    <row r="7291">
      <c r="A7291" s="84"/>
      <c r="B7291" s="85"/>
      <c r="C7291" s="85"/>
      <c r="F7291" s="92"/>
      <c r="G7291" s="85"/>
    </row>
    <row r="7292">
      <c r="A7292" s="84"/>
      <c r="B7292" s="85"/>
      <c r="C7292" s="85"/>
      <c r="F7292" s="92"/>
      <c r="G7292" s="85"/>
    </row>
    <row r="7293">
      <c r="A7293" s="84"/>
      <c r="B7293" s="85"/>
      <c r="C7293" s="85"/>
      <c r="F7293" s="92"/>
      <c r="G7293" s="85"/>
    </row>
    <row r="7294">
      <c r="A7294" s="84"/>
      <c r="B7294" s="85"/>
      <c r="C7294" s="85"/>
      <c r="F7294" s="92"/>
      <c r="G7294" s="85"/>
    </row>
    <row r="7295">
      <c r="A7295" s="84"/>
      <c r="B7295" s="85"/>
      <c r="C7295" s="85"/>
      <c r="F7295" s="92"/>
      <c r="G7295" s="85"/>
    </row>
    <row r="7296">
      <c r="A7296" s="84"/>
      <c r="B7296" s="85"/>
      <c r="C7296" s="85"/>
      <c r="F7296" s="92"/>
      <c r="G7296" s="85"/>
    </row>
    <row r="7297">
      <c r="A7297" s="84"/>
      <c r="B7297" s="85"/>
      <c r="C7297" s="85"/>
      <c r="F7297" s="92"/>
      <c r="G7297" s="85"/>
    </row>
    <row r="7298">
      <c r="A7298" s="84"/>
      <c r="B7298" s="85"/>
      <c r="C7298" s="85"/>
      <c r="F7298" s="92"/>
      <c r="G7298" s="85"/>
    </row>
    <row r="7299">
      <c r="A7299" s="84"/>
      <c r="B7299" s="85"/>
      <c r="C7299" s="85"/>
      <c r="F7299" s="92"/>
      <c r="G7299" s="85"/>
    </row>
    <row r="7300">
      <c r="A7300" s="84"/>
      <c r="B7300" s="85"/>
      <c r="C7300" s="85"/>
      <c r="F7300" s="92"/>
      <c r="G7300" s="85"/>
    </row>
    <row r="7301">
      <c r="A7301" s="84"/>
      <c r="B7301" s="85"/>
      <c r="C7301" s="85"/>
      <c r="F7301" s="92"/>
      <c r="G7301" s="85"/>
    </row>
    <row r="7302">
      <c r="A7302" s="84"/>
      <c r="B7302" s="85"/>
      <c r="C7302" s="85"/>
      <c r="F7302" s="92"/>
      <c r="G7302" s="85"/>
    </row>
    <row r="7303">
      <c r="A7303" s="84"/>
      <c r="B7303" s="85"/>
      <c r="C7303" s="85"/>
      <c r="F7303" s="92"/>
      <c r="G7303" s="85"/>
    </row>
    <row r="7304">
      <c r="A7304" s="84"/>
      <c r="B7304" s="85"/>
      <c r="C7304" s="85"/>
      <c r="F7304" s="92"/>
      <c r="G7304" s="85"/>
    </row>
    <row r="7305">
      <c r="A7305" s="84"/>
      <c r="B7305" s="85"/>
      <c r="C7305" s="85"/>
      <c r="F7305" s="92"/>
      <c r="G7305" s="85"/>
    </row>
    <row r="7306">
      <c r="A7306" s="84"/>
      <c r="B7306" s="85"/>
      <c r="C7306" s="85"/>
      <c r="F7306" s="92"/>
      <c r="G7306" s="85"/>
    </row>
    <row r="7307">
      <c r="A7307" s="84"/>
      <c r="B7307" s="85"/>
      <c r="C7307" s="85"/>
      <c r="F7307" s="92"/>
      <c r="G7307" s="85"/>
    </row>
    <row r="7308">
      <c r="A7308" s="84"/>
      <c r="B7308" s="85"/>
      <c r="C7308" s="85"/>
      <c r="F7308" s="92"/>
      <c r="G7308" s="85"/>
    </row>
    <row r="7309">
      <c r="A7309" s="84"/>
      <c r="B7309" s="85"/>
      <c r="C7309" s="85"/>
      <c r="F7309" s="92"/>
      <c r="G7309" s="85"/>
    </row>
    <row r="7310">
      <c r="A7310" s="84"/>
      <c r="B7310" s="85"/>
      <c r="C7310" s="85"/>
      <c r="F7310" s="92"/>
      <c r="G7310" s="85"/>
    </row>
    <row r="7311">
      <c r="A7311" s="84"/>
      <c r="B7311" s="85"/>
      <c r="C7311" s="85"/>
      <c r="F7311" s="92"/>
      <c r="G7311" s="85"/>
    </row>
    <row r="7312">
      <c r="A7312" s="84"/>
      <c r="B7312" s="85"/>
      <c r="C7312" s="85"/>
      <c r="F7312" s="92"/>
      <c r="G7312" s="85"/>
    </row>
    <row r="7313">
      <c r="A7313" s="84"/>
      <c r="B7313" s="85"/>
      <c r="C7313" s="85"/>
      <c r="F7313" s="92"/>
      <c r="G7313" s="85"/>
    </row>
    <row r="7314">
      <c r="A7314" s="84"/>
      <c r="B7314" s="85"/>
      <c r="C7314" s="85"/>
      <c r="F7314" s="92"/>
      <c r="G7314" s="85"/>
    </row>
    <row r="7315">
      <c r="A7315" s="84"/>
      <c r="B7315" s="85"/>
      <c r="C7315" s="85"/>
      <c r="F7315" s="92"/>
      <c r="G7315" s="85"/>
    </row>
    <row r="7316">
      <c r="A7316" s="84"/>
      <c r="B7316" s="85"/>
      <c r="C7316" s="85"/>
      <c r="F7316" s="92"/>
      <c r="G7316" s="85"/>
    </row>
    <row r="7317">
      <c r="A7317" s="84"/>
      <c r="B7317" s="85"/>
      <c r="C7317" s="85"/>
      <c r="F7317" s="92"/>
      <c r="G7317" s="85"/>
    </row>
    <row r="7318">
      <c r="A7318" s="84"/>
      <c r="B7318" s="85"/>
      <c r="C7318" s="85"/>
      <c r="F7318" s="92"/>
      <c r="G7318" s="85"/>
    </row>
    <row r="7319">
      <c r="A7319" s="84"/>
      <c r="B7319" s="85"/>
      <c r="C7319" s="85"/>
      <c r="F7319" s="92"/>
      <c r="G7319" s="85"/>
    </row>
    <row r="7320">
      <c r="A7320" s="84"/>
      <c r="B7320" s="85"/>
      <c r="C7320" s="85"/>
      <c r="F7320" s="92"/>
      <c r="G7320" s="85"/>
    </row>
    <row r="7321">
      <c r="A7321" s="84"/>
      <c r="B7321" s="85"/>
      <c r="C7321" s="85"/>
      <c r="F7321" s="92"/>
      <c r="G7321" s="85"/>
    </row>
    <row r="7322">
      <c r="A7322" s="84"/>
      <c r="B7322" s="85"/>
      <c r="C7322" s="85"/>
      <c r="F7322" s="92"/>
      <c r="G7322" s="85"/>
    </row>
    <row r="7323">
      <c r="A7323" s="84"/>
      <c r="B7323" s="85"/>
      <c r="C7323" s="85"/>
      <c r="F7323" s="92"/>
      <c r="G7323" s="85"/>
    </row>
    <row r="7324">
      <c r="A7324" s="84"/>
      <c r="B7324" s="85"/>
      <c r="C7324" s="85"/>
      <c r="F7324" s="92"/>
      <c r="G7324" s="85"/>
    </row>
    <row r="7325">
      <c r="A7325" s="84"/>
      <c r="B7325" s="85"/>
      <c r="C7325" s="85"/>
      <c r="F7325" s="92"/>
      <c r="G7325" s="85"/>
    </row>
    <row r="7326">
      <c r="A7326" s="84"/>
      <c r="B7326" s="85"/>
      <c r="C7326" s="85"/>
      <c r="F7326" s="92"/>
      <c r="G7326" s="85"/>
    </row>
    <row r="7327">
      <c r="A7327" s="84"/>
      <c r="B7327" s="85"/>
      <c r="C7327" s="85"/>
      <c r="F7327" s="92"/>
      <c r="G7327" s="85"/>
    </row>
    <row r="7328">
      <c r="A7328" s="84"/>
      <c r="B7328" s="85"/>
      <c r="C7328" s="85"/>
      <c r="F7328" s="92"/>
      <c r="G7328" s="85"/>
    </row>
    <row r="7329">
      <c r="A7329" s="84"/>
      <c r="B7329" s="85"/>
      <c r="C7329" s="85"/>
      <c r="F7329" s="92"/>
      <c r="G7329" s="85"/>
    </row>
    <row r="7330">
      <c r="A7330" s="84"/>
      <c r="B7330" s="85"/>
      <c r="C7330" s="85"/>
      <c r="F7330" s="92"/>
      <c r="G7330" s="85"/>
    </row>
    <row r="7331">
      <c r="A7331" s="84"/>
      <c r="B7331" s="85"/>
      <c r="C7331" s="85"/>
      <c r="F7331" s="92"/>
      <c r="G7331" s="85"/>
    </row>
    <row r="7332">
      <c r="A7332" s="84"/>
      <c r="B7332" s="85"/>
      <c r="C7332" s="85"/>
      <c r="F7332" s="92"/>
      <c r="G7332" s="85"/>
    </row>
    <row r="7333">
      <c r="A7333" s="84"/>
      <c r="B7333" s="85"/>
      <c r="C7333" s="85"/>
      <c r="F7333" s="92"/>
      <c r="G7333" s="85"/>
    </row>
    <row r="7334">
      <c r="A7334" s="84"/>
      <c r="B7334" s="85"/>
      <c r="C7334" s="85"/>
      <c r="F7334" s="92"/>
      <c r="G7334" s="85"/>
    </row>
    <row r="7335">
      <c r="A7335" s="84"/>
      <c r="B7335" s="85"/>
      <c r="C7335" s="85"/>
      <c r="F7335" s="92"/>
      <c r="G7335" s="85"/>
    </row>
    <row r="7336">
      <c r="A7336" s="84"/>
      <c r="B7336" s="85"/>
      <c r="C7336" s="85"/>
      <c r="F7336" s="92"/>
      <c r="G7336" s="85"/>
    </row>
    <row r="7337">
      <c r="A7337" s="84"/>
      <c r="B7337" s="85"/>
      <c r="C7337" s="85"/>
      <c r="F7337" s="92"/>
      <c r="G7337" s="85"/>
    </row>
    <row r="7338">
      <c r="A7338" s="84"/>
      <c r="B7338" s="85"/>
      <c r="C7338" s="85"/>
      <c r="F7338" s="92"/>
      <c r="G7338" s="85"/>
    </row>
    <row r="7339">
      <c r="A7339" s="84"/>
      <c r="B7339" s="85"/>
      <c r="C7339" s="85"/>
      <c r="F7339" s="92"/>
      <c r="G7339" s="85"/>
    </row>
    <row r="7340">
      <c r="A7340" s="84"/>
      <c r="B7340" s="85"/>
      <c r="C7340" s="85"/>
      <c r="F7340" s="92"/>
      <c r="G7340" s="85"/>
    </row>
    <row r="7341">
      <c r="A7341" s="84"/>
      <c r="B7341" s="85"/>
      <c r="C7341" s="85"/>
      <c r="F7341" s="92"/>
      <c r="G7341" s="85"/>
    </row>
    <row r="7342">
      <c r="A7342" s="84"/>
      <c r="B7342" s="85"/>
      <c r="C7342" s="85"/>
      <c r="F7342" s="92"/>
      <c r="G7342" s="85"/>
    </row>
    <row r="7343">
      <c r="A7343" s="84"/>
      <c r="B7343" s="85"/>
      <c r="C7343" s="85"/>
      <c r="F7343" s="92"/>
      <c r="G7343" s="85"/>
    </row>
    <row r="7344">
      <c r="A7344" s="84"/>
      <c r="B7344" s="85"/>
      <c r="C7344" s="85"/>
      <c r="F7344" s="92"/>
      <c r="G7344" s="85"/>
    </row>
    <row r="7345">
      <c r="A7345" s="84"/>
      <c r="B7345" s="85"/>
      <c r="C7345" s="85"/>
      <c r="F7345" s="92"/>
      <c r="G7345" s="85"/>
    </row>
    <row r="7346">
      <c r="A7346" s="84"/>
      <c r="B7346" s="85"/>
      <c r="C7346" s="85"/>
      <c r="F7346" s="92"/>
      <c r="G7346" s="85"/>
    </row>
    <row r="7347">
      <c r="A7347" s="84"/>
      <c r="B7347" s="85"/>
      <c r="C7347" s="85"/>
      <c r="F7347" s="92"/>
      <c r="G7347" s="85"/>
    </row>
    <row r="7348">
      <c r="A7348" s="84"/>
      <c r="B7348" s="85"/>
      <c r="C7348" s="85"/>
      <c r="F7348" s="92"/>
      <c r="G7348" s="85"/>
    </row>
    <row r="7349">
      <c r="A7349" s="84"/>
      <c r="B7349" s="85"/>
      <c r="C7349" s="85"/>
      <c r="F7349" s="92"/>
      <c r="G7349" s="85"/>
    </row>
    <row r="7350">
      <c r="A7350" s="84"/>
      <c r="B7350" s="85"/>
      <c r="C7350" s="85"/>
      <c r="F7350" s="92"/>
      <c r="G7350" s="85"/>
    </row>
    <row r="7351">
      <c r="A7351" s="84"/>
      <c r="B7351" s="85"/>
      <c r="C7351" s="85"/>
      <c r="F7351" s="92"/>
      <c r="G7351" s="85"/>
    </row>
    <row r="7352">
      <c r="A7352" s="84"/>
      <c r="B7352" s="85"/>
      <c r="C7352" s="85"/>
      <c r="F7352" s="92"/>
      <c r="G7352" s="85"/>
    </row>
    <row r="7353">
      <c r="A7353" s="84"/>
      <c r="B7353" s="85"/>
      <c r="C7353" s="85"/>
      <c r="F7353" s="92"/>
      <c r="G7353" s="85"/>
    </row>
    <row r="7354">
      <c r="A7354" s="84"/>
      <c r="B7354" s="85"/>
      <c r="C7354" s="85"/>
      <c r="F7354" s="92"/>
      <c r="G7354" s="85"/>
    </row>
    <row r="7355">
      <c r="A7355" s="84"/>
      <c r="B7355" s="85"/>
      <c r="C7355" s="85"/>
      <c r="F7355" s="92"/>
      <c r="G7355" s="85"/>
    </row>
    <row r="7356">
      <c r="A7356" s="84"/>
      <c r="B7356" s="85"/>
      <c r="C7356" s="85"/>
      <c r="F7356" s="92"/>
      <c r="G7356" s="85"/>
    </row>
    <row r="7357">
      <c r="A7357" s="84"/>
      <c r="B7357" s="85"/>
      <c r="C7357" s="85"/>
      <c r="F7357" s="92"/>
      <c r="G7357" s="85"/>
    </row>
    <row r="7358">
      <c r="A7358" s="84"/>
      <c r="B7358" s="85"/>
      <c r="C7358" s="85"/>
      <c r="F7358" s="92"/>
      <c r="G7358" s="85"/>
    </row>
    <row r="7359">
      <c r="A7359" s="84"/>
      <c r="B7359" s="85"/>
      <c r="C7359" s="85"/>
      <c r="F7359" s="92"/>
      <c r="G7359" s="85"/>
    </row>
    <row r="7360">
      <c r="A7360" s="84"/>
      <c r="B7360" s="85"/>
      <c r="C7360" s="85"/>
      <c r="F7360" s="92"/>
      <c r="G7360" s="85"/>
    </row>
    <row r="7361">
      <c r="A7361" s="84"/>
      <c r="B7361" s="85"/>
      <c r="C7361" s="85"/>
      <c r="F7361" s="92"/>
      <c r="G7361" s="85"/>
    </row>
    <row r="7362">
      <c r="A7362" s="84"/>
      <c r="B7362" s="85"/>
      <c r="C7362" s="85"/>
      <c r="F7362" s="92"/>
      <c r="G7362" s="85"/>
    </row>
    <row r="7363">
      <c r="A7363" s="84"/>
      <c r="B7363" s="85"/>
      <c r="C7363" s="85"/>
      <c r="F7363" s="92"/>
      <c r="G7363" s="85"/>
    </row>
    <row r="7364">
      <c r="A7364" s="84"/>
      <c r="B7364" s="85"/>
      <c r="C7364" s="85"/>
      <c r="F7364" s="92"/>
      <c r="G7364" s="85"/>
    </row>
    <row r="7365">
      <c r="A7365" s="84"/>
      <c r="B7365" s="85"/>
      <c r="C7365" s="85"/>
      <c r="F7365" s="92"/>
      <c r="G7365" s="85"/>
    </row>
    <row r="7366">
      <c r="A7366" s="84"/>
      <c r="B7366" s="85"/>
      <c r="C7366" s="85"/>
      <c r="F7366" s="92"/>
      <c r="G7366" s="85"/>
    </row>
    <row r="7367">
      <c r="A7367" s="84"/>
      <c r="B7367" s="85"/>
      <c r="C7367" s="85"/>
      <c r="F7367" s="92"/>
      <c r="G7367" s="85"/>
    </row>
    <row r="7368">
      <c r="A7368" s="84"/>
      <c r="B7368" s="85"/>
      <c r="C7368" s="85"/>
      <c r="F7368" s="92"/>
      <c r="G7368" s="85"/>
    </row>
    <row r="7369">
      <c r="A7369" s="84"/>
      <c r="B7369" s="85"/>
      <c r="C7369" s="85"/>
      <c r="F7369" s="92"/>
      <c r="G7369" s="85"/>
    </row>
    <row r="7370">
      <c r="A7370" s="84"/>
      <c r="B7370" s="85"/>
      <c r="C7370" s="85"/>
      <c r="F7370" s="92"/>
      <c r="G7370" s="85"/>
    </row>
    <row r="7371">
      <c r="A7371" s="84"/>
      <c r="B7371" s="85"/>
      <c r="C7371" s="85"/>
      <c r="F7371" s="92"/>
      <c r="G7371" s="85"/>
    </row>
    <row r="7372">
      <c r="A7372" s="84"/>
      <c r="B7372" s="85"/>
      <c r="C7372" s="85"/>
      <c r="F7372" s="92"/>
      <c r="G7372" s="85"/>
    </row>
    <row r="7373">
      <c r="A7373" s="84"/>
      <c r="B7373" s="85"/>
      <c r="C7373" s="85"/>
      <c r="F7373" s="92"/>
      <c r="G7373" s="85"/>
    </row>
    <row r="7374">
      <c r="A7374" s="84"/>
      <c r="B7374" s="85"/>
      <c r="C7374" s="85"/>
      <c r="F7374" s="92"/>
      <c r="G7374" s="85"/>
    </row>
    <row r="7375">
      <c r="A7375" s="84"/>
      <c r="B7375" s="85"/>
      <c r="C7375" s="85"/>
      <c r="F7375" s="92"/>
      <c r="G7375" s="85"/>
    </row>
    <row r="7376">
      <c r="A7376" s="84"/>
      <c r="B7376" s="85"/>
      <c r="C7376" s="85"/>
      <c r="F7376" s="92"/>
      <c r="G7376" s="85"/>
    </row>
    <row r="7377">
      <c r="A7377" s="84"/>
      <c r="B7377" s="85"/>
      <c r="C7377" s="85"/>
      <c r="F7377" s="92"/>
      <c r="G7377" s="85"/>
    </row>
    <row r="7378">
      <c r="A7378" s="84"/>
      <c r="B7378" s="85"/>
      <c r="C7378" s="85"/>
      <c r="F7378" s="92"/>
      <c r="G7378" s="85"/>
    </row>
    <row r="7379">
      <c r="A7379" s="84"/>
      <c r="B7379" s="85"/>
      <c r="C7379" s="85"/>
      <c r="F7379" s="92"/>
      <c r="G7379" s="85"/>
    </row>
    <row r="7380">
      <c r="A7380" s="84"/>
      <c r="B7380" s="85"/>
      <c r="C7380" s="85"/>
      <c r="F7380" s="92"/>
      <c r="G7380" s="85"/>
    </row>
    <row r="7381">
      <c r="A7381" s="84"/>
      <c r="B7381" s="85"/>
      <c r="C7381" s="85"/>
      <c r="F7381" s="92"/>
      <c r="G7381" s="85"/>
    </row>
    <row r="7382">
      <c r="A7382" s="84"/>
      <c r="B7382" s="85"/>
      <c r="C7382" s="85"/>
      <c r="F7382" s="92"/>
      <c r="G7382" s="85"/>
    </row>
    <row r="7383">
      <c r="A7383" s="84"/>
      <c r="B7383" s="85"/>
      <c r="C7383" s="85"/>
      <c r="F7383" s="92"/>
      <c r="G7383" s="85"/>
    </row>
    <row r="7384">
      <c r="A7384" s="84"/>
      <c r="B7384" s="85"/>
      <c r="C7384" s="85"/>
      <c r="F7384" s="92"/>
      <c r="G7384" s="85"/>
    </row>
    <row r="7385">
      <c r="A7385" s="84"/>
      <c r="B7385" s="85"/>
      <c r="C7385" s="85"/>
      <c r="F7385" s="92"/>
      <c r="G7385" s="85"/>
    </row>
    <row r="7386">
      <c r="A7386" s="84"/>
      <c r="B7386" s="85"/>
      <c r="C7386" s="85"/>
      <c r="F7386" s="92"/>
      <c r="G7386" s="85"/>
    </row>
    <row r="7387">
      <c r="A7387" s="84"/>
      <c r="B7387" s="85"/>
      <c r="C7387" s="85"/>
      <c r="F7387" s="92"/>
      <c r="G7387" s="85"/>
    </row>
    <row r="7388">
      <c r="A7388" s="84"/>
      <c r="B7388" s="85"/>
      <c r="C7388" s="85"/>
      <c r="F7388" s="92"/>
      <c r="G7388" s="85"/>
    </row>
    <row r="7389">
      <c r="A7389" s="84"/>
      <c r="B7389" s="85"/>
      <c r="C7389" s="85"/>
      <c r="F7389" s="92"/>
      <c r="G7389" s="85"/>
    </row>
    <row r="7390">
      <c r="A7390" s="84"/>
      <c r="B7390" s="85"/>
      <c r="C7390" s="85"/>
      <c r="F7390" s="92"/>
      <c r="G7390" s="85"/>
    </row>
    <row r="7391">
      <c r="A7391" s="84"/>
      <c r="B7391" s="85"/>
      <c r="C7391" s="85"/>
      <c r="F7391" s="92"/>
      <c r="G7391" s="85"/>
    </row>
    <row r="7392">
      <c r="A7392" s="84"/>
      <c r="B7392" s="85"/>
      <c r="C7392" s="85"/>
      <c r="F7392" s="92"/>
      <c r="G7392" s="85"/>
    </row>
    <row r="7393">
      <c r="A7393" s="84"/>
      <c r="B7393" s="85"/>
      <c r="C7393" s="85"/>
      <c r="F7393" s="92"/>
      <c r="G7393" s="85"/>
    </row>
    <row r="7394">
      <c r="A7394" s="84"/>
      <c r="B7394" s="85"/>
      <c r="C7394" s="85"/>
      <c r="F7394" s="92"/>
      <c r="G7394" s="85"/>
    </row>
    <row r="7395">
      <c r="A7395" s="84"/>
      <c r="B7395" s="85"/>
      <c r="C7395" s="85"/>
      <c r="F7395" s="92"/>
      <c r="G7395" s="85"/>
    </row>
    <row r="7396">
      <c r="A7396" s="84"/>
      <c r="B7396" s="85"/>
      <c r="C7396" s="85"/>
      <c r="F7396" s="92"/>
      <c r="G7396" s="85"/>
    </row>
    <row r="7397">
      <c r="A7397" s="84"/>
      <c r="B7397" s="85"/>
      <c r="C7397" s="85"/>
      <c r="F7397" s="92"/>
      <c r="G7397" s="85"/>
    </row>
    <row r="7398">
      <c r="A7398" s="84"/>
      <c r="B7398" s="85"/>
      <c r="C7398" s="85"/>
      <c r="F7398" s="92"/>
      <c r="G7398" s="85"/>
    </row>
    <row r="7399">
      <c r="A7399" s="84"/>
      <c r="B7399" s="85"/>
      <c r="C7399" s="85"/>
      <c r="F7399" s="92"/>
      <c r="G7399" s="85"/>
    </row>
    <row r="7400">
      <c r="A7400" s="84"/>
      <c r="B7400" s="85"/>
      <c r="C7400" s="85"/>
      <c r="F7400" s="92"/>
      <c r="G7400" s="85"/>
    </row>
    <row r="7401">
      <c r="A7401" s="84"/>
      <c r="B7401" s="85"/>
      <c r="C7401" s="85"/>
      <c r="F7401" s="92"/>
      <c r="G7401" s="85"/>
    </row>
    <row r="7402">
      <c r="A7402" s="84"/>
      <c r="B7402" s="85"/>
      <c r="C7402" s="85"/>
      <c r="F7402" s="92"/>
      <c r="G7402" s="85"/>
    </row>
    <row r="7403">
      <c r="A7403" s="84"/>
      <c r="B7403" s="85"/>
      <c r="C7403" s="85"/>
      <c r="F7403" s="92"/>
      <c r="G7403" s="85"/>
    </row>
    <row r="7404">
      <c r="A7404" s="84"/>
      <c r="B7404" s="85"/>
      <c r="C7404" s="85"/>
      <c r="F7404" s="92"/>
      <c r="G7404" s="85"/>
    </row>
    <row r="7405">
      <c r="A7405" s="84"/>
      <c r="B7405" s="85"/>
      <c r="C7405" s="85"/>
      <c r="F7405" s="92"/>
      <c r="G7405" s="85"/>
    </row>
    <row r="7406">
      <c r="A7406" s="84"/>
      <c r="B7406" s="85"/>
      <c r="C7406" s="85"/>
      <c r="F7406" s="92"/>
      <c r="G7406" s="85"/>
    </row>
    <row r="7407">
      <c r="A7407" s="84"/>
      <c r="B7407" s="85"/>
      <c r="C7407" s="85"/>
      <c r="F7407" s="92"/>
      <c r="G7407" s="85"/>
    </row>
    <row r="7408">
      <c r="A7408" s="84"/>
      <c r="B7408" s="85"/>
      <c r="C7408" s="85"/>
      <c r="F7408" s="92"/>
      <c r="G7408" s="85"/>
    </row>
    <row r="7409">
      <c r="A7409" s="84"/>
      <c r="B7409" s="85"/>
      <c r="C7409" s="85"/>
      <c r="F7409" s="92"/>
      <c r="G7409" s="85"/>
    </row>
    <row r="7410">
      <c r="A7410" s="84"/>
      <c r="B7410" s="85"/>
      <c r="C7410" s="85"/>
      <c r="F7410" s="92"/>
      <c r="G7410" s="85"/>
    </row>
    <row r="7411">
      <c r="A7411" s="84"/>
      <c r="B7411" s="85"/>
      <c r="C7411" s="85"/>
      <c r="F7411" s="92"/>
      <c r="G7411" s="85"/>
    </row>
    <row r="7412">
      <c r="A7412" s="84"/>
      <c r="B7412" s="85"/>
      <c r="C7412" s="85"/>
      <c r="F7412" s="92"/>
      <c r="G7412" s="85"/>
    </row>
    <row r="7413">
      <c r="A7413" s="84"/>
      <c r="B7413" s="85"/>
      <c r="C7413" s="85"/>
      <c r="F7413" s="92"/>
      <c r="G7413" s="85"/>
    </row>
    <row r="7414">
      <c r="A7414" s="84"/>
      <c r="B7414" s="85"/>
      <c r="C7414" s="85"/>
      <c r="F7414" s="92"/>
      <c r="G7414" s="85"/>
    </row>
    <row r="7415">
      <c r="A7415" s="84"/>
      <c r="B7415" s="85"/>
      <c r="C7415" s="85"/>
      <c r="F7415" s="92"/>
      <c r="G7415" s="85"/>
    </row>
    <row r="7416">
      <c r="A7416" s="84"/>
      <c r="B7416" s="85"/>
      <c r="C7416" s="85"/>
      <c r="F7416" s="92"/>
      <c r="G7416" s="85"/>
    </row>
    <row r="7417">
      <c r="A7417" s="84"/>
      <c r="B7417" s="85"/>
      <c r="C7417" s="85"/>
      <c r="F7417" s="92"/>
      <c r="G7417" s="85"/>
    </row>
    <row r="7418">
      <c r="A7418" s="84"/>
      <c r="B7418" s="85"/>
      <c r="C7418" s="85"/>
      <c r="F7418" s="92"/>
      <c r="G7418" s="85"/>
    </row>
    <row r="7419">
      <c r="A7419" s="84"/>
      <c r="B7419" s="85"/>
      <c r="C7419" s="85"/>
      <c r="F7419" s="92"/>
      <c r="G7419" s="85"/>
    </row>
    <row r="7420">
      <c r="A7420" s="84"/>
      <c r="B7420" s="85"/>
      <c r="C7420" s="85"/>
      <c r="F7420" s="92"/>
      <c r="G7420" s="85"/>
    </row>
    <row r="7421">
      <c r="A7421" s="84"/>
      <c r="B7421" s="85"/>
      <c r="C7421" s="85"/>
      <c r="F7421" s="92"/>
      <c r="G7421" s="85"/>
    </row>
    <row r="7422">
      <c r="A7422" s="84"/>
      <c r="B7422" s="85"/>
      <c r="C7422" s="85"/>
      <c r="F7422" s="92"/>
      <c r="G7422" s="85"/>
    </row>
    <row r="7423">
      <c r="A7423" s="84"/>
      <c r="B7423" s="85"/>
      <c r="C7423" s="85"/>
      <c r="F7423" s="92"/>
      <c r="G7423" s="85"/>
    </row>
    <row r="7424">
      <c r="A7424" s="84"/>
      <c r="B7424" s="85"/>
      <c r="C7424" s="85"/>
      <c r="F7424" s="92"/>
      <c r="G7424" s="85"/>
    </row>
    <row r="7425">
      <c r="A7425" s="84"/>
      <c r="B7425" s="85"/>
      <c r="C7425" s="85"/>
      <c r="F7425" s="92"/>
      <c r="G7425" s="85"/>
    </row>
    <row r="7426">
      <c r="A7426" s="84"/>
      <c r="B7426" s="85"/>
      <c r="C7426" s="85"/>
      <c r="F7426" s="92"/>
      <c r="G7426" s="85"/>
    </row>
    <row r="7427">
      <c r="A7427" s="84"/>
      <c r="B7427" s="85"/>
      <c r="C7427" s="85"/>
      <c r="F7427" s="92"/>
      <c r="G7427" s="85"/>
    </row>
    <row r="7428">
      <c r="A7428" s="84"/>
      <c r="B7428" s="85"/>
      <c r="C7428" s="85"/>
      <c r="F7428" s="92"/>
      <c r="G7428" s="85"/>
    </row>
    <row r="7429">
      <c r="A7429" s="84"/>
      <c r="B7429" s="85"/>
      <c r="C7429" s="85"/>
      <c r="F7429" s="92"/>
      <c r="G7429" s="85"/>
    </row>
    <row r="7430">
      <c r="A7430" s="84"/>
      <c r="B7430" s="85"/>
      <c r="C7430" s="85"/>
      <c r="F7430" s="92"/>
      <c r="G7430" s="85"/>
    </row>
    <row r="7431">
      <c r="A7431" s="84"/>
      <c r="B7431" s="85"/>
      <c r="C7431" s="85"/>
      <c r="F7431" s="92"/>
      <c r="G7431" s="85"/>
    </row>
    <row r="7432">
      <c r="A7432" s="84"/>
      <c r="B7432" s="85"/>
      <c r="C7432" s="85"/>
      <c r="F7432" s="92"/>
      <c r="G7432" s="85"/>
    </row>
    <row r="7433">
      <c r="A7433" s="84"/>
      <c r="B7433" s="85"/>
      <c r="C7433" s="85"/>
      <c r="F7433" s="92"/>
      <c r="G7433" s="85"/>
    </row>
    <row r="7434">
      <c r="A7434" s="84"/>
      <c r="B7434" s="85"/>
      <c r="C7434" s="85"/>
      <c r="F7434" s="92"/>
      <c r="G7434" s="85"/>
    </row>
    <row r="7435">
      <c r="A7435" s="84"/>
      <c r="B7435" s="85"/>
      <c r="C7435" s="85"/>
      <c r="F7435" s="92"/>
      <c r="G7435" s="85"/>
    </row>
    <row r="7436">
      <c r="A7436" s="84"/>
      <c r="B7436" s="85"/>
      <c r="C7436" s="85"/>
      <c r="F7436" s="92"/>
      <c r="G7436" s="85"/>
    </row>
    <row r="7437">
      <c r="A7437" s="84"/>
      <c r="B7437" s="85"/>
      <c r="C7437" s="85"/>
      <c r="F7437" s="92"/>
      <c r="G7437" s="85"/>
    </row>
    <row r="7438">
      <c r="A7438" s="84"/>
      <c r="B7438" s="85"/>
      <c r="C7438" s="85"/>
      <c r="F7438" s="92"/>
      <c r="G7438" s="85"/>
    </row>
    <row r="7439">
      <c r="A7439" s="84"/>
      <c r="B7439" s="85"/>
      <c r="C7439" s="85"/>
      <c r="F7439" s="92"/>
      <c r="G7439" s="85"/>
    </row>
    <row r="7440">
      <c r="A7440" s="84"/>
      <c r="B7440" s="85"/>
      <c r="C7440" s="85"/>
      <c r="F7440" s="92"/>
      <c r="G7440" s="85"/>
    </row>
    <row r="7441">
      <c r="A7441" s="84"/>
      <c r="B7441" s="85"/>
      <c r="C7441" s="85"/>
      <c r="F7441" s="92"/>
      <c r="G7441" s="85"/>
    </row>
    <row r="7442">
      <c r="A7442" s="84"/>
      <c r="B7442" s="85"/>
      <c r="C7442" s="85"/>
      <c r="F7442" s="92"/>
      <c r="G7442" s="85"/>
    </row>
    <row r="7443">
      <c r="A7443" s="84"/>
      <c r="B7443" s="85"/>
      <c r="C7443" s="85"/>
      <c r="F7443" s="92"/>
      <c r="G7443" s="85"/>
    </row>
    <row r="7444">
      <c r="A7444" s="84"/>
      <c r="B7444" s="85"/>
      <c r="C7444" s="85"/>
      <c r="F7444" s="92"/>
      <c r="G7444" s="85"/>
    </row>
    <row r="7445">
      <c r="A7445" s="84"/>
      <c r="B7445" s="85"/>
      <c r="C7445" s="85"/>
      <c r="F7445" s="92"/>
      <c r="G7445" s="85"/>
    </row>
    <row r="7446">
      <c r="A7446" s="84"/>
      <c r="B7446" s="85"/>
      <c r="C7446" s="85"/>
      <c r="F7446" s="92"/>
      <c r="G7446" s="85"/>
    </row>
    <row r="7447">
      <c r="A7447" s="84"/>
      <c r="B7447" s="85"/>
      <c r="C7447" s="85"/>
      <c r="F7447" s="92"/>
      <c r="G7447" s="85"/>
    </row>
    <row r="7448">
      <c r="A7448" s="84"/>
      <c r="B7448" s="85"/>
      <c r="C7448" s="85"/>
      <c r="F7448" s="92"/>
      <c r="G7448" s="85"/>
    </row>
    <row r="7449">
      <c r="A7449" s="84"/>
      <c r="B7449" s="85"/>
      <c r="C7449" s="85"/>
      <c r="F7449" s="92"/>
      <c r="G7449" s="85"/>
    </row>
    <row r="7450">
      <c r="A7450" s="84"/>
      <c r="B7450" s="85"/>
      <c r="C7450" s="85"/>
      <c r="F7450" s="92"/>
      <c r="G7450" s="85"/>
    </row>
    <row r="7451">
      <c r="A7451" s="84"/>
      <c r="B7451" s="85"/>
      <c r="C7451" s="85"/>
      <c r="F7451" s="92"/>
      <c r="G7451" s="85"/>
    </row>
    <row r="7452">
      <c r="A7452" s="84"/>
      <c r="B7452" s="85"/>
      <c r="C7452" s="85"/>
      <c r="F7452" s="92"/>
      <c r="G7452" s="85"/>
    </row>
    <row r="7453">
      <c r="A7453" s="84"/>
      <c r="B7453" s="85"/>
      <c r="C7453" s="85"/>
      <c r="F7453" s="92"/>
      <c r="G7453" s="85"/>
    </row>
    <row r="7454">
      <c r="A7454" s="84"/>
      <c r="B7454" s="85"/>
      <c r="C7454" s="85"/>
      <c r="F7454" s="92"/>
      <c r="G7454" s="85"/>
    </row>
    <row r="7455">
      <c r="A7455" s="84"/>
      <c r="B7455" s="85"/>
      <c r="C7455" s="85"/>
      <c r="F7455" s="92"/>
      <c r="G7455" s="85"/>
    </row>
    <row r="7456">
      <c r="A7456" s="84"/>
      <c r="B7456" s="85"/>
      <c r="C7456" s="85"/>
      <c r="F7456" s="92"/>
      <c r="G7456" s="85"/>
    </row>
    <row r="7457">
      <c r="A7457" s="84"/>
      <c r="B7457" s="85"/>
      <c r="C7457" s="85"/>
      <c r="F7457" s="92"/>
      <c r="G7457" s="85"/>
    </row>
    <row r="7458">
      <c r="A7458" s="84"/>
      <c r="B7458" s="85"/>
      <c r="C7458" s="85"/>
      <c r="F7458" s="92"/>
      <c r="G7458" s="85"/>
    </row>
    <row r="7459">
      <c r="A7459" s="84"/>
      <c r="B7459" s="85"/>
      <c r="C7459" s="85"/>
      <c r="F7459" s="92"/>
      <c r="G7459" s="85"/>
    </row>
    <row r="7460">
      <c r="A7460" s="84"/>
      <c r="B7460" s="85"/>
      <c r="C7460" s="85"/>
      <c r="F7460" s="92"/>
      <c r="G7460" s="85"/>
    </row>
    <row r="7461">
      <c r="A7461" s="84"/>
      <c r="B7461" s="85"/>
      <c r="C7461" s="85"/>
      <c r="F7461" s="92"/>
      <c r="G7461" s="85"/>
    </row>
    <row r="7462">
      <c r="A7462" s="84"/>
      <c r="B7462" s="85"/>
      <c r="C7462" s="85"/>
      <c r="F7462" s="92"/>
      <c r="G7462" s="85"/>
    </row>
    <row r="7463">
      <c r="A7463" s="84"/>
      <c r="B7463" s="85"/>
      <c r="C7463" s="85"/>
      <c r="F7463" s="92"/>
      <c r="G7463" s="85"/>
    </row>
    <row r="7464">
      <c r="A7464" s="84"/>
      <c r="B7464" s="85"/>
      <c r="C7464" s="85"/>
      <c r="F7464" s="92"/>
      <c r="G7464" s="85"/>
    </row>
    <row r="7465">
      <c r="A7465" s="84"/>
      <c r="B7465" s="85"/>
      <c r="C7465" s="85"/>
      <c r="F7465" s="92"/>
      <c r="G7465" s="85"/>
    </row>
    <row r="7466">
      <c r="A7466" s="84"/>
      <c r="B7466" s="85"/>
      <c r="C7466" s="85"/>
      <c r="F7466" s="92"/>
      <c r="G7466" s="85"/>
    </row>
    <row r="7467">
      <c r="A7467" s="84"/>
      <c r="B7467" s="85"/>
      <c r="C7467" s="85"/>
      <c r="F7467" s="92"/>
      <c r="G7467" s="85"/>
    </row>
    <row r="7468">
      <c r="A7468" s="84"/>
      <c r="B7468" s="85"/>
      <c r="C7468" s="85"/>
      <c r="F7468" s="92"/>
      <c r="G7468" s="85"/>
    </row>
    <row r="7469">
      <c r="A7469" s="84"/>
      <c r="B7469" s="85"/>
      <c r="C7469" s="85"/>
      <c r="F7469" s="92"/>
      <c r="G7469" s="85"/>
    </row>
    <row r="7470">
      <c r="A7470" s="84"/>
      <c r="B7470" s="85"/>
      <c r="C7470" s="85"/>
      <c r="F7470" s="92"/>
      <c r="G7470" s="85"/>
    </row>
    <row r="7471">
      <c r="A7471" s="84"/>
      <c r="B7471" s="85"/>
      <c r="C7471" s="85"/>
      <c r="F7471" s="92"/>
      <c r="G7471" s="85"/>
    </row>
    <row r="7472">
      <c r="A7472" s="84"/>
      <c r="B7472" s="85"/>
      <c r="C7472" s="85"/>
      <c r="F7472" s="92"/>
      <c r="G7472" s="85"/>
    </row>
    <row r="7473">
      <c r="A7473" s="84"/>
      <c r="B7473" s="85"/>
      <c r="C7473" s="85"/>
      <c r="F7473" s="92"/>
      <c r="G7473" s="85"/>
    </row>
    <row r="7474">
      <c r="A7474" s="84"/>
      <c r="B7474" s="85"/>
      <c r="C7474" s="85"/>
      <c r="F7474" s="92"/>
      <c r="G7474" s="85"/>
    </row>
    <row r="7475">
      <c r="A7475" s="84"/>
      <c r="B7475" s="85"/>
      <c r="C7475" s="85"/>
      <c r="F7475" s="92"/>
      <c r="G7475" s="85"/>
    </row>
    <row r="7476">
      <c r="A7476" s="84"/>
      <c r="B7476" s="85"/>
      <c r="C7476" s="85"/>
      <c r="F7476" s="92"/>
      <c r="G7476" s="85"/>
    </row>
    <row r="7477">
      <c r="A7477" s="84"/>
      <c r="B7477" s="85"/>
      <c r="C7477" s="85"/>
      <c r="F7477" s="92"/>
      <c r="G7477" s="85"/>
    </row>
    <row r="7478">
      <c r="A7478" s="84"/>
      <c r="B7478" s="85"/>
      <c r="C7478" s="85"/>
      <c r="F7478" s="92"/>
      <c r="G7478" s="85"/>
    </row>
    <row r="7479">
      <c r="A7479" s="84"/>
      <c r="B7479" s="85"/>
      <c r="C7479" s="85"/>
      <c r="F7479" s="92"/>
      <c r="G7479" s="85"/>
    </row>
    <row r="7480">
      <c r="A7480" s="84"/>
      <c r="B7480" s="85"/>
      <c r="C7480" s="85"/>
      <c r="F7480" s="92"/>
      <c r="G7480" s="85"/>
    </row>
    <row r="7481">
      <c r="A7481" s="84"/>
      <c r="B7481" s="85"/>
      <c r="C7481" s="85"/>
      <c r="F7481" s="92"/>
      <c r="G7481" s="85"/>
    </row>
    <row r="7482">
      <c r="A7482" s="84"/>
      <c r="B7482" s="85"/>
      <c r="C7482" s="85"/>
      <c r="F7482" s="92"/>
      <c r="G7482" s="85"/>
    </row>
    <row r="7483">
      <c r="A7483" s="84"/>
      <c r="B7483" s="85"/>
      <c r="C7483" s="85"/>
      <c r="F7483" s="92"/>
      <c r="G7483" s="85"/>
    </row>
    <row r="7484">
      <c r="A7484" s="84"/>
      <c r="B7484" s="85"/>
      <c r="C7484" s="85"/>
      <c r="F7484" s="92"/>
      <c r="G7484" s="85"/>
    </row>
    <row r="7485">
      <c r="A7485" s="84"/>
      <c r="B7485" s="85"/>
      <c r="C7485" s="85"/>
      <c r="F7485" s="92"/>
      <c r="G7485" s="85"/>
    </row>
    <row r="7486">
      <c r="A7486" s="84"/>
      <c r="B7486" s="85"/>
      <c r="C7486" s="85"/>
      <c r="F7486" s="92"/>
      <c r="G7486" s="85"/>
    </row>
    <row r="7487">
      <c r="A7487" s="84"/>
      <c r="B7487" s="85"/>
      <c r="C7487" s="85"/>
      <c r="F7487" s="92"/>
      <c r="G7487" s="85"/>
    </row>
    <row r="7488">
      <c r="A7488" s="84"/>
      <c r="B7488" s="85"/>
      <c r="C7488" s="85"/>
      <c r="F7488" s="92"/>
      <c r="G7488" s="85"/>
    </row>
    <row r="7489">
      <c r="A7489" s="84"/>
      <c r="B7489" s="85"/>
      <c r="C7489" s="85"/>
      <c r="F7489" s="92"/>
      <c r="G7489" s="85"/>
    </row>
    <row r="7490">
      <c r="A7490" s="84"/>
      <c r="B7490" s="85"/>
      <c r="C7490" s="85"/>
      <c r="F7490" s="92"/>
      <c r="G7490" s="85"/>
    </row>
    <row r="7491">
      <c r="A7491" s="84"/>
      <c r="B7491" s="85"/>
      <c r="C7491" s="85"/>
      <c r="F7491" s="92"/>
      <c r="G7491" s="85"/>
    </row>
    <row r="7492">
      <c r="A7492" s="84"/>
      <c r="B7492" s="85"/>
      <c r="C7492" s="85"/>
      <c r="F7492" s="92"/>
      <c r="G7492" s="85"/>
    </row>
    <row r="7493">
      <c r="A7493" s="84"/>
      <c r="B7493" s="85"/>
      <c r="C7493" s="85"/>
      <c r="F7493" s="92"/>
      <c r="G7493" s="85"/>
    </row>
    <row r="7494">
      <c r="A7494" s="84"/>
      <c r="B7494" s="85"/>
      <c r="C7494" s="85"/>
      <c r="F7494" s="92"/>
      <c r="G7494" s="85"/>
    </row>
    <row r="7495">
      <c r="A7495" s="84"/>
      <c r="B7495" s="85"/>
      <c r="C7495" s="85"/>
      <c r="F7495" s="92"/>
      <c r="G7495" s="85"/>
    </row>
    <row r="7496">
      <c r="A7496" s="84"/>
      <c r="B7496" s="85"/>
      <c r="C7496" s="85"/>
      <c r="F7496" s="92"/>
      <c r="G7496" s="85"/>
    </row>
    <row r="7497">
      <c r="A7497" s="84"/>
      <c r="B7497" s="85"/>
      <c r="C7497" s="85"/>
      <c r="F7497" s="92"/>
      <c r="G7497" s="85"/>
    </row>
    <row r="7498">
      <c r="A7498" s="84"/>
      <c r="B7498" s="85"/>
      <c r="C7498" s="85"/>
      <c r="F7498" s="92"/>
      <c r="G7498" s="85"/>
    </row>
    <row r="7499">
      <c r="A7499" s="84"/>
      <c r="B7499" s="85"/>
      <c r="C7499" s="85"/>
      <c r="F7499" s="92"/>
      <c r="G7499" s="85"/>
    </row>
    <row r="7500">
      <c r="A7500" s="84"/>
      <c r="B7500" s="85"/>
      <c r="C7500" s="85"/>
      <c r="F7500" s="92"/>
      <c r="G7500" s="85"/>
    </row>
    <row r="7501">
      <c r="A7501" s="84"/>
      <c r="B7501" s="85"/>
      <c r="C7501" s="85"/>
      <c r="F7501" s="92"/>
      <c r="G7501" s="85"/>
    </row>
    <row r="7502">
      <c r="A7502" s="84"/>
      <c r="B7502" s="85"/>
      <c r="C7502" s="85"/>
      <c r="F7502" s="92"/>
      <c r="G7502" s="85"/>
    </row>
    <row r="7503">
      <c r="A7503" s="84"/>
      <c r="B7503" s="85"/>
      <c r="C7503" s="85"/>
      <c r="F7503" s="92"/>
      <c r="G7503" s="85"/>
    </row>
    <row r="7504">
      <c r="A7504" s="84"/>
      <c r="B7504" s="85"/>
      <c r="C7504" s="85"/>
      <c r="F7504" s="92"/>
      <c r="G7504" s="85"/>
    </row>
    <row r="7505">
      <c r="A7505" s="84"/>
      <c r="B7505" s="85"/>
      <c r="C7505" s="85"/>
      <c r="F7505" s="92"/>
      <c r="G7505" s="85"/>
    </row>
    <row r="7506">
      <c r="A7506" s="84"/>
      <c r="B7506" s="85"/>
      <c r="C7506" s="85"/>
      <c r="F7506" s="92"/>
      <c r="G7506" s="85"/>
    </row>
    <row r="7507">
      <c r="A7507" s="84"/>
      <c r="B7507" s="85"/>
      <c r="C7507" s="85"/>
      <c r="F7507" s="92"/>
      <c r="G7507" s="85"/>
    </row>
    <row r="7508">
      <c r="A7508" s="84"/>
      <c r="B7508" s="85"/>
      <c r="C7508" s="85"/>
      <c r="F7508" s="92"/>
      <c r="G7508" s="85"/>
    </row>
    <row r="7509">
      <c r="A7509" s="84"/>
      <c r="B7509" s="85"/>
      <c r="C7509" s="85"/>
      <c r="F7509" s="92"/>
      <c r="G7509" s="85"/>
    </row>
    <row r="7510">
      <c r="A7510" s="84"/>
      <c r="B7510" s="85"/>
      <c r="C7510" s="85"/>
      <c r="F7510" s="92"/>
      <c r="G7510" s="85"/>
    </row>
    <row r="7511">
      <c r="A7511" s="84"/>
      <c r="B7511" s="85"/>
      <c r="C7511" s="85"/>
      <c r="F7511" s="92"/>
      <c r="G7511" s="85"/>
    </row>
    <row r="7512">
      <c r="A7512" s="84"/>
      <c r="B7512" s="85"/>
      <c r="C7512" s="85"/>
      <c r="F7512" s="92"/>
      <c r="G7512" s="85"/>
    </row>
    <row r="7513">
      <c r="A7513" s="84"/>
      <c r="B7513" s="85"/>
      <c r="C7513" s="85"/>
      <c r="F7513" s="92"/>
      <c r="G7513" s="85"/>
    </row>
    <row r="7514">
      <c r="A7514" s="84"/>
      <c r="B7514" s="85"/>
      <c r="C7514" s="85"/>
      <c r="F7514" s="92"/>
      <c r="G7514" s="85"/>
    </row>
    <row r="7515">
      <c r="A7515" s="84"/>
      <c r="B7515" s="85"/>
      <c r="C7515" s="85"/>
      <c r="F7515" s="92"/>
      <c r="G7515" s="85"/>
    </row>
    <row r="7516">
      <c r="A7516" s="84"/>
      <c r="B7516" s="85"/>
      <c r="C7516" s="85"/>
      <c r="F7516" s="92"/>
      <c r="G7516" s="85"/>
    </row>
    <row r="7517">
      <c r="A7517" s="84"/>
      <c r="B7517" s="85"/>
      <c r="C7517" s="85"/>
      <c r="F7517" s="92"/>
      <c r="G7517" s="85"/>
    </row>
    <row r="7518">
      <c r="A7518" s="84"/>
      <c r="B7518" s="85"/>
      <c r="C7518" s="85"/>
      <c r="F7518" s="92"/>
      <c r="G7518" s="85"/>
    </row>
    <row r="7519">
      <c r="A7519" s="84"/>
      <c r="B7519" s="85"/>
      <c r="C7519" s="85"/>
      <c r="F7519" s="92"/>
      <c r="G7519" s="85"/>
    </row>
    <row r="7520">
      <c r="A7520" s="84"/>
      <c r="B7520" s="85"/>
      <c r="C7520" s="85"/>
      <c r="F7520" s="92"/>
      <c r="G7520" s="85"/>
    </row>
    <row r="7521">
      <c r="A7521" s="84"/>
      <c r="B7521" s="85"/>
      <c r="C7521" s="85"/>
      <c r="F7521" s="92"/>
      <c r="G7521" s="85"/>
    </row>
    <row r="7522">
      <c r="A7522" s="84"/>
      <c r="B7522" s="85"/>
      <c r="C7522" s="85"/>
      <c r="F7522" s="92"/>
      <c r="G7522" s="85"/>
    </row>
    <row r="7523">
      <c r="A7523" s="84"/>
      <c r="B7523" s="85"/>
      <c r="C7523" s="85"/>
      <c r="F7523" s="92"/>
      <c r="G7523" s="85"/>
    </row>
    <row r="7524">
      <c r="A7524" s="84"/>
      <c r="B7524" s="85"/>
      <c r="C7524" s="85"/>
      <c r="F7524" s="92"/>
      <c r="G7524" s="85"/>
    </row>
    <row r="7525">
      <c r="A7525" s="84"/>
      <c r="B7525" s="85"/>
      <c r="C7525" s="85"/>
      <c r="F7525" s="92"/>
      <c r="G7525" s="85"/>
    </row>
    <row r="7526">
      <c r="A7526" s="84"/>
      <c r="B7526" s="85"/>
      <c r="C7526" s="85"/>
      <c r="F7526" s="92"/>
      <c r="G7526" s="85"/>
    </row>
    <row r="7527">
      <c r="A7527" s="84"/>
      <c r="B7527" s="85"/>
      <c r="C7527" s="85"/>
      <c r="F7527" s="92"/>
      <c r="G7527" s="85"/>
    </row>
    <row r="7528">
      <c r="A7528" s="84"/>
      <c r="B7528" s="85"/>
      <c r="C7528" s="85"/>
      <c r="F7528" s="92"/>
      <c r="G7528" s="85"/>
    </row>
    <row r="7529">
      <c r="A7529" s="84"/>
      <c r="B7529" s="85"/>
      <c r="C7529" s="85"/>
      <c r="F7529" s="92"/>
      <c r="G7529" s="85"/>
    </row>
    <row r="7530">
      <c r="A7530" s="84"/>
      <c r="B7530" s="85"/>
      <c r="C7530" s="85"/>
      <c r="F7530" s="92"/>
      <c r="G7530" s="85"/>
    </row>
    <row r="7531">
      <c r="A7531" s="84"/>
      <c r="B7531" s="85"/>
      <c r="C7531" s="85"/>
      <c r="F7531" s="92"/>
      <c r="G7531" s="85"/>
    </row>
    <row r="7532">
      <c r="A7532" s="84"/>
      <c r="B7532" s="85"/>
      <c r="C7532" s="85"/>
      <c r="F7532" s="92"/>
      <c r="G7532" s="85"/>
    </row>
    <row r="7533">
      <c r="A7533" s="84"/>
      <c r="B7533" s="85"/>
      <c r="C7533" s="85"/>
      <c r="F7533" s="92"/>
      <c r="G7533" s="85"/>
    </row>
    <row r="7534">
      <c r="A7534" s="84"/>
      <c r="B7534" s="85"/>
      <c r="C7534" s="85"/>
      <c r="F7534" s="92"/>
      <c r="G7534" s="85"/>
    </row>
    <row r="7535">
      <c r="A7535" s="84"/>
      <c r="B7535" s="85"/>
      <c r="C7535" s="85"/>
      <c r="F7535" s="92"/>
      <c r="G7535" s="85"/>
    </row>
    <row r="7536">
      <c r="A7536" s="84"/>
      <c r="B7536" s="85"/>
      <c r="C7536" s="85"/>
      <c r="F7536" s="92"/>
      <c r="G7536" s="85"/>
    </row>
    <row r="7537">
      <c r="A7537" s="84"/>
      <c r="B7537" s="85"/>
      <c r="C7537" s="85"/>
      <c r="F7537" s="92"/>
      <c r="G7537" s="85"/>
    </row>
    <row r="7538">
      <c r="A7538" s="84"/>
      <c r="B7538" s="85"/>
      <c r="C7538" s="85"/>
      <c r="F7538" s="92"/>
      <c r="G7538" s="85"/>
    </row>
    <row r="7539">
      <c r="A7539" s="84"/>
      <c r="B7539" s="85"/>
      <c r="C7539" s="85"/>
      <c r="F7539" s="92"/>
      <c r="G7539" s="85"/>
    </row>
    <row r="7540">
      <c r="A7540" s="84"/>
      <c r="B7540" s="85"/>
      <c r="C7540" s="85"/>
      <c r="F7540" s="92"/>
      <c r="G7540" s="85"/>
    </row>
    <row r="7541">
      <c r="A7541" s="84"/>
      <c r="B7541" s="85"/>
      <c r="C7541" s="85"/>
      <c r="F7541" s="92"/>
      <c r="G7541" s="85"/>
    </row>
    <row r="7542">
      <c r="A7542" s="84"/>
      <c r="B7542" s="85"/>
      <c r="C7542" s="85"/>
      <c r="F7542" s="92"/>
      <c r="G7542" s="85"/>
    </row>
    <row r="7543">
      <c r="A7543" s="84"/>
      <c r="B7543" s="85"/>
      <c r="C7543" s="85"/>
      <c r="F7543" s="92"/>
      <c r="G7543" s="85"/>
    </row>
    <row r="7544">
      <c r="A7544" s="84"/>
      <c r="B7544" s="85"/>
      <c r="C7544" s="85"/>
      <c r="F7544" s="92"/>
      <c r="G7544" s="85"/>
    </row>
    <row r="7545">
      <c r="A7545" s="84"/>
      <c r="B7545" s="85"/>
      <c r="C7545" s="85"/>
      <c r="F7545" s="92"/>
      <c r="G7545" s="85"/>
    </row>
    <row r="7546">
      <c r="A7546" s="84"/>
      <c r="B7546" s="85"/>
      <c r="C7546" s="85"/>
      <c r="F7546" s="92"/>
      <c r="G7546" s="85"/>
    </row>
    <row r="7547">
      <c r="A7547" s="84"/>
      <c r="B7547" s="85"/>
      <c r="C7547" s="85"/>
      <c r="F7547" s="92"/>
      <c r="G7547" s="85"/>
    </row>
    <row r="7548">
      <c r="A7548" s="84"/>
      <c r="B7548" s="85"/>
      <c r="C7548" s="85"/>
      <c r="F7548" s="92"/>
      <c r="G7548" s="85"/>
    </row>
    <row r="7549">
      <c r="A7549" s="84"/>
      <c r="B7549" s="85"/>
      <c r="C7549" s="85"/>
      <c r="F7549" s="92"/>
      <c r="G7549" s="85"/>
    </row>
    <row r="7550">
      <c r="A7550" s="84"/>
      <c r="B7550" s="85"/>
      <c r="C7550" s="85"/>
      <c r="F7550" s="92"/>
      <c r="G7550" s="85"/>
    </row>
    <row r="7551">
      <c r="A7551" s="84"/>
      <c r="B7551" s="85"/>
      <c r="C7551" s="85"/>
      <c r="F7551" s="92"/>
      <c r="G7551" s="85"/>
    </row>
    <row r="7552">
      <c r="A7552" s="84"/>
      <c r="B7552" s="85"/>
      <c r="C7552" s="85"/>
      <c r="F7552" s="92"/>
      <c r="G7552" s="85"/>
    </row>
    <row r="7553">
      <c r="A7553" s="84"/>
      <c r="B7553" s="85"/>
      <c r="C7553" s="85"/>
      <c r="F7553" s="92"/>
      <c r="G7553" s="85"/>
    </row>
    <row r="7554">
      <c r="A7554" s="84"/>
      <c r="B7554" s="85"/>
      <c r="C7554" s="85"/>
      <c r="F7554" s="92"/>
      <c r="G7554" s="85"/>
    </row>
    <row r="7555">
      <c r="A7555" s="84"/>
      <c r="B7555" s="85"/>
      <c r="C7555" s="85"/>
      <c r="F7555" s="92"/>
      <c r="G7555" s="85"/>
    </row>
    <row r="7556">
      <c r="A7556" s="84"/>
      <c r="B7556" s="85"/>
      <c r="C7556" s="85"/>
      <c r="F7556" s="92"/>
      <c r="G7556" s="85"/>
    </row>
    <row r="7557">
      <c r="A7557" s="84"/>
      <c r="B7557" s="85"/>
      <c r="C7557" s="85"/>
      <c r="F7557" s="92"/>
      <c r="G7557" s="85"/>
    </row>
    <row r="7558">
      <c r="A7558" s="84"/>
      <c r="B7558" s="85"/>
      <c r="C7558" s="85"/>
      <c r="F7558" s="92"/>
      <c r="G7558" s="85"/>
    </row>
    <row r="7559">
      <c r="A7559" s="84"/>
      <c r="B7559" s="85"/>
      <c r="C7559" s="85"/>
      <c r="F7559" s="92"/>
      <c r="G7559" s="85"/>
    </row>
    <row r="7560">
      <c r="A7560" s="84"/>
      <c r="B7560" s="85"/>
      <c r="C7560" s="85"/>
      <c r="F7560" s="92"/>
      <c r="G7560" s="85"/>
    </row>
    <row r="7561">
      <c r="A7561" s="84"/>
      <c r="B7561" s="85"/>
      <c r="C7561" s="85"/>
      <c r="F7561" s="92"/>
      <c r="G7561" s="85"/>
    </row>
    <row r="7562">
      <c r="A7562" s="84"/>
      <c r="B7562" s="85"/>
      <c r="C7562" s="85"/>
      <c r="F7562" s="92"/>
      <c r="G7562" s="85"/>
    </row>
    <row r="7563">
      <c r="A7563" s="84"/>
      <c r="B7563" s="85"/>
      <c r="C7563" s="85"/>
      <c r="F7563" s="92"/>
      <c r="G7563" s="85"/>
    </row>
    <row r="7564">
      <c r="A7564" s="84"/>
      <c r="B7564" s="85"/>
      <c r="C7564" s="85"/>
      <c r="F7564" s="92"/>
      <c r="G7564" s="85"/>
    </row>
    <row r="7565">
      <c r="A7565" s="84"/>
      <c r="B7565" s="85"/>
      <c r="C7565" s="85"/>
      <c r="F7565" s="92"/>
      <c r="G7565" s="85"/>
    </row>
    <row r="7566">
      <c r="A7566" s="84"/>
      <c r="B7566" s="85"/>
      <c r="C7566" s="85"/>
      <c r="F7566" s="92"/>
      <c r="G7566" s="85"/>
    </row>
    <row r="7567">
      <c r="A7567" s="84"/>
      <c r="B7567" s="85"/>
      <c r="C7567" s="85"/>
      <c r="F7567" s="92"/>
      <c r="G7567" s="85"/>
    </row>
    <row r="7568">
      <c r="A7568" s="84"/>
      <c r="B7568" s="85"/>
      <c r="C7568" s="85"/>
      <c r="F7568" s="92"/>
      <c r="G7568" s="85"/>
    </row>
    <row r="7569">
      <c r="A7569" s="84"/>
      <c r="B7569" s="85"/>
      <c r="C7569" s="85"/>
      <c r="F7569" s="92"/>
      <c r="G7569" s="85"/>
    </row>
    <row r="7570">
      <c r="A7570" s="84"/>
      <c r="B7570" s="85"/>
      <c r="C7570" s="85"/>
      <c r="F7570" s="92"/>
      <c r="G7570" s="85"/>
    </row>
    <row r="7571">
      <c r="A7571" s="84"/>
      <c r="B7571" s="85"/>
      <c r="C7571" s="85"/>
      <c r="F7571" s="92"/>
      <c r="G7571" s="85"/>
    </row>
    <row r="7572">
      <c r="A7572" s="84"/>
      <c r="B7572" s="85"/>
      <c r="C7572" s="85"/>
      <c r="F7572" s="92"/>
      <c r="G7572" s="85"/>
    </row>
    <row r="7573">
      <c r="A7573" s="84"/>
      <c r="B7573" s="85"/>
      <c r="C7573" s="85"/>
      <c r="F7573" s="92"/>
      <c r="G7573" s="85"/>
    </row>
    <row r="7574">
      <c r="A7574" s="84"/>
      <c r="B7574" s="85"/>
      <c r="C7574" s="85"/>
      <c r="F7574" s="92"/>
      <c r="G7574" s="85"/>
    </row>
    <row r="7575">
      <c r="A7575" s="84"/>
      <c r="B7575" s="85"/>
      <c r="C7575" s="85"/>
      <c r="F7575" s="92"/>
      <c r="G7575" s="85"/>
    </row>
    <row r="7576">
      <c r="A7576" s="84"/>
      <c r="B7576" s="85"/>
      <c r="C7576" s="85"/>
      <c r="F7576" s="92"/>
      <c r="G7576" s="85"/>
    </row>
    <row r="7577">
      <c r="A7577" s="84"/>
      <c r="B7577" s="85"/>
      <c r="C7577" s="85"/>
      <c r="F7577" s="92"/>
      <c r="G7577" s="85"/>
    </row>
    <row r="7578">
      <c r="A7578" s="84"/>
      <c r="B7578" s="85"/>
      <c r="C7578" s="85"/>
      <c r="F7578" s="92"/>
      <c r="G7578" s="85"/>
    </row>
    <row r="7579">
      <c r="A7579" s="84"/>
      <c r="B7579" s="85"/>
      <c r="C7579" s="85"/>
      <c r="F7579" s="92"/>
      <c r="G7579" s="85"/>
    </row>
    <row r="7580">
      <c r="A7580" s="84"/>
      <c r="B7580" s="85"/>
      <c r="C7580" s="85"/>
      <c r="F7580" s="92"/>
      <c r="G7580" s="85"/>
    </row>
    <row r="7581">
      <c r="A7581" s="84"/>
      <c r="B7581" s="85"/>
      <c r="C7581" s="85"/>
      <c r="F7581" s="92"/>
      <c r="G7581" s="85"/>
    </row>
    <row r="7582">
      <c r="A7582" s="84"/>
      <c r="B7582" s="85"/>
      <c r="C7582" s="85"/>
      <c r="F7582" s="92"/>
      <c r="G7582" s="85"/>
    </row>
    <row r="7583">
      <c r="A7583" s="84"/>
      <c r="B7583" s="85"/>
      <c r="C7583" s="85"/>
      <c r="F7583" s="92"/>
      <c r="G7583" s="85"/>
    </row>
    <row r="7584">
      <c r="A7584" s="84"/>
      <c r="B7584" s="85"/>
      <c r="C7584" s="85"/>
      <c r="F7584" s="92"/>
      <c r="G7584" s="85"/>
    </row>
    <row r="7585">
      <c r="A7585" s="84"/>
      <c r="B7585" s="85"/>
      <c r="C7585" s="85"/>
      <c r="F7585" s="92"/>
      <c r="G7585" s="85"/>
    </row>
    <row r="7586">
      <c r="A7586" s="84"/>
      <c r="B7586" s="85"/>
      <c r="C7586" s="85"/>
      <c r="F7586" s="92"/>
      <c r="G7586" s="85"/>
    </row>
    <row r="7587">
      <c r="A7587" s="84"/>
      <c r="B7587" s="85"/>
      <c r="C7587" s="85"/>
      <c r="F7587" s="92"/>
      <c r="G7587" s="85"/>
    </row>
    <row r="7588">
      <c r="A7588" s="84"/>
      <c r="B7588" s="85"/>
      <c r="C7588" s="85"/>
      <c r="F7588" s="92"/>
      <c r="G7588" s="85"/>
    </row>
    <row r="7589">
      <c r="A7589" s="84"/>
      <c r="B7589" s="85"/>
      <c r="C7589" s="85"/>
      <c r="F7589" s="92"/>
      <c r="G7589" s="85"/>
    </row>
    <row r="7590">
      <c r="A7590" s="84"/>
      <c r="B7590" s="85"/>
      <c r="C7590" s="85"/>
      <c r="F7590" s="92"/>
      <c r="G7590" s="85"/>
    </row>
    <row r="7591">
      <c r="A7591" s="84"/>
      <c r="B7591" s="85"/>
      <c r="C7591" s="85"/>
      <c r="F7591" s="92"/>
      <c r="G7591" s="85"/>
    </row>
    <row r="7592">
      <c r="A7592" s="84"/>
      <c r="B7592" s="85"/>
      <c r="C7592" s="85"/>
      <c r="F7592" s="92"/>
      <c r="G7592" s="85"/>
    </row>
    <row r="7593">
      <c r="A7593" s="84"/>
      <c r="B7593" s="85"/>
      <c r="C7593" s="85"/>
      <c r="F7593" s="92"/>
      <c r="G7593" s="85"/>
    </row>
    <row r="7594">
      <c r="A7594" s="84"/>
      <c r="B7594" s="85"/>
      <c r="C7594" s="85"/>
      <c r="F7594" s="92"/>
      <c r="G7594" s="85"/>
    </row>
    <row r="7595">
      <c r="A7595" s="84"/>
      <c r="B7595" s="85"/>
      <c r="C7595" s="85"/>
      <c r="F7595" s="92"/>
      <c r="G7595" s="85"/>
    </row>
    <row r="7596">
      <c r="A7596" s="84"/>
      <c r="B7596" s="85"/>
      <c r="C7596" s="85"/>
      <c r="F7596" s="92"/>
      <c r="G7596" s="85"/>
    </row>
    <row r="7597">
      <c r="A7597" s="84"/>
      <c r="B7597" s="85"/>
      <c r="C7597" s="85"/>
      <c r="F7597" s="92"/>
      <c r="G7597" s="85"/>
    </row>
    <row r="7598">
      <c r="A7598" s="84"/>
      <c r="B7598" s="85"/>
      <c r="C7598" s="85"/>
      <c r="F7598" s="92"/>
      <c r="G7598" s="85"/>
    </row>
    <row r="7599">
      <c r="A7599" s="84"/>
      <c r="B7599" s="85"/>
      <c r="C7599" s="85"/>
      <c r="F7599" s="92"/>
      <c r="G7599" s="85"/>
    </row>
    <row r="7600">
      <c r="A7600" s="84"/>
      <c r="B7600" s="85"/>
      <c r="C7600" s="85"/>
      <c r="F7600" s="92"/>
      <c r="G7600" s="85"/>
    </row>
    <row r="7601">
      <c r="A7601" s="84"/>
      <c r="B7601" s="85"/>
      <c r="C7601" s="85"/>
      <c r="F7601" s="92"/>
      <c r="G7601" s="85"/>
    </row>
    <row r="7602">
      <c r="A7602" s="84"/>
      <c r="B7602" s="85"/>
      <c r="C7602" s="85"/>
      <c r="F7602" s="92"/>
      <c r="G7602" s="85"/>
    </row>
    <row r="7603">
      <c r="A7603" s="84"/>
      <c r="B7603" s="85"/>
      <c r="C7603" s="85"/>
      <c r="F7603" s="92"/>
      <c r="G7603" s="85"/>
    </row>
    <row r="7604">
      <c r="A7604" s="84"/>
      <c r="B7604" s="85"/>
      <c r="C7604" s="85"/>
      <c r="F7604" s="92"/>
      <c r="G7604" s="85"/>
    </row>
    <row r="7605">
      <c r="A7605" s="84"/>
      <c r="B7605" s="85"/>
      <c r="C7605" s="85"/>
      <c r="F7605" s="92"/>
      <c r="G7605" s="85"/>
    </row>
    <row r="7606">
      <c r="A7606" s="84"/>
      <c r="B7606" s="85"/>
      <c r="C7606" s="85"/>
      <c r="F7606" s="92"/>
      <c r="G7606" s="85"/>
    </row>
    <row r="7607">
      <c r="A7607" s="84"/>
      <c r="B7607" s="85"/>
      <c r="C7607" s="85"/>
      <c r="F7607" s="92"/>
      <c r="G7607" s="85"/>
    </row>
    <row r="7608">
      <c r="A7608" s="84"/>
      <c r="B7608" s="85"/>
      <c r="C7608" s="85"/>
      <c r="F7608" s="92"/>
      <c r="G7608" s="85"/>
    </row>
    <row r="7609">
      <c r="A7609" s="84"/>
      <c r="B7609" s="85"/>
      <c r="C7609" s="85"/>
      <c r="F7609" s="92"/>
      <c r="G7609" s="85"/>
    </row>
    <row r="7610">
      <c r="A7610" s="84"/>
      <c r="B7610" s="85"/>
      <c r="C7610" s="85"/>
      <c r="F7610" s="92"/>
      <c r="G7610" s="85"/>
    </row>
    <row r="7611">
      <c r="A7611" s="84"/>
      <c r="B7611" s="85"/>
      <c r="C7611" s="85"/>
      <c r="F7611" s="92"/>
      <c r="G7611" s="85"/>
    </row>
    <row r="7612">
      <c r="A7612" s="84"/>
      <c r="B7612" s="85"/>
      <c r="C7612" s="85"/>
      <c r="F7612" s="92"/>
      <c r="G7612" s="85"/>
    </row>
    <row r="7613">
      <c r="A7613" s="84"/>
      <c r="B7613" s="85"/>
      <c r="C7613" s="85"/>
      <c r="F7613" s="92"/>
      <c r="G7613" s="85"/>
    </row>
    <row r="7614">
      <c r="A7614" s="84"/>
      <c r="B7614" s="85"/>
      <c r="C7614" s="85"/>
      <c r="F7614" s="92"/>
      <c r="G7614" s="85"/>
    </row>
    <row r="7615">
      <c r="A7615" s="84"/>
      <c r="B7615" s="85"/>
      <c r="C7615" s="85"/>
      <c r="F7615" s="92"/>
      <c r="G7615" s="85"/>
    </row>
    <row r="7616">
      <c r="A7616" s="84"/>
      <c r="B7616" s="85"/>
      <c r="C7616" s="85"/>
      <c r="F7616" s="92"/>
      <c r="G7616" s="85"/>
    </row>
    <row r="7617">
      <c r="A7617" s="84"/>
      <c r="B7617" s="85"/>
      <c r="C7617" s="85"/>
      <c r="F7617" s="92"/>
      <c r="G7617" s="85"/>
    </row>
    <row r="7618">
      <c r="A7618" s="84"/>
      <c r="B7618" s="85"/>
      <c r="C7618" s="85"/>
      <c r="F7618" s="92"/>
      <c r="G7618" s="85"/>
    </row>
    <row r="7619">
      <c r="A7619" s="84"/>
      <c r="B7619" s="85"/>
      <c r="C7619" s="85"/>
      <c r="F7619" s="92"/>
      <c r="G7619" s="85"/>
    </row>
    <row r="7620">
      <c r="A7620" s="84"/>
      <c r="B7620" s="85"/>
      <c r="C7620" s="85"/>
      <c r="F7620" s="92"/>
      <c r="G7620" s="85"/>
    </row>
    <row r="7621">
      <c r="A7621" s="84"/>
      <c r="B7621" s="85"/>
      <c r="C7621" s="85"/>
      <c r="F7621" s="92"/>
      <c r="G7621" s="85"/>
    </row>
    <row r="7622">
      <c r="A7622" s="84"/>
      <c r="B7622" s="85"/>
      <c r="C7622" s="85"/>
      <c r="F7622" s="92"/>
      <c r="G7622" s="85"/>
    </row>
    <row r="7623">
      <c r="A7623" s="84"/>
      <c r="B7623" s="85"/>
      <c r="C7623" s="85"/>
      <c r="F7623" s="92"/>
      <c r="G7623" s="85"/>
    </row>
    <row r="7624">
      <c r="A7624" s="84"/>
      <c r="B7624" s="85"/>
      <c r="C7624" s="85"/>
      <c r="F7624" s="92"/>
      <c r="G7624" s="85"/>
    </row>
    <row r="7625">
      <c r="A7625" s="84"/>
      <c r="B7625" s="85"/>
      <c r="C7625" s="85"/>
      <c r="F7625" s="92"/>
      <c r="G7625" s="85"/>
    </row>
    <row r="7626">
      <c r="A7626" s="84"/>
      <c r="B7626" s="85"/>
      <c r="C7626" s="85"/>
      <c r="F7626" s="92"/>
      <c r="G7626" s="85"/>
    </row>
    <row r="7627">
      <c r="A7627" s="84"/>
      <c r="B7627" s="85"/>
      <c r="C7627" s="85"/>
      <c r="F7627" s="92"/>
      <c r="G7627" s="85"/>
    </row>
    <row r="7628">
      <c r="A7628" s="84"/>
      <c r="B7628" s="85"/>
      <c r="C7628" s="85"/>
      <c r="F7628" s="92"/>
      <c r="G7628" s="85"/>
    </row>
    <row r="7629">
      <c r="A7629" s="84"/>
      <c r="B7629" s="85"/>
      <c r="C7629" s="85"/>
      <c r="F7629" s="92"/>
      <c r="G7629" s="85"/>
    </row>
    <row r="7630">
      <c r="A7630" s="84"/>
      <c r="B7630" s="85"/>
      <c r="C7630" s="85"/>
      <c r="F7630" s="92"/>
      <c r="G7630" s="85"/>
    </row>
    <row r="7631">
      <c r="A7631" s="84"/>
      <c r="B7631" s="85"/>
      <c r="C7631" s="85"/>
      <c r="F7631" s="92"/>
      <c r="G7631" s="85"/>
    </row>
    <row r="7632">
      <c r="A7632" s="84"/>
      <c r="B7632" s="85"/>
      <c r="C7632" s="85"/>
      <c r="F7632" s="92"/>
      <c r="G7632" s="85"/>
    </row>
    <row r="7633">
      <c r="A7633" s="84"/>
      <c r="B7633" s="85"/>
      <c r="C7633" s="85"/>
      <c r="F7633" s="92"/>
      <c r="G7633" s="85"/>
    </row>
    <row r="7634">
      <c r="A7634" s="84"/>
      <c r="B7634" s="85"/>
      <c r="C7634" s="85"/>
      <c r="F7634" s="92"/>
      <c r="G7634" s="85"/>
    </row>
    <row r="7635">
      <c r="A7635" s="84"/>
      <c r="B7635" s="85"/>
      <c r="C7635" s="85"/>
      <c r="F7635" s="92"/>
      <c r="G7635" s="85"/>
    </row>
    <row r="7636">
      <c r="A7636" s="84"/>
      <c r="B7636" s="85"/>
      <c r="C7636" s="85"/>
      <c r="F7636" s="92"/>
      <c r="G7636" s="85"/>
    </row>
    <row r="7637">
      <c r="A7637" s="84"/>
      <c r="B7637" s="85"/>
      <c r="C7637" s="85"/>
      <c r="F7637" s="92"/>
      <c r="G7637" s="85"/>
    </row>
    <row r="7638">
      <c r="A7638" s="84"/>
      <c r="B7638" s="85"/>
      <c r="C7638" s="85"/>
      <c r="F7638" s="92"/>
      <c r="G7638" s="85"/>
    </row>
    <row r="7639">
      <c r="A7639" s="84"/>
      <c r="B7639" s="85"/>
      <c r="C7639" s="85"/>
      <c r="F7639" s="92"/>
      <c r="G7639" s="85"/>
    </row>
    <row r="7640">
      <c r="A7640" s="84"/>
      <c r="B7640" s="85"/>
      <c r="C7640" s="85"/>
      <c r="F7640" s="92"/>
      <c r="G7640" s="85"/>
    </row>
    <row r="7641">
      <c r="A7641" s="84"/>
      <c r="B7641" s="85"/>
      <c r="C7641" s="85"/>
      <c r="F7641" s="92"/>
      <c r="G7641" s="85"/>
    </row>
    <row r="7642">
      <c r="A7642" s="84"/>
      <c r="B7642" s="85"/>
      <c r="C7642" s="85"/>
      <c r="F7642" s="92"/>
      <c r="G7642" s="85"/>
    </row>
    <row r="7643">
      <c r="A7643" s="84"/>
      <c r="B7643" s="85"/>
      <c r="C7643" s="85"/>
      <c r="F7643" s="92"/>
      <c r="G7643" s="85"/>
    </row>
    <row r="7644">
      <c r="A7644" s="84"/>
      <c r="B7644" s="85"/>
      <c r="C7644" s="85"/>
      <c r="F7644" s="92"/>
      <c r="G7644" s="85"/>
    </row>
    <row r="7645">
      <c r="A7645" s="84"/>
      <c r="B7645" s="85"/>
      <c r="C7645" s="85"/>
      <c r="F7645" s="92"/>
      <c r="G7645" s="85"/>
    </row>
    <row r="7646">
      <c r="A7646" s="84"/>
      <c r="B7646" s="85"/>
      <c r="C7646" s="85"/>
      <c r="F7646" s="92"/>
      <c r="G7646" s="85"/>
    </row>
    <row r="7647">
      <c r="A7647" s="84"/>
      <c r="B7647" s="85"/>
      <c r="C7647" s="85"/>
      <c r="F7647" s="92"/>
      <c r="G7647" s="85"/>
    </row>
    <row r="7648">
      <c r="A7648" s="84"/>
      <c r="B7648" s="85"/>
      <c r="C7648" s="85"/>
      <c r="F7648" s="92"/>
      <c r="G7648" s="85"/>
    </row>
    <row r="7649">
      <c r="A7649" s="84"/>
      <c r="B7649" s="85"/>
      <c r="C7649" s="85"/>
      <c r="F7649" s="92"/>
      <c r="G7649" s="85"/>
    </row>
    <row r="7650">
      <c r="A7650" s="84"/>
      <c r="B7650" s="85"/>
      <c r="C7650" s="85"/>
      <c r="F7650" s="92"/>
      <c r="G7650" s="85"/>
    </row>
    <row r="7651">
      <c r="A7651" s="84"/>
      <c r="B7651" s="85"/>
      <c r="C7651" s="85"/>
      <c r="F7651" s="92"/>
      <c r="G7651" s="85"/>
    </row>
    <row r="7652">
      <c r="A7652" s="84"/>
      <c r="B7652" s="85"/>
      <c r="C7652" s="85"/>
      <c r="F7652" s="92"/>
      <c r="G7652" s="85"/>
    </row>
    <row r="7653">
      <c r="A7653" s="84"/>
      <c r="B7653" s="85"/>
      <c r="C7653" s="85"/>
      <c r="F7653" s="92"/>
      <c r="G7653" s="85"/>
    </row>
    <row r="7654">
      <c r="A7654" s="84"/>
      <c r="B7654" s="85"/>
      <c r="C7654" s="85"/>
      <c r="F7654" s="92"/>
      <c r="G7654" s="85"/>
    </row>
    <row r="7655">
      <c r="A7655" s="84"/>
      <c r="B7655" s="85"/>
      <c r="C7655" s="85"/>
      <c r="F7655" s="92"/>
      <c r="G7655" s="85"/>
    </row>
    <row r="7656">
      <c r="A7656" s="84"/>
      <c r="B7656" s="85"/>
      <c r="C7656" s="85"/>
      <c r="F7656" s="92"/>
      <c r="G7656" s="85"/>
    </row>
    <row r="7657">
      <c r="A7657" s="84"/>
      <c r="B7657" s="85"/>
      <c r="C7657" s="85"/>
      <c r="F7657" s="92"/>
      <c r="G7657" s="85"/>
    </row>
    <row r="7658">
      <c r="A7658" s="84"/>
      <c r="B7658" s="85"/>
      <c r="C7658" s="85"/>
      <c r="F7658" s="92"/>
      <c r="G7658" s="85"/>
    </row>
    <row r="7659">
      <c r="A7659" s="84"/>
      <c r="B7659" s="85"/>
      <c r="C7659" s="85"/>
      <c r="F7659" s="92"/>
      <c r="G7659" s="85"/>
    </row>
    <row r="7660">
      <c r="A7660" s="84"/>
      <c r="B7660" s="85"/>
      <c r="C7660" s="85"/>
      <c r="F7660" s="92"/>
      <c r="G7660" s="85"/>
    </row>
    <row r="7661">
      <c r="A7661" s="84"/>
      <c r="B7661" s="85"/>
      <c r="C7661" s="85"/>
      <c r="F7661" s="92"/>
      <c r="G7661" s="85"/>
    </row>
    <row r="7662">
      <c r="A7662" s="84"/>
      <c r="B7662" s="85"/>
      <c r="C7662" s="85"/>
      <c r="F7662" s="92"/>
      <c r="G7662" s="85"/>
    </row>
    <row r="7663">
      <c r="A7663" s="84"/>
      <c r="B7663" s="85"/>
      <c r="C7663" s="85"/>
      <c r="F7663" s="92"/>
      <c r="G7663" s="85"/>
    </row>
    <row r="7664">
      <c r="A7664" s="84"/>
      <c r="B7664" s="85"/>
      <c r="C7664" s="85"/>
      <c r="F7664" s="92"/>
      <c r="G7664" s="85"/>
    </row>
    <row r="7665">
      <c r="A7665" s="84"/>
      <c r="B7665" s="85"/>
      <c r="C7665" s="85"/>
      <c r="F7665" s="92"/>
      <c r="G7665" s="85"/>
    </row>
    <row r="7666">
      <c r="A7666" s="84"/>
      <c r="B7666" s="85"/>
      <c r="C7666" s="85"/>
      <c r="F7666" s="92"/>
      <c r="G7666" s="85"/>
    </row>
    <row r="7667">
      <c r="A7667" s="84"/>
      <c r="B7667" s="85"/>
      <c r="C7667" s="85"/>
      <c r="F7667" s="92"/>
      <c r="G7667" s="85"/>
    </row>
    <row r="7668">
      <c r="A7668" s="84"/>
      <c r="B7668" s="85"/>
      <c r="C7668" s="85"/>
      <c r="F7668" s="92"/>
      <c r="G7668" s="85"/>
    </row>
    <row r="7669">
      <c r="A7669" s="84"/>
      <c r="B7669" s="85"/>
      <c r="C7669" s="85"/>
      <c r="F7669" s="92"/>
      <c r="G7669" s="85"/>
    </row>
    <row r="7670">
      <c r="A7670" s="84"/>
      <c r="B7670" s="85"/>
      <c r="C7670" s="85"/>
      <c r="F7670" s="92"/>
      <c r="G7670" s="85"/>
    </row>
    <row r="7671">
      <c r="A7671" s="84"/>
      <c r="B7671" s="85"/>
      <c r="C7671" s="85"/>
      <c r="F7671" s="92"/>
      <c r="G7671" s="85"/>
    </row>
    <row r="7672">
      <c r="A7672" s="84"/>
      <c r="B7672" s="85"/>
      <c r="C7672" s="85"/>
      <c r="F7672" s="92"/>
      <c r="G7672" s="85"/>
    </row>
    <row r="7673">
      <c r="A7673" s="84"/>
      <c r="B7673" s="85"/>
      <c r="C7673" s="85"/>
      <c r="F7673" s="92"/>
      <c r="G7673" s="85"/>
    </row>
    <row r="7674">
      <c r="A7674" s="84"/>
      <c r="B7674" s="85"/>
      <c r="C7674" s="85"/>
      <c r="F7674" s="92"/>
      <c r="G7674" s="85"/>
    </row>
    <row r="7675">
      <c r="A7675" s="84"/>
      <c r="B7675" s="85"/>
      <c r="C7675" s="85"/>
      <c r="F7675" s="92"/>
      <c r="G7675" s="85"/>
    </row>
    <row r="7676">
      <c r="A7676" s="84"/>
      <c r="B7676" s="85"/>
      <c r="C7676" s="85"/>
      <c r="F7676" s="92"/>
      <c r="G7676" s="85"/>
    </row>
    <row r="7677">
      <c r="A7677" s="84"/>
      <c r="B7677" s="85"/>
      <c r="C7677" s="85"/>
      <c r="F7677" s="92"/>
      <c r="G7677" s="85"/>
    </row>
    <row r="7678">
      <c r="A7678" s="84"/>
      <c r="B7678" s="85"/>
      <c r="C7678" s="85"/>
      <c r="F7678" s="92"/>
      <c r="G7678" s="85"/>
    </row>
    <row r="7679">
      <c r="A7679" s="84"/>
      <c r="B7679" s="85"/>
      <c r="C7679" s="85"/>
      <c r="F7679" s="92"/>
      <c r="G7679" s="85"/>
    </row>
    <row r="7680">
      <c r="A7680" s="84"/>
      <c r="B7680" s="85"/>
      <c r="C7680" s="85"/>
      <c r="F7680" s="92"/>
      <c r="G7680" s="85"/>
    </row>
    <row r="7681">
      <c r="A7681" s="84"/>
      <c r="B7681" s="85"/>
      <c r="C7681" s="85"/>
      <c r="F7681" s="92"/>
      <c r="G7681" s="85"/>
    </row>
    <row r="7682">
      <c r="A7682" s="84"/>
      <c r="B7682" s="85"/>
      <c r="C7682" s="85"/>
      <c r="F7682" s="92"/>
      <c r="G7682" s="85"/>
    </row>
    <row r="7683">
      <c r="A7683" s="84"/>
      <c r="B7683" s="85"/>
      <c r="C7683" s="85"/>
      <c r="F7683" s="92"/>
      <c r="G7683" s="85"/>
    </row>
    <row r="7684">
      <c r="A7684" s="84"/>
      <c r="B7684" s="85"/>
      <c r="C7684" s="85"/>
      <c r="F7684" s="92"/>
      <c r="G7684" s="85"/>
    </row>
    <row r="7685">
      <c r="A7685" s="84"/>
      <c r="B7685" s="85"/>
      <c r="C7685" s="85"/>
      <c r="F7685" s="92"/>
      <c r="G7685" s="85"/>
    </row>
    <row r="7686">
      <c r="A7686" s="84"/>
      <c r="B7686" s="85"/>
      <c r="C7686" s="85"/>
      <c r="F7686" s="92"/>
      <c r="G7686" s="85"/>
    </row>
    <row r="7687">
      <c r="A7687" s="84"/>
      <c r="B7687" s="85"/>
      <c r="C7687" s="85"/>
      <c r="F7687" s="92"/>
      <c r="G7687" s="85"/>
    </row>
    <row r="7688">
      <c r="A7688" s="84"/>
      <c r="B7688" s="85"/>
      <c r="C7688" s="85"/>
      <c r="F7688" s="92"/>
      <c r="G7688" s="85"/>
    </row>
    <row r="7689">
      <c r="A7689" s="84"/>
      <c r="B7689" s="85"/>
      <c r="C7689" s="85"/>
      <c r="F7689" s="92"/>
      <c r="G7689" s="85"/>
    </row>
    <row r="7690">
      <c r="A7690" s="84"/>
      <c r="B7690" s="85"/>
      <c r="C7690" s="85"/>
      <c r="F7690" s="92"/>
      <c r="G7690" s="85"/>
    </row>
    <row r="7691">
      <c r="A7691" s="84"/>
      <c r="B7691" s="85"/>
      <c r="C7691" s="85"/>
      <c r="F7691" s="92"/>
      <c r="G7691" s="85"/>
    </row>
    <row r="7692">
      <c r="A7692" s="84"/>
      <c r="B7692" s="85"/>
      <c r="C7692" s="85"/>
      <c r="F7692" s="92"/>
      <c r="G7692" s="85"/>
    </row>
    <row r="7693">
      <c r="A7693" s="84"/>
      <c r="B7693" s="85"/>
      <c r="C7693" s="85"/>
      <c r="F7693" s="92"/>
      <c r="G7693" s="85"/>
    </row>
    <row r="7694">
      <c r="A7694" s="84"/>
      <c r="B7694" s="85"/>
      <c r="C7694" s="85"/>
      <c r="F7694" s="92"/>
      <c r="G7694" s="85"/>
    </row>
    <row r="7695">
      <c r="A7695" s="84"/>
      <c r="B7695" s="85"/>
      <c r="C7695" s="85"/>
      <c r="F7695" s="92"/>
      <c r="G7695" s="85"/>
    </row>
    <row r="7696">
      <c r="A7696" s="84"/>
      <c r="B7696" s="85"/>
      <c r="C7696" s="85"/>
      <c r="F7696" s="92"/>
      <c r="G7696" s="85"/>
    </row>
    <row r="7697">
      <c r="A7697" s="84"/>
      <c r="B7697" s="85"/>
      <c r="C7697" s="85"/>
      <c r="F7697" s="92"/>
      <c r="G7697" s="85"/>
    </row>
    <row r="7698">
      <c r="A7698" s="84"/>
      <c r="B7698" s="85"/>
      <c r="C7698" s="85"/>
      <c r="F7698" s="92"/>
      <c r="G7698" s="85"/>
    </row>
    <row r="7699">
      <c r="A7699" s="84"/>
      <c r="B7699" s="85"/>
      <c r="C7699" s="85"/>
      <c r="F7699" s="92"/>
      <c r="G7699" s="85"/>
    </row>
    <row r="7700">
      <c r="A7700" s="84"/>
      <c r="B7700" s="85"/>
      <c r="C7700" s="85"/>
      <c r="F7700" s="92"/>
      <c r="G7700" s="85"/>
    </row>
    <row r="7701">
      <c r="A7701" s="84"/>
      <c r="B7701" s="85"/>
      <c r="C7701" s="85"/>
      <c r="F7701" s="92"/>
      <c r="G7701" s="85"/>
    </row>
    <row r="7702">
      <c r="A7702" s="84"/>
      <c r="B7702" s="85"/>
      <c r="C7702" s="85"/>
      <c r="F7702" s="92"/>
      <c r="G7702" s="85"/>
    </row>
    <row r="7703">
      <c r="A7703" s="84"/>
      <c r="B7703" s="85"/>
      <c r="C7703" s="85"/>
      <c r="F7703" s="92"/>
      <c r="G7703" s="85"/>
    </row>
    <row r="7704">
      <c r="A7704" s="84"/>
      <c r="B7704" s="85"/>
      <c r="C7704" s="85"/>
      <c r="F7704" s="92"/>
      <c r="G7704" s="85"/>
    </row>
    <row r="7705">
      <c r="A7705" s="84"/>
      <c r="B7705" s="85"/>
      <c r="C7705" s="85"/>
      <c r="F7705" s="92"/>
      <c r="G7705" s="85"/>
    </row>
    <row r="7706">
      <c r="A7706" s="84"/>
      <c r="B7706" s="85"/>
      <c r="C7706" s="85"/>
      <c r="F7706" s="92"/>
      <c r="G7706" s="85"/>
    </row>
    <row r="7707">
      <c r="A7707" s="84"/>
      <c r="B7707" s="85"/>
      <c r="C7707" s="85"/>
      <c r="F7707" s="92"/>
      <c r="G7707" s="85"/>
    </row>
    <row r="7708">
      <c r="A7708" s="84"/>
      <c r="B7708" s="85"/>
      <c r="C7708" s="85"/>
      <c r="F7708" s="92"/>
      <c r="G7708" s="85"/>
    </row>
    <row r="7709">
      <c r="A7709" s="84"/>
      <c r="B7709" s="85"/>
      <c r="C7709" s="85"/>
      <c r="F7709" s="92"/>
      <c r="G7709" s="85"/>
    </row>
    <row r="7710">
      <c r="A7710" s="84"/>
      <c r="B7710" s="85"/>
      <c r="C7710" s="85"/>
      <c r="F7710" s="92"/>
      <c r="G7710" s="85"/>
    </row>
    <row r="7711">
      <c r="A7711" s="84"/>
      <c r="B7711" s="85"/>
      <c r="C7711" s="85"/>
      <c r="F7711" s="92"/>
      <c r="G7711" s="85"/>
    </row>
    <row r="7712">
      <c r="A7712" s="84"/>
      <c r="B7712" s="85"/>
      <c r="C7712" s="85"/>
      <c r="F7712" s="92"/>
      <c r="G7712" s="85"/>
    </row>
    <row r="7713">
      <c r="A7713" s="84"/>
      <c r="B7713" s="85"/>
      <c r="C7713" s="85"/>
      <c r="F7713" s="92"/>
      <c r="G7713" s="85"/>
    </row>
    <row r="7714">
      <c r="A7714" s="84"/>
      <c r="B7714" s="85"/>
      <c r="C7714" s="85"/>
      <c r="F7714" s="92"/>
      <c r="G7714" s="85"/>
    </row>
    <row r="7715">
      <c r="A7715" s="84"/>
      <c r="B7715" s="85"/>
      <c r="C7715" s="85"/>
      <c r="F7715" s="92"/>
      <c r="G7715" s="85"/>
    </row>
    <row r="7716">
      <c r="A7716" s="84"/>
      <c r="B7716" s="85"/>
      <c r="C7716" s="85"/>
      <c r="F7716" s="92"/>
      <c r="G7716" s="85"/>
    </row>
    <row r="7717">
      <c r="A7717" s="84"/>
      <c r="B7717" s="85"/>
      <c r="C7717" s="85"/>
      <c r="F7717" s="92"/>
      <c r="G7717" s="85"/>
    </row>
    <row r="7718">
      <c r="A7718" s="84"/>
      <c r="B7718" s="85"/>
      <c r="C7718" s="85"/>
      <c r="F7718" s="92"/>
      <c r="G7718" s="85"/>
    </row>
    <row r="7719">
      <c r="A7719" s="84"/>
      <c r="B7719" s="85"/>
      <c r="C7719" s="85"/>
      <c r="F7719" s="92"/>
      <c r="G7719" s="85"/>
    </row>
    <row r="7720">
      <c r="A7720" s="84"/>
      <c r="B7720" s="85"/>
      <c r="C7720" s="85"/>
      <c r="F7720" s="92"/>
      <c r="G7720" s="85"/>
    </row>
    <row r="7721">
      <c r="A7721" s="84"/>
      <c r="B7721" s="85"/>
      <c r="C7721" s="85"/>
      <c r="F7721" s="92"/>
      <c r="G7721" s="85"/>
    </row>
    <row r="7722">
      <c r="A7722" s="84"/>
      <c r="B7722" s="85"/>
      <c r="C7722" s="85"/>
      <c r="F7722" s="92"/>
      <c r="G7722" s="85"/>
    </row>
    <row r="7723">
      <c r="A7723" s="84"/>
      <c r="B7723" s="85"/>
      <c r="C7723" s="85"/>
      <c r="F7723" s="92"/>
      <c r="G7723" s="85"/>
    </row>
    <row r="7724">
      <c r="A7724" s="84"/>
      <c r="B7724" s="85"/>
      <c r="C7724" s="85"/>
      <c r="F7724" s="92"/>
      <c r="G7724" s="85"/>
    </row>
    <row r="7725">
      <c r="A7725" s="84"/>
      <c r="B7725" s="85"/>
      <c r="C7725" s="85"/>
      <c r="F7725" s="92"/>
      <c r="G7725" s="85"/>
    </row>
    <row r="7726">
      <c r="A7726" s="84"/>
      <c r="B7726" s="85"/>
      <c r="C7726" s="85"/>
      <c r="F7726" s="92"/>
      <c r="G7726" s="85"/>
    </row>
    <row r="7727">
      <c r="A7727" s="84"/>
      <c r="B7727" s="85"/>
      <c r="C7727" s="85"/>
      <c r="F7727" s="92"/>
      <c r="G7727" s="85"/>
    </row>
    <row r="7728">
      <c r="A7728" s="84"/>
      <c r="B7728" s="85"/>
      <c r="C7728" s="85"/>
      <c r="F7728" s="92"/>
      <c r="G7728" s="85"/>
    </row>
    <row r="7729">
      <c r="A7729" s="84"/>
      <c r="B7729" s="85"/>
      <c r="C7729" s="85"/>
      <c r="F7729" s="92"/>
      <c r="G7729" s="85"/>
    </row>
    <row r="7730">
      <c r="A7730" s="84"/>
      <c r="B7730" s="85"/>
      <c r="C7730" s="85"/>
      <c r="F7730" s="92"/>
      <c r="G7730" s="85"/>
    </row>
    <row r="7731">
      <c r="A7731" s="84"/>
      <c r="B7731" s="85"/>
      <c r="C7731" s="85"/>
      <c r="F7731" s="92"/>
      <c r="G7731" s="85"/>
    </row>
    <row r="7732">
      <c r="A7732" s="84"/>
      <c r="B7732" s="85"/>
      <c r="C7732" s="85"/>
      <c r="F7732" s="92"/>
      <c r="G7732" s="85"/>
    </row>
    <row r="7733">
      <c r="A7733" s="84"/>
      <c r="B7733" s="85"/>
      <c r="C7733" s="85"/>
      <c r="F7733" s="92"/>
      <c r="G7733" s="85"/>
    </row>
    <row r="7734">
      <c r="A7734" s="84"/>
      <c r="B7734" s="85"/>
      <c r="C7734" s="85"/>
      <c r="F7734" s="92"/>
      <c r="G7734" s="85"/>
    </row>
    <row r="7735">
      <c r="A7735" s="84"/>
      <c r="B7735" s="85"/>
      <c r="C7735" s="85"/>
      <c r="F7735" s="92"/>
      <c r="G7735" s="85"/>
    </row>
    <row r="7736">
      <c r="A7736" s="84"/>
      <c r="B7736" s="85"/>
      <c r="C7736" s="85"/>
      <c r="F7736" s="92"/>
      <c r="G7736" s="85"/>
    </row>
    <row r="7737">
      <c r="A7737" s="84"/>
      <c r="B7737" s="85"/>
      <c r="C7737" s="85"/>
      <c r="F7737" s="92"/>
      <c r="G7737" s="85"/>
    </row>
    <row r="7738">
      <c r="A7738" s="84"/>
      <c r="B7738" s="85"/>
      <c r="C7738" s="85"/>
      <c r="F7738" s="92"/>
      <c r="G7738" s="85"/>
    </row>
    <row r="7739">
      <c r="A7739" s="84"/>
      <c r="B7739" s="85"/>
      <c r="C7739" s="85"/>
      <c r="F7739" s="92"/>
      <c r="G7739" s="85"/>
    </row>
    <row r="7740">
      <c r="A7740" s="84"/>
      <c r="B7740" s="85"/>
      <c r="C7740" s="85"/>
      <c r="F7740" s="92"/>
      <c r="G7740" s="85"/>
    </row>
    <row r="7741">
      <c r="A7741" s="84"/>
      <c r="B7741" s="85"/>
      <c r="C7741" s="85"/>
      <c r="F7741" s="92"/>
      <c r="G7741" s="85"/>
    </row>
    <row r="7742">
      <c r="A7742" s="84"/>
      <c r="B7742" s="85"/>
      <c r="C7742" s="85"/>
      <c r="F7742" s="92"/>
      <c r="G7742" s="85"/>
    </row>
    <row r="7743">
      <c r="A7743" s="84"/>
      <c r="B7743" s="85"/>
      <c r="C7743" s="85"/>
      <c r="F7743" s="92"/>
      <c r="G7743" s="85"/>
    </row>
    <row r="7744">
      <c r="A7744" s="84"/>
      <c r="B7744" s="85"/>
      <c r="C7744" s="85"/>
      <c r="F7744" s="92"/>
      <c r="G7744" s="85"/>
    </row>
    <row r="7745">
      <c r="A7745" s="84"/>
      <c r="B7745" s="85"/>
      <c r="C7745" s="85"/>
      <c r="F7745" s="92"/>
      <c r="G7745" s="85"/>
    </row>
    <row r="7746">
      <c r="A7746" s="84"/>
      <c r="B7746" s="85"/>
      <c r="C7746" s="85"/>
      <c r="F7746" s="92"/>
      <c r="G7746" s="85"/>
    </row>
    <row r="7747">
      <c r="A7747" s="84"/>
      <c r="B7747" s="85"/>
      <c r="C7747" s="85"/>
      <c r="F7747" s="92"/>
      <c r="G7747" s="85"/>
    </row>
    <row r="7748">
      <c r="A7748" s="84"/>
      <c r="B7748" s="85"/>
      <c r="C7748" s="85"/>
      <c r="F7748" s="92"/>
      <c r="G7748" s="85"/>
    </row>
    <row r="7749">
      <c r="A7749" s="84"/>
      <c r="B7749" s="85"/>
      <c r="C7749" s="85"/>
      <c r="F7749" s="92"/>
      <c r="G7749" s="85"/>
    </row>
    <row r="7750">
      <c r="A7750" s="84"/>
      <c r="B7750" s="85"/>
      <c r="C7750" s="85"/>
      <c r="F7750" s="92"/>
      <c r="G7750" s="85"/>
    </row>
    <row r="7751">
      <c r="A7751" s="84"/>
      <c r="B7751" s="85"/>
      <c r="C7751" s="85"/>
      <c r="F7751" s="92"/>
      <c r="G7751" s="85"/>
    </row>
    <row r="7752">
      <c r="A7752" s="84"/>
      <c r="B7752" s="85"/>
      <c r="C7752" s="85"/>
      <c r="F7752" s="92"/>
      <c r="G7752" s="85"/>
    </row>
    <row r="7753">
      <c r="A7753" s="84"/>
      <c r="B7753" s="85"/>
      <c r="C7753" s="85"/>
      <c r="F7753" s="92"/>
      <c r="G7753" s="85"/>
    </row>
    <row r="7754">
      <c r="A7754" s="84"/>
      <c r="B7754" s="85"/>
      <c r="C7754" s="85"/>
      <c r="F7754" s="92"/>
      <c r="G7754" s="85"/>
    </row>
    <row r="7755">
      <c r="A7755" s="84"/>
      <c r="B7755" s="85"/>
      <c r="C7755" s="85"/>
      <c r="F7755" s="92"/>
      <c r="G7755" s="85"/>
    </row>
    <row r="7756">
      <c r="A7756" s="84"/>
      <c r="B7756" s="85"/>
      <c r="C7756" s="85"/>
      <c r="F7756" s="92"/>
      <c r="G7756" s="85"/>
    </row>
    <row r="7757">
      <c r="A7757" s="84"/>
      <c r="B7757" s="85"/>
      <c r="C7757" s="85"/>
      <c r="F7757" s="92"/>
      <c r="G7757" s="85"/>
    </row>
    <row r="7758">
      <c r="A7758" s="84"/>
      <c r="B7758" s="85"/>
      <c r="C7758" s="85"/>
      <c r="F7758" s="92"/>
      <c r="G7758" s="85"/>
    </row>
    <row r="7759">
      <c r="A7759" s="84"/>
      <c r="B7759" s="85"/>
      <c r="C7759" s="85"/>
      <c r="F7759" s="92"/>
      <c r="G7759" s="85"/>
    </row>
    <row r="7760">
      <c r="A7760" s="84"/>
      <c r="B7760" s="85"/>
      <c r="C7760" s="85"/>
      <c r="F7760" s="92"/>
      <c r="G7760" s="85"/>
    </row>
    <row r="7761">
      <c r="A7761" s="84"/>
      <c r="B7761" s="85"/>
      <c r="C7761" s="85"/>
      <c r="F7761" s="92"/>
      <c r="G7761" s="85"/>
    </row>
    <row r="7762">
      <c r="A7762" s="84"/>
      <c r="B7762" s="85"/>
      <c r="C7762" s="85"/>
      <c r="F7762" s="92"/>
      <c r="G7762" s="85"/>
    </row>
    <row r="7763">
      <c r="A7763" s="84"/>
      <c r="B7763" s="85"/>
      <c r="C7763" s="85"/>
      <c r="F7763" s="92"/>
      <c r="G7763" s="85"/>
    </row>
    <row r="7764">
      <c r="A7764" s="84"/>
      <c r="B7764" s="85"/>
      <c r="C7764" s="85"/>
      <c r="F7764" s="92"/>
      <c r="G7764" s="85"/>
    </row>
    <row r="7765">
      <c r="A7765" s="84"/>
      <c r="B7765" s="85"/>
      <c r="C7765" s="85"/>
      <c r="F7765" s="92"/>
      <c r="G7765" s="85"/>
    </row>
    <row r="7766">
      <c r="A7766" s="84"/>
      <c r="B7766" s="85"/>
      <c r="C7766" s="85"/>
      <c r="F7766" s="92"/>
      <c r="G7766" s="85"/>
    </row>
    <row r="7767">
      <c r="A7767" s="84"/>
      <c r="B7767" s="85"/>
      <c r="C7767" s="85"/>
      <c r="F7767" s="92"/>
      <c r="G7767" s="85"/>
    </row>
    <row r="7768">
      <c r="A7768" s="84"/>
      <c r="B7768" s="85"/>
      <c r="C7768" s="85"/>
      <c r="F7768" s="92"/>
      <c r="G7768" s="85"/>
    </row>
    <row r="7769">
      <c r="A7769" s="84"/>
      <c r="B7769" s="85"/>
      <c r="C7769" s="85"/>
      <c r="F7769" s="92"/>
      <c r="G7769" s="85"/>
    </row>
    <row r="7770">
      <c r="A7770" s="84"/>
      <c r="B7770" s="85"/>
      <c r="C7770" s="85"/>
      <c r="F7770" s="92"/>
      <c r="G7770" s="85"/>
    </row>
    <row r="7771">
      <c r="A7771" s="84"/>
      <c r="B7771" s="85"/>
      <c r="C7771" s="85"/>
      <c r="F7771" s="92"/>
      <c r="G7771" s="85"/>
    </row>
    <row r="7772">
      <c r="A7772" s="84"/>
      <c r="B7772" s="85"/>
      <c r="C7772" s="85"/>
      <c r="F7772" s="92"/>
      <c r="G7772" s="85"/>
    </row>
    <row r="7773">
      <c r="A7773" s="84"/>
      <c r="B7773" s="85"/>
      <c r="C7773" s="85"/>
      <c r="F7773" s="92"/>
      <c r="G7773" s="85"/>
    </row>
    <row r="7774">
      <c r="A7774" s="84"/>
      <c r="B7774" s="85"/>
      <c r="C7774" s="85"/>
      <c r="F7774" s="92"/>
      <c r="G7774" s="85"/>
    </row>
    <row r="7775">
      <c r="A7775" s="84"/>
      <c r="B7775" s="85"/>
      <c r="C7775" s="85"/>
      <c r="F7775" s="92"/>
      <c r="G7775" s="85"/>
    </row>
    <row r="7776">
      <c r="A7776" s="84"/>
      <c r="B7776" s="85"/>
      <c r="C7776" s="85"/>
      <c r="F7776" s="92"/>
      <c r="G7776" s="85"/>
    </row>
    <row r="7777">
      <c r="A7777" s="84"/>
      <c r="B7777" s="85"/>
      <c r="C7777" s="85"/>
      <c r="F7777" s="92"/>
      <c r="G7777" s="85"/>
    </row>
    <row r="7778">
      <c r="A7778" s="84"/>
      <c r="B7778" s="85"/>
      <c r="C7778" s="85"/>
      <c r="F7778" s="92"/>
      <c r="G7778" s="85"/>
    </row>
    <row r="7779">
      <c r="A7779" s="84"/>
      <c r="B7779" s="85"/>
      <c r="C7779" s="85"/>
      <c r="F7779" s="92"/>
      <c r="G7779" s="85"/>
    </row>
    <row r="7780">
      <c r="A7780" s="84"/>
      <c r="B7780" s="85"/>
      <c r="C7780" s="85"/>
      <c r="F7780" s="92"/>
      <c r="G7780" s="85"/>
    </row>
    <row r="7781">
      <c r="A7781" s="84"/>
      <c r="B7781" s="85"/>
      <c r="C7781" s="85"/>
      <c r="F7781" s="92"/>
      <c r="G7781" s="85"/>
    </row>
    <row r="7782">
      <c r="A7782" s="84"/>
      <c r="B7782" s="85"/>
      <c r="C7782" s="85"/>
      <c r="F7782" s="92"/>
      <c r="G7782" s="85"/>
    </row>
    <row r="7783">
      <c r="A7783" s="84"/>
      <c r="B7783" s="85"/>
      <c r="C7783" s="85"/>
      <c r="F7783" s="92"/>
      <c r="G7783" s="85"/>
    </row>
    <row r="7784">
      <c r="A7784" s="84"/>
      <c r="B7784" s="85"/>
      <c r="C7784" s="85"/>
      <c r="F7784" s="92"/>
      <c r="G7784" s="85"/>
    </row>
    <row r="7785">
      <c r="A7785" s="84"/>
      <c r="B7785" s="85"/>
      <c r="C7785" s="85"/>
      <c r="F7785" s="92"/>
      <c r="G7785" s="85"/>
    </row>
    <row r="7786">
      <c r="A7786" s="84"/>
      <c r="B7786" s="85"/>
      <c r="C7786" s="85"/>
      <c r="F7786" s="92"/>
      <c r="G7786" s="85"/>
    </row>
    <row r="7787">
      <c r="A7787" s="84"/>
      <c r="B7787" s="85"/>
      <c r="C7787" s="85"/>
      <c r="F7787" s="92"/>
      <c r="G7787" s="85"/>
    </row>
    <row r="7788">
      <c r="A7788" s="84"/>
      <c r="B7788" s="85"/>
      <c r="C7788" s="85"/>
      <c r="F7788" s="92"/>
      <c r="G7788" s="85"/>
    </row>
    <row r="7789">
      <c r="A7789" s="84"/>
      <c r="B7789" s="85"/>
      <c r="C7789" s="85"/>
      <c r="F7789" s="92"/>
      <c r="G7789" s="85"/>
    </row>
    <row r="7790">
      <c r="A7790" s="84"/>
      <c r="B7790" s="85"/>
      <c r="C7790" s="85"/>
      <c r="F7790" s="92"/>
      <c r="G7790" s="85"/>
    </row>
    <row r="7791">
      <c r="A7791" s="84"/>
      <c r="B7791" s="85"/>
      <c r="C7791" s="85"/>
      <c r="F7791" s="92"/>
      <c r="G7791" s="85"/>
    </row>
    <row r="7792">
      <c r="A7792" s="84"/>
      <c r="B7792" s="85"/>
      <c r="C7792" s="85"/>
      <c r="F7792" s="92"/>
      <c r="G7792" s="85"/>
    </row>
    <row r="7793">
      <c r="A7793" s="84"/>
      <c r="B7793" s="85"/>
      <c r="C7793" s="85"/>
      <c r="F7793" s="92"/>
      <c r="G7793" s="85"/>
    </row>
    <row r="7794">
      <c r="A7794" s="84"/>
      <c r="B7794" s="85"/>
      <c r="C7794" s="85"/>
      <c r="F7794" s="92"/>
      <c r="G7794" s="85"/>
    </row>
    <row r="7795">
      <c r="A7795" s="84"/>
      <c r="B7795" s="85"/>
      <c r="C7795" s="85"/>
      <c r="F7795" s="92"/>
      <c r="G7795" s="85"/>
    </row>
    <row r="7796">
      <c r="A7796" s="84"/>
      <c r="B7796" s="85"/>
      <c r="C7796" s="85"/>
      <c r="F7796" s="92"/>
      <c r="G7796" s="85"/>
    </row>
    <row r="7797">
      <c r="A7797" s="84"/>
      <c r="B7797" s="85"/>
      <c r="C7797" s="85"/>
      <c r="F7797" s="92"/>
      <c r="G7797" s="85"/>
    </row>
    <row r="7798">
      <c r="A7798" s="84"/>
      <c r="B7798" s="85"/>
      <c r="C7798" s="85"/>
      <c r="F7798" s="92"/>
      <c r="G7798" s="85"/>
    </row>
    <row r="7799">
      <c r="A7799" s="84"/>
      <c r="B7799" s="85"/>
      <c r="C7799" s="85"/>
      <c r="F7799" s="92"/>
      <c r="G7799" s="85"/>
    </row>
    <row r="7800">
      <c r="A7800" s="84"/>
      <c r="B7800" s="85"/>
      <c r="C7800" s="85"/>
      <c r="F7800" s="92"/>
      <c r="G7800" s="85"/>
    </row>
    <row r="7801">
      <c r="A7801" s="84"/>
      <c r="B7801" s="85"/>
      <c r="C7801" s="85"/>
      <c r="F7801" s="92"/>
      <c r="G7801" s="85"/>
    </row>
    <row r="7802">
      <c r="A7802" s="84"/>
      <c r="B7802" s="85"/>
      <c r="C7802" s="85"/>
      <c r="F7802" s="92"/>
      <c r="G7802" s="85"/>
    </row>
    <row r="7803">
      <c r="A7803" s="84"/>
      <c r="B7803" s="85"/>
      <c r="C7803" s="85"/>
      <c r="F7803" s="92"/>
      <c r="G7803" s="85"/>
    </row>
    <row r="7804">
      <c r="A7804" s="84"/>
      <c r="B7804" s="85"/>
      <c r="C7804" s="85"/>
      <c r="F7804" s="92"/>
      <c r="G7804" s="85"/>
    </row>
    <row r="7805">
      <c r="A7805" s="84"/>
      <c r="B7805" s="85"/>
      <c r="C7805" s="85"/>
      <c r="F7805" s="92"/>
      <c r="G7805" s="85"/>
    </row>
    <row r="7806">
      <c r="A7806" s="84"/>
      <c r="B7806" s="85"/>
      <c r="C7806" s="85"/>
      <c r="F7806" s="92"/>
      <c r="G7806" s="85"/>
    </row>
    <row r="7807">
      <c r="A7807" s="84"/>
      <c r="B7807" s="85"/>
      <c r="C7807" s="85"/>
      <c r="F7807" s="92"/>
      <c r="G7807" s="85"/>
    </row>
    <row r="7808">
      <c r="A7808" s="84"/>
      <c r="B7808" s="85"/>
      <c r="C7808" s="85"/>
      <c r="F7808" s="92"/>
      <c r="G7808" s="85"/>
    </row>
    <row r="7809">
      <c r="A7809" s="84"/>
      <c r="B7809" s="85"/>
      <c r="C7809" s="85"/>
      <c r="F7809" s="92"/>
      <c r="G7809" s="85"/>
    </row>
    <row r="7810">
      <c r="A7810" s="84"/>
      <c r="B7810" s="85"/>
      <c r="C7810" s="85"/>
      <c r="F7810" s="92"/>
      <c r="G7810" s="85"/>
    </row>
    <row r="7811">
      <c r="A7811" s="84"/>
      <c r="B7811" s="85"/>
      <c r="C7811" s="85"/>
      <c r="F7811" s="92"/>
      <c r="G7811" s="85"/>
    </row>
    <row r="7812">
      <c r="A7812" s="84"/>
      <c r="B7812" s="85"/>
      <c r="C7812" s="85"/>
      <c r="F7812" s="92"/>
      <c r="G7812" s="85"/>
    </row>
    <row r="7813">
      <c r="A7813" s="84"/>
      <c r="B7813" s="85"/>
      <c r="C7813" s="85"/>
      <c r="F7813" s="92"/>
      <c r="G7813" s="85"/>
    </row>
    <row r="7814">
      <c r="A7814" s="84"/>
      <c r="B7814" s="85"/>
      <c r="C7814" s="85"/>
      <c r="F7814" s="92"/>
      <c r="G7814" s="85"/>
    </row>
    <row r="7815">
      <c r="A7815" s="84"/>
      <c r="B7815" s="85"/>
      <c r="C7815" s="85"/>
      <c r="F7815" s="92"/>
      <c r="G7815" s="85"/>
    </row>
    <row r="7816">
      <c r="A7816" s="84"/>
      <c r="B7816" s="85"/>
      <c r="C7816" s="85"/>
      <c r="F7816" s="92"/>
      <c r="G7816" s="85"/>
    </row>
    <row r="7817">
      <c r="A7817" s="84"/>
      <c r="B7817" s="85"/>
      <c r="C7817" s="85"/>
      <c r="F7817" s="92"/>
      <c r="G7817" s="85"/>
    </row>
    <row r="7818">
      <c r="A7818" s="84"/>
      <c r="B7818" s="85"/>
      <c r="C7818" s="85"/>
      <c r="F7818" s="92"/>
      <c r="G7818" s="85"/>
    </row>
    <row r="7819">
      <c r="A7819" s="84"/>
      <c r="B7819" s="85"/>
      <c r="C7819" s="85"/>
      <c r="F7819" s="92"/>
      <c r="G7819" s="85"/>
    </row>
    <row r="7820">
      <c r="A7820" s="84"/>
      <c r="B7820" s="85"/>
      <c r="C7820" s="85"/>
      <c r="F7820" s="92"/>
      <c r="G7820" s="85"/>
    </row>
    <row r="7821">
      <c r="A7821" s="84"/>
      <c r="B7821" s="85"/>
      <c r="C7821" s="85"/>
      <c r="F7821" s="92"/>
      <c r="G7821" s="85"/>
    </row>
    <row r="7822">
      <c r="A7822" s="84"/>
      <c r="B7822" s="85"/>
      <c r="C7822" s="85"/>
      <c r="F7822" s="92"/>
      <c r="G7822" s="85"/>
    </row>
    <row r="7823">
      <c r="A7823" s="84"/>
      <c r="B7823" s="85"/>
      <c r="C7823" s="85"/>
      <c r="F7823" s="92"/>
      <c r="G7823" s="85"/>
    </row>
    <row r="7824">
      <c r="A7824" s="84"/>
      <c r="B7824" s="85"/>
      <c r="C7824" s="85"/>
      <c r="F7824" s="92"/>
      <c r="G7824" s="85"/>
    </row>
    <row r="7825">
      <c r="A7825" s="84"/>
      <c r="B7825" s="85"/>
      <c r="C7825" s="85"/>
      <c r="F7825" s="92"/>
      <c r="G7825" s="85"/>
    </row>
    <row r="7826">
      <c r="A7826" s="84"/>
      <c r="B7826" s="85"/>
      <c r="C7826" s="85"/>
      <c r="F7826" s="92"/>
      <c r="G7826" s="85"/>
    </row>
    <row r="7827">
      <c r="A7827" s="84"/>
      <c r="B7827" s="85"/>
      <c r="C7827" s="85"/>
      <c r="F7827" s="92"/>
      <c r="G7827" s="85"/>
    </row>
    <row r="7828">
      <c r="A7828" s="84"/>
      <c r="B7828" s="85"/>
      <c r="C7828" s="85"/>
      <c r="F7828" s="92"/>
      <c r="G7828" s="85"/>
    </row>
    <row r="7829">
      <c r="A7829" s="84"/>
      <c r="B7829" s="85"/>
      <c r="C7829" s="85"/>
      <c r="F7829" s="92"/>
      <c r="G7829" s="85"/>
    </row>
    <row r="7830">
      <c r="A7830" s="84"/>
      <c r="B7830" s="85"/>
      <c r="C7830" s="85"/>
      <c r="F7830" s="92"/>
      <c r="G7830" s="85"/>
    </row>
    <row r="7831">
      <c r="A7831" s="84"/>
      <c r="B7831" s="85"/>
      <c r="C7831" s="85"/>
      <c r="F7831" s="92"/>
      <c r="G7831" s="85"/>
    </row>
    <row r="7832">
      <c r="A7832" s="84"/>
      <c r="B7832" s="85"/>
      <c r="C7832" s="85"/>
      <c r="F7832" s="92"/>
      <c r="G7832" s="85"/>
    </row>
    <row r="7833">
      <c r="A7833" s="84"/>
      <c r="B7833" s="85"/>
      <c r="C7833" s="85"/>
      <c r="F7833" s="92"/>
      <c r="G7833" s="85"/>
    </row>
    <row r="7834">
      <c r="A7834" s="84"/>
      <c r="B7834" s="85"/>
      <c r="C7834" s="85"/>
      <c r="F7834" s="92"/>
      <c r="G7834" s="85"/>
    </row>
    <row r="7835">
      <c r="A7835" s="84"/>
      <c r="B7835" s="85"/>
      <c r="C7835" s="85"/>
      <c r="F7835" s="92"/>
      <c r="G7835" s="85"/>
    </row>
    <row r="7836">
      <c r="A7836" s="84"/>
      <c r="B7836" s="85"/>
      <c r="C7836" s="85"/>
      <c r="F7836" s="92"/>
      <c r="G7836" s="85"/>
    </row>
    <row r="7837">
      <c r="A7837" s="84"/>
      <c r="B7837" s="85"/>
      <c r="C7837" s="85"/>
      <c r="F7837" s="92"/>
      <c r="G7837" s="85"/>
    </row>
    <row r="7838">
      <c r="A7838" s="84"/>
      <c r="B7838" s="85"/>
      <c r="C7838" s="85"/>
      <c r="F7838" s="92"/>
      <c r="G7838" s="85"/>
    </row>
    <row r="7839">
      <c r="A7839" s="84"/>
      <c r="B7839" s="85"/>
      <c r="C7839" s="85"/>
      <c r="F7839" s="92"/>
      <c r="G7839" s="85"/>
    </row>
    <row r="7840">
      <c r="A7840" s="84"/>
      <c r="B7840" s="85"/>
      <c r="C7840" s="85"/>
      <c r="F7840" s="92"/>
      <c r="G7840" s="85"/>
    </row>
    <row r="7841">
      <c r="A7841" s="84"/>
      <c r="B7841" s="85"/>
      <c r="C7841" s="85"/>
      <c r="F7841" s="92"/>
      <c r="G7841" s="85"/>
    </row>
    <row r="7842">
      <c r="A7842" s="84"/>
      <c r="B7842" s="85"/>
      <c r="C7842" s="85"/>
      <c r="F7842" s="92"/>
      <c r="G7842" s="85"/>
    </row>
    <row r="7843">
      <c r="A7843" s="84"/>
      <c r="B7843" s="85"/>
      <c r="C7843" s="85"/>
      <c r="F7843" s="92"/>
      <c r="G7843" s="85"/>
    </row>
    <row r="7844">
      <c r="A7844" s="84"/>
      <c r="B7844" s="85"/>
      <c r="C7844" s="85"/>
      <c r="F7844" s="92"/>
      <c r="G7844" s="85"/>
    </row>
    <row r="7845">
      <c r="A7845" s="84"/>
      <c r="B7845" s="85"/>
      <c r="C7845" s="85"/>
      <c r="F7845" s="92"/>
      <c r="G7845" s="85"/>
    </row>
    <row r="7846">
      <c r="A7846" s="84"/>
      <c r="B7846" s="85"/>
      <c r="C7846" s="85"/>
      <c r="F7846" s="92"/>
      <c r="G7846" s="85"/>
    </row>
    <row r="7847">
      <c r="A7847" s="84"/>
      <c r="B7847" s="85"/>
      <c r="C7847" s="85"/>
      <c r="F7847" s="92"/>
      <c r="G7847" s="85"/>
    </row>
    <row r="7848">
      <c r="A7848" s="84"/>
      <c r="B7848" s="85"/>
      <c r="C7848" s="85"/>
      <c r="F7848" s="92"/>
      <c r="G7848" s="85"/>
    </row>
    <row r="7849">
      <c r="A7849" s="84"/>
      <c r="B7849" s="85"/>
      <c r="C7849" s="85"/>
      <c r="F7849" s="92"/>
      <c r="G7849" s="85"/>
    </row>
    <row r="7850">
      <c r="A7850" s="84"/>
      <c r="B7850" s="85"/>
      <c r="C7850" s="85"/>
      <c r="F7850" s="92"/>
      <c r="G7850" s="85"/>
    </row>
    <row r="7851">
      <c r="A7851" s="84"/>
      <c r="B7851" s="85"/>
      <c r="C7851" s="85"/>
      <c r="F7851" s="92"/>
      <c r="G7851" s="85"/>
    </row>
    <row r="7852">
      <c r="A7852" s="84"/>
      <c r="B7852" s="85"/>
      <c r="C7852" s="85"/>
      <c r="F7852" s="92"/>
      <c r="G7852" s="85"/>
    </row>
    <row r="7853">
      <c r="A7853" s="84"/>
      <c r="B7853" s="85"/>
      <c r="C7853" s="85"/>
      <c r="F7853" s="92"/>
      <c r="G7853" s="85"/>
    </row>
    <row r="7854">
      <c r="A7854" s="84"/>
      <c r="B7854" s="85"/>
      <c r="C7854" s="85"/>
      <c r="F7854" s="92"/>
      <c r="G7854" s="85"/>
    </row>
    <row r="7855">
      <c r="A7855" s="84"/>
      <c r="B7855" s="85"/>
      <c r="C7855" s="85"/>
      <c r="F7855" s="92"/>
      <c r="G7855" s="85"/>
    </row>
    <row r="7856">
      <c r="A7856" s="84"/>
      <c r="B7856" s="85"/>
      <c r="C7856" s="85"/>
      <c r="F7856" s="92"/>
      <c r="G7856" s="85"/>
    </row>
    <row r="7857">
      <c r="A7857" s="84"/>
      <c r="B7857" s="85"/>
      <c r="C7857" s="85"/>
      <c r="F7857" s="92"/>
      <c r="G7857" s="85"/>
    </row>
    <row r="7858">
      <c r="A7858" s="84"/>
      <c r="B7858" s="85"/>
      <c r="C7858" s="85"/>
      <c r="F7858" s="92"/>
      <c r="G7858" s="85"/>
    </row>
    <row r="7859">
      <c r="A7859" s="84"/>
      <c r="B7859" s="85"/>
      <c r="C7859" s="85"/>
      <c r="F7859" s="92"/>
      <c r="G7859" s="85"/>
    </row>
    <row r="7860">
      <c r="A7860" s="84"/>
      <c r="B7860" s="85"/>
      <c r="C7860" s="85"/>
      <c r="F7860" s="92"/>
      <c r="G7860" s="85"/>
    </row>
    <row r="7861">
      <c r="A7861" s="84"/>
      <c r="B7861" s="85"/>
      <c r="C7861" s="85"/>
      <c r="F7861" s="92"/>
      <c r="G7861" s="85"/>
    </row>
    <row r="7862">
      <c r="A7862" s="84"/>
      <c r="B7862" s="85"/>
      <c r="C7862" s="85"/>
      <c r="F7862" s="92"/>
      <c r="G7862" s="85"/>
    </row>
    <row r="7863">
      <c r="A7863" s="84"/>
      <c r="B7863" s="85"/>
      <c r="C7863" s="85"/>
      <c r="F7863" s="92"/>
      <c r="G7863" s="85"/>
    </row>
    <row r="7864">
      <c r="A7864" s="84"/>
      <c r="B7864" s="85"/>
      <c r="C7864" s="85"/>
      <c r="F7864" s="92"/>
      <c r="G7864" s="85"/>
    </row>
    <row r="7865">
      <c r="A7865" s="84"/>
      <c r="B7865" s="85"/>
      <c r="C7865" s="85"/>
      <c r="F7865" s="92"/>
      <c r="G7865" s="85"/>
    </row>
    <row r="7866">
      <c r="A7866" s="84"/>
      <c r="B7866" s="85"/>
      <c r="C7866" s="85"/>
      <c r="F7866" s="92"/>
      <c r="G7866" s="85"/>
    </row>
    <row r="7867">
      <c r="A7867" s="84"/>
      <c r="B7867" s="85"/>
      <c r="C7867" s="85"/>
      <c r="F7867" s="92"/>
      <c r="G7867" s="85"/>
    </row>
    <row r="7868">
      <c r="A7868" s="84"/>
      <c r="B7868" s="85"/>
      <c r="C7868" s="85"/>
      <c r="F7868" s="92"/>
      <c r="G7868" s="85"/>
    </row>
    <row r="7869">
      <c r="A7869" s="84"/>
      <c r="B7869" s="85"/>
      <c r="C7869" s="85"/>
      <c r="F7869" s="92"/>
      <c r="G7869" s="85"/>
    </row>
    <row r="7870">
      <c r="A7870" s="84"/>
      <c r="B7870" s="85"/>
      <c r="C7870" s="85"/>
      <c r="F7870" s="92"/>
      <c r="G7870" s="85"/>
    </row>
    <row r="7871">
      <c r="A7871" s="84"/>
      <c r="B7871" s="85"/>
      <c r="C7871" s="85"/>
      <c r="F7871" s="92"/>
      <c r="G7871" s="85"/>
    </row>
    <row r="7872">
      <c r="A7872" s="84"/>
      <c r="B7872" s="85"/>
      <c r="C7872" s="85"/>
      <c r="F7872" s="92"/>
      <c r="G7872" s="85"/>
    </row>
    <row r="7873">
      <c r="A7873" s="84"/>
      <c r="B7873" s="85"/>
      <c r="C7873" s="85"/>
      <c r="F7873" s="92"/>
      <c r="G7873" s="85"/>
    </row>
    <row r="7874">
      <c r="A7874" s="84"/>
      <c r="B7874" s="85"/>
      <c r="C7874" s="85"/>
      <c r="F7874" s="92"/>
      <c r="G7874" s="85"/>
    </row>
    <row r="7875">
      <c r="A7875" s="84"/>
      <c r="B7875" s="85"/>
      <c r="C7875" s="85"/>
      <c r="F7875" s="92"/>
      <c r="G7875" s="85"/>
    </row>
    <row r="7876">
      <c r="A7876" s="84"/>
      <c r="B7876" s="85"/>
      <c r="C7876" s="85"/>
      <c r="F7876" s="92"/>
      <c r="G7876" s="85"/>
    </row>
    <row r="7877">
      <c r="A7877" s="84"/>
      <c r="B7877" s="85"/>
      <c r="C7877" s="85"/>
      <c r="F7877" s="92"/>
      <c r="G7877" s="85"/>
    </row>
    <row r="7878">
      <c r="A7878" s="84"/>
      <c r="B7878" s="85"/>
      <c r="C7878" s="85"/>
      <c r="F7878" s="92"/>
      <c r="G7878" s="85"/>
    </row>
    <row r="7879">
      <c r="A7879" s="84"/>
      <c r="B7879" s="85"/>
      <c r="C7879" s="85"/>
      <c r="F7879" s="92"/>
      <c r="G7879" s="85"/>
    </row>
    <row r="7880">
      <c r="A7880" s="84"/>
      <c r="B7880" s="85"/>
      <c r="C7880" s="85"/>
      <c r="F7880" s="92"/>
      <c r="G7880" s="85"/>
    </row>
    <row r="7881">
      <c r="A7881" s="84"/>
      <c r="B7881" s="85"/>
      <c r="C7881" s="85"/>
      <c r="F7881" s="92"/>
      <c r="G7881" s="85"/>
    </row>
    <row r="7882">
      <c r="A7882" s="84"/>
      <c r="B7882" s="85"/>
      <c r="C7882" s="85"/>
      <c r="F7882" s="92"/>
      <c r="G7882" s="85"/>
    </row>
    <row r="7883">
      <c r="A7883" s="84"/>
      <c r="B7883" s="85"/>
      <c r="C7883" s="85"/>
      <c r="F7883" s="92"/>
      <c r="G7883" s="85"/>
    </row>
    <row r="7884">
      <c r="A7884" s="84"/>
      <c r="B7884" s="85"/>
      <c r="C7884" s="85"/>
      <c r="F7884" s="92"/>
      <c r="G7884" s="85"/>
    </row>
    <row r="7885">
      <c r="A7885" s="84"/>
      <c r="B7885" s="85"/>
      <c r="C7885" s="85"/>
      <c r="F7885" s="92"/>
      <c r="G7885" s="85"/>
    </row>
    <row r="7886">
      <c r="A7886" s="84"/>
      <c r="B7886" s="85"/>
      <c r="C7886" s="85"/>
      <c r="F7886" s="92"/>
      <c r="G7886" s="85"/>
    </row>
    <row r="7887">
      <c r="A7887" s="84"/>
      <c r="B7887" s="85"/>
      <c r="C7887" s="85"/>
      <c r="F7887" s="92"/>
      <c r="G7887" s="85"/>
    </row>
    <row r="7888">
      <c r="A7888" s="84"/>
      <c r="B7888" s="85"/>
      <c r="C7888" s="85"/>
      <c r="F7888" s="92"/>
      <c r="G7888" s="85"/>
    </row>
    <row r="7889">
      <c r="A7889" s="84"/>
      <c r="B7889" s="85"/>
      <c r="C7889" s="85"/>
      <c r="F7889" s="92"/>
      <c r="G7889" s="85"/>
    </row>
    <row r="7890">
      <c r="A7890" s="84"/>
      <c r="B7890" s="85"/>
      <c r="C7890" s="85"/>
      <c r="F7890" s="92"/>
      <c r="G7890" s="85"/>
    </row>
    <row r="7891">
      <c r="A7891" s="84"/>
      <c r="B7891" s="85"/>
      <c r="C7891" s="85"/>
      <c r="F7891" s="92"/>
      <c r="G7891" s="85"/>
    </row>
    <row r="7892">
      <c r="A7892" s="84"/>
      <c r="B7892" s="85"/>
      <c r="C7892" s="85"/>
      <c r="F7892" s="92"/>
      <c r="G7892" s="85"/>
    </row>
    <row r="7893">
      <c r="A7893" s="84"/>
      <c r="B7893" s="85"/>
      <c r="C7893" s="85"/>
      <c r="F7893" s="92"/>
      <c r="G7893" s="85"/>
    </row>
    <row r="7894">
      <c r="A7894" s="84"/>
      <c r="B7894" s="85"/>
      <c r="C7894" s="85"/>
      <c r="F7894" s="92"/>
      <c r="G7894" s="85"/>
    </row>
    <row r="7895">
      <c r="A7895" s="84"/>
      <c r="B7895" s="85"/>
      <c r="C7895" s="85"/>
      <c r="F7895" s="92"/>
      <c r="G7895" s="85"/>
    </row>
    <row r="7896">
      <c r="A7896" s="84"/>
      <c r="B7896" s="85"/>
      <c r="C7896" s="85"/>
      <c r="F7896" s="92"/>
      <c r="G7896" s="85"/>
    </row>
    <row r="7897">
      <c r="A7897" s="84"/>
      <c r="B7897" s="85"/>
      <c r="C7897" s="85"/>
      <c r="F7897" s="92"/>
      <c r="G7897" s="85"/>
    </row>
    <row r="7898">
      <c r="A7898" s="84"/>
      <c r="B7898" s="85"/>
      <c r="C7898" s="85"/>
      <c r="F7898" s="92"/>
      <c r="G7898" s="85"/>
    </row>
    <row r="7899">
      <c r="A7899" s="84"/>
      <c r="B7899" s="85"/>
      <c r="C7899" s="85"/>
      <c r="F7899" s="92"/>
      <c r="G7899" s="85"/>
    </row>
    <row r="7900">
      <c r="A7900" s="84"/>
      <c r="B7900" s="85"/>
      <c r="C7900" s="85"/>
      <c r="F7900" s="92"/>
      <c r="G7900" s="85"/>
    </row>
    <row r="7901">
      <c r="A7901" s="84"/>
      <c r="B7901" s="85"/>
      <c r="C7901" s="85"/>
      <c r="F7901" s="92"/>
      <c r="G7901" s="85"/>
    </row>
    <row r="7902">
      <c r="A7902" s="84"/>
      <c r="B7902" s="85"/>
      <c r="C7902" s="85"/>
      <c r="F7902" s="92"/>
      <c r="G7902" s="85"/>
    </row>
    <row r="7903">
      <c r="A7903" s="84"/>
      <c r="B7903" s="85"/>
      <c r="C7903" s="85"/>
      <c r="F7903" s="92"/>
      <c r="G7903" s="85"/>
    </row>
    <row r="7904">
      <c r="A7904" s="84"/>
      <c r="B7904" s="85"/>
      <c r="C7904" s="85"/>
      <c r="F7904" s="92"/>
      <c r="G7904" s="85"/>
    </row>
    <row r="7905">
      <c r="A7905" s="84"/>
      <c r="B7905" s="85"/>
      <c r="C7905" s="85"/>
      <c r="F7905" s="92"/>
      <c r="G7905" s="85"/>
    </row>
    <row r="7906">
      <c r="A7906" s="84"/>
      <c r="B7906" s="85"/>
      <c r="C7906" s="85"/>
      <c r="F7906" s="92"/>
      <c r="G7906" s="85"/>
    </row>
    <row r="7907">
      <c r="A7907" s="84"/>
      <c r="B7907" s="85"/>
      <c r="C7907" s="85"/>
      <c r="F7907" s="92"/>
      <c r="G7907" s="85"/>
    </row>
    <row r="7908">
      <c r="A7908" s="84"/>
      <c r="B7908" s="85"/>
      <c r="C7908" s="85"/>
      <c r="F7908" s="92"/>
      <c r="G7908" s="85"/>
    </row>
    <row r="7909">
      <c r="A7909" s="84"/>
      <c r="B7909" s="85"/>
      <c r="C7909" s="85"/>
      <c r="F7909" s="92"/>
      <c r="G7909" s="85"/>
    </row>
    <row r="7910">
      <c r="A7910" s="84"/>
      <c r="B7910" s="85"/>
      <c r="C7910" s="85"/>
      <c r="F7910" s="92"/>
      <c r="G7910" s="85"/>
    </row>
    <row r="7911">
      <c r="A7911" s="84"/>
      <c r="B7911" s="85"/>
      <c r="C7911" s="85"/>
      <c r="F7911" s="92"/>
      <c r="G7911" s="85"/>
    </row>
    <row r="7912">
      <c r="A7912" s="84"/>
      <c r="B7912" s="85"/>
      <c r="C7912" s="85"/>
      <c r="F7912" s="92"/>
      <c r="G7912" s="85"/>
    </row>
    <row r="7913">
      <c r="A7913" s="84"/>
      <c r="B7913" s="85"/>
      <c r="C7913" s="85"/>
      <c r="F7913" s="92"/>
      <c r="G7913" s="85"/>
    </row>
    <row r="7914">
      <c r="A7914" s="84"/>
      <c r="B7914" s="85"/>
      <c r="C7914" s="85"/>
      <c r="F7914" s="92"/>
      <c r="G7914" s="85"/>
    </row>
    <row r="7915">
      <c r="A7915" s="84"/>
      <c r="B7915" s="85"/>
      <c r="C7915" s="85"/>
      <c r="F7915" s="92"/>
      <c r="G7915" s="85"/>
    </row>
    <row r="7916">
      <c r="A7916" s="84"/>
      <c r="B7916" s="85"/>
      <c r="C7916" s="85"/>
      <c r="F7916" s="92"/>
      <c r="G7916" s="85"/>
    </row>
    <row r="7917">
      <c r="A7917" s="84"/>
      <c r="B7917" s="85"/>
      <c r="C7917" s="85"/>
      <c r="F7917" s="92"/>
      <c r="G7917" s="85"/>
    </row>
    <row r="7918">
      <c r="A7918" s="84"/>
      <c r="B7918" s="85"/>
      <c r="C7918" s="85"/>
      <c r="F7918" s="92"/>
      <c r="G7918" s="85"/>
    </row>
    <row r="7919">
      <c r="A7919" s="84"/>
      <c r="B7919" s="85"/>
      <c r="C7919" s="85"/>
      <c r="F7919" s="92"/>
      <c r="G7919" s="85"/>
    </row>
    <row r="7920">
      <c r="A7920" s="84"/>
      <c r="B7920" s="85"/>
      <c r="C7920" s="85"/>
      <c r="F7920" s="92"/>
      <c r="G7920" s="85"/>
    </row>
    <row r="7921">
      <c r="A7921" s="84"/>
      <c r="B7921" s="85"/>
      <c r="C7921" s="85"/>
      <c r="F7921" s="92"/>
      <c r="G7921" s="85"/>
    </row>
    <row r="7922">
      <c r="A7922" s="84"/>
      <c r="B7922" s="85"/>
      <c r="C7922" s="85"/>
      <c r="F7922" s="92"/>
      <c r="G7922" s="85"/>
    </row>
    <row r="7923">
      <c r="A7923" s="84"/>
      <c r="B7923" s="85"/>
      <c r="C7923" s="85"/>
      <c r="F7923" s="92"/>
      <c r="G7923" s="85"/>
    </row>
    <row r="7924">
      <c r="A7924" s="84"/>
      <c r="B7924" s="85"/>
      <c r="C7924" s="85"/>
      <c r="F7924" s="92"/>
      <c r="G7924" s="85"/>
    </row>
    <row r="7925">
      <c r="A7925" s="84"/>
      <c r="B7925" s="85"/>
      <c r="C7925" s="85"/>
      <c r="F7925" s="92"/>
      <c r="G7925" s="85"/>
    </row>
    <row r="7926">
      <c r="A7926" s="84"/>
      <c r="B7926" s="85"/>
      <c r="C7926" s="85"/>
      <c r="F7926" s="92"/>
      <c r="G7926" s="85"/>
    </row>
    <row r="7927">
      <c r="A7927" s="84"/>
      <c r="B7927" s="85"/>
      <c r="C7927" s="85"/>
      <c r="F7927" s="92"/>
      <c r="G7927" s="85"/>
    </row>
    <row r="7928">
      <c r="A7928" s="84"/>
      <c r="B7928" s="85"/>
      <c r="C7928" s="85"/>
      <c r="F7928" s="92"/>
      <c r="G7928" s="85"/>
    </row>
    <row r="7929">
      <c r="A7929" s="84"/>
      <c r="B7929" s="85"/>
      <c r="C7929" s="85"/>
      <c r="F7929" s="92"/>
      <c r="G7929" s="85"/>
    </row>
    <row r="7930">
      <c r="A7930" s="84"/>
      <c r="B7930" s="85"/>
      <c r="C7930" s="85"/>
      <c r="F7930" s="92"/>
      <c r="G7930" s="85"/>
    </row>
    <row r="7931">
      <c r="A7931" s="84"/>
      <c r="B7931" s="85"/>
      <c r="C7931" s="85"/>
      <c r="F7931" s="92"/>
      <c r="G7931" s="85"/>
    </row>
    <row r="7932">
      <c r="A7932" s="84"/>
      <c r="B7932" s="85"/>
      <c r="C7932" s="85"/>
      <c r="F7932" s="92"/>
      <c r="G7932" s="85"/>
    </row>
    <row r="7933">
      <c r="A7933" s="84"/>
      <c r="B7933" s="85"/>
      <c r="C7933" s="85"/>
      <c r="F7933" s="92"/>
      <c r="G7933" s="85"/>
    </row>
    <row r="7934">
      <c r="A7934" s="84"/>
      <c r="B7934" s="85"/>
      <c r="C7934" s="85"/>
      <c r="F7934" s="92"/>
      <c r="G7934" s="85"/>
    </row>
    <row r="7935">
      <c r="A7935" s="84"/>
      <c r="B7935" s="85"/>
      <c r="C7935" s="85"/>
      <c r="F7935" s="92"/>
      <c r="G7935" s="85"/>
    </row>
    <row r="7936">
      <c r="A7936" s="84"/>
      <c r="B7936" s="85"/>
      <c r="C7936" s="85"/>
      <c r="F7936" s="92"/>
      <c r="G7936" s="85"/>
    </row>
    <row r="7937">
      <c r="A7937" s="84"/>
      <c r="B7937" s="85"/>
      <c r="C7937" s="85"/>
      <c r="F7937" s="92"/>
      <c r="G7937" s="85"/>
    </row>
    <row r="7938">
      <c r="A7938" s="84"/>
      <c r="B7938" s="85"/>
      <c r="C7938" s="85"/>
      <c r="F7938" s="92"/>
      <c r="G7938" s="85"/>
    </row>
    <row r="7939">
      <c r="A7939" s="84"/>
      <c r="B7939" s="85"/>
      <c r="C7939" s="85"/>
      <c r="F7939" s="92"/>
      <c r="G7939" s="85"/>
    </row>
    <row r="7940">
      <c r="A7940" s="84"/>
      <c r="B7940" s="85"/>
      <c r="C7940" s="85"/>
      <c r="F7940" s="92"/>
      <c r="G7940" s="85"/>
    </row>
    <row r="7941">
      <c r="A7941" s="84"/>
      <c r="B7941" s="85"/>
      <c r="C7941" s="85"/>
      <c r="F7941" s="92"/>
      <c r="G7941" s="85"/>
    </row>
    <row r="7942">
      <c r="A7942" s="84"/>
      <c r="B7942" s="85"/>
      <c r="C7942" s="85"/>
      <c r="F7942" s="92"/>
      <c r="G7942" s="85"/>
    </row>
    <row r="7943">
      <c r="A7943" s="84"/>
      <c r="B7943" s="85"/>
      <c r="C7943" s="85"/>
      <c r="F7943" s="92"/>
      <c r="G7943" s="85"/>
    </row>
    <row r="7944">
      <c r="A7944" s="84"/>
      <c r="B7944" s="85"/>
      <c r="C7944" s="85"/>
      <c r="F7944" s="92"/>
      <c r="G7944" s="85"/>
    </row>
    <row r="7945">
      <c r="A7945" s="84"/>
      <c r="B7945" s="85"/>
      <c r="C7945" s="85"/>
      <c r="F7945" s="92"/>
      <c r="G7945" s="85"/>
    </row>
    <row r="7946">
      <c r="A7946" s="84"/>
      <c r="B7946" s="85"/>
      <c r="C7946" s="85"/>
      <c r="F7946" s="92"/>
      <c r="G7946" s="85"/>
    </row>
    <row r="7947">
      <c r="A7947" s="84"/>
      <c r="B7947" s="85"/>
      <c r="C7947" s="85"/>
      <c r="F7947" s="92"/>
      <c r="G7947" s="85"/>
    </row>
    <row r="7948">
      <c r="A7948" s="84"/>
      <c r="B7948" s="85"/>
      <c r="C7948" s="85"/>
      <c r="F7948" s="92"/>
      <c r="G7948" s="85"/>
    </row>
    <row r="7949">
      <c r="A7949" s="84"/>
      <c r="B7949" s="85"/>
      <c r="C7949" s="85"/>
      <c r="F7949" s="92"/>
      <c r="G7949" s="85"/>
    </row>
    <row r="7950">
      <c r="A7950" s="84"/>
      <c r="B7950" s="85"/>
      <c r="C7950" s="85"/>
      <c r="F7950" s="92"/>
      <c r="G7950" s="85"/>
    </row>
    <row r="7951">
      <c r="A7951" s="84"/>
      <c r="B7951" s="85"/>
      <c r="C7951" s="85"/>
      <c r="F7951" s="92"/>
      <c r="G7951" s="85"/>
    </row>
    <row r="7952">
      <c r="A7952" s="84"/>
      <c r="B7952" s="85"/>
      <c r="C7952" s="85"/>
      <c r="F7952" s="92"/>
      <c r="G7952" s="85"/>
    </row>
    <row r="7953">
      <c r="A7953" s="84"/>
      <c r="B7953" s="85"/>
      <c r="C7953" s="85"/>
      <c r="F7953" s="92"/>
      <c r="G7953" s="85"/>
    </row>
    <row r="7954">
      <c r="A7954" s="84"/>
      <c r="B7954" s="85"/>
      <c r="C7954" s="85"/>
      <c r="F7954" s="92"/>
      <c r="G7954" s="85"/>
    </row>
    <row r="7955">
      <c r="A7955" s="84"/>
      <c r="B7955" s="85"/>
      <c r="C7955" s="85"/>
      <c r="F7955" s="92"/>
      <c r="G7955" s="85"/>
    </row>
    <row r="7956">
      <c r="A7956" s="84"/>
      <c r="B7956" s="85"/>
      <c r="C7956" s="85"/>
      <c r="F7956" s="92"/>
      <c r="G7956" s="85"/>
    </row>
    <row r="7957">
      <c r="A7957" s="84"/>
      <c r="B7957" s="85"/>
      <c r="C7957" s="85"/>
      <c r="F7957" s="92"/>
      <c r="G7957" s="85"/>
    </row>
    <row r="7958">
      <c r="A7958" s="84"/>
      <c r="B7958" s="85"/>
      <c r="C7958" s="85"/>
      <c r="F7958" s="92"/>
      <c r="G7958" s="85"/>
    </row>
    <row r="7959">
      <c r="A7959" s="84"/>
      <c r="B7959" s="85"/>
      <c r="C7959" s="85"/>
      <c r="F7959" s="92"/>
      <c r="G7959" s="85"/>
    </row>
    <row r="7960">
      <c r="A7960" s="84"/>
      <c r="B7960" s="85"/>
      <c r="C7960" s="85"/>
      <c r="F7960" s="92"/>
      <c r="G7960" s="85"/>
    </row>
    <row r="7961">
      <c r="A7961" s="84"/>
      <c r="B7961" s="85"/>
      <c r="C7961" s="85"/>
      <c r="F7961" s="92"/>
      <c r="G7961" s="85"/>
    </row>
    <row r="7962">
      <c r="A7962" s="84"/>
      <c r="B7962" s="85"/>
      <c r="C7962" s="85"/>
      <c r="F7962" s="92"/>
      <c r="G7962" s="85"/>
    </row>
    <row r="7963">
      <c r="A7963" s="84"/>
      <c r="B7963" s="85"/>
      <c r="C7963" s="85"/>
      <c r="F7963" s="92"/>
      <c r="G7963" s="85"/>
    </row>
    <row r="7964">
      <c r="A7964" s="84"/>
      <c r="B7964" s="85"/>
      <c r="C7964" s="85"/>
      <c r="F7964" s="92"/>
      <c r="G7964" s="85"/>
    </row>
    <row r="7965">
      <c r="A7965" s="84"/>
      <c r="B7965" s="85"/>
      <c r="C7965" s="85"/>
      <c r="F7965" s="92"/>
      <c r="G7965" s="85"/>
    </row>
    <row r="7966">
      <c r="A7966" s="84"/>
      <c r="B7966" s="85"/>
      <c r="C7966" s="85"/>
      <c r="F7966" s="92"/>
      <c r="G7966" s="85"/>
    </row>
    <row r="7967">
      <c r="A7967" s="84"/>
      <c r="B7967" s="85"/>
      <c r="C7967" s="85"/>
      <c r="F7967" s="92"/>
      <c r="G7967" s="85"/>
    </row>
    <row r="7968">
      <c r="A7968" s="84"/>
      <c r="B7968" s="85"/>
      <c r="C7968" s="85"/>
      <c r="F7968" s="92"/>
      <c r="G7968" s="85"/>
    </row>
    <row r="7969">
      <c r="A7969" s="84"/>
      <c r="B7969" s="85"/>
      <c r="C7969" s="85"/>
      <c r="F7969" s="92"/>
      <c r="G7969" s="85"/>
    </row>
    <row r="7970">
      <c r="A7970" s="84"/>
      <c r="B7970" s="85"/>
      <c r="C7970" s="85"/>
      <c r="F7970" s="92"/>
      <c r="G7970" s="85"/>
    </row>
    <row r="7971">
      <c r="A7971" s="84"/>
      <c r="B7971" s="85"/>
      <c r="C7971" s="85"/>
      <c r="F7971" s="92"/>
      <c r="G7971" s="85"/>
    </row>
    <row r="7972">
      <c r="A7972" s="84"/>
      <c r="B7972" s="85"/>
      <c r="C7972" s="85"/>
      <c r="F7972" s="92"/>
      <c r="G7972" s="85"/>
    </row>
    <row r="7973">
      <c r="A7973" s="84"/>
      <c r="B7973" s="85"/>
      <c r="C7973" s="85"/>
      <c r="F7973" s="92"/>
      <c r="G7973" s="85"/>
    </row>
    <row r="7974">
      <c r="A7974" s="84"/>
      <c r="B7974" s="85"/>
      <c r="C7974" s="85"/>
      <c r="F7974" s="92"/>
      <c r="G7974" s="85"/>
    </row>
    <row r="7975">
      <c r="A7975" s="84"/>
      <c r="B7975" s="85"/>
      <c r="C7975" s="85"/>
      <c r="F7975" s="92"/>
      <c r="G7975" s="85"/>
    </row>
    <row r="7976">
      <c r="A7976" s="84"/>
      <c r="B7976" s="85"/>
      <c r="C7976" s="85"/>
      <c r="F7976" s="92"/>
      <c r="G7976" s="85"/>
    </row>
    <row r="7977">
      <c r="A7977" s="84"/>
      <c r="B7977" s="85"/>
      <c r="C7977" s="85"/>
      <c r="F7977" s="92"/>
      <c r="G7977" s="85"/>
    </row>
    <row r="7978">
      <c r="A7978" s="84"/>
      <c r="B7978" s="85"/>
      <c r="C7978" s="85"/>
      <c r="F7978" s="92"/>
      <c r="G7978" s="85"/>
    </row>
    <row r="7979">
      <c r="A7979" s="84"/>
      <c r="B7979" s="85"/>
      <c r="C7979" s="85"/>
      <c r="F7979" s="92"/>
      <c r="G7979" s="85"/>
    </row>
    <row r="7980">
      <c r="A7980" s="84"/>
      <c r="B7980" s="85"/>
      <c r="C7980" s="85"/>
      <c r="F7980" s="92"/>
      <c r="G7980" s="85"/>
    </row>
    <row r="7981">
      <c r="A7981" s="84"/>
      <c r="B7981" s="85"/>
      <c r="C7981" s="85"/>
      <c r="F7981" s="92"/>
      <c r="G7981" s="85"/>
    </row>
    <row r="7982">
      <c r="A7982" s="84"/>
      <c r="B7982" s="85"/>
      <c r="C7982" s="85"/>
      <c r="F7982" s="92"/>
      <c r="G7982" s="85"/>
    </row>
    <row r="7983">
      <c r="A7983" s="84"/>
      <c r="B7983" s="85"/>
      <c r="C7983" s="85"/>
      <c r="F7983" s="92"/>
      <c r="G7983" s="85"/>
    </row>
    <row r="7984">
      <c r="A7984" s="84"/>
      <c r="B7984" s="85"/>
      <c r="C7984" s="85"/>
      <c r="F7984" s="92"/>
      <c r="G7984" s="85"/>
    </row>
    <row r="7985">
      <c r="A7985" s="84"/>
      <c r="B7985" s="85"/>
      <c r="C7985" s="85"/>
      <c r="F7985" s="92"/>
      <c r="G7985" s="85"/>
    </row>
    <row r="7986">
      <c r="A7986" s="84"/>
      <c r="B7986" s="85"/>
      <c r="C7986" s="85"/>
      <c r="F7986" s="92"/>
      <c r="G7986" s="85"/>
    </row>
    <row r="7987">
      <c r="A7987" s="84"/>
      <c r="B7987" s="85"/>
      <c r="C7987" s="85"/>
      <c r="F7987" s="92"/>
      <c r="G7987" s="85"/>
    </row>
    <row r="7988">
      <c r="A7988" s="84"/>
      <c r="B7988" s="85"/>
      <c r="C7988" s="85"/>
      <c r="F7988" s="92"/>
      <c r="G7988" s="85"/>
    </row>
    <row r="7989">
      <c r="A7989" s="84"/>
      <c r="B7989" s="85"/>
      <c r="C7989" s="85"/>
      <c r="F7989" s="92"/>
      <c r="G7989" s="85"/>
    </row>
    <row r="7990">
      <c r="A7990" s="84"/>
      <c r="B7990" s="85"/>
      <c r="C7990" s="85"/>
      <c r="F7990" s="92"/>
      <c r="G7990" s="85"/>
    </row>
    <row r="7991">
      <c r="A7991" s="84"/>
      <c r="B7991" s="85"/>
      <c r="C7991" s="85"/>
      <c r="F7991" s="92"/>
      <c r="G7991" s="85"/>
    </row>
    <row r="7992">
      <c r="A7992" s="84"/>
      <c r="B7992" s="85"/>
      <c r="C7992" s="85"/>
      <c r="F7992" s="92"/>
      <c r="G7992" s="85"/>
    </row>
    <row r="7993">
      <c r="A7993" s="84"/>
      <c r="B7993" s="85"/>
      <c r="C7993" s="85"/>
      <c r="F7993" s="92"/>
      <c r="G7993" s="85"/>
    </row>
    <row r="7994">
      <c r="A7994" s="84"/>
      <c r="B7994" s="85"/>
      <c r="C7994" s="85"/>
      <c r="F7994" s="92"/>
      <c r="G7994" s="85"/>
    </row>
    <row r="7995">
      <c r="A7995" s="84"/>
      <c r="B7995" s="85"/>
      <c r="C7995" s="85"/>
      <c r="F7995" s="92"/>
      <c r="G7995" s="85"/>
    </row>
    <row r="7996">
      <c r="A7996" s="84"/>
      <c r="B7996" s="85"/>
      <c r="C7996" s="85"/>
      <c r="F7996" s="92"/>
      <c r="G7996" s="85"/>
    </row>
    <row r="7997">
      <c r="A7997" s="84"/>
      <c r="B7997" s="85"/>
      <c r="C7997" s="85"/>
      <c r="F7997" s="92"/>
      <c r="G7997" s="85"/>
    </row>
    <row r="7998">
      <c r="A7998" s="84"/>
      <c r="B7998" s="85"/>
      <c r="C7998" s="85"/>
      <c r="F7998" s="92"/>
      <c r="G7998" s="85"/>
    </row>
    <row r="7999">
      <c r="A7999" s="84"/>
      <c r="B7999" s="85"/>
      <c r="C7999" s="85"/>
      <c r="F7999" s="92"/>
      <c r="G7999" s="85"/>
    </row>
    <row r="8000">
      <c r="A8000" s="84"/>
      <c r="B8000" s="85"/>
      <c r="C8000" s="85"/>
      <c r="F8000" s="92"/>
      <c r="G8000" s="85"/>
    </row>
    <row r="8001">
      <c r="A8001" s="84"/>
      <c r="B8001" s="85"/>
      <c r="C8001" s="85"/>
      <c r="F8001" s="92"/>
      <c r="G8001" s="85"/>
    </row>
    <row r="8002">
      <c r="A8002" s="84"/>
      <c r="B8002" s="85"/>
      <c r="C8002" s="85"/>
      <c r="F8002" s="92"/>
      <c r="G8002" s="85"/>
    </row>
    <row r="8003">
      <c r="A8003" s="84"/>
      <c r="B8003" s="85"/>
      <c r="C8003" s="85"/>
      <c r="F8003" s="92"/>
      <c r="G8003" s="85"/>
    </row>
    <row r="8004">
      <c r="A8004" s="84"/>
      <c r="B8004" s="85"/>
      <c r="C8004" s="85"/>
      <c r="F8004" s="92"/>
      <c r="G8004" s="85"/>
    </row>
    <row r="8005">
      <c r="A8005" s="84"/>
      <c r="B8005" s="85"/>
      <c r="C8005" s="85"/>
      <c r="F8005" s="92"/>
      <c r="G8005" s="85"/>
    </row>
    <row r="8006">
      <c r="A8006" s="84"/>
      <c r="B8006" s="85"/>
      <c r="C8006" s="85"/>
      <c r="F8006" s="92"/>
      <c r="G8006" s="85"/>
    </row>
    <row r="8007">
      <c r="A8007" s="84"/>
      <c r="B8007" s="85"/>
      <c r="C8007" s="85"/>
      <c r="F8007" s="92"/>
      <c r="G8007" s="85"/>
    </row>
    <row r="8008">
      <c r="A8008" s="84"/>
      <c r="B8008" s="85"/>
      <c r="C8008" s="85"/>
      <c r="F8008" s="92"/>
      <c r="G8008" s="85"/>
    </row>
    <row r="8009">
      <c r="A8009" s="84"/>
      <c r="B8009" s="85"/>
      <c r="C8009" s="85"/>
      <c r="F8009" s="92"/>
      <c r="G8009" s="85"/>
    </row>
    <row r="8010">
      <c r="A8010" s="84"/>
      <c r="B8010" s="85"/>
      <c r="C8010" s="85"/>
      <c r="F8010" s="92"/>
      <c r="G8010" s="85"/>
    </row>
    <row r="8011">
      <c r="A8011" s="84"/>
      <c r="B8011" s="85"/>
      <c r="C8011" s="85"/>
      <c r="F8011" s="92"/>
      <c r="G8011" s="85"/>
    </row>
    <row r="8012">
      <c r="A8012" s="84"/>
      <c r="B8012" s="85"/>
      <c r="C8012" s="85"/>
      <c r="F8012" s="92"/>
      <c r="G8012" s="85"/>
    </row>
    <row r="8013">
      <c r="A8013" s="84"/>
      <c r="B8013" s="85"/>
      <c r="C8013" s="85"/>
      <c r="F8013" s="92"/>
      <c r="G8013" s="85"/>
    </row>
    <row r="8014">
      <c r="A8014" s="84"/>
      <c r="B8014" s="85"/>
      <c r="C8014" s="85"/>
      <c r="F8014" s="92"/>
      <c r="G8014" s="85"/>
    </row>
    <row r="8015">
      <c r="A8015" s="84"/>
      <c r="B8015" s="85"/>
      <c r="C8015" s="85"/>
      <c r="F8015" s="92"/>
      <c r="G8015" s="85"/>
    </row>
    <row r="8016">
      <c r="A8016" s="84"/>
      <c r="B8016" s="85"/>
      <c r="C8016" s="85"/>
      <c r="F8016" s="92"/>
      <c r="G8016" s="85"/>
    </row>
    <row r="8017">
      <c r="A8017" s="84"/>
      <c r="B8017" s="85"/>
      <c r="C8017" s="85"/>
      <c r="F8017" s="92"/>
      <c r="G8017" s="85"/>
    </row>
    <row r="8018">
      <c r="A8018" s="84"/>
      <c r="B8018" s="85"/>
      <c r="C8018" s="85"/>
      <c r="F8018" s="92"/>
      <c r="G8018" s="85"/>
    </row>
    <row r="8019">
      <c r="A8019" s="84"/>
      <c r="B8019" s="85"/>
      <c r="C8019" s="85"/>
      <c r="F8019" s="92"/>
      <c r="G8019" s="85"/>
    </row>
    <row r="8020">
      <c r="A8020" s="84"/>
      <c r="B8020" s="85"/>
      <c r="C8020" s="85"/>
      <c r="F8020" s="92"/>
      <c r="G8020" s="85"/>
    </row>
    <row r="8021">
      <c r="A8021" s="84"/>
      <c r="B8021" s="85"/>
      <c r="C8021" s="85"/>
      <c r="F8021" s="92"/>
      <c r="G8021" s="85"/>
    </row>
    <row r="8022">
      <c r="A8022" s="84"/>
      <c r="B8022" s="85"/>
      <c r="C8022" s="85"/>
      <c r="F8022" s="92"/>
      <c r="G8022" s="85"/>
    </row>
    <row r="8023">
      <c r="A8023" s="84"/>
      <c r="B8023" s="85"/>
      <c r="C8023" s="85"/>
      <c r="F8023" s="92"/>
      <c r="G8023" s="85"/>
    </row>
    <row r="8024">
      <c r="A8024" s="84"/>
      <c r="B8024" s="85"/>
      <c r="C8024" s="85"/>
      <c r="F8024" s="92"/>
      <c r="G8024" s="85"/>
    </row>
    <row r="8025">
      <c r="A8025" s="84"/>
      <c r="B8025" s="85"/>
      <c r="C8025" s="85"/>
      <c r="F8025" s="92"/>
      <c r="G8025" s="85"/>
    </row>
    <row r="8026">
      <c r="A8026" s="84"/>
      <c r="B8026" s="85"/>
      <c r="C8026" s="85"/>
      <c r="F8026" s="92"/>
      <c r="G8026" s="85"/>
    </row>
    <row r="8027">
      <c r="A8027" s="84"/>
      <c r="B8027" s="85"/>
      <c r="C8027" s="85"/>
      <c r="F8027" s="92"/>
      <c r="G8027" s="85"/>
    </row>
    <row r="8028">
      <c r="A8028" s="84"/>
      <c r="B8028" s="85"/>
      <c r="C8028" s="85"/>
      <c r="F8028" s="92"/>
      <c r="G8028" s="85"/>
    </row>
    <row r="8029">
      <c r="A8029" s="84"/>
      <c r="B8029" s="85"/>
      <c r="C8029" s="85"/>
      <c r="F8029" s="92"/>
      <c r="G8029" s="85"/>
    </row>
    <row r="8030">
      <c r="A8030" s="84"/>
      <c r="B8030" s="85"/>
      <c r="C8030" s="85"/>
      <c r="F8030" s="92"/>
      <c r="G8030" s="85"/>
    </row>
    <row r="8031">
      <c r="A8031" s="84"/>
      <c r="B8031" s="85"/>
      <c r="C8031" s="85"/>
      <c r="F8031" s="92"/>
      <c r="G8031" s="85"/>
    </row>
    <row r="8032">
      <c r="A8032" s="84"/>
      <c r="B8032" s="85"/>
      <c r="C8032" s="85"/>
      <c r="F8032" s="92"/>
      <c r="G8032" s="85"/>
    </row>
    <row r="8033">
      <c r="A8033" s="84"/>
      <c r="B8033" s="85"/>
      <c r="C8033" s="85"/>
      <c r="F8033" s="92"/>
      <c r="G8033" s="85"/>
    </row>
    <row r="8034">
      <c r="A8034" s="84"/>
      <c r="B8034" s="85"/>
      <c r="C8034" s="85"/>
      <c r="F8034" s="92"/>
      <c r="G8034" s="85"/>
    </row>
    <row r="8035">
      <c r="A8035" s="84"/>
      <c r="B8035" s="85"/>
      <c r="C8035" s="85"/>
      <c r="F8035" s="92"/>
      <c r="G8035" s="85"/>
    </row>
    <row r="8036">
      <c r="A8036" s="84"/>
      <c r="B8036" s="85"/>
      <c r="C8036" s="85"/>
      <c r="F8036" s="92"/>
      <c r="G8036" s="85"/>
    </row>
    <row r="8037">
      <c r="A8037" s="84"/>
      <c r="B8037" s="85"/>
      <c r="C8037" s="85"/>
      <c r="F8037" s="92"/>
      <c r="G8037" s="85"/>
    </row>
    <row r="8038">
      <c r="A8038" s="84"/>
      <c r="B8038" s="85"/>
      <c r="C8038" s="85"/>
      <c r="F8038" s="92"/>
      <c r="G8038" s="85"/>
    </row>
    <row r="8039">
      <c r="A8039" s="84"/>
      <c r="B8039" s="85"/>
      <c r="C8039" s="85"/>
      <c r="F8039" s="92"/>
      <c r="G8039" s="85"/>
    </row>
    <row r="8040">
      <c r="A8040" s="84"/>
      <c r="B8040" s="85"/>
      <c r="C8040" s="85"/>
      <c r="F8040" s="92"/>
      <c r="G8040" s="85"/>
    </row>
    <row r="8041">
      <c r="A8041" s="84"/>
      <c r="B8041" s="85"/>
      <c r="C8041" s="85"/>
      <c r="F8041" s="92"/>
      <c r="G8041" s="85"/>
    </row>
    <row r="8042">
      <c r="A8042" s="84"/>
      <c r="B8042" s="85"/>
      <c r="C8042" s="85"/>
      <c r="F8042" s="92"/>
      <c r="G8042" s="85"/>
    </row>
    <row r="8043">
      <c r="A8043" s="84"/>
      <c r="B8043" s="85"/>
      <c r="C8043" s="85"/>
      <c r="F8043" s="92"/>
      <c r="G8043" s="85"/>
    </row>
    <row r="8044">
      <c r="A8044" s="84"/>
      <c r="B8044" s="85"/>
      <c r="C8044" s="85"/>
      <c r="F8044" s="92"/>
      <c r="G8044" s="85"/>
    </row>
    <row r="8045">
      <c r="A8045" s="84"/>
      <c r="B8045" s="85"/>
      <c r="C8045" s="85"/>
      <c r="F8045" s="92"/>
      <c r="G8045" s="85"/>
    </row>
    <row r="8046">
      <c r="A8046" s="84"/>
      <c r="B8046" s="85"/>
      <c r="C8046" s="85"/>
      <c r="F8046" s="92"/>
      <c r="G8046" s="85"/>
    </row>
    <row r="8047">
      <c r="A8047" s="84"/>
      <c r="B8047" s="85"/>
      <c r="C8047" s="85"/>
      <c r="F8047" s="92"/>
      <c r="G8047" s="85"/>
    </row>
    <row r="8048">
      <c r="A8048" s="84"/>
      <c r="B8048" s="85"/>
      <c r="C8048" s="85"/>
      <c r="F8048" s="92"/>
      <c r="G8048" s="85"/>
    </row>
    <row r="8049">
      <c r="A8049" s="84"/>
      <c r="B8049" s="85"/>
      <c r="C8049" s="85"/>
      <c r="F8049" s="92"/>
      <c r="G8049" s="85"/>
    </row>
    <row r="8050">
      <c r="A8050" s="84"/>
      <c r="B8050" s="85"/>
      <c r="C8050" s="85"/>
      <c r="F8050" s="92"/>
      <c r="G8050" s="85"/>
    </row>
    <row r="8051">
      <c r="A8051" s="84"/>
      <c r="B8051" s="85"/>
      <c r="C8051" s="85"/>
      <c r="F8051" s="92"/>
      <c r="G8051" s="85"/>
    </row>
    <row r="8052">
      <c r="A8052" s="84"/>
      <c r="B8052" s="85"/>
      <c r="C8052" s="85"/>
      <c r="F8052" s="92"/>
      <c r="G8052" s="85"/>
    </row>
    <row r="8053">
      <c r="A8053" s="84"/>
      <c r="B8053" s="85"/>
      <c r="C8053" s="85"/>
      <c r="F8053" s="92"/>
      <c r="G8053" s="85"/>
    </row>
    <row r="8054">
      <c r="A8054" s="84"/>
      <c r="B8054" s="85"/>
      <c r="C8054" s="85"/>
      <c r="F8054" s="92"/>
      <c r="G8054" s="85"/>
    </row>
    <row r="8055">
      <c r="A8055" s="84"/>
      <c r="B8055" s="85"/>
      <c r="C8055" s="85"/>
      <c r="F8055" s="92"/>
      <c r="G8055" s="85"/>
    </row>
    <row r="8056">
      <c r="A8056" s="84"/>
      <c r="B8056" s="85"/>
      <c r="C8056" s="85"/>
      <c r="F8056" s="92"/>
      <c r="G8056" s="85"/>
    </row>
    <row r="8057">
      <c r="A8057" s="84"/>
      <c r="B8057" s="85"/>
      <c r="C8057" s="85"/>
      <c r="F8057" s="92"/>
      <c r="G8057" s="85"/>
    </row>
    <row r="8058">
      <c r="A8058" s="84"/>
      <c r="B8058" s="85"/>
      <c r="C8058" s="85"/>
      <c r="F8058" s="92"/>
      <c r="G8058" s="85"/>
    </row>
    <row r="8059">
      <c r="A8059" s="84"/>
      <c r="B8059" s="85"/>
      <c r="C8059" s="85"/>
      <c r="F8059" s="92"/>
      <c r="G8059" s="85"/>
    </row>
    <row r="8060">
      <c r="A8060" s="84"/>
      <c r="B8060" s="85"/>
      <c r="C8060" s="85"/>
      <c r="F8060" s="92"/>
      <c r="G8060" s="85"/>
    </row>
    <row r="8061">
      <c r="A8061" s="84"/>
      <c r="B8061" s="85"/>
      <c r="C8061" s="85"/>
      <c r="F8061" s="92"/>
      <c r="G8061" s="85"/>
    </row>
    <row r="8062">
      <c r="A8062" s="84"/>
      <c r="B8062" s="85"/>
      <c r="C8062" s="85"/>
      <c r="F8062" s="92"/>
      <c r="G8062" s="85"/>
    </row>
    <row r="8063">
      <c r="A8063" s="84"/>
      <c r="B8063" s="85"/>
      <c r="C8063" s="85"/>
      <c r="F8063" s="92"/>
      <c r="G8063" s="85"/>
    </row>
    <row r="8064">
      <c r="A8064" s="84"/>
      <c r="B8064" s="85"/>
      <c r="C8064" s="85"/>
      <c r="F8064" s="92"/>
      <c r="G8064" s="85"/>
    </row>
    <row r="8065">
      <c r="A8065" s="84"/>
      <c r="B8065" s="85"/>
      <c r="C8065" s="85"/>
      <c r="F8065" s="92"/>
      <c r="G8065" s="85"/>
    </row>
    <row r="8066">
      <c r="A8066" s="84"/>
      <c r="B8066" s="85"/>
      <c r="C8066" s="85"/>
      <c r="F8066" s="92"/>
      <c r="G8066" s="85"/>
    </row>
    <row r="8067">
      <c r="A8067" s="84"/>
      <c r="B8067" s="85"/>
      <c r="C8067" s="85"/>
      <c r="F8067" s="92"/>
      <c r="G8067" s="85"/>
    </row>
    <row r="8068">
      <c r="A8068" s="84"/>
      <c r="B8068" s="85"/>
      <c r="C8068" s="85"/>
      <c r="F8068" s="92"/>
      <c r="G8068" s="85"/>
    </row>
    <row r="8069">
      <c r="A8069" s="84"/>
      <c r="B8069" s="85"/>
      <c r="C8069" s="85"/>
      <c r="F8069" s="92"/>
      <c r="G8069" s="85"/>
    </row>
    <row r="8070">
      <c r="A8070" s="84"/>
      <c r="B8070" s="85"/>
      <c r="C8070" s="85"/>
      <c r="F8070" s="92"/>
      <c r="G8070" s="85"/>
    </row>
    <row r="8071">
      <c r="A8071" s="84"/>
      <c r="B8071" s="85"/>
      <c r="C8071" s="85"/>
      <c r="F8071" s="92"/>
      <c r="G8071" s="85"/>
    </row>
    <row r="8072">
      <c r="A8072" s="84"/>
      <c r="B8072" s="85"/>
      <c r="C8072" s="85"/>
      <c r="F8072" s="92"/>
      <c r="G8072" s="85"/>
    </row>
    <row r="8073">
      <c r="A8073" s="84"/>
      <c r="B8073" s="85"/>
      <c r="C8073" s="85"/>
      <c r="F8073" s="92"/>
      <c r="G8073" s="85"/>
    </row>
    <row r="8074">
      <c r="A8074" s="84"/>
      <c r="B8074" s="85"/>
      <c r="C8074" s="85"/>
      <c r="F8074" s="92"/>
      <c r="G8074" s="85"/>
    </row>
    <row r="8075">
      <c r="A8075" s="84"/>
      <c r="B8075" s="85"/>
      <c r="C8075" s="85"/>
      <c r="F8075" s="92"/>
      <c r="G8075" s="85"/>
    </row>
    <row r="8076">
      <c r="A8076" s="84"/>
      <c r="B8076" s="85"/>
      <c r="C8076" s="85"/>
      <c r="F8076" s="92"/>
      <c r="G8076" s="85"/>
    </row>
    <row r="8077">
      <c r="A8077" s="84"/>
      <c r="B8077" s="85"/>
      <c r="C8077" s="85"/>
      <c r="F8077" s="92"/>
      <c r="G8077" s="85"/>
    </row>
    <row r="8078">
      <c r="A8078" s="84"/>
      <c r="B8078" s="85"/>
      <c r="C8078" s="85"/>
      <c r="F8078" s="92"/>
      <c r="G8078" s="85"/>
    </row>
    <row r="8079">
      <c r="A8079" s="84"/>
      <c r="B8079" s="85"/>
      <c r="C8079" s="85"/>
      <c r="F8079" s="92"/>
      <c r="G8079" s="85"/>
    </row>
    <row r="8080">
      <c r="A8080" s="84"/>
      <c r="B8080" s="85"/>
      <c r="C8080" s="85"/>
      <c r="F8080" s="92"/>
      <c r="G8080" s="85"/>
    </row>
    <row r="8081">
      <c r="A8081" s="84"/>
      <c r="B8081" s="85"/>
      <c r="C8081" s="85"/>
      <c r="F8081" s="92"/>
      <c r="G8081" s="85"/>
    </row>
    <row r="8082">
      <c r="A8082" s="84"/>
      <c r="B8082" s="85"/>
      <c r="C8082" s="85"/>
      <c r="F8082" s="92"/>
      <c r="G8082" s="85"/>
    </row>
    <row r="8083">
      <c r="A8083" s="84"/>
      <c r="B8083" s="85"/>
      <c r="C8083" s="85"/>
      <c r="F8083" s="92"/>
      <c r="G8083" s="85"/>
    </row>
    <row r="8084">
      <c r="A8084" s="84"/>
      <c r="B8084" s="85"/>
      <c r="C8084" s="85"/>
      <c r="F8084" s="92"/>
      <c r="G8084" s="85"/>
    </row>
    <row r="8085">
      <c r="A8085" s="84"/>
      <c r="B8085" s="85"/>
      <c r="C8085" s="85"/>
      <c r="F8085" s="92"/>
      <c r="G8085" s="85"/>
    </row>
    <row r="8086">
      <c r="A8086" s="84"/>
      <c r="B8086" s="85"/>
      <c r="C8086" s="85"/>
      <c r="F8086" s="92"/>
      <c r="G8086" s="85"/>
    </row>
    <row r="8087">
      <c r="A8087" s="84"/>
      <c r="B8087" s="85"/>
      <c r="C8087" s="85"/>
      <c r="F8087" s="92"/>
      <c r="G8087" s="85"/>
    </row>
    <row r="8088">
      <c r="A8088" s="84"/>
      <c r="B8088" s="85"/>
      <c r="C8088" s="85"/>
      <c r="F8088" s="92"/>
      <c r="G8088" s="85"/>
    </row>
    <row r="8089">
      <c r="A8089" s="84"/>
      <c r="B8089" s="85"/>
      <c r="C8089" s="85"/>
      <c r="F8089" s="92"/>
      <c r="G8089" s="85"/>
    </row>
    <row r="8090">
      <c r="A8090" s="84"/>
      <c r="B8090" s="85"/>
      <c r="C8090" s="85"/>
      <c r="F8090" s="92"/>
      <c r="G8090" s="85"/>
    </row>
    <row r="8091">
      <c r="A8091" s="84"/>
      <c r="B8091" s="85"/>
      <c r="C8091" s="85"/>
      <c r="F8091" s="92"/>
      <c r="G8091" s="85"/>
    </row>
    <row r="8092">
      <c r="A8092" s="84"/>
      <c r="B8092" s="85"/>
      <c r="C8092" s="85"/>
      <c r="F8092" s="92"/>
      <c r="G8092" s="85"/>
    </row>
    <row r="8093">
      <c r="A8093" s="84"/>
      <c r="B8093" s="85"/>
      <c r="C8093" s="85"/>
      <c r="F8093" s="92"/>
      <c r="G8093" s="85"/>
    </row>
    <row r="8094">
      <c r="A8094" s="84"/>
      <c r="B8094" s="85"/>
      <c r="C8094" s="85"/>
      <c r="F8094" s="92"/>
      <c r="G8094" s="85"/>
    </row>
    <row r="8095">
      <c r="A8095" s="84"/>
      <c r="B8095" s="85"/>
      <c r="C8095" s="85"/>
      <c r="F8095" s="92"/>
      <c r="G8095" s="85"/>
    </row>
    <row r="8096">
      <c r="A8096" s="84"/>
      <c r="B8096" s="85"/>
      <c r="C8096" s="85"/>
      <c r="F8096" s="92"/>
      <c r="G8096" s="85"/>
    </row>
    <row r="8097">
      <c r="A8097" s="84"/>
      <c r="B8097" s="85"/>
      <c r="C8097" s="85"/>
      <c r="F8097" s="92"/>
      <c r="G8097" s="85"/>
    </row>
    <row r="8098">
      <c r="A8098" s="84"/>
      <c r="B8098" s="85"/>
      <c r="C8098" s="85"/>
      <c r="F8098" s="92"/>
      <c r="G8098" s="85"/>
    </row>
    <row r="8099">
      <c r="A8099" s="84"/>
      <c r="B8099" s="85"/>
      <c r="C8099" s="85"/>
      <c r="F8099" s="92"/>
      <c r="G8099" s="85"/>
    </row>
    <row r="8100">
      <c r="A8100" s="84"/>
      <c r="B8100" s="85"/>
      <c r="C8100" s="85"/>
      <c r="F8100" s="92"/>
      <c r="G8100" s="85"/>
    </row>
    <row r="8101">
      <c r="A8101" s="84"/>
      <c r="B8101" s="85"/>
      <c r="C8101" s="85"/>
      <c r="F8101" s="92"/>
      <c r="G8101" s="85"/>
    </row>
    <row r="8102">
      <c r="A8102" s="84"/>
      <c r="B8102" s="85"/>
      <c r="C8102" s="85"/>
      <c r="F8102" s="92"/>
      <c r="G8102" s="85"/>
    </row>
    <row r="8103">
      <c r="A8103" s="84"/>
      <c r="B8103" s="85"/>
      <c r="C8103" s="85"/>
      <c r="F8103" s="92"/>
      <c r="G8103" s="85"/>
    </row>
    <row r="8104">
      <c r="A8104" s="84"/>
      <c r="B8104" s="85"/>
      <c r="C8104" s="85"/>
      <c r="F8104" s="92"/>
      <c r="G8104" s="85"/>
    </row>
    <row r="8105">
      <c r="A8105" s="84"/>
      <c r="B8105" s="85"/>
      <c r="C8105" s="85"/>
      <c r="F8105" s="92"/>
      <c r="G8105" s="85"/>
    </row>
    <row r="8106">
      <c r="A8106" s="84"/>
      <c r="B8106" s="85"/>
      <c r="C8106" s="85"/>
      <c r="F8106" s="92"/>
      <c r="G8106" s="85"/>
    </row>
    <row r="8107">
      <c r="A8107" s="84"/>
      <c r="B8107" s="85"/>
      <c r="C8107" s="85"/>
      <c r="F8107" s="92"/>
      <c r="G8107" s="85"/>
    </row>
    <row r="8108">
      <c r="A8108" s="84"/>
      <c r="B8108" s="85"/>
      <c r="C8108" s="85"/>
      <c r="F8108" s="92"/>
      <c r="G8108" s="85"/>
    </row>
    <row r="8109">
      <c r="A8109" s="84"/>
      <c r="B8109" s="85"/>
      <c r="C8109" s="85"/>
      <c r="F8109" s="92"/>
      <c r="G8109" s="85"/>
    </row>
    <row r="8110">
      <c r="A8110" s="84"/>
      <c r="B8110" s="85"/>
      <c r="C8110" s="85"/>
      <c r="F8110" s="92"/>
      <c r="G8110" s="85"/>
    </row>
    <row r="8111">
      <c r="A8111" s="84"/>
      <c r="B8111" s="85"/>
      <c r="C8111" s="85"/>
      <c r="F8111" s="92"/>
      <c r="G8111" s="85"/>
    </row>
    <row r="8112">
      <c r="A8112" s="84"/>
      <c r="B8112" s="85"/>
      <c r="C8112" s="85"/>
      <c r="F8112" s="92"/>
      <c r="G8112" s="85"/>
    </row>
    <row r="8113">
      <c r="A8113" s="84"/>
      <c r="B8113" s="85"/>
      <c r="C8113" s="85"/>
      <c r="F8113" s="92"/>
      <c r="G8113" s="85"/>
    </row>
    <row r="8114">
      <c r="A8114" s="84"/>
      <c r="B8114" s="85"/>
      <c r="C8114" s="85"/>
      <c r="F8114" s="92"/>
      <c r="G8114" s="85"/>
    </row>
    <row r="8115">
      <c r="A8115" s="84"/>
      <c r="B8115" s="85"/>
      <c r="C8115" s="85"/>
      <c r="F8115" s="92"/>
      <c r="G8115" s="85"/>
    </row>
    <row r="8116">
      <c r="A8116" s="84"/>
      <c r="B8116" s="85"/>
      <c r="C8116" s="85"/>
      <c r="F8116" s="92"/>
      <c r="G8116" s="85"/>
    </row>
    <row r="8117">
      <c r="A8117" s="84"/>
      <c r="B8117" s="85"/>
      <c r="C8117" s="85"/>
      <c r="F8117" s="92"/>
      <c r="G8117" s="85"/>
    </row>
    <row r="8118">
      <c r="A8118" s="84"/>
      <c r="B8118" s="85"/>
      <c r="C8118" s="85"/>
      <c r="F8118" s="92"/>
      <c r="G8118" s="85"/>
    </row>
    <row r="8119">
      <c r="A8119" s="84"/>
      <c r="B8119" s="85"/>
      <c r="C8119" s="85"/>
      <c r="F8119" s="92"/>
      <c r="G8119" s="85"/>
    </row>
    <row r="8120">
      <c r="A8120" s="84"/>
      <c r="B8120" s="85"/>
      <c r="C8120" s="85"/>
      <c r="F8120" s="92"/>
      <c r="G8120" s="85"/>
    </row>
    <row r="8121">
      <c r="A8121" s="84"/>
      <c r="B8121" s="85"/>
      <c r="C8121" s="85"/>
      <c r="F8121" s="92"/>
      <c r="G8121" s="85"/>
    </row>
    <row r="8122">
      <c r="A8122" s="84"/>
      <c r="B8122" s="85"/>
      <c r="C8122" s="85"/>
      <c r="F8122" s="92"/>
      <c r="G8122" s="85"/>
    </row>
    <row r="8123">
      <c r="A8123" s="84"/>
      <c r="B8123" s="85"/>
      <c r="C8123" s="85"/>
      <c r="F8123" s="92"/>
      <c r="G8123" s="85"/>
    </row>
    <row r="8124">
      <c r="A8124" s="84"/>
      <c r="B8124" s="85"/>
      <c r="C8124" s="85"/>
      <c r="F8124" s="92"/>
      <c r="G8124" s="85"/>
    </row>
    <row r="8125">
      <c r="A8125" s="84"/>
      <c r="B8125" s="85"/>
      <c r="C8125" s="85"/>
      <c r="F8125" s="92"/>
      <c r="G8125" s="85"/>
    </row>
    <row r="8126">
      <c r="A8126" s="84"/>
      <c r="B8126" s="85"/>
      <c r="C8126" s="85"/>
      <c r="F8126" s="92"/>
      <c r="G8126" s="85"/>
    </row>
    <row r="8127">
      <c r="A8127" s="84"/>
      <c r="B8127" s="85"/>
      <c r="C8127" s="85"/>
      <c r="F8127" s="92"/>
      <c r="G8127" s="85"/>
    </row>
    <row r="8128">
      <c r="A8128" s="84"/>
      <c r="B8128" s="85"/>
      <c r="C8128" s="85"/>
      <c r="F8128" s="92"/>
      <c r="G8128" s="85"/>
    </row>
    <row r="8129">
      <c r="A8129" s="84"/>
      <c r="B8129" s="85"/>
      <c r="C8129" s="85"/>
      <c r="F8129" s="92"/>
      <c r="G8129" s="85"/>
    </row>
    <row r="8130">
      <c r="A8130" s="84"/>
      <c r="B8130" s="85"/>
      <c r="C8130" s="85"/>
      <c r="F8130" s="92"/>
      <c r="G8130" s="85"/>
    </row>
    <row r="8131">
      <c r="A8131" s="84"/>
      <c r="B8131" s="85"/>
      <c r="C8131" s="85"/>
      <c r="F8131" s="92"/>
      <c r="G8131" s="85"/>
    </row>
    <row r="8132">
      <c r="A8132" s="84"/>
      <c r="B8132" s="85"/>
      <c r="C8132" s="85"/>
      <c r="F8132" s="92"/>
      <c r="G8132" s="85"/>
    </row>
    <row r="8133">
      <c r="A8133" s="84"/>
      <c r="B8133" s="85"/>
      <c r="C8133" s="85"/>
      <c r="F8133" s="92"/>
      <c r="G8133" s="85"/>
    </row>
    <row r="8134">
      <c r="A8134" s="84"/>
      <c r="B8134" s="85"/>
      <c r="C8134" s="85"/>
      <c r="F8134" s="92"/>
      <c r="G8134" s="85"/>
    </row>
    <row r="8135">
      <c r="A8135" s="84"/>
      <c r="B8135" s="85"/>
      <c r="C8135" s="85"/>
      <c r="F8135" s="92"/>
      <c r="G8135" s="85"/>
    </row>
    <row r="8136">
      <c r="A8136" s="84"/>
      <c r="B8136" s="85"/>
      <c r="C8136" s="85"/>
      <c r="F8136" s="92"/>
      <c r="G8136" s="85"/>
    </row>
    <row r="8137">
      <c r="A8137" s="84"/>
      <c r="B8137" s="85"/>
      <c r="C8137" s="85"/>
      <c r="F8137" s="92"/>
      <c r="G8137" s="85"/>
    </row>
    <row r="8138">
      <c r="A8138" s="84"/>
      <c r="B8138" s="85"/>
      <c r="C8138" s="85"/>
      <c r="F8138" s="92"/>
      <c r="G8138" s="85"/>
    </row>
    <row r="8139">
      <c r="A8139" s="84"/>
      <c r="B8139" s="85"/>
      <c r="C8139" s="85"/>
      <c r="F8139" s="92"/>
      <c r="G8139" s="85"/>
    </row>
    <row r="8140">
      <c r="A8140" s="84"/>
      <c r="B8140" s="85"/>
      <c r="C8140" s="85"/>
      <c r="F8140" s="92"/>
      <c r="G8140" s="85"/>
    </row>
    <row r="8141">
      <c r="A8141" s="84"/>
      <c r="B8141" s="85"/>
      <c r="C8141" s="85"/>
      <c r="F8141" s="92"/>
      <c r="G8141" s="85"/>
    </row>
    <row r="8142">
      <c r="A8142" s="84"/>
      <c r="B8142" s="85"/>
      <c r="C8142" s="85"/>
      <c r="F8142" s="92"/>
      <c r="G8142" s="85"/>
    </row>
    <row r="8143">
      <c r="A8143" s="84"/>
      <c r="B8143" s="85"/>
      <c r="C8143" s="85"/>
      <c r="F8143" s="92"/>
      <c r="G8143" s="85"/>
    </row>
    <row r="8144">
      <c r="A8144" s="84"/>
      <c r="B8144" s="85"/>
      <c r="C8144" s="85"/>
      <c r="F8144" s="92"/>
      <c r="G8144" s="85"/>
    </row>
    <row r="8145">
      <c r="A8145" s="84"/>
      <c r="B8145" s="85"/>
      <c r="C8145" s="85"/>
      <c r="F8145" s="92"/>
      <c r="G8145" s="85"/>
    </row>
    <row r="8146">
      <c r="A8146" s="84"/>
      <c r="B8146" s="85"/>
      <c r="C8146" s="85"/>
      <c r="F8146" s="92"/>
      <c r="G8146" s="85"/>
    </row>
    <row r="8147">
      <c r="A8147" s="84"/>
      <c r="B8147" s="85"/>
      <c r="C8147" s="85"/>
      <c r="F8147" s="92"/>
      <c r="G8147" s="85"/>
    </row>
    <row r="8148">
      <c r="A8148" s="84"/>
      <c r="B8148" s="85"/>
      <c r="C8148" s="85"/>
      <c r="F8148" s="92"/>
      <c r="G8148" s="85"/>
    </row>
    <row r="8149">
      <c r="A8149" s="84"/>
      <c r="B8149" s="85"/>
      <c r="C8149" s="85"/>
      <c r="F8149" s="92"/>
      <c r="G8149" s="85"/>
    </row>
    <row r="8150">
      <c r="A8150" s="84"/>
      <c r="B8150" s="85"/>
      <c r="C8150" s="85"/>
      <c r="F8150" s="92"/>
      <c r="G8150" s="85"/>
    </row>
    <row r="8151">
      <c r="A8151" s="84"/>
      <c r="B8151" s="85"/>
      <c r="C8151" s="85"/>
      <c r="F8151" s="92"/>
      <c r="G8151" s="85"/>
    </row>
    <row r="8152">
      <c r="A8152" s="84"/>
      <c r="B8152" s="85"/>
      <c r="C8152" s="85"/>
      <c r="F8152" s="92"/>
      <c r="G8152" s="85"/>
    </row>
    <row r="8153">
      <c r="A8153" s="84"/>
      <c r="B8153" s="85"/>
      <c r="C8153" s="85"/>
      <c r="F8153" s="92"/>
      <c r="G8153" s="85"/>
    </row>
    <row r="8154">
      <c r="A8154" s="84"/>
      <c r="B8154" s="85"/>
      <c r="C8154" s="85"/>
      <c r="F8154" s="92"/>
      <c r="G8154" s="85"/>
    </row>
    <row r="8155">
      <c r="A8155" s="84"/>
      <c r="B8155" s="85"/>
      <c r="C8155" s="85"/>
      <c r="F8155" s="92"/>
      <c r="G8155" s="85"/>
    </row>
    <row r="8156">
      <c r="A8156" s="84"/>
      <c r="B8156" s="85"/>
      <c r="C8156" s="85"/>
      <c r="F8156" s="92"/>
      <c r="G8156" s="85"/>
    </row>
    <row r="8157">
      <c r="A8157" s="84"/>
      <c r="B8157" s="85"/>
      <c r="C8157" s="85"/>
      <c r="F8157" s="92"/>
      <c r="G8157" s="85"/>
    </row>
    <row r="8158">
      <c r="A8158" s="84"/>
      <c r="B8158" s="85"/>
      <c r="C8158" s="85"/>
      <c r="F8158" s="92"/>
      <c r="G8158" s="85"/>
    </row>
    <row r="8159">
      <c r="A8159" s="84"/>
      <c r="B8159" s="85"/>
      <c r="C8159" s="85"/>
      <c r="F8159" s="92"/>
      <c r="G8159" s="85"/>
    </row>
    <row r="8160">
      <c r="A8160" s="84"/>
      <c r="B8160" s="85"/>
      <c r="C8160" s="85"/>
      <c r="F8160" s="92"/>
      <c r="G8160" s="85"/>
    </row>
    <row r="8161">
      <c r="A8161" s="84"/>
      <c r="B8161" s="85"/>
      <c r="C8161" s="85"/>
      <c r="F8161" s="92"/>
      <c r="G8161" s="85"/>
    </row>
    <row r="8162">
      <c r="A8162" s="84"/>
      <c r="B8162" s="85"/>
      <c r="C8162" s="85"/>
      <c r="F8162" s="92"/>
      <c r="G8162" s="85"/>
    </row>
    <row r="8163">
      <c r="A8163" s="84"/>
      <c r="B8163" s="85"/>
      <c r="C8163" s="85"/>
      <c r="F8163" s="92"/>
      <c r="G8163" s="85"/>
    </row>
    <row r="8164">
      <c r="A8164" s="84"/>
      <c r="B8164" s="85"/>
      <c r="C8164" s="85"/>
      <c r="F8164" s="92"/>
      <c r="G8164" s="85"/>
    </row>
    <row r="8165">
      <c r="A8165" s="84"/>
      <c r="B8165" s="85"/>
      <c r="C8165" s="85"/>
      <c r="F8165" s="92"/>
      <c r="G8165" s="85"/>
    </row>
    <row r="8166">
      <c r="A8166" s="84"/>
      <c r="B8166" s="85"/>
      <c r="C8166" s="85"/>
      <c r="F8166" s="92"/>
      <c r="G8166" s="85"/>
    </row>
    <row r="8167">
      <c r="A8167" s="84"/>
      <c r="B8167" s="85"/>
      <c r="C8167" s="85"/>
      <c r="F8167" s="92"/>
      <c r="G8167" s="85"/>
    </row>
    <row r="8168">
      <c r="A8168" s="84"/>
      <c r="B8168" s="85"/>
      <c r="C8168" s="85"/>
      <c r="F8168" s="92"/>
      <c r="G8168" s="85"/>
    </row>
    <row r="8169">
      <c r="A8169" s="84"/>
      <c r="B8169" s="85"/>
      <c r="C8169" s="85"/>
      <c r="F8169" s="92"/>
      <c r="G8169" s="85"/>
    </row>
    <row r="8170">
      <c r="A8170" s="84"/>
      <c r="B8170" s="85"/>
      <c r="C8170" s="85"/>
      <c r="F8170" s="92"/>
      <c r="G8170" s="85"/>
    </row>
    <row r="8171">
      <c r="A8171" s="84"/>
      <c r="B8171" s="85"/>
      <c r="C8171" s="85"/>
      <c r="F8171" s="92"/>
      <c r="G8171" s="85"/>
    </row>
    <row r="8172">
      <c r="A8172" s="84"/>
      <c r="B8172" s="85"/>
      <c r="C8172" s="85"/>
      <c r="F8172" s="92"/>
      <c r="G8172" s="85"/>
    </row>
    <row r="8173">
      <c r="A8173" s="84"/>
      <c r="B8173" s="85"/>
      <c r="C8173" s="85"/>
      <c r="F8173" s="92"/>
      <c r="G8173" s="85"/>
    </row>
    <row r="8174">
      <c r="A8174" s="84"/>
      <c r="B8174" s="85"/>
      <c r="C8174" s="85"/>
      <c r="F8174" s="92"/>
      <c r="G8174" s="85"/>
    </row>
    <row r="8175">
      <c r="A8175" s="84"/>
      <c r="B8175" s="85"/>
      <c r="C8175" s="85"/>
      <c r="F8175" s="92"/>
      <c r="G8175" s="85"/>
    </row>
    <row r="8176">
      <c r="A8176" s="84"/>
      <c r="B8176" s="85"/>
      <c r="C8176" s="85"/>
      <c r="F8176" s="92"/>
      <c r="G8176" s="85"/>
    </row>
    <row r="8177">
      <c r="A8177" s="84"/>
      <c r="B8177" s="85"/>
      <c r="C8177" s="85"/>
      <c r="F8177" s="92"/>
      <c r="G8177" s="85"/>
    </row>
    <row r="8178">
      <c r="A8178" s="84"/>
      <c r="B8178" s="85"/>
      <c r="C8178" s="85"/>
      <c r="F8178" s="92"/>
      <c r="G8178" s="85"/>
    </row>
    <row r="8179">
      <c r="A8179" s="84"/>
      <c r="B8179" s="85"/>
      <c r="C8179" s="85"/>
      <c r="F8179" s="92"/>
      <c r="G8179" s="85"/>
    </row>
    <row r="8180">
      <c r="A8180" s="84"/>
      <c r="B8180" s="85"/>
      <c r="C8180" s="85"/>
      <c r="F8180" s="92"/>
      <c r="G8180" s="85"/>
    </row>
    <row r="8181">
      <c r="A8181" s="84"/>
      <c r="B8181" s="85"/>
      <c r="C8181" s="85"/>
      <c r="F8181" s="92"/>
      <c r="G8181" s="85"/>
    </row>
    <row r="8182">
      <c r="A8182" s="84"/>
      <c r="B8182" s="85"/>
      <c r="C8182" s="85"/>
      <c r="F8182" s="92"/>
      <c r="G8182" s="85"/>
    </row>
    <row r="8183">
      <c r="A8183" s="84"/>
      <c r="B8183" s="85"/>
      <c r="C8183" s="85"/>
      <c r="F8183" s="92"/>
      <c r="G8183" s="85"/>
    </row>
    <row r="8184">
      <c r="A8184" s="84"/>
      <c r="B8184" s="85"/>
      <c r="C8184" s="85"/>
      <c r="F8184" s="92"/>
      <c r="G8184" s="85"/>
    </row>
    <row r="8185">
      <c r="A8185" s="84"/>
      <c r="B8185" s="85"/>
      <c r="C8185" s="85"/>
      <c r="F8185" s="92"/>
      <c r="G8185" s="85"/>
    </row>
    <row r="8186">
      <c r="A8186" s="84"/>
      <c r="B8186" s="85"/>
      <c r="C8186" s="85"/>
      <c r="F8186" s="92"/>
      <c r="G8186" s="85"/>
    </row>
    <row r="8187">
      <c r="A8187" s="84"/>
      <c r="B8187" s="85"/>
      <c r="C8187" s="85"/>
      <c r="F8187" s="92"/>
      <c r="G8187" s="85"/>
    </row>
    <row r="8188">
      <c r="A8188" s="84"/>
      <c r="B8188" s="85"/>
      <c r="C8188" s="85"/>
      <c r="F8188" s="92"/>
      <c r="G8188" s="85"/>
    </row>
    <row r="8189">
      <c r="A8189" s="84"/>
      <c r="B8189" s="85"/>
      <c r="C8189" s="85"/>
      <c r="F8189" s="92"/>
      <c r="G8189" s="85"/>
    </row>
    <row r="8190">
      <c r="A8190" s="84"/>
      <c r="B8190" s="85"/>
      <c r="C8190" s="85"/>
      <c r="F8190" s="92"/>
      <c r="G8190" s="85"/>
    </row>
    <row r="8191">
      <c r="A8191" s="84"/>
      <c r="B8191" s="85"/>
      <c r="C8191" s="85"/>
      <c r="F8191" s="92"/>
      <c r="G8191" s="85"/>
    </row>
    <row r="8192">
      <c r="A8192" s="84"/>
      <c r="B8192" s="85"/>
      <c r="C8192" s="85"/>
      <c r="F8192" s="92"/>
      <c r="G8192" s="85"/>
    </row>
    <row r="8193">
      <c r="A8193" s="84"/>
      <c r="B8193" s="85"/>
      <c r="C8193" s="85"/>
      <c r="F8193" s="92"/>
      <c r="G8193" s="85"/>
    </row>
    <row r="8194">
      <c r="A8194" s="84"/>
      <c r="B8194" s="85"/>
      <c r="C8194" s="85"/>
      <c r="F8194" s="92"/>
      <c r="G8194" s="85"/>
    </row>
    <row r="8195">
      <c r="A8195" s="84"/>
      <c r="B8195" s="85"/>
      <c r="C8195" s="85"/>
      <c r="F8195" s="92"/>
      <c r="G8195" s="85"/>
    </row>
    <row r="8196">
      <c r="A8196" s="84"/>
      <c r="B8196" s="85"/>
      <c r="C8196" s="85"/>
      <c r="F8196" s="92"/>
      <c r="G8196" s="85"/>
    </row>
    <row r="8197">
      <c r="A8197" s="84"/>
      <c r="B8197" s="85"/>
      <c r="C8197" s="85"/>
      <c r="F8197" s="92"/>
      <c r="G8197" s="85"/>
    </row>
    <row r="8198">
      <c r="A8198" s="84"/>
      <c r="B8198" s="85"/>
      <c r="C8198" s="85"/>
      <c r="F8198" s="92"/>
      <c r="G8198" s="85"/>
    </row>
    <row r="8199">
      <c r="A8199" s="84"/>
      <c r="B8199" s="85"/>
      <c r="C8199" s="85"/>
      <c r="F8199" s="92"/>
      <c r="G8199" s="85"/>
    </row>
    <row r="8200">
      <c r="A8200" s="84"/>
      <c r="B8200" s="85"/>
      <c r="C8200" s="85"/>
      <c r="F8200" s="92"/>
      <c r="G8200" s="85"/>
    </row>
    <row r="8201">
      <c r="A8201" s="84"/>
      <c r="B8201" s="85"/>
      <c r="C8201" s="85"/>
      <c r="F8201" s="92"/>
      <c r="G8201" s="85"/>
    </row>
    <row r="8202">
      <c r="A8202" s="84"/>
      <c r="B8202" s="85"/>
      <c r="C8202" s="85"/>
      <c r="F8202" s="92"/>
      <c r="G8202" s="85"/>
    </row>
    <row r="8203">
      <c r="A8203" s="84"/>
      <c r="B8203" s="85"/>
      <c r="C8203" s="85"/>
      <c r="F8203" s="92"/>
      <c r="G8203" s="85"/>
    </row>
    <row r="8204">
      <c r="A8204" s="84"/>
      <c r="B8204" s="85"/>
      <c r="C8204" s="85"/>
      <c r="F8204" s="92"/>
      <c r="G8204" s="85"/>
    </row>
    <row r="8205">
      <c r="A8205" s="84"/>
      <c r="B8205" s="85"/>
      <c r="C8205" s="85"/>
      <c r="F8205" s="92"/>
      <c r="G8205" s="85"/>
    </row>
    <row r="8206">
      <c r="A8206" s="84"/>
      <c r="B8206" s="85"/>
      <c r="C8206" s="85"/>
      <c r="F8206" s="92"/>
      <c r="G8206" s="85"/>
    </row>
    <row r="8207">
      <c r="A8207" s="84"/>
      <c r="B8207" s="85"/>
      <c r="C8207" s="85"/>
      <c r="F8207" s="92"/>
      <c r="G8207" s="85"/>
    </row>
    <row r="8208">
      <c r="A8208" s="84"/>
      <c r="B8208" s="85"/>
      <c r="C8208" s="85"/>
      <c r="F8208" s="92"/>
      <c r="G8208" s="85"/>
    </row>
    <row r="8209">
      <c r="A8209" s="84"/>
      <c r="B8209" s="85"/>
      <c r="C8209" s="85"/>
      <c r="F8209" s="92"/>
      <c r="G8209" s="85"/>
    </row>
    <row r="8210">
      <c r="A8210" s="84"/>
      <c r="B8210" s="85"/>
      <c r="C8210" s="85"/>
      <c r="F8210" s="92"/>
      <c r="G8210" s="85"/>
    </row>
    <row r="8211">
      <c r="A8211" s="84"/>
      <c r="B8211" s="85"/>
      <c r="C8211" s="85"/>
      <c r="F8211" s="92"/>
      <c r="G8211" s="85"/>
    </row>
    <row r="8212">
      <c r="A8212" s="84"/>
      <c r="B8212" s="85"/>
      <c r="C8212" s="85"/>
      <c r="F8212" s="92"/>
      <c r="G8212" s="85"/>
    </row>
    <row r="8213">
      <c r="A8213" s="84"/>
      <c r="B8213" s="85"/>
      <c r="C8213" s="85"/>
      <c r="F8213" s="92"/>
      <c r="G8213" s="85"/>
    </row>
    <row r="8214">
      <c r="A8214" s="84"/>
      <c r="B8214" s="85"/>
      <c r="C8214" s="85"/>
      <c r="F8214" s="92"/>
      <c r="G8214" s="85"/>
    </row>
    <row r="8215">
      <c r="A8215" s="84"/>
      <c r="B8215" s="85"/>
      <c r="C8215" s="85"/>
      <c r="F8215" s="92"/>
      <c r="G8215" s="85"/>
    </row>
    <row r="8216">
      <c r="A8216" s="84"/>
      <c r="B8216" s="85"/>
      <c r="C8216" s="85"/>
      <c r="F8216" s="92"/>
      <c r="G8216" s="85"/>
    </row>
    <row r="8217">
      <c r="A8217" s="84"/>
      <c r="B8217" s="85"/>
      <c r="C8217" s="85"/>
      <c r="F8217" s="92"/>
      <c r="G8217" s="85"/>
    </row>
    <row r="8218">
      <c r="A8218" s="84"/>
      <c r="B8218" s="85"/>
      <c r="C8218" s="85"/>
      <c r="F8218" s="92"/>
      <c r="G8218" s="85"/>
    </row>
    <row r="8219">
      <c r="A8219" s="84"/>
      <c r="B8219" s="85"/>
      <c r="C8219" s="85"/>
      <c r="F8219" s="92"/>
      <c r="G8219" s="85"/>
    </row>
    <row r="8220">
      <c r="A8220" s="84"/>
      <c r="B8220" s="85"/>
      <c r="C8220" s="85"/>
      <c r="F8220" s="92"/>
      <c r="G8220" s="85"/>
    </row>
    <row r="8221">
      <c r="A8221" s="84"/>
      <c r="B8221" s="85"/>
      <c r="C8221" s="85"/>
      <c r="F8221" s="92"/>
      <c r="G8221" s="85"/>
    </row>
    <row r="8222">
      <c r="A8222" s="84"/>
      <c r="B8222" s="85"/>
      <c r="C8222" s="85"/>
      <c r="F8222" s="92"/>
      <c r="G8222" s="85"/>
    </row>
    <row r="8223">
      <c r="A8223" s="84"/>
      <c r="B8223" s="85"/>
      <c r="C8223" s="85"/>
      <c r="F8223" s="92"/>
      <c r="G8223" s="85"/>
    </row>
    <row r="8224">
      <c r="A8224" s="84"/>
      <c r="B8224" s="85"/>
      <c r="C8224" s="85"/>
      <c r="F8224" s="92"/>
      <c r="G8224" s="85"/>
    </row>
    <row r="8225">
      <c r="A8225" s="84"/>
      <c r="B8225" s="85"/>
      <c r="C8225" s="85"/>
      <c r="F8225" s="92"/>
      <c r="G8225" s="85"/>
    </row>
    <row r="8226">
      <c r="A8226" s="84"/>
      <c r="B8226" s="85"/>
      <c r="C8226" s="85"/>
      <c r="F8226" s="92"/>
      <c r="G8226" s="85"/>
    </row>
    <row r="8227">
      <c r="A8227" s="84"/>
      <c r="B8227" s="85"/>
      <c r="C8227" s="85"/>
      <c r="F8227" s="92"/>
      <c r="G8227" s="85"/>
    </row>
    <row r="8228">
      <c r="A8228" s="84"/>
      <c r="B8228" s="85"/>
      <c r="C8228" s="85"/>
      <c r="F8228" s="92"/>
      <c r="G8228" s="85"/>
    </row>
    <row r="8229">
      <c r="A8229" s="84"/>
      <c r="B8229" s="85"/>
      <c r="C8229" s="85"/>
      <c r="F8229" s="92"/>
      <c r="G8229" s="85"/>
    </row>
    <row r="8230">
      <c r="A8230" s="84"/>
      <c r="B8230" s="85"/>
      <c r="C8230" s="85"/>
      <c r="F8230" s="92"/>
      <c r="G8230" s="85"/>
    </row>
    <row r="8231">
      <c r="A8231" s="84"/>
      <c r="B8231" s="85"/>
      <c r="C8231" s="85"/>
      <c r="F8231" s="92"/>
      <c r="G8231" s="85"/>
    </row>
    <row r="8232">
      <c r="A8232" s="84"/>
      <c r="B8232" s="85"/>
      <c r="C8232" s="85"/>
      <c r="F8232" s="92"/>
      <c r="G8232" s="85"/>
    </row>
    <row r="8233">
      <c r="A8233" s="84"/>
      <c r="B8233" s="85"/>
      <c r="C8233" s="85"/>
      <c r="F8233" s="92"/>
      <c r="G8233" s="85"/>
    </row>
    <row r="8234">
      <c r="A8234" s="84"/>
      <c r="B8234" s="85"/>
      <c r="C8234" s="85"/>
      <c r="F8234" s="92"/>
      <c r="G8234" s="85"/>
    </row>
    <row r="8235">
      <c r="A8235" s="84"/>
      <c r="B8235" s="85"/>
      <c r="C8235" s="85"/>
      <c r="F8235" s="92"/>
      <c r="G8235" s="85"/>
    </row>
    <row r="8236">
      <c r="A8236" s="84"/>
      <c r="B8236" s="85"/>
      <c r="C8236" s="85"/>
      <c r="F8236" s="92"/>
      <c r="G8236" s="85"/>
    </row>
    <row r="8237">
      <c r="A8237" s="84"/>
      <c r="B8237" s="85"/>
      <c r="C8237" s="85"/>
      <c r="F8237" s="92"/>
      <c r="G8237" s="85"/>
    </row>
    <row r="8238">
      <c r="A8238" s="84"/>
      <c r="B8238" s="85"/>
      <c r="C8238" s="85"/>
      <c r="F8238" s="92"/>
      <c r="G8238" s="85"/>
    </row>
    <row r="8239">
      <c r="A8239" s="84"/>
      <c r="B8239" s="85"/>
      <c r="C8239" s="85"/>
      <c r="F8239" s="92"/>
      <c r="G8239" s="85"/>
    </row>
    <row r="8240">
      <c r="A8240" s="84"/>
      <c r="B8240" s="85"/>
      <c r="C8240" s="85"/>
      <c r="F8240" s="92"/>
      <c r="G8240" s="85"/>
    </row>
    <row r="8241">
      <c r="A8241" s="84"/>
      <c r="B8241" s="85"/>
      <c r="C8241" s="85"/>
      <c r="F8241" s="92"/>
      <c r="G8241" s="85"/>
    </row>
    <row r="8242">
      <c r="A8242" s="84"/>
      <c r="B8242" s="85"/>
      <c r="C8242" s="85"/>
      <c r="F8242" s="92"/>
      <c r="G8242" s="85"/>
    </row>
    <row r="8243">
      <c r="A8243" s="84"/>
      <c r="B8243" s="85"/>
      <c r="C8243" s="85"/>
      <c r="F8243" s="92"/>
      <c r="G8243" s="85"/>
    </row>
    <row r="8244">
      <c r="A8244" s="84"/>
      <c r="B8244" s="85"/>
      <c r="C8244" s="85"/>
      <c r="F8244" s="92"/>
      <c r="G8244" s="85"/>
    </row>
    <row r="8245">
      <c r="A8245" s="84"/>
      <c r="B8245" s="85"/>
      <c r="C8245" s="85"/>
      <c r="F8245" s="92"/>
      <c r="G8245" s="85"/>
    </row>
    <row r="8246">
      <c r="A8246" s="84"/>
      <c r="B8246" s="85"/>
      <c r="C8246" s="85"/>
      <c r="F8246" s="92"/>
      <c r="G8246" s="85"/>
    </row>
    <row r="8247">
      <c r="A8247" s="84"/>
      <c r="B8247" s="85"/>
      <c r="C8247" s="85"/>
      <c r="F8247" s="92"/>
      <c r="G8247" s="85"/>
    </row>
    <row r="8248">
      <c r="A8248" s="84"/>
      <c r="B8248" s="85"/>
      <c r="C8248" s="85"/>
      <c r="F8248" s="92"/>
      <c r="G8248" s="85"/>
    </row>
    <row r="8249">
      <c r="A8249" s="84"/>
      <c r="B8249" s="85"/>
      <c r="C8249" s="85"/>
      <c r="F8249" s="92"/>
      <c r="G8249" s="85"/>
    </row>
    <row r="8250">
      <c r="A8250" s="84"/>
      <c r="B8250" s="85"/>
      <c r="C8250" s="85"/>
      <c r="F8250" s="92"/>
      <c r="G8250" s="85"/>
    </row>
    <row r="8251">
      <c r="A8251" s="84"/>
      <c r="B8251" s="85"/>
      <c r="C8251" s="85"/>
      <c r="F8251" s="92"/>
      <c r="G8251" s="85"/>
    </row>
    <row r="8252">
      <c r="A8252" s="84"/>
      <c r="B8252" s="85"/>
      <c r="C8252" s="85"/>
      <c r="F8252" s="92"/>
      <c r="G8252" s="85"/>
    </row>
    <row r="8253">
      <c r="A8253" s="84"/>
      <c r="B8253" s="85"/>
      <c r="C8253" s="85"/>
      <c r="F8253" s="92"/>
      <c r="G8253" s="85"/>
    </row>
    <row r="8254">
      <c r="A8254" s="84"/>
      <c r="B8254" s="85"/>
      <c r="C8254" s="85"/>
      <c r="F8254" s="92"/>
      <c r="G8254" s="85"/>
    </row>
    <row r="8255">
      <c r="A8255" s="84"/>
      <c r="B8255" s="85"/>
      <c r="C8255" s="85"/>
      <c r="F8255" s="92"/>
      <c r="G8255" s="85"/>
    </row>
    <row r="8256">
      <c r="A8256" s="84"/>
      <c r="B8256" s="85"/>
      <c r="C8256" s="85"/>
      <c r="F8256" s="92"/>
      <c r="G8256" s="85"/>
    </row>
    <row r="8257">
      <c r="A8257" s="84"/>
      <c r="B8257" s="85"/>
      <c r="C8257" s="85"/>
      <c r="F8257" s="92"/>
      <c r="G8257" s="85"/>
    </row>
    <row r="8258">
      <c r="A8258" s="84"/>
      <c r="B8258" s="85"/>
      <c r="C8258" s="85"/>
      <c r="F8258" s="92"/>
      <c r="G8258" s="85"/>
    </row>
    <row r="8259">
      <c r="A8259" s="84"/>
      <c r="B8259" s="85"/>
      <c r="C8259" s="85"/>
      <c r="F8259" s="92"/>
      <c r="G8259" s="85"/>
    </row>
    <row r="8260">
      <c r="A8260" s="84"/>
      <c r="B8260" s="85"/>
      <c r="C8260" s="85"/>
      <c r="F8260" s="92"/>
      <c r="G8260" s="85"/>
    </row>
    <row r="8261">
      <c r="A8261" s="84"/>
      <c r="B8261" s="85"/>
      <c r="C8261" s="85"/>
      <c r="F8261" s="92"/>
      <c r="G8261" s="85"/>
    </row>
    <row r="8262">
      <c r="A8262" s="84"/>
      <c r="B8262" s="85"/>
      <c r="C8262" s="85"/>
      <c r="F8262" s="92"/>
      <c r="G8262" s="85"/>
    </row>
    <row r="8263">
      <c r="A8263" s="84"/>
      <c r="B8263" s="85"/>
      <c r="C8263" s="85"/>
      <c r="F8263" s="92"/>
      <c r="G8263" s="85"/>
    </row>
    <row r="8264">
      <c r="A8264" s="84"/>
      <c r="B8264" s="85"/>
      <c r="C8264" s="85"/>
      <c r="F8264" s="92"/>
      <c r="G8264" s="85"/>
    </row>
    <row r="8265">
      <c r="A8265" s="84"/>
      <c r="B8265" s="85"/>
      <c r="C8265" s="85"/>
      <c r="F8265" s="92"/>
      <c r="G8265" s="85"/>
    </row>
    <row r="8266">
      <c r="A8266" s="84"/>
      <c r="B8266" s="85"/>
      <c r="C8266" s="85"/>
      <c r="F8266" s="92"/>
      <c r="G8266" s="85"/>
    </row>
    <row r="8267">
      <c r="A8267" s="84"/>
      <c r="B8267" s="85"/>
      <c r="C8267" s="85"/>
      <c r="F8267" s="92"/>
      <c r="G8267" s="85"/>
    </row>
    <row r="8268">
      <c r="A8268" s="84"/>
      <c r="B8268" s="85"/>
      <c r="C8268" s="85"/>
      <c r="F8268" s="92"/>
      <c r="G8268" s="85"/>
    </row>
    <row r="8269">
      <c r="A8269" s="84"/>
      <c r="B8269" s="85"/>
      <c r="C8269" s="85"/>
      <c r="F8269" s="92"/>
      <c r="G8269" s="85"/>
    </row>
    <row r="8270">
      <c r="A8270" s="84"/>
      <c r="B8270" s="85"/>
      <c r="C8270" s="85"/>
      <c r="F8270" s="92"/>
      <c r="G8270" s="85"/>
    </row>
    <row r="8271">
      <c r="A8271" s="84"/>
      <c r="B8271" s="85"/>
      <c r="C8271" s="85"/>
      <c r="F8271" s="92"/>
      <c r="G8271" s="85"/>
    </row>
    <row r="8272">
      <c r="A8272" s="84"/>
      <c r="B8272" s="85"/>
      <c r="C8272" s="85"/>
      <c r="F8272" s="92"/>
      <c r="G8272" s="85"/>
    </row>
    <row r="8273">
      <c r="A8273" s="84"/>
      <c r="B8273" s="85"/>
      <c r="C8273" s="85"/>
      <c r="F8273" s="92"/>
      <c r="G8273" s="85"/>
    </row>
    <row r="8274">
      <c r="A8274" s="84"/>
      <c r="B8274" s="85"/>
      <c r="C8274" s="85"/>
      <c r="F8274" s="92"/>
      <c r="G8274" s="85"/>
    </row>
    <row r="8275">
      <c r="A8275" s="84"/>
      <c r="B8275" s="85"/>
      <c r="C8275" s="85"/>
      <c r="F8275" s="92"/>
      <c r="G8275" s="85"/>
    </row>
    <row r="8276">
      <c r="A8276" s="84"/>
      <c r="B8276" s="85"/>
      <c r="C8276" s="85"/>
      <c r="F8276" s="92"/>
      <c r="G8276" s="85"/>
    </row>
    <row r="8277">
      <c r="A8277" s="84"/>
      <c r="B8277" s="85"/>
      <c r="C8277" s="85"/>
      <c r="F8277" s="92"/>
      <c r="G8277" s="85"/>
    </row>
    <row r="8278">
      <c r="A8278" s="84"/>
      <c r="B8278" s="85"/>
      <c r="C8278" s="85"/>
      <c r="F8278" s="92"/>
      <c r="G8278" s="85"/>
    </row>
    <row r="8279">
      <c r="A8279" s="84"/>
      <c r="B8279" s="85"/>
      <c r="C8279" s="85"/>
      <c r="F8279" s="92"/>
      <c r="G8279" s="85"/>
    </row>
    <row r="8280">
      <c r="A8280" s="84"/>
      <c r="B8280" s="85"/>
      <c r="C8280" s="85"/>
      <c r="F8280" s="92"/>
      <c r="G8280" s="85"/>
    </row>
    <row r="8281">
      <c r="A8281" s="84"/>
      <c r="B8281" s="85"/>
      <c r="C8281" s="85"/>
      <c r="F8281" s="92"/>
      <c r="G8281" s="85"/>
    </row>
    <row r="8282">
      <c r="A8282" s="84"/>
      <c r="B8282" s="85"/>
      <c r="C8282" s="85"/>
      <c r="F8282" s="92"/>
      <c r="G8282" s="85"/>
    </row>
    <row r="8283">
      <c r="A8283" s="84"/>
      <c r="B8283" s="85"/>
      <c r="C8283" s="85"/>
      <c r="F8283" s="92"/>
      <c r="G8283" s="85"/>
    </row>
    <row r="8284">
      <c r="A8284" s="84"/>
      <c r="B8284" s="85"/>
      <c r="C8284" s="85"/>
      <c r="F8284" s="92"/>
      <c r="G8284" s="85"/>
    </row>
    <row r="8285">
      <c r="A8285" s="84"/>
      <c r="B8285" s="85"/>
      <c r="C8285" s="85"/>
      <c r="F8285" s="92"/>
      <c r="G8285" s="85"/>
    </row>
    <row r="8286">
      <c r="A8286" s="84"/>
      <c r="B8286" s="85"/>
      <c r="C8286" s="85"/>
      <c r="F8286" s="92"/>
      <c r="G8286" s="85"/>
    </row>
    <row r="8287">
      <c r="A8287" s="84"/>
      <c r="B8287" s="85"/>
      <c r="C8287" s="85"/>
      <c r="F8287" s="92"/>
      <c r="G8287" s="85"/>
    </row>
    <row r="8288">
      <c r="A8288" s="84"/>
      <c r="B8288" s="85"/>
      <c r="C8288" s="85"/>
      <c r="F8288" s="92"/>
      <c r="G8288" s="85"/>
    </row>
    <row r="8289">
      <c r="A8289" s="84"/>
      <c r="B8289" s="85"/>
      <c r="C8289" s="85"/>
      <c r="F8289" s="92"/>
      <c r="G8289" s="85"/>
    </row>
    <row r="8290">
      <c r="A8290" s="84"/>
      <c r="B8290" s="85"/>
      <c r="C8290" s="85"/>
      <c r="F8290" s="92"/>
      <c r="G8290" s="85"/>
    </row>
    <row r="8291">
      <c r="A8291" s="84"/>
      <c r="B8291" s="85"/>
      <c r="C8291" s="85"/>
      <c r="F8291" s="92"/>
      <c r="G8291" s="85"/>
    </row>
    <row r="8292">
      <c r="A8292" s="84"/>
      <c r="B8292" s="85"/>
      <c r="C8292" s="85"/>
      <c r="F8292" s="92"/>
      <c r="G8292" s="85"/>
    </row>
    <row r="8293">
      <c r="A8293" s="84"/>
      <c r="B8293" s="85"/>
      <c r="C8293" s="85"/>
      <c r="F8293" s="92"/>
      <c r="G8293" s="85"/>
    </row>
    <row r="8294">
      <c r="A8294" s="84"/>
      <c r="B8294" s="85"/>
      <c r="C8294" s="85"/>
      <c r="F8294" s="92"/>
      <c r="G8294" s="85"/>
    </row>
    <row r="8295">
      <c r="A8295" s="84"/>
      <c r="B8295" s="85"/>
      <c r="C8295" s="85"/>
      <c r="F8295" s="92"/>
      <c r="G8295" s="85"/>
    </row>
    <row r="8296">
      <c r="A8296" s="84"/>
      <c r="B8296" s="85"/>
      <c r="C8296" s="85"/>
      <c r="F8296" s="92"/>
      <c r="G8296" s="85"/>
    </row>
    <row r="8297">
      <c r="A8297" s="84"/>
      <c r="B8297" s="85"/>
      <c r="C8297" s="85"/>
      <c r="F8297" s="92"/>
      <c r="G8297" s="85"/>
    </row>
    <row r="8298">
      <c r="A8298" s="84"/>
      <c r="B8298" s="85"/>
      <c r="C8298" s="85"/>
      <c r="F8298" s="92"/>
      <c r="G8298" s="85"/>
    </row>
    <row r="8299">
      <c r="A8299" s="84"/>
      <c r="B8299" s="85"/>
      <c r="C8299" s="85"/>
      <c r="F8299" s="92"/>
      <c r="G8299" s="85"/>
    </row>
    <row r="8300">
      <c r="A8300" s="84"/>
      <c r="B8300" s="85"/>
      <c r="C8300" s="85"/>
      <c r="F8300" s="92"/>
      <c r="G8300" s="85"/>
    </row>
    <row r="8301">
      <c r="A8301" s="84"/>
      <c r="B8301" s="85"/>
      <c r="C8301" s="85"/>
      <c r="F8301" s="92"/>
      <c r="G8301" s="85"/>
    </row>
    <row r="8302">
      <c r="A8302" s="84"/>
      <c r="B8302" s="85"/>
      <c r="C8302" s="85"/>
      <c r="F8302" s="92"/>
      <c r="G8302" s="85"/>
    </row>
    <row r="8303">
      <c r="A8303" s="84"/>
      <c r="B8303" s="85"/>
      <c r="C8303" s="85"/>
      <c r="F8303" s="92"/>
      <c r="G8303" s="85"/>
    </row>
    <row r="8304">
      <c r="A8304" s="84"/>
      <c r="B8304" s="85"/>
      <c r="C8304" s="85"/>
      <c r="F8304" s="92"/>
      <c r="G8304" s="85"/>
    </row>
    <row r="8305">
      <c r="A8305" s="84"/>
      <c r="B8305" s="85"/>
      <c r="C8305" s="85"/>
      <c r="F8305" s="92"/>
      <c r="G8305" s="85"/>
    </row>
    <row r="8306">
      <c r="A8306" s="84"/>
      <c r="B8306" s="85"/>
      <c r="C8306" s="85"/>
      <c r="F8306" s="92"/>
      <c r="G8306" s="85"/>
    </row>
    <row r="8307">
      <c r="A8307" s="84"/>
      <c r="B8307" s="85"/>
      <c r="C8307" s="85"/>
      <c r="F8307" s="92"/>
      <c r="G8307" s="85"/>
    </row>
    <row r="8308">
      <c r="A8308" s="84"/>
      <c r="B8308" s="85"/>
      <c r="C8308" s="85"/>
      <c r="F8308" s="92"/>
      <c r="G8308" s="85"/>
    </row>
    <row r="8309">
      <c r="A8309" s="84"/>
      <c r="B8309" s="85"/>
      <c r="C8309" s="85"/>
      <c r="F8309" s="92"/>
      <c r="G8309" s="85"/>
    </row>
    <row r="8310">
      <c r="A8310" s="84"/>
      <c r="B8310" s="85"/>
      <c r="C8310" s="85"/>
      <c r="F8310" s="92"/>
      <c r="G8310" s="85"/>
    </row>
    <row r="8311">
      <c r="A8311" s="84"/>
      <c r="B8311" s="85"/>
      <c r="C8311" s="85"/>
      <c r="F8311" s="92"/>
      <c r="G8311" s="85"/>
    </row>
    <row r="8312">
      <c r="A8312" s="84"/>
      <c r="B8312" s="85"/>
      <c r="C8312" s="85"/>
      <c r="F8312" s="92"/>
      <c r="G8312" s="85"/>
    </row>
    <row r="8313">
      <c r="A8313" s="84"/>
      <c r="B8313" s="85"/>
      <c r="C8313" s="85"/>
      <c r="F8313" s="92"/>
      <c r="G8313" s="85"/>
    </row>
    <row r="8314">
      <c r="A8314" s="84"/>
      <c r="B8314" s="85"/>
      <c r="C8314" s="85"/>
      <c r="F8314" s="92"/>
      <c r="G8314" s="85"/>
    </row>
    <row r="8315">
      <c r="A8315" s="84"/>
      <c r="B8315" s="85"/>
      <c r="C8315" s="85"/>
      <c r="F8315" s="92"/>
      <c r="G8315" s="85"/>
    </row>
    <row r="8316">
      <c r="A8316" s="84"/>
      <c r="B8316" s="85"/>
      <c r="C8316" s="85"/>
      <c r="F8316" s="92"/>
      <c r="G8316" s="85"/>
    </row>
    <row r="8317">
      <c r="A8317" s="84"/>
      <c r="B8317" s="85"/>
      <c r="C8317" s="85"/>
      <c r="F8317" s="92"/>
      <c r="G8317" s="85"/>
    </row>
    <row r="8318">
      <c r="A8318" s="84"/>
      <c r="B8318" s="85"/>
      <c r="C8318" s="85"/>
      <c r="F8318" s="92"/>
      <c r="G8318" s="85"/>
    </row>
    <row r="8319">
      <c r="A8319" s="84"/>
      <c r="B8319" s="85"/>
      <c r="C8319" s="85"/>
      <c r="F8319" s="92"/>
      <c r="G8319" s="85"/>
    </row>
    <row r="8320">
      <c r="A8320" s="84"/>
      <c r="B8320" s="85"/>
      <c r="C8320" s="85"/>
      <c r="F8320" s="92"/>
      <c r="G8320" s="85"/>
    </row>
    <row r="8321">
      <c r="A8321" s="84"/>
      <c r="B8321" s="85"/>
      <c r="C8321" s="85"/>
      <c r="F8321" s="92"/>
      <c r="G8321" s="85"/>
    </row>
    <row r="8322">
      <c r="A8322" s="84"/>
      <c r="B8322" s="85"/>
      <c r="C8322" s="85"/>
      <c r="F8322" s="92"/>
      <c r="G8322" s="85"/>
    </row>
    <row r="8323">
      <c r="A8323" s="84"/>
      <c r="B8323" s="85"/>
      <c r="C8323" s="85"/>
      <c r="F8323" s="92"/>
      <c r="G8323" s="85"/>
    </row>
    <row r="8324">
      <c r="A8324" s="84"/>
      <c r="B8324" s="85"/>
      <c r="C8324" s="85"/>
      <c r="F8324" s="92"/>
      <c r="G8324" s="85"/>
    </row>
    <row r="8325">
      <c r="A8325" s="84"/>
      <c r="B8325" s="85"/>
      <c r="C8325" s="85"/>
      <c r="F8325" s="92"/>
      <c r="G8325" s="85"/>
    </row>
    <row r="8326">
      <c r="A8326" s="84"/>
      <c r="B8326" s="85"/>
      <c r="C8326" s="85"/>
      <c r="F8326" s="92"/>
      <c r="G8326" s="85"/>
    </row>
    <row r="8327">
      <c r="A8327" s="84"/>
      <c r="B8327" s="85"/>
      <c r="C8327" s="85"/>
      <c r="F8327" s="92"/>
      <c r="G8327" s="85"/>
    </row>
    <row r="8328">
      <c r="A8328" s="84"/>
      <c r="B8328" s="85"/>
      <c r="C8328" s="85"/>
      <c r="F8328" s="92"/>
      <c r="G8328" s="85"/>
    </row>
    <row r="8329">
      <c r="A8329" s="84"/>
      <c r="B8329" s="85"/>
      <c r="C8329" s="85"/>
      <c r="F8329" s="92"/>
      <c r="G8329" s="85"/>
    </row>
    <row r="8330">
      <c r="A8330" s="84"/>
      <c r="B8330" s="85"/>
      <c r="C8330" s="85"/>
      <c r="F8330" s="92"/>
      <c r="G8330" s="85"/>
    </row>
    <row r="8331">
      <c r="A8331" s="84"/>
      <c r="B8331" s="85"/>
      <c r="C8331" s="85"/>
      <c r="F8331" s="92"/>
      <c r="G8331" s="85"/>
    </row>
    <row r="8332">
      <c r="A8332" s="84"/>
      <c r="B8332" s="85"/>
      <c r="C8332" s="85"/>
      <c r="F8332" s="92"/>
      <c r="G8332" s="85"/>
    </row>
    <row r="8333">
      <c r="A8333" s="84"/>
      <c r="B8333" s="85"/>
      <c r="C8333" s="85"/>
      <c r="F8333" s="92"/>
      <c r="G8333" s="85"/>
    </row>
    <row r="8334">
      <c r="A8334" s="84"/>
      <c r="B8334" s="85"/>
      <c r="C8334" s="85"/>
      <c r="F8334" s="92"/>
      <c r="G8334" s="85"/>
    </row>
    <row r="8335">
      <c r="A8335" s="84"/>
      <c r="B8335" s="85"/>
      <c r="C8335" s="85"/>
      <c r="F8335" s="92"/>
      <c r="G8335" s="85"/>
    </row>
    <row r="8336">
      <c r="A8336" s="84"/>
      <c r="B8336" s="85"/>
      <c r="C8336" s="85"/>
      <c r="F8336" s="92"/>
      <c r="G8336" s="85"/>
    </row>
    <row r="8337">
      <c r="A8337" s="84"/>
      <c r="B8337" s="85"/>
      <c r="C8337" s="85"/>
      <c r="F8337" s="92"/>
      <c r="G8337" s="85"/>
    </row>
    <row r="8338">
      <c r="A8338" s="84"/>
      <c r="B8338" s="85"/>
      <c r="C8338" s="85"/>
      <c r="F8338" s="92"/>
      <c r="G8338" s="85"/>
    </row>
    <row r="8339">
      <c r="A8339" s="84"/>
      <c r="B8339" s="85"/>
      <c r="C8339" s="85"/>
      <c r="F8339" s="92"/>
      <c r="G8339" s="85"/>
    </row>
    <row r="8340">
      <c r="A8340" s="84"/>
      <c r="B8340" s="85"/>
      <c r="C8340" s="85"/>
      <c r="F8340" s="92"/>
      <c r="G8340" s="85"/>
    </row>
    <row r="8341">
      <c r="A8341" s="84"/>
      <c r="B8341" s="85"/>
      <c r="C8341" s="85"/>
      <c r="F8341" s="92"/>
      <c r="G8341" s="85"/>
    </row>
    <row r="8342">
      <c r="A8342" s="84"/>
      <c r="B8342" s="85"/>
      <c r="C8342" s="85"/>
      <c r="F8342" s="92"/>
      <c r="G8342" s="85"/>
    </row>
    <row r="8343">
      <c r="A8343" s="84"/>
      <c r="B8343" s="85"/>
      <c r="C8343" s="85"/>
      <c r="F8343" s="92"/>
      <c r="G8343" s="85"/>
    </row>
    <row r="8344">
      <c r="A8344" s="84"/>
      <c r="B8344" s="85"/>
      <c r="C8344" s="85"/>
      <c r="F8344" s="92"/>
      <c r="G8344" s="85"/>
    </row>
    <row r="8345">
      <c r="A8345" s="84"/>
      <c r="B8345" s="85"/>
      <c r="C8345" s="85"/>
      <c r="F8345" s="92"/>
      <c r="G8345" s="85"/>
    </row>
    <row r="8346">
      <c r="A8346" s="84"/>
      <c r="B8346" s="85"/>
      <c r="C8346" s="85"/>
      <c r="F8346" s="92"/>
      <c r="G8346" s="85"/>
    </row>
    <row r="8347">
      <c r="A8347" s="84"/>
      <c r="B8347" s="85"/>
      <c r="C8347" s="85"/>
      <c r="F8347" s="92"/>
      <c r="G8347" s="85"/>
    </row>
    <row r="8348">
      <c r="A8348" s="84"/>
      <c r="B8348" s="85"/>
      <c r="C8348" s="85"/>
      <c r="F8348" s="92"/>
      <c r="G8348" s="85"/>
    </row>
    <row r="8349">
      <c r="A8349" s="84"/>
      <c r="B8349" s="85"/>
      <c r="C8349" s="85"/>
      <c r="F8349" s="92"/>
      <c r="G8349" s="85"/>
    </row>
    <row r="8350">
      <c r="A8350" s="84"/>
      <c r="B8350" s="85"/>
      <c r="C8350" s="85"/>
      <c r="F8350" s="92"/>
      <c r="G8350" s="85"/>
    </row>
    <row r="8351">
      <c r="A8351" s="84"/>
      <c r="B8351" s="85"/>
      <c r="C8351" s="85"/>
      <c r="F8351" s="92"/>
      <c r="G8351" s="85"/>
    </row>
    <row r="8352">
      <c r="A8352" s="84"/>
      <c r="B8352" s="85"/>
      <c r="C8352" s="85"/>
      <c r="F8352" s="92"/>
      <c r="G8352" s="85"/>
    </row>
    <row r="8353">
      <c r="A8353" s="84"/>
      <c r="B8353" s="85"/>
      <c r="C8353" s="85"/>
      <c r="F8353" s="92"/>
      <c r="G8353" s="85"/>
    </row>
    <row r="8354">
      <c r="A8354" s="84"/>
      <c r="B8354" s="85"/>
      <c r="C8354" s="85"/>
      <c r="F8354" s="92"/>
      <c r="G8354" s="85"/>
    </row>
    <row r="8355">
      <c r="A8355" s="84"/>
      <c r="B8355" s="85"/>
      <c r="C8355" s="85"/>
      <c r="F8355" s="92"/>
      <c r="G8355" s="85"/>
    </row>
    <row r="8356">
      <c r="A8356" s="84"/>
      <c r="B8356" s="85"/>
      <c r="C8356" s="85"/>
      <c r="F8356" s="92"/>
      <c r="G8356" s="85"/>
    </row>
    <row r="8357">
      <c r="A8357" s="84"/>
      <c r="B8357" s="85"/>
      <c r="C8357" s="85"/>
      <c r="F8357" s="92"/>
      <c r="G8357" s="85"/>
    </row>
    <row r="8358">
      <c r="A8358" s="84"/>
      <c r="B8358" s="85"/>
      <c r="C8358" s="85"/>
      <c r="F8358" s="92"/>
      <c r="G8358" s="85"/>
    </row>
    <row r="8359">
      <c r="A8359" s="84"/>
      <c r="B8359" s="85"/>
      <c r="C8359" s="85"/>
      <c r="F8359" s="92"/>
      <c r="G8359" s="85"/>
    </row>
    <row r="8360">
      <c r="A8360" s="84"/>
      <c r="B8360" s="85"/>
      <c r="C8360" s="85"/>
      <c r="F8360" s="92"/>
      <c r="G8360" s="85"/>
    </row>
    <row r="8361">
      <c r="A8361" s="84"/>
      <c r="B8361" s="85"/>
      <c r="C8361" s="85"/>
      <c r="F8361" s="92"/>
      <c r="G8361" s="85"/>
    </row>
    <row r="8362">
      <c r="A8362" s="84"/>
      <c r="B8362" s="85"/>
      <c r="C8362" s="85"/>
      <c r="F8362" s="92"/>
      <c r="G8362" s="85"/>
    </row>
    <row r="8363">
      <c r="A8363" s="84"/>
      <c r="B8363" s="85"/>
      <c r="C8363" s="85"/>
      <c r="F8363" s="92"/>
      <c r="G8363" s="85"/>
    </row>
    <row r="8364">
      <c r="A8364" s="84"/>
      <c r="B8364" s="85"/>
      <c r="C8364" s="85"/>
      <c r="F8364" s="92"/>
      <c r="G8364" s="85"/>
    </row>
    <row r="8365">
      <c r="A8365" s="84"/>
      <c r="B8365" s="85"/>
      <c r="C8365" s="85"/>
      <c r="F8365" s="92"/>
      <c r="G8365" s="85"/>
    </row>
    <row r="8366">
      <c r="A8366" s="84"/>
      <c r="B8366" s="85"/>
      <c r="C8366" s="85"/>
      <c r="F8366" s="92"/>
      <c r="G8366" s="85"/>
    </row>
    <row r="8367">
      <c r="A8367" s="84"/>
      <c r="B8367" s="85"/>
      <c r="C8367" s="85"/>
      <c r="F8367" s="92"/>
      <c r="G8367" s="85"/>
    </row>
    <row r="8368">
      <c r="A8368" s="84"/>
      <c r="B8368" s="85"/>
      <c r="C8368" s="85"/>
      <c r="F8368" s="92"/>
      <c r="G8368" s="85"/>
    </row>
    <row r="8369">
      <c r="A8369" s="84"/>
      <c r="B8369" s="85"/>
      <c r="C8369" s="85"/>
      <c r="F8369" s="92"/>
      <c r="G8369" s="85"/>
    </row>
    <row r="8370">
      <c r="A8370" s="84"/>
      <c r="B8370" s="85"/>
      <c r="C8370" s="85"/>
      <c r="F8370" s="92"/>
      <c r="G8370" s="85"/>
    </row>
    <row r="8371">
      <c r="A8371" s="84"/>
      <c r="B8371" s="85"/>
      <c r="C8371" s="85"/>
      <c r="F8371" s="92"/>
      <c r="G8371" s="85"/>
    </row>
    <row r="8372">
      <c r="A8372" s="84"/>
      <c r="B8372" s="85"/>
      <c r="C8372" s="85"/>
      <c r="F8372" s="92"/>
      <c r="G8372" s="85"/>
    </row>
    <row r="8373">
      <c r="A8373" s="84"/>
      <c r="B8373" s="85"/>
      <c r="C8373" s="85"/>
      <c r="F8373" s="92"/>
      <c r="G8373" s="85"/>
    </row>
    <row r="8374">
      <c r="A8374" s="84"/>
      <c r="B8374" s="85"/>
      <c r="C8374" s="85"/>
      <c r="F8374" s="92"/>
      <c r="G8374" s="85"/>
    </row>
    <row r="8375">
      <c r="A8375" s="84"/>
      <c r="B8375" s="85"/>
      <c r="C8375" s="85"/>
      <c r="F8375" s="92"/>
      <c r="G8375" s="85"/>
    </row>
    <row r="8376">
      <c r="A8376" s="84"/>
      <c r="B8376" s="85"/>
      <c r="C8376" s="85"/>
      <c r="F8376" s="92"/>
      <c r="G8376" s="85"/>
    </row>
    <row r="8377">
      <c r="A8377" s="84"/>
      <c r="B8377" s="85"/>
      <c r="C8377" s="85"/>
      <c r="F8377" s="92"/>
      <c r="G8377" s="85"/>
    </row>
    <row r="8378">
      <c r="A8378" s="84"/>
      <c r="B8378" s="85"/>
      <c r="C8378" s="85"/>
      <c r="F8378" s="92"/>
      <c r="G8378" s="85"/>
    </row>
    <row r="8379">
      <c r="A8379" s="84"/>
      <c r="B8379" s="85"/>
      <c r="C8379" s="85"/>
      <c r="F8379" s="92"/>
      <c r="G8379" s="85"/>
    </row>
    <row r="8380">
      <c r="A8380" s="84"/>
      <c r="B8380" s="85"/>
      <c r="C8380" s="85"/>
      <c r="F8380" s="92"/>
      <c r="G8380" s="85"/>
    </row>
    <row r="8381">
      <c r="A8381" s="84"/>
      <c r="B8381" s="85"/>
      <c r="C8381" s="85"/>
      <c r="F8381" s="92"/>
      <c r="G8381" s="85"/>
    </row>
    <row r="8382">
      <c r="A8382" s="84"/>
      <c r="B8382" s="85"/>
      <c r="C8382" s="85"/>
      <c r="F8382" s="92"/>
      <c r="G8382" s="85"/>
    </row>
    <row r="8383">
      <c r="A8383" s="84"/>
      <c r="B8383" s="85"/>
      <c r="C8383" s="85"/>
      <c r="F8383" s="92"/>
      <c r="G8383" s="85"/>
    </row>
    <row r="8384">
      <c r="A8384" s="84"/>
      <c r="B8384" s="85"/>
      <c r="C8384" s="85"/>
      <c r="F8384" s="92"/>
      <c r="G8384" s="85"/>
    </row>
    <row r="8385">
      <c r="A8385" s="84"/>
      <c r="B8385" s="85"/>
      <c r="C8385" s="85"/>
      <c r="F8385" s="92"/>
      <c r="G8385" s="85"/>
    </row>
    <row r="8386">
      <c r="A8386" s="84"/>
      <c r="B8386" s="85"/>
      <c r="C8386" s="85"/>
      <c r="F8386" s="92"/>
      <c r="G8386" s="85"/>
    </row>
    <row r="8387">
      <c r="A8387" s="84"/>
      <c r="B8387" s="85"/>
      <c r="C8387" s="85"/>
      <c r="F8387" s="92"/>
      <c r="G8387" s="85"/>
    </row>
    <row r="8388">
      <c r="A8388" s="84"/>
      <c r="B8388" s="85"/>
      <c r="C8388" s="85"/>
      <c r="F8388" s="92"/>
      <c r="G8388" s="85"/>
    </row>
    <row r="8389">
      <c r="A8389" s="84"/>
      <c r="B8389" s="85"/>
      <c r="C8389" s="85"/>
      <c r="F8389" s="92"/>
      <c r="G8389" s="85"/>
    </row>
    <row r="8390">
      <c r="A8390" s="84"/>
      <c r="B8390" s="85"/>
      <c r="C8390" s="85"/>
      <c r="F8390" s="92"/>
      <c r="G8390" s="85"/>
    </row>
    <row r="8391">
      <c r="A8391" s="84"/>
      <c r="B8391" s="85"/>
      <c r="C8391" s="85"/>
      <c r="F8391" s="92"/>
      <c r="G8391" s="85"/>
    </row>
    <row r="8392">
      <c r="A8392" s="84"/>
      <c r="B8392" s="85"/>
      <c r="C8392" s="85"/>
      <c r="F8392" s="92"/>
      <c r="G8392" s="85"/>
    </row>
    <row r="8393">
      <c r="A8393" s="84"/>
      <c r="B8393" s="85"/>
      <c r="C8393" s="85"/>
      <c r="F8393" s="92"/>
      <c r="G8393" s="85"/>
    </row>
    <row r="8394">
      <c r="A8394" s="84"/>
      <c r="B8394" s="85"/>
      <c r="C8394" s="85"/>
      <c r="F8394" s="92"/>
      <c r="G8394" s="85"/>
    </row>
    <row r="8395">
      <c r="A8395" s="84"/>
      <c r="B8395" s="85"/>
      <c r="C8395" s="85"/>
      <c r="F8395" s="92"/>
      <c r="G8395" s="85"/>
    </row>
    <row r="8396">
      <c r="A8396" s="84"/>
      <c r="B8396" s="85"/>
      <c r="C8396" s="85"/>
      <c r="F8396" s="92"/>
      <c r="G8396" s="85"/>
    </row>
    <row r="8397">
      <c r="A8397" s="84"/>
      <c r="B8397" s="85"/>
      <c r="C8397" s="85"/>
      <c r="F8397" s="92"/>
      <c r="G8397" s="85"/>
    </row>
    <row r="8398">
      <c r="A8398" s="84"/>
      <c r="B8398" s="85"/>
      <c r="C8398" s="85"/>
      <c r="F8398" s="92"/>
      <c r="G8398" s="85"/>
    </row>
    <row r="8399">
      <c r="A8399" s="84"/>
      <c r="B8399" s="85"/>
      <c r="C8399" s="85"/>
      <c r="F8399" s="92"/>
      <c r="G8399" s="85"/>
    </row>
    <row r="8400">
      <c r="A8400" s="84"/>
      <c r="B8400" s="85"/>
      <c r="C8400" s="85"/>
      <c r="F8400" s="92"/>
      <c r="G8400" s="85"/>
    </row>
    <row r="8401">
      <c r="A8401" s="84"/>
      <c r="B8401" s="85"/>
      <c r="C8401" s="85"/>
      <c r="F8401" s="92"/>
      <c r="G8401" s="85"/>
    </row>
    <row r="8402">
      <c r="A8402" s="84"/>
      <c r="B8402" s="85"/>
      <c r="C8402" s="85"/>
      <c r="F8402" s="92"/>
      <c r="G8402" s="85"/>
    </row>
    <row r="8403">
      <c r="A8403" s="84"/>
      <c r="B8403" s="85"/>
      <c r="C8403" s="85"/>
      <c r="F8403" s="92"/>
      <c r="G8403" s="85"/>
    </row>
    <row r="8404">
      <c r="A8404" s="84"/>
      <c r="B8404" s="85"/>
      <c r="C8404" s="85"/>
      <c r="F8404" s="92"/>
      <c r="G8404" s="85"/>
    </row>
    <row r="8405">
      <c r="A8405" s="84"/>
      <c r="B8405" s="85"/>
      <c r="C8405" s="85"/>
      <c r="F8405" s="92"/>
      <c r="G8405" s="85"/>
    </row>
    <row r="8406">
      <c r="A8406" s="84"/>
      <c r="B8406" s="85"/>
      <c r="C8406" s="85"/>
      <c r="F8406" s="92"/>
      <c r="G8406" s="85"/>
    </row>
    <row r="8407">
      <c r="A8407" s="84"/>
      <c r="B8407" s="85"/>
      <c r="C8407" s="85"/>
      <c r="F8407" s="92"/>
      <c r="G8407" s="85"/>
    </row>
    <row r="8408">
      <c r="A8408" s="84"/>
      <c r="B8408" s="85"/>
      <c r="C8408" s="85"/>
      <c r="F8408" s="92"/>
      <c r="G8408" s="85"/>
    </row>
    <row r="8409">
      <c r="A8409" s="84"/>
      <c r="B8409" s="85"/>
      <c r="C8409" s="85"/>
      <c r="F8409" s="92"/>
      <c r="G8409" s="85"/>
    </row>
    <row r="8410">
      <c r="A8410" s="84"/>
      <c r="B8410" s="85"/>
      <c r="C8410" s="85"/>
      <c r="F8410" s="92"/>
      <c r="G8410" s="85"/>
    </row>
    <row r="8411">
      <c r="A8411" s="84"/>
      <c r="B8411" s="85"/>
      <c r="C8411" s="85"/>
      <c r="F8411" s="92"/>
      <c r="G8411" s="85"/>
    </row>
    <row r="8412">
      <c r="A8412" s="84"/>
      <c r="B8412" s="85"/>
      <c r="C8412" s="85"/>
      <c r="F8412" s="92"/>
      <c r="G8412" s="85"/>
    </row>
    <row r="8413">
      <c r="A8413" s="84"/>
      <c r="B8413" s="85"/>
      <c r="C8413" s="85"/>
      <c r="F8413" s="92"/>
      <c r="G8413" s="85"/>
    </row>
    <row r="8414">
      <c r="A8414" s="84"/>
      <c r="B8414" s="85"/>
      <c r="C8414" s="85"/>
      <c r="F8414" s="92"/>
      <c r="G8414" s="85"/>
    </row>
    <row r="8415">
      <c r="A8415" s="84"/>
      <c r="B8415" s="85"/>
      <c r="C8415" s="85"/>
      <c r="F8415" s="92"/>
      <c r="G8415" s="85"/>
    </row>
    <row r="8416">
      <c r="A8416" s="84"/>
      <c r="B8416" s="85"/>
      <c r="C8416" s="85"/>
      <c r="F8416" s="92"/>
      <c r="G8416" s="85"/>
    </row>
    <row r="8417">
      <c r="A8417" s="84"/>
      <c r="B8417" s="85"/>
      <c r="C8417" s="85"/>
      <c r="F8417" s="92"/>
      <c r="G8417" s="85"/>
    </row>
    <row r="8418">
      <c r="A8418" s="84"/>
      <c r="B8418" s="85"/>
      <c r="C8418" s="85"/>
      <c r="F8418" s="92"/>
      <c r="G8418" s="85"/>
    </row>
    <row r="8419">
      <c r="A8419" s="84"/>
      <c r="B8419" s="85"/>
      <c r="C8419" s="85"/>
      <c r="F8419" s="92"/>
      <c r="G8419" s="85"/>
    </row>
    <row r="8420">
      <c r="A8420" s="84"/>
      <c r="B8420" s="85"/>
      <c r="C8420" s="85"/>
      <c r="F8420" s="92"/>
      <c r="G8420" s="85"/>
    </row>
    <row r="8421">
      <c r="A8421" s="84"/>
      <c r="B8421" s="85"/>
      <c r="C8421" s="85"/>
      <c r="F8421" s="92"/>
      <c r="G8421" s="85"/>
    </row>
    <row r="8422">
      <c r="A8422" s="84"/>
      <c r="B8422" s="85"/>
      <c r="C8422" s="85"/>
      <c r="F8422" s="92"/>
      <c r="G8422" s="85"/>
    </row>
    <row r="8423">
      <c r="A8423" s="84"/>
      <c r="B8423" s="85"/>
      <c r="C8423" s="85"/>
      <c r="F8423" s="92"/>
      <c r="G8423" s="85"/>
    </row>
    <row r="8424">
      <c r="A8424" s="84"/>
      <c r="B8424" s="85"/>
      <c r="C8424" s="85"/>
      <c r="F8424" s="92"/>
      <c r="G8424" s="85"/>
    </row>
    <row r="8425">
      <c r="A8425" s="84"/>
      <c r="B8425" s="85"/>
      <c r="C8425" s="85"/>
      <c r="F8425" s="92"/>
      <c r="G8425" s="85"/>
    </row>
    <row r="8426">
      <c r="A8426" s="84"/>
      <c r="B8426" s="85"/>
      <c r="C8426" s="85"/>
      <c r="F8426" s="92"/>
      <c r="G8426" s="85"/>
    </row>
    <row r="8427">
      <c r="A8427" s="84"/>
      <c r="B8427" s="85"/>
      <c r="C8427" s="85"/>
      <c r="F8427" s="92"/>
      <c r="G8427" s="85"/>
    </row>
    <row r="8428">
      <c r="A8428" s="84"/>
      <c r="B8428" s="85"/>
      <c r="C8428" s="85"/>
      <c r="F8428" s="92"/>
      <c r="G8428" s="85"/>
    </row>
    <row r="8429">
      <c r="A8429" s="84"/>
      <c r="B8429" s="85"/>
      <c r="C8429" s="85"/>
      <c r="F8429" s="92"/>
      <c r="G8429" s="85"/>
    </row>
    <row r="8430">
      <c r="A8430" s="84"/>
      <c r="B8430" s="85"/>
      <c r="C8430" s="85"/>
      <c r="F8430" s="92"/>
      <c r="G8430" s="85"/>
    </row>
    <row r="8431">
      <c r="A8431" s="84"/>
      <c r="B8431" s="85"/>
      <c r="C8431" s="85"/>
      <c r="F8431" s="92"/>
      <c r="G8431" s="85"/>
    </row>
    <row r="8432">
      <c r="A8432" s="84"/>
      <c r="B8432" s="85"/>
      <c r="C8432" s="85"/>
      <c r="F8432" s="92"/>
      <c r="G8432" s="85"/>
    </row>
    <row r="8433">
      <c r="A8433" s="84"/>
      <c r="B8433" s="85"/>
      <c r="C8433" s="85"/>
      <c r="F8433" s="92"/>
      <c r="G8433" s="85"/>
    </row>
    <row r="8434">
      <c r="A8434" s="84"/>
      <c r="B8434" s="85"/>
      <c r="C8434" s="85"/>
      <c r="F8434" s="92"/>
      <c r="G8434" s="85"/>
    </row>
    <row r="8435">
      <c r="A8435" s="84"/>
      <c r="B8435" s="85"/>
      <c r="C8435" s="85"/>
      <c r="F8435" s="92"/>
      <c r="G8435" s="85"/>
    </row>
    <row r="8436">
      <c r="A8436" s="84"/>
      <c r="B8436" s="85"/>
      <c r="C8436" s="85"/>
      <c r="F8436" s="92"/>
      <c r="G8436" s="85"/>
    </row>
    <row r="8437">
      <c r="A8437" s="84"/>
      <c r="B8437" s="85"/>
      <c r="C8437" s="85"/>
      <c r="F8437" s="92"/>
      <c r="G8437" s="85"/>
    </row>
    <row r="8438">
      <c r="A8438" s="84"/>
      <c r="B8438" s="85"/>
      <c r="C8438" s="85"/>
      <c r="F8438" s="92"/>
      <c r="G8438" s="85"/>
    </row>
    <row r="8439">
      <c r="A8439" s="84"/>
      <c r="B8439" s="85"/>
      <c r="C8439" s="85"/>
      <c r="F8439" s="92"/>
      <c r="G8439" s="85"/>
    </row>
    <row r="8440">
      <c r="A8440" s="84"/>
      <c r="B8440" s="85"/>
      <c r="C8440" s="85"/>
      <c r="F8440" s="92"/>
      <c r="G8440" s="85"/>
    </row>
    <row r="8441">
      <c r="A8441" s="84"/>
      <c r="B8441" s="85"/>
      <c r="C8441" s="85"/>
      <c r="F8441" s="92"/>
      <c r="G8441" s="85"/>
    </row>
    <row r="8442">
      <c r="A8442" s="84"/>
      <c r="B8442" s="85"/>
      <c r="C8442" s="85"/>
      <c r="F8442" s="92"/>
      <c r="G8442" s="85"/>
    </row>
    <row r="8443">
      <c r="A8443" s="84"/>
      <c r="B8443" s="85"/>
      <c r="C8443" s="85"/>
      <c r="F8443" s="92"/>
      <c r="G8443" s="85"/>
    </row>
    <row r="8444">
      <c r="A8444" s="84"/>
      <c r="B8444" s="85"/>
      <c r="C8444" s="85"/>
      <c r="F8444" s="92"/>
      <c r="G8444" s="85"/>
    </row>
    <row r="8445">
      <c r="A8445" s="84"/>
      <c r="B8445" s="85"/>
      <c r="C8445" s="85"/>
      <c r="F8445" s="92"/>
      <c r="G8445" s="85"/>
    </row>
    <row r="8446">
      <c r="A8446" s="84"/>
      <c r="B8446" s="85"/>
      <c r="C8446" s="85"/>
      <c r="F8446" s="92"/>
      <c r="G8446" s="85"/>
    </row>
    <row r="8447">
      <c r="A8447" s="84"/>
      <c r="B8447" s="85"/>
      <c r="C8447" s="85"/>
      <c r="F8447" s="92"/>
      <c r="G8447" s="85"/>
    </row>
    <row r="8448">
      <c r="A8448" s="84"/>
      <c r="B8448" s="85"/>
      <c r="C8448" s="85"/>
      <c r="F8448" s="92"/>
      <c r="G8448" s="85"/>
    </row>
    <row r="8449">
      <c r="A8449" s="84"/>
      <c r="B8449" s="85"/>
      <c r="C8449" s="85"/>
      <c r="F8449" s="92"/>
      <c r="G8449" s="85"/>
    </row>
    <row r="8450">
      <c r="A8450" s="84"/>
      <c r="B8450" s="85"/>
      <c r="C8450" s="85"/>
      <c r="F8450" s="92"/>
      <c r="G8450" s="85"/>
    </row>
    <row r="8451">
      <c r="A8451" s="84"/>
      <c r="B8451" s="85"/>
      <c r="C8451" s="85"/>
      <c r="F8451" s="92"/>
      <c r="G8451" s="85"/>
    </row>
    <row r="8452">
      <c r="A8452" s="84"/>
      <c r="B8452" s="85"/>
      <c r="C8452" s="85"/>
      <c r="F8452" s="92"/>
      <c r="G8452" s="85"/>
    </row>
    <row r="8453">
      <c r="A8453" s="84"/>
      <c r="B8453" s="85"/>
      <c r="C8453" s="85"/>
      <c r="F8453" s="92"/>
      <c r="G8453" s="85"/>
    </row>
    <row r="8454">
      <c r="A8454" s="84"/>
      <c r="B8454" s="85"/>
      <c r="C8454" s="85"/>
      <c r="F8454" s="92"/>
      <c r="G8454" s="85"/>
    </row>
    <row r="8455">
      <c r="A8455" s="84"/>
      <c r="B8455" s="85"/>
      <c r="C8455" s="85"/>
      <c r="F8455" s="92"/>
      <c r="G8455" s="85"/>
    </row>
    <row r="8456">
      <c r="A8456" s="84"/>
      <c r="B8456" s="85"/>
      <c r="C8456" s="85"/>
      <c r="F8456" s="92"/>
      <c r="G8456" s="85"/>
    </row>
    <row r="8457">
      <c r="A8457" s="84"/>
      <c r="B8457" s="85"/>
      <c r="C8457" s="85"/>
      <c r="F8457" s="92"/>
      <c r="G8457" s="85"/>
    </row>
    <row r="8458">
      <c r="A8458" s="84"/>
      <c r="B8458" s="85"/>
      <c r="C8458" s="85"/>
      <c r="F8458" s="92"/>
      <c r="G8458" s="85"/>
    </row>
    <row r="8459">
      <c r="A8459" s="84"/>
      <c r="B8459" s="85"/>
      <c r="C8459" s="85"/>
      <c r="F8459" s="92"/>
      <c r="G8459" s="85"/>
    </row>
    <row r="8460">
      <c r="A8460" s="84"/>
      <c r="B8460" s="85"/>
      <c r="C8460" s="85"/>
      <c r="F8460" s="92"/>
      <c r="G8460" s="85"/>
    </row>
    <row r="8461">
      <c r="A8461" s="84"/>
      <c r="B8461" s="85"/>
      <c r="C8461" s="85"/>
      <c r="F8461" s="92"/>
      <c r="G8461" s="85"/>
    </row>
    <row r="8462">
      <c r="A8462" s="84"/>
      <c r="B8462" s="85"/>
      <c r="C8462" s="85"/>
      <c r="F8462" s="92"/>
      <c r="G8462" s="85"/>
    </row>
    <row r="8463">
      <c r="A8463" s="84"/>
      <c r="B8463" s="85"/>
      <c r="C8463" s="85"/>
      <c r="F8463" s="92"/>
      <c r="G8463" s="85"/>
    </row>
    <row r="8464">
      <c r="A8464" s="84"/>
      <c r="B8464" s="85"/>
      <c r="C8464" s="85"/>
      <c r="F8464" s="92"/>
      <c r="G8464" s="85"/>
    </row>
    <row r="8465">
      <c r="A8465" s="84"/>
      <c r="B8465" s="85"/>
      <c r="C8465" s="85"/>
      <c r="F8465" s="92"/>
      <c r="G8465" s="85"/>
    </row>
    <row r="8466">
      <c r="A8466" s="84"/>
      <c r="B8466" s="85"/>
      <c r="C8466" s="85"/>
      <c r="F8466" s="92"/>
      <c r="G8466" s="85"/>
    </row>
    <row r="8467">
      <c r="A8467" s="84"/>
      <c r="B8467" s="85"/>
      <c r="C8467" s="85"/>
      <c r="F8467" s="92"/>
      <c r="G8467" s="85"/>
    </row>
    <row r="8468">
      <c r="A8468" s="84"/>
      <c r="B8468" s="85"/>
      <c r="C8468" s="85"/>
      <c r="F8468" s="92"/>
      <c r="G8468" s="85"/>
    </row>
    <row r="8469">
      <c r="A8469" s="84"/>
      <c r="B8469" s="85"/>
      <c r="C8469" s="85"/>
      <c r="F8469" s="92"/>
      <c r="G8469" s="85"/>
    </row>
    <row r="8470">
      <c r="A8470" s="84"/>
      <c r="B8470" s="85"/>
      <c r="C8470" s="85"/>
      <c r="F8470" s="92"/>
      <c r="G8470" s="85"/>
    </row>
    <row r="8471">
      <c r="A8471" s="84"/>
      <c r="B8471" s="85"/>
      <c r="C8471" s="85"/>
      <c r="F8471" s="92"/>
      <c r="G8471" s="85"/>
    </row>
    <row r="8472">
      <c r="A8472" s="84"/>
      <c r="B8472" s="85"/>
      <c r="C8472" s="85"/>
      <c r="F8472" s="92"/>
      <c r="G8472" s="85"/>
    </row>
    <row r="8473">
      <c r="A8473" s="84"/>
      <c r="B8473" s="85"/>
      <c r="C8473" s="85"/>
      <c r="F8473" s="92"/>
      <c r="G8473" s="85"/>
    </row>
    <row r="8474">
      <c r="A8474" s="84"/>
      <c r="B8474" s="85"/>
      <c r="C8474" s="85"/>
      <c r="F8474" s="92"/>
      <c r="G8474" s="85"/>
    </row>
    <row r="8475">
      <c r="A8475" s="84"/>
      <c r="B8475" s="85"/>
      <c r="C8475" s="85"/>
      <c r="F8475" s="92"/>
      <c r="G8475" s="85"/>
    </row>
    <row r="8476">
      <c r="A8476" s="84"/>
      <c r="B8476" s="85"/>
      <c r="C8476" s="85"/>
      <c r="F8476" s="92"/>
      <c r="G8476" s="85"/>
    </row>
    <row r="8477">
      <c r="A8477" s="84"/>
      <c r="B8477" s="85"/>
      <c r="C8477" s="85"/>
      <c r="F8477" s="92"/>
      <c r="G8477" s="85"/>
    </row>
    <row r="8478">
      <c r="A8478" s="84"/>
      <c r="B8478" s="85"/>
      <c r="C8478" s="85"/>
      <c r="F8478" s="92"/>
      <c r="G8478" s="85"/>
    </row>
    <row r="8479">
      <c r="A8479" s="84"/>
      <c r="B8479" s="85"/>
      <c r="C8479" s="85"/>
      <c r="F8479" s="92"/>
      <c r="G8479" s="85"/>
    </row>
    <row r="8480">
      <c r="A8480" s="84"/>
      <c r="B8480" s="85"/>
      <c r="C8480" s="85"/>
      <c r="F8480" s="92"/>
      <c r="G8480" s="85"/>
    </row>
    <row r="8481">
      <c r="A8481" s="84"/>
      <c r="B8481" s="85"/>
      <c r="C8481" s="85"/>
      <c r="F8481" s="92"/>
      <c r="G8481" s="85"/>
    </row>
    <row r="8482">
      <c r="A8482" s="84"/>
      <c r="B8482" s="85"/>
      <c r="C8482" s="85"/>
      <c r="F8482" s="92"/>
      <c r="G8482" s="85"/>
    </row>
    <row r="8483">
      <c r="A8483" s="84"/>
      <c r="B8483" s="85"/>
      <c r="C8483" s="85"/>
      <c r="F8483" s="92"/>
      <c r="G8483" s="85"/>
    </row>
    <row r="8484">
      <c r="A8484" s="84"/>
      <c r="B8484" s="85"/>
      <c r="C8484" s="85"/>
      <c r="F8484" s="92"/>
      <c r="G8484" s="85"/>
    </row>
    <row r="8485">
      <c r="A8485" s="84"/>
      <c r="B8485" s="85"/>
      <c r="C8485" s="85"/>
      <c r="F8485" s="92"/>
      <c r="G8485" s="85"/>
    </row>
    <row r="8486">
      <c r="A8486" s="84"/>
      <c r="B8486" s="85"/>
      <c r="C8486" s="85"/>
      <c r="F8486" s="92"/>
      <c r="G8486" s="85"/>
    </row>
    <row r="8487">
      <c r="A8487" s="84"/>
      <c r="B8487" s="85"/>
      <c r="C8487" s="85"/>
      <c r="F8487" s="92"/>
      <c r="G8487" s="85"/>
    </row>
    <row r="8488">
      <c r="A8488" s="84"/>
      <c r="B8488" s="85"/>
      <c r="C8488" s="85"/>
      <c r="F8488" s="92"/>
      <c r="G8488" s="85"/>
    </row>
    <row r="8489">
      <c r="A8489" s="84"/>
      <c r="B8489" s="85"/>
      <c r="C8489" s="85"/>
      <c r="F8489" s="92"/>
      <c r="G8489" s="85"/>
    </row>
    <row r="8490">
      <c r="A8490" s="84"/>
      <c r="B8490" s="85"/>
      <c r="C8490" s="85"/>
      <c r="F8490" s="92"/>
      <c r="G8490" s="85"/>
    </row>
    <row r="8491">
      <c r="A8491" s="84"/>
      <c r="B8491" s="85"/>
      <c r="C8491" s="85"/>
      <c r="F8491" s="92"/>
      <c r="G8491" s="85"/>
    </row>
    <row r="8492">
      <c r="A8492" s="84"/>
      <c r="B8492" s="85"/>
      <c r="C8492" s="85"/>
      <c r="F8492" s="92"/>
      <c r="G8492" s="85"/>
    </row>
    <row r="8493">
      <c r="A8493" s="84"/>
      <c r="B8493" s="85"/>
      <c r="C8493" s="85"/>
      <c r="F8493" s="92"/>
      <c r="G8493" s="85"/>
    </row>
    <row r="8494">
      <c r="A8494" s="84"/>
      <c r="B8494" s="85"/>
      <c r="C8494" s="85"/>
      <c r="F8494" s="92"/>
      <c r="G8494" s="85"/>
    </row>
    <row r="8495">
      <c r="A8495" s="84"/>
      <c r="B8495" s="85"/>
      <c r="C8495" s="85"/>
      <c r="F8495" s="92"/>
      <c r="G8495" s="85"/>
    </row>
    <row r="8496">
      <c r="A8496" s="84"/>
      <c r="B8496" s="85"/>
      <c r="C8496" s="85"/>
      <c r="F8496" s="92"/>
      <c r="G8496" s="85"/>
    </row>
    <row r="8497">
      <c r="A8497" s="84"/>
      <c r="B8497" s="85"/>
      <c r="C8497" s="85"/>
      <c r="F8497" s="92"/>
      <c r="G8497" s="85"/>
    </row>
    <row r="8498">
      <c r="A8498" s="84"/>
      <c r="B8498" s="85"/>
      <c r="C8498" s="85"/>
      <c r="F8498" s="92"/>
      <c r="G8498" s="85"/>
    </row>
    <row r="8499">
      <c r="A8499" s="84"/>
      <c r="B8499" s="85"/>
      <c r="C8499" s="85"/>
      <c r="F8499" s="92"/>
      <c r="G8499" s="85"/>
    </row>
    <row r="8500">
      <c r="A8500" s="84"/>
      <c r="B8500" s="85"/>
      <c r="C8500" s="85"/>
      <c r="F8500" s="92"/>
      <c r="G8500" s="85"/>
    </row>
    <row r="8501">
      <c r="A8501" s="84"/>
      <c r="B8501" s="85"/>
      <c r="C8501" s="85"/>
      <c r="F8501" s="92"/>
      <c r="G8501" s="85"/>
    </row>
    <row r="8502">
      <c r="A8502" s="84"/>
      <c r="B8502" s="85"/>
      <c r="C8502" s="85"/>
      <c r="F8502" s="92"/>
      <c r="G8502" s="85"/>
    </row>
    <row r="8503">
      <c r="A8503" s="84"/>
      <c r="B8503" s="85"/>
      <c r="C8503" s="85"/>
      <c r="F8503" s="92"/>
      <c r="G8503" s="85"/>
    </row>
    <row r="8504">
      <c r="A8504" s="84"/>
      <c r="B8504" s="85"/>
      <c r="C8504" s="85"/>
      <c r="F8504" s="92"/>
      <c r="G8504" s="85"/>
    </row>
    <row r="8505">
      <c r="A8505" s="84"/>
      <c r="B8505" s="85"/>
      <c r="C8505" s="85"/>
      <c r="F8505" s="92"/>
      <c r="G8505" s="85"/>
    </row>
    <row r="8506">
      <c r="A8506" s="84"/>
      <c r="B8506" s="85"/>
      <c r="C8506" s="85"/>
      <c r="F8506" s="92"/>
      <c r="G8506" s="85"/>
    </row>
    <row r="8507">
      <c r="A8507" s="84"/>
      <c r="B8507" s="85"/>
      <c r="C8507" s="85"/>
      <c r="F8507" s="92"/>
      <c r="G8507" s="85"/>
    </row>
    <row r="8508">
      <c r="A8508" s="84"/>
      <c r="B8508" s="85"/>
      <c r="C8508" s="85"/>
      <c r="F8508" s="92"/>
      <c r="G8508" s="85"/>
    </row>
    <row r="8509">
      <c r="A8509" s="84"/>
      <c r="B8509" s="85"/>
      <c r="C8509" s="85"/>
      <c r="F8509" s="92"/>
      <c r="G8509" s="85"/>
    </row>
    <row r="8510">
      <c r="A8510" s="84"/>
      <c r="B8510" s="85"/>
      <c r="C8510" s="85"/>
      <c r="F8510" s="92"/>
      <c r="G8510" s="85"/>
    </row>
    <row r="8511">
      <c r="A8511" s="84"/>
      <c r="B8511" s="85"/>
      <c r="C8511" s="85"/>
      <c r="F8511" s="92"/>
      <c r="G8511" s="85"/>
    </row>
    <row r="8512">
      <c r="A8512" s="84"/>
      <c r="B8512" s="85"/>
      <c r="C8512" s="85"/>
      <c r="F8512" s="92"/>
      <c r="G8512" s="85"/>
    </row>
    <row r="8513">
      <c r="A8513" s="84"/>
      <c r="B8513" s="85"/>
      <c r="C8513" s="85"/>
      <c r="F8513" s="92"/>
      <c r="G8513" s="85"/>
    </row>
    <row r="8514">
      <c r="A8514" s="84"/>
      <c r="B8514" s="85"/>
      <c r="C8514" s="85"/>
      <c r="F8514" s="92"/>
      <c r="G8514" s="85"/>
    </row>
    <row r="8515">
      <c r="A8515" s="84"/>
      <c r="B8515" s="85"/>
      <c r="C8515" s="85"/>
      <c r="F8515" s="92"/>
      <c r="G8515" s="85"/>
    </row>
    <row r="8516">
      <c r="A8516" s="84"/>
      <c r="B8516" s="85"/>
      <c r="C8516" s="85"/>
      <c r="F8516" s="92"/>
      <c r="G8516" s="85"/>
    </row>
    <row r="8517">
      <c r="A8517" s="84"/>
      <c r="B8517" s="85"/>
      <c r="C8517" s="85"/>
      <c r="F8517" s="92"/>
      <c r="G8517" s="85"/>
    </row>
    <row r="8518">
      <c r="A8518" s="84"/>
      <c r="B8518" s="85"/>
      <c r="C8518" s="85"/>
      <c r="F8518" s="92"/>
      <c r="G8518" s="85"/>
    </row>
    <row r="8519">
      <c r="A8519" s="84"/>
      <c r="B8519" s="85"/>
      <c r="C8519" s="85"/>
      <c r="F8519" s="92"/>
      <c r="G8519" s="85"/>
    </row>
    <row r="8520">
      <c r="A8520" s="84"/>
      <c r="B8520" s="85"/>
      <c r="C8520" s="85"/>
      <c r="F8520" s="92"/>
      <c r="G8520" s="85"/>
    </row>
    <row r="8521">
      <c r="A8521" s="84"/>
      <c r="B8521" s="85"/>
      <c r="C8521" s="85"/>
      <c r="F8521" s="92"/>
      <c r="G8521" s="85"/>
    </row>
    <row r="8522">
      <c r="A8522" s="84"/>
      <c r="B8522" s="85"/>
      <c r="C8522" s="85"/>
      <c r="F8522" s="92"/>
      <c r="G8522" s="85"/>
    </row>
    <row r="8523">
      <c r="A8523" s="84"/>
      <c r="B8523" s="85"/>
      <c r="C8523" s="85"/>
      <c r="F8523" s="92"/>
      <c r="G8523" s="85"/>
    </row>
    <row r="8524">
      <c r="A8524" s="84"/>
      <c r="B8524" s="85"/>
      <c r="C8524" s="85"/>
      <c r="F8524" s="92"/>
      <c r="G8524" s="85"/>
    </row>
    <row r="8525">
      <c r="A8525" s="84"/>
      <c r="B8525" s="85"/>
      <c r="C8525" s="85"/>
      <c r="F8525" s="92"/>
      <c r="G8525" s="85"/>
    </row>
    <row r="8526">
      <c r="A8526" s="84"/>
      <c r="B8526" s="85"/>
      <c r="C8526" s="85"/>
      <c r="F8526" s="92"/>
      <c r="G8526" s="85"/>
    </row>
    <row r="8527">
      <c r="A8527" s="84"/>
      <c r="B8527" s="85"/>
      <c r="C8527" s="85"/>
      <c r="F8527" s="92"/>
      <c r="G8527" s="85"/>
    </row>
    <row r="8528">
      <c r="A8528" s="84"/>
      <c r="B8528" s="85"/>
      <c r="C8528" s="85"/>
      <c r="F8528" s="92"/>
      <c r="G8528" s="85"/>
    </row>
    <row r="8529">
      <c r="A8529" s="84"/>
      <c r="B8529" s="85"/>
      <c r="C8529" s="85"/>
      <c r="F8529" s="92"/>
      <c r="G8529" s="85"/>
    </row>
    <row r="8530">
      <c r="A8530" s="84"/>
      <c r="B8530" s="85"/>
      <c r="C8530" s="85"/>
      <c r="F8530" s="92"/>
      <c r="G8530" s="85"/>
    </row>
    <row r="8531">
      <c r="A8531" s="84"/>
      <c r="B8531" s="85"/>
      <c r="C8531" s="85"/>
      <c r="F8531" s="92"/>
      <c r="G8531" s="85"/>
    </row>
    <row r="8532">
      <c r="A8532" s="84"/>
      <c r="B8532" s="85"/>
      <c r="C8532" s="85"/>
      <c r="F8532" s="92"/>
      <c r="G8532" s="85"/>
    </row>
    <row r="8533">
      <c r="A8533" s="84"/>
      <c r="B8533" s="85"/>
      <c r="C8533" s="85"/>
      <c r="F8533" s="92"/>
      <c r="G8533" s="85"/>
    </row>
    <row r="8534">
      <c r="A8534" s="84"/>
      <c r="B8534" s="85"/>
      <c r="C8534" s="85"/>
      <c r="F8534" s="92"/>
      <c r="G8534" s="85"/>
    </row>
    <row r="8535">
      <c r="A8535" s="84"/>
      <c r="B8535" s="85"/>
      <c r="C8535" s="85"/>
      <c r="F8535" s="92"/>
      <c r="G8535" s="85"/>
    </row>
    <row r="8536">
      <c r="A8536" s="84"/>
      <c r="B8536" s="85"/>
      <c r="C8536" s="85"/>
      <c r="F8536" s="92"/>
      <c r="G8536" s="85"/>
    </row>
    <row r="8537">
      <c r="A8537" s="84"/>
      <c r="B8537" s="85"/>
      <c r="C8537" s="85"/>
      <c r="F8537" s="92"/>
      <c r="G8537" s="85"/>
    </row>
    <row r="8538">
      <c r="A8538" s="84"/>
      <c r="B8538" s="85"/>
      <c r="C8538" s="85"/>
      <c r="F8538" s="92"/>
      <c r="G8538" s="85"/>
    </row>
    <row r="8539">
      <c r="A8539" s="84"/>
      <c r="B8539" s="85"/>
      <c r="C8539" s="85"/>
      <c r="F8539" s="92"/>
      <c r="G8539" s="85"/>
    </row>
    <row r="8540">
      <c r="A8540" s="84"/>
      <c r="B8540" s="85"/>
      <c r="C8540" s="85"/>
      <c r="F8540" s="92"/>
      <c r="G8540" s="85"/>
    </row>
    <row r="8541">
      <c r="A8541" s="84"/>
      <c r="B8541" s="85"/>
      <c r="C8541" s="85"/>
      <c r="F8541" s="92"/>
      <c r="G8541" s="85"/>
    </row>
    <row r="8542">
      <c r="A8542" s="84"/>
      <c r="B8542" s="85"/>
      <c r="C8542" s="85"/>
      <c r="F8542" s="92"/>
      <c r="G8542" s="85"/>
    </row>
    <row r="8543">
      <c r="A8543" s="84"/>
      <c r="B8543" s="85"/>
      <c r="C8543" s="85"/>
      <c r="F8543" s="92"/>
      <c r="G8543" s="85"/>
    </row>
    <row r="8544">
      <c r="A8544" s="84"/>
      <c r="B8544" s="85"/>
      <c r="C8544" s="85"/>
      <c r="F8544" s="92"/>
      <c r="G8544" s="85"/>
    </row>
    <row r="8545">
      <c r="A8545" s="84"/>
      <c r="B8545" s="85"/>
      <c r="C8545" s="85"/>
      <c r="F8545" s="92"/>
      <c r="G8545" s="85"/>
    </row>
    <row r="8546">
      <c r="A8546" s="84"/>
      <c r="B8546" s="85"/>
      <c r="C8546" s="85"/>
      <c r="F8546" s="92"/>
      <c r="G8546" s="85"/>
    </row>
    <row r="8547">
      <c r="A8547" s="84"/>
      <c r="B8547" s="85"/>
      <c r="C8547" s="85"/>
      <c r="F8547" s="92"/>
      <c r="G8547" s="85"/>
    </row>
    <row r="8548">
      <c r="A8548" s="84"/>
      <c r="B8548" s="85"/>
      <c r="C8548" s="85"/>
      <c r="F8548" s="92"/>
      <c r="G8548" s="85"/>
    </row>
    <row r="8549">
      <c r="A8549" s="84"/>
      <c r="B8549" s="85"/>
      <c r="C8549" s="85"/>
      <c r="F8549" s="92"/>
      <c r="G8549" s="85"/>
    </row>
    <row r="8550">
      <c r="A8550" s="84"/>
      <c r="B8550" s="85"/>
      <c r="C8550" s="85"/>
      <c r="F8550" s="92"/>
      <c r="G8550" s="85"/>
    </row>
    <row r="8551">
      <c r="A8551" s="84"/>
      <c r="B8551" s="85"/>
      <c r="C8551" s="85"/>
      <c r="F8551" s="92"/>
      <c r="G8551" s="85"/>
    </row>
    <row r="8552">
      <c r="A8552" s="84"/>
      <c r="B8552" s="85"/>
      <c r="C8552" s="85"/>
      <c r="F8552" s="92"/>
      <c r="G8552" s="85"/>
    </row>
    <row r="8553">
      <c r="A8553" s="84"/>
      <c r="B8553" s="85"/>
      <c r="C8553" s="85"/>
      <c r="F8553" s="92"/>
      <c r="G8553" s="85"/>
    </row>
    <row r="8554">
      <c r="A8554" s="84"/>
      <c r="B8554" s="85"/>
      <c r="C8554" s="85"/>
      <c r="F8554" s="92"/>
      <c r="G8554" s="85"/>
    </row>
    <row r="8555">
      <c r="A8555" s="84"/>
      <c r="B8555" s="85"/>
      <c r="C8555" s="85"/>
      <c r="F8555" s="92"/>
      <c r="G8555" s="85"/>
    </row>
    <row r="8556">
      <c r="A8556" s="84"/>
      <c r="B8556" s="85"/>
      <c r="C8556" s="85"/>
      <c r="F8556" s="92"/>
      <c r="G8556" s="85"/>
    </row>
    <row r="8557">
      <c r="A8557" s="84"/>
      <c r="B8557" s="85"/>
      <c r="C8557" s="85"/>
      <c r="F8557" s="92"/>
      <c r="G8557" s="85"/>
    </row>
    <row r="8558">
      <c r="A8558" s="84"/>
      <c r="B8558" s="85"/>
      <c r="C8558" s="85"/>
      <c r="F8558" s="92"/>
      <c r="G8558" s="85"/>
    </row>
    <row r="8559">
      <c r="A8559" s="84"/>
      <c r="B8559" s="85"/>
      <c r="C8559" s="85"/>
      <c r="F8559" s="92"/>
      <c r="G8559" s="85"/>
    </row>
    <row r="8560">
      <c r="A8560" s="84"/>
      <c r="B8560" s="85"/>
      <c r="C8560" s="85"/>
      <c r="F8560" s="92"/>
      <c r="G8560" s="85"/>
    </row>
    <row r="8561">
      <c r="A8561" s="84"/>
      <c r="B8561" s="85"/>
      <c r="C8561" s="85"/>
      <c r="F8561" s="92"/>
      <c r="G8561" s="85"/>
    </row>
    <row r="8562">
      <c r="A8562" s="84"/>
      <c r="B8562" s="85"/>
      <c r="C8562" s="85"/>
      <c r="F8562" s="92"/>
      <c r="G8562" s="85"/>
    </row>
    <row r="8563">
      <c r="A8563" s="84"/>
      <c r="B8563" s="85"/>
      <c r="C8563" s="85"/>
      <c r="F8563" s="92"/>
      <c r="G8563" s="85"/>
    </row>
    <row r="8564">
      <c r="A8564" s="84"/>
      <c r="B8564" s="85"/>
      <c r="C8564" s="85"/>
      <c r="F8564" s="92"/>
      <c r="G8564" s="85"/>
    </row>
    <row r="8565">
      <c r="A8565" s="84"/>
      <c r="B8565" s="85"/>
      <c r="C8565" s="85"/>
      <c r="F8565" s="92"/>
      <c r="G8565" s="85"/>
    </row>
    <row r="8566">
      <c r="A8566" s="84"/>
      <c r="B8566" s="85"/>
      <c r="C8566" s="85"/>
      <c r="F8566" s="92"/>
      <c r="G8566" s="85"/>
    </row>
    <row r="8567">
      <c r="A8567" s="84"/>
      <c r="B8567" s="85"/>
      <c r="C8567" s="85"/>
      <c r="F8567" s="92"/>
      <c r="G8567" s="85"/>
    </row>
    <row r="8568">
      <c r="A8568" s="84"/>
      <c r="B8568" s="85"/>
      <c r="C8568" s="85"/>
      <c r="F8568" s="92"/>
      <c r="G8568" s="85"/>
    </row>
    <row r="8569">
      <c r="A8569" s="84"/>
      <c r="B8569" s="85"/>
      <c r="C8569" s="85"/>
      <c r="F8569" s="92"/>
      <c r="G8569" s="85"/>
    </row>
    <row r="8570">
      <c r="A8570" s="84"/>
      <c r="B8570" s="85"/>
      <c r="C8570" s="85"/>
      <c r="F8570" s="92"/>
      <c r="G8570" s="85"/>
    </row>
    <row r="8571">
      <c r="A8571" s="84"/>
      <c r="B8571" s="85"/>
      <c r="C8571" s="85"/>
      <c r="F8571" s="92"/>
      <c r="G8571" s="85"/>
    </row>
    <row r="8572">
      <c r="A8572" s="84"/>
      <c r="B8572" s="85"/>
      <c r="C8572" s="85"/>
      <c r="F8572" s="92"/>
      <c r="G8572" s="85"/>
    </row>
    <row r="8573">
      <c r="A8573" s="84"/>
      <c r="B8573" s="85"/>
      <c r="C8573" s="85"/>
      <c r="F8573" s="92"/>
      <c r="G8573" s="85"/>
    </row>
    <row r="8574">
      <c r="A8574" s="84"/>
      <c r="B8574" s="85"/>
      <c r="C8574" s="85"/>
      <c r="F8574" s="92"/>
      <c r="G8574" s="85"/>
    </row>
    <row r="8575">
      <c r="A8575" s="84"/>
      <c r="B8575" s="85"/>
      <c r="C8575" s="85"/>
      <c r="F8575" s="92"/>
      <c r="G8575" s="85"/>
    </row>
    <row r="8576">
      <c r="A8576" s="84"/>
      <c r="B8576" s="85"/>
      <c r="C8576" s="85"/>
      <c r="F8576" s="92"/>
      <c r="G8576" s="85"/>
    </row>
    <row r="8577">
      <c r="A8577" s="84"/>
      <c r="B8577" s="85"/>
      <c r="C8577" s="85"/>
      <c r="F8577" s="92"/>
      <c r="G8577" s="85"/>
    </row>
    <row r="8578">
      <c r="A8578" s="84"/>
      <c r="B8578" s="85"/>
      <c r="C8578" s="85"/>
      <c r="F8578" s="92"/>
      <c r="G8578" s="85"/>
    </row>
    <row r="8579">
      <c r="A8579" s="84"/>
      <c r="B8579" s="85"/>
      <c r="C8579" s="85"/>
      <c r="F8579" s="92"/>
      <c r="G8579" s="85"/>
    </row>
    <row r="8580">
      <c r="A8580" s="84"/>
      <c r="B8580" s="85"/>
      <c r="C8580" s="85"/>
      <c r="F8580" s="92"/>
      <c r="G8580" s="85"/>
    </row>
    <row r="8581">
      <c r="A8581" s="84"/>
      <c r="B8581" s="85"/>
      <c r="C8581" s="85"/>
      <c r="F8581" s="92"/>
      <c r="G8581" s="85"/>
    </row>
    <row r="8582">
      <c r="A8582" s="84"/>
      <c r="B8582" s="85"/>
      <c r="C8582" s="85"/>
      <c r="F8582" s="92"/>
      <c r="G8582" s="85"/>
    </row>
    <row r="8583">
      <c r="A8583" s="84"/>
      <c r="B8583" s="85"/>
      <c r="C8583" s="85"/>
      <c r="F8583" s="92"/>
      <c r="G8583" s="85"/>
    </row>
    <row r="8584">
      <c r="A8584" s="84"/>
      <c r="B8584" s="85"/>
      <c r="C8584" s="85"/>
      <c r="F8584" s="92"/>
      <c r="G8584" s="85"/>
    </row>
    <row r="8585">
      <c r="A8585" s="84"/>
      <c r="B8585" s="85"/>
      <c r="C8585" s="85"/>
      <c r="F8585" s="92"/>
      <c r="G8585" s="85"/>
    </row>
    <row r="8586">
      <c r="A8586" s="84"/>
      <c r="B8586" s="85"/>
      <c r="C8586" s="85"/>
      <c r="F8586" s="92"/>
      <c r="G8586" s="85"/>
    </row>
    <row r="8587">
      <c r="A8587" s="84"/>
      <c r="B8587" s="85"/>
      <c r="C8587" s="85"/>
      <c r="F8587" s="92"/>
      <c r="G8587" s="85"/>
    </row>
    <row r="8588">
      <c r="A8588" s="84"/>
      <c r="B8588" s="85"/>
      <c r="C8588" s="85"/>
      <c r="F8588" s="92"/>
      <c r="G8588" s="85"/>
    </row>
    <row r="8589">
      <c r="A8589" s="84"/>
      <c r="B8589" s="85"/>
      <c r="C8589" s="85"/>
      <c r="F8589" s="92"/>
      <c r="G8589" s="85"/>
    </row>
    <row r="8590">
      <c r="A8590" s="84"/>
      <c r="B8590" s="85"/>
      <c r="C8590" s="85"/>
      <c r="F8590" s="92"/>
      <c r="G8590" s="85"/>
    </row>
    <row r="8591">
      <c r="A8591" s="84"/>
      <c r="B8591" s="85"/>
      <c r="C8591" s="85"/>
      <c r="F8591" s="92"/>
      <c r="G8591" s="85"/>
    </row>
    <row r="8592">
      <c r="A8592" s="84"/>
      <c r="B8592" s="85"/>
      <c r="C8592" s="85"/>
      <c r="F8592" s="92"/>
      <c r="G8592" s="85"/>
    </row>
    <row r="8593">
      <c r="A8593" s="84"/>
      <c r="B8593" s="85"/>
      <c r="C8593" s="85"/>
      <c r="F8593" s="92"/>
      <c r="G8593" s="85"/>
    </row>
    <row r="8594">
      <c r="A8594" s="84"/>
      <c r="B8594" s="85"/>
      <c r="C8594" s="85"/>
      <c r="F8594" s="92"/>
      <c r="G8594" s="85"/>
    </row>
    <row r="8595">
      <c r="A8595" s="84"/>
      <c r="B8595" s="85"/>
      <c r="C8595" s="85"/>
      <c r="F8595" s="92"/>
      <c r="G8595" s="85"/>
    </row>
    <row r="8596">
      <c r="A8596" s="84"/>
      <c r="B8596" s="85"/>
      <c r="C8596" s="85"/>
      <c r="F8596" s="92"/>
      <c r="G8596" s="85"/>
    </row>
    <row r="8597">
      <c r="A8597" s="84"/>
      <c r="B8597" s="85"/>
      <c r="C8597" s="85"/>
      <c r="F8597" s="92"/>
      <c r="G8597" s="85"/>
    </row>
    <row r="8598">
      <c r="A8598" s="84"/>
      <c r="B8598" s="85"/>
      <c r="C8598" s="85"/>
      <c r="F8598" s="92"/>
      <c r="G8598" s="85"/>
    </row>
    <row r="8599">
      <c r="A8599" s="84"/>
      <c r="B8599" s="85"/>
      <c r="C8599" s="85"/>
      <c r="F8599" s="92"/>
      <c r="G8599" s="85"/>
    </row>
    <row r="8600">
      <c r="A8600" s="84"/>
      <c r="B8600" s="85"/>
      <c r="C8600" s="85"/>
      <c r="F8600" s="92"/>
      <c r="G8600" s="85"/>
    </row>
    <row r="8601">
      <c r="A8601" s="84"/>
      <c r="B8601" s="85"/>
      <c r="C8601" s="85"/>
      <c r="F8601" s="92"/>
      <c r="G8601" s="85"/>
    </row>
    <row r="8602">
      <c r="A8602" s="84"/>
      <c r="B8602" s="85"/>
      <c r="C8602" s="85"/>
      <c r="F8602" s="92"/>
      <c r="G8602" s="85"/>
    </row>
    <row r="8603">
      <c r="A8603" s="84"/>
      <c r="B8603" s="85"/>
      <c r="C8603" s="85"/>
      <c r="F8603" s="92"/>
      <c r="G8603" s="85"/>
    </row>
    <row r="8604">
      <c r="A8604" s="84"/>
      <c r="B8604" s="85"/>
      <c r="C8604" s="85"/>
      <c r="F8604" s="92"/>
      <c r="G8604" s="85"/>
    </row>
    <row r="8605">
      <c r="A8605" s="84"/>
      <c r="B8605" s="85"/>
      <c r="C8605" s="85"/>
      <c r="F8605" s="92"/>
      <c r="G8605" s="85"/>
    </row>
    <row r="8606">
      <c r="A8606" s="84"/>
      <c r="B8606" s="85"/>
      <c r="C8606" s="85"/>
      <c r="F8606" s="92"/>
      <c r="G8606" s="85"/>
    </row>
    <row r="8607">
      <c r="A8607" s="84"/>
      <c r="B8607" s="85"/>
      <c r="C8607" s="85"/>
      <c r="F8607" s="92"/>
      <c r="G8607" s="85"/>
    </row>
    <row r="8608">
      <c r="A8608" s="84"/>
      <c r="B8608" s="85"/>
      <c r="C8608" s="85"/>
      <c r="F8608" s="92"/>
      <c r="G8608" s="85"/>
    </row>
    <row r="8609">
      <c r="A8609" s="84"/>
      <c r="B8609" s="85"/>
      <c r="C8609" s="85"/>
      <c r="F8609" s="92"/>
      <c r="G8609" s="85"/>
    </row>
    <row r="8610">
      <c r="A8610" s="84"/>
      <c r="B8610" s="85"/>
      <c r="C8610" s="85"/>
      <c r="F8610" s="92"/>
      <c r="G8610" s="85"/>
    </row>
    <row r="8611">
      <c r="A8611" s="84"/>
      <c r="B8611" s="85"/>
      <c r="C8611" s="85"/>
      <c r="F8611" s="92"/>
      <c r="G8611" s="85"/>
    </row>
    <row r="8612">
      <c r="A8612" s="84"/>
      <c r="B8612" s="85"/>
      <c r="C8612" s="85"/>
      <c r="F8612" s="92"/>
      <c r="G8612" s="85"/>
    </row>
    <row r="8613">
      <c r="A8613" s="84"/>
      <c r="B8613" s="85"/>
      <c r="C8613" s="85"/>
      <c r="F8613" s="92"/>
      <c r="G8613" s="85"/>
    </row>
    <row r="8614">
      <c r="A8614" s="84"/>
      <c r="B8614" s="85"/>
      <c r="C8614" s="85"/>
      <c r="F8614" s="92"/>
      <c r="G8614" s="85"/>
    </row>
    <row r="8615">
      <c r="A8615" s="84"/>
      <c r="B8615" s="85"/>
      <c r="C8615" s="85"/>
      <c r="F8615" s="92"/>
      <c r="G8615" s="85"/>
    </row>
    <row r="8616">
      <c r="A8616" s="84"/>
      <c r="B8616" s="85"/>
      <c r="C8616" s="85"/>
      <c r="F8616" s="92"/>
      <c r="G8616" s="85"/>
    </row>
    <row r="8617">
      <c r="A8617" s="84"/>
      <c r="B8617" s="85"/>
      <c r="C8617" s="85"/>
      <c r="F8617" s="92"/>
      <c r="G8617" s="85"/>
    </row>
    <row r="8618">
      <c r="A8618" s="84"/>
      <c r="B8618" s="85"/>
      <c r="C8618" s="85"/>
      <c r="F8618" s="92"/>
      <c r="G8618" s="85"/>
    </row>
    <row r="8619">
      <c r="A8619" s="84"/>
      <c r="B8619" s="85"/>
      <c r="C8619" s="85"/>
      <c r="F8619" s="92"/>
      <c r="G8619" s="85"/>
    </row>
    <row r="8620">
      <c r="A8620" s="84"/>
      <c r="B8620" s="85"/>
      <c r="C8620" s="85"/>
      <c r="F8620" s="92"/>
      <c r="G8620" s="85"/>
    </row>
    <row r="8621">
      <c r="A8621" s="84"/>
      <c r="B8621" s="85"/>
      <c r="C8621" s="85"/>
      <c r="F8621" s="92"/>
      <c r="G8621" s="85"/>
    </row>
    <row r="8622">
      <c r="A8622" s="84"/>
      <c r="B8622" s="85"/>
      <c r="C8622" s="85"/>
      <c r="F8622" s="92"/>
      <c r="G8622" s="85"/>
    </row>
    <row r="8623">
      <c r="A8623" s="84"/>
      <c r="B8623" s="85"/>
      <c r="C8623" s="85"/>
      <c r="F8623" s="92"/>
      <c r="G8623" s="85"/>
    </row>
    <row r="8624">
      <c r="A8624" s="84"/>
      <c r="B8624" s="85"/>
      <c r="C8624" s="85"/>
      <c r="F8624" s="92"/>
      <c r="G8624" s="85"/>
    </row>
    <row r="8625">
      <c r="A8625" s="84"/>
      <c r="B8625" s="85"/>
      <c r="C8625" s="85"/>
      <c r="F8625" s="92"/>
      <c r="G8625" s="85"/>
    </row>
    <row r="8626">
      <c r="A8626" s="84"/>
      <c r="B8626" s="85"/>
      <c r="C8626" s="85"/>
      <c r="F8626" s="92"/>
      <c r="G8626" s="85"/>
    </row>
    <row r="8627">
      <c r="A8627" s="84"/>
      <c r="B8627" s="85"/>
      <c r="C8627" s="85"/>
      <c r="F8627" s="92"/>
      <c r="G8627" s="85"/>
    </row>
    <row r="8628">
      <c r="A8628" s="84"/>
      <c r="B8628" s="85"/>
      <c r="C8628" s="85"/>
      <c r="F8628" s="92"/>
      <c r="G8628" s="85"/>
    </row>
    <row r="8629">
      <c r="A8629" s="84"/>
      <c r="B8629" s="85"/>
      <c r="C8629" s="85"/>
      <c r="F8629" s="92"/>
      <c r="G8629" s="85"/>
    </row>
    <row r="8630">
      <c r="A8630" s="84"/>
      <c r="B8630" s="85"/>
      <c r="C8630" s="85"/>
      <c r="F8630" s="92"/>
      <c r="G8630" s="85"/>
    </row>
    <row r="8631">
      <c r="A8631" s="84"/>
      <c r="B8631" s="85"/>
      <c r="C8631" s="85"/>
      <c r="F8631" s="92"/>
      <c r="G8631" s="85"/>
    </row>
    <row r="8632">
      <c r="A8632" s="84"/>
      <c r="B8632" s="85"/>
      <c r="C8632" s="85"/>
      <c r="F8632" s="92"/>
      <c r="G8632" s="85"/>
    </row>
    <row r="8633">
      <c r="A8633" s="84"/>
      <c r="B8633" s="85"/>
      <c r="C8633" s="85"/>
      <c r="F8633" s="92"/>
      <c r="G8633" s="85"/>
    </row>
    <row r="8634">
      <c r="A8634" s="84"/>
      <c r="B8634" s="85"/>
      <c r="C8634" s="85"/>
      <c r="F8634" s="92"/>
      <c r="G8634" s="85"/>
    </row>
    <row r="8635">
      <c r="A8635" s="84"/>
      <c r="B8635" s="85"/>
      <c r="C8635" s="85"/>
      <c r="F8635" s="92"/>
      <c r="G8635" s="85"/>
    </row>
    <row r="8636">
      <c r="A8636" s="84"/>
      <c r="B8636" s="85"/>
      <c r="C8636" s="85"/>
      <c r="F8636" s="92"/>
      <c r="G8636" s="85"/>
    </row>
    <row r="8637">
      <c r="A8637" s="84"/>
      <c r="B8637" s="85"/>
      <c r="C8637" s="85"/>
      <c r="F8637" s="92"/>
      <c r="G8637" s="85"/>
    </row>
    <row r="8638">
      <c r="A8638" s="84"/>
      <c r="B8638" s="85"/>
      <c r="C8638" s="85"/>
      <c r="F8638" s="92"/>
      <c r="G8638" s="85"/>
    </row>
    <row r="8639">
      <c r="A8639" s="84"/>
      <c r="B8639" s="85"/>
      <c r="C8639" s="85"/>
      <c r="F8639" s="92"/>
      <c r="G8639" s="85"/>
    </row>
    <row r="8640">
      <c r="A8640" s="84"/>
      <c r="B8640" s="85"/>
      <c r="C8640" s="85"/>
      <c r="F8640" s="92"/>
      <c r="G8640" s="85"/>
    </row>
    <row r="8641">
      <c r="A8641" s="84"/>
      <c r="B8641" s="85"/>
      <c r="C8641" s="85"/>
      <c r="F8641" s="92"/>
      <c r="G8641" s="85"/>
    </row>
    <row r="8642">
      <c r="A8642" s="84"/>
      <c r="B8642" s="85"/>
      <c r="C8642" s="85"/>
      <c r="F8642" s="92"/>
      <c r="G8642" s="85"/>
    </row>
    <row r="8643">
      <c r="A8643" s="84"/>
      <c r="B8643" s="85"/>
      <c r="C8643" s="85"/>
      <c r="F8643" s="92"/>
      <c r="G8643" s="85"/>
    </row>
    <row r="8644">
      <c r="A8644" s="84"/>
      <c r="B8644" s="85"/>
      <c r="C8644" s="85"/>
      <c r="F8644" s="92"/>
      <c r="G8644" s="85"/>
    </row>
    <row r="8645">
      <c r="A8645" s="84"/>
      <c r="B8645" s="85"/>
      <c r="C8645" s="85"/>
      <c r="F8645" s="92"/>
      <c r="G8645" s="85"/>
    </row>
    <row r="8646">
      <c r="A8646" s="84"/>
      <c r="B8646" s="85"/>
      <c r="C8646" s="85"/>
      <c r="F8646" s="92"/>
      <c r="G8646" s="85"/>
    </row>
    <row r="8647">
      <c r="A8647" s="84"/>
      <c r="B8647" s="85"/>
      <c r="C8647" s="85"/>
      <c r="F8647" s="92"/>
      <c r="G8647" s="85"/>
    </row>
    <row r="8648">
      <c r="A8648" s="84"/>
      <c r="B8648" s="85"/>
      <c r="C8648" s="85"/>
      <c r="F8648" s="92"/>
      <c r="G8648" s="85"/>
    </row>
    <row r="8649">
      <c r="A8649" s="84"/>
      <c r="B8649" s="85"/>
      <c r="C8649" s="85"/>
      <c r="F8649" s="92"/>
      <c r="G8649" s="85"/>
    </row>
    <row r="8650">
      <c r="A8650" s="84"/>
      <c r="B8650" s="85"/>
      <c r="C8650" s="85"/>
      <c r="F8650" s="92"/>
      <c r="G8650" s="85"/>
    </row>
    <row r="8651">
      <c r="A8651" s="84"/>
      <c r="B8651" s="85"/>
      <c r="C8651" s="85"/>
      <c r="F8651" s="92"/>
      <c r="G8651" s="85"/>
    </row>
    <row r="8652">
      <c r="A8652" s="84"/>
      <c r="B8652" s="85"/>
      <c r="C8652" s="85"/>
      <c r="F8652" s="92"/>
      <c r="G8652" s="85"/>
    </row>
    <row r="8653">
      <c r="A8653" s="84"/>
      <c r="B8653" s="85"/>
      <c r="C8653" s="85"/>
      <c r="F8653" s="92"/>
      <c r="G8653" s="85"/>
    </row>
    <row r="8654">
      <c r="A8654" s="84"/>
      <c r="B8654" s="85"/>
      <c r="C8654" s="85"/>
      <c r="F8654" s="92"/>
      <c r="G8654" s="85"/>
    </row>
    <row r="8655">
      <c r="A8655" s="84"/>
      <c r="B8655" s="85"/>
      <c r="C8655" s="85"/>
      <c r="F8655" s="92"/>
      <c r="G8655" s="85"/>
    </row>
    <row r="8656">
      <c r="A8656" s="84"/>
      <c r="B8656" s="85"/>
      <c r="C8656" s="85"/>
      <c r="F8656" s="92"/>
      <c r="G8656" s="85"/>
    </row>
    <row r="8657">
      <c r="A8657" s="84"/>
      <c r="B8657" s="85"/>
      <c r="C8657" s="85"/>
      <c r="F8657" s="92"/>
      <c r="G8657" s="85"/>
    </row>
    <row r="8658">
      <c r="A8658" s="84"/>
      <c r="B8658" s="85"/>
      <c r="C8658" s="85"/>
      <c r="F8658" s="92"/>
      <c r="G8658" s="85"/>
    </row>
    <row r="8659">
      <c r="A8659" s="84"/>
      <c r="B8659" s="85"/>
      <c r="C8659" s="85"/>
      <c r="F8659" s="92"/>
      <c r="G8659" s="85"/>
    </row>
    <row r="8660">
      <c r="A8660" s="84"/>
      <c r="B8660" s="85"/>
      <c r="C8660" s="85"/>
      <c r="F8660" s="92"/>
      <c r="G8660" s="85"/>
    </row>
    <row r="8661">
      <c r="A8661" s="84"/>
      <c r="B8661" s="85"/>
      <c r="C8661" s="85"/>
      <c r="F8661" s="92"/>
      <c r="G8661" s="85"/>
    </row>
    <row r="8662">
      <c r="A8662" s="84"/>
      <c r="B8662" s="85"/>
      <c r="C8662" s="85"/>
      <c r="F8662" s="92"/>
      <c r="G8662" s="85"/>
    </row>
    <row r="8663">
      <c r="A8663" s="84"/>
      <c r="B8663" s="85"/>
      <c r="C8663" s="85"/>
      <c r="F8663" s="92"/>
      <c r="G8663" s="85"/>
    </row>
    <row r="8664">
      <c r="A8664" s="84"/>
      <c r="B8664" s="85"/>
      <c r="C8664" s="85"/>
      <c r="F8664" s="92"/>
      <c r="G8664" s="85"/>
    </row>
    <row r="8665">
      <c r="A8665" s="84"/>
      <c r="B8665" s="85"/>
      <c r="C8665" s="85"/>
      <c r="F8665" s="92"/>
      <c r="G8665" s="85"/>
    </row>
    <row r="8666">
      <c r="A8666" s="84"/>
      <c r="B8666" s="85"/>
      <c r="C8666" s="85"/>
      <c r="F8666" s="92"/>
      <c r="G8666" s="85"/>
    </row>
    <row r="8667">
      <c r="A8667" s="84"/>
      <c r="B8667" s="85"/>
      <c r="C8667" s="85"/>
      <c r="F8667" s="92"/>
      <c r="G8667" s="85"/>
    </row>
    <row r="8668">
      <c r="A8668" s="84"/>
      <c r="B8668" s="85"/>
      <c r="C8668" s="85"/>
      <c r="F8668" s="92"/>
      <c r="G8668" s="85"/>
    </row>
    <row r="8669">
      <c r="A8669" s="84"/>
      <c r="B8669" s="85"/>
      <c r="C8669" s="85"/>
      <c r="F8669" s="92"/>
      <c r="G8669" s="85"/>
    </row>
    <row r="8670">
      <c r="A8670" s="84"/>
      <c r="B8670" s="85"/>
      <c r="C8670" s="85"/>
      <c r="F8670" s="92"/>
      <c r="G8670" s="85"/>
    </row>
    <row r="8671">
      <c r="A8671" s="84"/>
      <c r="B8671" s="85"/>
      <c r="C8671" s="85"/>
      <c r="F8671" s="92"/>
      <c r="G8671" s="85"/>
    </row>
    <row r="8672">
      <c r="A8672" s="84"/>
      <c r="B8672" s="85"/>
      <c r="C8672" s="85"/>
      <c r="F8672" s="92"/>
      <c r="G8672" s="85"/>
    </row>
    <row r="8673">
      <c r="A8673" s="84"/>
      <c r="B8673" s="85"/>
      <c r="C8673" s="85"/>
      <c r="F8673" s="92"/>
      <c r="G8673" s="85"/>
    </row>
    <row r="8674">
      <c r="A8674" s="84"/>
      <c r="B8674" s="85"/>
      <c r="C8674" s="85"/>
      <c r="F8674" s="92"/>
      <c r="G8674" s="85"/>
    </row>
    <row r="8675">
      <c r="A8675" s="84"/>
      <c r="B8675" s="85"/>
      <c r="C8675" s="85"/>
      <c r="F8675" s="92"/>
      <c r="G8675" s="85"/>
    </row>
    <row r="8676">
      <c r="A8676" s="84"/>
      <c r="B8676" s="85"/>
      <c r="C8676" s="85"/>
      <c r="F8676" s="92"/>
      <c r="G8676" s="85"/>
    </row>
    <row r="8677">
      <c r="A8677" s="84"/>
      <c r="B8677" s="85"/>
      <c r="C8677" s="85"/>
      <c r="F8677" s="92"/>
      <c r="G8677" s="85"/>
    </row>
    <row r="8678">
      <c r="A8678" s="84"/>
      <c r="B8678" s="85"/>
      <c r="C8678" s="85"/>
      <c r="F8678" s="92"/>
      <c r="G8678" s="85"/>
    </row>
    <row r="8679">
      <c r="A8679" s="84"/>
      <c r="B8679" s="85"/>
      <c r="C8679" s="85"/>
      <c r="F8679" s="92"/>
      <c r="G8679" s="85"/>
    </row>
    <row r="8680">
      <c r="A8680" s="84"/>
      <c r="B8680" s="85"/>
      <c r="C8680" s="85"/>
      <c r="F8680" s="92"/>
      <c r="G8680" s="85"/>
    </row>
    <row r="8681">
      <c r="A8681" s="84"/>
      <c r="B8681" s="85"/>
      <c r="C8681" s="85"/>
      <c r="F8681" s="92"/>
      <c r="G8681" s="85"/>
    </row>
    <row r="8682">
      <c r="A8682" s="84"/>
      <c r="B8682" s="85"/>
      <c r="C8682" s="85"/>
      <c r="F8682" s="92"/>
      <c r="G8682" s="85"/>
    </row>
    <row r="8683">
      <c r="A8683" s="84"/>
      <c r="B8683" s="85"/>
      <c r="C8683" s="85"/>
      <c r="F8683" s="92"/>
      <c r="G8683" s="85"/>
    </row>
    <row r="8684">
      <c r="A8684" s="84"/>
      <c r="B8684" s="85"/>
      <c r="C8684" s="85"/>
      <c r="F8684" s="92"/>
      <c r="G8684" s="85"/>
    </row>
    <row r="8685">
      <c r="A8685" s="84"/>
      <c r="B8685" s="85"/>
      <c r="C8685" s="85"/>
      <c r="F8685" s="92"/>
      <c r="G8685" s="85"/>
    </row>
    <row r="8686">
      <c r="A8686" s="84"/>
      <c r="B8686" s="85"/>
      <c r="C8686" s="85"/>
      <c r="F8686" s="92"/>
      <c r="G8686" s="85"/>
    </row>
    <row r="8687">
      <c r="A8687" s="84"/>
      <c r="B8687" s="85"/>
      <c r="C8687" s="85"/>
      <c r="F8687" s="92"/>
      <c r="G8687" s="85"/>
    </row>
    <row r="8688">
      <c r="A8688" s="84"/>
      <c r="B8688" s="85"/>
      <c r="C8688" s="85"/>
      <c r="F8688" s="92"/>
      <c r="G8688" s="85"/>
    </row>
    <row r="8689">
      <c r="A8689" s="84"/>
      <c r="B8689" s="85"/>
      <c r="C8689" s="85"/>
      <c r="F8689" s="92"/>
      <c r="G8689" s="85"/>
    </row>
    <row r="8690">
      <c r="A8690" s="84"/>
      <c r="B8690" s="85"/>
      <c r="C8690" s="85"/>
      <c r="F8690" s="92"/>
      <c r="G8690" s="85"/>
    </row>
    <row r="8691">
      <c r="A8691" s="84"/>
      <c r="B8691" s="85"/>
      <c r="C8691" s="85"/>
      <c r="F8691" s="92"/>
      <c r="G8691" s="85"/>
    </row>
    <row r="8692">
      <c r="A8692" s="84"/>
      <c r="B8692" s="85"/>
      <c r="C8692" s="85"/>
      <c r="F8692" s="92"/>
      <c r="G8692" s="85"/>
    </row>
    <row r="8693">
      <c r="A8693" s="84"/>
      <c r="B8693" s="85"/>
      <c r="C8693" s="85"/>
      <c r="F8693" s="92"/>
      <c r="G8693" s="85"/>
    </row>
    <row r="8694">
      <c r="A8694" s="84"/>
      <c r="B8694" s="85"/>
      <c r="C8694" s="85"/>
      <c r="F8694" s="92"/>
      <c r="G8694" s="85"/>
    </row>
    <row r="8695">
      <c r="A8695" s="84"/>
      <c r="B8695" s="85"/>
      <c r="C8695" s="85"/>
      <c r="F8695" s="92"/>
      <c r="G8695" s="85"/>
    </row>
    <row r="8696">
      <c r="A8696" s="84"/>
      <c r="B8696" s="85"/>
      <c r="C8696" s="85"/>
      <c r="F8696" s="92"/>
      <c r="G8696" s="85"/>
    </row>
    <row r="8697">
      <c r="A8697" s="84"/>
      <c r="B8697" s="85"/>
      <c r="C8697" s="85"/>
      <c r="F8697" s="92"/>
      <c r="G8697" s="85"/>
    </row>
    <row r="8698">
      <c r="A8698" s="84"/>
      <c r="B8698" s="85"/>
      <c r="C8698" s="85"/>
      <c r="F8698" s="92"/>
      <c r="G8698" s="85"/>
    </row>
    <row r="8699">
      <c r="A8699" s="84"/>
      <c r="B8699" s="85"/>
      <c r="C8699" s="85"/>
      <c r="F8699" s="92"/>
      <c r="G8699" s="85"/>
    </row>
    <row r="8700">
      <c r="A8700" s="84"/>
      <c r="B8700" s="85"/>
      <c r="C8700" s="85"/>
      <c r="F8700" s="92"/>
      <c r="G8700" s="85"/>
    </row>
    <row r="8701">
      <c r="A8701" s="84"/>
      <c r="B8701" s="85"/>
      <c r="C8701" s="85"/>
      <c r="F8701" s="92"/>
      <c r="G8701" s="85"/>
    </row>
    <row r="8702">
      <c r="A8702" s="84"/>
      <c r="B8702" s="85"/>
      <c r="C8702" s="85"/>
      <c r="F8702" s="92"/>
      <c r="G8702" s="85"/>
    </row>
    <row r="8703">
      <c r="A8703" s="84"/>
      <c r="B8703" s="85"/>
      <c r="C8703" s="85"/>
      <c r="F8703" s="92"/>
      <c r="G8703" s="85"/>
    </row>
    <row r="8704">
      <c r="A8704" s="84"/>
      <c r="B8704" s="85"/>
      <c r="C8704" s="85"/>
      <c r="F8704" s="92"/>
      <c r="G8704" s="85"/>
    </row>
    <row r="8705">
      <c r="A8705" s="84"/>
      <c r="B8705" s="85"/>
      <c r="C8705" s="85"/>
      <c r="F8705" s="92"/>
      <c r="G8705" s="85"/>
    </row>
    <row r="8706">
      <c r="A8706" s="84"/>
      <c r="B8706" s="85"/>
      <c r="C8706" s="85"/>
      <c r="F8706" s="92"/>
      <c r="G8706" s="85"/>
    </row>
    <row r="8707">
      <c r="A8707" s="84"/>
      <c r="B8707" s="85"/>
      <c r="C8707" s="85"/>
      <c r="F8707" s="92"/>
      <c r="G8707" s="85"/>
    </row>
    <row r="8708">
      <c r="A8708" s="84"/>
      <c r="B8708" s="85"/>
      <c r="C8708" s="85"/>
      <c r="F8708" s="92"/>
      <c r="G8708" s="85"/>
    </row>
    <row r="8709">
      <c r="A8709" s="84"/>
      <c r="B8709" s="85"/>
      <c r="C8709" s="85"/>
      <c r="F8709" s="92"/>
      <c r="G8709" s="85"/>
    </row>
    <row r="8710">
      <c r="A8710" s="84"/>
      <c r="B8710" s="85"/>
      <c r="C8710" s="85"/>
      <c r="F8710" s="92"/>
      <c r="G8710" s="85"/>
    </row>
    <row r="8711">
      <c r="A8711" s="84"/>
      <c r="B8711" s="85"/>
      <c r="C8711" s="85"/>
      <c r="F8711" s="92"/>
      <c r="G8711" s="85"/>
    </row>
    <row r="8712">
      <c r="A8712" s="84"/>
      <c r="B8712" s="85"/>
      <c r="C8712" s="85"/>
      <c r="F8712" s="92"/>
      <c r="G8712" s="85"/>
    </row>
    <row r="8713">
      <c r="A8713" s="84"/>
      <c r="B8713" s="85"/>
      <c r="C8713" s="85"/>
      <c r="F8713" s="92"/>
      <c r="G8713" s="85"/>
    </row>
    <row r="8714">
      <c r="A8714" s="84"/>
      <c r="B8714" s="85"/>
      <c r="C8714" s="85"/>
      <c r="F8714" s="92"/>
      <c r="G8714" s="85"/>
    </row>
    <row r="8715">
      <c r="A8715" s="84"/>
      <c r="B8715" s="85"/>
      <c r="C8715" s="85"/>
      <c r="F8715" s="92"/>
      <c r="G8715" s="85"/>
    </row>
    <row r="8716">
      <c r="A8716" s="84"/>
      <c r="B8716" s="85"/>
      <c r="C8716" s="85"/>
      <c r="F8716" s="92"/>
      <c r="G8716" s="85"/>
    </row>
    <row r="8717">
      <c r="A8717" s="84"/>
      <c r="B8717" s="85"/>
      <c r="C8717" s="85"/>
      <c r="F8717" s="92"/>
      <c r="G8717" s="85"/>
    </row>
    <row r="8718">
      <c r="A8718" s="84"/>
      <c r="B8718" s="85"/>
      <c r="C8718" s="85"/>
      <c r="F8718" s="92"/>
      <c r="G8718" s="85"/>
    </row>
    <row r="8719">
      <c r="A8719" s="84"/>
      <c r="B8719" s="85"/>
      <c r="C8719" s="85"/>
      <c r="F8719" s="92"/>
      <c r="G8719" s="85"/>
    </row>
    <row r="8720">
      <c r="A8720" s="84"/>
      <c r="B8720" s="85"/>
      <c r="C8720" s="85"/>
      <c r="F8720" s="92"/>
      <c r="G8720" s="85"/>
    </row>
    <row r="8721">
      <c r="A8721" s="84"/>
      <c r="B8721" s="85"/>
      <c r="C8721" s="85"/>
      <c r="F8721" s="92"/>
      <c r="G8721" s="85"/>
    </row>
    <row r="8722">
      <c r="A8722" s="84"/>
      <c r="B8722" s="85"/>
      <c r="C8722" s="85"/>
      <c r="F8722" s="92"/>
      <c r="G8722" s="85"/>
    </row>
    <row r="8723">
      <c r="A8723" s="84"/>
      <c r="B8723" s="85"/>
      <c r="C8723" s="85"/>
      <c r="F8723" s="92"/>
      <c r="G8723" s="85"/>
    </row>
    <row r="8724">
      <c r="A8724" s="84"/>
      <c r="B8724" s="85"/>
      <c r="C8724" s="85"/>
      <c r="F8724" s="92"/>
      <c r="G8724" s="85"/>
    </row>
    <row r="8725">
      <c r="A8725" s="84"/>
      <c r="B8725" s="85"/>
      <c r="C8725" s="85"/>
      <c r="F8725" s="92"/>
      <c r="G8725" s="85"/>
    </row>
    <row r="8726">
      <c r="A8726" s="84"/>
      <c r="B8726" s="85"/>
      <c r="C8726" s="85"/>
      <c r="F8726" s="92"/>
      <c r="G8726" s="85"/>
    </row>
    <row r="8727">
      <c r="A8727" s="84"/>
      <c r="B8727" s="85"/>
      <c r="C8727" s="85"/>
      <c r="F8727" s="92"/>
      <c r="G8727" s="85"/>
    </row>
    <row r="8728">
      <c r="A8728" s="84"/>
      <c r="B8728" s="85"/>
      <c r="C8728" s="85"/>
      <c r="F8728" s="92"/>
      <c r="G8728" s="85"/>
    </row>
    <row r="8729">
      <c r="A8729" s="84"/>
      <c r="B8729" s="85"/>
      <c r="C8729" s="85"/>
      <c r="F8729" s="92"/>
      <c r="G8729" s="85"/>
    </row>
    <row r="8730">
      <c r="A8730" s="84"/>
      <c r="B8730" s="85"/>
      <c r="C8730" s="85"/>
      <c r="F8730" s="92"/>
      <c r="G8730" s="85"/>
    </row>
    <row r="8731">
      <c r="A8731" s="84"/>
      <c r="B8731" s="85"/>
      <c r="C8731" s="85"/>
      <c r="F8731" s="92"/>
      <c r="G8731" s="85"/>
    </row>
    <row r="8732">
      <c r="A8732" s="84"/>
      <c r="B8732" s="85"/>
      <c r="C8732" s="85"/>
      <c r="F8732" s="92"/>
      <c r="G8732" s="85"/>
    </row>
    <row r="8733">
      <c r="A8733" s="84"/>
      <c r="B8733" s="85"/>
      <c r="C8733" s="85"/>
      <c r="F8733" s="92"/>
      <c r="G8733" s="85"/>
    </row>
    <row r="8734">
      <c r="A8734" s="84"/>
      <c r="B8734" s="85"/>
      <c r="C8734" s="85"/>
      <c r="F8734" s="92"/>
      <c r="G8734" s="85"/>
    </row>
    <row r="8735">
      <c r="A8735" s="84"/>
      <c r="B8735" s="85"/>
      <c r="C8735" s="85"/>
      <c r="F8735" s="92"/>
      <c r="G8735" s="85"/>
    </row>
    <row r="8736">
      <c r="A8736" s="84"/>
      <c r="B8736" s="85"/>
      <c r="C8736" s="85"/>
      <c r="F8736" s="92"/>
      <c r="G8736" s="85"/>
    </row>
    <row r="8737">
      <c r="A8737" s="84"/>
      <c r="B8737" s="85"/>
      <c r="C8737" s="85"/>
      <c r="F8737" s="92"/>
      <c r="G8737" s="85"/>
    </row>
    <row r="8738">
      <c r="A8738" s="84"/>
      <c r="B8738" s="85"/>
      <c r="C8738" s="85"/>
      <c r="F8738" s="92"/>
      <c r="G8738" s="85"/>
    </row>
    <row r="8739">
      <c r="A8739" s="84"/>
      <c r="B8739" s="85"/>
      <c r="C8739" s="85"/>
      <c r="F8739" s="92"/>
      <c r="G8739" s="85"/>
    </row>
    <row r="8740">
      <c r="A8740" s="84"/>
      <c r="B8740" s="85"/>
      <c r="C8740" s="85"/>
      <c r="F8740" s="92"/>
      <c r="G8740" s="85"/>
    </row>
    <row r="8741">
      <c r="A8741" s="84"/>
      <c r="B8741" s="85"/>
      <c r="C8741" s="85"/>
      <c r="F8741" s="92"/>
      <c r="G8741" s="85"/>
    </row>
    <row r="8742">
      <c r="A8742" s="84"/>
      <c r="B8742" s="85"/>
      <c r="C8742" s="85"/>
      <c r="F8742" s="92"/>
      <c r="G8742" s="85"/>
    </row>
    <row r="8743">
      <c r="A8743" s="84"/>
      <c r="B8743" s="85"/>
      <c r="C8743" s="85"/>
      <c r="F8743" s="92"/>
      <c r="G8743" s="85"/>
    </row>
    <row r="8744">
      <c r="A8744" s="84"/>
      <c r="B8744" s="85"/>
      <c r="C8744" s="85"/>
      <c r="F8744" s="92"/>
      <c r="G8744" s="85"/>
    </row>
    <row r="8745">
      <c r="A8745" s="84"/>
      <c r="B8745" s="85"/>
      <c r="C8745" s="85"/>
      <c r="F8745" s="92"/>
      <c r="G8745" s="85"/>
    </row>
    <row r="8746">
      <c r="A8746" s="84"/>
      <c r="B8746" s="85"/>
      <c r="C8746" s="85"/>
      <c r="F8746" s="92"/>
      <c r="G8746" s="85"/>
    </row>
    <row r="8747">
      <c r="A8747" s="84"/>
      <c r="B8747" s="85"/>
      <c r="C8747" s="85"/>
      <c r="F8747" s="92"/>
      <c r="G8747" s="85"/>
    </row>
    <row r="8748">
      <c r="A8748" s="84"/>
      <c r="B8748" s="85"/>
      <c r="C8748" s="85"/>
      <c r="F8748" s="92"/>
      <c r="G8748" s="85"/>
    </row>
    <row r="8749">
      <c r="A8749" s="84"/>
      <c r="B8749" s="85"/>
      <c r="C8749" s="85"/>
      <c r="F8749" s="92"/>
      <c r="G8749" s="85"/>
    </row>
    <row r="8750">
      <c r="A8750" s="84"/>
      <c r="B8750" s="85"/>
      <c r="C8750" s="85"/>
      <c r="F8750" s="92"/>
      <c r="G8750" s="85"/>
    </row>
    <row r="8751">
      <c r="A8751" s="84"/>
      <c r="B8751" s="85"/>
      <c r="C8751" s="85"/>
      <c r="F8751" s="92"/>
      <c r="G8751" s="85"/>
    </row>
    <row r="8752">
      <c r="A8752" s="84"/>
      <c r="B8752" s="85"/>
      <c r="C8752" s="85"/>
      <c r="F8752" s="92"/>
      <c r="G8752" s="85"/>
    </row>
    <row r="8753">
      <c r="A8753" s="84"/>
      <c r="B8753" s="85"/>
      <c r="C8753" s="85"/>
      <c r="F8753" s="92"/>
      <c r="G8753" s="85"/>
    </row>
    <row r="8754">
      <c r="A8754" s="84"/>
      <c r="B8754" s="85"/>
      <c r="C8754" s="85"/>
      <c r="F8754" s="92"/>
      <c r="G8754" s="85"/>
    </row>
    <row r="8755">
      <c r="A8755" s="84"/>
      <c r="B8755" s="85"/>
      <c r="C8755" s="85"/>
      <c r="F8755" s="92"/>
      <c r="G8755" s="85"/>
    </row>
    <row r="8756">
      <c r="A8756" s="84"/>
      <c r="B8756" s="85"/>
      <c r="C8756" s="85"/>
      <c r="F8756" s="92"/>
      <c r="G8756" s="85"/>
    </row>
    <row r="8757">
      <c r="A8757" s="84"/>
      <c r="B8757" s="85"/>
      <c r="C8757" s="85"/>
      <c r="F8757" s="92"/>
      <c r="G8757" s="85"/>
    </row>
    <row r="8758">
      <c r="A8758" s="84"/>
      <c r="B8758" s="85"/>
      <c r="C8758" s="85"/>
      <c r="F8758" s="92"/>
      <c r="G8758" s="85"/>
    </row>
    <row r="8759">
      <c r="A8759" s="84"/>
      <c r="B8759" s="85"/>
      <c r="C8759" s="85"/>
      <c r="F8759" s="92"/>
      <c r="G8759" s="85"/>
    </row>
    <row r="8760">
      <c r="A8760" s="84"/>
      <c r="B8760" s="85"/>
      <c r="C8760" s="85"/>
      <c r="F8760" s="92"/>
      <c r="G8760" s="85"/>
    </row>
    <row r="8761">
      <c r="A8761" s="84"/>
      <c r="B8761" s="85"/>
      <c r="C8761" s="85"/>
      <c r="F8761" s="92"/>
      <c r="G8761" s="85"/>
    </row>
    <row r="8762">
      <c r="A8762" s="84"/>
      <c r="B8762" s="85"/>
      <c r="C8762" s="85"/>
      <c r="F8762" s="92"/>
      <c r="G8762" s="85"/>
    </row>
    <row r="8763">
      <c r="A8763" s="84"/>
      <c r="B8763" s="85"/>
      <c r="C8763" s="85"/>
      <c r="F8763" s="92"/>
      <c r="G8763" s="85"/>
    </row>
    <row r="8764">
      <c r="A8764" s="84"/>
      <c r="B8764" s="85"/>
      <c r="C8764" s="85"/>
      <c r="F8764" s="92"/>
      <c r="G8764" s="85"/>
    </row>
    <row r="8765">
      <c r="A8765" s="84"/>
      <c r="B8765" s="85"/>
      <c r="C8765" s="85"/>
      <c r="F8765" s="92"/>
      <c r="G8765" s="85"/>
    </row>
    <row r="8766">
      <c r="A8766" s="84"/>
      <c r="B8766" s="85"/>
      <c r="C8766" s="85"/>
      <c r="F8766" s="92"/>
      <c r="G8766" s="85"/>
    </row>
    <row r="8767">
      <c r="A8767" s="84"/>
      <c r="B8767" s="85"/>
      <c r="C8767" s="85"/>
      <c r="F8767" s="92"/>
      <c r="G8767" s="85"/>
    </row>
    <row r="8768">
      <c r="A8768" s="84"/>
      <c r="B8768" s="85"/>
      <c r="C8768" s="85"/>
      <c r="F8768" s="92"/>
      <c r="G8768" s="85"/>
    </row>
    <row r="8769">
      <c r="A8769" s="84"/>
      <c r="B8769" s="85"/>
      <c r="C8769" s="85"/>
      <c r="F8769" s="92"/>
      <c r="G8769" s="85"/>
    </row>
    <row r="8770">
      <c r="A8770" s="84"/>
      <c r="B8770" s="85"/>
      <c r="C8770" s="85"/>
      <c r="F8770" s="92"/>
      <c r="G8770" s="85"/>
    </row>
    <row r="8771">
      <c r="A8771" s="84"/>
      <c r="B8771" s="85"/>
      <c r="C8771" s="85"/>
      <c r="F8771" s="92"/>
      <c r="G8771" s="85"/>
    </row>
    <row r="8772">
      <c r="A8772" s="84"/>
      <c r="B8772" s="85"/>
      <c r="C8772" s="85"/>
      <c r="F8772" s="92"/>
      <c r="G8772" s="85"/>
    </row>
    <row r="8773">
      <c r="A8773" s="84"/>
      <c r="B8773" s="85"/>
      <c r="C8773" s="85"/>
      <c r="F8773" s="92"/>
      <c r="G8773" s="85"/>
    </row>
    <row r="8774">
      <c r="A8774" s="84"/>
      <c r="B8774" s="85"/>
      <c r="C8774" s="85"/>
      <c r="F8774" s="92"/>
      <c r="G8774" s="85"/>
    </row>
    <row r="8775">
      <c r="A8775" s="84"/>
      <c r="B8775" s="85"/>
      <c r="C8775" s="85"/>
      <c r="F8775" s="92"/>
      <c r="G8775" s="85"/>
    </row>
    <row r="8776">
      <c r="A8776" s="84"/>
      <c r="B8776" s="85"/>
      <c r="C8776" s="85"/>
      <c r="F8776" s="92"/>
      <c r="G8776" s="85"/>
    </row>
    <row r="8777">
      <c r="A8777" s="84"/>
      <c r="B8777" s="85"/>
      <c r="C8777" s="85"/>
      <c r="F8777" s="92"/>
      <c r="G8777" s="85"/>
    </row>
    <row r="8778">
      <c r="A8778" s="84"/>
      <c r="B8778" s="85"/>
      <c r="C8778" s="85"/>
      <c r="F8778" s="92"/>
      <c r="G8778" s="85"/>
    </row>
    <row r="8779">
      <c r="A8779" s="84"/>
      <c r="B8779" s="85"/>
      <c r="C8779" s="85"/>
      <c r="F8779" s="92"/>
      <c r="G8779" s="85"/>
    </row>
    <row r="8780">
      <c r="A8780" s="84"/>
      <c r="B8780" s="85"/>
      <c r="C8780" s="85"/>
      <c r="F8780" s="92"/>
      <c r="G8780" s="85"/>
    </row>
    <row r="8781">
      <c r="A8781" s="84"/>
      <c r="B8781" s="85"/>
      <c r="C8781" s="85"/>
      <c r="F8781" s="92"/>
      <c r="G8781" s="85"/>
    </row>
    <row r="8782">
      <c r="A8782" s="84"/>
      <c r="B8782" s="85"/>
      <c r="C8782" s="85"/>
      <c r="F8782" s="92"/>
      <c r="G8782" s="85"/>
    </row>
    <row r="8783">
      <c r="A8783" s="84"/>
      <c r="B8783" s="85"/>
      <c r="C8783" s="85"/>
      <c r="F8783" s="92"/>
      <c r="G8783" s="85"/>
    </row>
    <row r="8784">
      <c r="A8784" s="84"/>
      <c r="B8784" s="85"/>
      <c r="C8784" s="85"/>
      <c r="F8784" s="92"/>
      <c r="G8784" s="85"/>
    </row>
    <row r="8785">
      <c r="A8785" s="84"/>
      <c r="B8785" s="85"/>
      <c r="C8785" s="85"/>
      <c r="F8785" s="92"/>
      <c r="G8785" s="85"/>
    </row>
    <row r="8786">
      <c r="A8786" s="84"/>
      <c r="B8786" s="85"/>
      <c r="C8786" s="85"/>
      <c r="F8786" s="92"/>
      <c r="G8786" s="85"/>
    </row>
    <row r="8787">
      <c r="A8787" s="84"/>
      <c r="B8787" s="85"/>
      <c r="C8787" s="85"/>
      <c r="F8787" s="92"/>
      <c r="G8787" s="85"/>
    </row>
    <row r="8788">
      <c r="A8788" s="84"/>
      <c r="B8788" s="85"/>
      <c r="C8788" s="85"/>
      <c r="F8788" s="92"/>
      <c r="G8788" s="85"/>
    </row>
    <row r="8789">
      <c r="A8789" s="84"/>
      <c r="B8789" s="85"/>
      <c r="C8789" s="85"/>
      <c r="F8789" s="92"/>
      <c r="G8789" s="85"/>
    </row>
    <row r="8790">
      <c r="A8790" s="84"/>
      <c r="B8790" s="85"/>
      <c r="C8790" s="85"/>
      <c r="F8790" s="92"/>
      <c r="G8790" s="85"/>
    </row>
    <row r="8791">
      <c r="A8791" s="84"/>
      <c r="B8791" s="85"/>
      <c r="C8791" s="85"/>
      <c r="F8791" s="92"/>
      <c r="G8791" s="85"/>
    </row>
    <row r="8792">
      <c r="A8792" s="84"/>
      <c r="B8792" s="85"/>
      <c r="C8792" s="85"/>
      <c r="F8792" s="92"/>
      <c r="G8792" s="85"/>
    </row>
    <row r="8793">
      <c r="A8793" s="84"/>
      <c r="B8793" s="85"/>
      <c r="C8793" s="85"/>
      <c r="F8793" s="92"/>
      <c r="G8793" s="85"/>
    </row>
    <row r="8794">
      <c r="A8794" s="84"/>
      <c r="B8794" s="85"/>
      <c r="C8794" s="85"/>
      <c r="F8794" s="92"/>
      <c r="G8794" s="85"/>
    </row>
    <row r="8795">
      <c r="A8795" s="84"/>
      <c r="B8795" s="85"/>
      <c r="C8795" s="85"/>
      <c r="F8795" s="92"/>
      <c r="G8795" s="85"/>
    </row>
    <row r="8796">
      <c r="A8796" s="84"/>
      <c r="B8796" s="85"/>
      <c r="C8796" s="85"/>
      <c r="F8796" s="92"/>
      <c r="G8796" s="85"/>
    </row>
    <row r="8797">
      <c r="A8797" s="84"/>
      <c r="B8797" s="85"/>
      <c r="C8797" s="85"/>
      <c r="F8797" s="92"/>
      <c r="G8797" s="85"/>
    </row>
    <row r="8798">
      <c r="A8798" s="84"/>
      <c r="B8798" s="85"/>
      <c r="C8798" s="85"/>
      <c r="F8798" s="92"/>
      <c r="G8798" s="85"/>
    </row>
    <row r="8799">
      <c r="A8799" s="84"/>
      <c r="B8799" s="85"/>
      <c r="C8799" s="85"/>
      <c r="F8799" s="92"/>
      <c r="G8799" s="85"/>
    </row>
    <row r="8800">
      <c r="A8800" s="84"/>
      <c r="B8800" s="85"/>
      <c r="C8800" s="85"/>
      <c r="F8800" s="92"/>
      <c r="G8800" s="85"/>
    </row>
    <row r="8801">
      <c r="A8801" s="84"/>
      <c r="B8801" s="85"/>
      <c r="C8801" s="85"/>
      <c r="F8801" s="92"/>
      <c r="G8801" s="85"/>
    </row>
    <row r="8802">
      <c r="A8802" s="84"/>
      <c r="B8802" s="85"/>
      <c r="C8802" s="85"/>
      <c r="F8802" s="92"/>
      <c r="G8802" s="85"/>
    </row>
    <row r="8803">
      <c r="A8803" s="84"/>
      <c r="B8803" s="85"/>
      <c r="C8803" s="85"/>
      <c r="F8803" s="92"/>
      <c r="G8803" s="85"/>
    </row>
    <row r="8804">
      <c r="A8804" s="84"/>
      <c r="B8804" s="85"/>
      <c r="C8804" s="85"/>
      <c r="F8804" s="92"/>
      <c r="G8804" s="85"/>
    </row>
    <row r="8805">
      <c r="A8805" s="84"/>
      <c r="B8805" s="85"/>
      <c r="C8805" s="85"/>
      <c r="F8805" s="92"/>
      <c r="G8805" s="85"/>
    </row>
    <row r="8806">
      <c r="A8806" s="84"/>
      <c r="B8806" s="85"/>
      <c r="C8806" s="85"/>
      <c r="F8806" s="92"/>
      <c r="G8806" s="85"/>
    </row>
    <row r="8807">
      <c r="A8807" s="84"/>
      <c r="B8807" s="85"/>
      <c r="C8807" s="85"/>
      <c r="F8807" s="92"/>
      <c r="G8807" s="85"/>
    </row>
    <row r="8808">
      <c r="A8808" s="84"/>
      <c r="B8808" s="85"/>
      <c r="C8808" s="85"/>
      <c r="F8808" s="92"/>
      <c r="G8808" s="85"/>
    </row>
    <row r="8809">
      <c r="A8809" s="84"/>
      <c r="B8809" s="85"/>
      <c r="C8809" s="85"/>
      <c r="F8809" s="92"/>
      <c r="G8809" s="85"/>
    </row>
    <row r="8810">
      <c r="A8810" s="84"/>
      <c r="B8810" s="85"/>
      <c r="C8810" s="85"/>
      <c r="F8810" s="92"/>
      <c r="G8810" s="85"/>
    </row>
    <row r="8811">
      <c r="A8811" s="84"/>
      <c r="B8811" s="85"/>
      <c r="C8811" s="85"/>
      <c r="F8811" s="92"/>
      <c r="G8811" s="85"/>
    </row>
    <row r="8812">
      <c r="A8812" s="84"/>
      <c r="B8812" s="85"/>
      <c r="C8812" s="85"/>
      <c r="F8812" s="92"/>
      <c r="G8812" s="85"/>
    </row>
    <row r="8813">
      <c r="A8813" s="84"/>
      <c r="B8813" s="85"/>
      <c r="C8813" s="85"/>
      <c r="F8813" s="92"/>
      <c r="G8813" s="85"/>
    </row>
    <row r="8814">
      <c r="A8814" s="84"/>
      <c r="B8814" s="85"/>
      <c r="C8814" s="85"/>
      <c r="F8814" s="92"/>
      <c r="G8814" s="85"/>
    </row>
    <row r="8815">
      <c r="A8815" s="84"/>
      <c r="B8815" s="85"/>
      <c r="C8815" s="85"/>
      <c r="F8815" s="92"/>
      <c r="G8815" s="85"/>
    </row>
    <row r="8816">
      <c r="A8816" s="84"/>
      <c r="B8816" s="85"/>
      <c r="C8816" s="85"/>
      <c r="F8816" s="92"/>
      <c r="G8816" s="85"/>
    </row>
    <row r="8817">
      <c r="A8817" s="84"/>
      <c r="B8817" s="85"/>
      <c r="C8817" s="85"/>
      <c r="F8817" s="92"/>
      <c r="G8817" s="85"/>
    </row>
    <row r="8818">
      <c r="A8818" s="84"/>
      <c r="B8818" s="85"/>
      <c r="C8818" s="85"/>
      <c r="F8818" s="92"/>
      <c r="G8818" s="85"/>
    </row>
    <row r="8819">
      <c r="A8819" s="84"/>
      <c r="B8819" s="85"/>
      <c r="C8819" s="85"/>
      <c r="F8819" s="92"/>
      <c r="G8819" s="85"/>
    </row>
    <row r="8820">
      <c r="A8820" s="84"/>
      <c r="B8820" s="85"/>
      <c r="C8820" s="85"/>
      <c r="F8820" s="92"/>
      <c r="G8820" s="85"/>
    </row>
    <row r="8821">
      <c r="A8821" s="84"/>
      <c r="B8821" s="85"/>
      <c r="C8821" s="85"/>
      <c r="F8821" s="92"/>
      <c r="G8821" s="85"/>
    </row>
    <row r="8822">
      <c r="A8822" s="84"/>
      <c r="B8822" s="85"/>
      <c r="C8822" s="85"/>
      <c r="F8822" s="92"/>
      <c r="G8822" s="85"/>
    </row>
    <row r="8823">
      <c r="A8823" s="84"/>
      <c r="B8823" s="85"/>
      <c r="C8823" s="85"/>
      <c r="F8823" s="92"/>
      <c r="G8823" s="85"/>
    </row>
    <row r="8824">
      <c r="A8824" s="84"/>
      <c r="B8824" s="85"/>
      <c r="C8824" s="85"/>
      <c r="F8824" s="92"/>
      <c r="G8824" s="85"/>
    </row>
    <row r="8825">
      <c r="A8825" s="84"/>
      <c r="B8825" s="85"/>
      <c r="C8825" s="85"/>
      <c r="F8825" s="92"/>
      <c r="G8825" s="85"/>
    </row>
    <row r="8826">
      <c r="A8826" s="84"/>
      <c r="B8826" s="85"/>
      <c r="C8826" s="85"/>
      <c r="F8826" s="92"/>
      <c r="G8826" s="85"/>
    </row>
    <row r="8827">
      <c r="A8827" s="84"/>
      <c r="B8827" s="85"/>
      <c r="C8827" s="85"/>
      <c r="F8827" s="92"/>
      <c r="G8827" s="85"/>
    </row>
    <row r="8828">
      <c r="A8828" s="84"/>
      <c r="B8828" s="85"/>
      <c r="C8828" s="85"/>
      <c r="F8828" s="92"/>
      <c r="G8828" s="85"/>
    </row>
    <row r="8829">
      <c r="A8829" s="84"/>
      <c r="B8829" s="85"/>
      <c r="C8829" s="85"/>
      <c r="F8829" s="92"/>
      <c r="G8829" s="85"/>
    </row>
    <row r="8830">
      <c r="A8830" s="84"/>
      <c r="B8830" s="85"/>
      <c r="C8830" s="85"/>
      <c r="F8830" s="92"/>
      <c r="G8830" s="85"/>
    </row>
    <row r="8831">
      <c r="A8831" s="84"/>
      <c r="B8831" s="85"/>
      <c r="C8831" s="85"/>
      <c r="F8831" s="92"/>
      <c r="G8831" s="85"/>
    </row>
    <row r="8832">
      <c r="A8832" s="84"/>
      <c r="B8832" s="85"/>
      <c r="C8832" s="85"/>
      <c r="F8832" s="92"/>
      <c r="G8832" s="85"/>
    </row>
    <row r="8833">
      <c r="A8833" s="84"/>
      <c r="B8833" s="85"/>
      <c r="C8833" s="85"/>
      <c r="F8833" s="92"/>
      <c r="G8833" s="85"/>
    </row>
    <row r="8834">
      <c r="A8834" s="84"/>
      <c r="B8834" s="85"/>
      <c r="C8834" s="85"/>
      <c r="F8834" s="92"/>
      <c r="G8834" s="85"/>
    </row>
    <row r="8835">
      <c r="A8835" s="84"/>
      <c r="B8835" s="85"/>
      <c r="C8835" s="85"/>
      <c r="F8835" s="92"/>
      <c r="G8835" s="85"/>
    </row>
    <row r="8836">
      <c r="A8836" s="84"/>
      <c r="B8836" s="85"/>
      <c r="C8836" s="85"/>
      <c r="F8836" s="92"/>
      <c r="G8836" s="85"/>
    </row>
    <row r="8837">
      <c r="A8837" s="84"/>
      <c r="B8837" s="85"/>
      <c r="C8837" s="85"/>
      <c r="F8837" s="92"/>
      <c r="G8837" s="85"/>
    </row>
    <row r="8838">
      <c r="A8838" s="84"/>
      <c r="B8838" s="85"/>
      <c r="C8838" s="85"/>
      <c r="F8838" s="92"/>
      <c r="G8838" s="85"/>
    </row>
    <row r="8839">
      <c r="A8839" s="84"/>
      <c r="B8839" s="85"/>
      <c r="C8839" s="85"/>
      <c r="F8839" s="92"/>
      <c r="G8839" s="85"/>
    </row>
    <row r="8840">
      <c r="A8840" s="84"/>
      <c r="B8840" s="85"/>
      <c r="C8840" s="85"/>
      <c r="F8840" s="92"/>
      <c r="G8840" s="85"/>
    </row>
    <row r="8841">
      <c r="A8841" s="84"/>
      <c r="B8841" s="85"/>
      <c r="C8841" s="85"/>
      <c r="F8841" s="92"/>
      <c r="G8841" s="85"/>
    </row>
    <row r="8842">
      <c r="A8842" s="84"/>
      <c r="B8842" s="85"/>
      <c r="C8842" s="85"/>
      <c r="F8842" s="92"/>
      <c r="G8842" s="85"/>
    </row>
    <row r="8843">
      <c r="A8843" s="84"/>
      <c r="B8843" s="85"/>
      <c r="C8843" s="85"/>
      <c r="F8843" s="92"/>
      <c r="G8843" s="85"/>
    </row>
    <row r="8844">
      <c r="A8844" s="84"/>
      <c r="B8844" s="85"/>
      <c r="C8844" s="85"/>
      <c r="F8844" s="92"/>
      <c r="G8844" s="85"/>
    </row>
    <row r="8845">
      <c r="A8845" s="84"/>
      <c r="B8845" s="85"/>
      <c r="C8845" s="85"/>
      <c r="F8845" s="92"/>
      <c r="G8845" s="85"/>
    </row>
    <row r="8846">
      <c r="A8846" s="84"/>
      <c r="B8846" s="85"/>
      <c r="C8846" s="85"/>
      <c r="F8846" s="92"/>
      <c r="G8846" s="85"/>
    </row>
    <row r="8847">
      <c r="A8847" s="84"/>
      <c r="B8847" s="85"/>
      <c r="C8847" s="85"/>
      <c r="F8847" s="92"/>
      <c r="G8847" s="85"/>
    </row>
    <row r="8848">
      <c r="A8848" s="84"/>
      <c r="B8848" s="85"/>
      <c r="C8848" s="85"/>
      <c r="F8848" s="92"/>
      <c r="G8848" s="85"/>
    </row>
    <row r="8849">
      <c r="A8849" s="84"/>
      <c r="B8849" s="85"/>
      <c r="C8849" s="85"/>
      <c r="F8849" s="92"/>
      <c r="G8849" s="85"/>
    </row>
    <row r="8850">
      <c r="A8850" s="84"/>
      <c r="B8850" s="85"/>
      <c r="C8850" s="85"/>
      <c r="F8850" s="92"/>
      <c r="G8850" s="85"/>
    </row>
    <row r="8851">
      <c r="A8851" s="84"/>
      <c r="B8851" s="85"/>
      <c r="C8851" s="85"/>
      <c r="F8851" s="92"/>
      <c r="G8851" s="85"/>
    </row>
    <row r="8852">
      <c r="A8852" s="84"/>
      <c r="B8852" s="85"/>
      <c r="C8852" s="85"/>
      <c r="F8852" s="92"/>
      <c r="G8852" s="85"/>
    </row>
    <row r="8853">
      <c r="A8853" s="84"/>
      <c r="B8853" s="85"/>
      <c r="C8853" s="85"/>
      <c r="F8853" s="92"/>
      <c r="G8853" s="85"/>
    </row>
    <row r="8854">
      <c r="A8854" s="84"/>
      <c r="B8854" s="85"/>
      <c r="C8854" s="85"/>
      <c r="F8854" s="92"/>
      <c r="G8854" s="85"/>
    </row>
    <row r="8855">
      <c r="A8855" s="84"/>
      <c r="B8855" s="85"/>
      <c r="C8855" s="85"/>
      <c r="F8855" s="92"/>
      <c r="G8855" s="85"/>
    </row>
    <row r="8856">
      <c r="A8856" s="84"/>
      <c r="B8856" s="85"/>
      <c r="C8856" s="85"/>
      <c r="F8856" s="92"/>
      <c r="G8856" s="85"/>
    </row>
    <row r="8857">
      <c r="A8857" s="84"/>
      <c r="B8857" s="85"/>
      <c r="C8857" s="85"/>
      <c r="F8857" s="92"/>
      <c r="G8857" s="85"/>
    </row>
    <row r="8858">
      <c r="A8858" s="84"/>
      <c r="B8858" s="85"/>
      <c r="C8858" s="85"/>
      <c r="F8858" s="92"/>
      <c r="G8858" s="85"/>
    </row>
    <row r="8859">
      <c r="A8859" s="84"/>
      <c r="B8859" s="85"/>
      <c r="C8859" s="85"/>
      <c r="F8859" s="92"/>
      <c r="G8859" s="85"/>
    </row>
    <row r="8860">
      <c r="A8860" s="84"/>
      <c r="B8860" s="85"/>
      <c r="C8860" s="85"/>
      <c r="F8860" s="92"/>
      <c r="G8860" s="85"/>
    </row>
    <row r="8861">
      <c r="A8861" s="84"/>
      <c r="B8861" s="85"/>
      <c r="C8861" s="85"/>
      <c r="F8861" s="92"/>
      <c r="G8861" s="85"/>
    </row>
    <row r="8862">
      <c r="A8862" s="84"/>
      <c r="B8862" s="85"/>
      <c r="C8862" s="85"/>
      <c r="F8862" s="92"/>
      <c r="G8862" s="85"/>
    </row>
    <row r="8863">
      <c r="A8863" s="84"/>
      <c r="B8863" s="85"/>
      <c r="C8863" s="85"/>
      <c r="F8863" s="92"/>
      <c r="G8863" s="85"/>
    </row>
    <row r="8864">
      <c r="A8864" s="84"/>
      <c r="B8864" s="85"/>
      <c r="C8864" s="85"/>
      <c r="F8864" s="92"/>
      <c r="G8864" s="85"/>
    </row>
    <row r="8865">
      <c r="A8865" s="84"/>
      <c r="B8865" s="85"/>
      <c r="C8865" s="85"/>
      <c r="F8865" s="92"/>
      <c r="G8865" s="85"/>
    </row>
    <row r="8866">
      <c r="A8866" s="84"/>
      <c r="B8866" s="85"/>
      <c r="C8866" s="85"/>
      <c r="F8866" s="92"/>
      <c r="G8866" s="85"/>
    </row>
    <row r="8867">
      <c r="A8867" s="84"/>
      <c r="B8867" s="85"/>
      <c r="C8867" s="85"/>
      <c r="F8867" s="92"/>
      <c r="G8867" s="85"/>
    </row>
    <row r="8868">
      <c r="A8868" s="84"/>
      <c r="B8868" s="85"/>
      <c r="C8868" s="85"/>
      <c r="F8868" s="92"/>
      <c r="G8868" s="85"/>
    </row>
    <row r="8869">
      <c r="A8869" s="84"/>
      <c r="B8869" s="85"/>
      <c r="C8869" s="85"/>
      <c r="F8869" s="92"/>
      <c r="G8869" s="85"/>
    </row>
    <row r="8870">
      <c r="A8870" s="84"/>
      <c r="B8870" s="85"/>
      <c r="C8870" s="85"/>
      <c r="F8870" s="92"/>
      <c r="G8870" s="85"/>
    </row>
    <row r="8871">
      <c r="A8871" s="84"/>
      <c r="B8871" s="85"/>
      <c r="C8871" s="85"/>
      <c r="F8871" s="92"/>
      <c r="G8871" s="85"/>
    </row>
    <row r="8872">
      <c r="A8872" s="84"/>
      <c r="B8872" s="85"/>
      <c r="C8872" s="85"/>
      <c r="F8872" s="92"/>
      <c r="G8872" s="85"/>
    </row>
    <row r="8873">
      <c r="A8873" s="84"/>
      <c r="B8873" s="85"/>
      <c r="C8873" s="85"/>
      <c r="F8873" s="92"/>
      <c r="G8873" s="85"/>
    </row>
    <row r="8874">
      <c r="A8874" s="84"/>
      <c r="B8874" s="85"/>
      <c r="C8874" s="85"/>
      <c r="F8874" s="92"/>
      <c r="G8874" s="85"/>
    </row>
    <row r="8875">
      <c r="A8875" s="84"/>
      <c r="B8875" s="85"/>
      <c r="C8875" s="85"/>
      <c r="F8875" s="92"/>
      <c r="G8875" s="85"/>
    </row>
    <row r="8876">
      <c r="A8876" s="84"/>
      <c r="B8876" s="85"/>
      <c r="C8876" s="85"/>
      <c r="F8876" s="92"/>
      <c r="G8876" s="85"/>
    </row>
    <row r="8877">
      <c r="A8877" s="84"/>
      <c r="B8877" s="85"/>
      <c r="C8877" s="85"/>
      <c r="F8877" s="92"/>
      <c r="G8877" s="85"/>
    </row>
    <row r="8878">
      <c r="A8878" s="84"/>
      <c r="B8878" s="85"/>
      <c r="C8878" s="85"/>
      <c r="F8878" s="92"/>
      <c r="G8878" s="85"/>
    </row>
    <row r="8879">
      <c r="A8879" s="84"/>
      <c r="B8879" s="85"/>
      <c r="C8879" s="85"/>
      <c r="F8879" s="92"/>
      <c r="G8879" s="85"/>
    </row>
    <row r="8880">
      <c r="A8880" s="84"/>
      <c r="B8880" s="85"/>
      <c r="C8880" s="85"/>
      <c r="F8880" s="92"/>
      <c r="G8880" s="85"/>
    </row>
    <row r="8881">
      <c r="A8881" s="84"/>
      <c r="B8881" s="85"/>
      <c r="C8881" s="85"/>
      <c r="F8881" s="92"/>
      <c r="G8881" s="85"/>
    </row>
    <row r="8882">
      <c r="A8882" s="84"/>
      <c r="B8882" s="85"/>
      <c r="C8882" s="85"/>
      <c r="F8882" s="92"/>
      <c r="G8882" s="85"/>
    </row>
    <row r="8883">
      <c r="A8883" s="84"/>
      <c r="B8883" s="85"/>
      <c r="C8883" s="85"/>
      <c r="F8883" s="92"/>
      <c r="G8883" s="85"/>
    </row>
    <row r="8884">
      <c r="A8884" s="84"/>
      <c r="B8884" s="85"/>
      <c r="C8884" s="85"/>
      <c r="F8884" s="92"/>
      <c r="G8884" s="85"/>
    </row>
    <row r="8885">
      <c r="A8885" s="84"/>
      <c r="B8885" s="85"/>
      <c r="C8885" s="85"/>
      <c r="F8885" s="92"/>
      <c r="G8885" s="85"/>
    </row>
    <row r="8886">
      <c r="A8886" s="84"/>
      <c r="B8886" s="85"/>
      <c r="C8886" s="85"/>
      <c r="F8886" s="92"/>
      <c r="G8886" s="85"/>
    </row>
    <row r="8887">
      <c r="A8887" s="84"/>
      <c r="B8887" s="85"/>
      <c r="C8887" s="85"/>
      <c r="F8887" s="92"/>
      <c r="G8887" s="85"/>
    </row>
    <row r="8888">
      <c r="A8888" s="84"/>
      <c r="B8888" s="85"/>
      <c r="C8888" s="85"/>
      <c r="F8888" s="92"/>
      <c r="G8888" s="85"/>
    </row>
    <row r="8889">
      <c r="A8889" s="84"/>
      <c r="B8889" s="85"/>
      <c r="C8889" s="85"/>
      <c r="F8889" s="92"/>
      <c r="G8889" s="85"/>
    </row>
    <row r="8890">
      <c r="A8890" s="84"/>
      <c r="B8890" s="85"/>
      <c r="C8890" s="85"/>
      <c r="F8890" s="92"/>
      <c r="G8890" s="85"/>
    </row>
    <row r="8891">
      <c r="A8891" s="84"/>
      <c r="B8891" s="85"/>
      <c r="C8891" s="85"/>
      <c r="F8891" s="92"/>
      <c r="G8891" s="85"/>
    </row>
    <row r="8892">
      <c r="A8892" s="84"/>
      <c r="B8892" s="85"/>
      <c r="C8892" s="85"/>
      <c r="F8892" s="92"/>
      <c r="G8892" s="85"/>
    </row>
    <row r="8893">
      <c r="A8893" s="84"/>
      <c r="B8893" s="85"/>
      <c r="C8893" s="85"/>
      <c r="F8893" s="92"/>
      <c r="G8893" s="85"/>
    </row>
    <row r="8894">
      <c r="A8894" s="84"/>
      <c r="B8894" s="85"/>
      <c r="C8894" s="85"/>
      <c r="F8894" s="92"/>
      <c r="G8894" s="85"/>
    </row>
    <row r="8895">
      <c r="A8895" s="84"/>
      <c r="B8895" s="85"/>
      <c r="C8895" s="85"/>
      <c r="F8895" s="92"/>
      <c r="G8895" s="85"/>
    </row>
    <row r="8896">
      <c r="A8896" s="84"/>
      <c r="B8896" s="85"/>
      <c r="C8896" s="85"/>
      <c r="F8896" s="92"/>
      <c r="G8896" s="85"/>
    </row>
    <row r="8897">
      <c r="A8897" s="84"/>
      <c r="B8897" s="85"/>
      <c r="C8897" s="85"/>
      <c r="F8897" s="92"/>
      <c r="G8897" s="85"/>
    </row>
    <row r="8898">
      <c r="A8898" s="84"/>
      <c r="B8898" s="85"/>
      <c r="C8898" s="85"/>
      <c r="F8898" s="92"/>
      <c r="G8898" s="85"/>
    </row>
    <row r="8899">
      <c r="A8899" s="84"/>
      <c r="B8899" s="85"/>
      <c r="C8899" s="85"/>
      <c r="F8899" s="92"/>
      <c r="G8899" s="85"/>
    </row>
    <row r="8900">
      <c r="A8900" s="84"/>
      <c r="B8900" s="85"/>
      <c r="C8900" s="85"/>
      <c r="F8900" s="92"/>
      <c r="G8900" s="85"/>
    </row>
    <row r="8901">
      <c r="A8901" s="84"/>
      <c r="B8901" s="85"/>
      <c r="C8901" s="85"/>
      <c r="F8901" s="92"/>
      <c r="G8901" s="85"/>
    </row>
    <row r="8902">
      <c r="A8902" s="84"/>
      <c r="B8902" s="85"/>
      <c r="C8902" s="85"/>
      <c r="F8902" s="92"/>
      <c r="G8902" s="85"/>
    </row>
    <row r="8903">
      <c r="A8903" s="84"/>
      <c r="B8903" s="85"/>
      <c r="C8903" s="85"/>
      <c r="F8903" s="92"/>
      <c r="G8903" s="85"/>
    </row>
    <row r="8904">
      <c r="A8904" s="84"/>
      <c r="B8904" s="85"/>
      <c r="C8904" s="85"/>
      <c r="F8904" s="92"/>
      <c r="G8904" s="85"/>
    </row>
    <row r="8905">
      <c r="A8905" s="84"/>
      <c r="B8905" s="85"/>
      <c r="C8905" s="85"/>
      <c r="F8905" s="92"/>
      <c r="G8905" s="85"/>
    </row>
    <row r="8906">
      <c r="A8906" s="84"/>
      <c r="B8906" s="85"/>
      <c r="C8906" s="85"/>
      <c r="F8906" s="92"/>
      <c r="G8906" s="85"/>
    </row>
    <row r="8907">
      <c r="A8907" s="84"/>
      <c r="B8907" s="85"/>
      <c r="C8907" s="85"/>
      <c r="F8907" s="92"/>
      <c r="G8907" s="85"/>
    </row>
    <row r="8908">
      <c r="A8908" s="84"/>
      <c r="B8908" s="85"/>
      <c r="C8908" s="85"/>
      <c r="F8908" s="92"/>
      <c r="G8908" s="85"/>
    </row>
    <row r="8909">
      <c r="A8909" s="84"/>
      <c r="B8909" s="85"/>
      <c r="C8909" s="85"/>
      <c r="F8909" s="92"/>
      <c r="G8909" s="85"/>
    </row>
    <row r="8910">
      <c r="A8910" s="84"/>
      <c r="B8910" s="85"/>
      <c r="C8910" s="85"/>
      <c r="F8910" s="92"/>
      <c r="G8910" s="85"/>
    </row>
    <row r="8911">
      <c r="A8911" s="84"/>
      <c r="B8911" s="85"/>
      <c r="C8911" s="85"/>
      <c r="F8911" s="92"/>
      <c r="G8911" s="85"/>
    </row>
    <row r="8912">
      <c r="A8912" s="84"/>
      <c r="B8912" s="85"/>
      <c r="C8912" s="85"/>
      <c r="F8912" s="92"/>
      <c r="G8912" s="85"/>
    </row>
    <row r="8913">
      <c r="A8913" s="84"/>
      <c r="B8913" s="85"/>
      <c r="C8913" s="85"/>
      <c r="F8913" s="92"/>
      <c r="G8913" s="85"/>
    </row>
    <row r="8914">
      <c r="A8914" s="84"/>
      <c r="B8914" s="85"/>
      <c r="C8914" s="85"/>
      <c r="F8914" s="92"/>
      <c r="G8914" s="85"/>
    </row>
    <row r="8915">
      <c r="A8915" s="84"/>
      <c r="B8915" s="85"/>
      <c r="C8915" s="85"/>
      <c r="F8915" s="92"/>
      <c r="G8915" s="85"/>
    </row>
    <row r="8916">
      <c r="A8916" s="84"/>
      <c r="B8916" s="85"/>
      <c r="C8916" s="85"/>
      <c r="F8916" s="92"/>
      <c r="G8916" s="85"/>
    </row>
    <row r="8917">
      <c r="A8917" s="84"/>
      <c r="B8917" s="85"/>
      <c r="C8917" s="85"/>
      <c r="F8917" s="92"/>
      <c r="G8917" s="85"/>
    </row>
    <row r="8918">
      <c r="A8918" s="84"/>
      <c r="B8918" s="85"/>
      <c r="C8918" s="85"/>
      <c r="F8918" s="92"/>
      <c r="G8918" s="85"/>
    </row>
    <row r="8919">
      <c r="A8919" s="84"/>
      <c r="B8919" s="85"/>
      <c r="C8919" s="85"/>
      <c r="F8919" s="92"/>
      <c r="G8919" s="85"/>
    </row>
    <row r="8920">
      <c r="A8920" s="84"/>
      <c r="B8920" s="85"/>
      <c r="C8920" s="85"/>
      <c r="F8920" s="92"/>
      <c r="G8920" s="85"/>
    </row>
    <row r="8921">
      <c r="A8921" s="84"/>
      <c r="B8921" s="85"/>
      <c r="C8921" s="85"/>
      <c r="F8921" s="92"/>
      <c r="G8921" s="85"/>
    </row>
    <row r="8922">
      <c r="A8922" s="84"/>
      <c r="B8922" s="85"/>
      <c r="C8922" s="85"/>
      <c r="F8922" s="92"/>
      <c r="G8922" s="85"/>
    </row>
    <row r="8923">
      <c r="A8923" s="84"/>
      <c r="B8923" s="85"/>
      <c r="C8923" s="85"/>
      <c r="F8923" s="92"/>
      <c r="G8923" s="85"/>
    </row>
    <row r="8924">
      <c r="A8924" s="84"/>
      <c r="B8924" s="85"/>
      <c r="C8924" s="85"/>
      <c r="F8924" s="92"/>
      <c r="G8924" s="85"/>
    </row>
    <row r="8925">
      <c r="A8925" s="84"/>
      <c r="B8925" s="85"/>
      <c r="C8925" s="85"/>
      <c r="F8925" s="92"/>
      <c r="G8925" s="85"/>
    </row>
    <row r="8926">
      <c r="A8926" s="84"/>
      <c r="B8926" s="85"/>
      <c r="C8926" s="85"/>
      <c r="F8926" s="92"/>
      <c r="G8926" s="85"/>
    </row>
    <row r="8927">
      <c r="A8927" s="84"/>
      <c r="B8927" s="85"/>
      <c r="C8927" s="85"/>
      <c r="F8927" s="92"/>
      <c r="G8927" s="85"/>
    </row>
    <row r="8928">
      <c r="A8928" s="84"/>
      <c r="B8928" s="85"/>
      <c r="C8928" s="85"/>
      <c r="F8928" s="92"/>
      <c r="G8928" s="85"/>
    </row>
    <row r="8929">
      <c r="A8929" s="84"/>
      <c r="B8929" s="85"/>
      <c r="C8929" s="85"/>
      <c r="F8929" s="92"/>
      <c r="G8929" s="85"/>
    </row>
    <row r="8930">
      <c r="A8930" s="84"/>
      <c r="B8930" s="85"/>
      <c r="C8930" s="85"/>
      <c r="F8930" s="92"/>
      <c r="G8930" s="85"/>
    </row>
    <row r="8931">
      <c r="A8931" s="84"/>
      <c r="B8931" s="85"/>
      <c r="C8931" s="85"/>
      <c r="F8931" s="92"/>
      <c r="G8931" s="85"/>
    </row>
    <row r="8932">
      <c r="A8932" s="84"/>
      <c r="B8932" s="85"/>
      <c r="C8932" s="85"/>
      <c r="F8932" s="92"/>
      <c r="G8932" s="85"/>
    </row>
    <row r="8933">
      <c r="A8933" s="84"/>
      <c r="B8933" s="85"/>
      <c r="C8933" s="85"/>
      <c r="F8933" s="92"/>
      <c r="G8933" s="85"/>
    </row>
    <row r="8934">
      <c r="A8934" s="84"/>
      <c r="B8934" s="85"/>
      <c r="C8934" s="85"/>
      <c r="F8934" s="92"/>
      <c r="G8934" s="85"/>
    </row>
    <row r="8935">
      <c r="A8935" s="84"/>
      <c r="B8935" s="85"/>
      <c r="C8935" s="85"/>
      <c r="F8935" s="92"/>
      <c r="G8935" s="85"/>
    </row>
    <row r="8936">
      <c r="A8936" s="84"/>
      <c r="B8936" s="85"/>
      <c r="C8936" s="85"/>
      <c r="F8936" s="92"/>
      <c r="G8936" s="85"/>
    </row>
    <row r="8937">
      <c r="A8937" s="84"/>
      <c r="B8937" s="85"/>
      <c r="C8937" s="85"/>
      <c r="F8937" s="92"/>
      <c r="G8937" s="85"/>
    </row>
    <row r="8938">
      <c r="A8938" s="84"/>
      <c r="B8938" s="85"/>
      <c r="C8938" s="85"/>
      <c r="F8938" s="92"/>
      <c r="G8938" s="85"/>
    </row>
    <row r="8939">
      <c r="A8939" s="84"/>
      <c r="B8939" s="85"/>
      <c r="C8939" s="85"/>
      <c r="F8939" s="92"/>
      <c r="G8939" s="85"/>
    </row>
    <row r="8940">
      <c r="A8940" s="84"/>
      <c r="B8940" s="85"/>
      <c r="C8940" s="85"/>
      <c r="F8940" s="92"/>
      <c r="G8940" s="85"/>
    </row>
    <row r="8941">
      <c r="A8941" s="84"/>
      <c r="B8941" s="85"/>
      <c r="C8941" s="85"/>
      <c r="F8941" s="92"/>
      <c r="G8941" s="85"/>
    </row>
    <row r="8942">
      <c r="A8942" s="84"/>
      <c r="B8942" s="85"/>
      <c r="C8942" s="85"/>
      <c r="F8942" s="92"/>
      <c r="G8942" s="85"/>
    </row>
    <row r="8943">
      <c r="A8943" s="84"/>
      <c r="B8943" s="85"/>
      <c r="C8943" s="85"/>
      <c r="F8943" s="92"/>
      <c r="G8943" s="85"/>
    </row>
    <row r="8944">
      <c r="A8944" s="84"/>
      <c r="B8944" s="85"/>
      <c r="C8944" s="85"/>
      <c r="F8944" s="92"/>
      <c r="G8944" s="85"/>
    </row>
    <row r="8945">
      <c r="A8945" s="84"/>
      <c r="B8945" s="85"/>
      <c r="C8945" s="85"/>
      <c r="F8945" s="92"/>
      <c r="G8945" s="85"/>
    </row>
    <row r="8946">
      <c r="A8946" s="84"/>
      <c r="B8946" s="85"/>
      <c r="C8946" s="85"/>
      <c r="F8946" s="92"/>
      <c r="G8946" s="85"/>
    </row>
    <row r="8947">
      <c r="A8947" s="84"/>
      <c r="B8947" s="85"/>
      <c r="C8947" s="85"/>
      <c r="F8947" s="92"/>
      <c r="G8947" s="85"/>
    </row>
    <row r="8948">
      <c r="A8948" s="84"/>
      <c r="B8948" s="85"/>
      <c r="C8948" s="85"/>
      <c r="F8948" s="92"/>
      <c r="G8948" s="85"/>
    </row>
    <row r="8949">
      <c r="A8949" s="84"/>
      <c r="B8949" s="85"/>
      <c r="C8949" s="85"/>
      <c r="F8949" s="92"/>
      <c r="G8949" s="85"/>
    </row>
    <row r="8950">
      <c r="A8950" s="84"/>
      <c r="B8950" s="85"/>
      <c r="C8950" s="85"/>
      <c r="F8950" s="92"/>
      <c r="G8950" s="85"/>
    </row>
    <row r="8951">
      <c r="A8951" s="84"/>
      <c r="B8951" s="85"/>
      <c r="C8951" s="85"/>
      <c r="F8951" s="92"/>
      <c r="G8951" s="85"/>
    </row>
    <row r="8952">
      <c r="A8952" s="84"/>
      <c r="B8952" s="85"/>
      <c r="C8952" s="85"/>
      <c r="F8952" s="92"/>
      <c r="G8952" s="85"/>
    </row>
    <row r="8953">
      <c r="A8953" s="84"/>
      <c r="B8953" s="85"/>
      <c r="C8953" s="85"/>
      <c r="F8953" s="92"/>
      <c r="G8953" s="85"/>
    </row>
    <row r="8954">
      <c r="A8954" s="84"/>
      <c r="B8954" s="85"/>
      <c r="C8954" s="85"/>
      <c r="F8954" s="92"/>
      <c r="G8954" s="85"/>
    </row>
    <row r="8955">
      <c r="A8955" s="84"/>
      <c r="B8955" s="85"/>
      <c r="C8955" s="85"/>
      <c r="F8955" s="92"/>
      <c r="G8955" s="85"/>
    </row>
    <row r="8956">
      <c r="A8956" s="84"/>
      <c r="B8956" s="85"/>
      <c r="C8956" s="85"/>
      <c r="F8956" s="92"/>
      <c r="G8956" s="85"/>
    </row>
    <row r="8957">
      <c r="A8957" s="84"/>
      <c r="B8957" s="85"/>
      <c r="C8957" s="85"/>
      <c r="F8957" s="92"/>
      <c r="G8957" s="85"/>
    </row>
    <row r="8958">
      <c r="A8958" s="84"/>
      <c r="B8958" s="85"/>
      <c r="C8958" s="85"/>
      <c r="F8958" s="92"/>
      <c r="G8958" s="85"/>
    </row>
    <row r="8959">
      <c r="A8959" s="84"/>
      <c r="B8959" s="85"/>
      <c r="C8959" s="85"/>
      <c r="F8959" s="92"/>
      <c r="G8959" s="85"/>
    </row>
    <row r="8960">
      <c r="A8960" s="84"/>
      <c r="B8960" s="85"/>
      <c r="C8960" s="85"/>
      <c r="F8960" s="92"/>
      <c r="G8960" s="85"/>
    </row>
    <row r="8961">
      <c r="A8961" s="84"/>
      <c r="B8961" s="85"/>
      <c r="C8961" s="85"/>
      <c r="F8961" s="92"/>
      <c r="G8961" s="85"/>
    </row>
    <row r="8962">
      <c r="A8962" s="84"/>
      <c r="B8962" s="85"/>
      <c r="C8962" s="85"/>
      <c r="F8962" s="92"/>
      <c r="G8962" s="85"/>
    </row>
    <row r="8963">
      <c r="A8963" s="84"/>
      <c r="B8963" s="85"/>
      <c r="C8963" s="85"/>
      <c r="F8963" s="92"/>
      <c r="G8963" s="85"/>
    </row>
    <row r="8964">
      <c r="A8964" s="84"/>
      <c r="B8964" s="85"/>
      <c r="C8964" s="85"/>
      <c r="F8964" s="92"/>
      <c r="G8964" s="85"/>
    </row>
    <row r="8965">
      <c r="A8965" s="84"/>
      <c r="B8965" s="85"/>
      <c r="C8965" s="85"/>
      <c r="F8965" s="92"/>
      <c r="G8965" s="85"/>
    </row>
    <row r="8966">
      <c r="A8966" s="84"/>
      <c r="B8966" s="85"/>
      <c r="C8966" s="85"/>
      <c r="F8966" s="92"/>
      <c r="G8966" s="85"/>
    </row>
    <row r="8967">
      <c r="A8967" s="84"/>
      <c r="B8967" s="85"/>
      <c r="C8967" s="85"/>
      <c r="F8967" s="92"/>
      <c r="G8967" s="85"/>
    </row>
    <row r="8968">
      <c r="A8968" s="84"/>
      <c r="B8968" s="85"/>
      <c r="C8968" s="85"/>
      <c r="F8968" s="92"/>
      <c r="G8968" s="85"/>
    </row>
    <row r="8969">
      <c r="A8969" s="84"/>
      <c r="B8969" s="85"/>
      <c r="C8969" s="85"/>
      <c r="F8969" s="92"/>
      <c r="G8969" s="85"/>
    </row>
    <row r="8970">
      <c r="A8970" s="84"/>
      <c r="B8970" s="85"/>
      <c r="C8970" s="85"/>
      <c r="F8970" s="92"/>
      <c r="G8970" s="85"/>
    </row>
    <row r="8971">
      <c r="A8971" s="84"/>
      <c r="B8971" s="85"/>
      <c r="C8971" s="85"/>
      <c r="F8971" s="92"/>
      <c r="G8971" s="85"/>
    </row>
    <row r="8972">
      <c r="A8972" s="84"/>
      <c r="B8972" s="85"/>
      <c r="C8972" s="85"/>
      <c r="F8972" s="92"/>
      <c r="G8972" s="85"/>
    </row>
    <row r="8973">
      <c r="A8973" s="84"/>
      <c r="B8973" s="85"/>
      <c r="C8973" s="85"/>
      <c r="F8973" s="92"/>
      <c r="G8973" s="85"/>
    </row>
    <row r="8974">
      <c r="A8974" s="84"/>
      <c r="B8974" s="85"/>
      <c r="C8974" s="85"/>
      <c r="F8974" s="92"/>
      <c r="G8974" s="85"/>
    </row>
    <row r="8975">
      <c r="A8975" s="84"/>
      <c r="B8975" s="85"/>
      <c r="C8975" s="85"/>
      <c r="F8975" s="92"/>
      <c r="G8975" s="85"/>
    </row>
    <row r="8976">
      <c r="A8976" s="84"/>
      <c r="B8976" s="85"/>
      <c r="C8976" s="85"/>
      <c r="F8976" s="92"/>
      <c r="G8976" s="85"/>
    </row>
    <row r="8977">
      <c r="A8977" s="84"/>
      <c r="B8977" s="85"/>
      <c r="C8977" s="85"/>
      <c r="F8977" s="92"/>
      <c r="G8977" s="85"/>
    </row>
    <row r="8978">
      <c r="A8978" s="84"/>
      <c r="B8978" s="85"/>
      <c r="C8978" s="85"/>
      <c r="F8978" s="92"/>
      <c r="G8978" s="85"/>
    </row>
    <row r="8979">
      <c r="A8979" s="84"/>
      <c r="B8979" s="85"/>
      <c r="C8979" s="85"/>
      <c r="F8979" s="92"/>
      <c r="G8979" s="85"/>
    </row>
    <row r="8980">
      <c r="A8980" s="84"/>
      <c r="B8980" s="85"/>
      <c r="C8980" s="85"/>
      <c r="F8980" s="92"/>
      <c r="G8980" s="85"/>
    </row>
    <row r="8981">
      <c r="A8981" s="84"/>
      <c r="B8981" s="85"/>
      <c r="C8981" s="85"/>
      <c r="F8981" s="92"/>
      <c r="G8981" s="85"/>
    </row>
    <row r="8982">
      <c r="A8982" s="84"/>
      <c r="B8982" s="85"/>
      <c r="C8982" s="85"/>
      <c r="F8982" s="92"/>
      <c r="G8982" s="85"/>
    </row>
    <row r="8983">
      <c r="A8983" s="84"/>
      <c r="B8983" s="85"/>
      <c r="C8983" s="85"/>
      <c r="F8983" s="92"/>
      <c r="G8983" s="85"/>
    </row>
    <row r="8984">
      <c r="A8984" s="84"/>
      <c r="B8984" s="85"/>
      <c r="C8984" s="85"/>
      <c r="F8984" s="92"/>
      <c r="G8984" s="85"/>
    </row>
    <row r="8985">
      <c r="A8985" s="84"/>
      <c r="B8985" s="85"/>
      <c r="C8985" s="85"/>
      <c r="F8985" s="92"/>
      <c r="G8985" s="85"/>
    </row>
    <row r="8986">
      <c r="A8986" s="84"/>
      <c r="B8986" s="85"/>
      <c r="C8986" s="85"/>
      <c r="F8986" s="92"/>
      <c r="G8986" s="85"/>
    </row>
    <row r="8987">
      <c r="A8987" s="84"/>
      <c r="B8987" s="85"/>
      <c r="C8987" s="85"/>
      <c r="F8987" s="92"/>
      <c r="G8987" s="85"/>
    </row>
    <row r="8988">
      <c r="A8988" s="84"/>
      <c r="B8988" s="85"/>
      <c r="C8988" s="85"/>
      <c r="F8988" s="92"/>
      <c r="G8988" s="85"/>
    </row>
    <row r="8989">
      <c r="A8989" s="84"/>
      <c r="B8989" s="85"/>
      <c r="C8989" s="85"/>
      <c r="F8989" s="92"/>
      <c r="G8989" s="85"/>
    </row>
    <row r="8990">
      <c r="A8990" s="84"/>
      <c r="B8990" s="85"/>
      <c r="C8990" s="85"/>
      <c r="F8990" s="92"/>
      <c r="G8990" s="85"/>
    </row>
    <row r="8991">
      <c r="A8991" s="84"/>
      <c r="B8991" s="85"/>
      <c r="C8991" s="85"/>
      <c r="F8991" s="92"/>
      <c r="G8991" s="85"/>
    </row>
    <row r="8992">
      <c r="A8992" s="84"/>
      <c r="B8992" s="85"/>
      <c r="C8992" s="85"/>
      <c r="F8992" s="92"/>
      <c r="G8992" s="85"/>
    </row>
    <row r="8993">
      <c r="A8993" s="84"/>
      <c r="B8993" s="85"/>
      <c r="C8993" s="85"/>
      <c r="F8993" s="92"/>
      <c r="G8993" s="85"/>
    </row>
    <row r="8994">
      <c r="A8994" s="84"/>
      <c r="B8994" s="85"/>
      <c r="C8994" s="85"/>
      <c r="F8994" s="92"/>
      <c r="G8994" s="85"/>
    </row>
    <row r="8995">
      <c r="A8995" s="84"/>
      <c r="B8995" s="85"/>
      <c r="C8995" s="85"/>
      <c r="F8995" s="92"/>
      <c r="G8995" s="85"/>
    </row>
    <row r="8996">
      <c r="A8996" s="84"/>
      <c r="B8996" s="85"/>
      <c r="C8996" s="85"/>
      <c r="F8996" s="92"/>
      <c r="G8996" s="85"/>
    </row>
    <row r="8997">
      <c r="A8997" s="84"/>
      <c r="B8997" s="85"/>
      <c r="C8997" s="85"/>
      <c r="F8997" s="92"/>
      <c r="G8997" s="85"/>
    </row>
    <row r="8998">
      <c r="A8998" s="84"/>
      <c r="B8998" s="85"/>
      <c r="C8998" s="85"/>
      <c r="F8998" s="92"/>
      <c r="G8998" s="85"/>
    </row>
    <row r="8999">
      <c r="A8999" s="84"/>
      <c r="B8999" s="85"/>
      <c r="C8999" s="85"/>
      <c r="F8999" s="92"/>
      <c r="G8999" s="85"/>
    </row>
    <row r="9000">
      <c r="A9000" s="84"/>
      <c r="B9000" s="85"/>
      <c r="C9000" s="85"/>
      <c r="F9000" s="92"/>
      <c r="G9000" s="85"/>
    </row>
    <row r="9001">
      <c r="A9001" s="84"/>
      <c r="B9001" s="85"/>
      <c r="C9001" s="85"/>
      <c r="F9001" s="92"/>
      <c r="G9001" s="85"/>
    </row>
    <row r="9002">
      <c r="A9002" s="84"/>
      <c r="B9002" s="85"/>
      <c r="C9002" s="85"/>
      <c r="F9002" s="92"/>
      <c r="G9002" s="85"/>
    </row>
    <row r="9003">
      <c r="A9003" s="84"/>
      <c r="B9003" s="85"/>
      <c r="C9003" s="85"/>
      <c r="F9003" s="92"/>
      <c r="G9003" s="85"/>
    </row>
    <row r="9004">
      <c r="A9004" s="84"/>
      <c r="B9004" s="85"/>
      <c r="C9004" s="85"/>
      <c r="F9004" s="92"/>
      <c r="G9004" s="85"/>
    </row>
    <row r="9005">
      <c r="A9005" s="84"/>
      <c r="B9005" s="85"/>
      <c r="C9005" s="85"/>
      <c r="F9005" s="92"/>
      <c r="G9005" s="85"/>
    </row>
    <row r="9006">
      <c r="A9006" s="84"/>
      <c r="B9006" s="85"/>
      <c r="C9006" s="85"/>
      <c r="F9006" s="92"/>
      <c r="G9006" s="85"/>
    </row>
    <row r="9007">
      <c r="A9007" s="84"/>
      <c r="B9007" s="85"/>
      <c r="C9007" s="85"/>
      <c r="F9007" s="92"/>
      <c r="G9007" s="85"/>
    </row>
    <row r="9008">
      <c r="A9008" s="84"/>
      <c r="B9008" s="85"/>
      <c r="C9008" s="85"/>
      <c r="F9008" s="92"/>
      <c r="G9008" s="85"/>
    </row>
    <row r="9009">
      <c r="A9009" s="84"/>
      <c r="B9009" s="85"/>
      <c r="C9009" s="85"/>
      <c r="F9009" s="92"/>
      <c r="G9009" s="85"/>
    </row>
    <row r="9010">
      <c r="A9010" s="84"/>
      <c r="B9010" s="85"/>
      <c r="C9010" s="85"/>
      <c r="F9010" s="92"/>
      <c r="G9010" s="85"/>
    </row>
    <row r="9011">
      <c r="A9011" s="84"/>
      <c r="B9011" s="85"/>
      <c r="C9011" s="85"/>
      <c r="F9011" s="92"/>
      <c r="G9011" s="85"/>
    </row>
    <row r="9012">
      <c r="A9012" s="84"/>
      <c r="B9012" s="85"/>
      <c r="C9012" s="85"/>
      <c r="F9012" s="92"/>
      <c r="G9012" s="85"/>
    </row>
    <row r="9013">
      <c r="A9013" s="84"/>
      <c r="B9013" s="85"/>
      <c r="C9013" s="85"/>
      <c r="F9013" s="92"/>
      <c r="G9013" s="85"/>
    </row>
    <row r="9014">
      <c r="A9014" s="84"/>
      <c r="B9014" s="85"/>
      <c r="C9014" s="85"/>
      <c r="F9014" s="92"/>
      <c r="G9014" s="85"/>
    </row>
    <row r="9015">
      <c r="A9015" s="84"/>
      <c r="B9015" s="85"/>
      <c r="C9015" s="85"/>
      <c r="F9015" s="92"/>
      <c r="G9015" s="85"/>
    </row>
    <row r="9016">
      <c r="A9016" s="84"/>
      <c r="B9016" s="85"/>
      <c r="C9016" s="85"/>
      <c r="F9016" s="92"/>
      <c r="G9016" s="85"/>
    </row>
    <row r="9017">
      <c r="A9017" s="84"/>
      <c r="B9017" s="85"/>
      <c r="C9017" s="85"/>
      <c r="F9017" s="92"/>
      <c r="G9017" s="85"/>
    </row>
    <row r="9018">
      <c r="A9018" s="84"/>
      <c r="B9018" s="85"/>
      <c r="C9018" s="85"/>
      <c r="F9018" s="92"/>
      <c r="G9018" s="85"/>
    </row>
    <row r="9019">
      <c r="A9019" s="84"/>
      <c r="B9019" s="85"/>
      <c r="C9019" s="85"/>
      <c r="F9019" s="92"/>
      <c r="G9019" s="85"/>
    </row>
    <row r="9020">
      <c r="A9020" s="84"/>
      <c r="B9020" s="85"/>
      <c r="C9020" s="85"/>
      <c r="F9020" s="92"/>
      <c r="G9020" s="85"/>
    </row>
    <row r="9021">
      <c r="A9021" s="84"/>
      <c r="B9021" s="85"/>
      <c r="C9021" s="85"/>
      <c r="F9021" s="92"/>
      <c r="G9021" s="85"/>
    </row>
    <row r="9022">
      <c r="A9022" s="84"/>
      <c r="B9022" s="85"/>
      <c r="C9022" s="85"/>
      <c r="F9022" s="92"/>
      <c r="G9022" s="85"/>
    </row>
    <row r="9023">
      <c r="A9023" s="84"/>
      <c r="B9023" s="85"/>
      <c r="C9023" s="85"/>
      <c r="F9023" s="92"/>
      <c r="G9023" s="85"/>
    </row>
    <row r="9024">
      <c r="A9024" s="84"/>
      <c r="B9024" s="85"/>
      <c r="C9024" s="85"/>
      <c r="F9024" s="92"/>
      <c r="G9024" s="85"/>
    </row>
    <row r="9025">
      <c r="A9025" s="84"/>
      <c r="B9025" s="85"/>
      <c r="C9025" s="85"/>
      <c r="F9025" s="92"/>
      <c r="G9025" s="85"/>
    </row>
    <row r="9026">
      <c r="A9026" s="84"/>
      <c r="B9026" s="85"/>
      <c r="C9026" s="85"/>
      <c r="F9026" s="92"/>
      <c r="G9026" s="85"/>
    </row>
    <row r="9027">
      <c r="A9027" s="84"/>
      <c r="B9027" s="85"/>
      <c r="C9027" s="85"/>
      <c r="F9027" s="92"/>
      <c r="G9027" s="85"/>
    </row>
    <row r="9028">
      <c r="A9028" s="84"/>
      <c r="B9028" s="85"/>
      <c r="C9028" s="85"/>
      <c r="F9028" s="92"/>
      <c r="G9028" s="85"/>
    </row>
    <row r="9029">
      <c r="A9029" s="84"/>
      <c r="B9029" s="85"/>
      <c r="C9029" s="85"/>
      <c r="F9029" s="92"/>
      <c r="G9029" s="85"/>
    </row>
    <row r="9030">
      <c r="A9030" s="84"/>
      <c r="B9030" s="85"/>
      <c r="C9030" s="85"/>
      <c r="F9030" s="92"/>
      <c r="G9030" s="85"/>
    </row>
    <row r="9031">
      <c r="A9031" s="84"/>
      <c r="B9031" s="85"/>
      <c r="C9031" s="85"/>
      <c r="F9031" s="92"/>
      <c r="G9031" s="85"/>
    </row>
    <row r="9032">
      <c r="A9032" s="84"/>
      <c r="B9032" s="85"/>
      <c r="C9032" s="85"/>
      <c r="F9032" s="92"/>
      <c r="G9032" s="85"/>
    </row>
    <row r="9033">
      <c r="A9033" s="84"/>
      <c r="B9033" s="85"/>
      <c r="C9033" s="85"/>
      <c r="F9033" s="92"/>
      <c r="G9033" s="85"/>
    </row>
    <row r="9034">
      <c r="A9034" s="84"/>
      <c r="B9034" s="85"/>
      <c r="C9034" s="85"/>
      <c r="F9034" s="92"/>
      <c r="G9034" s="85"/>
    </row>
    <row r="9035">
      <c r="A9035" s="84"/>
      <c r="B9035" s="85"/>
      <c r="C9035" s="85"/>
      <c r="F9035" s="92"/>
      <c r="G9035" s="85"/>
    </row>
    <row r="9036">
      <c r="A9036" s="84"/>
      <c r="B9036" s="85"/>
      <c r="C9036" s="85"/>
      <c r="F9036" s="92"/>
      <c r="G9036" s="85"/>
    </row>
    <row r="9037">
      <c r="A9037" s="84"/>
      <c r="B9037" s="85"/>
      <c r="C9037" s="85"/>
      <c r="F9037" s="92"/>
      <c r="G9037" s="85"/>
    </row>
    <row r="9038">
      <c r="A9038" s="84"/>
      <c r="B9038" s="85"/>
      <c r="C9038" s="85"/>
      <c r="F9038" s="92"/>
      <c r="G9038" s="85"/>
    </row>
    <row r="9039">
      <c r="A9039" s="84"/>
      <c r="B9039" s="85"/>
      <c r="C9039" s="85"/>
      <c r="F9039" s="92"/>
      <c r="G9039" s="85"/>
    </row>
    <row r="9040">
      <c r="A9040" s="84"/>
      <c r="B9040" s="85"/>
      <c r="C9040" s="85"/>
      <c r="F9040" s="92"/>
      <c r="G9040" s="85"/>
    </row>
    <row r="9041">
      <c r="A9041" s="84"/>
      <c r="B9041" s="85"/>
      <c r="C9041" s="85"/>
      <c r="F9041" s="92"/>
      <c r="G9041" s="85"/>
    </row>
    <row r="9042">
      <c r="A9042" s="84"/>
      <c r="B9042" s="85"/>
      <c r="C9042" s="85"/>
      <c r="F9042" s="92"/>
      <c r="G9042" s="85"/>
    </row>
    <row r="9043">
      <c r="A9043" s="84"/>
      <c r="B9043" s="85"/>
      <c r="C9043" s="85"/>
      <c r="F9043" s="92"/>
      <c r="G9043" s="85"/>
    </row>
    <row r="9044">
      <c r="A9044" s="84"/>
      <c r="B9044" s="85"/>
      <c r="C9044" s="85"/>
      <c r="F9044" s="92"/>
      <c r="G9044" s="85"/>
    </row>
    <row r="9045">
      <c r="A9045" s="84"/>
      <c r="B9045" s="85"/>
      <c r="C9045" s="85"/>
      <c r="F9045" s="92"/>
      <c r="G9045" s="85"/>
    </row>
    <row r="9046">
      <c r="A9046" s="84"/>
      <c r="B9046" s="85"/>
      <c r="C9046" s="85"/>
      <c r="F9046" s="92"/>
      <c r="G9046" s="85"/>
    </row>
    <row r="9047">
      <c r="A9047" s="84"/>
      <c r="B9047" s="85"/>
      <c r="C9047" s="85"/>
      <c r="F9047" s="92"/>
      <c r="G9047" s="85"/>
    </row>
    <row r="9048">
      <c r="A9048" s="84"/>
      <c r="B9048" s="85"/>
      <c r="C9048" s="85"/>
      <c r="F9048" s="92"/>
      <c r="G9048" s="85"/>
    </row>
    <row r="9049">
      <c r="A9049" s="84"/>
      <c r="B9049" s="85"/>
      <c r="C9049" s="85"/>
      <c r="F9049" s="92"/>
      <c r="G9049" s="85"/>
    </row>
    <row r="9050">
      <c r="A9050" s="84"/>
      <c r="B9050" s="85"/>
      <c r="C9050" s="85"/>
      <c r="F9050" s="92"/>
      <c r="G9050" s="85"/>
    </row>
    <row r="9051">
      <c r="A9051" s="84"/>
      <c r="B9051" s="85"/>
      <c r="C9051" s="85"/>
      <c r="F9051" s="92"/>
      <c r="G9051" s="85"/>
    </row>
    <row r="9052">
      <c r="A9052" s="84"/>
      <c r="B9052" s="85"/>
      <c r="C9052" s="85"/>
      <c r="F9052" s="92"/>
      <c r="G9052" s="85"/>
    </row>
    <row r="9053">
      <c r="A9053" s="84"/>
      <c r="B9053" s="85"/>
      <c r="C9053" s="85"/>
      <c r="F9053" s="92"/>
      <c r="G9053" s="85"/>
    </row>
    <row r="9054">
      <c r="A9054" s="84"/>
      <c r="B9054" s="85"/>
      <c r="C9054" s="85"/>
      <c r="F9054" s="92"/>
      <c r="G9054" s="85"/>
    </row>
    <row r="9055">
      <c r="A9055" s="84"/>
      <c r="B9055" s="85"/>
      <c r="C9055" s="85"/>
      <c r="F9055" s="92"/>
      <c r="G9055" s="85"/>
    </row>
    <row r="9056">
      <c r="A9056" s="84"/>
      <c r="B9056" s="85"/>
      <c r="C9056" s="85"/>
      <c r="F9056" s="92"/>
      <c r="G9056" s="85"/>
    </row>
    <row r="9057">
      <c r="A9057" s="84"/>
      <c r="B9057" s="85"/>
      <c r="C9057" s="85"/>
      <c r="F9057" s="92"/>
      <c r="G9057" s="85"/>
    </row>
    <row r="9058">
      <c r="A9058" s="84"/>
      <c r="B9058" s="85"/>
      <c r="C9058" s="85"/>
      <c r="F9058" s="92"/>
      <c r="G9058" s="85"/>
    </row>
    <row r="9059">
      <c r="A9059" s="84"/>
      <c r="B9059" s="85"/>
      <c r="C9059" s="85"/>
      <c r="F9059" s="92"/>
      <c r="G9059" s="85"/>
    </row>
    <row r="9060">
      <c r="A9060" s="84"/>
      <c r="B9060" s="85"/>
      <c r="C9060" s="85"/>
      <c r="F9060" s="92"/>
      <c r="G9060" s="85"/>
    </row>
    <row r="9061">
      <c r="A9061" s="84"/>
      <c r="B9061" s="85"/>
      <c r="C9061" s="85"/>
      <c r="F9061" s="92"/>
      <c r="G9061" s="85"/>
    </row>
    <row r="9062">
      <c r="A9062" s="84"/>
      <c r="B9062" s="85"/>
      <c r="C9062" s="85"/>
      <c r="F9062" s="92"/>
      <c r="G9062" s="85"/>
    </row>
    <row r="9063">
      <c r="A9063" s="84"/>
      <c r="B9063" s="85"/>
      <c r="C9063" s="85"/>
      <c r="F9063" s="92"/>
      <c r="G9063" s="85"/>
    </row>
    <row r="9064">
      <c r="A9064" s="84"/>
      <c r="B9064" s="85"/>
      <c r="C9064" s="85"/>
      <c r="F9064" s="92"/>
      <c r="G9064" s="85"/>
    </row>
    <row r="9065">
      <c r="A9065" s="84"/>
      <c r="B9065" s="85"/>
      <c r="C9065" s="85"/>
      <c r="F9065" s="92"/>
      <c r="G9065" s="85"/>
    </row>
    <row r="9066">
      <c r="A9066" s="84"/>
      <c r="B9066" s="85"/>
      <c r="C9066" s="85"/>
      <c r="F9066" s="92"/>
      <c r="G9066" s="85"/>
    </row>
    <row r="9067">
      <c r="A9067" s="84"/>
      <c r="B9067" s="85"/>
      <c r="C9067" s="85"/>
      <c r="F9067" s="92"/>
      <c r="G9067" s="85"/>
    </row>
    <row r="9068">
      <c r="A9068" s="84"/>
      <c r="B9068" s="85"/>
      <c r="C9068" s="85"/>
      <c r="F9068" s="92"/>
      <c r="G9068" s="85"/>
    </row>
    <row r="9069">
      <c r="A9069" s="84"/>
      <c r="B9069" s="85"/>
      <c r="C9069" s="85"/>
      <c r="F9069" s="92"/>
      <c r="G9069" s="85"/>
    </row>
    <row r="9070">
      <c r="A9070" s="84"/>
      <c r="B9070" s="85"/>
      <c r="C9070" s="85"/>
      <c r="F9070" s="92"/>
      <c r="G9070" s="85"/>
    </row>
    <row r="9071">
      <c r="A9071" s="84"/>
      <c r="B9071" s="85"/>
      <c r="C9071" s="85"/>
      <c r="F9071" s="92"/>
      <c r="G9071" s="85"/>
    </row>
    <row r="9072">
      <c r="A9072" s="84"/>
      <c r="B9072" s="85"/>
      <c r="C9072" s="85"/>
      <c r="F9072" s="92"/>
      <c r="G9072" s="85"/>
    </row>
    <row r="9073">
      <c r="A9073" s="84"/>
      <c r="B9073" s="85"/>
      <c r="C9073" s="85"/>
      <c r="F9073" s="92"/>
      <c r="G9073" s="85"/>
    </row>
    <row r="9074">
      <c r="A9074" s="84"/>
      <c r="B9074" s="85"/>
      <c r="C9074" s="85"/>
      <c r="F9074" s="92"/>
      <c r="G9074" s="85"/>
    </row>
    <row r="9075">
      <c r="A9075" s="84"/>
      <c r="B9075" s="85"/>
      <c r="C9075" s="85"/>
      <c r="F9075" s="92"/>
      <c r="G9075" s="85"/>
    </row>
    <row r="9076">
      <c r="A9076" s="84"/>
      <c r="B9076" s="85"/>
      <c r="C9076" s="85"/>
      <c r="F9076" s="92"/>
      <c r="G9076" s="85"/>
    </row>
    <row r="9077">
      <c r="A9077" s="84"/>
      <c r="B9077" s="85"/>
      <c r="C9077" s="85"/>
      <c r="F9077" s="92"/>
      <c r="G9077" s="85"/>
    </row>
    <row r="9078">
      <c r="A9078" s="84"/>
      <c r="B9078" s="85"/>
      <c r="C9078" s="85"/>
      <c r="F9078" s="92"/>
      <c r="G9078" s="85"/>
    </row>
    <row r="9079">
      <c r="A9079" s="84"/>
      <c r="B9079" s="85"/>
      <c r="C9079" s="85"/>
      <c r="F9079" s="92"/>
      <c r="G9079" s="85"/>
    </row>
    <row r="9080">
      <c r="A9080" s="84"/>
      <c r="B9080" s="85"/>
      <c r="C9080" s="85"/>
      <c r="F9080" s="92"/>
      <c r="G9080" s="85"/>
    </row>
    <row r="9081">
      <c r="A9081" s="84"/>
      <c r="B9081" s="85"/>
      <c r="C9081" s="85"/>
      <c r="F9081" s="92"/>
      <c r="G9081" s="85"/>
    </row>
    <row r="9082">
      <c r="A9082" s="84"/>
      <c r="B9082" s="85"/>
      <c r="C9082" s="85"/>
      <c r="F9082" s="92"/>
      <c r="G9082" s="85"/>
    </row>
    <row r="9083">
      <c r="A9083" s="84"/>
      <c r="B9083" s="85"/>
      <c r="C9083" s="85"/>
      <c r="F9083" s="92"/>
      <c r="G9083" s="85"/>
    </row>
    <row r="9084">
      <c r="A9084" s="84"/>
      <c r="B9084" s="85"/>
      <c r="C9084" s="85"/>
      <c r="F9084" s="92"/>
      <c r="G9084" s="85"/>
    </row>
    <row r="9085">
      <c r="A9085" s="84"/>
      <c r="B9085" s="85"/>
      <c r="C9085" s="85"/>
      <c r="F9085" s="92"/>
      <c r="G9085" s="85"/>
    </row>
    <row r="9086">
      <c r="A9086" s="84"/>
      <c r="B9086" s="85"/>
      <c r="C9086" s="85"/>
      <c r="F9086" s="92"/>
      <c r="G9086" s="85"/>
    </row>
    <row r="9087">
      <c r="A9087" s="84"/>
      <c r="B9087" s="85"/>
      <c r="C9087" s="85"/>
      <c r="F9087" s="92"/>
      <c r="G9087" s="85"/>
    </row>
    <row r="9088">
      <c r="A9088" s="84"/>
      <c r="B9088" s="85"/>
      <c r="C9088" s="85"/>
      <c r="F9088" s="92"/>
      <c r="G9088" s="85"/>
    </row>
    <row r="9089">
      <c r="A9089" s="84"/>
      <c r="B9089" s="85"/>
      <c r="C9089" s="85"/>
      <c r="F9089" s="92"/>
      <c r="G9089" s="85"/>
    </row>
    <row r="9090">
      <c r="A9090" s="84"/>
      <c r="B9090" s="85"/>
      <c r="C9090" s="85"/>
      <c r="F9090" s="92"/>
      <c r="G9090" s="85"/>
    </row>
    <row r="9091">
      <c r="A9091" s="84"/>
      <c r="B9091" s="85"/>
      <c r="C9091" s="85"/>
      <c r="F9091" s="92"/>
      <c r="G9091" s="85"/>
    </row>
    <row r="9092">
      <c r="A9092" s="84"/>
      <c r="B9092" s="85"/>
      <c r="C9092" s="85"/>
      <c r="F9092" s="92"/>
      <c r="G9092" s="85"/>
    </row>
    <row r="9093">
      <c r="A9093" s="84"/>
      <c r="B9093" s="85"/>
      <c r="C9093" s="85"/>
      <c r="F9093" s="92"/>
      <c r="G9093" s="85"/>
    </row>
    <row r="9094">
      <c r="A9094" s="84"/>
      <c r="B9094" s="85"/>
      <c r="C9094" s="85"/>
      <c r="F9094" s="92"/>
      <c r="G9094" s="85"/>
    </row>
    <row r="9095">
      <c r="A9095" s="84"/>
      <c r="B9095" s="85"/>
      <c r="C9095" s="85"/>
      <c r="F9095" s="92"/>
      <c r="G9095" s="85"/>
    </row>
    <row r="9096">
      <c r="A9096" s="84"/>
      <c r="B9096" s="85"/>
      <c r="C9096" s="85"/>
      <c r="F9096" s="92"/>
      <c r="G9096" s="85"/>
    </row>
    <row r="9097">
      <c r="A9097" s="84"/>
      <c r="B9097" s="85"/>
      <c r="C9097" s="85"/>
      <c r="F9097" s="92"/>
      <c r="G9097" s="85"/>
    </row>
    <row r="9098">
      <c r="A9098" s="84"/>
      <c r="B9098" s="85"/>
      <c r="C9098" s="85"/>
      <c r="F9098" s="92"/>
      <c r="G9098" s="85"/>
    </row>
    <row r="9099">
      <c r="A9099" s="84"/>
      <c r="B9099" s="85"/>
      <c r="C9099" s="85"/>
      <c r="F9099" s="92"/>
      <c r="G9099" s="85"/>
    </row>
    <row r="9100">
      <c r="A9100" s="84"/>
      <c r="B9100" s="85"/>
      <c r="C9100" s="85"/>
      <c r="F9100" s="92"/>
      <c r="G9100" s="85"/>
    </row>
    <row r="9101">
      <c r="A9101" s="84"/>
      <c r="B9101" s="85"/>
      <c r="C9101" s="85"/>
      <c r="F9101" s="92"/>
      <c r="G9101" s="85"/>
    </row>
    <row r="9102">
      <c r="A9102" s="84"/>
      <c r="B9102" s="85"/>
      <c r="C9102" s="85"/>
      <c r="F9102" s="92"/>
      <c r="G9102" s="85"/>
    </row>
    <row r="9103">
      <c r="A9103" s="84"/>
      <c r="B9103" s="85"/>
      <c r="C9103" s="85"/>
      <c r="F9103" s="92"/>
      <c r="G9103" s="85"/>
    </row>
    <row r="9104">
      <c r="A9104" s="84"/>
      <c r="B9104" s="85"/>
      <c r="C9104" s="85"/>
      <c r="F9104" s="92"/>
      <c r="G9104" s="85"/>
    </row>
    <row r="9105">
      <c r="A9105" s="84"/>
      <c r="B9105" s="85"/>
      <c r="C9105" s="85"/>
      <c r="F9105" s="92"/>
      <c r="G9105" s="85"/>
    </row>
    <row r="9106">
      <c r="A9106" s="84"/>
      <c r="B9106" s="85"/>
      <c r="C9106" s="85"/>
      <c r="F9106" s="92"/>
      <c r="G9106" s="85"/>
    </row>
    <row r="9107">
      <c r="A9107" s="84"/>
      <c r="B9107" s="85"/>
      <c r="C9107" s="85"/>
      <c r="F9107" s="92"/>
      <c r="G9107" s="85"/>
    </row>
    <row r="9108">
      <c r="A9108" s="84"/>
      <c r="B9108" s="85"/>
      <c r="C9108" s="85"/>
      <c r="F9108" s="92"/>
      <c r="G9108" s="85"/>
    </row>
    <row r="9109">
      <c r="A9109" s="84"/>
      <c r="B9109" s="85"/>
      <c r="C9109" s="85"/>
      <c r="F9109" s="92"/>
      <c r="G9109" s="85"/>
    </row>
    <row r="9110">
      <c r="A9110" s="84"/>
      <c r="B9110" s="85"/>
      <c r="C9110" s="85"/>
      <c r="F9110" s="92"/>
      <c r="G9110" s="85"/>
    </row>
    <row r="9111">
      <c r="A9111" s="84"/>
      <c r="B9111" s="85"/>
      <c r="C9111" s="85"/>
      <c r="F9111" s="92"/>
      <c r="G9111" s="85"/>
    </row>
    <row r="9112">
      <c r="A9112" s="84"/>
      <c r="B9112" s="85"/>
      <c r="C9112" s="85"/>
      <c r="F9112" s="92"/>
      <c r="G9112" s="85"/>
    </row>
    <row r="9113">
      <c r="A9113" s="84"/>
      <c r="B9113" s="85"/>
      <c r="C9113" s="85"/>
      <c r="F9113" s="92"/>
      <c r="G9113" s="85"/>
    </row>
    <row r="9114">
      <c r="A9114" s="84"/>
      <c r="B9114" s="85"/>
      <c r="C9114" s="85"/>
      <c r="F9114" s="92"/>
      <c r="G9114" s="85"/>
    </row>
    <row r="9115">
      <c r="A9115" s="84"/>
      <c r="B9115" s="85"/>
      <c r="C9115" s="85"/>
      <c r="F9115" s="92"/>
      <c r="G9115" s="85"/>
    </row>
    <row r="9116">
      <c r="A9116" s="84"/>
      <c r="B9116" s="85"/>
      <c r="C9116" s="85"/>
      <c r="F9116" s="92"/>
      <c r="G9116" s="85"/>
    </row>
    <row r="9117">
      <c r="A9117" s="84"/>
      <c r="B9117" s="85"/>
      <c r="C9117" s="85"/>
      <c r="F9117" s="92"/>
      <c r="G9117" s="85"/>
    </row>
    <row r="9118">
      <c r="A9118" s="84"/>
      <c r="B9118" s="85"/>
      <c r="C9118" s="85"/>
      <c r="F9118" s="92"/>
      <c r="G9118" s="85"/>
    </row>
    <row r="9119">
      <c r="A9119" s="84"/>
      <c r="B9119" s="85"/>
      <c r="C9119" s="85"/>
      <c r="F9119" s="92"/>
      <c r="G9119" s="85"/>
    </row>
    <row r="9120">
      <c r="A9120" s="84"/>
      <c r="B9120" s="85"/>
      <c r="C9120" s="85"/>
      <c r="F9120" s="92"/>
      <c r="G9120" s="85"/>
    </row>
    <row r="9121">
      <c r="A9121" s="84"/>
      <c r="B9121" s="85"/>
      <c r="C9121" s="85"/>
      <c r="F9121" s="92"/>
      <c r="G9121" s="85"/>
    </row>
    <row r="9122">
      <c r="A9122" s="84"/>
      <c r="B9122" s="85"/>
      <c r="C9122" s="85"/>
      <c r="F9122" s="92"/>
      <c r="G9122" s="85"/>
    </row>
    <row r="9123">
      <c r="A9123" s="84"/>
      <c r="B9123" s="85"/>
      <c r="C9123" s="85"/>
      <c r="F9123" s="92"/>
      <c r="G9123" s="85"/>
    </row>
    <row r="9124">
      <c r="A9124" s="84"/>
      <c r="B9124" s="85"/>
      <c r="C9124" s="85"/>
      <c r="F9124" s="92"/>
      <c r="G9124" s="85"/>
    </row>
    <row r="9125">
      <c r="A9125" s="84"/>
      <c r="B9125" s="85"/>
      <c r="C9125" s="85"/>
      <c r="F9125" s="92"/>
      <c r="G9125" s="85"/>
    </row>
    <row r="9126">
      <c r="A9126" s="84"/>
      <c r="B9126" s="85"/>
      <c r="C9126" s="85"/>
      <c r="F9126" s="92"/>
      <c r="G9126" s="85"/>
    </row>
    <row r="9127">
      <c r="A9127" s="84"/>
      <c r="B9127" s="85"/>
      <c r="C9127" s="85"/>
      <c r="F9127" s="92"/>
      <c r="G9127" s="85"/>
    </row>
    <row r="9128">
      <c r="A9128" s="84"/>
      <c r="B9128" s="85"/>
      <c r="C9128" s="85"/>
      <c r="F9128" s="92"/>
      <c r="G9128" s="85"/>
    </row>
    <row r="9129">
      <c r="A9129" s="84"/>
      <c r="B9129" s="85"/>
      <c r="C9129" s="85"/>
      <c r="F9129" s="92"/>
      <c r="G9129" s="85"/>
    </row>
    <row r="9130">
      <c r="A9130" s="84"/>
      <c r="B9130" s="85"/>
      <c r="C9130" s="85"/>
      <c r="F9130" s="92"/>
      <c r="G9130" s="85"/>
    </row>
    <row r="9131">
      <c r="A9131" s="84"/>
      <c r="B9131" s="85"/>
      <c r="C9131" s="85"/>
      <c r="F9131" s="92"/>
      <c r="G9131" s="85"/>
    </row>
    <row r="9132">
      <c r="A9132" s="84"/>
      <c r="B9132" s="85"/>
      <c r="C9132" s="85"/>
      <c r="F9132" s="92"/>
      <c r="G9132" s="85"/>
    </row>
    <row r="9133">
      <c r="A9133" s="84"/>
      <c r="B9133" s="85"/>
      <c r="C9133" s="85"/>
      <c r="F9133" s="92"/>
      <c r="G9133" s="85"/>
    </row>
    <row r="9134">
      <c r="A9134" s="84"/>
      <c r="B9134" s="85"/>
      <c r="C9134" s="85"/>
      <c r="F9134" s="92"/>
      <c r="G9134" s="85"/>
    </row>
    <row r="9135">
      <c r="A9135" s="84"/>
      <c r="B9135" s="85"/>
      <c r="C9135" s="85"/>
      <c r="F9135" s="92"/>
      <c r="G9135" s="85"/>
    </row>
    <row r="9136">
      <c r="A9136" s="84"/>
      <c r="B9136" s="85"/>
      <c r="C9136" s="85"/>
      <c r="F9136" s="92"/>
      <c r="G9136" s="85"/>
    </row>
    <row r="9137">
      <c r="A9137" s="84"/>
      <c r="B9137" s="85"/>
      <c r="C9137" s="85"/>
      <c r="F9137" s="92"/>
      <c r="G9137" s="85"/>
    </row>
    <row r="9138">
      <c r="A9138" s="84"/>
      <c r="B9138" s="85"/>
      <c r="C9138" s="85"/>
      <c r="F9138" s="92"/>
      <c r="G9138" s="85"/>
    </row>
    <row r="9139">
      <c r="A9139" s="84"/>
      <c r="B9139" s="85"/>
      <c r="C9139" s="85"/>
      <c r="F9139" s="92"/>
      <c r="G9139" s="85"/>
    </row>
    <row r="9140">
      <c r="A9140" s="84"/>
      <c r="B9140" s="85"/>
      <c r="C9140" s="85"/>
      <c r="F9140" s="92"/>
      <c r="G9140" s="85"/>
    </row>
    <row r="9141">
      <c r="A9141" s="84"/>
      <c r="B9141" s="85"/>
      <c r="C9141" s="85"/>
      <c r="F9141" s="92"/>
      <c r="G9141" s="85"/>
    </row>
    <row r="9142">
      <c r="A9142" s="84"/>
      <c r="B9142" s="85"/>
      <c r="C9142" s="85"/>
      <c r="F9142" s="92"/>
      <c r="G9142" s="85"/>
    </row>
    <row r="9143">
      <c r="A9143" s="84"/>
      <c r="B9143" s="85"/>
      <c r="C9143" s="85"/>
      <c r="F9143" s="92"/>
      <c r="G9143" s="85"/>
    </row>
    <row r="9144">
      <c r="A9144" s="84"/>
      <c r="B9144" s="85"/>
      <c r="C9144" s="85"/>
      <c r="F9144" s="92"/>
      <c r="G9144" s="85"/>
    </row>
    <row r="9145">
      <c r="A9145" s="84"/>
      <c r="B9145" s="85"/>
      <c r="C9145" s="85"/>
      <c r="F9145" s="92"/>
      <c r="G9145" s="85"/>
    </row>
    <row r="9146">
      <c r="A9146" s="84"/>
      <c r="B9146" s="85"/>
      <c r="C9146" s="85"/>
      <c r="F9146" s="92"/>
      <c r="G9146" s="85"/>
    </row>
    <row r="9147">
      <c r="A9147" s="84"/>
      <c r="B9147" s="85"/>
      <c r="C9147" s="85"/>
      <c r="F9147" s="92"/>
      <c r="G9147" s="85"/>
    </row>
    <row r="9148">
      <c r="A9148" s="84"/>
      <c r="B9148" s="85"/>
      <c r="C9148" s="85"/>
      <c r="F9148" s="92"/>
      <c r="G9148" s="85"/>
    </row>
    <row r="9149">
      <c r="A9149" s="84"/>
      <c r="B9149" s="85"/>
      <c r="C9149" s="85"/>
      <c r="F9149" s="92"/>
      <c r="G9149" s="85"/>
    </row>
    <row r="9150">
      <c r="A9150" s="84"/>
      <c r="B9150" s="85"/>
      <c r="C9150" s="85"/>
      <c r="F9150" s="92"/>
      <c r="G9150" s="85"/>
    </row>
    <row r="9151">
      <c r="A9151" s="84"/>
      <c r="B9151" s="85"/>
      <c r="C9151" s="85"/>
      <c r="F9151" s="92"/>
      <c r="G9151" s="85"/>
    </row>
    <row r="9152">
      <c r="A9152" s="84"/>
      <c r="B9152" s="85"/>
      <c r="C9152" s="85"/>
      <c r="F9152" s="92"/>
      <c r="G9152" s="85"/>
    </row>
    <row r="9153">
      <c r="A9153" s="84"/>
      <c r="B9153" s="85"/>
      <c r="C9153" s="85"/>
      <c r="F9153" s="92"/>
      <c r="G9153" s="85"/>
    </row>
    <row r="9154">
      <c r="A9154" s="84"/>
      <c r="B9154" s="85"/>
      <c r="C9154" s="85"/>
      <c r="F9154" s="92"/>
      <c r="G9154" s="85"/>
    </row>
    <row r="9155">
      <c r="A9155" s="84"/>
      <c r="B9155" s="85"/>
      <c r="C9155" s="85"/>
      <c r="F9155" s="92"/>
      <c r="G9155" s="85"/>
    </row>
    <row r="9156">
      <c r="A9156" s="84"/>
      <c r="B9156" s="85"/>
      <c r="C9156" s="85"/>
      <c r="F9156" s="92"/>
      <c r="G9156" s="85"/>
    </row>
    <row r="9157">
      <c r="A9157" s="84"/>
      <c r="B9157" s="85"/>
      <c r="C9157" s="85"/>
      <c r="F9157" s="92"/>
      <c r="G9157" s="85"/>
    </row>
    <row r="9158">
      <c r="A9158" s="84"/>
      <c r="B9158" s="85"/>
      <c r="C9158" s="85"/>
      <c r="F9158" s="92"/>
      <c r="G9158" s="85"/>
    </row>
    <row r="9159">
      <c r="A9159" s="84"/>
      <c r="B9159" s="85"/>
      <c r="C9159" s="85"/>
      <c r="F9159" s="92"/>
      <c r="G9159" s="85"/>
    </row>
    <row r="9160">
      <c r="A9160" s="84"/>
      <c r="B9160" s="85"/>
      <c r="C9160" s="85"/>
      <c r="F9160" s="92"/>
      <c r="G9160" s="85"/>
    </row>
    <row r="9161">
      <c r="A9161" s="84"/>
      <c r="B9161" s="85"/>
      <c r="C9161" s="85"/>
      <c r="F9161" s="92"/>
      <c r="G9161" s="85"/>
    </row>
    <row r="9162">
      <c r="A9162" s="84"/>
      <c r="B9162" s="85"/>
      <c r="C9162" s="85"/>
      <c r="F9162" s="92"/>
      <c r="G9162" s="85"/>
    </row>
    <row r="9163">
      <c r="A9163" s="84"/>
      <c r="B9163" s="85"/>
      <c r="C9163" s="85"/>
      <c r="F9163" s="92"/>
      <c r="G9163" s="85"/>
    </row>
    <row r="9164">
      <c r="A9164" s="84"/>
      <c r="B9164" s="85"/>
      <c r="C9164" s="85"/>
      <c r="F9164" s="92"/>
      <c r="G9164" s="85"/>
    </row>
    <row r="9165">
      <c r="A9165" s="84"/>
      <c r="B9165" s="85"/>
      <c r="C9165" s="85"/>
      <c r="F9165" s="92"/>
      <c r="G9165" s="85"/>
    </row>
    <row r="9166">
      <c r="A9166" s="84"/>
      <c r="B9166" s="85"/>
      <c r="C9166" s="85"/>
      <c r="F9166" s="92"/>
      <c r="G9166" s="85"/>
    </row>
    <row r="9167">
      <c r="A9167" s="84"/>
      <c r="B9167" s="85"/>
      <c r="C9167" s="85"/>
      <c r="F9167" s="92"/>
      <c r="G9167" s="85"/>
    </row>
    <row r="9168">
      <c r="A9168" s="84"/>
      <c r="B9168" s="85"/>
      <c r="C9168" s="85"/>
      <c r="F9168" s="92"/>
      <c r="G9168" s="85"/>
    </row>
    <row r="9169">
      <c r="A9169" s="84"/>
      <c r="B9169" s="85"/>
      <c r="C9169" s="85"/>
      <c r="F9169" s="92"/>
      <c r="G9169" s="85"/>
    </row>
    <row r="9170">
      <c r="A9170" s="84"/>
      <c r="B9170" s="85"/>
      <c r="C9170" s="85"/>
      <c r="F9170" s="92"/>
      <c r="G9170" s="85"/>
    </row>
    <row r="9171">
      <c r="A9171" s="84"/>
      <c r="B9171" s="85"/>
      <c r="C9171" s="85"/>
      <c r="F9171" s="92"/>
      <c r="G9171" s="85"/>
    </row>
    <row r="9172">
      <c r="A9172" s="84"/>
      <c r="B9172" s="85"/>
      <c r="C9172" s="85"/>
      <c r="F9172" s="92"/>
      <c r="G9172" s="85"/>
    </row>
    <row r="9173">
      <c r="A9173" s="84"/>
      <c r="B9173" s="85"/>
      <c r="C9173" s="85"/>
      <c r="F9173" s="92"/>
      <c r="G9173" s="85"/>
    </row>
    <row r="9174">
      <c r="A9174" s="84"/>
      <c r="B9174" s="85"/>
      <c r="C9174" s="85"/>
      <c r="F9174" s="92"/>
      <c r="G9174" s="85"/>
    </row>
    <row r="9175">
      <c r="A9175" s="84"/>
      <c r="B9175" s="85"/>
      <c r="C9175" s="85"/>
      <c r="F9175" s="92"/>
      <c r="G9175" s="85"/>
    </row>
    <row r="9176">
      <c r="A9176" s="84"/>
      <c r="B9176" s="85"/>
      <c r="C9176" s="85"/>
      <c r="F9176" s="92"/>
      <c r="G9176" s="85"/>
    </row>
    <row r="9177">
      <c r="A9177" s="84"/>
      <c r="B9177" s="85"/>
      <c r="C9177" s="85"/>
      <c r="F9177" s="92"/>
      <c r="G9177" s="85"/>
    </row>
    <row r="9178">
      <c r="A9178" s="84"/>
      <c r="B9178" s="85"/>
      <c r="C9178" s="85"/>
      <c r="F9178" s="92"/>
      <c r="G9178" s="85"/>
    </row>
    <row r="9179">
      <c r="A9179" s="84"/>
      <c r="B9179" s="85"/>
      <c r="C9179" s="85"/>
      <c r="F9179" s="92"/>
      <c r="G9179" s="85"/>
    </row>
    <row r="9180">
      <c r="A9180" s="84"/>
      <c r="B9180" s="85"/>
      <c r="C9180" s="85"/>
      <c r="F9180" s="92"/>
      <c r="G9180" s="85"/>
    </row>
    <row r="9181">
      <c r="A9181" s="84"/>
      <c r="B9181" s="85"/>
      <c r="C9181" s="85"/>
      <c r="F9181" s="92"/>
      <c r="G9181" s="85"/>
    </row>
    <row r="9182">
      <c r="A9182" s="84"/>
      <c r="B9182" s="85"/>
      <c r="C9182" s="85"/>
      <c r="F9182" s="92"/>
      <c r="G9182" s="85"/>
    </row>
    <row r="9183">
      <c r="A9183" s="84"/>
      <c r="B9183" s="85"/>
      <c r="C9183" s="85"/>
      <c r="F9183" s="92"/>
      <c r="G9183" s="85"/>
    </row>
    <row r="9184">
      <c r="A9184" s="84"/>
      <c r="B9184" s="85"/>
      <c r="C9184" s="85"/>
      <c r="F9184" s="92"/>
      <c r="G9184" s="85"/>
    </row>
    <row r="9185">
      <c r="A9185" s="84"/>
      <c r="B9185" s="85"/>
      <c r="C9185" s="85"/>
      <c r="F9185" s="92"/>
      <c r="G9185" s="85"/>
    </row>
    <row r="9186">
      <c r="A9186" s="84"/>
      <c r="B9186" s="85"/>
      <c r="C9186" s="85"/>
      <c r="F9186" s="92"/>
      <c r="G9186" s="85"/>
    </row>
    <row r="9187">
      <c r="A9187" s="84"/>
      <c r="B9187" s="85"/>
      <c r="C9187" s="85"/>
      <c r="F9187" s="92"/>
      <c r="G9187" s="85"/>
    </row>
    <row r="9188">
      <c r="A9188" s="84"/>
      <c r="B9188" s="85"/>
      <c r="C9188" s="85"/>
      <c r="F9188" s="92"/>
      <c r="G9188" s="85"/>
    </row>
    <row r="9189">
      <c r="A9189" s="84"/>
      <c r="B9189" s="85"/>
      <c r="C9189" s="85"/>
      <c r="F9189" s="92"/>
      <c r="G9189" s="85"/>
    </row>
    <row r="9190">
      <c r="A9190" s="84"/>
      <c r="B9190" s="85"/>
      <c r="C9190" s="85"/>
      <c r="F9190" s="92"/>
      <c r="G9190" s="85"/>
    </row>
    <row r="9191">
      <c r="A9191" s="84"/>
      <c r="B9191" s="85"/>
      <c r="C9191" s="85"/>
      <c r="F9191" s="92"/>
      <c r="G9191" s="85"/>
    </row>
    <row r="9192">
      <c r="A9192" s="84"/>
      <c r="B9192" s="85"/>
      <c r="C9192" s="85"/>
      <c r="F9192" s="92"/>
      <c r="G9192" s="85"/>
    </row>
    <row r="9193">
      <c r="A9193" s="84"/>
      <c r="B9193" s="85"/>
      <c r="C9193" s="85"/>
      <c r="F9193" s="92"/>
      <c r="G9193" s="85"/>
    </row>
    <row r="9194">
      <c r="A9194" s="84"/>
      <c r="B9194" s="85"/>
      <c r="C9194" s="85"/>
      <c r="F9194" s="92"/>
      <c r="G9194" s="85"/>
    </row>
    <row r="9195">
      <c r="A9195" s="84"/>
      <c r="B9195" s="85"/>
      <c r="C9195" s="85"/>
      <c r="F9195" s="92"/>
      <c r="G9195" s="85"/>
    </row>
    <row r="9196">
      <c r="A9196" s="84"/>
      <c r="B9196" s="85"/>
      <c r="C9196" s="85"/>
      <c r="F9196" s="92"/>
      <c r="G9196" s="85"/>
    </row>
    <row r="9197">
      <c r="A9197" s="84"/>
      <c r="B9197" s="85"/>
      <c r="C9197" s="85"/>
      <c r="F9197" s="92"/>
      <c r="G9197" s="85"/>
    </row>
    <row r="9198">
      <c r="A9198" s="84"/>
      <c r="B9198" s="85"/>
      <c r="C9198" s="85"/>
      <c r="F9198" s="92"/>
      <c r="G9198" s="85"/>
    </row>
    <row r="9199">
      <c r="A9199" s="84"/>
      <c r="B9199" s="85"/>
      <c r="C9199" s="85"/>
      <c r="F9199" s="92"/>
      <c r="G9199" s="85"/>
    </row>
    <row r="9200">
      <c r="A9200" s="84"/>
      <c r="B9200" s="85"/>
      <c r="C9200" s="85"/>
      <c r="F9200" s="92"/>
      <c r="G9200" s="85"/>
    </row>
    <row r="9201">
      <c r="A9201" s="84"/>
      <c r="B9201" s="85"/>
      <c r="C9201" s="85"/>
      <c r="F9201" s="92"/>
      <c r="G9201" s="85"/>
    </row>
    <row r="9202">
      <c r="A9202" s="84"/>
      <c r="B9202" s="85"/>
      <c r="C9202" s="85"/>
      <c r="F9202" s="92"/>
      <c r="G9202" s="85"/>
    </row>
    <row r="9203">
      <c r="A9203" s="84"/>
      <c r="B9203" s="85"/>
      <c r="C9203" s="85"/>
      <c r="F9203" s="92"/>
      <c r="G9203" s="85"/>
    </row>
    <row r="9204">
      <c r="A9204" s="84"/>
      <c r="B9204" s="85"/>
      <c r="C9204" s="85"/>
      <c r="F9204" s="92"/>
      <c r="G9204" s="85"/>
    </row>
    <row r="9205">
      <c r="A9205" s="84"/>
      <c r="B9205" s="85"/>
      <c r="C9205" s="85"/>
      <c r="F9205" s="92"/>
      <c r="G9205" s="85"/>
    </row>
    <row r="9206">
      <c r="A9206" s="84"/>
      <c r="B9206" s="85"/>
      <c r="C9206" s="85"/>
      <c r="F9206" s="92"/>
      <c r="G9206" s="85"/>
    </row>
    <row r="9207">
      <c r="A9207" s="84"/>
      <c r="B9207" s="85"/>
      <c r="C9207" s="85"/>
      <c r="F9207" s="92"/>
      <c r="G9207" s="85"/>
    </row>
    <row r="9208">
      <c r="A9208" s="84"/>
      <c r="B9208" s="85"/>
      <c r="C9208" s="85"/>
      <c r="F9208" s="92"/>
      <c r="G9208" s="85"/>
    </row>
    <row r="9209">
      <c r="A9209" s="84"/>
      <c r="B9209" s="85"/>
      <c r="C9209" s="85"/>
      <c r="F9209" s="92"/>
      <c r="G9209" s="85"/>
    </row>
    <row r="9210">
      <c r="A9210" s="84"/>
      <c r="B9210" s="85"/>
      <c r="C9210" s="85"/>
      <c r="F9210" s="92"/>
      <c r="G9210" s="85"/>
    </row>
    <row r="9211">
      <c r="A9211" s="84"/>
      <c r="B9211" s="85"/>
      <c r="C9211" s="85"/>
      <c r="F9211" s="92"/>
      <c r="G9211" s="85"/>
    </row>
    <row r="9212">
      <c r="A9212" s="84"/>
      <c r="B9212" s="85"/>
      <c r="C9212" s="85"/>
      <c r="F9212" s="92"/>
      <c r="G9212" s="85"/>
    </row>
    <row r="9213">
      <c r="A9213" s="84"/>
      <c r="B9213" s="85"/>
      <c r="C9213" s="85"/>
      <c r="F9213" s="92"/>
      <c r="G9213" s="85"/>
    </row>
    <row r="9214">
      <c r="A9214" s="84"/>
      <c r="B9214" s="85"/>
      <c r="C9214" s="85"/>
      <c r="F9214" s="92"/>
      <c r="G9214" s="85"/>
    </row>
    <row r="9215">
      <c r="A9215" s="84"/>
      <c r="B9215" s="85"/>
      <c r="C9215" s="85"/>
      <c r="F9215" s="92"/>
      <c r="G9215" s="85"/>
    </row>
    <row r="9216">
      <c r="A9216" s="84"/>
      <c r="B9216" s="85"/>
      <c r="C9216" s="85"/>
      <c r="F9216" s="92"/>
      <c r="G9216" s="85"/>
    </row>
    <row r="9217">
      <c r="A9217" s="84"/>
      <c r="B9217" s="85"/>
      <c r="C9217" s="85"/>
      <c r="F9217" s="92"/>
      <c r="G9217" s="85"/>
    </row>
    <row r="9218">
      <c r="A9218" s="84"/>
      <c r="B9218" s="85"/>
      <c r="C9218" s="85"/>
      <c r="F9218" s="92"/>
      <c r="G9218" s="85"/>
    </row>
    <row r="9219">
      <c r="A9219" s="84"/>
      <c r="B9219" s="85"/>
      <c r="C9219" s="85"/>
      <c r="F9219" s="92"/>
      <c r="G9219" s="85"/>
    </row>
    <row r="9220">
      <c r="A9220" s="84"/>
      <c r="B9220" s="85"/>
      <c r="C9220" s="85"/>
      <c r="F9220" s="92"/>
      <c r="G9220" s="85"/>
    </row>
    <row r="9221">
      <c r="A9221" s="84"/>
      <c r="B9221" s="85"/>
      <c r="C9221" s="85"/>
      <c r="F9221" s="92"/>
      <c r="G9221" s="85"/>
    </row>
    <row r="9222">
      <c r="A9222" s="84"/>
      <c r="B9222" s="85"/>
      <c r="C9222" s="85"/>
      <c r="F9222" s="92"/>
      <c r="G9222" s="85"/>
    </row>
    <row r="9223">
      <c r="A9223" s="84"/>
      <c r="B9223" s="85"/>
      <c r="C9223" s="85"/>
      <c r="F9223" s="92"/>
      <c r="G9223" s="85"/>
    </row>
    <row r="9224">
      <c r="A9224" s="84"/>
      <c r="B9224" s="85"/>
      <c r="C9224" s="85"/>
      <c r="F9224" s="92"/>
      <c r="G9224" s="85"/>
    </row>
    <row r="9225">
      <c r="A9225" s="84"/>
      <c r="B9225" s="85"/>
      <c r="C9225" s="85"/>
      <c r="F9225" s="92"/>
      <c r="G9225" s="85"/>
    </row>
    <row r="9226">
      <c r="A9226" s="84"/>
      <c r="B9226" s="85"/>
      <c r="C9226" s="85"/>
      <c r="F9226" s="92"/>
      <c r="G9226" s="85"/>
    </row>
    <row r="9227">
      <c r="A9227" s="84"/>
      <c r="B9227" s="85"/>
      <c r="C9227" s="85"/>
      <c r="F9227" s="92"/>
      <c r="G9227" s="85"/>
    </row>
    <row r="9228">
      <c r="A9228" s="84"/>
      <c r="B9228" s="85"/>
      <c r="C9228" s="85"/>
      <c r="F9228" s="92"/>
      <c r="G9228" s="85"/>
    </row>
    <row r="9229">
      <c r="A9229" s="84"/>
      <c r="B9229" s="85"/>
      <c r="C9229" s="85"/>
      <c r="F9229" s="92"/>
      <c r="G9229" s="85"/>
    </row>
    <row r="9230">
      <c r="A9230" s="84"/>
      <c r="B9230" s="85"/>
      <c r="C9230" s="85"/>
      <c r="F9230" s="92"/>
      <c r="G9230" s="85"/>
    </row>
    <row r="9231">
      <c r="A9231" s="84"/>
      <c r="B9231" s="85"/>
      <c r="C9231" s="85"/>
      <c r="F9231" s="92"/>
      <c r="G9231" s="85"/>
    </row>
    <row r="9232">
      <c r="A9232" s="84"/>
      <c r="B9232" s="85"/>
      <c r="C9232" s="85"/>
      <c r="F9232" s="92"/>
      <c r="G9232" s="85"/>
    </row>
    <row r="9233">
      <c r="A9233" s="84"/>
      <c r="B9233" s="85"/>
      <c r="C9233" s="85"/>
      <c r="F9233" s="92"/>
      <c r="G9233" s="85"/>
    </row>
    <row r="9234">
      <c r="A9234" s="84"/>
      <c r="B9234" s="85"/>
      <c r="C9234" s="85"/>
      <c r="F9234" s="92"/>
      <c r="G9234" s="85"/>
    </row>
    <row r="9235">
      <c r="A9235" s="84"/>
      <c r="B9235" s="85"/>
      <c r="C9235" s="85"/>
      <c r="F9235" s="92"/>
      <c r="G9235" s="85"/>
    </row>
    <row r="9236">
      <c r="A9236" s="84"/>
      <c r="B9236" s="85"/>
      <c r="C9236" s="85"/>
      <c r="F9236" s="92"/>
      <c r="G9236" s="85"/>
    </row>
    <row r="9237">
      <c r="A9237" s="84"/>
      <c r="B9237" s="85"/>
      <c r="C9237" s="85"/>
      <c r="F9237" s="92"/>
      <c r="G9237" s="85"/>
    </row>
    <row r="9238">
      <c r="A9238" s="84"/>
      <c r="B9238" s="85"/>
      <c r="C9238" s="85"/>
      <c r="F9238" s="92"/>
      <c r="G9238" s="85"/>
    </row>
    <row r="9239">
      <c r="A9239" s="84"/>
      <c r="B9239" s="85"/>
      <c r="C9239" s="85"/>
      <c r="F9239" s="92"/>
      <c r="G9239" s="85"/>
    </row>
    <row r="9240">
      <c r="A9240" s="84"/>
      <c r="B9240" s="85"/>
      <c r="C9240" s="85"/>
      <c r="F9240" s="92"/>
      <c r="G9240" s="85"/>
    </row>
    <row r="9241">
      <c r="A9241" s="84"/>
      <c r="B9241" s="85"/>
      <c r="C9241" s="85"/>
      <c r="F9241" s="92"/>
      <c r="G9241" s="85"/>
    </row>
    <row r="9242">
      <c r="A9242" s="84"/>
      <c r="B9242" s="85"/>
      <c r="C9242" s="85"/>
      <c r="F9242" s="92"/>
      <c r="G9242" s="85"/>
    </row>
    <row r="9243">
      <c r="A9243" s="84"/>
      <c r="B9243" s="85"/>
      <c r="C9243" s="85"/>
      <c r="F9243" s="92"/>
      <c r="G9243" s="85"/>
    </row>
    <row r="9244">
      <c r="A9244" s="84"/>
      <c r="B9244" s="85"/>
      <c r="C9244" s="85"/>
      <c r="F9244" s="92"/>
      <c r="G9244" s="85"/>
    </row>
    <row r="9245">
      <c r="A9245" s="84"/>
      <c r="B9245" s="85"/>
      <c r="C9245" s="85"/>
      <c r="F9245" s="92"/>
      <c r="G9245" s="85"/>
    </row>
    <row r="9246">
      <c r="A9246" s="84"/>
      <c r="B9246" s="85"/>
      <c r="C9246" s="85"/>
      <c r="F9246" s="92"/>
      <c r="G9246" s="85"/>
    </row>
    <row r="9247">
      <c r="A9247" s="84"/>
      <c r="B9247" s="85"/>
      <c r="C9247" s="85"/>
      <c r="F9247" s="92"/>
      <c r="G9247" s="85"/>
    </row>
    <row r="9248">
      <c r="A9248" s="84"/>
      <c r="B9248" s="85"/>
      <c r="C9248" s="85"/>
      <c r="F9248" s="92"/>
      <c r="G9248" s="85"/>
    </row>
    <row r="9249">
      <c r="A9249" s="84"/>
      <c r="B9249" s="85"/>
      <c r="C9249" s="85"/>
      <c r="F9249" s="92"/>
      <c r="G9249" s="85"/>
    </row>
    <row r="9250">
      <c r="A9250" s="84"/>
      <c r="B9250" s="85"/>
      <c r="C9250" s="85"/>
      <c r="F9250" s="92"/>
      <c r="G9250" s="85"/>
    </row>
    <row r="9251">
      <c r="A9251" s="84"/>
      <c r="B9251" s="85"/>
      <c r="C9251" s="85"/>
      <c r="F9251" s="92"/>
      <c r="G9251" s="85"/>
    </row>
    <row r="9252">
      <c r="A9252" s="84"/>
      <c r="B9252" s="85"/>
      <c r="C9252" s="85"/>
      <c r="F9252" s="92"/>
      <c r="G9252" s="85"/>
    </row>
    <row r="9253">
      <c r="A9253" s="84"/>
      <c r="B9253" s="85"/>
      <c r="C9253" s="85"/>
      <c r="F9253" s="92"/>
      <c r="G9253" s="85"/>
    </row>
    <row r="9254">
      <c r="A9254" s="84"/>
      <c r="B9254" s="85"/>
      <c r="C9254" s="85"/>
      <c r="F9254" s="92"/>
      <c r="G9254" s="85"/>
    </row>
    <row r="9255">
      <c r="A9255" s="84"/>
      <c r="B9255" s="85"/>
      <c r="C9255" s="85"/>
      <c r="F9255" s="92"/>
      <c r="G9255" s="85"/>
    </row>
    <row r="9256">
      <c r="A9256" s="84"/>
      <c r="B9256" s="85"/>
      <c r="C9256" s="85"/>
      <c r="F9256" s="92"/>
      <c r="G9256" s="85"/>
    </row>
    <row r="9257">
      <c r="A9257" s="84"/>
      <c r="B9257" s="85"/>
      <c r="C9257" s="85"/>
      <c r="F9257" s="92"/>
      <c r="G9257" s="85"/>
    </row>
    <row r="9258">
      <c r="A9258" s="84"/>
      <c r="B9258" s="85"/>
      <c r="C9258" s="85"/>
      <c r="F9258" s="92"/>
      <c r="G9258" s="85"/>
    </row>
    <row r="9259">
      <c r="A9259" s="84"/>
      <c r="B9259" s="85"/>
      <c r="C9259" s="85"/>
      <c r="F9259" s="92"/>
      <c r="G9259" s="85"/>
    </row>
    <row r="9260">
      <c r="A9260" s="84"/>
      <c r="B9260" s="85"/>
      <c r="C9260" s="85"/>
      <c r="F9260" s="92"/>
      <c r="G9260" s="85"/>
    </row>
    <row r="9261">
      <c r="A9261" s="84"/>
      <c r="B9261" s="85"/>
      <c r="C9261" s="85"/>
      <c r="F9261" s="92"/>
      <c r="G9261" s="85"/>
    </row>
    <row r="9262">
      <c r="A9262" s="84"/>
      <c r="B9262" s="85"/>
      <c r="C9262" s="85"/>
      <c r="F9262" s="92"/>
      <c r="G9262" s="85"/>
    </row>
    <row r="9263">
      <c r="A9263" s="84"/>
      <c r="B9263" s="85"/>
      <c r="C9263" s="85"/>
      <c r="F9263" s="92"/>
      <c r="G9263" s="85"/>
    </row>
    <row r="9264">
      <c r="A9264" s="84"/>
      <c r="B9264" s="85"/>
      <c r="C9264" s="85"/>
      <c r="F9264" s="92"/>
      <c r="G9264" s="85"/>
    </row>
    <row r="9265">
      <c r="A9265" s="84"/>
      <c r="B9265" s="85"/>
      <c r="C9265" s="85"/>
      <c r="F9265" s="92"/>
      <c r="G9265" s="85"/>
    </row>
    <row r="9266">
      <c r="A9266" s="84"/>
      <c r="B9266" s="85"/>
      <c r="C9266" s="85"/>
      <c r="F9266" s="92"/>
      <c r="G9266" s="85"/>
    </row>
    <row r="9267">
      <c r="A9267" s="84"/>
      <c r="B9267" s="85"/>
      <c r="C9267" s="85"/>
      <c r="F9267" s="92"/>
      <c r="G9267" s="85"/>
    </row>
    <row r="9268">
      <c r="A9268" s="84"/>
      <c r="B9268" s="85"/>
      <c r="C9268" s="85"/>
      <c r="F9268" s="92"/>
      <c r="G9268" s="85"/>
    </row>
    <row r="9269">
      <c r="A9269" s="84"/>
      <c r="B9269" s="85"/>
      <c r="C9269" s="85"/>
      <c r="F9269" s="92"/>
      <c r="G9269" s="85"/>
    </row>
    <row r="9270">
      <c r="A9270" s="84"/>
      <c r="B9270" s="85"/>
      <c r="C9270" s="85"/>
      <c r="F9270" s="92"/>
      <c r="G9270" s="85"/>
    </row>
    <row r="9271">
      <c r="A9271" s="84"/>
      <c r="B9271" s="85"/>
      <c r="C9271" s="85"/>
      <c r="F9271" s="92"/>
      <c r="G9271" s="85"/>
    </row>
    <row r="9272">
      <c r="A9272" s="84"/>
      <c r="B9272" s="85"/>
      <c r="C9272" s="85"/>
      <c r="F9272" s="92"/>
      <c r="G9272" s="85"/>
    </row>
    <row r="9273">
      <c r="A9273" s="84"/>
      <c r="B9273" s="85"/>
      <c r="C9273" s="85"/>
      <c r="F9273" s="92"/>
      <c r="G9273" s="85"/>
    </row>
    <row r="9274">
      <c r="A9274" s="84"/>
      <c r="B9274" s="85"/>
      <c r="C9274" s="85"/>
      <c r="F9274" s="92"/>
      <c r="G9274" s="85"/>
    </row>
    <row r="9275">
      <c r="A9275" s="84"/>
      <c r="B9275" s="85"/>
      <c r="C9275" s="85"/>
      <c r="F9275" s="92"/>
      <c r="G9275" s="85"/>
    </row>
    <row r="9276">
      <c r="A9276" s="84"/>
      <c r="B9276" s="85"/>
      <c r="C9276" s="85"/>
      <c r="F9276" s="92"/>
      <c r="G9276" s="85"/>
    </row>
    <row r="9277">
      <c r="A9277" s="84"/>
      <c r="B9277" s="85"/>
      <c r="C9277" s="85"/>
      <c r="F9277" s="92"/>
      <c r="G9277" s="85"/>
    </row>
    <row r="9278">
      <c r="A9278" s="84"/>
      <c r="B9278" s="85"/>
      <c r="C9278" s="85"/>
      <c r="F9278" s="92"/>
      <c r="G9278" s="85"/>
    </row>
    <row r="9279">
      <c r="A9279" s="84"/>
      <c r="B9279" s="85"/>
      <c r="C9279" s="85"/>
      <c r="F9279" s="92"/>
      <c r="G9279" s="85"/>
    </row>
    <row r="9280">
      <c r="A9280" s="84"/>
      <c r="B9280" s="85"/>
      <c r="C9280" s="85"/>
      <c r="F9280" s="92"/>
      <c r="G9280" s="85"/>
    </row>
    <row r="9281">
      <c r="A9281" s="84"/>
      <c r="B9281" s="85"/>
      <c r="C9281" s="85"/>
      <c r="F9281" s="92"/>
      <c r="G9281" s="85"/>
    </row>
    <row r="9282">
      <c r="A9282" s="84"/>
      <c r="B9282" s="85"/>
      <c r="C9282" s="85"/>
      <c r="F9282" s="92"/>
      <c r="G9282" s="85"/>
    </row>
    <row r="9283">
      <c r="A9283" s="84"/>
      <c r="B9283" s="85"/>
      <c r="C9283" s="85"/>
      <c r="F9283" s="92"/>
      <c r="G9283" s="85"/>
    </row>
    <row r="9284">
      <c r="A9284" s="84"/>
      <c r="B9284" s="85"/>
      <c r="C9284" s="85"/>
      <c r="F9284" s="92"/>
      <c r="G9284" s="85"/>
    </row>
    <row r="9285">
      <c r="A9285" s="84"/>
      <c r="B9285" s="85"/>
      <c r="C9285" s="85"/>
      <c r="F9285" s="92"/>
      <c r="G9285" s="85"/>
    </row>
    <row r="9286">
      <c r="A9286" s="84"/>
      <c r="B9286" s="85"/>
      <c r="C9286" s="85"/>
      <c r="F9286" s="92"/>
      <c r="G9286" s="85"/>
    </row>
    <row r="9287">
      <c r="A9287" s="84"/>
      <c r="B9287" s="85"/>
      <c r="C9287" s="85"/>
      <c r="F9287" s="92"/>
      <c r="G9287" s="85"/>
    </row>
    <row r="9288">
      <c r="A9288" s="84"/>
      <c r="B9288" s="85"/>
      <c r="C9288" s="85"/>
      <c r="F9288" s="92"/>
      <c r="G9288" s="85"/>
    </row>
    <row r="9289">
      <c r="A9289" s="84"/>
      <c r="B9289" s="85"/>
      <c r="C9289" s="85"/>
      <c r="F9289" s="92"/>
      <c r="G9289" s="85"/>
    </row>
    <row r="9290">
      <c r="A9290" s="84"/>
      <c r="B9290" s="85"/>
      <c r="C9290" s="85"/>
      <c r="F9290" s="92"/>
      <c r="G9290" s="85"/>
    </row>
    <row r="9291">
      <c r="A9291" s="84"/>
      <c r="B9291" s="85"/>
      <c r="C9291" s="85"/>
      <c r="F9291" s="92"/>
      <c r="G9291" s="85"/>
    </row>
    <row r="9292">
      <c r="A9292" s="84"/>
      <c r="B9292" s="85"/>
      <c r="C9292" s="85"/>
      <c r="F9292" s="92"/>
      <c r="G9292" s="85"/>
    </row>
    <row r="9293">
      <c r="A9293" s="84"/>
      <c r="B9293" s="85"/>
      <c r="C9293" s="85"/>
      <c r="F9293" s="92"/>
      <c r="G9293" s="85"/>
    </row>
    <row r="9294">
      <c r="A9294" s="84"/>
      <c r="B9294" s="85"/>
      <c r="C9294" s="85"/>
      <c r="F9294" s="92"/>
      <c r="G9294" s="85"/>
    </row>
    <row r="9295">
      <c r="A9295" s="84"/>
      <c r="B9295" s="85"/>
      <c r="C9295" s="85"/>
      <c r="F9295" s="92"/>
      <c r="G9295" s="85"/>
    </row>
    <row r="9296">
      <c r="A9296" s="84"/>
      <c r="B9296" s="85"/>
      <c r="C9296" s="85"/>
      <c r="F9296" s="92"/>
      <c r="G9296" s="85"/>
    </row>
    <row r="9297">
      <c r="A9297" s="84"/>
      <c r="B9297" s="85"/>
      <c r="C9297" s="85"/>
      <c r="F9297" s="92"/>
      <c r="G9297" s="85"/>
    </row>
    <row r="9298">
      <c r="A9298" s="84"/>
      <c r="B9298" s="85"/>
      <c r="C9298" s="85"/>
      <c r="F9298" s="92"/>
      <c r="G9298" s="85"/>
    </row>
    <row r="9299">
      <c r="A9299" s="84"/>
      <c r="B9299" s="85"/>
      <c r="C9299" s="85"/>
      <c r="F9299" s="92"/>
      <c r="G9299" s="85"/>
    </row>
    <row r="9300">
      <c r="A9300" s="84"/>
      <c r="B9300" s="85"/>
      <c r="C9300" s="85"/>
      <c r="F9300" s="92"/>
      <c r="G9300" s="85"/>
    </row>
    <row r="9301">
      <c r="A9301" s="84"/>
      <c r="B9301" s="85"/>
      <c r="C9301" s="85"/>
      <c r="F9301" s="92"/>
      <c r="G9301" s="85"/>
    </row>
    <row r="9302">
      <c r="A9302" s="84"/>
      <c r="B9302" s="85"/>
      <c r="C9302" s="85"/>
      <c r="F9302" s="92"/>
      <c r="G9302" s="85"/>
    </row>
    <row r="9303">
      <c r="A9303" s="84"/>
      <c r="B9303" s="85"/>
      <c r="C9303" s="85"/>
      <c r="F9303" s="92"/>
      <c r="G9303" s="85"/>
    </row>
    <row r="9304">
      <c r="A9304" s="84"/>
      <c r="B9304" s="85"/>
      <c r="C9304" s="85"/>
      <c r="F9304" s="92"/>
      <c r="G9304" s="85"/>
    </row>
    <row r="9305">
      <c r="A9305" s="84"/>
      <c r="B9305" s="85"/>
      <c r="C9305" s="85"/>
      <c r="F9305" s="92"/>
      <c r="G9305" s="85"/>
    </row>
    <row r="9306">
      <c r="A9306" s="84"/>
      <c r="B9306" s="85"/>
      <c r="C9306" s="85"/>
      <c r="F9306" s="92"/>
      <c r="G9306" s="85"/>
    </row>
    <row r="9307">
      <c r="A9307" s="84"/>
      <c r="B9307" s="85"/>
      <c r="C9307" s="85"/>
      <c r="F9307" s="92"/>
      <c r="G9307" s="85"/>
    </row>
    <row r="9308">
      <c r="A9308" s="84"/>
      <c r="B9308" s="85"/>
      <c r="C9308" s="85"/>
      <c r="F9308" s="92"/>
      <c r="G9308" s="85"/>
    </row>
    <row r="9309">
      <c r="A9309" s="84"/>
      <c r="B9309" s="85"/>
      <c r="C9309" s="85"/>
      <c r="F9309" s="92"/>
      <c r="G9309" s="85"/>
    </row>
    <row r="9310">
      <c r="A9310" s="84"/>
      <c r="B9310" s="85"/>
      <c r="C9310" s="85"/>
      <c r="F9310" s="92"/>
      <c r="G9310" s="85"/>
    </row>
    <row r="9311">
      <c r="A9311" s="84"/>
      <c r="B9311" s="85"/>
      <c r="C9311" s="85"/>
      <c r="F9311" s="92"/>
      <c r="G9311" s="85"/>
    </row>
    <row r="9312">
      <c r="A9312" s="84"/>
      <c r="B9312" s="85"/>
      <c r="C9312" s="85"/>
      <c r="F9312" s="92"/>
      <c r="G9312" s="85"/>
    </row>
    <row r="9313">
      <c r="A9313" s="84"/>
      <c r="B9313" s="85"/>
      <c r="C9313" s="85"/>
      <c r="F9313" s="92"/>
      <c r="G9313" s="85"/>
    </row>
    <row r="9314">
      <c r="A9314" s="84"/>
      <c r="B9314" s="85"/>
      <c r="C9314" s="85"/>
      <c r="F9314" s="92"/>
      <c r="G9314" s="85"/>
    </row>
    <row r="9315">
      <c r="A9315" s="84"/>
      <c r="B9315" s="85"/>
      <c r="C9315" s="85"/>
      <c r="F9315" s="92"/>
      <c r="G9315" s="85"/>
    </row>
    <row r="9316">
      <c r="A9316" s="84"/>
      <c r="B9316" s="85"/>
      <c r="C9316" s="85"/>
      <c r="F9316" s="92"/>
      <c r="G9316" s="85"/>
    </row>
    <row r="9317">
      <c r="A9317" s="84"/>
      <c r="B9317" s="85"/>
      <c r="C9317" s="85"/>
      <c r="F9317" s="92"/>
      <c r="G9317" s="85"/>
    </row>
    <row r="9318">
      <c r="A9318" s="84"/>
      <c r="B9318" s="85"/>
      <c r="C9318" s="85"/>
      <c r="F9318" s="92"/>
      <c r="G9318" s="85"/>
    </row>
    <row r="9319">
      <c r="A9319" s="84"/>
      <c r="B9319" s="85"/>
      <c r="C9319" s="85"/>
      <c r="F9319" s="92"/>
      <c r="G9319" s="85"/>
    </row>
    <row r="9320">
      <c r="A9320" s="84"/>
      <c r="B9320" s="85"/>
      <c r="C9320" s="85"/>
      <c r="F9320" s="92"/>
      <c r="G9320" s="85"/>
    </row>
    <row r="9321">
      <c r="A9321" s="84"/>
      <c r="B9321" s="85"/>
      <c r="C9321" s="85"/>
      <c r="F9321" s="92"/>
      <c r="G9321" s="85"/>
    </row>
    <row r="9322">
      <c r="A9322" s="84"/>
      <c r="B9322" s="85"/>
      <c r="C9322" s="85"/>
      <c r="F9322" s="92"/>
      <c r="G9322" s="85"/>
    </row>
    <row r="9323">
      <c r="A9323" s="84"/>
      <c r="B9323" s="85"/>
      <c r="C9323" s="85"/>
      <c r="F9323" s="92"/>
      <c r="G9323" s="85"/>
    </row>
    <row r="9324">
      <c r="A9324" s="84"/>
      <c r="B9324" s="85"/>
      <c r="C9324" s="85"/>
      <c r="F9324" s="92"/>
      <c r="G9324" s="85"/>
    </row>
    <row r="9325">
      <c r="A9325" s="84"/>
      <c r="B9325" s="85"/>
      <c r="C9325" s="85"/>
      <c r="F9325" s="92"/>
      <c r="G9325" s="85"/>
    </row>
    <row r="9326">
      <c r="A9326" s="84"/>
      <c r="B9326" s="85"/>
      <c r="C9326" s="85"/>
      <c r="F9326" s="92"/>
      <c r="G9326" s="85"/>
    </row>
    <row r="9327">
      <c r="A9327" s="84"/>
      <c r="B9327" s="85"/>
      <c r="C9327" s="85"/>
      <c r="F9327" s="92"/>
      <c r="G9327" s="85"/>
    </row>
    <row r="9328">
      <c r="A9328" s="84"/>
      <c r="B9328" s="85"/>
      <c r="C9328" s="85"/>
      <c r="F9328" s="92"/>
      <c r="G9328" s="85"/>
    </row>
    <row r="9329">
      <c r="A9329" s="84"/>
      <c r="B9329" s="85"/>
      <c r="C9329" s="85"/>
      <c r="F9329" s="92"/>
      <c r="G9329" s="85"/>
    </row>
    <row r="9330">
      <c r="A9330" s="84"/>
      <c r="B9330" s="85"/>
      <c r="C9330" s="85"/>
      <c r="F9330" s="92"/>
      <c r="G9330" s="85"/>
    </row>
    <row r="9331">
      <c r="A9331" s="84"/>
      <c r="B9331" s="85"/>
      <c r="C9331" s="85"/>
      <c r="F9331" s="92"/>
      <c r="G9331" s="85"/>
    </row>
    <row r="9332">
      <c r="A9332" s="84"/>
      <c r="B9332" s="85"/>
      <c r="C9332" s="85"/>
      <c r="F9332" s="92"/>
      <c r="G9332" s="85"/>
    </row>
    <row r="9333">
      <c r="A9333" s="84"/>
      <c r="B9333" s="85"/>
      <c r="C9333" s="85"/>
      <c r="F9333" s="92"/>
      <c r="G9333" s="85"/>
    </row>
    <row r="9334">
      <c r="A9334" s="84"/>
      <c r="B9334" s="85"/>
      <c r="C9334" s="85"/>
      <c r="F9334" s="92"/>
      <c r="G9334" s="85"/>
    </row>
    <row r="9335">
      <c r="A9335" s="84"/>
      <c r="B9335" s="85"/>
      <c r="C9335" s="85"/>
      <c r="F9335" s="92"/>
      <c r="G9335" s="85"/>
    </row>
    <row r="9336">
      <c r="A9336" s="84"/>
      <c r="B9336" s="85"/>
      <c r="C9336" s="85"/>
      <c r="F9336" s="92"/>
      <c r="G9336" s="85"/>
    </row>
    <row r="9337">
      <c r="A9337" s="84"/>
      <c r="B9337" s="85"/>
      <c r="C9337" s="85"/>
      <c r="F9337" s="92"/>
      <c r="G9337" s="85"/>
    </row>
    <row r="9338">
      <c r="A9338" s="84"/>
      <c r="B9338" s="85"/>
      <c r="C9338" s="85"/>
      <c r="F9338" s="92"/>
      <c r="G9338" s="85"/>
    </row>
    <row r="9339">
      <c r="A9339" s="84"/>
      <c r="B9339" s="85"/>
      <c r="C9339" s="85"/>
      <c r="F9339" s="92"/>
      <c r="G9339" s="85"/>
    </row>
    <row r="9340">
      <c r="A9340" s="84"/>
      <c r="B9340" s="85"/>
      <c r="C9340" s="85"/>
      <c r="F9340" s="92"/>
      <c r="G9340" s="85"/>
    </row>
    <row r="9341">
      <c r="A9341" s="84"/>
      <c r="B9341" s="85"/>
      <c r="C9341" s="85"/>
      <c r="F9341" s="92"/>
      <c r="G9341" s="85"/>
    </row>
    <row r="9342">
      <c r="A9342" s="84"/>
      <c r="B9342" s="85"/>
      <c r="C9342" s="85"/>
      <c r="F9342" s="92"/>
      <c r="G9342" s="85"/>
    </row>
    <row r="9343">
      <c r="A9343" s="84"/>
      <c r="B9343" s="85"/>
      <c r="C9343" s="85"/>
      <c r="F9343" s="92"/>
      <c r="G9343" s="85"/>
    </row>
    <row r="9344">
      <c r="A9344" s="84"/>
      <c r="B9344" s="85"/>
      <c r="C9344" s="85"/>
      <c r="F9344" s="92"/>
      <c r="G9344" s="85"/>
    </row>
    <row r="9345">
      <c r="A9345" s="84"/>
      <c r="B9345" s="85"/>
      <c r="C9345" s="85"/>
      <c r="F9345" s="92"/>
      <c r="G9345" s="85"/>
    </row>
    <row r="9346">
      <c r="A9346" s="84"/>
      <c r="B9346" s="85"/>
      <c r="C9346" s="85"/>
      <c r="F9346" s="92"/>
      <c r="G9346" s="85"/>
    </row>
    <row r="9347">
      <c r="A9347" s="84"/>
      <c r="B9347" s="85"/>
      <c r="C9347" s="85"/>
      <c r="F9347" s="92"/>
      <c r="G9347" s="85"/>
    </row>
    <row r="9348">
      <c r="A9348" s="84"/>
      <c r="B9348" s="85"/>
      <c r="C9348" s="85"/>
      <c r="F9348" s="92"/>
      <c r="G9348" s="85"/>
    </row>
    <row r="9349">
      <c r="A9349" s="84"/>
      <c r="B9349" s="85"/>
      <c r="C9349" s="85"/>
      <c r="F9349" s="92"/>
      <c r="G9349" s="85"/>
    </row>
    <row r="9350">
      <c r="A9350" s="84"/>
      <c r="B9350" s="85"/>
      <c r="C9350" s="85"/>
      <c r="F9350" s="92"/>
      <c r="G9350" s="85"/>
    </row>
    <row r="9351">
      <c r="A9351" s="84"/>
      <c r="B9351" s="85"/>
      <c r="C9351" s="85"/>
      <c r="F9351" s="92"/>
      <c r="G9351" s="85"/>
    </row>
    <row r="9352">
      <c r="A9352" s="84"/>
      <c r="B9352" s="85"/>
      <c r="C9352" s="85"/>
      <c r="F9352" s="92"/>
      <c r="G9352" s="85"/>
    </row>
    <row r="9353">
      <c r="A9353" s="84"/>
      <c r="B9353" s="85"/>
      <c r="C9353" s="85"/>
      <c r="F9353" s="92"/>
      <c r="G9353" s="85"/>
    </row>
    <row r="9354">
      <c r="A9354" s="84"/>
      <c r="B9354" s="85"/>
      <c r="C9354" s="85"/>
      <c r="F9354" s="92"/>
      <c r="G9354" s="85"/>
    </row>
    <row r="9355">
      <c r="A9355" s="84"/>
      <c r="B9355" s="85"/>
      <c r="C9355" s="85"/>
      <c r="F9355" s="92"/>
      <c r="G9355" s="85"/>
    </row>
    <row r="9356">
      <c r="A9356" s="84"/>
      <c r="B9356" s="85"/>
      <c r="C9356" s="85"/>
      <c r="F9356" s="92"/>
      <c r="G9356" s="85"/>
    </row>
    <row r="9357">
      <c r="A9357" s="84"/>
      <c r="B9357" s="85"/>
      <c r="C9357" s="85"/>
      <c r="F9357" s="92"/>
      <c r="G9357" s="85"/>
    </row>
    <row r="9358">
      <c r="A9358" s="84"/>
      <c r="B9358" s="85"/>
      <c r="C9358" s="85"/>
      <c r="F9358" s="92"/>
      <c r="G9358" s="85"/>
    </row>
    <row r="9359">
      <c r="A9359" s="84"/>
      <c r="B9359" s="85"/>
      <c r="C9359" s="85"/>
      <c r="F9359" s="92"/>
      <c r="G9359" s="85"/>
    </row>
    <row r="9360">
      <c r="A9360" s="84"/>
      <c r="B9360" s="85"/>
      <c r="C9360" s="85"/>
      <c r="F9360" s="92"/>
      <c r="G9360" s="85"/>
    </row>
    <row r="9361">
      <c r="A9361" s="84"/>
      <c r="B9361" s="85"/>
      <c r="C9361" s="85"/>
      <c r="F9361" s="92"/>
      <c r="G9361" s="85"/>
    </row>
    <row r="9362">
      <c r="A9362" s="84"/>
      <c r="B9362" s="85"/>
      <c r="C9362" s="85"/>
      <c r="F9362" s="92"/>
      <c r="G9362" s="85"/>
    </row>
    <row r="9363">
      <c r="A9363" s="84"/>
      <c r="B9363" s="85"/>
      <c r="C9363" s="85"/>
      <c r="F9363" s="92"/>
      <c r="G9363" s="85"/>
    </row>
    <row r="9364">
      <c r="A9364" s="84"/>
      <c r="B9364" s="85"/>
      <c r="C9364" s="85"/>
      <c r="F9364" s="92"/>
      <c r="G9364" s="85"/>
    </row>
    <row r="9365">
      <c r="A9365" s="84"/>
      <c r="B9365" s="85"/>
      <c r="C9365" s="85"/>
      <c r="F9365" s="92"/>
      <c r="G9365" s="85"/>
    </row>
    <row r="9366">
      <c r="A9366" s="84"/>
      <c r="B9366" s="85"/>
      <c r="C9366" s="85"/>
      <c r="F9366" s="92"/>
      <c r="G9366" s="85"/>
    </row>
    <row r="9367">
      <c r="A9367" s="84"/>
      <c r="B9367" s="85"/>
      <c r="C9367" s="85"/>
      <c r="F9367" s="92"/>
      <c r="G9367" s="85"/>
    </row>
    <row r="9368">
      <c r="A9368" s="84"/>
      <c r="B9368" s="85"/>
      <c r="C9368" s="85"/>
      <c r="F9368" s="92"/>
      <c r="G9368" s="85"/>
    </row>
    <row r="9369">
      <c r="A9369" s="84"/>
      <c r="B9369" s="85"/>
      <c r="C9369" s="85"/>
      <c r="F9369" s="92"/>
      <c r="G9369" s="85"/>
    </row>
    <row r="9370">
      <c r="A9370" s="84"/>
      <c r="B9370" s="85"/>
      <c r="C9370" s="85"/>
      <c r="F9370" s="92"/>
      <c r="G9370" s="85"/>
    </row>
    <row r="9371">
      <c r="A9371" s="84"/>
      <c r="B9371" s="85"/>
      <c r="C9371" s="85"/>
      <c r="F9371" s="92"/>
      <c r="G9371" s="85"/>
    </row>
    <row r="9372">
      <c r="A9372" s="84"/>
      <c r="B9372" s="85"/>
      <c r="C9372" s="85"/>
      <c r="F9372" s="92"/>
      <c r="G9372" s="85"/>
    </row>
    <row r="9373">
      <c r="A9373" s="84"/>
      <c r="B9373" s="85"/>
      <c r="C9373" s="85"/>
      <c r="F9373" s="92"/>
      <c r="G9373" s="85"/>
    </row>
    <row r="9374">
      <c r="A9374" s="84"/>
      <c r="B9374" s="85"/>
      <c r="C9374" s="85"/>
      <c r="F9374" s="92"/>
      <c r="G9374" s="85"/>
    </row>
    <row r="9375">
      <c r="A9375" s="84"/>
      <c r="B9375" s="85"/>
      <c r="C9375" s="85"/>
      <c r="F9375" s="92"/>
      <c r="G9375" s="85"/>
    </row>
    <row r="9376">
      <c r="A9376" s="84"/>
      <c r="B9376" s="85"/>
      <c r="C9376" s="85"/>
      <c r="F9376" s="92"/>
      <c r="G9376" s="85"/>
    </row>
    <row r="9377">
      <c r="A9377" s="84"/>
      <c r="B9377" s="85"/>
      <c r="C9377" s="85"/>
      <c r="F9377" s="92"/>
      <c r="G9377" s="85"/>
    </row>
    <row r="9378">
      <c r="A9378" s="84"/>
      <c r="B9378" s="85"/>
      <c r="C9378" s="85"/>
      <c r="F9378" s="92"/>
      <c r="G9378" s="85"/>
    </row>
    <row r="9379">
      <c r="A9379" s="84"/>
      <c r="B9379" s="85"/>
      <c r="C9379" s="85"/>
      <c r="F9379" s="92"/>
      <c r="G9379" s="85"/>
    </row>
    <row r="9380">
      <c r="A9380" s="84"/>
      <c r="B9380" s="85"/>
      <c r="C9380" s="85"/>
      <c r="F9380" s="92"/>
      <c r="G9380" s="85"/>
    </row>
    <row r="9381">
      <c r="A9381" s="84"/>
      <c r="B9381" s="85"/>
      <c r="C9381" s="85"/>
      <c r="F9381" s="92"/>
      <c r="G9381" s="85"/>
    </row>
    <row r="9382">
      <c r="A9382" s="84"/>
      <c r="B9382" s="85"/>
      <c r="C9382" s="85"/>
      <c r="F9382" s="92"/>
      <c r="G9382" s="85"/>
    </row>
    <row r="9383">
      <c r="A9383" s="84"/>
      <c r="B9383" s="85"/>
      <c r="C9383" s="85"/>
      <c r="F9383" s="92"/>
      <c r="G9383" s="85"/>
    </row>
    <row r="9384">
      <c r="A9384" s="84"/>
      <c r="B9384" s="85"/>
      <c r="C9384" s="85"/>
      <c r="F9384" s="92"/>
      <c r="G9384" s="85"/>
    </row>
    <row r="9385">
      <c r="A9385" s="84"/>
      <c r="B9385" s="85"/>
      <c r="C9385" s="85"/>
      <c r="F9385" s="92"/>
      <c r="G9385" s="85"/>
    </row>
    <row r="9386">
      <c r="A9386" s="84"/>
      <c r="B9386" s="85"/>
      <c r="C9386" s="85"/>
      <c r="F9386" s="92"/>
      <c r="G9386" s="85"/>
    </row>
    <row r="9387">
      <c r="A9387" s="84"/>
      <c r="B9387" s="85"/>
      <c r="C9387" s="85"/>
      <c r="F9387" s="92"/>
      <c r="G9387" s="85"/>
    </row>
    <row r="9388">
      <c r="A9388" s="84"/>
      <c r="B9388" s="85"/>
      <c r="C9388" s="85"/>
      <c r="F9388" s="92"/>
      <c r="G9388" s="85"/>
    </row>
    <row r="9389">
      <c r="A9389" s="84"/>
      <c r="B9389" s="85"/>
      <c r="C9389" s="85"/>
      <c r="F9389" s="92"/>
      <c r="G9389" s="85"/>
    </row>
    <row r="9390">
      <c r="A9390" s="84"/>
      <c r="B9390" s="85"/>
      <c r="C9390" s="85"/>
      <c r="F9390" s="92"/>
      <c r="G9390" s="85"/>
    </row>
    <row r="9391">
      <c r="A9391" s="84"/>
      <c r="B9391" s="85"/>
      <c r="C9391" s="85"/>
      <c r="F9391" s="92"/>
      <c r="G9391" s="85"/>
    </row>
    <row r="9392">
      <c r="A9392" s="84"/>
      <c r="B9392" s="85"/>
      <c r="C9392" s="85"/>
      <c r="F9392" s="92"/>
      <c r="G9392" s="85"/>
    </row>
    <row r="9393">
      <c r="A9393" s="84"/>
      <c r="B9393" s="85"/>
      <c r="C9393" s="85"/>
      <c r="F9393" s="92"/>
      <c r="G9393" s="85"/>
    </row>
    <row r="9394">
      <c r="A9394" s="84"/>
      <c r="B9394" s="85"/>
      <c r="C9394" s="85"/>
      <c r="F9394" s="92"/>
      <c r="G9394" s="85"/>
    </row>
    <row r="9395">
      <c r="A9395" s="84"/>
      <c r="B9395" s="85"/>
      <c r="C9395" s="85"/>
      <c r="F9395" s="92"/>
      <c r="G9395" s="85"/>
    </row>
    <row r="9396">
      <c r="A9396" s="84"/>
      <c r="B9396" s="85"/>
      <c r="C9396" s="85"/>
      <c r="F9396" s="92"/>
      <c r="G9396" s="85"/>
    </row>
    <row r="9397">
      <c r="A9397" s="84"/>
      <c r="B9397" s="85"/>
      <c r="C9397" s="85"/>
      <c r="F9397" s="92"/>
      <c r="G9397" s="85"/>
    </row>
    <row r="9398">
      <c r="A9398" s="84"/>
      <c r="B9398" s="85"/>
      <c r="C9398" s="85"/>
      <c r="F9398" s="92"/>
      <c r="G9398" s="85"/>
    </row>
    <row r="9399">
      <c r="A9399" s="84"/>
      <c r="B9399" s="85"/>
      <c r="C9399" s="85"/>
      <c r="F9399" s="92"/>
      <c r="G9399" s="85"/>
    </row>
    <row r="9400">
      <c r="A9400" s="84"/>
      <c r="B9400" s="85"/>
      <c r="C9400" s="85"/>
      <c r="F9400" s="92"/>
      <c r="G9400" s="85"/>
    </row>
    <row r="9401">
      <c r="A9401" s="84"/>
      <c r="B9401" s="85"/>
      <c r="C9401" s="85"/>
      <c r="F9401" s="92"/>
      <c r="G9401" s="85"/>
    </row>
    <row r="9402">
      <c r="A9402" s="84"/>
      <c r="B9402" s="85"/>
      <c r="C9402" s="85"/>
      <c r="F9402" s="92"/>
      <c r="G9402" s="85"/>
    </row>
    <row r="9403">
      <c r="A9403" s="84"/>
      <c r="B9403" s="85"/>
      <c r="C9403" s="85"/>
      <c r="F9403" s="92"/>
      <c r="G9403" s="85"/>
    </row>
    <row r="9404">
      <c r="A9404" s="84"/>
      <c r="B9404" s="85"/>
      <c r="C9404" s="85"/>
      <c r="F9404" s="92"/>
      <c r="G9404" s="85"/>
    </row>
    <row r="9405">
      <c r="A9405" s="84"/>
      <c r="B9405" s="85"/>
      <c r="C9405" s="85"/>
      <c r="F9405" s="92"/>
      <c r="G9405" s="85"/>
    </row>
    <row r="9406">
      <c r="A9406" s="84"/>
      <c r="B9406" s="85"/>
      <c r="C9406" s="85"/>
      <c r="F9406" s="92"/>
      <c r="G9406" s="85"/>
    </row>
    <row r="9407">
      <c r="A9407" s="84"/>
      <c r="B9407" s="85"/>
      <c r="C9407" s="85"/>
      <c r="F9407" s="92"/>
      <c r="G9407" s="85"/>
    </row>
    <row r="9408">
      <c r="A9408" s="84"/>
      <c r="B9408" s="85"/>
      <c r="C9408" s="85"/>
      <c r="F9408" s="92"/>
      <c r="G9408" s="85"/>
    </row>
    <row r="9409">
      <c r="A9409" s="84"/>
      <c r="B9409" s="85"/>
      <c r="C9409" s="85"/>
      <c r="F9409" s="92"/>
      <c r="G9409" s="85"/>
    </row>
    <row r="9410">
      <c r="A9410" s="84"/>
      <c r="B9410" s="85"/>
      <c r="C9410" s="85"/>
      <c r="F9410" s="92"/>
      <c r="G9410" s="85"/>
    </row>
    <row r="9411">
      <c r="A9411" s="84"/>
      <c r="B9411" s="85"/>
      <c r="C9411" s="85"/>
      <c r="F9411" s="92"/>
      <c r="G9411" s="85"/>
    </row>
    <row r="9412">
      <c r="A9412" s="84"/>
      <c r="B9412" s="85"/>
      <c r="C9412" s="85"/>
      <c r="F9412" s="92"/>
      <c r="G9412" s="85"/>
    </row>
    <row r="9413">
      <c r="A9413" s="84"/>
      <c r="B9413" s="85"/>
      <c r="C9413" s="85"/>
      <c r="F9413" s="92"/>
      <c r="G9413" s="85"/>
    </row>
    <row r="9414">
      <c r="A9414" s="84"/>
      <c r="B9414" s="85"/>
      <c r="C9414" s="85"/>
      <c r="F9414" s="92"/>
      <c r="G9414" s="85"/>
    </row>
    <row r="9415">
      <c r="A9415" s="84"/>
      <c r="B9415" s="85"/>
      <c r="C9415" s="85"/>
      <c r="F9415" s="92"/>
      <c r="G9415" s="85"/>
    </row>
    <row r="9416">
      <c r="A9416" s="84"/>
      <c r="B9416" s="85"/>
      <c r="C9416" s="85"/>
      <c r="F9416" s="92"/>
      <c r="G9416" s="85"/>
    </row>
    <row r="9417">
      <c r="A9417" s="84"/>
      <c r="B9417" s="85"/>
      <c r="C9417" s="85"/>
      <c r="F9417" s="92"/>
      <c r="G9417" s="85"/>
    </row>
    <row r="9418">
      <c r="A9418" s="84"/>
      <c r="B9418" s="85"/>
      <c r="C9418" s="85"/>
      <c r="F9418" s="92"/>
      <c r="G9418" s="85"/>
    </row>
    <row r="9419">
      <c r="A9419" s="84"/>
      <c r="B9419" s="85"/>
      <c r="C9419" s="85"/>
      <c r="F9419" s="92"/>
      <c r="G9419" s="85"/>
    </row>
    <row r="9420">
      <c r="A9420" s="84"/>
      <c r="B9420" s="85"/>
      <c r="C9420" s="85"/>
      <c r="F9420" s="92"/>
      <c r="G9420" s="85"/>
    </row>
    <row r="9421">
      <c r="A9421" s="84"/>
      <c r="B9421" s="85"/>
      <c r="C9421" s="85"/>
      <c r="F9421" s="92"/>
      <c r="G9421" s="85"/>
    </row>
    <row r="9422">
      <c r="A9422" s="84"/>
      <c r="B9422" s="85"/>
      <c r="C9422" s="85"/>
      <c r="F9422" s="92"/>
      <c r="G9422" s="85"/>
    </row>
    <row r="9423">
      <c r="A9423" s="84"/>
      <c r="B9423" s="85"/>
      <c r="C9423" s="85"/>
      <c r="F9423" s="92"/>
      <c r="G9423" s="85"/>
    </row>
    <row r="9424">
      <c r="A9424" s="84"/>
      <c r="B9424" s="85"/>
      <c r="C9424" s="85"/>
      <c r="F9424" s="92"/>
      <c r="G9424" s="85"/>
    </row>
    <row r="9425">
      <c r="A9425" s="84"/>
      <c r="B9425" s="85"/>
      <c r="C9425" s="85"/>
      <c r="F9425" s="92"/>
      <c r="G9425" s="85"/>
    </row>
    <row r="9426">
      <c r="A9426" s="84"/>
      <c r="B9426" s="85"/>
      <c r="C9426" s="85"/>
      <c r="F9426" s="92"/>
      <c r="G9426" s="85"/>
    </row>
    <row r="9427">
      <c r="A9427" s="84"/>
      <c r="B9427" s="85"/>
      <c r="C9427" s="85"/>
      <c r="F9427" s="92"/>
      <c r="G9427" s="85"/>
    </row>
    <row r="9428">
      <c r="A9428" s="84"/>
      <c r="B9428" s="85"/>
      <c r="C9428" s="85"/>
      <c r="F9428" s="92"/>
      <c r="G9428" s="85"/>
    </row>
    <row r="9429">
      <c r="A9429" s="84"/>
      <c r="B9429" s="85"/>
      <c r="C9429" s="85"/>
      <c r="F9429" s="92"/>
      <c r="G9429" s="85"/>
    </row>
    <row r="9430">
      <c r="A9430" s="84"/>
      <c r="B9430" s="85"/>
      <c r="C9430" s="85"/>
      <c r="F9430" s="92"/>
      <c r="G9430" s="85"/>
    </row>
    <row r="9431">
      <c r="A9431" s="84"/>
      <c r="B9431" s="85"/>
      <c r="C9431" s="85"/>
      <c r="F9431" s="92"/>
      <c r="G9431" s="85"/>
    </row>
    <row r="9432">
      <c r="A9432" s="84"/>
      <c r="B9432" s="85"/>
      <c r="C9432" s="85"/>
      <c r="F9432" s="92"/>
      <c r="G9432" s="85"/>
    </row>
    <row r="9433">
      <c r="A9433" s="84"/>
      <c r="B9433" s="85"/>
      <c r="C9433" s="85"/>
      <c r="F9433" s="92"/>
      <c r="G9433" s="85"/>
    </row>
    <row r="9434">
      <c r="A9434" s="84"/>
      <c r="B9434" s="85"/>
      <c r="C9434" s="85"/>
      <c r="F9434" s="92"/>
      <c r="G9434" s="85"/>
    </row>
    <row r="9435">
      <c r="A9435" s="84"/>
      <c r="B9435" s="85"/>
      <c r="C9435" s="85"/>
      <c r="F9435" s="92"/>
      <c r="G9435" s="85"/>
    </row>
    <row r="9436">
      <c r="A9436" s="84"/>
      <c r="B9436" s="85"/>
      <c r="C9436" s="85"/>
      <c r="F9436" s="92"/>
      <c r="G9436" s="85"/>
    </row>
    <row r="9437">
      <c r="A9437" s="84"/>
      <c r="B9437" s="85"/>
      <c r="C9437" s="85"/>
      <c r="F9437" s="92"/>
      <c r="G9437" s="85"/>
    </row>
    <row r="9438">
      <c r="A9438" s="84"/>
      <c r="B9438" s="85"/>
      <c r="C9438" s="85"/>
      <c r="F9438" s="92"/>
      <c r="G9438" s="85"/>
    </row>
    <row r="9439">
      <c r="A9439" s="84"/>
      <c r="B9439" s="85"/>
      <c r="C9439" s="85"/>
      <c r="F9439" s="92"/>
      <c r="G9439" s="85"/>
    </row>
    <row r="9440">
      <c r="A9440" s="84"/>
      <c r="B9440" s="85"/>
      <c r="C9440" s="85"/>
      <c r="F9440" s="92"/>
      <c r="G9440" s="85"/>
    </row>
    <row r="9441">
      <c r="A9441" s="84"/>
      <c r="B9441" s="85"/>
      <c r="C9441" s="85"/>
      <c r="F9441" s="92"/>
      <c r="G9441" s="85"/>
    </row>
    <row r="9442">
      <c r="A9442" s="84"/>
      <c r="B9442" s="85"/>
      <c r="C9442" s="85"/>
      <c r="F9442" s="92"/>
      <c r="G9442" s="85"/>
    </row>
    <row r="9443">
      <c r="A9443" s="84"/>
      <c r="B9443" s="85"/>
      <c r="C9443" s="85"/>
      <c r="F9443" s="92"/>
      <c r="G9443" s="85"/>
    </row>
    <row r="9444">
      <c r="A9444" s="84"/>
      <c r="B9444" s="85"/>
      <c r="C9444" s="85"/>
      <c r="F9444" s="92"/>
      <c r="G9444" s="85"/>
    </row>
    <row r="9445">
      <c r="A9445" s="84"/>
      <c r="B9445" s="85"/>
      <c r="C9445" s="85"/>
      <c r="F9445" s="92"/>
      <c r="G9445" s="85"/>
    </row>
    <row r="9446">
      <c r="A9446" s="84"/>
      <c r="B9446" s="85"/>
      <c r="C9446" s="85"/>
      <c r="F9446" s="92"/>
      <c r="G9446" s="85"/>
    </row>
    <row r="9447">
      <c r="A9447" s="84"/>
      <c r="B9447" s="85"/>
      <c r="C9447" s="85"/>
      <c r="F9447" s="92"/>
      <c r="G9447" s="85"/>
    </row>
    <row r="9448">
      <c r="A9448" s="84"/>
      <c r="B9448" s="85"/>
      <c r="C9448" s="85"/>
      <c r="F9448" s="92"/>
      <c r="G9448" s="85"/>
    </row>
    <row r="9449">
      <c r="A9449" s="84"/>
      <c r="B9449" s="85"/>
      <c r="C9449" s="85"/>
      <c r="F9449" s="92"/>
      <c r="G9449" s="85"/>
    </row>
    <row r="9450">
      <c r="A9450" s="84"/>
      <c r="B9450" s="85"/>
      <c r="C9450" s="85"/>
      <c r="F9450" s="92"/>
      <c r="G9450" s="85"/>
    </row>
    <row r="9451">
      <c r="A9451" s="84"/>
      <c r="B9451" s="85"/>
      <c r="C9451" s="85"/>
      <c r="F9451" s="92"/>
      <c r="G9451" s="85"/>
    </row>
    <row r="9452">
      <c r="A9452" s="84"/>
      <c r="B9452" s="85"/>
      <c r="C9452" s="85"/>
      <c r="F9452" s="92"/>
      <c r="G9452" s="85"/>
    </row>
    <row r="9453">
      <c r="A9453" s="84"/>
      <c r="B9453" s="85"/>
      <c r="C9453" s="85"/>
      <c r="F9453" s="92"/>
      <c r="G9453" s="85"/>
    </row>
    <row r="9454">
      <c r="A9454" s="84"/>
      <c r="B9454" s="85"/>
      <c r="C9454" s="85"/>
      <c r="F9454" s="92"/>
      <c r="G9454" s="85"/>
    </row>
    <row r="9455">
      <c r="A9455" s="84"/>
      <c r="B9455" s="85"/>
      <c r="C9455" s="85"/>
      <c r="F9455" s="92"/>
      <c r="G9455" s="85"/>
    </row>
    <row r="9456">
      <c r="A9456" s="84"/>
      <c r="B9456" s="85"/>
      <c r="C9456" s="85"/>
      <c r="F9456" s="92"/>
      <c r="G9456" s="85"/>
    </row>
    <row r="9457">
      <c r="A9457" s="84"/>
      <c r="B9457" s="85"/>
      <c r="C9457" s="85"/>
      <c r="F9457" s="92"/>
      <c r="G9457" s="85"/>
    </row>
    <row r="9458">
      <c r="A9458" s="84"/>
      <c r="B9458" s="85"/>
      <c r="C9458" s="85"/>
      <c r="F9458" s="92"/>
      <c r="G9458" s="85"/>
    </row>
    <row r="9459">
      <c r="A9459" s="84"/>
      <c r="B9459" s="85"/>
      <c r="C9459" s="85"/>
      <c r="F9459" s="92"/>
      <c r="G9459" s="85"/>
    </row>
    <row r="9460">
      <c r="A9460" s="84"/>
      <c r="B9460" s="85"/>
      <c r="C9460" s="85"/>
      <c r="F9460" s="92"/>
      <c r="G9460" s="85"/>
    </row>
    <row r="9461">
      <c r="A9461" s="84"/>
      <c r="B9461" s="85"/>
      <c r="C9461" s="85"/>
      <c r="F9461" s="92"/>
      <c r="G9461" s="85"/>
    </row>
    <row r="9462">
      <c r="A9462" s="84"/>
      <c r="B9462" s="85"/>
      <c r="C9462" s="85"/>
      <c r="F9462" s="92"/>
      <c r="G9462" s="85"/>
    </row>
    <row r="9463">
      <c r="A9463" s="84"/>
      <c r="B9463" s="85"/>
      <c r="C9463" s="85"/>
      <c r="F9463" s="92"/>
      <c r="G9463" s="85"/>
    </row>
    <row r="9464">
      <c r="A9464" s="84"/>
      <c r="B9464" s="85"/>
      <c r="C9464" s="85"/>
      <c r="F9464" s="92"/>
      <c r="G9464" s="85"/>
    </row>
    <row r="9465">
      <c r="A9465" s="84"/>
      <c r="B9465" s="85"/>
      <c r="C9465" s="85"/>
      <c r="F9465" s="92"/>
      <c r="G9465" s="85"/>
    </row>
    <row r="9466">
      <c r="A9466" s="84"/>
      <c r="B9466" s="85"/>
      <c r="C9466" s="85"/>
      <c r="F9466" s="92"/>
      <c r="G9466" s="85"/>
    </row>
    <row r="9467">
      <c r="A9467" s="84"/>
      <c r="B9467" s="85"/>
      <c r="C9467" s="85"/>
      <c r="F9467" s="92"/>
      <c r="G9467" s="85"/>
    </row>
    <row r="9468">
      <c r="A9468" s="84"/>
      <c r="B9468" s="85"/>
      <c r="C9468" s="85"/>
      <c r="F9468" s="92"/>
      <c r="G9468" s="85"/>
    </row>
    <row r="9469">
      <c r="A9469" s="84"/>
      <c r="B9469" s="85"/>
      <c r="C9469" s="85"/>
      <c r="F9469" s="92"/>
      <c r="G9469" s="85"/>
    </row>
    <row r="9470">
      <c r="A9470" s="84"/>
      <c r="B9470" s="85"/>
      <c r="C9470" s="85"/>
      <c r="F9470" s="92"/>
      <c r="G9470" s="85"/>
    </row>
    <row r="9471">
      <c r="A9471" s="84"/>
      <c r="B9471" s="85"/>
      <c r="C9471" s="85"/>
      <c r="F9471" s="92"/>
      <c r="G9471" s="85"/>
    </row>
    <row r="9472">
      <c r="A9472" s="84"/>
      <c r="B9472" s="85"/>
      <c r="C9472" s="85"/>
      <c r="F9472" s="92"/>
      <c r="G9472" s="85"/>
    </row>
    <row r="9473">
      <c r="A9473" s="84"/>
      <c r="B9473" s="85"/>
      <c r="C9473" s="85"/>
      <c r="F9473" s="92"/>
      <c r="G9473" s="85"/>
    </row>
    <row r="9474">
      <c r="A9474" s="84"/>
      <c r="B9474" s="85"/>
      <c r="C9474" s="85"/>
      <c r="F9474" s="92"/>
      <c r="G9474" s="85"/>
    </row>
    <row r="9475">
      <c r="A9475" s="84"/>
      <c r="B9475" s="85"/>
      <c r="C9475" s="85"/>
      <c r="F9475" s="92"/>
      <c r="G9475" s="85"/>
    </row>
    <row r="9476">
      <c r="A9476" s="84"/>
      <c r="B9476" s="85"/>
      <c r="C9476" s="85"/>
      <c r="F9476" s="92"/>
      <c r="G9476" s="85"/>
    </row>
    <row r="9477">
      <c r="A9477" s="84"/>
      <c r="B9477" s="85"/>
      <c r="C9477" s="85"/>
      <c r="F9477" s="92"/>
      <c r="G9477" s="85"/>
    </row>
    <row r="9478">
      <c r="A9478" s="84"/>
      <c r="B9478" s="85"/>
      <c r="C9478" s="85"/>
      <c r="F9478" s="92"/>
      <c r="G9478" s="85"/>
    </row>
    <row r="9479">
      <c r="A9479" s="84"/>
      <c r="B9479" s="85"/>
      <c r="C9479" s="85"/>
      <c r="F9479" s="92"/>
      <c r="G9479" s="85"/>
    </row>
    <row r="9480">
      <c r="A9480" s="84"/>
      <c r="B9480" s="85"/>
      <c r="C9480" s="85"/>
      <c r="F9480" s="92"/>
      <c r="G9480" s="85"/>
    </row>
    <row r="9481">
      <c r="A9481" s="84"/>
      <c r="B9481" s="85"/>
      <c r="C9481" s="85"/>
      <c r="F9481" s="92"/>
      <c r="G9481" s="85"/>
    </row>
    <row r="9482">
      <c r="A9482" s="84"/>
      <c r="B9482" s="85"/>
      <c r="C9482" s="85"/>
      <c r="F9482" s="92"/>
      <c r="G9482" s="85"/>
    </row>
    <row r="9483">
      <c r="A9483" s="84"/>
      <c r="B9483" s="85"/>
      <c r="C9483" s="85"/>
      <c r="F9483" s="92"/>
      <c r="G9483" s="85"/>
    </row>
    <row r="9484">
      <c r="A9484" s="84"/>
      <c r="B9484" s="85"/>
      <c r="C9484" s="85"/>
      <c r="F9484" s="92"/>
      <c r="G9484" s="85"/>
    </row>
    <row r="9485">
      <c r="A9485" s="84"/>
      <c r="B9485" s="85"/>
      <c r="C9485" s="85"/>
      <c r="F9485" s="92"/>
      <c r="G9485" s="85"/>
    </row>
    <row r="9486">
      <c r="A9486" s="84"/>
      <c r="B9486" s="85"/>
      <c r="C9486" s="85"/>
      <c r="F9486" s="92"/>
      <c r="G9486" s="85"/>
    </row>
    <row r="9487">
      <c r="A9487" s="84"/>
      <c r="B9487" s="85"/>
      <c r="C9487" s="85"/>
      <c r="F9487" s="92"/>
      <c r="G9487" s="85"/>
    </row>
    <row r="9488">
      <c r="A9488" s="84"/>
      <c r="B9488" s="85"/>
      <c r="C9488" s="85"/>
      <c r="F9488" s="92"/>
      <c r="G9488" s="85"/>
    </row>
    <row r="9489">
      <c r="A9489" s="84"/>
      <c r="B9489" s="85"/>
      <c r="C9489" s="85"/>
      <c r="F9489" s="92"/>
      <c r="G9489" s="85"/>
    </row>
    <row r="9490">
      <c r="A9490" s="84"/>
      <c r="B9490" s="85"/>
      <c r="C9490" s="85"/>
      <c r="F9490" s="92"/>
      <c r="G9490" s="85"/>
    </row>
    <row r="9491">
      <c r="A9491" s="84"/>
      <c r="B9491" s="85"/>
      <c r="C9491" s="85"/>
      <c r="F9491" s="92"/>
      <c r="G9491" s="85"/>
    </row>
    <row r="9492">
      <c r="A9492" s="84"/>
      <c r="B9492" s="85"/>
      <c r="C9492" s="85"/>
      <c r="F9492" s="92"/>
      <c r="G9492" s="85"/>
    </row>
    <row r="9493">
      <c r="A9493" s="84"/>
      <c r="B9493" s="85"/>
      <c r="C9493" s="85"/>
      <c r="F9493" s="92"/>
      <c r="G9493" s="85"/>
    </row>
    <row r="9494">
      <c r="A9494" s="84"/>
      <c r="B9494" s="85"/>
      <c r="C9494" s="85"/>
      <c r="F9494" s="92"/>
      <c r="G9494" s="85"/>
    </row>
    <row r="9495">
      <c r="A9495" s="84"/>
      <c r="B9495" s="85"/>
      <c r="C9495" s="85"/>
      <c r="F9495" s="92"/>
      <c r="G9495" s="85"/>
    </row>
    <row r="9496">
      <c r="A9496" s="84"/>
      <c r="B9496" s="85"/>
      <c r="C9496" s="85"/>
      <c r="F9496" s="92"/>
      <c r="G9496" s="85"/>
    </row>
    <row r="9497">
      <c r="A9497" s="84"/>
      <c r="B9497" s="85"/>
      <c r="C9497" s="85"/>
      <c r="F9497" s="92"/>
      <c r="G9497" s="85"/>
    </row>
    <row r="9498">
      <c r="A9498" s="84"/>
      <c r="B9498" s="85"/>
      <c r="C9498" s="85"/>
      <c r="F9498" s="92"/>
      <c r="G9498" s="85"/>
    </row>
    <row r="9499">
      <c r="A9499" s="84"/>
      <c r="B9499" s="85"/>
      <c r="C9499" s="85"/>
      <c r="F9499" s="92"/>
      <c r="G9499" s="85"/>
    </row>
    <row r="9500">
      <c r="A9500" s="84"/>
      <c r="B9500" s="85"/>
      <c r="C9500" s="85"/>
      <c r="F9500" s="92"/>
      <c r="G9500" s="85"/>
    </row>
    <row r="9501">
      <c r="A9501" s="84"/>
      <c r="B9501" s="85"/>
      <c r="C9501" s="85"/>
      <c r="F9501" s="92"/>
      <c r="G9501" s="85"/>
    </row>
    <row r="9502">
      <c r="A9502" s="84"/>
      <c r="B9502" s="85"/>
      <c r="C9502" s="85"/>
      <c r="F9502" s="92"/>
      <c r="G9502" s="85"/>
    </row>
    <row r="9503">
      <c r="A9503" s="84"/>
      <c r="B9503" s="85"/>
      <c r="C9503" s="85"/>
      <c r="F9503" s="92"/>
      <c r="G9503" s="85"/>
    </row>
    <row r="9504">
      <c r="A9504" s="84"/>
      <c r="B9504" s="85"/>
      <c r="C9504" s="85"/>
      <c r="F9504" s="92"/>
      <c r="G9504" s="85"/>
    </row>
    <row r="9505">
      <c r="A9505" s="84"/>
      <c r="B9505" s="85"/>
      <c r="C9505" s="85"/>
      <c r="F9505" s="92"/>
      <c r="G9505" s="85"/>
    </row>
    <row r="9506">
      <c r="A9506" s="84"/>
      <c r="B9506" s="85"/>
      <c r="C9506" s="85"/>
      <c r="F9506" s="92"/>
      <c r="G9506" s="85"/>
    </row>
    <row r="9507">
      <c r="A9507" s="84"/>
      <c r="B9507" s="85"/>
      <c r="C9507" s="85"/>
      <c r="F9507" s="92"/>
      <c r="G9507" s="85"/>
    </row>
    <row r="9508">
      <c r="A9508" s="84"/>
      <c r="B9508" s="85"/>
      <c r="C9508" s="85"/>
      <c r="F9508" s="92"/>
      <c r="G9508" s="85"/>
    </row>
    <row r="9509">
      <c r="A9509" s="84"/>
      <c r="B9509" s="85"/>
      <c r="C9509" s="85"/>
      <c r="F9509" s="92"/>
      <c r="G9509" s="85"/>
    </row>
    <row r="9510">
      <c r="A9510" s="84"/>
      <c r="B9510" s="85"/>
      <c r="C9510" s="85"/>
      <c r="F9510" s="92"/>
      <c r="G9510" s="85"/>
    </row>
    <row r="9511">
      <c r="A9511" s="84"/>
      <c r="B9511" s="85"/>
      <c r="C9511" s="85"/>
      <c r="F9511" s="92"/>
      <c r="G9511" s="85"/>
    </row>
    <row r="9512">
      <c r="A9512" s="84"/>
      <c r="B9512" s="85"/>
      <c r="C9512" s="85"/>
      <c r="F9512" s="92"/>
      <c r="G9512" s="85"/>
    </row>
    <row r="9513">
      <c r="A9513" s="84"/>
      <c r="B9513" s="85"/>
      <c r="C9513" s="85"/>
      <c r="F9513" s="92"/>
      <c r="G9513" s="85"/>
    </row>
    <row r="9514">
      <c r="A9514" s="84"/>
      <c r="B9514" s="85"/>
      <c r="C9514" s="85"/>
      <c r="F9514" s="92"/>
      <c r="G9514" s="85"/>
    </row>
    <row r="9515">
      <c r="A9515" s="84"/>
      <c r="B9515" s="85"/>
      <c r="C9515" s="85"/>
      <c r="F9515" s="92"/>
      <c r="G9515" s="85"/>
    </row>
    <row r="9516">
      <c r="A9516" s="84"/>
      <c r="B9516" s="85"/>
      <c r="C9516" s="85"/>
      <c r="F9516" s="92"/>
      <c r="G9516" s="85"/>
    </row>
    <row r="9517">
      <c r="A9517" s="84"/>
      <c r="B9517" s="85"/>
      <c r="C9517" s="85"/>
      <c r="F9517" s="92"/>
      <c r="G9517" s="85"/>
    </row>
    <row r="9518">
      <c r="A9518" s="84"/>
      <c r="B9518" s="85"/>
      <c r="C9518" s="85"/>
      <c r="F9518" s="92"/>
      <c r="G9518" s="85"/>
    </row>
    <row r="9519">
      <c r="A9519" s="84"/>
      <c r="B9519" s="85"/>
      <c r="C9519" s="85"/>
      <c r="F9519" s="92"/>
      <c r="G9519" s="85"/>
    </row>
    <row r="9520">
      <c r="A9520" s="84"/>
      <c r="B9520" s="85"/>
      <c r="C9520" s="85"/>
      <c r="F9520" s="92"/>
      <c r="G9520" s="85"/>
    </row>
    <row r="9521">
      <c r="A9521" s="84"/>
      <c r="B9521" s="85"/>
      <c r="C9521" s="85"/>
      <c r="F9521" s="92"/>
      <c r="G9521" s="85"/>
    </row>
    <row r="9522">
      <c r="A9522" s="84"/>
      <c r="B9522" s="85"/>
      <c r="C9522" s="85"/>
      <c r="F9522" s="92"/>
      <c r="G9522" s="85"/>
    </row>
    <row r="9523">
      <c r="A9523" s="84"/>
      <c r="B9523" s="85"/>
      <c r="C9523" s="85"/>
      <c r="F9523" s="92"/>
      <c r="G9523" s="85"/>
    </row>
    <row r="9524">
      <c r="A9524" s="84"/>
      <c r="B9524" s="85"/>
      <c r="C9524" s="85"/>
      <c r="F9524" s="92"/>
      <c r="G9524" s="85"/>
    </row>
    <row r="9525">
      <c r="A9525" s="84"/>
      <c r="B9525" s="85"/>
      <c r="C9525" s="85"/>
      <c r="F9525" s="92"/>
      <c r="G9525" s="85"/>
    </row>
    <row r="9526">
      <c r="A9526" s="84"/>
      <c r="B9526" s="85"/>
      <c r="C9526" s="85"/>
      <c r="F9526" s="92"/>
      <c r="G9526" s="85"/>
    </row>
    <row r="9527">
      <c r="A9527" s="84"/>
      <c r="B9527" s="85"/>
      <c r="C9527" s="85"/>
      <c r="F9527" s="92"/>
      <c r="G9527" s="85"/>
    </row>
    <row r="9528">
      <c r="A9528" s="84"/>
      <c r="B9528" s="85"/>
      <c r="C9528" s="85"/>
      <c r="F9528" s="92"/>
      <c r="G9528" s="85"/>
    </row>
    <row r="9529">
      <c r="A9529" s="84"/>
      <c r="B9529" s="85"/>
      <c r="C9529" s="85"/>
      <c r="F9529" s="92"/>
      <c r="G9529" s="85"/>
    </row>
    <row r="9530">
      <c r="A9530" s="84"/>
      <c r="B9530" s="85"/>
      <c r="C9530" s="85"/>
      <c r="F9530" s="92"/>
      <c r="G9530" s="85"/>
    </row>
    <row r="9531">
      <c r="A9531" s="84"/>
      <c r="B9531" s="85"/>
      <c r="C9531" s="85"/>
      <c r="F9531" s="92"/>
      <c r="G9531" s="85"/>
    </row>
    <row r="9532">
      <c r="A9532" s="84"/>
      <c r="B9532" s="85"/>
      <c r="C9532" s="85"/>
      <c r="F9532" s="92"/>
      <c r="G9532" s="85"/>
    </row>
    <row r="9533">
      <c r="A9533" s="84"/>
      <c r="B9533" s="85"/>
      <c r="C9533" s="85"/>
      <c r="F9533" s="92"/>
      <c r="G9533" s="85"/>
    </row>
    <row r="9534">
      <c r="A9534" s="84"/>
      <c r="B9534" s="85"/>
      <c r="C9534" s="85"/>
      <c r="F9534" s="92"/>
      <c r="G9534" s="85"/>
    </row>
    <row r="9535">
      <c r="A9535" s="84"/>
      <c r="B9535" s="85"/>
      <c r="C9535" s="85"/>
      <c r="F9535" s="92"/>
      <c r="G9535" s="85"/>
    </row>
    <row r="9536">
      <c r="A9536" s="84"/>
      <c r="B9536" s="85"/>
      <c r="C9536" s="85"/>
      <c r="F9536" s="92"/>
      <c r="G9536" s="85"/>
    </row>
    <row r="9537">
      <c r="A9537" s="84"/>
      <c r="B9537" s="85"/>
      <c r="C9537" s="85"/>
      <c r="F9537" s="92"/>
      <c r="G9537" s="85"/>
    </row>
    <row r="9538">
      <c r="A9538" s="84"/>
      <c r="B9538" s="85"/>
      <c r="C9538" s="85"/>
      <c r="F9538" s="92"/>
      <c r="G9538" s="85"/>
    </row>
    <row r="9539">
      <c r="A9539" s="84"/>
      <c r="B9539" s="85"/>
      <c r="C9539" s="85"/>
      <c r="F9539" s="92"/>
      <c r="G9539" s="85"/>
    </row>
    <row r="9540">
      <c r="A9540" s="84"/>
      <c r="B9540" s="85"/>
      <c r="C9540" s="85"/>
      <c r="F9540" s="92"/>
      <c r="G9540" s="85"/>
    </row>
    <row r="9541">
      <c r="A9541" s="84"/>
      <c r="B9541" s="85"/>
      <c r="C9541" s="85"/>
      <c r="F9541" s="92"/>
      <c r="G9541" s="85"/>
    </row>
    <row r="9542">
      <c r="A9542" s="84"/>
      <c r="B9542" s="85"/>
      <c r="C9542" s="85"/>
      <c r="F9542" s="92"/>
      <c r="G9542" s="85"/>
    </row>
    <row r="9543">
      <c r="A9543" s="84"/>
      <c r="B9543" s="85"/>
      <c r="C9543" s="85"/>
      <c r="F9543" s="92"/>
      <c r="G9543" s="85"/>
    </row>
    <row r="9544">
      <c r="A9544" s="84"/>
      <c r="B9544" s="85"/>
      <c r="C9544" s="85"/>
      <c r="F9544" s="92"/>
      <c r="G9544" s="85"/>
    </row>
    <row r="9545">
      <c r="A9545" s="84"/>
      <c r="B9545" s="85"/>
      <c r="C9545" s="85"/>
      <c r="F9545" s="92"/>
      <c r="G9545" s="85"/>
    </row>
    <row r="9546">
      <c r="A9546" s="84"/>
      <c r="B9546" s="85"/>
      <c r="C9546" s="85"/>
      <c r="F9546" s="92"/>
      <c r="G9546" s="85"/>
    </row>
    <row r="9547">
      <c r="A9547" s="84"/>
      <c r="B9547" s="85"/>
      <c r="C9547" s="85"/>
      <c r="F9547" s="92"/>
      <c r="G9547" s="85"/>
    </row>
    <row r="9548">
      <c r="A9548" s="84"/>
      <c r="B9548" s="85"/>
      <c r="C9548" s="85"/>
      <c r="F9548" s="92"/>
      <c r="G9548" s="85"/>
    </row>
    <row r="9549">
      <c r="A9549" s="84"/>
      <c r="B9549" s="85"/>
      <c r="C9549" s="85"/>
      <c r="F9549" s="92"/>
      <c r="G9549" s="85"/>
    </row>
    <row r="9550">
      <c r="A9550" s="84"/>
      <c r="B9550" s="85"/>
      <c r="C9550" s="85"/>
      <c r="F9550" s="92"/>
      <c r="G9550" s="85"/>
    </row>
    <row r="9551">
      <c r="A9551" s="84"/>
      <c r="B9551" s="85"/>
      <c r="C9551" s="85"/>
      <c r="F9551" s="92"/>
      <c r="G9551" s="85"/>
    </row>
    <row r="9552">
      <c r="A9552" s="84"/>
      <c r="B9552" s="85"/>
      <c r="C9552" s="85"/>
      <c r="F9552" s="92"/>
      <c r="G9552" s="85"/>
    </row>
    <row r="9553">
      <c r="A9553" s="84"/>
      <c r="B9553" s="85"/>
      <c r="C9553" s="85"/>
      <c r="F9553" s="92"/>
      <c r="G9553" s="85"/>
    </row>
    <row r="9554">
      <c r="A9554" s="84"/>
      <c r="B9554" s="85"/>
      <c r="C9554" s="85"/>
      <c r="F9554" s="92"/>
      <c r="G9554" s="85"/>
    </row>
    <row r="9555">
      <c r="A9555" s="84"/>
      <c r="B9555" s="85"/>
      <c r="C9555" s="85"/>
      <c r="F9555" s="92"/>
      <c r="G9555" s="85"/>
    </row>
    <row r="9556">
      <c r="A9556" s="84"/>
      <c r="B9556" s="85"/>
      <c r="C9556" s="85"/>
      <c r="F9556" s="92"/>
      <c r="G9556" s="85"/>
    </row>
    <row r="9557">
      <c r="A9557" s="84"/>
      <c r="B9557" s="85"/>
      <c r="C9557" s="85"/>
      <c r="F9557" s="92"/>
      <c r="G9557" s="85"/>
    </row>
    <row r="9558">
      <c r="A9558" s="84"/>
      <c r="B9558" s="85"/>
      <c r="C9558" s="85"/>
      <c r="F9558" s="92"/>
      <c r="G9558" s="85"/>
    </row>
    <row r="9559">
      <c r="A9559" s="84"/>
      <c r="B9559" s="85"/>
      <c r="C9559" s="85"/>
      <c r="F9559" s="92"/>
      <c r="G9559" s="85"/>
    </row>
    <row r="9560">
      <c r="A9560" s="84"/>
      <c r="B9560" s="85"/>
      <c r="C9560" s="85"/>
      <c r="F9560" s="92"/>
      <c r="G9560" s="85"/>
    </row>
    <row r="9561">
      <c r="A9561" s="84"/>
      <c r="B9561" s="85"/>
      <c r="C9561" s="85"/>
      <c r="F9561" s="92"/>
      <c r="G9561" s="85"/>
    </row>
    <row r="9562">
      <c r="A9562" s="84"/>
      <c r="B9562" s="85"/>
      <c r="C9562" s="85"/>
      <c r="F9562" s="92"/>
      <c r="G9562" s="85"/>
    </row>
    <row r="9563">
      <c r="A9563" s="84"/>
      <c r="B9563" s="85"/>
      <c r="C9563" s="85"/>
      <c r="F9563" s="92"/>
      <c r="G9563" s="85"/>
    </row>
    <row r="9564">
      <c r="A9564" s="84"/>
      <c r="B9564" s="85"/>
      <c r="C9564" s="85"/>
      <c r="F9564" s="92"/>
      <c r="G9564" s="85"/>
    </row>
    <row r="9565">
      <c r="A9565" s="84"/>
      <c r="B9565" s="85"/>
      <c r="C9565" s="85"/>
      <c r="F9565" s="92"/>
      <c r="G9565" s="85"/>
    </row>
    <row r="9566">
      <c r="A9566" s="84"/>
      <c r="B9566" s="85"/>
      <c r="C9566" s="85"/>
      <c r="F9566" s="92"/>
      <c r="G9566" s="85"/>
    </row>
    <row r="9567">
      <c r="A9567" s="84"/>
      <c r="B9567" s="85"/>
      <c r="C9567" s="85"/>
      <c r="F9567" s="92"/>
      <c r="G9567" s="85"/>
    </row>
    <row r="9568">
      <c r="A9568" s="84"/>
      <c r="B9568" s="85"/>
      <c r="C9568" s="85"/>
      <c r="F9568" s="92"/>
      <c r="G9568" s="85"/>
    </row>
    <row r="9569">
      <c r="A9569" s="84"/>
      <c r="B9569" s="85"/>
      <c r="C9569" s="85"/>
      <c r="F9569" s="92"/>
      <c r="G9569" s="85"/>
    </row>
    <row r="9570">
      <c r="A9570" s="84"/>
      <c r="B9570" s="85"/>
      <c r="C9570" s="85"/>
      <c r="F9570" s="92"/>
      <c r="G9570" s="85"/>
    </row>
    <row r="9571">
      <c r="A9571" s="84"/>
      <c r="B9571" s="85"/>
      <c r="C9571" s="85"/>
      <c r="F9571" s="92"/>
      <c r="G9571" s="85"/>
    </row>
    <row r="9572">
      <c r="A9572" s="84"/>
      <c r="B9572" s="85"/>
      <c r="C9572" s="85"/>
      <c r="F9572" s="92"/>
      <c r="G9572" s="85"/>
    </row>
    <row r="9573">
      <c r="A9573" s="84"/>
      <c r="B9573" s="85"/>
      <c r="C9573" s="85"/>
      <c r="F9573" s="92"/>
      <c r="G9573" s="85"/>
    </row>
    <row r="9574">
      <c r="A9574" s="84"/>
      <c r="B9574" s="85"/>
      <c r="C9574" s="85"/>
      <c r="F9574" s="92"/>
      <c r="G9574" s="85"/>
    </row>
    <row r="9575">
      <c r="A9575" s="84"/>
      <c r="B9575" s="85"/>
      <c r="C9575" s="85"/>
      <c r="F9575" s="92"/>
      <c r="G9575" s="85"/>
    </row>
    <row r="9576">
      <c r="A9576" s="84"/>
      <c r="B9576" s="85"/>
      <c r="C9576" s="85"/>
      <c r="F9576" s="92"/>
      <c r="G9576" s="85"/>
    </row>
    <row r="9577">
      <c r="A9577" s="84"/>
      <c r="B9577" s="85"/>
      <c r="C9577" s="85"/>
      <c r="F9577" s="92"/>
      <c r="G9577" s="85"/>
    </row>
    <row r="9578">
      <c r="A9578" s="84"/>
      <c r="B9578" s="85"/>
      <c r="C9578" s="85"/>
      <c r="F9578" s="92"/>
      <c r="G9578" s="85"/>
    </row>
    <row r="9579">
      <c r="A9579" s="84"/>
      <c r="B9579" s="85"/>
      <c r="C9579" s="85"/>
      <c r="F9579" s="92"/>
      <c r="G9579" s="85"/>
    </row>
    <row r="9580">
      <c r="A9580" s="84"/>
      <c r="B9580" s="85"/>
      <c r="C9580" s="85"/>
      <c r="F9580" s="92"/>
      <c r="G9580" s="85"/>
    </row>
    <row r="9581">
      <c r="A9581" s="84"/>
      <c r="B9581" s="85"/>
      <c r="C9581" s="85"/>
      <c r="F9581" s="92"/>
      <c r="G9581" s="85"/>
    </row>
    <row r="9582">
      <c r="A9582" s="84"/>
      <c r="B9582" s="85"/>
      <c r="C9582" s="85"/>
      <c r="F9582" s="92"/>
      <c r="G9582" s="85"/>
    </row>
    <row r="9583">
      <c r="A9583" s="84"/>
      <c r="B9583" s="85"/>
      <c r="C9583" s="85"/>
      <c r="F9583" s="92"/>
      <c r="G9583" s="85"/>
    </row>
    <row r="9584">
      <c r="A9584" s="84"/>
      <c r="B9584" s="85"/>
      <c r="C9584" s="85"/>
      <c r="F9584" s="92"/>
      <c r="G9584" s="85"/>
    </row>
    <row r="9585">
      <c r="A9585" s="84"/>
      <c r="B9585" s="85"/>
      <c r="C9585" s="85"/>
      <c r="F9585" s="92"/>
      <c r="G9585" s="85"/>
    </row>
    <row r="9586">
      <c r="A9586" s="84"/>
      <c r="B9586" s="85"/>
      <c r="C9586" s="85"/>
      <c r="F9586" s="92"/>
      <c r="G9586" s="85"/>
    </row>
    <row r="9587">
      <c r="A9587" s="84"/>
      <c r="B9587" s="85"/>
      <c r="C9587" s="85"/>
      <c r="F9587" s="92"/>
      <c r="G9587" s="85"/>
    </row>
    <row r="9588">
      <c r="A9588" s="84"/>
      <c r="B9588" s="85"/>
      <c r="C9588" s="85"/>
      <c r="F9588" s="92"/>
      <c r="G9588" s="85"/>
    </row>
    <row r="9589">
      <c r="A9589" s="84"/>
      <c r="B9589" s="85"/>
      <c r="C9589" s="85"/>
      <c r="F9589" s="92"/>
      <c r="G9589" s="85"/>
    </row>
    <row r="9590">
      <c r="A9590" s="84"/>
      <c r="B9590" s="85"/>
      <c r="C9590" s="85"/>
      <c r="F9590" s="92"/>
      <c r="G9590" s="85"/>
    </row>
    <row r="9591">
      <c r="A9591" s="84"/>
      <c r="B9591" s="85"/>
      <c r="C9591" s="85"/>
      <c r="F9591" s="92"/>
      <c r="G9591" s="85"/>
    </row>
    <row r="9592">
      <c r="A9592" s="84"/>
      <c r="B9592" s="85"/>
      <c r="C9592" s="85"/>
      <c r="F9592" s="92"/>
      <c r="G9592" s="85"/>
    </row>
    <row r="9593">
      <c r="A9593" s="84"/>
      <c r="B9593" s="85"/>
      <c r="C9593" s="85"/>
      <c r="F9593" s="92"/>
      <c r="G9593" s="85"/>
    </row>
    <row r="9594">
      <c r="A9594" s="84"/>
      <c r="B9594" s="85"/>
      <c r="C9594" s="85"/>
      <c r="F9594" s="92"/>
      <c r="G9594" s="85"/>
    </row>
    <row r="9595">
      <c r="A9595" s="84"/>
      <c r="B9595" s="85"/>
      <c r="C9595" s="85"/>
      <c r="F9595" s="92"/>
      <c r="G9595" s="85"/>
    </row>
    <row r="9596">
      <c r="A9596" s="84"/>
      <c r="B9596" s="85"/>
      <c r="C9596" s="85"/>
      <c r="F9596" s="92"/>
      <c r="G9596" s="85"/>
    </row>
    <row r="9597">
      <c r="A9597" s="84"/>
      <c r="B9597" s="85"/>
      <c r="C9597" s="85"/>
      <c r="F9597" s="92"/>
      <c r="G9597" s="85"/>
    </row>
    <row r="9598">
      <c r="A9598" s="84"/>
      <c r="B9598" s="85"/>
      <c r="C9598" s="85"/>
      <c r="F9598" s="92"/>
      <c r="G9598" s="85"/>
    </row>
    <row r="9599">
      <c r="A9599" s="84"/>
      <c r="B9599" s="85"/>
      <c r="C9599" s="85"/>
      <c r="F9599" s="92"/>
      <c r="G9599" s="85"/>
    </row>
    <row r="9600">
      <c r="A9600" s="84"/>
      <c r="B9600" s="85"/>
      <c r="C9600" s="85"/>
      <c r="F9600" s="92"/>
      <c r="G9600" s="85"/>
    </row>
    <row r="9601">
      <c r="A9601" s="84"/>
      <c r="B9601" s="85"/>
      <c r="C9601" s="85"/>
      <c r="F9601" s="92"/>
      <c r="G9601" s="85"/>
    </row>
    <row r="9602">
      <c r="A9602" s="84"/>
      <c r="B9602" s="85"/>
      <c r="C9602" s="85"/>
      <c r="F9602" s="92"/>
      <c r="G9602" s="85"/>
    </row>
    <row r="9603">
      <c r="A9603" s="84"/>
      <c r="B9603" s="85"/>
      <c r="C9603" s="85"/>
      <c r="F9603" s="92"/>
      <c r="G9603" s="85"/>
    </row>
    <row r="9604">
      <c r="A9604" s="84"/>
      <c r="B9604" s="85"/>
      <c r="C9604" s="85"/>
      <c r="F9604" s="92"/>
      <c r="G9604" s="85"/>
    </row>
    <row r="9605">
      <c r="A9605" s="84"/>
      <c r="B9605" s="85"/>
      <c r="C9605" s="85"/>
      <c r="F9605" s="92"/>
      <c r="G9605" s="85"/>
    </row>
    <row r="9606">
      <c r="A9606" s="84"/>
      <c r="B9606" s="85"/>
      <c r="C9606" s="85"/>
      <c r="F9606" s="92"/>
      <c r="G9606" s="85"/>
    </row>
    <row r="9607">
      <c r="A9607" s="84"/>
      <c r="B9607" s="85"/>
      <c r="C9607" s="85"/>
      <c r="F9607" s="92"/>
      <c r="G9607" s="85"/>
    </row>
    <row r="9608">
      <c r="A9608" s="84"/>
      <c r="B9608" s="85"/>
      <c r="C9608" s="85"/>
      <c r="F9608" s="92"/>
      <c r="G9608" s="85"/>
    </row>
    <row r="9609">
      <c r="A9609" s="84"/>
      <c r="B9609" s="85"/>
      <c r="C9609" s="85"/>
      <c r="F9609" s="92"/>
      <c r="G9609" s="85"/>
    </row>
    <row r="9610">
      <c r="A9610" s="84"/>
      <c r="B9610" s="85"/>
      <c r="C9610" s="85"/>
      <c r="F9610" s="92"/>
      <c r="G9610" s="85"/>
    </row>
    <row r="9611">
      <c r="A9611" s="84"/>
      <c r="B9611" s="85"/>
      <c r="C9611" s="85"/>
      <c r="F9611" s="92"/>
      <c r="G9611" s="85"/>
    </row>
    <row r="9612">
      <c r="A9612" s="84"/>
      <c r="B9612" s="85"/>
      <c r="C9612" s="85"/>
      <c r="F9612" s="92"/>
      <c r="G9612" s="85"/>
    </row>
    <row r="9613">
      <c r="A9613" s="84"/>
      <c r="B9613" s="85"/>
      <c r="C9613" s="85"/>
      <c r="F9613" s="92"/>
      <c r="G9613" s="85"/>
    </row>
    <row r="9614">
      <c r="A9614" s="84"/>
      <c r="B9614" s="85"/>
      <c r="C9614" s="85"/>
      <c r="F9614" s="92"/>
      <c r="G9614" s="85"/>
    </row>
    <row r="9615">
      <c r="A9615" s="84"/>
      <c r="B9615" s="85"/>
      <c r="C9615" s="85"/>
      <c r="F9615" s="92"/>
      <c r="G9615" s="85"/>
    </row>
    <row r="9616">
      <c r="A9616" s="84"/>
      <c r="B9616" s="85"/>
      <c r="C9616" s="85"/>
      <c r="F9616" s="92"/>
      <c r="G9616" s="85"/>
    </row>
    <row r="9617">
      <c r="A9617" s="84"/>
      <c r="B9617" s="85"/>
      <c r="C9617" s="85"/>
      <c r="F9617" s="92"/>
      <c r="G9617" s="85"/>
    </row>
    <row r="9618">
      <c r="A9618" s="84"/>
      <c r="B9618" s="85"/>
      <c r="C9618" s="85"/>
      <c r="F9618" s="92"/>
      <c r="G9618" s="85"/>
    </row>
    <row r="9619">
      <c r="A9619" s="84"/>
      <c r="B9619" s="85"/>
      <c r="C9619" s="85"/>
      <c r="F9619" s="92"/>
      <c r="G9619" s="85"/>
    </row>
    <row r="9620">
      <c r="A9620" s="84"/>
      <c r="B9620" s="85"/>
      <c r="C9620" s="85"/>
      <c r="F9620" s="92"/>
      <c r="G9620" s="85"/>
    </row>
    <row r="9621">
      <c r="A9621" s="84"/>
      <c r="B9621" s="85"/>
      <c r="C9621" s="85"/>
      <c r="F9621" s="92"/>
      <c r="G9621" s="85"/>
    </row>
    <row r="9622">
      <c r="A9622" s="84"/>
      <c r="B9622" s="85"/>
      <c r="C9622" s="85"/>
      <c r="F9622" s="92"/>
      <c r="G9622" s="85"/>
    </row>
    <row r="9623">
      <c r="A9623" s="84"/>
      <c r="B9623" s="85"/>
      <c r="C9623" s="85"/>
      <c r="F9623" s="92"/>
      <c r="G9623" s="85"/>
    </row>
    <row r="9624">
      <c r="A9624" s="84"/>
      <c r="B9624" s="85"/>
      <c r="C9624" s="85"/>
      <c r="F9624" s="92"/>
      <c r="G9624" s="85"/>
    </row>
    <row r="9625">
      <c r="A9625" s="84"/>
      <c r="B9625" s="85"/>
      <c r="C9625" s="85"/>
      <c r="F9625" s="92"/>
      <c r="G9625" s="85"/>
    </row>
    <row r="9626">
      <c r="A9626" s="84"/>
      <c r="B9626" s="85"/>
      <c r="C9626" s="85"/>
      <c r="F9626" s="92"/>
      <c r="G9626" s="85"/>
    </row>
    <row r="9627">
      <c r="A9627" s="84"/>
      <c r="B9627" s="85"/>
      <c r="C9627" s="85"/>
      <c r="F9627" s="92"/>
      <c r="G9627" s="85"/>
    </row>
    <row r="9628">
      <c r="A9628" s="84"/>
      <c r="B9628" s="85"/>
      <c r="C9628" s="85"/>
      <c r="F9628" s="92"/>
      <c r="G9628" s="85"/>
    </row>
    <row r="9629">
      <c r="A9629" s="84"/>
      <c r="B9629" s="85"/>
      <c r="C9629" s="85"/>
      <c r="F9629" s="92"/>
      <c r="G9629" s="85"/>
    </row>
    <row r="9630">
      <c r="A9630" s="84"/>
      <c r="B9630" s="85"/>
      <c r="C9630" s="85"/>
      <c r="F9630" s="92"/>
      <c r="G9630" s="85"/>
    </row>
    <row r="9631">
      <c r="A9631" s="84"/>
      <c r="B9631" s="85"/>
      <c r="C9631" s="85"/>
      <c r="F9631" s="92"/>
      <c r="G9631" s="85"/>
    </row>
    <row r="9632">
      <c r="A9632" s="84"/>
      <c r="B9632" s="85"/>
      <c r="C9632" s="85"/>
      <c r="F9632" s="92"/>
      <c r="G9632" s="85"/>
    </row>
    <row r="9633">
      <c r="A9633" s="84"/>
      <c r="B9633" s="85"/>
      <c r="C9633" s="85"/>
      <c r="F9633" s="92"/>
      <c r="G9633" s="85"/>
    </row>
    <row r="9634">
      <c r="A9634" s="84"/>
      <c r="B9634" s="85"/>
      <c r="C9634" s="85"/>
      <c r="F9634" s="92"/>
      <c r="G9634" s="85"/>
    </row>
    <row r="9635">
      <c r="A9635" s="84"/>
      <c r="B9635" s="85"/>
      <c r="C9635" s="85"/>
      <c r="F9635" s="92"/>
      <c r="G9635" s="85"/>
    </row>
    <row r="9636">
      <c r="A9636" s="84"/>
      <c r="B9636" s="85"/>
      <c r="C9636" s="85"/>
      <c r="F9636" s="92"/>
      <c r="G9636" s="85"/>
    </row>
    <row r="9637">
      <c r="A9637" s="84"/>
      <c r="B9637" s="85"/>
      <c r="C9637" s="85"/>
      <c r="F9637" s="92"/>
      <c r="G9637" s="85"/>
    </row>
    <row r="9638">
      <c r="A9638" s="84"/>
      <c r="B9638" s="85"/>
      <c r="C9638" s="85"/>
      <c r="F9638" s="92"/>
      <c r="G9638" s="85"/>
    </row>
    <row r="9639">
      <c r="A9639" s="84"/>
      <c r="B9639" s="85"/>
      <c r="C9639" s="85"/>
      <c r="F9639" s="92"/>
      <c r="G9639" s="85"/>
    </row>
    <row r="9640">
      <c r="A9640" s="84"/>
      <c r="B9640" s="85"/>
      <c r="C9640" s="85"/>
      <c r="F9640" s="92"/>
      <c r="G9640" s="85"/>
    </row>
    <row r="9641">
      <c r="A9641" s="84"/>
      <c r="B9641" s="85"/>
      <c r="C9641" s="85"/>
      <c r="F9641" s="92"/>
      <c r="G9641" s="85"/>
    </row>
    <row r="9642">
      <c r="A9642" s="84"/>
      <c r="B9642" s="85"/>
      <c r="C9642" s="85"/>
      <c r="F9642" s="92"/>
      <c r="G9642" s="85"/>
    </row>
    <row r="9643">
      <c r="A9643" s="84"/>
      <c r="B9643" s="85"/>
      <c r="C9643" s="85"/>
      <c r="F9643" s="92"/>
      <c r="G9643" s="85"/>
    </row>
    <row r="9644">
      <c r="A9644" s="84"/>
      <c r="B9644" s="85"/>
      <c r="C9644" s="85"/>
      <c r="F9644" s="92"/>
      <c r="G9644" s="85"/>
    </row>
    <row r="9645">
      <c r="A9645" s="84"/>
      <c r="B9645" s="85"/>
      <c r="C9645" s="85"/>
      <c r="F9645" s="92"/>
      <c r="G9645" s="85"/>
    </row>
    <row r="9646">
      <c r="A9646" s="84"/>
      <c r="B9646" s="85"/>
      <c r="C9646" s="85"/>
      <c r="F9646" s="92"/>
      <c r="G9646" s="85"/>
    </row>
    <row r="9647">
      <c r="A9647" s="84"/>
      <c r="B9647" s="85"/>
      <c r="C9647" s="85"/>
      <c r="F9647" s="92"/>
      <c r="G9647" s="85"/>
    </row>
    <row r="9648">
      <c r="A9648" s="84"/>
      <c r="B9648" s="85"/>
      <c r="C9648" s="85"/>
      <c r="F9648" s="92"/>
      <c r="G9648" s="85"/>
    </row>
    <row r="9649">
      <c r="A9649" s="84"/>
      <c r="B9649" s="85"/>
      <c r="C9649" s="85"/>
      <c r="F9649" s="92"/>
      <c r="G9649" s="85"/>
    </row>
    <row r="9650">
      <c r="A9650" s="84"/>
      <c r="B9650" s="85"/>
      <c r="C9650" s="85"/>
      <c r="F9650" s="92"/>
      <c r="G9650" s="85"/>
    </row>
    <row r="9651">
      <c r="A9651" s="84"/>
      <c r="B9651" s="85"/>
      <c r="C9651" s="85"/>
      <c r="F9651" s="92"/>
      <c r="G9651" s="85"/>
    </row>
    <row r="9652">
      <c r="A9652" s="84"/>
      <c r="B9652" s="85"/>
      <c r="C9652" s="85"/>
      <c r="F9652" s="92"/>
      <c r="G9652" s="85"/>
    </row>
    <row r="9653">
      <c r="A9653" s="84"/>
      <c r="B9653" s="85"/>
      <c r="C9653" s="85"/>
      <c r="F9653" s="92"/>
      <c r="G9653" s="85"/>
    </row>
    <row r="9654">
      <c r="A9654" s="84"/>
      <c r="B9654" s="85"/>
      <c r="C9654" s="85"/>
      <c r="F9654" s="92"/>
      <c r="G9654" s="85"/>
    </row>
    <row r="9655">
      <c r="A9655" s="84"/>
      <c r="B9655" s="85"/>
      <c r="C9655" s="85"/>
      <c r="F9655" s="92"/>
      <c r="G9655" s="85"/>
    </row>
    <row r="9656">
      <c r="A9656" s="84"/>
      <c r="B9656" s="85"/>
      <c r="C9656" s="85"/>
      <c r="F9656" s="92"/>
      <c r="G9656" s="85"/>
    </row>
    <row r="9657">
      <c r="A9657" s="84"/>
      <c r="B9657" s="85"/>
      <c r="C9657" s="85"/>
      <c r="F9657" s="92"/>
      <c r="G9657" s="85"/>
    </row>
    <row r="9658">
      <c r="A9658" s="84"/>
      <c r="B9658" s="85"/>
      <c r="C9658" s="85"/>
      <c r="F9658" s="92"/>
      <c r="G9658" s="85"/>
    </row>
    <row r="9659">
      <c r="A9659" s="84"/>
      <c r="B9659" s="85"/>
      <c r="C9659" s="85"/>
      <c r="F9659" s="92"/>
      <c r="G9659" s="85"/>
    </row>
    <row r="9660">
      <c r="A9660" s="84"/>
      <c r="B9660" s="85"/>
      <c r="C9660" s="85"/>
      <c r="F9660" s="92"/>
      <c r="G9660" s="85"/>
    </row>
    <row r="9661">
      <c r="A9661" s="84"/>
      <c r="B9661" s="85"/>
      <c r="C9661" s="85"/>
      <c r="F9661" s="92"/>
      <c r="G9661" s="85"/>
    </row>
    <row r="9662">
      <c r="A9662" s="84"/>
      <c r="B9662" s="85"/>
      <c r="C9662" s="85"/>
      <c r="F9662" s="92"/>
      <c r="G9662" s="85"/>
    </row>
    <row r="9663">
      <c r="A9663" s="84"/>
      <c r="B9663" s="85"/>
      <c r="C9663" s="85"/>
      <c r="F9663" s="92"/>
      <c r="G9663" s="85"/>
    </row>
    <row r="9664">
      <c r="A9664" s="84"/>
      <c r="B9664" s="85"/>
      <c r="C9664" s="85"/>
      <c r="F9664" s="92"/>
      <c r="G9664" s="85"/>
    </row>
    <row r="9665">
      <c r="A9665" s="84"/>
      <c r="B9665" s="85"/>
      <c r="C9665" s="85"/>
      <c r="F9665" s="92"/>
      <c r="G9665" s="85"/>
    </row>
    <row r="9666">
      <c r="A9666" s="84"/>
      <c r="B9666" s="85"/>
      <c r="C9666" s="85"/>
      <c r="F9666" s="92"/>
      <c r="G9666" s="85"/>
    </row>
    <row r="9667">
      <c r="A9667" s="84"/>
      <c r="B9667" s="85"/>
      <c r="C9667" s="85"/>
      <c r="F9667" s="92"/>
      <c r="G9667" s="85"/>
    </row>
    <row r="9668">
      <c r="A9668" s="84"/>
      <c r="B9668" s="85"/>
      <c r="C9668" s="85"/>
      <c r="F9668" s="92"/>
      <c r="G9668" s="85"/>
    </row>
    <row r="9669">
      <c r="A9669" s="84"/>
      <c r="B9669" s="85"/>
      <c r="C9669" s="85"/>
      <c r="F9669" s="92"/>
      <c r="G9669" s="85"/>
    </row>
    <row r="9670">
      <c r="A9670" s="84"/>
      <c r="B9670" s="85"/>
      <c r="C9670" s="85"/>
      <c r="F9670" s="92"/>
      <c r="G9670" s="85"/>
    </row>
    <row r="9671">
      <c r="A9671" s="84"/>
      <c r="B9671" s="85"/>
      <c r="C9671" s="85"/>
      <c r="F9671" s="92"/>
      <c r="G9671" s="85"/>
    </row>
    <row r="9672">
      <c r="A9672" s="84"/>
      <c r="B9672" s="85"/>
      <c r="C9672" s="85"/>
      <c r="F9672" s="92"/>
      <c r="G9672" s="85"/>
    </row>
    <row r="9673">
      <c r="A9673" s="84"/>
      <c r="B9673" s="85"/>
      <c r="C9673" s="85"/>
      <c r="F9673" s="92"/>
      <c r="G9673" s="85"/>
    </row>
    <row r="9674">
      <c r="A9674" s="84"/>
      <c r="B9674" s="85"/>
      <c r="C9674" s="85"/>
      <c r="F9674" s="92"/>
      <c r="G9674" s="85"/>
    </row>
    <row r="9675">
      <c r="A9675" s="84"/>
      <c r="B9675" s="85"/>
      <c r="C9675" s="85"/>
      <c r="F9675" s="92"/>
      <c r="G9675" s="85"/>
    </row>
    <row r="9676">
      <c r="A9676" s="84"/>
      <c r="B9676" s="85"/>
      <c r="C9676" s="85"/>
      <c r="F9676" s="92"/>
      <c r="G9676" s="85"/>
    </row>
    <row r="9677">
      <c r="A9677" s="84"/>
      <c r="B9677" s="85"/>
      <c r="C9677" s="85"/>
      <c r="F9677" s="92"/>
      <c r="G9677" s="85"/>
    </row>
    <row r="9678">
      <c r="A9678" s="84"/>
      <c r="B9678" s="85"/>
      <c r="C9678" s="85"/>
      <c r="F9678" s="92"/>
      <c r="G9678" s="85"/>
    </row>
    <row r="9679">
      <c r="A9679" s="84"/>
      <c r="B9679" s="85"/>
      <c r="C9679" s="85"/>
      <c r="F9679" s="92"/>
      <c r="G9679" s="85"/>
    </row>
    <row r="9680">
      <c r="A9680" s="84"/>
      <c r="B9680" s="85"/>
      <c r="C9680" s="85"/>
      <c r="F9680" s="92"/>
      <c r="G9680" s="85"/>
    </row>
    <row r="9681">
      <c r="A9681" s="84"/>
      <c r="B9681" s="85"/>
      <c r="C9681" s="85"/>
      <c r="F9681" s="92"/>
      <c r="G9681" s="85"/>
    </row>
    <row r="9682">
      <c r="A9682" s="84"/>
      <c r="B9682" s="85"/>
      <c r="C9682" s="85"/>
      <c r="F9682" s="92"/>
      <c r="G9682" s="85"/>
    </row>
    <row r="9683">
      <c r="A9683" s="84"/>
      <c r="B9683" s="85"/>
      <c r="C9683" s="85"/>
      <c r="F9683" s="92"/>
      <c r="G9683" s="85"/>
    </row>
    <row r="9684">
      <c r="A9684" s="84"/>
      <c r="B9684" s="85"/>
      <c r="C9684" s="85"/>
      <c r="F9684" s="92"/>
      <c r="G9684" s="85"/>
    </row>
    <row r="9685">
      <c r="A9685" s="84"/>
      <c r="B9685" s="85"/>
      <c r="C9685" s="85"/>
      <c r="F9685" s="92"/>
      <c r="G9685" s="85"/>
    </row>
    <row r="9686">
      <c r="A9686" s="84"/>
      <c r="B9686" s="85"/>
      <c r="C9686" s="85"/>
      <c r="F9686" s="92"/>
      <c r="G9686" s="85"/>
    </row>
    <row r="9687">
      <c r="A9687" s="84"/>
      <c r="B9687" s="85"/>
      <c r="C9687" s="85"/>
      <c r="F9687" s="92"/>
      <c r="G9687" s="85"/>
    </row>
    <row r="9688">
      <c r="A9688" s="84"/>
      <c r="B9688" s="85"/>
      <c r="C9688" s="85"/>
      <c r="F9688" s="92"/>
      <c r="G9688" s="85"/>
    </row>
    <row r="9689">
      <c r="A9689" s="84"/>
      <c r="B9689" s="85"/>
      <c r="C9689" s="85"/>
      <c r="F9689" s="92"/>
      <c r="G9689" s="85"/>
    </row>
    <row r="9690">
      <c r="A9690" s="84"/>
      <c r="B9690" s="85"/>
      <c r="C9690" s="85"/>
      <c r="F9690" s="92"/>
      <c r="G9690" s="85"/>
    </row>
    <row r="9691">
      <c r="A9691" s="84"/>
      <c r="B9691" s="85"/>
      <c r="C9691" s="85"/>
      <c r="F9691" s="92"/>
      <c r="G9691" s="85"/>
    </row>
    <row r="9692">
      <c r="A9692" s="84"/>
      <c r="B9692" s="85"/>
      <c r="C9692" s="85"/>
      <c r="F9692" s="92"/>
      <c r="G9692" s="85"/>
    </row>
    <row r="9693">
      <c r="A9693" s="84"/>
      <c r="B9693" s="85"/>
      <c r="C9693" s="85"/>
      <c r="F9693" s="92"/>
      <c r="G9693" s="85"/>
    </row>
    <row r="9694">
      <c r="A9694" s="84"/>
      <c r="B9694" s="85"/>
      <c r="C9694" s="85"/>
      <c r="F9694" s="92"/>
      <c r="G9694" s="85"/>
    </row>
    <row r="9695">
      <c r="A9695" s="84"/>
      <c r="B9695" s="85"/>
      <c r="C9695" s="85"/>
      <c r="F9695" s="92"/>
      <c r="G9695" s="85"/>
    </row>
    <row r="9696">
      <c r="A9696" s="84"/>
      <c r="B9696" s="85"/>
      <c r="C9696" s="85"/>
      <c r="F9696" s="92"/>
      <c r="G9696" s="85"/>
    </row>
    <row r="9697">
      <c r="A9697" s="84"/>
      <c r="B9697" s="85"/>
      <c r="C9697" s="85"/>
      <c r="F9697" s="92"/>
      <c r="G9697" s="85"/>
    </row>
    <row r="9698">
      <c r="A9698" s="84"/>
      <c r="B9698" s="85"/>
      <c r="C9698" s="85"/>
      <c r="F9698" s="92"/>
      <c r="G9698" s="85"/>
    </row>
    <row r="9699">
      <c r="A9699" s="84"/>
      <c r="B9699" s="85"/>
      <c r="C9699" s="85"/>
      <c r="F9699" s="92"/>
      <c r="G9699" s="85"/>
    </row>
    <row r="9700">
      <c r="A9700" s="84"/>
      <c r="B9700" s="85"/>
      <c r="C9700" s="85"/>
      <c r="F9700" s="92"/>
      <c r="G9700" s="85"/>
    </row>
    <row r="9701">
      <c r="A9701" s="84"/>
      <c r="B9701" s="85"/>
      <c r="C9701" s="85"/>
      <c r="F9701" s="92"/>
      <c r="G9701" s="85"/>
    </row>
    <row r="9702">
      <c r="A9702" s="84"/>
      <c r="B9702" s="85"/>
      <c r="C9702" s="85"/>
      <c r="F9702" s="92"/>
      <c r="G9702" s="85"/>
    </row>
    <row r="9703">
      <c r="A9703" s="84"/>
      <c r="B9703" s="85"/>
      <c r="C9703" s="85"/>
      <c r="F9703" s="92"/>
      <c r="G9703" s="85"/>
    </row>
    <row r="9704">
      <c r="A9704" s="84"/>
      <c r="B9704" s="85"/>
      <c r="C9704" s="85"/>
      <c r="F9704" s="92"/>
      <c r="G9704" s="85"/>
    </row>
    <row r="9705">
      <c r="A9705" s="84"/>
      <c r="B9705" s="85"/>
      <c r="C9705" s="85"/>
      <c r="F9705" s="92"/>
      <c r="G9705" s="85"/>
    </row>
    <row r="9706">
      <c r="A9706" s="84"/>
      <c r="B9706" s="85"/>
      <c r="C9706" s="85"/>
      <c r="F9706" s="92"/>
      <c r="G9706" s="85"/>
    </row>
    <row r="9707">
      <c r="A9707" s="84"/>
      <c r="B9707" s="85"/>
      <c r="C9707" s="85"/>
      <c r="F9707" s="92"/>
      <c r="G9707" s="85"/>
    </row>
    <row r="9708">
      <c r="A9708" s="84"/>
      <c r="B9708" s="85"/>
      <c r="C9708" s="85"/>
      <c r="F9708" s="92"/>
      <c r="G9708" s="85"/>
    </row>
    <row r="9709">
      <c r="A9709" s="84"/>
      <c r="B9709" s="85"/>
      <c r="C9709" s="85"/>
      <c r="F9709" s="92"/>
      <c r="G9709" s="85"/>
    </row>
    <row r="9710">
      <c r="A9710" s="84"/>
      <c r="B9710" s="85"/>
      <c r="C9710" s="85"/>
      <c r="F9710" s="92"/>
      <c r="G9710" s="85"/>
    </row>
    <row r="9711">
      <c r="A9711" s="84"/>
      <c r="B9711" s="85"/>
      <c r="C9711" s="85"/>
      <c r="F9711" s="92"/>
      <c r="G9711" s="85"/>
    </row>
    <row r="9712">
      <c r="A9712" s="84"/>
      <c r="B9712" s="85"/>
      <c r="C9712" s="85"/>
      <c r="F9712" s="92"/>
      <c r="G9712" s="85"/>
    </row>
    <row r="9713">
      <c r="A9713" s="84"/>
      <c r="B9713" s="85"/>
      <c r="C9713" s="85"/>
      <c r="F9713" s="92"/>
      <c r="G9713" s="85"/>
    </row>
    <row r="9714">
      <c r="A9714" s="84"/>
      <c r="B9714" s="85"/>
      <c r="C9714" s="85"/>
      <c r="F9714" s="92"/>
      <c r="G9714" s="85"/>
    </row>
    <row r="9715">
      <c r="A9715" s="84"/>
      <c r="B9715" s="85"/>
      <c r="C9715" s="85"/>
      <c r="F9715" s="92"/>
      <c r="G9715" s="85"/>
    </row>
    <row r="9716">
      <c r="A9716" s="84"/>
      <c r="B9716" s="85"/>
      <c r="C9716" s="85"/>
      <c r="F9716" s="92"/>
      <c r="G9716" s="85"/>
    </row>
    <row r="9717">
      <c r="A9717" s="84"/>
      <c r="B9717" s="85"/>
      <c r="C9717" s="85"/>
      <c r="F9717" s="92"/>
      <c r="G9717" s="85"/>
    </row>
    <row r="9718">
      <c r="A9718" s="84"/>
      <c r="B9718" s="85"/>
      <c r="C9718" s="85"/>
      <c r="F9718" s="92"/>
      <c r="G9718" s="85"/>
    </row>
    <row r="9719">
      <c r="A9719" s="84"/>
      <c r="B9719" s="85"/>
      <c r="C9719" s="85"/>
      <c r="F9719" s="92"/>
      <c r="G9719" s="85"/>
    </row>
    <row r="9720">
      <c r="A9720" s="84"/>
      <c r="B9720" s="85"/>
      <c r="C9720" s="85"/>
      <c r="F9720" s="92"/>
      <c r="G9720" s="85"/>
    </row>
    <row r="9721">
      <c r="A9721" s="84"/>
      <c r="B9721" s="85"/>
      <c r="C9721" s="85"/>
      <c r="F9721" s="92"/>
      <c r="G9721" s="85"/>
    </row>
    <row r="9722">
      <c r="A9722" s="84"/>
      <c r="B9722" s="85"/>
      <c r="C9722" s="85"/>
      <c r="F9722" s="92"/>
      <c r="G9722" s="85"/>
    </row>
    <row r="9723">
      <c r="A9723" s="84"/>
      <c r="B9723" s="85"/>
      <c r="C9723" s="85"/>
      <c r="F9723" s="92"/>
      <c r="G9723" s="85"/>
    </row>
    <row r="9724">
      <c r="A9724" s="84"/>
      <c r="B9724" s="85"/>
      <c r="C9724" s="85"/>
      <c r="F9724" s="92"/>
      <c r="G9724" s="85"/>
    </row>
    <row r="9725">
      <c r="A9725" s="84"/>
      <c r="B9725" s="85"/>
      <c r="C9725" s="85"/>
      <c r="F9725" s="92"/>
      <c r="G9725" s="85"/>
    </row>
    <row r="9726">
      <c r="A9726" s="84"/>
      <c r="B9726" s="85"/>
      <c r="C9726" s="85"/>
      <c r="F9726" s="92"/>
      <c r="G9726" s="85"/>
    </row>
    <row r="9727">
      <c r="A9727" s="84"/>
      <c r="B9727" s="85"/>
      <c r="C9727" s="85"/>
      <c r="F9727" s="92"/>
      <c r="G9727" s="85"/>
    </row>
    <row r="9728">
      <c r="A9728" s="84"/>
      <c r="B9728" s="85"/>
      <c r="C9728" s="85"/>
      <c r="F9728" s="92"/>
      <c r="G9728" s="85"/>
    </row>
    <row r="9729">
      <c r="A9729" s="84"/>
      <c r="B9729" s="85"/>
      <c r="C9729" s="85"/>
      <c r="F9729" s="92"/>
      <c r="G9729" s="85"/>
    </row>
    <row r="9730">
      <c r="A9730" s="84"/>
      <c r="B9730" s="85"/>
      <c r="C9730" s="85"/>
      <c r="F9730" s="92"/>
      <c r="G9730" s="85"/>
    </row>
    <row r="9731">
      <c r="A9731" s="84"/>
      <c r="B9731" s="85"/>
      <c r="C9731" s="85"/>
      <c r="F9731" s="92"/>
      <c r="G9731" s="85"/>
    </row>
    <row r="9732">
      <c r="A9732" s="84"/>
      <c r="B9732" s="85"/>
      <c r="C9732" s="85"/>
      <c r="F9732" s="92"/>
      <c r="G9732" s="85"/>
    </row>
    <row r="9733">
      <c r="A9733" s="84"/>
      <c r="B9733" s="85"/>
      <c r="C9733" s="85"/>
      <c r="F9733" s="92"/>
      <c r="G9733" s="85"/>
    </row>
    <row r="9734">
      <c r="A9734" s="84"/>
      <c r="B9734" s="85"/>
      <c r="C9734" s="85"/>
      <c r="F9734" s="92"/>
      <c r="G9734" s="85"/>
    </row>
    <row r="9735">
      <c r="A9735" s="84"/>
      <c r="B9735" s="85"/>
      <c r="C9735" s="85"/>
      <c r="F9735" s="92"/>
      <c r="G9735" s="85"/>
    </row>
    <row r="9736">
      <c r="A9736" s="84"/>
      <c r="B9736" s="85"/>
      <c r="C9736" s="85"/>
      <c r="F9736" s="92"/>
      <c r="G9736" s="85"/>
    </row>
    <row r="9737">
      <c r="A9737" s="84"/>
      <c r="B9737" s="85"/>
      <c r="C9737" s="85"/>
      <c r="F9737" s="92"/>
      <c r="G9737" s="85"/>
    </row>
    <row r="9738">
      <c r="A9738" s="84"/>
      <c r="B9738" s="85"/>
      <c r="C9738" s="85"/>
      <c r="F9738" s="92"/>
      <c r="G9738" s="85"/>
    </row>
    <row r="9739">
      <c r="A9739" s="84"/>
      <c r="B9739" s="85"/>
      <c r="C9739" s="85"/>
      <c r="F9739" s="92"/>
      <c r="G9739" s="85"/>
    </row>
    <row r="9740">
      <c r="A9740" s="84"/>
      <c r="B9740" s="85"/>
      <c r="C9740" s="85"/>
      <c r="F9740" s="92"/>
      <c r="G9740" s="85"/>
    </row>
    <row r="9741">
      <c r="A9741" s="84"/>
      <c r="B9741" s="85"/>
      <c r="C9741" s="85"/>
      <c r="F9741" s="92"/>
      <c r="G9741" s="85"/>
    </row>
    <row r="9742">
      <c r="A9742" s="84"/>
      <c r="B9742" s="85"/>
      <c r="C9742" s="85"/>
      <c r="F9742" s="92"/>
      <c r="G9742" s="85"/>
    </row>
    <row r="9743">
      <c r="A9743" s="84"/>
      <c r="B9743" s="85"/>
      <c r="C9743" s="85"/>
      <c r="F9743" s="92"/>
      <c r="G9743" s="85"/>
    </row>
    <row r="9744">
      <c r="A9744" s="84"/>
      <c r="B9744" s="85"/>
      <c r="C9744" s="85"/>
      <c r="F9744" s="92"/>
      <c r="G9744" s="85"/>
    </row>
    <row r="9745">
      <c r="A9745" s="84"/>
      <c r="B9745" s="85"/>
      <c r="C9745" s="85"/>
      <c r="F9745" s="92"/>
      <c r="G9745" s="85"/>
    </row>
    <row r="9746">
      <c r="A9746" s="84"/>
      <c r="B9746" s="85"/>
      <c r="C9746" s="85"/>
      <c r="F9746" s="92"/>
      <c r="G9746" s="85"/>
    </row>
    <row r="9747">
      <c r="A9747" s="84"/>
      <c r="B9747" s="85"/>
      <c r="C9747" s="85"/>
      <c r="F9747" s="92"/>
      <c r="G9747" s="85"/>
    </row>
    <row r="9748">
      <c r="A9748" s="84"/>
      <c r="B9748" s="85"/>
      <c r="C9748" s="85"/>
      <c r="F9748" s="92"/>
      <c r="G9748" s="85"/>
    </row>
    <row r="9749">
      <c r="A9749" s="84"/>
      <c r="B9749" s="85"/>
      <c r="C9749" s="85"/>
      <c r="F9749" s="92"/>
      <c r="G9749" s="85"/>
    </row>
    <row r="9750">
      <c r="A9750" s="84"/>
      <c r="B9750" s="85"/>
      <c r="C9750" s="85"/>
      <c r="F9750" s="92"/>
      <c r="G9750" s="85"/>
    </row>
    <row r="9751">
      <c r="A9751" s="84"/>
      <c r="B9751" s="85"/>
      <c r="C9751" s="85"/>
      <c r="F9751" s="92"/>
      <c r="G9751" s="85"/>
    </row>
    <row r="9752">
      <c r="A9752" s="84"/>
      <c r="B9752" s="85"/>
      <c r="C9752" s="85"/>
      <c r="F9752" s="92"/>
      <c r="G9752" s="85"/>
    </row>
    <row r="9753">
      <c r="A9753" s="84"/>
      <c r="B9753" s="85"/>
      <c r="C9753" s="85"/>
      <c r="F9753" s="92"/>
      <c r="G9753" s="85"/>
    </row>
    <row r="9754">
      <c r="A9754" s="84"/>
      <c r="B9754" s="85"/>
      <c r="C9754" s="85"/>
      <c r="F9754" s="92"/>
      <c r="G9754" s="85"/>
    </row>
    <row r="9755">
      <c r="A9755" s="84"/>
      <c r="B9755" s="85"/>
      <c r="C9755" s="85"/>
      <c r="F9755" s="92"/>
      <c r="G9755" s="85"/>
    </row>
    <row r="9756">
      <c r="A9756" s="84"/>
      <c r="B9756" s="85"/>
      <c r="C9756" s="85"/>
      <c r="F9756" s="92"/>
      <c r="G9756" s="85"/>
    </row>
    <row r="9757">
      <c r="A9757" s="84"/>
      <c r="B9757" s="85"/>
      <c r="C9757" s="85"/>
      <c r="F9757" s="92"/>
      <c r="G9757" s="85"/>
    </row>
    <row r="9758">
      <c r="A9758" s="84"/>
      <c r="B9758" s="85"/>
      <c r="C9758" s="85"/>
      <c r="F9758" s="92"/>
      <c r="G9758" s="85"/>
    </row>
    <row r="9759">
      <c r="A9759" s="84"/>
      <c r="B9759" s="85"/>
      <c r="C9759" s="85"/>
      <c r="F9759" s="92"/>
      <c r="G9759" s="85"/>
    </row>
    <row r="9760">
      <c r="A9760" s="84"/>
      <c r="B9760" s="85"/>
      <c r="C9760" s="85"/>
      <c r="F9760" s="92"/>
      <c r="G9760" s="85"/>
    </row>
    <row r="9761">
      <c r="A9761" s="84"/>
      <c r="B9761" s="85"/>
      <c r="C9761" s="85"/>
      <c r="F9761" s="92"/>
      <c r="G9761" s="85"/>
    </row>
    <row r="9762">
      <c r="A9762" s="84"/>
      <c r="B9762" s="85"/>
      <c r="C9762" s="85"/>
      <c r="F9762" s="92"/>
      <c r="G9762" s="85"/>
    </row>
    <row r="9763">
      <c r="A9763" s="84"/>
      <c r="B9763" s="85"/>
      <c r="C9763" s="85"/>
      <c r="F9763" s="92"/>
      <c r="G9763" s="85"/>
    </row>
    <row r="9764">
      <c r="A9764" s="84"/>
      <c r="B9764" s="85"/>
      <c r="C9764" s="85"/>
      <c r="F9764" s="92"/>
      <c r="G9764" s="85"/>
    </row>
    <row r="9765">
      <c r="A9765" s="84"/>
      <c r="B9765" s="85"/>
      <c r="C9765" s="85"/>
      <c r="F9765" s="92"/>
      <c r="G9765" s="85"/>
    </row>
    <row r="9766">
      <c r="A9766" s="84"/>
      <c r="B9766" s="85"/>
      <c r="C9766" s="85"/>
      <c r="F9766" s="92"/>
      <c r="G9766" s="85"/>
    </row>
    <row r="9767">
      <c r="A9767" s="84"/>
      <c r="B9767" s="85"/>
      <c r="C9767" s="85"/>
      <c r="F9767" s="92"/>
      <c r="G9767" s="85"/>
    </row>
    <row r="9768">
      <c r="A9768" s="84"/>
      <c r="B9768" s="85"/>
      <c r="C9768" s="85"/>
      <c r="F9768" s="92"/>
      <c r="G9768" s="85"/>
    </row>
    <row r="9769">
      <c r="A9769" s="84"/>
      <c r="B9769" s="85"/>
      <c r="C9769" s="85"/>
      <c r="F9769" s="92"/>
      <c r="G9769" s="85"/>
    </row>
    <row r="9770">
      <c r="A9770" s="84"/>
      <c r="B9770" s="85"/>
      <c r="C9770" s="85"/>
      <c r="F9770" s="92"/>
      <c r="G9770" s="85"/>
    </row>
    <row r="9771">
      <c r="A9771" s="84"/>
      <c r="B9771" s="85"/>
      <c r="C9771" s="85"/>
      <c r="F9771" s="92"/>
      <c r="G9771" s="85"/>
    </row>
    <row r="9772">
      <c r="A9772" s="84"/>
      <c r="B9772" s="85"/>
      <c r="C9772" s="85"/>
      <c r="F9772" s="92"/>
      <c r="G9772" s="85"/>
    </row>
    <row r="9773">
      <c r="A9773" s="84"/>
      <c r="B9773" s="85"/>
      <c r="C9773" s="85"/>
      <c r="F9773" s="92"/>
      <c r="G9773" s="85"/>
    </row>
    <row r="9774">
      <c r="A9774" s="84"/>
      <c r="B9774" s="85"/>
      <c r="C9774" s="85"/>
      <c r="F9774" s="92"/>
      <c r="G9774" s="85"/>
    </row>
    <row r="9775">
      <c r="A9775" s="84"/>
      <c r="B9775" s="85"/>
      <c r="C9775" s="85"/>
      <c r="F9775" s="92"/>
      <c r="G9775" s="85"/>
    </row>
    <row r="9776">
      <c r="A9776" s="84"/>
      <c r="B9776" s="85"/>
      <c r="C9776" s="85"/>
      <c r="F9776" s="92"/>
      <c r="G9776" s="85"/>
    </row>
    <row r="9777">
      <c r="A9777" s="84"/>
      <c r="B9777" s="85"/>
      <c r="C9777" s="85"/>
      <c r="F9777" s="92"/>
      <c r="G9777" s="85"/>
    </row>
    <row r="9778">
      <c r="A9778" s="84"/>
      <c r="B9778" s="85"/>
      <c r="C9778" s="85"/>
      <c r="F9778" s="92"/>
      <c r="G9778" s="85"/>
    </row>
    <row r="9779">
      <c r="A9779" s="84"/>
      <c r="B9779" s="85"/>
      <c r="C9779" s="85"/>
      <c r="F9779" s="92"/>
      <c r="G9779" s="85"/>
    </row>
    <row r="9780">
      <c r="A9780" s="84"/>
      <c r="B9780" s="85"/>
      <c r="C9780" s="85"/>
      <c r="F9780" s="92"/>
      <c r="G9780" s="85"/>
    </row>
    <row r="9781">
      <c r="A9781" s="84"/>
      <c r="B9781" s="85"/>
      <c r="C9781" s="85"/>
      <c r="F9781" s="92"/>
      <c r="G9781" s="85"/>
    </row>
    <row r="9782">
      <c r="A9782" s="84"/>
      <c r="B9782" s="85"/>
      <c r="C9782" s="85"/>
      <c r="F9782" s="92"/>
      <c r="G9782" s="85"/>
    </row>
    <row r="9783">
      <c r="A9783" s="84"/>
      <c r="B9783" s="85"/>
      <c r="C9783" s="85"/>
      <c r="F9783" s="92"/>
      <c r="G9783" s="85"/>
    </row>
    <row r="9784">
      <c r="A9784" s="84"/>
      <c r="B9784" s="85"/>
      <c r="C9784" s="85"/>
      <c r="F9784" s="92"/>
      <c r="G9784" s="85"/>
    </row>
    <row r="9785">
      <c r="A9785" s="84"/>
      <c r="B9785" s="85"/>
      <c r="C9785" s="85"/>
      <c r="F9785" s="92"/>
      <c r="G9785" s="85"/>
    </row>
    <row r="9786">
      <c r="A9786" s="84"/>
      <c r="B9786" s="85"/>
      <c r="C9786" s="85"/>
      <c r="F9786" s="92"/>
      <c r="G9786" s="85"/>
    </row>
    <row r="9787">
      <c r="A9787" s="84"/>
      <c r="B9787" s="85"/>
      <c r="C9787" s="85"/>
      <c r="F9787" s="92"/>
      <c r="G9787" s="85"/>
    </row>
    <row r="9788">
      <c r="A9788" s="84"/>
      <c r="B9788" s="85"/>
      <c r="C9788" s="85"/>
      <c r="F9788" s="92"/>
      <c r="G9788" s="85"/>
    </row>
    <row r="9789">
      <c r="A9789" s="84"/>
      <c r="B9789" s="85"/>
      <c r="C9789" s="85"/>
      <c r="F9789" s="92"/>
      <c r="G9789" s="85"/>
    </row>
    <row r="9790">
      <c r="A9790" s="84"/>
      <c r="B9790" s="85"/>
      <c r="C9790" s="85"/>
      <c r="F9790" s="92"/>
      <c r="G9790" s="85"/>
    </row>
    <row r="9791">
      <c r="A9791" s="84"/>
      <c r="B9791" s="85"/>
      <c r="C9791" s="85"/>
      <c r="F9791" s="92"/>
      <c r="G9791" s="85"/>
    </row>
    <row r="9792">
      <c r="A9792" s="84"/>
      <c r="B9792" s="85"/>
      <c r="C9792" s="85"/>
      <c r="F9792" s="92"/>
      <c r="G9792" s="85"/>
    </row>
    <row r="9793">
      <c r="A9793" s="84"/>
      <c r="B9793" s="85"/>
      <c r="C9793" s="85"/>
      <c r="F9793" s="92"/>
      <c r="G9793" s="85"/>
    </row>
    <row r="9794">
      <c r="A9794" s="84"/>
      <c r="B9794" s="85"/>
      <c r="C9794" s="85"/>
      <c r="F9794" s="92"/>
      <c r="G9794" s="85"/>
    </row>
    <row r="9795">
      <c r="A9795" s="84"/>
      <c r="B9795" s="85"/>
      <c r="C9795" s="85"/>
      <c r="F9795" s="92"/>
      <c r="G9795" s="85"/>
    </row>
    <row r="9796">
      <c r="A9796" s="84"/>
      <c r="B9796" s="85"/>
      <c r="C9796" s="85"/>
      <c r="F9796" s="92"/>
      <c r="G9796" s="85"/>
    </row>
    <row r="9797">
      <c r="A9797" s="84"/>
      <c r="B9797" s="85"/>
      <c r="C9797" s="85"/>
      <c r="F9797" s="92"/>
      <c r="G9797" s="85"/>
    </row>
    <row r="9798">
      <c r="A9798" s="84"/>
      <c r="B9798" s="85"/>
      <c r="C9798" s="85"/>
      <c r="F9798" s="92"/>
      <c r="G9798" s="85"/>
    </row>
    <row r="9799">
      <c r="A9799" s="84"/>
      <c r="B9799" s="85"/>
      <c r="C9799" s="85"/>
      <c r="F9799" s="92"/>
      <c r="G9799" s="85"/>
    </row>
    <row r="9800">
      <c r="A9800" s="84"/>
      <c r="B9800" s="85"/>
      <c r="C9800" s="85"/>
      <c r="F9800" s="92"/>
      <c r="G9800" s="85"/>
    </row>
    <row r="9801">
      <c r="A9801" s="84"/>
      <c r="B9801" s="85"/>
      <c r="C9801" s="85"/>
      <c r="F9801" s="92"/>
      <c r="G9801" s="85"/>
    </row>
    <row r="9802">
      <c r="A9802" s="84"/>
      <c r="B9802" s="85"/>
      <c r="C9802" s="85"/>
      <c r="F9802" s="92"/>
      <c r="G9802" s="85"/>
    </row>
    <row r="9803">
      <c r="A9803" s="84"/>
      <c r="B9803" s="85"/>
      <c r="C9803" s="85"/>
      <c r="F9803" s="92"/>
      <c r="G9803" s="85"/>
    </row>
    <row r="9804">
      <c r="A9804" s="84"/>
      <c r="B9804" s="85"/>
      <c r="C9804" s="85"/>
      <c r="F9804" s="92"/>
      <c r="G9804" s="85"/>
    </row>
    <row r="9805">
      <c r="A9805" s="84"/>
      <c r="B9805" s="85"/>
      <c r="C9805" s="85"/>
      <c r="F9805" s="92"/>
      <c r="G9805" s="85"/>
    </row>
    <row r="9806">
      <c r="A9806" s="84"/>
      <c r="B9806" s="85"/>
      <c r="C9806" s="85"/>
      <c r="F9806" s="92"/>
      <c r="G9806" s="85"/>
    </row>
    <row r="9807">
      <c r="A9807" s="84"/>
      <c r="B9807" s="85"/>
      <c r="C9807" s="85"/>
      <c r="F9807" s="92"/>
      <c r="G9807" s="85"/>
    </row>
    <row r="9808">
      <c r="A9808" s="84"/>
      <c r="B9808" s="85"/>
      <c r="C9808" s="85"/>
      <c r="F9808" s="92"/>
      <c r="G9808" s="85"/>
    </row>
    <row r="9809">
      <c r="A9809" s="84"/>
      <c r="B9809" s="85"/>
      <c r="C9809" s="85"/>
      <c r="F9809" s="92"/>
      <c r="G9809" s="85"/>
    </row>
    <row r="9810">
      <c r="A9810" s="84"/>
      <c r="B9810" s="85"/>
      <c r="C9810" s="85"/>
      <c r="F9810" s="92"/>
      <c r="G9810" s="85"/>
    </row>
    <row r="9811">
      <c r="A9811" s="84"/>
      <c r="B9811" s="85"/>
      <c r="C9811" s="85"/>
      <c r="F9811" s="92"/>
      <c r="G9811" s="85"/>
    </row>
    <row r="9812">
      <c r="A9812" s="84"/>
      <c r="B9812" s="85"/>
      <c r="C9812" s="85"/>
      <c r="F9812" s="92"/>
      <c r="G9812" s="85"/>
    </row>
    <row r="9813">
      <c r="A9813" s="84"/>
      <c r="B9813" s="85"/>
      <c r="C9813" s="85"/>
      <c r="F9813" s="92"/>
      <c r="G9813" s="85"/>
    </row>
    <row r="9814">
      <c r="A9814" s="84"/>
      <c r="B9814" s="85"/>
      <c r="C9814" s="85"/>
      <c r="F9814" s="92"/>
      <c r="G9814" s="85"/>
    </row>
    <row r="9815">
      <c r="A9815" s="84"/>
      <c r="B9815" s="85"/>
      <c r="C9815" s="85"/>
      <c r="F9815" s="92"/>
      <c r="G9815" s="85"/>
    </row>
    <row r="9816">
      <c r="A9816" s="84"/>
      <c r="B9816" s="85"/>
      <c r="C9816" s="85"/>
      <c r="F9816" s="92"/>
      <c r="G9816" s="85"/>
    </row>
    <row r="9817">
      <c r="A9817" s="84"/>
      <c r="B9817" s="85"/>
      <c r="C9817" s="85"/>
      <c r="F9817" s="92"/>
      <c r="G9817" s="85"/>
    </row>
    <row r="9818">
      <c r="A9818" s="84"/>
      <c r="B9818" s="85"/>
      <c r="C9818" s="85"/>
      <c r="F9818" s="92"/>
      <c r="G9818" s="85"/>
    </row>
    <row r="9819">
      <c r="A9819" s="84"/>
      <c r="B9819" s="85"/>
      <c r="C9819" s="85"/>
      <c r="F9819" s="92"/>
      <c r="G9819" s="85"/>
    </row>
    <row r="9820">
      <c r="A9820" s="84"/>
      <c r="B9820" s="85"/>
      <c r="C9820" s="85"/>
      <c r="F9820" s="92"/>
      <c r="G9820" s="85"/>
    </row>
    <row r="9821">
      <c r="A9821" s="84"/>
      <c r="B9821" s="85"/>
      <c r="C9821" s="85"/>
      <c r="F9821" s="92"/>
      <c r="G9821" s="85"/>
    </row>
    <row r="9822">
      <c r="A9822" s="84"/>
      <c r="B9822" s="85"/>
      <c r="C9822" s="85"/>
      <c r="F9822" s="92"/>
      <c r="G9822" s="85"/>
    </row>
    <row r="9823">
      <c r="A9823" s="84"/>
      <c r="B9823" s="85"/>
      <c r="C9823" s="85"/>
      <c r="F9823" s="92"/>
      <c r="G9823" s="85"/>
    </row>
    <row r="9824">
      <c r="A9824" s="84"/>
      <c r="B9824" s="85"/>
      <c r="C9824" s="85"/>
      <c r="F9824" s="92"/>
      <c r="G9824" s="85"/>
    </row>
    <row r="9825">
      <c r="A9825" s="84"/>
      <c r="B9825" s="85"/>
      <c r="C9825" s="85"/>
      <c r="F9825" s="92"/>
      <c r="G9825" s="85"/>
    </row>
    <row r="9826">
      <c r="A9826" s="84"/>
      <c r="B9826" s="85"/>
      <c r="C9826" s="85"/>
      <c r="F9826" s="92"/>
      <c r="G9826" s="85"/>
    </row>
    <row r="9827">
      <c r="A9827" s="84"/>
      <c r="B9827" s="85"/>
      <c r="C9827" s="85"/>
      <c r="F9827" s="92"/>
      <c r="G9827" s="85"/>
    </row>
    <row r="9828">
      <c r="A9828" s="84"/>
      <c r="B9828" s="85"/>
      <c r="C9828" s="85"/>
      <c r="F9828" s="92"/>
      <c r="G9828" s="85"/>
    </row>
    <row r="9829">
      <c r="A9829" s="84"/>
      <c r="B9829" s="85"/>
      <c r="C9829" s="85"/>
      <c r="F9829" s="92"/>
      <c r="G9829" s="85"/>
    </row>
    <row r="9830">
      <c r="A9830" s="84"/>
      <c r="B9830" s="85"/>
      <c r="C9830" s="85"/>
      <c r="F9830" s="92"/>
      <c r="G9830" s="85"/>
    </row>
    <row r="9831">
      <c r="A9831" s="84"/>
      <c r="B9831" s="85"/>
      <c r="C9831" s="85"/>
      <c r="F9831" s="92"/>
      <c r="G9831" s="85"/>
    </row>
    <row r="9832">
      <c r="A9832" s="84"/>
      <c r="B9832" s="85"/>
      <c r="C9832" s="85"/>
      <c r="F9832" s="92"/>
      <c r="G9832" s="85"/>
    </row>
    <row r="9833">
      <c r="A9833" s="84"/>
      <c r="B9833" s="85"/>
      <c r="C9833" s="85"/>
      <c r="F9833" s="92"/>
      <c r="G9833" s="85"/>
    </row>
    <row r="9834">
      <c r="A9834" s="84"/>
      <c r="B9834" s="85"/>
      <c r="C9834" s="85"/>
      <c r="F9834" s="92"/>
      <c r="G9834" s="85"/>
    </row>
    <row r="9835">
      <c r="A9835" s="84"/>
      <c r="B9835" s="85"/>
      <c r="C9835" s="85"/>
      <c r="F9835" s="92"/>
      <c r="G9835" s="85"/>
    </row>
    <row r="9836">
      <c r="A9836" s="84"/>
      <c r="B9836" s="85"/>
      <c r="C9836" s="85"/>
      <c r="F9836" s="92"/>
      <c r="G9836" s="85"/>
    </row>
    <row r="9837">
      <c r="A9837" s="84"/>
      <c r="B9837" s="85"/>
      <c r="C9837" s="85"/>
      <c r="F9837" s="92"/>
      <c r="G9837" s="85"/>
    </row>
    <row r="9838">
      <c r="A9838" s="84"/>
      <c r="B9838" s="85"/>
      <c r="C9838" s="85"/>
      <c r="F9838" s="92"/>
      <c r="G9838" s="85"/>
    </row>
    <row r="9839">
      <c r="A9839" s="84"/>
      <c r="B9839" s="85"/>
      <c r="C9839" s="85"/>
      <c r="F9839" s="92"/>
      <c r="G9839" s="85"/>
    </row>
    <row r="9840">
      <c r="A9840" s="84"/>
      <c r="B9840" s="85"/>
      <c r="C9840" s="85"/>
      <c r="F9840" s="92"/>
      <c r="G9840" s="85"/>
    </row>
    <row r="9841">
      <c r="A9841" s="84"/>
      <c r="B9841" s="85"/>
      <c r="C9841" s="85"/>
      <c r="F9841" s="92"/>
      <c r="G9841" s="85"/>
    </row>
    <row r="9842">
      <c r="A9842" s="84"/>
      <c r="B9842" s="85"/>
      <c r="C9842" s="85"/>
      <c r="F9842" s="92"/>
      <c r="G9842" s="85"/>
    </row>
    <row r="9843">
      <c r="A9843" s="84"/>
      <c r="B9843" s="85"/>
      <c r="C9843" s="85"/>
      <c r="F9843" s="92"/>
      <c r="G9843" s="85"/>
    </row>
    <row r="9844">
      <c r="A9844" s="84"/>
      <c r="B9844" s="85"/>
      <c r="C9844" s="85"/>
      <c r="F9844" s="92"/>
      <c r="G9844" s="85"/>
    </row>
    <row r="9845">
      <c r="A9845" s="84"/>
      <c r="B9845" s="85"/>
      <c r="C9845" s="85"/>
      <c r="F9845" s="92"/>
      <c r="G9845" s="85"/>
    </row>
    <row r="9846">
      <c r="A9846" s="84"/>
      <c r="B9846" s="85"/>
      <c r="C9846" s="85"/>
      <c r="F9846" s="92"/>
      <c r="G9846" s="85"/>
    </row>
    <row r="9847">
      <c r="A9847" s="84"/>
      <c r="B9847" s="85"/>
      <c r="C9847" s="85"/>
      <c r="F9847" s="92"/>
      <c r="G9847" s="85"/>
    </row>
    <row r="9848">
      <c r="A9848" s="84"/>
      <c r="B9848" s="85"/>
      <c r="C9848" s="85"/>
      <c r="F9848" s="92"/>
      <c r="G9848" s="85"/>
    </row>
    <row r="9849">
      <c r="A9849" s="84"/>
      <c r="B9849" s="85"/>
      <c r="C9849" s="85"/>
      <c r="F9849" s="92"/>
      <c r="G9849" s="85"/>
    </row>
    <row r="9850">
      <c r="A9850" s="84"/>
      <c r="B9850" s="85"/>
      <c r="C9850" s="85"/>
      <c r="F9850" s="92"/>
      <c r="G9850" s="85"/>
    </row>
    <row r="9851">
      <c r="A9851" s="84"/>
      <c r="B9851" s="85"/>
      <c r="C9851" s="85"/>
      <c r="F9851" s="92"/>
      <c r="G9851" s="85"/>
    </row>
    <row r="9852">
      <c r="A9852" s="84"/>
      <c r="B9852" s="85"/>
      <c r="C9852" s="85"/>
      <c r="F9852" s="92"/>
      <c r="G9852" s="85"/>
    </row>
    <row r="9853">
      <c r="A9853" s="84"/>
      <c r="B9853" s="85"/>
      <c r="C9853" s="85"/>
      <c r="F9853" s="92"/>
      <c r="G9853" s="85"/>
    </row>
    <row r="9854">
      <c r="A9854" s="84"/>
      <c r="B9854" s="85"/>
      <c r="C9854" s="85"/>
      <c r="F9854" s="92"/>
      <c r="G9854" s="85"/>
    </row>
    <row r="9855">
      <c r="A9855" s="84"/>
      <c r="B9855" s="85"/>
      <c r="C9855" s="85"/>
      <c r="F9855" s="92"/>
      <c r="G9855" s="85"/>
    </row>
    <row r="9856">
      <c r="A9856" s="84"/>
      <c r="B9856" s="85"/>
      <c r="C9856" s="85"/>
      <c r="F9856" s="92"/>
      <c r="G9856" s="85"/>
    </row>
    <row r="9857">
      <c r="A9857" s="84"/>
      <c r="B9857" s="85"/>
      <c r="C9857" s="85"/>
      <c r="F9857" s="92"/>
      <c r="G9857" s="85"/>
    </row>
    <row r="9858">
      <c r="A9858" s="84"/>
      <c r="B9858" s="85"/>
      <c r="C9858" s="85"/>
      <c r="F9858" s="92"/>
      <c r="G9858" s="85"/>
    </row>
    <row r="9859">
      <c r="A9859" s="84"/>
      <c r="B9859" s="85"/>
      <c r="C9859" s="85"/>
      <c r="F9859" s="92"/>
      <c r="G9859" s="85"/>
    </row>
    <row r="9860">
      <c r="A9860" s="84"/>
      <c r="B9860" s="85"/>
      <c r="C9860" s="85"/>
      <c r="F9860" s="92"/>
      <c r="G9860" s="85"/>
    </row>
    <row r="9861">
      <c r="A9861" s="84"/>
      <c r="B9861" s="85"/>
      <c r="C9861" s="85"/>
      <c r="F9861" s="92"/>
      <c r="G9861" s="85"/>
    </row>
    <row r="9862">
      <c r="A9862" s="84"/>
      <c r="B9862" s="85"/>
      <c r="C9862" s="85"/>
      <c r="F9862" s="92"/>
      <c r="G9862" s="85"/>
    </row>
    <row r="9863">
      <c r="A9863" s="84"/>
      <c r="B9863" s="85"/>
      <c r="C9863" s="85"/>
      <c r="F9863" s="92"/>
      <c r="G9863" s="85"/>
    </row>
    <row r="9864">
      <c r="A9864" s="84"/>
      <c r="B9864" s="85"/>
      <c r="C9864" s="85"/>
      <c r="F9864" s="92"/>
      <c r="G9864" s="85"/>
    </row>
    <row r="9865">
      <c r="A9865" s="84"/>
      <c r="B9865" s="85"/>
      <c r="C9865" s="85"/>
      <c r="F9865" s="92"/>
      <c r="G9865" s="85"/>
    </row>
    <row r="9866">
      <c r="A9866" s="84"/>
      <c r="B9866" s="85"/>
      <c r="C9866" s="85"/>
      <c r="F9866" s="92"/>
      <c r="G9866" s="85"/>
    </row>
    <row r="9867">
      <c r="A9867" s="84"/>
      <c r="B9867" s="85"/>
      <c r="C9867" s="85"/>
      <c r="F9867" s="92"/>
      <c r="G9867" s="85"/>
    </row>
    <row r="9868">
      <c r="A9868" s="84"/>
      <c r="B9868" s="85"/>
      <c r="C9868" s="85"/>
      <c r="F9868" s="92"/>
      <c r="G9868" s="85"/>
    </row>
    <row r="9869">
      <c r="A9869" s="84"/>
      <c r="B9869" s="85"/>
      <c r="C9869" s="85"/>
      <c r="F9869" s="92"/>
      <c r="G9869" s="85"/>
    </row>
    <row r="9870">
      <c r="A9870" s="84"/>
      <c r="B9870" s="85"/>
      <c r="C9870" s="85"/>
      <c r="F9870" s="92"/>
      <c r="G9870" s="85"/>
    </row>
    <row r="9871">
      <c r="A9871" s="84"/>
      <c r="B9871" s="85"/>
      <c r="C9871" s="85"/>
      <c r="F9871" s="92"/>
      <c r="G9871" s="85"/>
    </row>
    <row r="9872">
      <c r="A9872" s="84"/>
      <c r="B9872" s="85"/>
      <c r="C9872" s="85"/>
      <c r="F9872" s="92"/>
      <c r="G9872" s="85"/>
    </row>
    <row r="9873">
      <c r="A9873" s="84"/>
      <c r="B9873" s="85"/>
      <c r="C9873" s="85"/>
      <c r="F9873" s="92"/>
      <c r="G9873" s="85"/>
    </row>
    <row r="9874">
      <c r="A9874" s="84"/>
      <c r="B9874" s="85"/>
      <c r="C9874" s="85"/>
      <c r="F9874" s="92"/>
      <c r="G9874" s="85"/>
    </row>
    <row r="9875">
      <c r="A9875" s="84"/>
      <c r="B9875" s="85"/>
      <c r="C9875" s="85"/>
      <c r="F9875" s="92"/>
      <c r="G9875" s="85"/>
    </row>
    <row r="9876">
      <c r="A9876" s="84"/>
      <c r="B9876" s="85"/>
      <c r="C9876" s="85"/>
      <c r="F9876" s="92"/>
      <c r="G9876" s="85"/>
    </row>
    <row r="9877">
      <c r="A9877" s="84"/>
      <c r="B9877" s="85"/>
      <c r="C9877" s="85"/>
      <c r="F9877" s="92"/>
      <c r="G9877" s="85"/>
    </row>
    <row r="9878">
      <c r="A9878" s="84"/>
      <c r="B9878" s="85"/>
      <c r="C9878" s="85"/>
      <c r="F9878" s="92"/>
      <c r="G9878" s="85"/>
    </row>
    <row r="9879">
      <c r="A9879" s="84"/>
      <c r="B9879" s="85"/>
      <c r="C9879" s="85"/>
      <c r="F9879" s="92"/>
      <c r="G9879" s="85"/>
    </row>
    <row r="9880">
      <c r="A9880" s="84"/>
      <c r="B9880" s="85"/>
      <c r="C9880" s="85"/>
      <c r="F9880" s="92"/>
      <c r="G9880" s="85"/>
    </row>
    <row r="9881">
      <c r="A9881" s="84"/>
      <c r="B9881" s="85"/>
      <c r="C9881" s="85"/>
      <c r="F9881" s="92"/>
      <c r="G9881" s="85"/>
    </row>
    <row r="9882">
      <c r="A9882" s="84"/>
      <c r="B9882" s="85"/>
      <c r="C9882" s="85"/>
      <c r="F9882" s="92"/>
      <c r="G9882" s="85"/>
    </row>
    <row r="9883">
      <c r="A9883" s="84"/>
      <c r="B9883" s="85"/>
      <c r="C9883" s="85"/>
      <c r="F9883" s="92"/>
      <c r="G9883" s="85"/>
    </row>
    <row r="9884">
      <c r="A9884" s="84"/>
      <c r="B9884" s="85"/>
      <c r="C9884" s="85"/>
      <c r="F9884" s="92"/>
      <c r="G9884" s="85"/>
    </row>
    <row r="9885">
      <c r="A9885" s="84"/>
      <c r="B9885" s="85"/>
      <c r="C9885" s="85"/>
      <c r="F9885" s="92"/>
      <c r="G9885" s="85"/>
    </row>
    <row r="9886">
      <c r="A9886" s="84"/>
      <c r="B9886" s="85"/>
      <c r="C9886" s="85"/>
      <c r="F9886" s="92"/>
      <c r="G9886" s="85"/>
    </row>
    <row r="9887">
      <c r="A9887" s="84"/>
      <c r="B9887" s="85"/>
      <c r="C9887" s="85"/>
      <c r="F9887" s="92"/>
      <c r="G9887" s="85"/>
    </row>
    <row r="9888">
      <c r="A9888" s="84"/>
      <c r="B9888" s="85"/>
      <c r="C9888" s="85"/>
      <c r="F9888" s="92"/>
      <c r="G9888" s="85"/>
    </row>
    <row r="9889">
      <c r="A9889" s="84"/>
      <c r="B9889" s="85"/>
      <c r="C9889" s="85"/>
      <c r="F9889" s="92"/>
      <c r="G9889" s="85"/>
    </row>
    <row r="9890">
      <c r="A9890" s="84"/>
      <c r="B9890" s="85"/>
      <c r="C9890" s="85"/>
      <c r="F9890" s="92"/>
      <c r="G9890" s="85"/>
    </row>
    <row r="9891">
      <c r="A9891" s="84"/>
      <c r="B9891" s="85"/>
      <c r="C9891" s="85"/>
      <c r="F9891" s="92"/>
      <c r="G9891" s="85"/>
    </row>
    <row r="9892">
      <c r="A9892" s="84"/>
      <c r="B9892" s="85"/>
      <c r="C9892" s="85"/>
      <c r="F9892" s="92"/>
      <c r="G9892" s="85"/>
    </row>
    <row r="9893">
      <c r="A9893" s="84"/>
      <c r="B9893" s="85"/>
      <c r="C9893" s="85"/>
      <c r="F9893" s="92"/>
      <c r="G9893" s="85"/>
    </row>
    <row r="9894">
      <c r="A9894" s="84"/>
      <c r="B9894" s="85"/>
      <c r="C9894" s="85"/>
      <c r="F9894" s="92"/>
      <c r="G9894" s="85"/>
    </row>
    <row r="9895">
      <c r="A9895" s="84"/>
      <c r="B9895" s="85"/>
      <c r="C9895" s="85"/>
      <c r="F9895" s="92"/>
      <c r="G9895" s="85"/>
    </row>
    <row r="9896">
      <c r="A9896" s="84"/>
      <c r="B9896" s="85"/>
      <c r="C9896" s="85"/>
      <c r="F9896" s="92"/>
      <c r="G9896" s="85"/>
    </row>
    <row r="9897">
      <c r="A9897" s="84"/>
      <c r="B9897" s="85"/>
      <c r="C9897" s="85"/>
      <c r="F9897" s="92"/>
      <c r="G9897" s="85"/>
    </row>
    <row r="9898">
      <c r="A9898" s="84"/>
      <c r="B9898" s="85"/>
      <c r="C9898" s="85"/>
      <c r="F9898" s="92"/>
      <c r="G9898" s="85"/>
    </row>
    <row r="9899">
      <c r="A9899" s="84"/>
      <c r="B9899" s="85"/>
      <c r="C9899" s="85"/>
      <c r="F9899" s="92"/>
      <c r="G9899" s="85"/>
    </row>
    <row r="9900">
      <c r="A9900" s="84"/>
      <c r="B9900" s="85"/>
      <c r="C9900" s="85"/>
      <c r="F9900" s="92"/>
      <c r="G9900" s="85"/>
    </row>
    <row r="9901">
      <c r="A9901" s="84"/>
      <c r="B9901" s="85"/>
      <c r="C9901" s="85"/>
      <c r="F9901" s="92"/>
      <c r="G9901" s="85"/>
    </row>
    <row r="9902">
      <c r="A9902" s="84"/>
      <c r="B9902" s="85"/>
      <c r="C9902" s="85"/>
      <c r="F9902" s="92"/>
      <c r="G9902" s="85"/>
    </row>
    <row r="9903">
      <c r="A9903" s="84"/>
      <c r="B9903" s="85"/>
      <c r="C9903" s="85"/>
      <c r="F9903" s="92"/>
      <c r="G9903" s="85"/>
    </row>
    <row r="9904">
      <c r="A9904" s="84"/>
      <c r="B9904" s="85"/>
      <c r="C9904" s="85"/>
      <c r="F9904" s="92"/>
      <c r="G9904" s="85"/>
    </row>
    <row r="9905">
      <c r="A9905" s="84"/>
      <c r="B9905" s="85"/>
      <c r="C9905" s="85"/>
      <c r="F9905" s="92"/>
      <c r="G9905" s="85"/>
    </row>
    <row r="9906">
      <c r="A9906" s="84"/>
      <c r="B9906" s="85"/>
      <c r="C9906" s="85"/>
      <c r="F9906" s="92"/>
      <c r="G9906" s="85"/>
    </row>
    <row r="9907">
      <c r="A9907" s="84"/>
      <c r="B9907" s="85"/>
      <c r="C9907" s="85"/>
      <c r="F9907" s="92"/>
      <c r="G9907" s="85"/>
    </row>
    <row r="9908">
      <c r="A9908" s="84"/>
      <c r="B9908" s="85"/>
      <c r="C9908" s="85"/>
      <c r="F9908" s="92"/>
      <c r="G9908" s="85"/>
    </row>
    <row r="9909">
      <c r="A9909" s="84"/>
      <c r="B9909" s="85"/>
      <c r="C9909" s="85"/>
      <c r="F9909" s="92"/>
      <c r="G9909" s="85"/>
    </row>
    <row r="9910">
      <c r="A9910" s="84"/>
      <c r="B9910" s="85"/>
      <c r="C9910" s="85"/>
      <c r="F9910" s="92"/>
      <c r="G9910" s="85"/>
    </row>
    <row r="9911">
      <c r="A9911" s="84"/>
      <c r="B9911" s="85"/>
      <c r="C9911" s="85"/>
      <c r="F9911" s="92"/>
      <c r="G9911" s="85"/>
    </row>
    <row r="9912">
      <c r="A9912" s="84"/>
      <c r="B9912" s="85"/>
      <c r="C9912" s="85"/>
      <c r="F9912" s="92"/>
      <c r="G9912" s="85"/>
    </row>
    <row r="9913">
      <c r="A9913" s="84"/>
      <c r="B9913" s="85"/>
      <c r="C9913" s="85"/>
      <c r="F9913" s="92"/>
      <c r="G9913" s="85"/>
    </row>
    <row r="9914">
      <c r="A9914" s="84"/>
      <c r="B9914" s="85"/>
      <c r="C9914" s="85"/>
      <c r="F9914" s="92"/>
      <c r="G9914" s="85"/>
    </row>
    <row r="9915">
      <c r="A9915" s="84"/>
      <c r="B9915" s="85"/>
      <c r="C9915" s="85"/>
      <c r="F9915" s="92"/>
      <c r="G9915" s="85"/>
    </row>
    <row r="9916">
      <c r="A9916" s="84"/>
      <c r="B9916" s="85"/>
      <c r="C9916" s="85"/>
      <c r="F9916" s="92"/>
      <c r="G9916" s="85"/>
    </row>
    <row r="9917">
      <c r="A9917" s="84"/>
      <c r="B9917" s="85"/>
      <c r="C9917" s="85"/>
      <c r="F9917" s="92"/>
      <c r="G9917" s="85"/>
    </row>
    <row r="9918">
      <c r="A9918" s="84"/>
      <c r="B9918" s="85"/>
      <c r="C9918" s="85"/>
      <c r="F9918" s="92"/>
      <c r="G9918" s="85"/>
    </row>
    <row r="9919">
      <c r="A9919" s="84"/>
      <c r="B9919" s="85"/>
      <c r="C9919" s="85"/>
      <c r="F9919" s="92"/>
      <c r="G9919" s="85"/>
    </row>
    <row r="9920">
      <c r="A9920" s="84"/>
      <c r="B9920" s="85"/>
      <c r="C9920" s="85"/>
      <c r="F9920" s="92"/>
      <c r="G9920" s="85"/>
    </row>
    <row r="9921">
      <c r="A9921" s="84"/>
      <c r="B9921" s="85"/>
      <c r="C9921" s="85"/>
      <c r="F9921" s="92"/>
      <c r="G9921" s="85"/>
    </row>
    <row r="9922">
      <c r="A9922" s="84"/>
      <c r="B9922" s="85"/>
      <c r="C9922" s="85"/>
      <c r="F9922" s="92"/>
      <c r="G9922" s="85"/>
    </row>
    <row r="9923">
      <c r="A9923" s="84"/>
      <c r="B9923" s="85"/>
      <c r="C9923" s="85"/>
      <c r="F9923" s="92"/>
      <c r="G9923" s="85"/>
    </row>
    <row r="9924">
      <c r="A9924" s="84"/>
      <c r="B9924" s="85"/>
      <c r="C9924" s="85"/>
      <c r="F9924" s="92"/>
      <c r="G9924" s="85"/>
    </row>
    <row r="9925">
      <c r="A9925" s="84"/>
      <c r="B9925" s="85"/>
      <c r="C9925" s="85"/>
      <c r="F9925" s="92"/>
      <c r="G9925" s="85"/>
    </row>
    <row r="9926">
      <c r="A9926" s="84"/>
      <c r="B9926" s="85"/>
      <c r="C9926" s="85"/>
      <c r="F9926" s="92"/>
      <c r="G9926" s="85"/>
    </row>
    <row r="9927">
      <c r="A9927" s="84"/>
      <c r="B9927" s="85"/>
      <c r="C9927" s="85"/>
      <c r="F9927" s="92"/>
      <c r="G9927" s="85"/>
    </row>
    <row r="9928">
      <c r="A9928" s="84"/>
      <c r="B9928" s="85"/>
      <c r="C9928" s="85"/>
      <c r="F9928" s="92"/>
      <c r="G9928" s="85"/>
    </row>
    <row r="9929">
      <c r="A9929" s="84"/>
      <c r="B9929" s="85"/>
      <c r="C9929" s="85"/>
      <c r="F9929" s="92"/>
      <c r="G9929" s="85"/>
    </row>
    <row r="9930">
      <c r="A9930" s="84"/>
      <c r="B9930" s="85"/>
      <c r="C9930" s="85"/>
      <c r="F9930" s="92"/>
      <c r="G9930" s="85"/>
    </row>
    <row r="9931">
      <c r="A9931" s="84"/>
      <c r="B9931" s="85"/>
      <c r="C9931" s="85"/>
      <c r="F9931" s="92"/>
      <c r="G9931" s="85"/>
    </row>
    <row r="9932">
      <c r="A9932" s="84"/>
      <c r="B9932" s="85"/>
      <c r="C9932" s="85"/>
      <c r="F9932" s="92"/>
      <c r="G9932" s="85"/>
    </row>
    <row r="9933">
      <c r="A9933" s="84"/>
      <c r="B9933" s="85"/>
      <c r="C9933" s="85"/>
      <c r="F9933" s="92"/>
      <c r="G9933" s="85"/>
    </row>
    <row r="9934">
      <c r="A9934" s="84"/>
      <c r="B9934" s="85"/>
      <c r="C9934" s="85"/>
      <c r="F9934" s="92"/>
      <c r="G9934" s="85"/>
    </row>
    <row r="9935">
      <c r="A9935" s="84"/>
      <c r="B9935" s="85"/>
      <c r="C9935" s="85"/>
      <c r="F9935" s="92"/>
      <c r="G9935" s="85"/>
    </row>
    <row r="9936">
      <c r="A9936" s="84"/>
      <c r="B9936" s="85"/>
      <c r="C9936" s="85"/>
      <c r="F9936" s="92"/>
      <c r="G9936" s="85"/>
    </row>
    <row r="9937">
      <c r="A9937" s="84"/>
      <c r="B9937" s="85"/>
      <c r="C9937" s="85"/>
      <c r="F9937" s="92"/>
      <c r="G9937" s="85"/>
    </row>
    <row r="9938">
      <c r="A9938" s="84"/>
      <c r="B9938" s="85"/>
      <c r="C9938" s="85"/>
      <c r="F9938" s="92"/>
      <c r="G9938" s="85"/>
    </row>
    <row r="9939">
      <c r="A9939" s="84"/>
      <c r="B9939" s="85"/>
      <c r="C9939" s="85"/>
      <c r="F9939" s="92"/>
      <c r="G9939" s="85"/>
    </row>
    <row r="9940">
      <c r="A9940" s="84"/>
      <c r="B9940" s="85"/>
      <c r="C9940" s="85"/>
      <c r="F9940" s="92"/>
      <c r="G9940" s="85"/>
    </row>
    <row r="9941">
      <c r="A9941" s="84"/>
      <c r="B9941" s="85"/>
      <c r="C9941" s="85"/>
      <c r="F9941" s="92"/>
      <c r="G9941" s="85"/>
    </row>
    <row r="9942">
      <c r="A9942" s="84"/>
      <c r="B9942" s="85"/>
      <c r="C9942" s="85"/>
      <c r="F9942" s="92"/>
      <c r="G9942" s="85"/>
    </row>
    <row r="9943">
      <c r="A9943" s="84"/>
      <c r="B9943" s="85"/>
      <c r="C9943" s="85"/>
      <c r="F9943" s="92"/>
      <c r="G9943" s="85"/>
    </row>
    <row r="9944">
      <c r="A9944" s="84"/>
      <c r="B9944" s="85"/>
      <c r="C9944" s="85"/>
      <c r="F9944" s="92"/>
      <c r="G9944" s="85"/>
    </row>
    <row r="9945">
      <c r="A9945" s="84"/>
      <c r="B9945" s="85"/>
      <c r="C9945" s="85"/>
      <c r="F9945" s="92"/>
      <c r="G9945" s="85"/>
    </row>
    <row r="9946">
      <c r="A9946" s="84"/>
      <c r="B9946" s="85"/>
      <c r="C9946" s="85"/>
      <c r="F9946" s="92"/>
      <c r="G9946" s="85"/>
    </row>
    <row r="9947">
      <c r="A9947" s="84"/>
      <c r="B9947" s="85"/>
      <c r="C9947" s="85"/>
      <c r="F9947" s="92"/>
      <c r="G9947" s="85"/>
    </row>
    <row r="9948">
      <c r="A9948" s="84"/>
      <c r="B9948" s="85"/>
      <c r="C9948" s="85"/>
      <c r="F9948" s="92"/>
      <c r="G9948" s="85"/>
    </row>
    <row r="9949">
      <c r="A9949" s="84"/>
      <c r="B9949" s="85"/>
      <c r="C9949" s="85"/>
      <c r="F9949" s="92"/>
      <c r="G9949" s="85"/>
    </row>
    <row r="9950">
      <c r="A9950" s="84"/>
      <c r="B9950" s="85"/>
      <c r="C9950" s="85"/>
      <c r="F9950" s="92"/>
      <c r="G9950" s="85"/>
    </row>
    <row r="9951">
      <c r="A9951" s="84"/>
      <c r="B9951" s="85"/>
      <c r="C9951" s="85"/>
      <c r="F9951" s="92"/>
      <c r="G9951" s="85"/>
    </row>
    <row r="9952">
      <c r="A9952" s="84"/>
      <c r="B9952" s="85"/>
      <c r="C9952" s="85"/>
      <c r="F9952" s="92"/>
      <c r="G9952" s="85"/>
    </row>
    <row r="9953">
      <c r="A9953" s="84"/>
      <c r="B9953" s="85"/>
      <c r="C9953" s="85"/>
      <c r="F9953" s="92"/>
      <c r="G9953" s="85"/>
    </row>
    <row r="9954">
      <c r="A9954" s="84"/>
      <c r="B9954" s="85"/>
      <c r="C9954" s="85"/>
      <c r="F9954" s="92"/>
      <c r="G9954" s="85"/>
    </row>
    <row r="9955">
      <c r="A9955" s="84"/>
      <c r="B9955" s="85"/>
      <c r="C9955" s="85"/>
      <c r="F9955" s="92"/>
      <c r="G9955" s="85"/>
    </row>
    <row r="9956">
      <c r="A9956" s="84"/>
      <c r="B9956" s="85"/>
      <c r="C9956" s="85"/>
      <c r="F9956" s="92"/>
      <c r="G9956" s="85"/>
    </row>
    <row r="9957">
      <c r="A9957" s="84"/>
      <c r="B9957" s="85"/>
      <c r="C9957" s="85"/>
      <c r="F9957" s="92"/>
      <c r="G9957" s="85"/>
    </row>
    <row r="9958">
      <c r="A9958" s="84"/>
      <c r="B9958" s="85"/>
      <c r="C9958" s="85"/>
      <c r="F9958" s="92"/>
      <c r="G9958" s="85"/>
    </row>
    <row r="9959">
      <c r="A9959" s="84"/>
      <c r="B9959" s="85"/>
      <c r="C9959" s="85"/>
      <c r="F9959" s="92"/>
      <c r="G9959" s="85"/>
    </row>
    <row r="9960">
      <c r="A9960" s="84"/>
      <c r="B9960" s="85"/>
      <c r="C9960" s="85"/>
      <c r="F9960" s="92"/>
      <c r="G9960" s="85"/>
    </row>
    <row r="9961">
      <c r="A9961" s="84"/>
      <c r="B9961" s="85"/>
      <c r="C9961" s="85"/>
      <c r="F9961" s="92"/>
      <c r="G9961" s="85"/>
    </row>
    <row r="9962">
      <c r="A9962" s="84"/>
      <c r="B9962" s="85"/>
      <c r="C9962" s="85"/>
      <c r="F9962" s="92"/>
      <c r="G9962" s="85"/>
    </row>
    <row r="9963">
      <c r="A9963" s="84"/>
      <c r="B9963" s="85"/>
      <c r="C9963" s="85"/>
      <c r="F9963" s="92"/>
      <c r="G9963" s="85"/>
    </row>
    <row r="9964">
      <c r="A9964" s="84"/>
      <c r="B9964" s="85"/>
      <c r="C9964" s="85"/>
      <c r="F9964" s="92"/>
      <c r="G9964" s="85"/>
    </row>
    <row r="9965">
      <c r="A9965" s="84"/>
      <c r="B9965" s="85"/>
      <c r="C9965" s="85"/>
      <c r="F9965" s="92"/>
      <c r="G9965" s="85"/>
    </row>
    <row r="9966">
      <c r="A9966" s="84"/>
      <c r="B9966" s="85"/>
      <c r="C9966" s="85"/>
      <c r="F9966" s="92"/>
      <c r="G9966" s="85"/>
    </row>
    <row r="9967">
      <c r="A9967" s="84"/>
      <c r="B9967" s="85"/>
      <c r="C9967" s="85"/>
      <c r="F9967" s="92"/>
      <c r="G9967" s="85"/>
    </row>
    <row r="9968">
      <c r="A9968" s="84"/>
      <c r="B9968" s="85"/>
      <c r="C9968" s="85"/>
      <c r="F9968" s="92"/>
      <c r="G9968" s="85"/>
    </row>
    <row r="9969">
      <c r="A9969" s="84"/>
      <c r="B9969" s="85"/>
      <c r="C9969" s="85"/>
      <c r="F9969" s="92"/>
      <c r="G9969" s="85"/>
    </row>
    <row r="9970">
      <c r="A9970" s="84"/>
      <c r="B9970" s="85"/>
      <c r="C9970" s="85"/>
      <c r="F9970" s="92"/>
      <c r="G9970" s="85"/>
    </row>
    <row r="9971">
      <c r="A9971" s="84"/>
      <c r="B9971" s="85"/>
      <c r="C9971" s="85"/>
      <c r="F9971" s="92"/>
      <c r="G9971" s="85"/>
    </row>
    <row r="9972">
      <c r="A9972" s="84"/>
      <c r="B9972" s="85"/>
      <c r="C9972" s="85"/>
      <c r="F9972" s="92"/>
      <c r="G9972" s="85"/>
    </row>
    <row r="9973">
      <c r="A9973" s="84"/>
      <c r="B9973" s="85"/>
      <c r="C9973" s="85"/>
      <c r="F9973" s="92"/>
      <c r="G9973" s="85"/>
    </row>
    <row r="9974">
      <c r="A9974" s="84"/>
      <c r="B9974" s="85"/>
      <c r="C9974" s="85"/>
      <c r="F9974" s="92"/>
      <c r="G9974" s="85"/>
    </row>
    <row r="9975">
      <c r="A9975" s="84"/>
      <c r="B9975" s="85"/>
      <c r="C9975" s="85"/>
      <c r="F9975" s="92"/>
      <c r="G9975" s="85"/>
    </row>
    <row r="9976">
      <c r="A9976" s="84"/>
      <c r="B9976" s="85"/>
      <c r="C9976" s="85"/>
      <c r="F9976" s="92"/>
      <c r="G9976" s="85"/>
    </row>
    <row r="9977">
      <c r="A9977" s="84"/>
      <c r="B9977" s="85"/>
      <c r="C9977" s="85"/>
      <c r="F9977" s="92"/>
      <c r="G9977" s="85"/>
    </row>
    <row r="9978">
      <c r="A9978" s="84"/>
      <c r="B9978" s="85"/>
      <c r="C9978" s="85"/>
      <c r="F9978" s="92"/>
      <c r="G9978" s="85"/>
    </row>
    <row r="9979">
      <c r="A9979" s="84"/>
      <c r="B9979" s="85"/>
      <c r="C9979" s="85"/>
      <c r="F9979" s="92"/>
      <c r="G9979" s="85"/>
    </row>
    <row r="9980">
      <c r="A9980" s="84"/>
      <c r="B9980" s="85"/>
      <c r="C9980" s="85"/>
      <c r="F9980" s="92"/>
      <c r="G9980" s="85"/>
    </row>
    <row r="9981">
      <c r="A9981" s="84"/>
      <c r="B9981" s="85"/>
      <c r="C9981" s="85"/>
      <c r="F9981" s="92"/>
      <c r="G9981" s="85"/>
    </row>
    <row r="9982">
      <c r="A9982" s="84"/>
      <c r="B9982" s="85"/>
      <c r="C9982" s="85"/>
      <c r="F9982" s="92"/>
      <c r="G9982" s="85"/>
    </row>
    <row r="9983">
      <c r="A9983" s="84"/>
      <c r="B9983" s="85"/>
      <c r="C9983" s="85"/>
      <c r="F9983" s="92"/>
      <c r="G9983" s="85"/>
    </row>
    <row r="9984">
      <c r="A9984" s="84"/>
      <c r="B9984" s="85"/>
      <c r="C9984" s="85"/>
      <c r="F9984" s="92"/>
      <c r="G9984" s="85"/>
    </row>
    <row r="9985">
      <c r="A9985" s="84"/>
      <c r="B9985" s="85"/>
      <c r="C9985" s="85"/>
      <c r="F9985" s="92"/>
      <c r="G9985" s="85"/>
    </row>
    <row r="9986">
      <c r="A9986" s="84"/>
      <c r="B9986" s="85"/>
      <c r="C9986" s="85"/>
      <c r="F9986" s="92"/>
      <c r="G9986" s="85"/>
    </row>
    <row r="9987">
      <c r="A9987" s="84"/>
      <c r="B9987" s="85"/>
      <c r="C9987" s="85"/>
      <c r="F9987" s="92"/>
      <c r="G9987" s="85"/>
    </row>
    <row r="9988">
      <c r="A9988" s="84"/>
      <c r="B9988" s="85"/>
      <c r="C9988" s="85"/>
      <c r="F9988" s="92"/>
      <c r="G9988" s="85"/>
    </row>
    <row r="9989">
      <c r="A9989" s="84"/>
      <c r="B9989" s="85"/>
      <c r="C9989" s="85"/>
      <c r="F9989" s="92"/>
      <c r="G9989" s="85"/>
    </row>
    <row r="9990">
      <c r="A9990" s="84"/>
      <c r="B9990" s="85"/>
      <c r="C9990" s="85"/>
      <c r="F9990" s="92"/>
      <c r="G9990" s="85"/>
    </row>
    <row r="9991">
      <c r="A9991" s="84"/>
      <c r="B9991" s="85"/>
      <c r="C9991" s="85"/>
      <c r="F9991" s="92"/>
      <c r="G9991" s="85"/>
    </row>
    <row r="9992">
      <c r="A9992" s="84"/>
      <c r="B9992" s="85"/>
      <c r="C9992" s="85"/>
      <c r="F9992" s="92"/>
      <c r="G9992" s="85"/>
    </row>
    <row r="9993">
      <c r="A9993" s="84"/>
      <c r="B9993" s="85"/>
      <c r="C9993" s="85"/>
      <c r="F9993" s="92"/>
      <c r="G9993" s="85"/>
    </row>
    <row r="9994">
      <c r="A9994" s="84"/>
      <c r="B9994" s="85"/>
      <c r="C9994" s="85"/>
      <c r="F9994" s="92"/>
      <c r="G9994" s="85"/>
    </row>
    <row r="9995">
      <c r="A9995" s="84"/>
      <c r="B9995" s="85"/>
      <c r="C9995" s="85"/>
      <c r="F9995" s="92"/>
      <c r="G9995" s="85"/>
    </row>
    <row r="9996">
      <c r="A9996" s="84"/>
      <c r="B9996" s="85"/>
      <c r="C9996" s="85"/>
      <c r="F9996" s="92"/>
      <c r="G9996" s="85"/>
    </row>
    <row r="9997">
      <c r="A9997" s="84"/>
      <c r="B9997" s="85"/>
      <c r="C9997" s="85"/>
      <c r="F9997" s="92"/>
      <c r="G9997" s="85"/>
    </row>
    <row r="9998">
      <c r="A9998" s="84"/>
      <c r="B9998" s="85"/>
      <c r="C9998" s="85"/>
      <c r="F9998" s="92"/>
      <c r="G9998" s="85"/>
    </row>
    <row r="9999">
      <c r="A9999" s="84"/>
      <c r="B9999" s="85"/>
      <c r="C9999" s="85"/>
      <c r="F9999" s="92"/>
      <c r="G9999" s="85"/>
    </row>
    <row r="10000">
      <c r="A10000" s="84"/>
      <c r="B10000" s="85"/>
      <c r="C10000" s="85"/>
      <c r="F10000" s="92"/>
      <c r="G10000" s="85"/>
    </row>
    <row r="10001">
      <c r="A10001" s="84"/>
      <c r="B10001" s="85"/>
      <c r="C10001" s="85"/>
      <c r="F10001" s="92"/>
      <c r="G10001" s="85"/>
    </row>
    <row r="10002">
      <c r="A10002" s="84"/>
      <c r="B10002" s="85"/>
      <c r="C10002" s="85"/>
      <c r="F10002" s="92"/>
      <c r="G10002" s="85"/>
    </row>
    <row r="10003">
      <c r="A10003" s="84"/>
      <c r="B10003" s="85"/>
      <c r="C10003" s="85"/>
      <c r="F10003" s="92"/>
      <c r="G10003" s="85"/>
    </row>
    <row r="10004">
      <c r="A10004" s="84"/>
      <c r="B10004" s="85"/>
      <c r="C10004" s="85"/>
      <c r="F10004" s="92"/>
      <c r="G10004" s="85"/>
    </row>
    <row r="10005">
      <c r="A10005" s="84"/>
      <c r="B10005" s="85"/>
      <c r="C10005" s="85"/>
      <c r="F10005" s="92"/>
      <c r="G10005" s="85"/>
    </row>
    <row r="10006">
      <c r="A10006" s="84"/>
      <c r="B10006" s="85"/>
      <c r="C10006" s="85"/>
      <c r="F10006" s="92"/>
      <c r="G10006" s="85"/>
    </row>
    <row r="10007">
      <c r="A10007" s="84"/>
      <c r="B10007" s="85"/>
      <c r="C10007" s="85"/>
      <c r="F10007" s="92"/>
      <c r="G10007" s="85"/>
    </row>
    <row r="10008">
      <c r="A10008" s="84"/>
      <c r="B10008" s="85"/>
      <c r="C10008" s="85"/>
      <c r="F10008" s="92"/>
      <c r="G10008" s="85"/>
    </row>
    <row r="10009">
      <c r="A10009" s="84"/>
      <c r="B10009" s="85"/>
      <c r="C10009" s="85"/>
      <c r="F10009" s="92"/>
      <c r="G10009" s="85"/>
    </row>
    <row r="10010">
      <c r="A10010" s="84"/>
      <c r="B10010" s="85"/>
      <c r="C10010" s="85"/>
      <c r="F10010" s="92"/>
      <c r="G10010" s="85"/>
    </row>
    <row r="10011">
      <c r="A10011" s="84"/>
      <c r="B10011" s="85"/>
      <c r="C10011" s="85"/>
      <c r="F10011" s="92"/>
      <c r="G10011" s="85"/>
    </row>
    <row r="10012">
      <c r="A10012" s="84"/>
      <c r="B10012" s="85"/>
      <c r="C10012" s="85"/>
      <c r="F10012" s="92"/>
      <c r="G10012" s="85"/>
    </row>
    <row r="10013">
      <c r="A10013" s="84"/>
      <c r="B10013" s="85"/>
      <c r="C10013" s="85"/>
      <c r="F10013" s="92"/>
      <c r="G10013" s="85"/>
    </row>
    <row r="10014">
      <c r="A10014" s="84"/>
      <c r="B10014" s="85"/>
      <c r="C10014" s="85"/>
      <c r="F10014" s="92"/>
      <c r="G10014" s="85"/>
    </row>
    <row r="10015">
      <c r="A10015" s="84"/>
      <c r="B10015" s="85"/>
      <c r="C10015" s="85"/>
      <c r="F10015" s="92"/>
      <c r="G10015" s="85"/>
    </row>
    <row r="10016">
      <c r="A10016" s="84"/>
      <c r="B10016" s="85"/>
      <c r="C10016" s="85"/>
      <c r="F10016" s="92"/>
      <c r="G10016" s="85"/>
    </row>
    <row r="10017">
      <c r="A10017" s="84"/>
      <c r="B10017" s="85"/>
      <c r="C10017" s="85"/>
      <c r="F10017" s="92"/>
      <c r="G10017" s="85"/>
    </row>
    <row r="10018">
      <c r="A10018" s="84"/>
      <c r="B10018" s="85"/>
      <c r="C10018" s="85"/>
      <c r="F10018" s="92"/>
      <c r="G10018" s="85"/>
    </row>
    <row r="10019">
      <c r="A10019" s="84"/>
      <c r="B10019" s="85"/>
      <c r="C10019" s="85"/>
      <c r="F10019" s="92"/>
      <c r="G10019" s="85"/>
    </row>
    <row r="10020">
      <c r="A10020" s="84"/>
      <c r="B10020" s="85"/>
      <c r="C10020" s="85"/>
      <c r="F10020" s="92"/>
      <c r="G10020" s="85"/>
    </row>
    <row r="10021">
      <c r="A10021" s="84"/>
      <c r="B10021" s="85"/>
      <c r="C10021" s="85"/>
      <c r="F10021" s="92"/>
      <c r="G10021" s="85"/>
    </row>
    <row r="10022">
      <c r="A10022" s="84"/>
      <c r="B10022" s="85"/>
      <c r="C10022" s="85"/>
      <c r="F10022" s="92"/>
      <c r="G10022" s="85"/>
    </row>
    <row r="10023">
      <c r="A10023" s="84"/>
      <c r="B10023" s="85"/>
      <c r="C10023" s="85"/>
      <c r="F10023" s="92"/>
      <c r="G10023" s="85"/>
    </row>
    <row r="10024">
      <c r="A10024" s="84"/>
      <c r="B10024" s="85"/>
      <c r="C10024" s="85"/>
      <c r="F10024" s="92"/>
      <c r="G10024" s="85"/>
    </row>
    <row r="10025">
      <c r="A10025" s="84"/>
      <c r="B10025" s="85"/>
      <c r="C10025" s="85"/>
      <c r="F10025" s="92"/>
      <c r="G10025" s="85"/>
    </row>
    <row r="10026">
      <c r="A10026" s="84"/>
      <c r="B10026" s="85"/>
      <c r="C10026" s="85"/>
      <c r="F10026" s="92"/>
      <c r="G10026" s="85"/>
    </row>
    <row r="10027">
      <c r="A10027" s="84"/>
      <c r="B10027" s="85"/>
      <c r="C10027" s="85"/>
      <c r="F10027" s="92"/>
      <c r="G10027" s="85"/>
    </row>
    <row r="10028">
      <c r="A10028" s="84"/>
      <c r="B10028" s="85"/>
      <c r="C10028" s="85"/>
      <c r="F10028" s="92"/>
      <c r="G10028" s="85"/>
    </row>
    <row r="10029">
      <c r="A10029" s="84"/>
      <c r="B10029" s="85"/>
      <c r="C10029" s="85"/>
      <c r="F10029" s="92"/>
      <c r="G10029" s="85"/>
    </row>
    <row r="10030">
      <c r="A10030" s="84"/>
      <c r="B10030" s="85"/>
      <c r="C10030" s="85"/>
      <c r="F10030" s="92"/>
      <c r="G10030" s="85"/>
    </row>
    <row r="10031">
      <c r="A10031" s="84"/>
      <c r="B10031" s="85"/>
      <c r="C10031" s="85"/>
      <c r="F10031" s="92"/>
      <c r="G10031" s="85"/>
    </row>
    <row r="10032">
      <c r="A10032" s="84"/>
      <c r="B10032" s="85"/>
      <c r="C10032" s="85"/>
      <c r="F10032" s="92"/>
      <c r="G10032" s="85"/>
    </row>
    <row r="10033">
      <c r="A10033" s="84"/>
      <c r="B10033" s="85"/>
      <c r="C10033" s="85"/>
      <c r="F10033" s="92"/>
      <c r="G10033" s="85"/>
    </row>
    <row r="10034">
      <c r="A10034" s="84"/>
      <c r="B10034" s="85"/>
      <c r="C10034" s="85"/>
      <c r="F10034" s="92"/>
      <c r="G10034" s="85"/>
    </row>
    <row r="10035">
      <c r="A10035" s="84"/>
      <c r="B10035" s="85"/>
      <c r="C10035" s="85"/>
      <c r="F10035" s="92"/>
      <c r="G10035" s="85"/>
    </row>
    <row r="10036">
      <c r="A10036" s="84"/>
      <c r="B10036" s="85"/>
      <c r="C10036" s="85"/>
      <c r="F10036" s="92"/>
      <c r="G10036" s="85"/>
    </row>
    <row r="10037">
      <c r="A10037" s="84"/>
      <c r="B10037" s="85"/>
      <c r="C10037" s="85"/>
      <c r="F10037" s="92"/>
      <c r="G10037" s="85"/>
    </row>
    <row r="10038">
      <c r="A10038" s="84"/>
      <c r="B10038" s="85"/>
      <c r="C10038" s="85"/>
      <c r="F10038" s="92"/>
      <c r="G10038" s="85"/>
    </row>
    <row r="10039">
      <c r="A10039" s="84"/>
      <c r="B10039" s="85"/>
      <c r="C10039" s="85"/>
      <c r="F10039" s="92"/>
      <c r="G10039" s="85"/>
    </row>
    <row r="10040">
      <c r="A10040" s="84"/>
      <c r="B10040" s="85"/>
      <c r="C10040" s="85"/>
      <c r="F10040" s="92"/>
      <c r="G10040" s="85"/>
    </row>
    <row r="10041">
      <c r="A10041" s="84"/>
      <c r="B10041" s="85"/>
      <c r="C10041" s="85"/>
      <c r="F10041" s="92"/>
      <c r="G10041" s="85"/>
    </row>
    <row r="10042">
      <c r="A10042" s="84"/>
      <c r="B10042" s="85"/>
      <c r="C10042" s="85"/>
      <c r="F10042" s="92"/>
      <c r="G10042" s="85"/>
    </row>
    <row r="10043">
      <c r="A10043" s="84"/>
      <c r="B10043" s="85"/>
      <c r="C10043" s="85"/>
      <c r="F10043" s="92"/>
      <c r="G10043" s="85"/>
    </row>
    <row r="10044">
      <c r="A10044" s="84"/>
      <c r="B10044" s="85"/>
      <c r="C10044" s="85"/>
      <c r="F10044" s="92"/>
      <c r="G10044" s="85"/>
    </row>
    <row r="10045">
      <c r="A10045" s="84"/>
      <c r="B10045" s="85"/>
      <c r="C10045" s="85"/>
      <c r="F10045" s="92"/>
      <c r="G10045" s="85"/>
    </row>
    <row r="10046">
      <c r="A10046" s="84"/>
      <c r="B10046" s="85"/>
      <c r="C10046" s="85"/>
      <c r="F10046" s="92"/>
      <c r="G10046" s="85"/>
    </row>
    <row r="10047">
      <c r="A10047" s="84"/>
      <c r="B10047" s="85"/>
      <c r="C10047" s="85"/>
      <c r="F10047" s="92"/>
      <c r="G10047" s="85"/>
    </row>
    <row r="10048">
      <c r="A10048" s="84"/>
      <c r="B10048" s="85"/>
      <c r="C10048" s="85"/>
      <c r="F10048" s="92"/>
      <c r="G10048" s="85"/>
    </row>
    <row r="10049">
      <c r="A10049" s="84"/>
      <c r="B10049" s="85"/>
      <c r="C10049" s="85"/>
      <c r="F10049" s="92"/>
      <c r="G10049" s="85"/>
    </row>
    <row r="10050">
      <c r="A10050" s="84"/>
      <c r="B10050" s="85"/>
      <c r="C10050" s="85"/>
      <c r="F10050" s="92"/>
      <c r="G10050" s="85"/>
    </row>
    <row r="10051">
      <c r="A10051" s="84"/>
      <c r="B10051" s="85"/>
      <c r="C10051" s="85"/>
      <c r="F10051" s="92"/>
      <c r="G10051" s="85"/>
    </row>
    <row r="10052">
      <c r="A10052" s="84"/>
      <c r="B10052" s="85"/>
      <c r="C10052" s="85"/>
      <c r="F10052" s="92"/>
      <c r="G10052" s="85"/>
    </row>
    <row r="10053">
      <c r="A10053" s="84"/>
      <c r="B10053" s="85"/>
      <c r="C10053" s="85"/>
      <c r="F10053" s="92"/>
      <c r="G10053" s="85"/>
    </row>
    <row r="10054">
      <c r="A10054" s="84"/>
      <c r="B10054" s="85"/>
      <c r="C10054" s="85"/>
      <c r="F10054" s="92"/>
      <c r="G10054" s="85"/>
    </row>
    <row r="10055">
      <c r="A10055" s="84"/>
      <c r="B10055" s="85"/>
      <c r="C10055" s="85"/>
      <c r="F10055" s="92"/>
      <c r="G10055" s="85"/>
    </row>
    <row r="10056">
      <c r="A10056" s="84"/>
      <c r="B10056" s="85"/>
      <c r="C10056" s="85"/>
      <c r="F10056" s="92"/>
      <c r="G10056" s="85"/>
    </row>
    <row r="10057">
      <c r="A10057" s="84"/>
      <c r="B10057" s="85"/>
      <c r="C10057" s="85"/>
      <c r="F10057" s="92"/>
      <c r="G10057" s="85"/>
    </row>
    <row r="10058">
      <c r="A10058" s="84"/>
      <c r="B10058" s="85"/>
      <c r="C10058" s="85"/>
      <c r="F10058" s="92"/>
      <c r="G10058" s="85"/>
    </row>
    <row r="10059">
      <c r="A10059" s="84"/>
      <c r="B10059" s="85"/>
      <c r="C10059" s="85"/>
      <c r="F10059" s="92"/>
      <c r="G10059" s="85"/>
    </row>
    <row r="10060">
      <c r="A10060" s="84"/>
      <c r="B10060" s="85"/>
      <c r="C10060" s="85"/>
      <c r="F10060" s="92"/>
      <c r="G10060" s="85"/>
    </row>
    <row r="10061">
      <c r="A10061" s="84"/>
      <c r="B10061" s="85"/>
      <c r="C10061" s="85"/>
      <c r="F10061" s="92"/>
      <c r="G10061" s="85"/>
    </row>
    <row r="10062">
      <c r="A10062" s="84"/>
      <c r="B10062" s="85"/>
      <c r="C10062" s="85"/>
      <c r="F10062" s="92"/>
      <c r="G10062" s="85"/>
    </row>
    <row r="10063">
      <c r="A10063" s="84"/>
      <c r="B10063" s="85"/>
      <c r="C10063" s="85"/>
      <c r="F10063" s="92"/>
      <c r="G10063" s="85"/>
    </row>
    <row r="10064">
      <c r="A10064" s="84"/>
      <c r="B10064" s="85"/>
      <c r="C10064" s="85"/>
      <c r="F10064" s="92"/>
      <c r="G10064" s="85"/>
    </row>
    <row r="10065">
      <c r="A10065" s="84"/>
      <c r="B10065" s="85"/>
      <c r="C10065" s="85"/>
      <c r="F10065" s="92"/>
      <c r="G10065" s="85"/>
    </row>
    <row r="10066">
      <c r="A10066" s="84"/>
      <c r="B10066" s="85"/>
      <c r="C10066" s="85"/>
      <c r="F10066" s="92"/>
      <c r="G10066" s="85"/>
    </row>
    <row r="10067">
      <c r="A10067" s="84"/>
      <c r="B10067" s="85"/>
      <c r="C10067" s="85"/>
      <c r="F10067" s="92"/>
      <c r="G10067" s="85"/>
    </row>
    <row r="10068">
      <c r="A10068" s="84"/>
      <c r="B10068" s="85"/>
      <c r="C10068" s="85"/>
      <c r="F10068" s="92"/>
      <c r="G10068" s="85"/>
    </row>
    <row r="10069">
      <c r="A10069" s="84"/>
      <c r="B10069" s="85"/>
      <c r="C10069" s="85"/>
      <c r="F10069" s="92"/>
      <c r="G10069" s="85"/>
    </row>
    <row r="10070">
      <c r="A10070" s="84"/>
      <c r="B10070" s="85"/>
      <c r="C10070" s="85"/>
      <c r="F10070" s="92"/>
      <c r="G10070" s="85"/>
    </row>
    <row r="10071">
      <c r="A10071" s="84"/>
      <c r="B10071" s="85"/>
      <c r="C10071" s="85"/>
      <c r="F10071" s="92"/>
      <c r="G10071" s="85"/>
    </row>
    <row r="10072">
      <c r="A10072" s="84"/>
      <c r="B10072" s="85"/>
      <c r="C10072" s="85"/>
      <c r="F10072" s="92"/>
      <c r="G10072" s="85"/>
    </row>
    <row r="10073">
      <c r="A10073" s="84"/>
      <c r="B10073" s="85"/>
      <c r="C10073" s="85"/>
      <c r="F10073" s="92"/>
      <c r="G10073" s="85"/>
    </row>
    <row r="10074">
      <c r="A10074" s="84"/>
      <c r="B10074" s="85"/>
      <c r="C10074" s="85"/>
      <c r="F10074" s="92"/>
      <c r="G10074" s="85"/>
    </row>
    <row r="10075">
      <c r="A10075" s="84"/>
      <c r="B10075" s="85"/>
      <c r="C10075" s="85"/>
      <c r="F10075" s="92"/>
      <c r="G10075" s="85"/>
    </row>
    <row r="10076">
      <c r="A10076" s="84"/>
      <c r="B10076" s="85"/>
      <c r="C10076" s="85"/>
      <c r="F10076" s="92"/>
      <c r="G10076" s="85"/>
    </row>
    <row r="10077">
      <c r="A10077" s="84"/>
      <c r="B10077" s="85"/>
      <c r="C10077" s="85"/>
      <c r="F10077" s="92"/>
      <c r="G10077" s="85"/>
    </row>
    <row r="10078">
      <c r="A10078" s="84"/>
      <c r="B10078" s="85"/>
      <c r="C10078" s="85"/>
      <c r="F10078" s="92"/>
      <c r="G10078" s="85"/>
    </row>
    <row r="10079">
      <c r="A10079" s="84"/>
      <c r="B10079" s="85"/>
      <c r="C10079" s="85"/>
      <c r="F10079" s="92"/>
      <c r="G10079" s="85"/>
    </row>
    <row r="10080">
      <c r="A10080" s="84"/>
      <c r="B10080" s="85"/>
      <c r="C10080" s="85"/>
      <c r="F10080" s="92"/>
      <c r="G10080" s="85"/>
    </row>
    <row r="10081">
      <c r="A10081" s="84"/>
      <c r="B10081" s="85"/>
      <c r="C10081" s="85"/>
      <c r="F10081" s="92"/>
      <c r="G10081" s="85"/>
    </row>
    <row r="10082">
      <c r="A10082" s="84"/>
      <c r="B10082" s="85"/>
      <c r="C10082" s="85"/>
      <c r="F10082" s="92"/>
      <c r="G10082" s="85"/>
    </row>
    <row r="10083">
      <c r="A10083" s="84"/>
      <c r="B10083" s="85"/>
      <c r="C10083" s="85"/>
      <c r="F10083" s="92"/>
      <c r="G10083" s="85"/>
    </row>
    <row r="10084">
      <c r="A10084" s="84"/>
      <c r="B10084" s="85"/>
      <c r="C10084" s="85"/>
      <c r="F10084" s="92"/>
      <c r="G10084" s="85"/>
    </row>
    <row r="10085">
      <c r="A10085" s="84"/>
      <c r="B10085" s="85"/>
      <c r="C10085" s="85"/>
      <c r="F10085" s="92"/>
      <c r="G10085" s="85"/>
    </row>
    <row r="10086">
      <c r="A10086" s="84"/>
      <c r="B10086" s="85"/>
      <c r="C10086" s="85"/>
      <c r="F10086" s="92"/>
      <c r="G10086" s="85"/>
    </row>
    <row r="10087">
      <c r="A10087" s="84"/>
      <c r="B10087" s="85"/>
      <c r="C10087" s="85"/>
      <c r="F10087" s="92"/>
      <c r="G10087" s="85"/>
    </row>
    <row r="10088">
      <c r="A10088" s="84"/>
      <c r="B10088" s="85"/>
      <c r="C10088" s="85"/>
      <c r="F10088" s="92"/>
      <c r="G10088" s="85"/>
    </row>
    <row r="10089">
      <c r="A10089" s="84"/>
      <c r="B10089" s="85"/>
      <c r="C10089" s="85"/>
      <c r="F10089" s="92"/>
      <c r="G10089" s="85"/>
    </row>
    <row r="10090">
      <c r="A10090" s="84"/>
      <c r="B10090" s="85"/>
      <c r="C10090" s="85"/>
      <c r="F10090" s="92"/>
      <c r="G10090" s="85"/>
    </row>
    <row r="10091">
      <c r="A10091" s="84"/>
      <c r="B10091" s="85"/>
      <c r="C10091" s="85"/>
      <c r="F10091" s="92"/>
      <c r="G10091" s="85"/>
    </row>
    <row r="10092">
      <c r="A10092" s="84"/>
      <c r="B10092" s="85"/>
      <c r="C10092" s="85"/>
      <c r="F10092" s="92"/>
      <c r="G10092" s="85"/>
    </row>
    <row r="10093">
      <c r="A10093" s="84"/>
      <c r="B10093" s="85"/>
      <c r="C10093" s="85"/>
      <c r="F10093" s="92"/>
      <c r="G10093" s="85"/>
    </row>
    <row r="10094">
      <c r="A10094" s="84"/>
      <c r="B10094" s="85"/>
      <c r="C10094" s="85"/>
      <c r="F10094" s="92"/>
      <c r="G10094" s="85"/>
    </row>
    <row r="10095">
      <c r="A10095" s="84"/>
      <c r="B10095" s="85"/>
      <c r="C10095" s="85"/>
      <c r="F10095" s="92"/>
      <c r="G10095" s="85"/>
    </row>
    <row r="10096">
      <c r="A10096" s="84"/>
      <c r="B10096" s="85"/>
      <c r="C10096" s="85"/>
      <c r="F10096" s="92"/>
      <c r="G10096" s="85"/>
    </row>
    <row r="10097">
      <c r="A10097" s="84"/>
      <c r="B10097" s="85"/>
      <c r="C10097" s="85"/>
      <c r="F10097" s="92"/>
      <c r="G10097" s="85"/>
    </row>
    <row r="10098">
      <c r="A10098" s="84"/>
      <c r="B10098" s="85"/>
      <c r="C10098" s="85"/>
      <c r="F10098" s="92"/>
      <c r="G10098" s="85"/>
    </row>
    <row r="10099">
      <c r="A10099" s="84"/>
      <c r="B10099" s="85"/>
      <c r="C10099" s="85"/>
      <c r="F10099" s="92"/>
      <c r="G10099" s="85"/>
    </row>
    <row r="10100">
      <c r="A10100" s="84"/>
      <c r="B10100" s="85"/>
      <c r="C10100" s="85"/>
      <c r="F10100" s="92"/>
      <c r="G10100" s="85"/>
    </row>
    <row r="10101">
      <c r="A10101" s="84"/>
      <c r="B10101" s="85"/>
      <c r="C10101" s="85"/>
      <c r="F10101" s="92"/>
      <c r="G10101" s="85"/>
    </row>
    <row r="10102">
      <c r="A10102" s="84"/>
      <c r="B10102" s="85"/>
      <c r="C10102" s="85"/>
      <c r="F10102" s="92"/>
      <c r="G10102" s="85"/>
    </row>
    <row r="10103">
      <c r="A10103" s="84"/>
      <c r="B10103" s="85"/>
      <c r="C10103" s="85"/>
      <c r="F10103" s="92"/>
      <c r="G10103" s="85"/>
    </row>
    <row r="10104">
      <c r="A10104" s="84"/>
      <c r="B10104" s="85"/>
      <c r="C10104" s="85"/>
      <c r="F10104" s="92"/>
      <c r="G10104" s="85"/>
    </row>
    <row r="10105">
      <c r="A10105" s="84"/>
      <c r="B10105" s="85"/>
      <c r="C10105" s="85"/>
      <c r="F10105" s="92"/>
      <c r="G10105" s="85"/>
    </row>
    <row r="10106">
      <c r="A10106" s="84"/>
      <c r="B10106" s="85"/>
      <c r="C10106" s="85"/>
      <c r="F10106" s="92"/>
      <c r="G10106" s="85"/>
    </row>
    <row r="10107">
      <c r="A10107" s="84"/>
      <c r="B10107" s="85"/>
      <c r="C10107" s="85"/>
      <c r="F10107" s="92"/>
      <c r="G10107" s="85"/>
    </row>
    <row r="10108">
      <c r="A10108" s="84"/>
      <c r="B10108" s="85"/>
      <c r="C10108" s="85"/>
      <c r="F10108" s="92"/>
      <c r="G10108" s="85"/>
    </row>
    <row r="10109">
      <c r="A10109" s="84"/>
      <c r="B10109" s="85"/>
      <c r="C10109" s="85"/>
      <c r="F10109" s="92"/>
      <c r="G10109" s="85"/>
    </row>
    <row r="10110">
      <c r="A10110" s="84"/>
      <c r="B10110" s="85"/>
      <c r="C10110" s="85"/>
      <c r="F10110" s="92"/>
      <c r="G10110" s="85"/>
    </row>
    <row r="10111">
      <c r="A10111" s="84"/>
      <c r="B10111" s="85"/>
      <c r="C10111" s="85"/>
      <c r="F10111" s="92"/>
      <c r="G10111" s="85"/>
    </row>
    <row r="10112">
      <c r="A10112" s="84"/>
      <c r="B10112" s="85"/>
      <c r="C10112" s="85"/>
      <c r="F10112" s="92"/>
      <c r="G10112" s="85"/>
    </row>
    <row r="10113">
      <c r="A10113" s="84"/>
      <c r="B10113" s="85"/>
      <c r="C10113" s="85"/>
      <c r="F10113" s="92"/>
      <c r="G10113" s="85"/>
    </row>
    <row r="10114">
      <c r="A10114" s="84"/>
      <c r="B10114" s="85"/>
      <c r="C10114" s="85"/>
      <c r="F10114" s="92"/>
      <c r="G10114" s="85"/>
    </row>
    <row r="10115">
      <c r="A10115" s="84"/>
      <c r="B10115" s="85"/>
      <c r="C10115" s="85"/>
      <c r="F10115" s="92"/>
      <c r="G10115" s="85"/>
    </row>
    <row r="10116">
      <c r="A10116" s="84"/>
      <c r="B10116" s="85"/>
      <c r="C10116" s="85"/>
      <c r="F10116" s="92"/>
      <c r="G10116" s="85"/>
    </row>
    <row r="10117">
      <c r="A10117" s="84"/>
      <c r="B10117" s="85"/>
      <c r="C10117" s="85"/>
      <c r="F10117" s="92"/>
      <c r="G10117" s="85"/>
    </row>
    <row r="10118">
      <c r="A10118" s="84"/>
      <c r="B10118" s="85"/>
      <c r="C10118" s="85"/>
      <c r="F10118" s="92"/>
      <c r="G10118" s="85"/>
    </row>
    <row r="10119">
      <c r="A10119" s="84"/>
      <c r="B10119" s="85"/>
      <c r="C10119" s="85"/>
      <c r="F10119" s="92"/>
      <c r="G10119" s="85"/>
    </row>
    <row r="10120">
      <c r="A10120" s="84"/>
      <c r="B10120" s="85"/>
      <c r="C10120" s="85"/>
      <c r="F10120" s="92"/>
      <c r="G10120" s="85"/>
    </row>
    <row r="10121">
      <c r="A10121" s="84"/>
      <c r="B10121" s="85"/>
      <c r="C10121" s="85"/>
      <c r="F10121" s="92"/>
      <c r="G10121" s="85"/>
    </row>
    <row r="10122">
      <c r="A10122" s="84"/>
      <c r="B10122" s="85"/>
      <c r="C10122" s="85"/>
      <c r="F10122" s="92"/>
      <c r="G10122" s="85"/>
    </row>
    <row r="10123">
      <c r="A10123" s="84"/>
      <c r="B10123" s="85"/>
      <c r="C10123" s="85"/>
      <c r="F10123" s="92"/>
      <c r="G10123" s="85"/>
    </row>
    <row r="10124">
      <c r="A10124" s="84"/>
      <c r="B10124" s="85"/>
      <c r="C10124" s="85"/>
      <c r="F10124" s="92"/>
      <c r="G10124" s="85"/>
    </row>
    <row r="10125">
      <c r="A10125" s="84"/>
      <c r="B10125" s="85"/>
      <c r="C10125" s="85"/>
      <c r="F10125" s="92"/>
      <c r="G10125" s="85"/>
    </row>
    <row r="10126">
      <c r="A10126" s="84"/>
      <c r="B10126" s="85"/>
      <c r="C10126" s="85"/>
      <c r="F10126" s="92"/>
      <c r="G10126" s="85"/>
    </row>
    <row r="10127">
      <c r="A10127" s="84"/>
      <c r="B10127" s="85"/>
      <c r="C10127" s="85"/>
      <c r="F10127" s="92"/>
      <c r="G10127" s="85"/>
    </row>
    <row r="10128">
      <c r="A10128" s="84"/>
      <c r="B10128" s="85"/>
      <c r="C10128" s="85"/>
      <c r="F10128" s="92"/>
      <c r="G10128" s="85"/>
    </row>
    <row r="10129">
      <c r="A10129" s="84"/>
      <c r="B10129" s="85"/>
      <c r="C10129" s="85"/>
      <c r="F10129" s="92"/>
      <c r="G10129" s="85"/>
    </row>
    <row r="10130">
      <c r="A10130" s="84"/>
      <c r="B10130" s="85"/>
      <c r="C10130" s="85"/>
      <c r="F10130" s="92"/>
      <c r="G10130" s="85"/>
    </row>
    <row r="10131">
      <c r="A10131" s="84"/>
      <c r="B10131" s="85"/>
      <c r="C10131" s="85"/>
      <c r="F10131" s="92"/>
      <c r="G10131" s="85"/>
    </row>
    <row r="10132">
      <c r="A10132" s="84"/>
      <c r="B10132" s="85"/>
      <c r="C10132" s="85"/>
      <c r="F10132" s="92"/>
      <c r="G10132" s="85"/>
    </row>
    <row r="10133">
      <c r="A10133" s="84"/>
      <c r="B10133" s="85"/>
      <c r="C10133" s="85"/>
      <c r="F10133" s="92"/>
      <c r="G10133" s="85"/>
    </row>
    <row r="10134">
      <c r="A10134" s="84"/>
      <c r="B10134" s="85"/>
      <c r="C10134" s="85"/>
      <c r="F10134" s="92"/>
      <c r="G10134" s="85"/>
    </row>
    <row r="10135">
      <c r="A10135" s="84"/>
      <c r="B10135" s="85"/>
      <c r="C10135" s="85"/>
      <c r="F10135" s="92"/>
      <c r="G10135" s="85"/>
    </row>
    <row r="10136">
      <c r="A10136" s="84"/>
      <c r="B10136" s="85"/>
      <c r="C10136" s="85"/>
      <c r="F10136" s="92"/>
      <c r="G10136" s="85"/>
    </row>
    <row r="10137">
      <c r="A10137" s="84"/>
      <c r="B10137" s="85"/>
      <c r="C10137" s="85"/>
      <c r="F10137" s="92"/>
      <c r="G10137" s="85"/>
    </row>
    <row r="10138">
      <c r="A10138" s="84"/>
      <c r="B10138" s="85"/>
      <c r="C10138" s="85"/>
      <c r="F10138" s="92"/>
      <c r="G10138" s="85"/>
    </row>
    <row r="10139">
      <c r="A10139" s="84"/>
      <c r="B10139" s="85"/>
      <c r="C10139" s="85"/>
      <c r="F10139" s="92"/>
      <c r="G10139" s="85"/>
    </row>
    <row r="10140">
      <c r="A10140" s="84"/>
      <c r="B10140" s="85"/>
      <c r="C10140" s="85"/>
      <c r="F10140" s="92"/>
      <c r="G10140" s="85"/>
    </row>
    <row r="10141">
      <c r="A10141" s="84"/>
      <c r="B10141" s="85"/>
      <c r="C10141" s="85"/>
      <c r="F10141" s="92"/>
      <c r="G10141" s="85"/>
    </row>
    <row r="10142">
      <c r="A10142" s="84"/>
      <c r="B10142" s="85"/>
      <c r="C10142" s="85"/>
      <c r="F10142" s="92"/>
      <c r="G10142" s="85"/>
    </row>
    <row r="10143">
      <c r="A10143" s="84"/>
      <c r="B10143" s="85"/>
      <c r="C10143" s="85"/>
      <c r="F10143" s="92"/>
      <c r="G10143" s="85"/>
    </row>
    <row r="10144">
      <c r="A10144" s="84"/>
      <c r="B10144" s="85"/>
      <c r="C10144" s="85"/>
      <c r="F10144" s="92"/>
      <c r="G10144" s="85"/>
    </row>
    <row r="10145">
      <c r="A10145" s="84"/>
      <c r="B10145" s="85"/>
      <c r="C10145" s="85"/>
      <c r="F10145" s="92"/>
      <c r="G10145" s="85"/>
    </row>
    <row r="10146">
      <c r="A10146" s="84"/>
      <c r="B10146" s="85"/>
      <c r="C10146" s="85"/>
      <c r="F10146" s="92"/>
      <c r="G10146" s="85"/>
    </row>
    <row r="10147">
      <c r="A10147" s="84"/>
      <c r="B10147" s="85"/>
      <c r="C10147" s="85"/>
      <c r="F10147" s="92"/>
      <c r="G10147" s="85"/>
    </row>
    <row r="10148">
      <c r="A10148" s="84"/>
      <c r="B10148" s="85"/>
      <c r="C10148" s="85"/>
      <c r="F10148" s="92"/>
      <c r="G10148" s="85"/>
    </row>
    <row r="10149">
      <c r="A10149" s="84"/>
      <c r="B10149" s="85"/>
      <c r="C10149" s="85"/>
      <c r="F10149" s="92"/>
      <c r="G10149" s="85"/>
    </row>
    <row r="10150">
      <c r="A10150" s="84"/>
      <c r="B10150" s="85"/>
      <c r="C10150" s="85"/>
      <c r="F10150" s="92"/>
      <c r="G10150" s="85"/>
    </row>
    <row r="10151">
      <c r="A10151" s="84"/>
      <c r="B10151" s="85"/>
      <c r="C10151" s="85"/>
      <c r="F10151" s="92"/>
      <c r="G10151" s="85"/>
    </row>
    <row r="10152">
      <c r="A10152" s="84"/>
      <c r="B10152" s="85"/>
      <c r="C10152" s="85"/>
      <c r="F10152" s="92"/>
      <c r="G10152" s="85"/>
    </row>
    <row r="10153">
      <c r="A10153" s="84"/>
      <c r="B10153" s="85"/>
      <c r="C10153" s="85"/>
      <c r="F10153" s="92"/>
      <c r="G10153" s="85"/>
    </row>
    <row r="10154">
      <c r="A10154" s="84"/>
      <c r="B10154" s="85"/>
      <c r="C10154" s="85"/>
      <c r="F10154" s="92"/>
      <c r="G10154" s="85"/>
    </row>
    <row r="10155">
      <c r="A10155" s="84"/>
      <c r="B10155" s="85"/>
      <c r="C10155" s="85"/>
      <c r="F10155" s="92"/>
      <c r="G10155" s="85"/>
    </row>
    <row r="10156">
      <c r="A10156" s="84"/>
      <c r="B10156" s="85"/>
      <c r="C10156" s="85"/>
      <c r="F10156" s="92"/>
      <c r="G10156" s="85"/>
    </row>
    <row r="10157">
      <c r="A10157" s="84"/>
      <c r="B10157" s="85"/>
      <c r="C10157" s="85"/>
      <c r="F10157" s="92"/>
      <c r="G10157" s="85"/>
    </row>
    <row r="10158">
      <c r="A10158" s="84"/>
      <c r="B10158" s="85"/>
      <c r="C10158" s="85"/>
      <c r="F10158" s="92"/>
      <c r="G10158" s="85"/>
    </row>
    <row r="10159">
      <c r="A10159" s="84"/>
      <c r="B10159" s="85"/>
      <c r="C10159" s="85"/>
      <c r="F10159" s="92"/>
      <c r="G10159" s="85"/>
    </row>
    <row r="10160">
      <c r="A10160" s="84"/>
      <c r="B10160" s="85"/>
      <c r="C10160" s="85"/>
      <c r="F10160" s="92"/>
      <c r="G10160" s="85"/>
    </row>
    <row r="10161">
      <c r="A10161" s="84"/>
      <c r="B10161" s="85"/>
      <c r="C10161" s="85"/>
      <c r="F10161" s="92"/>
      <c r="G10161" s="85"/>
    </row>
    <row r="10162">
      <c r="A10162" s="84"/>
      <c r="B10162" s="85"/>
      <c r="C10162" s="85"/>
      <c r="F10162" s="92"/>
      <c r="G10162" s="85"/>
    </row>
    <row r="10163">
      <c r="A10163" s="84"/>
      <c r="B10163" s="85"/>
      <c r="C10163" s="85"/>
      <c r="F10163" s="92"/>
      <c r="G10163" s="85"/>
    </row>
    <row r="10164">
      <c r="A10164" s="84"/>
      <c r="B10164" s="85"/>
      <c r="C10164" s="85"/>
      <c r="F10164" s="92"/>
      <c r="G10164" s="85"/>
    </row>
    <row r="10165">
      <c r="A10165" s="84"/>
      <c r="B10165" s="85"/>
      <c r="C10165" s="85"/>
      <c r="F10165" s="92"/>
      <c r="G10165" s="85"/>
    </row>
    <row r="10166">
      <c r="A10166" s="84"/>
      <c r="B10166" s="85"/>
      <c r="C10166" s="85"/>
      <c r="F10166" s="92"/>
      <c r="G10166" s="85"/>
    </row>
    <row r="10167">
      <c r="A10167" s="84"/>
      <c r="B10167" s="85"/>
      <c r="C10167" s="85"/>
      <c r="F10167" s="92"/>
      <c r="G10167" s="85"/>
    </row>
    <row r="10168">
      <c r="A10168" s="84"/>
      <c r="B10168" s="85"/>
      <c r="C10168" s="85"/>
      <c r="F10168" s="92"/>
      <c r="G10168" s="85"/>
    </row>
    <row r="10169">
      <c r="A10169" s="84"/>
      <c r="B10169" s="85"/>
      <c r="C10169" s="85"/>
      <c r="F10169" s="92"/>
      <c r="G10169" s="85"/>
    </row>
    <row r="10170">
      <c r="A10170" s="84"/>
      <c r="B10170" s="85"/>
      <c r="C10170" s="85"/>
      <c r="F10170" s="92"/>
      <c r="G10170" s="85"/>
    </row>
    <row r="10171">
      <c r="A10171" s="84"/>
      <c r="B10171" s="85"/>
      <c r="C10171" s="85"/>
      <c r="F10171" s="92"/>
      <c r="G10171" s="85"/>
    </row>
    <row r="10172">
      <c r="A10172" s="84"/>
      <c r="B10172" s="85"/>
      <c r="C10172" s="85"/>
      <c r="F10172" s="92"/>
      <c r="G10172" s="85"/>
    </row>
    <row r="10173">
      <c r="A10173" s="84"/>
      <c r="B10173" s="85"/>
      <c r="C10173" s="85"/>
      <c r="F10173" s="92"/>
      <c r="G10173" s="85"/>
    </row>
    <row r="10174">
      <c r="A10174" s="84"/>
      <c r="B10174" s="85"/>
      <c r="C10174" s="85"/>
      <c r="F10174" s="92"/>
      <c r="G10174" s="85"/>
    </row>
    <row r="10175">
      <c r="A10175" s="84"/>
      <c r="B10175" s="85"/>
      <c r="C10175" s="85"/>
      <c r="F10175" s="92"/>
      <c r="G10175" s="85"/>
    </row>
    <row r="10176">
      <c r="A10176" s="84"/>
      <c r="B10176" s="85"/>
      <c r="C10176" s="85"/>
      <c r="F10176" s="92"/>
      <c r="G10176" s="85"/>
    </row>
    <row r="10177">
      <c r="A10177" s="84"/>
      <c r="B10177" s="85"/>
      <c r="C10177" s="85"/>
      <c r="F10177" s="92"/>
      <c r="G10177" s="85"/>
    </row>
    <row r="10178">
      <c r="A10178" s="84"/>
      <c r="B10178" s="85"/>
      <c r="C10178" s="85"/>
      <c r="F10178" s="92"/>
      <c r="G10178" s="85"/>
    </row>
    <row r="10179">
      <c r="A10179" s="84"/>
      <c r="B10179" s="85"/>
      <c r="C10179" s="85"/>
      <c r="F10179" s="92"/>
      <c r="G10179" s="85"/>
    </row>
    <row r="10180">
      <c r="A10180" s="84"/>
      <c r="B10180" s="85"/>
      <c r="C10180" s="85"/>
      <c r="F10180" s="92"/>
      <c r="G10180" s="85"/>
    </row>
    <row r="10181">
      <c r="A10181" s="84"/>
      <c r="B10181" s="85"/>
      <c r="C10181" s="85"/>
      <c r="F10181" s="92"/>
      <c r="G10181" s="85"/>
    </row>
    <row r="10182">
      <c r="A10182" s="84"/>
      <c r="B10182" s="85"/>
      <c r="C10182" s="85"/>
      <c r="F10182" s="92"/>
      <c r="G10182" s="85"/>
    </row>
    <row r="10183">
      <c r="A10183" s="84"/>
      <c r="B10183" s="85"/>
      <c r="C10183" s="85"/>
      <c r="F10183" s="92"/>
      <c r="G10183" s="85"/>
    </row>
    <row r="10184">
      <c r="A10184" s="84"/>
      <c r="B10184" s="85"/>
      <c r="C10184" s="85"/>
      <c r="F10184" s="92"/>
      <c r="G10184" s="85"/>
    </row>
    <row r="10185">
      <c r="A10185" s="84"/>
      <c r="B10185" s="85"/>
      <c r="C10185" s="85"/>
      <c r="F10185" s="92"/>
      <c r="G10185" s="85"/>
    </row>
    <row r="10186">
      <c r="A10186" s="84"/>
      <c r="B10186" s="85"/>
      <c r="C10186" s="85"/>
      <c r="F10186" s="92"/>
      <c r="G10186" s="85"/>
    </row>
    <row r="10187">
      <c r="A10187" s="84"/>
      <c r="B10187" s="85"/>
      <c r="C10187" s="85"/>
      <c r="F10187" s="92"/>
      <c r="G10187" s="85"/>
    </row>
    <row r="10188">
      <c r="A10188" s="84"/>
      <c r="B10188" s="85"/>
      <c r="C10188" s="85"/>
      <c r="F10188" s="92"/>
      <c r="G10188" s="85"/>
    </row>
    <row r="10189">
      <c r="A10189" s="84"/>
      <c r="B10189" s="85"/>
      <c r="C10189" s="85"/>
      <c r="F10189" s="92"/>
      <c r="G10189" s="85"/>
    </row>
    <row r="10190">
      <c r="A10190" s="84"/>
      <c r="B10190" s="85"/>
      <c r="C10190" s="85"/>
      <c r="F10190" s="92"/>
      <c r="G10190" s="85"/>
    </row>
    <row r="10191">
      <c r="A10191" s="84"/>
      <c r="B10191" s="85"/>
      <c r="C10191" s="85"/>
      <c r="F10191" s="92"/>
      <c r="G10191" s="85"/>
    </row>
    <row r="10192">
      <c r="A10192" s="84"/>
      <c r="B10192" s="85"/>
      <c r="C10192" s="85"/>
      <c r="F10192" s="92"/>
      <c r="G10192" s="85"/>
    </row>
    <row r="10193">
      <c r="A10193" s="84"/>
      <c r="B10193" s="85"/>
      <c r="C10193" s="85"/>
      <c r="F10193" s="92"/>
      <c r="G10193" s="85"/>
    </row>
    <row r="10194">
      <c r="A10194" s="84"/>
      <c r="B10194" s="85"/>
      <c r="C10194" s="85"/>
      <c r="F10194" s="92"/>
      <c r="G10194" s="85"/>
    </row>
    <row r="10195">
      <c r="A10195" s="84"/>
      <c r="B10195" s="85"/>
      <c r="C10195" s="85"/>
      <c r="F10195" s="92"/>
      <c r="G10195" s="85"/>
    </row>
    <row r="10196">
      <c r="A10196" s="84"/>
      <c r="B10196" s="85"/>
      <c r="C10196" s="85"/>
      <c r="F10196" s="92"/>
      <c r="G10196" s="85"/>
    </row>
    <row r="10197">
      <c r="A10197" s="84"/>
      <c r="B10197" s="85"/>
      <c r="C10197" s="85"/>
      <c r="F10197" s="92"/>
      <c r="G10197" s="85"/>
    </row>
    <row r="10198">
      <c r="A10198" s="84"/>
      <c r="B10198" s="85"/>
      <c r="C10198" s="85"/>
      <c r="F10198" s="92"/>
      <c r="G10198" s="85"/>
    </row>
    <row r="10199">
      <c r="A10199" s="84"/>
      <c r="B10199" s="85"/>
      <c r="C10199" s="85"/>
      <c r="F10199" s="92"/>
      <c r="G10199" s="85"/>
    </row>
    <row r="10200">
      <c r="A10200" s="84"/>
      <c r="B10200" s="85"/>
      <c r="C10200" s="85"/>
      <c r="F10200" s="92"/>
      <c r="G10200" s="85"/>
    </row>
    <row r="10201">
      <c r="A10201" s="84"/>
      <c r="B10201" s="85"/>
      <c r="C10201" s="85"/>
      <c r="F10201" s="92"/>
      <c r="G10201" s="85"/>
    </row>
    <row r="10202">
      <c r="A10202" s="84"/>
      <c r="B10202" s="85"/>
      <c r="C10202" s="85"/>
      <c r="F10202" s="92"/>
      <c r="G10202" s="85"/>
    </row>
    <row r="10203">
      <c r="A10203" s="84"/>
      <c r="B10203" s="85"/>
      <c r="C10203" s="85"/>
      <c r="F10203" s="92"/>
      <c r="G10203" s="85"/>
    </row>
    <row r="10204">
      <c r="A10204" s="84"/>
      <c r="B10204" s="85"/>
      <c r="C10204" s="85"/>
      <c r="F10204" s="92"/>
      <c r="G10204" s="85"/>
    </row>
    <row r="10205">
      <c r="A10205" s="84"/>
      <c r="B10205" s="85"/>
      <c r="C10205" s="85"/>
      <c r="F10205" s="92"/>
      <c r="G10205" s="85"/>
    </row>
    <row r="10206">
      <c r="A10206" s="84"/>
      <c r="B10206" s="85"/>
      <c r="C10206" s="85"/>
      <c r="F10206" s="92"/>
      <c r="G10206" s="85"/>
    </row>
    <row r="10207">
      <c r="A10207" s="84"/>
      <c r="B10207" s="85"/>
      <c r="C10207" s="85"/>
      <c r="F10207" s="92"/>
      <c r="G10207" s="85"/>
    </row>
    <row r="10208">
      <c r="A10208" s="84"/>
      <c r="B10208" s="85"/>
      <c r="C10208" s="85"/>
      <c r="F10208" s="92"/>
      <c r="G10208" s="85"/>
    </row>
    <row r="10209">
      <c r="A10209" s="84"/>
      <c r="B10209" s="85"/>
      <c r="C10209" s="85"/>
      <c r="F10209" s="92"/>
      <c r="G10209" s="85"/>
    </row>
    <row r="10210">
      <c r="A10210" s="84"/>
      <c r="B10210" s="85"/>
      <c r="C10210" s="85"/>
      <c r="F10210" s="92"/>
      <c r="G10210" s="85"/>
    </row>
    <row r="10211">
      <c r="A10211" s="84"/>
      <c r="B10211" s="85"/>
      <c r="C10211" s="85"/>
      <c r="F10211" s="92"/>
      <c r="G10211" s="85"/>
    </row>
    <row r="10212">
      <c r="A10212" s="84"/>
      <c r="B10212" s="85"/>
      <c r="C10212" s="85"/>
      <c r="F10212" s="92"/>
      <c r="G10212" s="85"/>
    </row>
    <row r="10213">
      <c r="A10213" s="84"/>
      <c r="B10213" s="85"/>
      <c r="C10213" s="85"/>
      <c r="F10213" s="92"/>
      <c r="G10213" s="85"/>
    </row>
    <row r="10214">
      <c r="A10214" s="84"/>
      <c r="B10214" s="85"/>
      <c r="C10214" s="85"/>
      <c r="F10214" s="92"/>
      <c r="G10214" s="85"/>
    </row>
    <row r="10215">
      <c r="A10215" s="84"/>
      <c r="B10215" s="85"/>
      <c r="C10215" s="85"/>
      <c r="F10215" s="92"/>
      <c r="G10215" s="85"/>
    </row>
    <row r="10216">
      <c r="A10216" s="84"/>
      <c r="B10216" s="85"/>
      <c r="C10216" s="85"/>
      <c r="F10216" s="92"/>
      <c r="G10216" s="85"/>
    </row>
    <row r="10217">
      <c r="A10217" s="84"/>
      <c r="B10217" s="85"/>
      <c r="C10217" s="85"/>
      <c r="F10217" s="92"/>
      <c r="G10217" s="85"/>
    </row>
    <row r="10218">
      <c r="A10218" s="84"/>
      <c r="B10218" s="85"/>
      <c r="C10218" s="85"/>
      <c r="F10218" s="92"/>
      <c r="G10218" s="85"/>
    </row>
    <row r="10219">
      <c r="A10219" s="84"/>
      <c r="B10219" s="85"/>
      <c r="C10219" s="85"/>
      <c r="F10219" s="92"/>
      <c r="G10219" s="85"/>
    </row>
    <row r="10220">
      <c r="A10220" s="84"/>
      <c r="B10220" s="85"/>
      <c r="C10220" s="85"/>
      <c r="F10220" s="92"/>
      <c r="G10220" s="85"/>
    </row>
    <row r="10221">
      <c r="A10221" s="84"/>
      <c r="B10221" s="85"/>
      <c r="C10221" s="85"/>
      <c r="F10221" s="92"/>
      <c r="G10221" s="85"/>
    </row>
    <row r="10222">
      <c r="A10222" s="84"/>
      <c r="B10222" s="85"/>
      <c r="C10222" s="85"/>
      <c r="F10222" s="92"/>
      <c r="G10222" s="85"/>
    </row>
    <row r="10223">
      <c r="A10223" s="84"/>
      <c r="B10223" s="85"/>
      <c r="C10223" s="85"/>
      <c r="F10223" s="92"/>
      <c r="G10223" s="85"/>
    </row>
    <row r="10224">
      <c r="A10224" s="84"/>
      <c r="B10224" s="85"/>
      <c r="C10224" s="85"/>
      <c r="F10224" s="92"/>
      <c r="G10224" s="85"/>
    </row>
    <row r="10225">
      <c r="A10225" s="84"/>
      <c r="B10225" s="85"/>
      <c r="C10225" s="85"/>
      <c r="F10225" s="92"/>
      <c r="G10225" s="85"/>
    </row>
    <row r="10226">
      <c r="A10226" s="84"/>
      <c r="B10226" s="85"/>
      <c r="C10226" s="85"/>
      <c r="F10226" s="92"/>
      <c r="G10226" s="85"/>
    </row>
    <row r="10227">
      <c r="A10227" s="84"/>
      <c r="B10227" s="85"/>
      <c r="C10227" s="85"/>
      <c r="F10227" s="92"/>
      <c r="G10227" s="85"/>
    </row>
    <row r="10228">
      <c r="A10228" s="84"/>
      <c r="B10228" s="85"/>
      <c r="C10228" s="85"/>
      <c r="F10228" s="92"/>
      <c r="G10228" s="85"/>
    </row>
    <row r="10229">
      <c r="A10229" s="84"/>
      <c r="B10229" s="85"/>
      <c r="C10229" s="85"/>
      <c r="F10229" s="92"/>
      <c r="G10229" s="85"/>
    </row>
    <row r="10230">
      <c r="A10230" s="84"/>
      <c r="B10230" s="85"/>
      <c r="C10230" s="85"/>
      <c r="F10230" s="92"/>
      <c r="G10230" s="85"/>
    </row>
    <row r="10231">
      <c r="A10231" s="84"/>
      <c r="B10231" s="85"/>
      <c r="C10231" s="85"/>
      <c r="F10231" s="92"/>
      <c r="G10231" s="85"/>
    </row>
    <row r="10232">
      <c r="A10232" s="84"/>
      <c r="B10232" s="85"/>
      <c r="C10232" s="85"/>
      <c r="F10232" s="92"/>
      <c r="G10232" s="85"/>
    </row>
    <row r="10233">
      <c r="A10233" s="84"/>
      <c r="B10233" s="85"/>
      <c r="C10233" s="85"/>
      <c r="F10233" s="92"/>
      <c r="G10233" s="85"/>
    </row>
    <row r="10234">
      <c r="A10234" s="84"/>
      <c r="B10234" s="85"/>
      <c r="C10234" s="85"/>
      <c r="F10234" s="92"/>
      <c r="G10234" s="85"/>
    </row>
    <row r="10235">
      <c r="A10235" s="84"/>
      <c r="B10235" s="85"/>
      <c r="C10235" s="85"/>
      <c r="F10235" s="92"/>
      <c r="G10235" s="85"/>
    </row>
    <row r="10236">
      <c r="A10236" s="84"/>
      <c r="B10236" s="85"/>
      <c r="C10236" s="85"/>
      <c r="F10236" s="92"/>
      <c r="G10236" s="85"/>
    </row>
    <row r="10237">
      <c r="A10237" s="84"/>
      <c r="B10237" s="85"/>
      <c r="C10237" s="85"/>
      <c r="F10237" s="92"/>
      <c r="G10237" s="85"/>
    </row>
    <row r="10238">
      <c r="A10238" s="84"/>
      <c r="B10238" s="85"/>
      <c r="C10238" s="85"/>
      <c r="F10238" s="92"/>
      <c r="G10238" s="85"/>
    </row>
    <row r="10239">
      <c r="A10239" s="84"/>
      <c r="B10239" s="85"/>
      <c r="C10239" s="85"/>
      <c r="F10239" s="92"/>
      <c r="G10239" s="85"/>
    </row>
    <row r="10240">
      <c r="A10240" s="84"/>
      <c r="B10240" s="85"/>
      <c r="C10240" s="85"/>
      <c r="F10240" s="92"/>
      <c r="G10240" s="85"/>
    </row>
    <row r="10241">
      <c r="A10241" s="84"/>
      <c r="B10241" s="85"/>
      <c r="C10241" s="85"/>
      <c r="F10241" s="92"/>
      <c r="G10241" s="85"/>
    </row>
    <row r="10242">
      <c r="A10242" s="84"/>
      <c r="B10242" s="85"/>
      <c r="C10242" s="85"/>
      <c r="F10242" s="92"/>
      <c r="G10242" s="85"/>
    </row>
    <row r="10243">
      <c r="A10243" s="84"/>
      <c r="B10243" s="85"/>
      <c r="C10243" s="85"/>
      <c r="F10243" s="92"/>
      <c r="G10243" s="85"/>
    </row>
    <row r="10244">
      <c r="A10244" s="84"/>
      <c r="B10244" s="85"/>
      <c r="C10244" s="85"/>
      <c r="F10244" s="92"/>
      <c r="G10244" s="85"/>
    </row>
    <row r="10245">
      <c r="A10245" s="84"/>
      <c r="B10245" s="85"/>
      <c r="C10245" s="85"/>
      <c r="F10245" s="92"/>
      <c r="G10245" s="85"/>
    </row>
    <row r="10246">
      <c r="A10246" s="84"/>
      <c r="B10246" s="85"/>
      <c r="C10246" s="85"/>
      <c r="F10246" s="92"/>
      <c r="G10246" s="85"/>
    </row>
    <row r="10247">
      <c r="A10247" s="84"/>
      <c r="B10247" s="85"/>
      <c r="C10247" s="85"/>
      <c r="F10247" s="92"/>
      <c r="G10247" s="85"/>
    </row>
    <row r="10248">
      <c r="A10248" s="84"/>
      <c r="B10248" s="85"/>
      <c r="C10248" s="85"/>
      <c r="F10248" s="92"/>
      <c r="G10248" s="85"/>
    </row>
    <row r="10249">
      <c r="A10249" s="84"/>
      <c r="B10249" s="85"/>
      <c r="C10249" s="85"/>
      <c r="F10249" s="92"/>
      <c r="G10249" s="85"/>
    </row>
    <row r="10250">
      <c r="A10250" s="84"/>
      <c r="B10250" s="85"/>
      <c r="C10250" s="85"/>
      <c r="F10250" s="92"/>
      <c r="G10250" s="85"/>
    </row>
    <row r="10251">
      <c r="A10251" s="84"/>
      <c r="B10251" s="85"/>
      <c r="C10251" s="85"/>
      <c r="F10251" s="92"/>
      <c r="G10251" s="85"/>
    </row>
    <row r="10252">
      <c r="A10252" s="84"/>
      <c r="B10252" s="85"/>
      <c r="C10252" s="85"/>
      <c r="F10252" s="92"/>
      <c r="G10252" s="85"/>
    </row>
    <row r="10253">
      <c r="A10253" s="84"/>
      <c r="B10253" s="85"/>
      <c r="C10253" s="85"/>
      <c r="F10253" s="92"/>
      <c r="G10253" s="85"/>
    </row>
    <row r="10254">
      <c r="A10254" s="84"/>
      <c r="B10254" s="85"/>
      <c r="C10254" s="85"/>
      <c r="F10254" s="92"/>
      <c r="G10254" s="85"/>
    </row>
    <row r="10255">
      <c r="A10255" s="84"/>
      <c r="B10255" s="85"/>
      <c r="C10255" s="85"/>
      <c r="F10255" s="92"/>
      <c r="G10255" s="85"/>
    </row>
    <row r="10256">
      <c r="A10256" s="84"/>
      <c r="B10256" s="85"/>
      <c r="C10256" s="85"/>
      <c r="F10256" s="92"/>
      <c r="G10256" s="85"/>
    </row>
    <row r="10257">
      <c r="A10257" s="84"/>
      <c r="B10257" s="85"/>
      <c r="C10257" s="85"/>
      <c r="F10257" s="92"/>
      <c r="G10257" s="85"/>
    </row>
    <row r="10258">
      <c r="A10258" s="84"/>
      <c r="B10258" s="85"/>
      <c r="C10258" s="85"/>
      <c r="F10258" s="92"/>
      <c r="G10258" s="85"/>
    </row>
    <row r="10259">
      <c r="A10259" s="84"/>
      <c r="B10259" s="85"/>
      <c r="C10259" s="85"/>
      <c r="F10259" s="92"/>
      <c r="G10259" s="85"/>
    </row>
    <row r="10260">
      <c r="A10260" s="84"/>
      <c r="B10260" s="85"/>
      <c r="C10260" s="85"/>
      <c r="F10260" s="92"/>
      <c r="G10260" s="85"/>
    </row>
    <row r="10261">
      <c r="A10261" s="84"/>
      <c r="B10261" s="85"/>
      <c r="C10261" s="85"/>
      <c r="F10261" s="92"/>
      <c r="G10261" s="85"/>
    </row>
    <row r="10262">
      <c r="A10262" s="84"/>
      <c r="B10262" s="85"/>
      <c r="C10262" s="85"/>
      <c r="F10262" s="92"/>
      <c r="G10262" s="85"/>
    </row>
    <row r="10263">
      <c r="A10263" s="84"/>
      <c r="B10263" s="85"/>
      <c r="C10263" s="85"/>
      <c r="F10263" s="92"/>
      <c r="G10263" s="85"/>
    </row>
    <row r="10264">
      <c r="A10264" s="84"/>
      <c r="B10264" s="85"/>
      <c r="C10264" s="85"/>
      <c r="F10264" s="92"/>
      <c r="G10264" s="85"/>
    </row>
    <row r="10265">
      <c r="A10265" s="84"/>
      <c r="B10265" s="85"/>
      <c r="C10265" s="85"/>
      <c r="F10265" s="92"/>
      <c r="G10265" s="85"/>
    </row>
    <row r="10266">
      <c r="A10266" s="84"/>
      <c r="B10266" s="85"/>
      <c r="C10266" s="85"/>
      <c r="F10266" s="92"/>
      <c r="G10266" s="85"/>
    </row>
    <row r="10267">
      <c r="A10267" s="84"/>
      <c r="B10267" s="85"/>
      <c r="C10267" s="85"/>
      <c r="F10267" s="92"/>
      <c r="G10267" s="85"/>
    </row>
    <row r="10268">
      <c r="A10268" s="84"/>
      <c r="B10268" s="85"/>
      <c r="C10268" s="85"/>
      <c r="F10268" s="92"/>
      <c r="G10268" s="85"/>
    </row>
    <row r="10269">
      <c r="A10269" s="84"/>
      <c r="B10269" s="85"/>
      <c r="C10269" s="85"/>
      <c r="F10269" s="92"/>
      <c r="G10269" s="85"/>
    </row>
    <row r="10270">
      <c r="A10270" s="84"/>
      <c r="B10270" s="85"/>
      <c r="C10270" s="85"/>
      <c r="F10270" s="92"/>
      <c r="G10270" s="85"/>
    </row>
    <row r="10271">
      <c r="A10271" s="84"/>
      <c r="B10271" s="85"/>
      <c r="C10271" s="85"/>
      <c r="F10271" s="92"/>
      <c r="G10271" s="85"/>
    </row>
    <row r="10272">
      <c r="A10272" s="84"/>
      <c r="B10272" s="85"/>
      <c r="C10272" s="85"/>
      <c r="F10272" s="92"/>
      <c r="G10272" s="85"/>
    </row>
    <row r="10273">
      <c r="A10273" s="84"/>
      <c r="B10273" s="85"/>
      <c r="C10273" s="85"/>
      <c r="F10273" s="92"/>
      <c r="G10273" s="85"/>
    </row>
    <row r="10274">
      <c r="A10274" s="84"/>
      <c r="B10274" s="85"/>
      <c r="C10274" s="85"/>
      <c r="F10274" s="92"/>
      <c r="G10274" s="85"/>
    </row>
    <row r="10275">
      <c r="A10275" s="84"/>
      <c r="B10275" s="85"/>
      <c r="C10275" s="85"/>
      <c r="F10275" s="92"/>
      <c r="G10275" s="85"/>
    </row>
    <row r="10276">
      <c r="A10276" s="84"/>
      <c r="B10276" s="85"/>
      <c r="C10276" s="85"/>
      <c r="F10276" s="92"/>
      <c r="G10276" s="85"/>
    </row>
    <row r="10277">
      <c r="A10277" s="84"/>
      <c r="B10277" s="85"/>
      <c r="C10277" s="85"/>
      <c r="F10277" s="92"/>
      <c r="G10277" s="85"/>
    </row>
    <row r="10278">
      <c r="A10278" s="84"/>
      <c r="B10278" s="85"/>
      <c r="C10278" s="85"/>
      <c r="F10278" s="92"/>
      <c r="G10278" s="85"/>
    </row>
    <row r="10279">
      <c r="A10279" s="84"/>
      <c r="B10279" s="85"/>
      <c r="C10279" s="85"/>
      <c r="F10279" s="92"/>
      <c r="G10279" s="85"/>
    </row>
    <row r="10280">
      <c r="A10280" s="84"/>
      <c r="B10280" s="85"/>
      <c r="C10280" s="85"/>
      <c r="F10280" s="92"/>
      <c r="G10280" s="85"/>
    </row>
    <row r="10281">
      <c r="A10281" s="84"/>
      <c r="B10281" s="85"/>
      <c r="C10281" s="85"/>
      <c r="F10281" s="92"/>
      <c r="G10281" s="85"/>
    </row>
    <row r="10282">
      <c r="A10282" s="84"/>
      <c r="B10282" s="85"/>
      <c r="C10282" s="85"/>
      <c r="F10282" s="92"/>
      <c r="G10282" s="85"/>
    </row>
    <row r="10283">
      <c r="A10283" s="84"/>
      <c r="B10283" s="85"/>
      <c r="C10283" s="85"/>
      <c r="F10283" s="92"/>
      <c r="G10283" s="85"/>
    </row>
    <row r="10284">
      <c r="A10284" s="84"/>
      <c r="B10284" s="85"/>
      <c r="C10284" s="85"/>
      <c r="F10284" s="92"/>
      <c r="G10284" s="85"/>
    </row>
    <row r="10285">
      <c r="A10285" s="84"/>
      <c r="B10285" s="85"/>
      <c r="C10285" s="85"/>
      <c r="F10285" s="92"/>
      <c r="G10285" s="85"/>
    </row>
    <row r="10286">
      <c r="A10286" s="84"/>
      <c r="B10286" s="85"/>
      <c r="C10286" s="85"/>
      <c r="F10286" s="92"/>
      <c r="G10286" s="85"/>
    </row>
    <row r="10287">
      <c r="A10287" s="84"/>
      <c r="B10287" s="85"/>
      <c r="C10287" s="85"/>
      <c r="F10287" s="92"/>
      <c r="G10287" s="85"/>
    </row>
    <row r="10288">
      <c r="A10288" s="84"/>
      <c r="B10288" s="85"/>
      <c r="C10288" s="85"/>
      <c r="F10288" s="92"/>
      <c r="G10288" s="85"/>
    </row>
    <row r="10289">
      <c r="A10289" s="84"/>
      <c r="B10289" s="85"/>
      <c r="C10289" s="85"/>
      <c r="F10289" s="92"/>
      <c r="G10289" s="85"/>
    </row>
    <row r="10290">
      <c r="A10290" s="84"/>
      <c r="B10290" s="85"/>
      <c r="C10290" s="85"/>
      <c r="F10290" s="92"/>
      <c r="G10290" s="85"/>
    </row>
    <row r="10291">
      <c r="A10291" s="84"/>
      <c r="B10291" s="85"/>
      <c r="C10291" s="85"/>
      <c r="F10291" s="92"/>
      <c r="G10291" s="85"/>
    </row>
    <row r="10292">
      <c r="A10292" s="84"/>
      <c r="B10292" s="85"/>
      <c r="C10292" s="85"/>
      <c r="F10292" s="92"/>
      <c r="G10292" s="85"/>
    </row>
    <row r="10293">
      <c r="A10293" s="84"/>
      <c r="B10293" s="85"/>
      <c r="C10293" s="85"/>
      <c r="F10293" s="92"/>
      <c r="G10293" s="85"/>
    </row>
    <row r="10294">
      <c r="A10294" s="84"/>
      <c r="B10294" s="85"/>
      <c r="C10294" s="85"/>
      <c r="F10294" s="92"/>
      <c r="G10294" s="85"/>
    </row>
    <row r="10295">
      <c r="A10295" s="84"/>
      <c r="B10295" s="85"/>
      <c r="C10295" s="85"/>
      <c r="F10295" s="92"/>
      <c r="G10295" s="85"/>
    </row>
    <row r="10296">
      <c r="A10296" s="84"/>
      <c r="B10296" s="85"/>
      <c r="C10296" s="85"/>
      <c r="F10296" s="92"/>
      <c r="G10296" s="85"/>
    </row>
    <row r="10297">
      <c r="A10297" s="84"/>
      <c r="B10297" s="85"/>
      <c r="C10297" s="85"/>
      <c r="F10297" s="92"/>
      <c r="G10297" s="85"/>
    </row>
    <row r="10298">
      <c r="A10298" s="84"/>
      <c r="B10298" s="85"/>
      <c r="C10298" s="85"/>
      <c r="F10298" s="92"/>
      <c r="G10298" s="85"/>
    </row>
    <row r="10299">
      <c r="A10299" s="84"/>
      <c r="B10299" s="85"/>
      <c r="C10299" s="85"/>
      <c r="F10299" s="92"/>
      <c r="G10299" s="85"/>
    </row>
    <row r="10300">
      <c r="A10300" s="84"/>
      <c r="B10300" s="85"/>
      <c r="C10300" s="85"/>
      <c r="F10300" s="92"/>
      <c r="G10300" s="85"/>
    </row>
    <row r="10301">
      <c r="A10301" s="84"/>
      <c r="B10301" s="85"/>
      <c r="C10301" s="85"/>
      <c r="F10301" s="92"/>
      <c r="G10301" s="85"/>
    </row>
    <row r="10302">
      <c r="A10302" s="84"/>
      <c r="B10302" s="85"/>
      <c r="C10302" s="85"/>
      <c r="F10302" s="92"/>
      <c r="G10302" s="85"/>
    </row>
    <row r="10303">
      <c r="A10303" s="84"/>
      <c r="B10303" s="85"/>
      <c r="C10303" s="85"/>
      <c r="F10303" s="92"/>
      <c r="G10303" s="85"/>
    </row>
    <row r="10304">
      <c r="A10304" s="84"/>
      <c r="B10304" s="85"/>
      <c r="C10304" s="85"/>
      <c r="F10304" s="92"/>
      <c r="G10304" s="85"/>
    </row>
    <row r="10305">
      <c r="A10305" s="84"/>
      <c r="B10305" s="85"/>
      <c r="C10305" s="85"/>
      <c r="F10305" s="92"/>
      <c r="G10305" s="85"/>
    </row>
    <row r="10306">
      <c r="A10306" s="84"/>
      <c r="B10306" s="85"/>
      <c r="C10306" s="85"/>
      <c r="F10306" s="92"/>
      <c r="G10306" s="85"/>
    </row>
    <row r="10307">
      <c r="A10307" s="84"/>
      <c r="B10307" s="85"/>
      <c r="C10307" s="85"/>
      <c r="F10307" s="92"/>
      <c r="G10307" s="85"/>
    </row>
    <row r="10308">
      <c r="A10308" s="84"/>
      <c r="B10308" s="85"/>
      <c r="C10308" s="85"/>
      <c r="F10308" s="92"/>
      <c r="G10308" s="85"/>
    </row>
    <row r="10309">
      <c r="A10309" s="84"/>
      <c r="B10309" s="85"/>
      <c r="C10309" s="85"/>
      <c r="F10309" s="92"/>
      <c r="G10309" s="85"/>
    </row>
    <row r="10310">
      <c r="A10310" s="84"/>
      <c r="B10310" s="85"/>
      <c r="C10310" s="85"/>
      <c r="F10310" s="92"/>
      <c r="G10310" s="85"/>
    </row>
    <row r="10311">
      <c r="A10311" s="84"/>
      <c r="B10311" s="85"/>
      <c r="C10311" s="85"/>
      <c r="F10311" s="92"/>
      <c r="G10311" s="85"/>
    </row>
    <row r="10312">
      <c r="A10312" s="84"/>
      <c r="B10312" s="85"/>
      <c r="C10312" s="85"/>
      <c r="F10312" s="92"/>
      <c r="G10312" s="85"/>
    </row>
    <row r="10313">
      <c r="A10313" s="84"/>
      <c r="B10313" s="85"/>
      <c r="C10313" s="85"/>
      <c r="F10313" s="92"/>
      <c r="G10313" s="85"/>
    </row>
    <row r="10314">
      <c r="A10314" s="84"/>
      <c r="B10314" s="85"/>
      <c r="C10314" s="85"/>
      <c r="F10314" s="92"/>
      <c r="G10314" s="85"/>
    </row>
    <row r="10315">
      <c r="A10315" s="84"/>
      <c r="B10315" s="85"/>
      <c r="C10315" s="85"/>
      <c r="F10315" s="92"/>
      <c r="G10315" s="85"/>
    </row>
    <row r="10316">
      <c r="A10316" s="84"/>
      <c r="B10316" s="85"/>
      <c r="C10316" s="85"/>
      <c r="F10316" s="92"/>
      <c r="G10316" s="85"/>
    </row>
    <row r="10317">
      <c r="A10317" s="84"/>
      <c r="B10317" s="85"/>
      <c r="C10317" s="85"/>
      <c r="F10317" s="92"/>
      <c r="G10317" s="85"/>
    </row>
    <row r="10318">
      <c r="A10318" s="84"/>
      <c r="B10318" s="85"/>
      <c r="C10318" s="85"/>
      <c r="F10318" s="92"/>
      <c r="G10318" s="85"/>
    </row>
    <row r="10319">
      <c r="A10319" s="84"/>
      <c r="B10319" s="85"/>
      <c r="C10319" s="85"/>
      <c r="F10319" s="92"/>
      <c r="G10319" s="85"/>
    </row>
    <row r="10320">
      <c r="A10320" s="84"/>
      <c r="B10320" s="85"/>
      <c r="C10320" s="85"/>
      <c r="F10320" s="92"/>
      <c r="G10320" s="85"/>
    </row>
    <row r="10321">
      <c r="A10321" s="84"/>
      <c r="B10321" s="85"/>
      <c r="C10321" s="85"/>
      <c r="F10321" s="92"/>
      <c r="G10321" s="85"/>
    </row>
    <row r="10322">
      <c r="A10322" s="84"/>
      <c r="B10322" s="85"/>
      <c r="C10322" s="85"/>
      <c r="F10322" s="92"/>
      <c r="G10322" s="85"/>
    </row>
    <row r="10323">
      <c r="A10323" s="84"/>
      <c r="B10323" s="85"/>
      <c r="C10323" s="85"/>
      <c r="F10323" s="92"/>
      <c r="G10323" s="85"/>
    </row>
    <row r="10324">
      <c r="A10324" s="84"/>
      <c r="B10324" s="85"/>
      <c r="C10324" s="85"/>
      <c r="F10324" s="92"/>
      <c r="G10324" s="85"/>
    </row>
    <row r="10325">
      <c r="A10325" s="84"/>
      <c r="B10325" s="85"/>
      <c r="C10325" s="85"/>
      <c r="F10325" s="92"/>
      <c r="G10325" s="85"/>
    </row>
    <row r="10326">
      <c r="A10326" s="84"/>
      <c r="B10326" s="85"/>
      <c r="C10326" s="85"/>
      <c r="F10326" s="92"/>
      <c r="G10326" s="85"/>
    </row>
    <row r="10327">
      <c r="A10327" s="84"/>
      <c r="B10327" s="85"/>
      <c r="C10327" s="85"/>
      <c r="F10327" s="92"/>
      <c r="G10327" s="85"/>
    </row>
    <row r="10328">
      <c r="A10328" s="84"/>
      <c r="B10328" s="85"/>
      <c r="C10328" s="85"/>
      <c r="F10328" s="92"/>
      <c r="G10328" s="85"/>
    </row>
    <row r="10329">
      <c r="A10329" s="84"/>
      <c r="B10329" s="85"/>
      <c r="C10329" s="85"/>
      <c r="F10329" s="92"/>
      <c r="G10329" s="85"/>
    </row>
    <row r="10330">
      <c r="A10330" s="84"/>
      <c r="B10330" s="85"/>
      <c r="C10330" s="85"/>
      <c r="F10330" s="92"/>
      <c r="G10330" s="85"/>
    </row>
    <row r="10331">
      <c r="A10331" s="84"/>
      <c r="B10331" s="85"/>
      <c r="C10331" s="85"/>
      <c r="F10331" s="92"/>
      <c r="G10331" s="85"/>
    </row>
    <row r="10332">
      <c r="A10332" s="84"/>
      <c r="B10332" s="85"/>
      <c r="C10332" s="85"/>
      <c r="F10332" s="92"/>
      <c r="G10332" s="85"/>
    </row>
    <row r="10333">
      <c r="A10333" s="84"/>
      <c r="B10333" s="85"/>
      <c r="C10333" s="85"/>
      <c r="F10333" s="92"/>
      <c r="G10333" s="85"/>
    </row>
    <row r="10334">
      <c r="A10334" s="84"/>
      <c r="B10334" s="85"/>
      <c r="C10334" s="85"/>
      <c r="F10334" s="92"/>
      <c r="G10334" s="85"/>
    </row>
    <row r="10335">
      <c r="A10335" s="84"/>
      <c r="B10335" s="85"/>
      <c r="C10335" s="85"/>
      <c r="F10335" s="92"/>
      <c r="G10335" s="85"/>
    </row>
    <row r="10336">
      <c r="A10336" s="84"/>
      <c r="B10336" s="85"/>
      <c r="C10336" s="85"/>
      <c r="F10336" s="92"/>
      <c r="G10336" s="85"/>
    </row>
    <row r="10337">
      <c r="A10337" s="84"/>
      <c r="B10337" s="85"/>
      <c r="C10337" s="85"/>
      <c r="F10337" s="92"/>
      <c r="G10337" s="85"/>
    </row>
    <row r="10338">
      <c r="A10338" s="84"/>
      <c r="B10338" s="85"/>
      <c r="C10338" s="85"/>
      <c r="F10338" s="92"/>
      <c r="G10338" s="85"/>
    </row>
    <row r="10339">
      <c r="A10339" s="84"/>
      <c r="B10339" s="85"/>
      <c r="C10339" s="85"/>
      <c r="F10339" s="92"/>
      <c r="G10339" s="85"/>
    </row>
    <row r="10340">
      <c r="A10340" s="84"/>
      <c r="B10340" s="85"/>
      <c r="C10340" s="85"/>
      <c r="F10340" s="92"/>
      <c r="G10340" s="85"/>
    </row>
    <row r="10341">
      <c r="A10341" s="84"/>
      <c r="B10341" s="85"/>
      <c r="C10341" s="85"/>
      <c r="F10341" s="92"/>
      <c r="G10341" s="85"/>
    </row>
    <row r="10342">
      <c r="A10342" s="84"/>
      <c r="B10342" s="85"/>
      <c r="C10342" s="85"/>
      <c r="F10342" s="92"/>
      <c r="G10342" s="85"/>
    </row>
    <row r="10343">
      <c r="A10343" s="84"/>
      <c r="B10343" s="85"/>
      <c r="C10343" s="85"/>
      <c r="F10343" s="92"/>
      <c r="G10343" s="85"/>
    </row>
    <row r="10344">
      <c r="A10344" s="84"/>
      <c r="B10344" s="85"/>
      <c r="C10344" s="85"/>
      <c r="F10344" s="92"/>
      <c r="G10344" s="85"/>
    </row>
    <row r="10345">
      <c r="A10345" s="84"/>
      <c r="B10345" s="85"/>
      <c r="C10345" s="85"/>
      <c r="F10345" s="92"/>
      <c r="G10345" s="85"/>
    </row>
    <row r="10346">
      <c r="A10346" s="84"/>
      <c r="B10346" s="85"/>
      <c r="C10346" s="85"/>
      <c r="F10346" s="92"/>
      <c r="G10346" s="85"/>
    </row>
    <row r="10347">
      <c r="A10347" s="84"/>
      <c r="B10347" s="85"/>
      <c r="C10347" s="85"/>
      <c r="F10347" s="92"/>
      <c r="G10347" s="85"/>
    </row>
    <row r="10348">
      <c r="A10348" s="84"/>
      <c r="B10348" s="85"/>
      <c r="C10348" s="85"/>
      <c r="F10348" s="92"/>
      <c r="G10348" s="85"/>
    </row>
    <row r="10349">
      <c r="A10349" s="84"/>
      <c r="B10349" s="85"/>
      <c r="C10349" s="85"/>
      <c r="F10349" s="92"/>
      <c r="G10349" s="85"/>
    </row>
    <row r="10350">
      <c r="A10350" s="84"/>
      <c r="B10350" s="85"/>
      <c r="C10350" s="85"/>
      <c r="F10350" s="92"/>
      <c r="G10350" s="85"/>
    </row>
    <row r="10351">
      <c r="A10351" s="84"/>
      <c r="B10351" s="85"/>
      <c r="C10351" s="85"/>
      <c r="F10351" s="92"/>
      <c r="G10351" s="85"/>
    </row>
    <row r="10352">
      <c r="A10352" s="84"/>
      <c r="B10352" s="85"/>
      <c r="C10352" s="85"/>
      <c r="F10352" s="92"/>
      <c r="G10352" s="85"/>
    </row>
    <row r="10353">
      <c r="A10353" s="84"/>
      <c r="B10353" s="85"/>
      <c r="C10353" s="85"/>
      <c r="F10353" s="92"/>
      <c r="G10353" s="85"/>
    </row>
    <row r="10354">
      <c r="A10354" s="84"/>
      <c r="B10354" s="85"/>
      <c r="C10354" s="85"/>
      <c r="F10354" s="92"/>
      <c r="G10354" s="85"/>
    </row>
    <row r="10355">
      <c r="A10355" s="84"/>
      <c r="B10355" s="85"/>
      <c r="C10355" s="85"/>
      <c r="F10355" s="92"/>
      <c r="G10355" s="85"/>
    </row>
    <row r="10356">
      <c r="A10356" s="84"/>
      <c r="B10356" s="85"/>
      <c r="C10356" s="85"/>
      <c r="F10356" s="92"/>
      <c r="G10356" s="85"/>
    </row>
    <row r="10357">
      <c r="A10357" s="84"/>
      <c r="B10357" s="85"/>
      <c r="C10357" s="85"/>
      <c r="F10357" s="92"/>
      <c r="G10357" s="85"/>
    </row>
    <row r="10358">
      <c r="A10358" s="84"/>
      <c r="B10358" s="85"/>
      <c r="C10358" s="85"/>
      <c r="F10358" s="92"/>
      <c r="G10358" s="85"/>
    </row>
    <row r="10359">
      <c r="A10359" s="84"/>
      <c r="B10359" s="85"/>
      <c r="C10359" s="85"/>
      <c r="F10359" s="92"/>
      <c r="G10359" s="85"/>
    </row>
    <row r="10360">
      <c r="A10360" s="84"/>
      <c r="B10360" s="85"/>
      <c r="C10360" s="85"/>
      <c r="F10360" s="92"/>
      <c r="G10360" s="85"/>
    </row>
    <row r="10361">
      <c r="A10361" s="84"/>
      <c r="B10361" s="85"/>
      <c r="C10361" s="85"/>
      <c r="F10361" s="92"/>
      <c r="G10361" s="85"/>
    </row>
    <row r="10362">
      <c r="A10362" s="84"/>
      <c r="B10362" s="85"/>
      <c r="C10362" s="85"/>
      <c r="F10362" s="92"/>
      <c r="G10362" s="85"/>
    </row>
    <row r="10363">
      <c r="A10363" s="84"/>
      <c r="B10363" s="85"/>
      <c r="C10363" s="85"/>
      <c r="F10363" s="92"/>
      <c r="G10363" s="85"/>
    </row>
    <row r="10364">
      <c r="A10364" s="84"/>
      <c r="B10364" s="85"/>
      <c r="C10364" s="85"/>
      <c r="F10364" s="92"/>
      <c r="G10364" s="85"/>
    </row>
    <row r="10365">
      <c r="A10365" s="84"/>
      <c r="B10365" s="85"/>
      <c r="C10365" s="85"/>
      <c r="F10365" s="92"/>
      <c r="G10365" s="85"/>
    </row>
    <row r="10366">
      <c r="A10366" s="84"/>
      <c r="B10366" s="85"/>
      <c r="C10366" s="85"/>
      <c r="F10366" s="92"/>
      <c r="G10366" s="85"/>
    </row>
    <row r="10367">
      <c r="A10367" s="84"/>
      <c r="B10367" s="85"/>
      <c r="C10367" s="85"/>
      <c r="F10367" s="92"/>
      <c r="G10367" s="85"/>
    </row>
    <row r="10368">
      <c r="A10368" s="84"/>
      <c r="B10368" s="85"/>
      <c r="C10368" s="85"/>
      <c r="F10368" s="92"/>
      <c r="G10368" s="85"/>
    </row>
    <row r="10369">
      <c r="A10369" s="84"/>
      <c r="B10369" s="85"/>
      <c r="C10369" s="85"/>
      <c r="F10369" s="92"/>
      <c r="G10369" s="85"/>
    </row>
    <row r="10370">
      <c r="A10370" s="84"/>
      <c r="B10370" s="85"/>
      <c r="C10370" s="85"/>
      <c r="F10370" s="92"/>
      <c r="G10370" s="85"/>
    </row>
    <row r="10371">
      <c r="A10371" s="84"/>
      <c r="B10371" s="85"/>
      <c r="C10371" s="85"/>
      <c r="F10371" s="92"/>
      <c r="G10371" s="85"/>
    </row>
    <row r="10372">
      <c r="A10372" s="84"/>
      <c r="B10372" s="85"/>
      <c r="C10372" s="85"/>
      <c r="F10372" s="92"/>
      <c r="G10372" s="85"/>
    </row>
    <row r="10373">
      <c r="A10373" s="84"/>
      <c r="B10373" s="85"/>
      <c r="C10373" s="85"/>
      <c r="F10373" s="92"/>
      <c r="G10373" s="85"/>
    </row>
    <row r="10374">
      <c r="A10374" s="84"/>
      <c r="B10374" s="85"/>
      <c r="C10374" s="85"/>
      <c r="F10374" s="92"/>
      <c r="G10374" s="85"/>
    </row>
    <row r="10375">
      <c r="A10375" s="84"/>
      <c r="B10375" s="85"/>
      <c r="C10375" s="85"/>
      <c r="F10375" s="92"/>
      <c r="G10375" s="85"/>
    </row>
    <row r="10376">
      <c r="A10376" s="84"/>
      <c r="B10376" s="85"/>
      <c r="C10376" s="85"/>
      <c r="F10376" s="92"/>
      <c r="G10376" s="85"/>
    </row>
    <row r="10377">
      <c r="A10377" s="84"/>
      <c r="B10377" s="85"/>
      <c r="C10377" s="85"/>
      <c r="F10377" s="92"/>
      <c r="G10377" s="85"/>
    </row>
    <row r="10378">
      <c r="A10378" s="84"/>
      <c r="B10378" s="85"/>
      <c r="C10378" s="85"/>
      <c r="F10378" s="92"/>
      <c r="G10378" s="85"/>
    </row>
    <row r="10379">
      <c r="A10379" s="84"/>
      <c r="B10379" s="85"/>
      <c r="C10379" s="85"/>
      <c r="F10379" s="92"/>
      <c r="G10379" s="85"/>
    </row>
    <row r="10380">
      <c r="A10380" s="84"/>
      <c r="B10380" s="85"/>
      <c r="C10380" s="85"/>
      <c r="F10380" s="92"/>
      <c r="G10380" s="85"/>
    </row>
    <row r="10381">
      <c r="A10381" s="84"/>
      <c r="B10381" s="85"/>
      <c r="C10381" s="85"/>
      <c r="F10381" s="92"/>
      <c r="G10381" s="85"/>
    </row>
    <row r="10382">
      <c r="A10382" s="84"/>
      <c r="B10382" s="85"/>
      <c r="C10382" s="85"/>
      <c r="F10382" s="92"/>
      <c r="G10382" s="85"/>
    </row>
    <row r="10383">
      <c r="A10383" s="84"/>
      <c r="B10383" s="85"/>
      <c r="C10383" s="85"/>
      <c r="F10383" s="92"/>
      <c r="G10383" s="85"/>
    </row>
    <row r="10384">
      <c r="A10384" s="84"/>
      <c r="B10384" s="85"/>
      <c r="C10384" s="85"/>
      <c r="F10384" s="92"/>
      <c r="G10384" s="85"/>
    </row>
    <row r="10385">
      <c r="A10385" s="84"/>
      <c r="B10385" s="85"/>
      <c r="C10385" s="85"/>
      <c r="F10385" s="92"/>
      <c r="G10385" s="85"/>
    </row>
    <row r="10386">
      <c r="A10386" s="84"/>
      <c r="B10386" s="85"/>
      <c r="C10386" s="85"/>
      <c r="F10386" s="92"/>
      <c r="G10386" s="85"/>
    </row>
    <row r="10387">
      <c r="A10387" s="84"/>
      <c r="B10387" s="85"/>
      <c r="C10387" s="85"/>
      <c r="F10387" s="92"/>
      <c r="G10387" s="85"/>
    </row>
    <row r="10388">
      <c r="A10388" s="84"/>
      <c r="B10388" s="85"/>
      <c r="C10388" s="85"/>
      <c r="F10388" s="92"/>
      <c r="G10388" s="85"/>
    </row>
    <row r="10389">
      <c r="A10389" s="84"/>
      <c r="B10389" s="85"/>
      <c r="C10389" s="85"/>
      <c r="F10389" s="92"/>
      <c r="G10389" s="85"/>
    </row>
    <row r="10390">
      <c r="A10390" s="84"/>
      <c r="B10390" s="85"/>
      <c r="C10390" s="85"/>
      <c r="F10390" s="92"/>
      <c r="G10390" s="85"/>
    </row>
    <row r="10391">
      <c r="A10391" s="84"/>
      <c r="B10391" s="85"/>
      <c r="C10391" s="85"/>
      <c r="F10391" s="92"/>
      <c r="G10391" s="85"/>
    </row>
    <row r="10392">
      <c r="A10392" s="84"/>
      <c r="B10392" s="85"/>
      <c r="C10392" s="85"/>
      <c r="F10392" s="92"/>
      <c r="G10392" s="85"/>
    </row>
    <row r="10393">
      <c r="A10393" s="84"/>
      <c r="B10393" s="85"/>
      <c r="C10393" s="85"/>
      <c r="F10393" s="92"/>
      <c r="G10393" s="85"/>
    </row>
    <row r="10394">
      <c r="A10394" s="84"/>
      <c r="B10394" s="85"/>
      <c r="C10394" s="85"/>
      <c r="F10394" s="92"/>
      <c r="G10394" s="85"/>
    </row>
    <row r="10395">
      <c r="A10395" s="84"/>
      <c r="B10395" s="85"/>
      <c r="C10395" s="85"/>
      <c r="F10395" s="92"/>
      <c r="G10395" s="85"/>
    </row>
    <row r="10396">
      <c r="A10396" s="84"/>
      <c r="B10396" s="85"/>
      <c r="C10396" s="85"/>
      <c r="F10396" s="92"/>
      <c r="G10396" s="85"/>
    </row>
    <row r="10397">
      <c r="A10397" s="84"/>
      <c r="B10397" s="85"/>
      <c r="C10397" s="85"/>
      <c r="F10397" s="92"/>
      <c r="G10397" s="85"/>
    </row>
    <row r="10398">
      <c r="A10398" s="84"/>
      <c r="B10398" s="85"/>
      <c r="C10398" s="85"/>
      <c r="F10398" s="92"/>
      <c r="G10398" s="85"/>
    </row>
    <row r="10399">
      <c r="A10399" s="84"/>
      <c r="B10399" s="85"/>
      <c r="C10399" s="85"/>
      <c r="F10399" s="92"/>
      <c r="G10399" s="85"/>
    </row>
    <row r="10400">
      <c r="A10400" s="84"/>
      <c r="B10400" s="85"/>
      <c r="C10400" s="85"/>
      <c r="F10400" s="92"/>
      <c r="G10400" s="85"/>
    </row>
    <row r="10401">
      <c r="A10401" s="84"/>
      <c r="B10401" s="85"/>
      <c r="C10401" s="85"/>
      <c r="F10401" s="92"/>
      <c r="G10401" s="85"/>
    </row>
    <row r="10402">
      <c r="A10402" s="84"/>
      <c r="B10402" s="85"/>
      <c r="C10402" s="85"/>
      <c r="F10402" s="92"/>
      <c r="G10402" s="85"/>
    </row>
    <row r="10403">
      <c r="A10403" s="84"/>
      <c r="B10403" s="85"/>
      <c r="C10403" s="85"/>
      <c r="F10403" s="92"/>
      <c r="G10403" s="85"/>
    </row>
    <row r="10404">
      <c r="A10404" s="84"/>
      <c r="B10404" s="85"/>
      <c r="C10404" s="85"/>
      <c r="F10404" s="92"/>
      <c r="G10404" s="85"/>
    </row>
    <row r="10405">
      <c r="A10405" s="84"/>
      <c r="B10405" s="85"/>
      <c r="C10405" s="85"/>
      <c r="F10405" s="92"/>
      <c r="G10405" s="85"/>
    </row>
    <row r="10406">
      <c r="A10406" s="84"/>
      <c r="B10406" s="85"/>
      <c r="C10406" s="85"/>
      <c r="F10406" s="92"/>
      <c r="G10406" s="85"/>
    </row>
    <row r="10407">
      <c r="A10407" s="84"/>
      <c r="B10407" s="85"/>
      <c r="C10407" s="85"/>
      <c r="F10407" s="92"/>
      <c r="G10407" s="85"/>
    </row>
    <row r="10408">
      <c r="A10408" s="84"/>
      <c r="B10408" s="85"/>
      <c r="C10408" s="85"/>
      <c r="F10408" s="92"/>
      <c r="G10408" s="85"/>
    </row>
    <row r="10409">
      <c r="A10409" s="84"/>
      <c r="B10409" s="85"/>
      <c r="C10409" s="85"/>
      <c r="F10409" s="92"/>
      <c r="G10409" s="85"/>
    </row>
    <row r="10410">
      <c r="A10410" s="84"/>
      <c r="B10410" s="85"/>
      <c r="C10410" s="85"/>
      <c r="F10410" s="92"/>
      <c r="G10410" s="85"/>
    </row>
    <row r="10411">
      <c r="A10411" s="84"/>
      <c r="B10411" s="85"/>
      <c r="C10411" s="85"/>
      <c r="F10411" s="92"/>
      <c r="G10411" s="85"/>
    </row>
    <row r="10412">
      <c r="A10412" s="84"/>
      <c r="B10412" s="85"/>
      <c r="C10412" s="85"/>
      <c r="F10412" s="92"/>
      <c r="G10412" s="85"/>
    </row>
    <row r="10413">
      <c r="A10413" s="84"/>
      <c r="B10413" s="85"/>
      <c r="C10413" s="85"/>
      <c r="F10413" s="92"/>
      <c r="G10413" s="85"/>
    </row>
    <row r="10414">
      <c r="A10414" s="84"/>
      <c r="B10414" s="85"/>
      <c r="C10414" s="85"/>
      <c r="F10414" s="92"/>
      <c r="G10414" s="85"/>
    </row>
    <row r="10415">
      <c r="A10415" s="84"/>
      <c r="B10415" s="85"/>
      <c r="C10415" s="85"/>
      <c r="F10415" s="92"/>
      <c r="G10415" s="85"/>
    </row>
    <row r="10416">
      <c r="A10416" s="84"/>
      <c r="B10416" s="85"/>
      <c r="C10416" s="85"/>
      <c r="F10416" s="92"/>
      <c r="G10416" s="85"/>
    </row>
    <row r="10417">
      <c r="A10417" s="84"/>
      <c r="B10417" s="85"/>
      <c r="C10417" s="85"/>
      <c r="F10417" s="92"/>
      <c r="G10417" s="85"/>
    </row>
    <row r="10418">
      <c r="A10418" s="84"/>
      <c r="B10418" s="85"/>
      <c r="C10418" s="85"/>
      <c r="F10418" s="92"/>
      <c r="G10418" s="85"/>
    </row>
    <row r="10419">
      <c r="A10419" s="84"/>
      <c r="B10419" s="85"/>
      <c r="C10419" s="85"/>
      <c r="F10419" s="92"/>
      <c r="G10419" s="85"/>
    </row>
    <row r="10420">
      <c r="A10420" s="84"/>
      <c r="B10420" s="85"/>
      <c r="C10420" s="85"/>
      <c r="F10420" s="92"/>
      <c r="G10420" s="85"/>
    </row>
    <row r="10421">
      <c r="A10421" s="84"/>
      <c r="B10421" s="85"/>
      <c r="C10421" s="85"/>
      <c r="F10421" s="92"/>
      <c r="G10421" s="85"/>
    </row>
    <row r="10422">
      <c r="A10422" s="84"/>
      <c r="B10422" s="85"/>
      <c r="C10422" s="85"/>
      <c r="F10422" s="92"/>
      <c r="G10422" s="85"/>
    </row>
    <row r="10423">
      <c r="A10423" s="84"/>
      <c r="B10423" s="85"/>
      <c r="C10423" s="85"/>
      <c r="F10423" s="92"/>
      <c r="G10423" s="85"/>
    </row>
    <row r="10424">
      <c r="A10424" s="84"/>
      <c r="B10424" s="85"/>
      <c r="C10424" s="85"/>
      <c r="F10424" s="92"/>
      <c r="G10424" s="85"/>
    </row>
    <row r="10425">
      <c r="A10425" s="84"/>
      <c r="B10425" s="85"/>
      <c r="C10425" s="85"/>
      <c r="F10425" s="92"/>
      <c r="G10425" s="85"/>
    </row>
    <row r="10426">
      <c r="A10426" s="84"/>
      <c r="B10426" s="85"/>
      <c r="C10426" s="85"/>
      <c r="F10426" s="92"/>
      <c r="G10426" s="85"/>
    </row>
    <row r="10427">
      <c r="A10427" s="84"/>
      <c r="B10427" s="85"/>
      <c r="C10427" s="85"/>
      <c r="F10427" s="92"/>
      <c r="G10427" s="85"/>
    </row>
    <row r="10428">
      <c r="A10428" s="84"/>
      <c r="B10428" s="85"/>
      <c r="C10428" s="85"/>
      <c r="F10428" s="92"/>
      <c r="G10428" s="85"/>
    </row>
    <row r="10429">
      <c r="A10429" s="84"/>
      <c r="B10429" s="85"/>
      <c r="C10429" s="85"/>
      <c r="F10429" s="92"/>
      <c r="G10429" s="85"/>
    </row>
    <row r="10430">
      <c r="A10430" s="84"/>
      <c r="B10430" s="85"/>
      <c r="C10430" s="85"/>
      <c r="F10430" s="92"/>
      <c r="G10430" s="85"/>
    </row>
    <row r="10431">
      <c r="A10431" s="84"/>
      <c r="B10431" s="85"/>
      <c r="C10431" s="85"/>
      <c r="F10431" s="92"/>
      <c r="G10431" s="85"/>
    </row>
    <row r="10432">
      <c r="A10432" s="84"/>
      <c r="B10432" s="85"/>
      <c r="C10432" s="85"/>
      <c r="F10432" s="92"/>
      <c r="G10432" s="85"/>
    </row>
    <row r="10433">
      <c r="A10433" s="84"/>
      <c r="B10433" s="85"/>
      <c r="C10433" s="85"/>
      <c r="F10433" s="92"/>
      <c r="G10433" s="85"/>
    </row>
    <row r="10434">
      <c r="A10434" s="84"/>
      <c r="B10434" s="85"/>
      <c r="C10434" s="85"/>
      <c r="F10434" s="92"/>
      <c r="G10434" s="85"/>
    </row>
    <row r="10435">
      <c r="A10435" s="84"/>
      <c r="B10435" s="85"/>
      <c r="C10435" s="85"/>
      <c r="F10435" s="92"/>
      <c r="G10435" s="85"/>
    </row>
    <row r="10436">
      <c r="A10436" s="84"/>
      <c r="B10436" s="85"/>
      <c r="C10436" s="85"/>
      <c r="F10436" s="92"/>
      <c r="G10436" s="85"/>
    </row>
    <row r="10437">
      <c r="A10437" s="84"/>
      <c r="B10437" s="85"/>
      <c r="C10437" s="85"/>
      <c r="F10437" s="92"/>
      <c r="G10437" s="85"/>
    </row>
    <row r="10438">
      <c r="A10438" s="84"/>
      <c r="B10438" s="85"/>
      <c r="C10438" s="85"/>
      <c r="F10438" s="92"/>
      <c r="G10438" s="85"/>
    </row>
    <row r="10439">
      <c r="A10439" s="84"/>
      <c r="B10439" s="85"/>
      <c r="C10439" s="85"/>
      <c r="F10439" s="92"/>
      <c r="G10439" s="85"/>
    </row>
    <row r="10440">
      <c r="A10440" s="84"/>
      <c r="B10440" s="85"/>
      <c r="C10440" s="85"/>
      <c r="F10440" s="92"/>
      <c r="G10440" s="85"/>
    </row>
    <row r="10441">
      <c r="A10441" s="84"/>
      <c r="B10441" s="85"/>
      <c r="C10441" s="85"/>
      <c r="F10441" s="92"/>
      <c r="G10441" s="85"/>
    </row>
    <row r="10442">
      <c r="A10442" s="84"/>
      <c r="B10442" s="85"/>
      <c r="C10442" s="85"/>
      <c r="F10442" s="92"/>
      <c r="G10442" s="85"/>
    </row>
    <row r="10443">
      <c r="A10443" s="84"/>
      <c r="B10443" s="85"/>
      <c r="C10443" s="85"/>
      <c r="F10443" s="92"/>
      <c r="G10443" s="85"/>
    </row>
    <row r="10444">
      <c r="A10444" s="84"/>
      <c r="B10444" s="85"/>
      <c r="C10444" s="85"/>
      <c r="F10444" s="92"/>
      <c r="G10444" s="85"/>
    </row>
    <row r="10445">
      <c r="A10445" s="84"/>
      <c r="B10445" s="85"/>
      <c r="C10445" s="85"/>
      <c r="F10445" s="92"/>
      <c r="G10445" s="85"/>
    </row>
    <row r="10446">
      <c r="A10446" s="84"/>
      <c r="B10446" s="85"/>
      <c r="C10446" s="85"/>
      <c r="F10446" s="92"/>
      <c r="G10446" s="85"/>
    </row>
    <row r="10447">
      <c r="A10447" s="84"/>
      <c r="B10447" s="85"/>
      <c r="C10447" s="85"/>
      <c r="F10447" s="92"/>
      <c r="G10447" s="85"/>
    </row>
    <row r="10448">
      <c r="A10448" s="84"/>
      <c r="B10448" s="85"/>
      <c r="C10448" s="85"/>
      <c r="F10448" s="92"/>
      <c r="G10448" s="85"/>
    </row>
    <row r="10449">
      <c r="A10449" s="84"/>
      <c r="B10449" s="85"/>
      <c r="C10449" s="85"/>
      <c r="F10449" s="92"/>
      <c r="G10449" s="85"/>
    </row>
    <row r="10450">
      <c r="A10450" s="84"/>
      <c r="B10450" s="85"/>
      <c r="C10450" s="85"/>
      <c r="F10450" s="92"/>
      <c r="G10450" s="85"/>
    </row>
    <row r="10451">
      <c r="A10451" s="84"/>
      <c r="B10451" s="85"/>
      <c r="C10451" s="85"/>
      <c r="F10451" s="92"/>
      <c r="G10451" s="85"/>
    </row>
    <row r="10452">
      <c r="A10452" s="84"/>
      <c r="B10452" s="85"/>
      <c r="C10452" s="85"/>
      <c r="F10452" s="92"/>
      <c r="G10452" s="85"/>
    </row>
    <row r="10453">
      <c r="A10453" s="84"/>
      <c r="B10453" s="85"/>
      <c r="C10453" s="85"/>
      <c r="F10453" s="92"/>
      <c r="G10453" s="85"/>
    </row>
    <row r="10454">
      <c r="A10454" s="84"/>
      <c r="B10454" s="85"/>
      <c r="C10454" s="85"/>
      <c r="F10454" s="92"/>
      <c r="G10454" s="85"/>
    </row>
    <row r="10455">
      <c r="A10455" s="84"/>
      <c r="B10455" s="85"/>
      <c r="C10455" s="85"/>
      <c r="F10455" s="92"/>
      <c r="G10455" s="85"/>
    </row>
    <row r="10456">
      <c r="A10456" s="84"/>
      <c r="B10456" s="85"/>
      <c r="C10456" s="85"/>
      <c r="F10456" s="92"/>
      <c r="G10456" s="85"/>
    </row>
    <row r="10457">
      <c r="A10457" s="84"/>
      <c r="B10457" s="85"/>
      <c r="C10457" s="85"/>
      <c r="F10457" s="92"/>
      <c r="G10457" s="85"/>
    </row>
    <row r="10458">
      <c r="A10458" s="84"/>
      <c r="B10458" s="85"/>
      <c r="C10458" s="85"/>
      <c r="F10458" s="92"/>
      <c r="G10458" s="85"/>
    </row>
    <row r="10459">
      <c r="A10459" s="84"/>
      <c r="B10459" s="85"/>
      <c r="C10459" s="85"/>
      <c r="F10459" s="92"/>
      <c r="G10459" s="85"/>
    </row>
    <row r="10460">
      <c r="A10460" s="84"/>
      <c r="B10460" s="85"/>
      <c r="C10460" s="85"/>
      <c r="F10460" s="92"/>
      <c r="G10460" s="85"/>
    </row>
    <row r="10461">
      <c r="A10461" s="84"/>
      <c r="B10461" s="85"/>
      <c r="C10461" s="85"/>
      <c r="F10461" s="92"/>
      <c r="G10461" s="85"/>
    </row>
    <row r="10462">
      <c r="A10462" s="84"/>
      <c r="B10462" s="85"/>
      <c r="C10462" s="85"/>
      <c r="F10462" s="92"/>
      <c r="G10462" s="85"/>
    </row>
    <row r="10463">
      <c r="A10463" s="84"/>
      <c r="B10463" s="85"/>
      <c r="C10463" s="85"/>
      <c r="F10463" s="92"/>
      <c r="G10463" s="85"/>
    </row>
    <row r="10464">
      <c r="A10464" s="84"/>
      <c r="B10464" s="85"/>
      <c r="C10464" s="85"/>
      <c r="F10464" s="92"/>
      <c r="G10464" s="85"/>
    </row>
    <row r="10465">
      <c r="A10465" s="84"/>
      <c r="B10465" s="85"/>
      <c r="C10465" s="85"/>
      <c r="F10465" s="92"/>
      <c r="G10465" s="85"/>
    </row>
    <row r="10466">
      <c r="A10466" s="84"/>
      <c r="B10466" s="85"/>
      <c r="C10466" s="85"/>
      <c r="F10466" s="92"/>
      <c r="G10466" s="85"/>
    </row>
    <row r="10467">
      <c r="A10467" s="84"/>
      <c r="B10467" s="85"/>
      <c r="C10467" s="85"/>
      <c r="F10467" s="92"/>
      <c r="G10467" s="85"/>
    </row>
    <row r="10468">
      <c r="A10468" s="84"/>
      <c r="B10468" s="85"/>
      <c r="C10468" s="85"/>
      <c r="F10468" s="92"/>
      <c r="G10468" s="85"/>
    </row>
    <row r="10469">
      <c r="A10469" s="84"/>
      <c r="B10469" s="85"/>
      <c r="C10469" s="85"/>
      <c r="F10469" s="92"/>
      <c r="G10469" s="85"/>
    </row>
    <row r="10470">
      <c r="A10470" s="84"/>
      <c r="B10470" s="85"/>
      <c r="C10470" s="85"/>
      <c r="F10470" s="92"/>
      <c r="G10470" s="85"/>
    </row>
    <row r="10471">
      <c r="A10471" s="84"/>
      <c r="B10471" s="85"/>
      <c r="C10471" s="85"/>
      <c r="F10471" s="92"/>
      <c r="G10471" s="85"/>
    </row>
    <row r="10472">
      <c r="A10472" s="84"/>
      <c r="B10472" s="85"/>
      <c r="C10472" s="85"/>
      <c r="F10472" s="92"/>
      <c r="G10472" s="85"/>
    </row>
    <row r="10473">
      <c r="A10473" s="84"/>
      <c r="B10473" s="85"/>
      <c r="C10473" s="85"/>
      <c r="F10473" s="92"/>
      <c r="G10473" s="85"/>
    </row>
    <row r="10474">
      <c r="A10474" s="84"/>
      <c r="B10474" s="85"/>
      <c r="C10474" s="85"/>
      <c r="F10474" s="92"/>
      <c r="G10474" s="85"/>
    </row>
    <row r="10475">
      <c r="A10475" s="84"/>
      <c r="B10475" s="85"/>
      <c r="C10475" s="85"/>
      <c r="F10475" s="92"/>
      <c r="G10475" s="85"/>
    </row>
    <row r="10476">
      <c r="A10476" s="84"/>
      <c r="B10476" s="85"/>
      <c r="C10476" s="85"/>
      <c r="F10476" s="92"/>
      <c r="G10476" s="85"/>
    </row>
    <row r="10477">
      <c r="A10477" s="84"/>
      <c r="B10477" s="85"/>
      <c r="C10477" s="85"/>
      <c r="F10477" s="92"/>
      <c r="G10477" s="85"/>
    </row>
    <row r="10478">
      <c r="A10478" s="84"/>
      <c r="B10478" s="85"/>
      <c r="C10478" s="85"/>
      <c r="F10478" s="92"/>
      <c r="G10478" s="85"/>
    </row>
    <row r="10479">
      <c r="A10479" s="84"/>
      <c r="B10479" s="85"/>
      <c r="C10479" s="85"/>
      <c r="F10479" s="92"/>
      <c r="G10479" s="85"/>
    </row>
    <row r="10480">
      <c r="A10480" s="84"/>
      <c r="B10480" s="85"/>
      <c r="C10480" s="85"/>
      <c r="F10480" s="92"/>
      <c r="G10480" s="85"/>
    </row>
    <row r="10481">
      <c r="A10481" s="84"/>
      <c r="B10481" s="85"/>
      <c r="C10481" s="85"/>
      <c r="F10481" s="92"/>
      <c r="G10481" s="85"/>
    </row>
    <row r="10482">
      <c r="A10482" s="84"/>
      <c r="B10482" s="85"/>
      <c r="C10482" s="85"/>
      <c r="F10482" s="92"/>
      <c r="G10482" s="85"/>
    </row>
    <row r="10483">
      <c r="A10483" s="84"/>
      <c r="B10483" s="85"/>
      <c r="C10483" s="85"/>
      <c r="F10483" s="92"/>
      <c r="G10483" s="85"/>
    </row>
    <row r="10484">
      <c r="A10484" s="84"/>
      <c r="B10484" s="85"/>
      <c r="C10484" s="85"/>
      <c r="F10484" s="92"/>
      <c r="G10484" s="85"/>
    </row>
    <row r="10485">
      <c r="A10485" s="84"/>
      <c r="B10485" s="85"/>
      <c r="C10485" s="85"/>
      <c r="F10485" s="92"/>
      <c r="G10485" s="85"/>
    </row>
    <row r="10486">
      <c r="A10486" s="84"/>
      <c r="B10486" s="85"/>
      <c r="C10486" s="85"/>
      <c r="F10486" s="92"/>
      <c r="G10486" s="85"/>
    </row>
    <row r="10487">
      <c r="A10487" s="84"/>
      <c r="B10487" s="85"/>
      <c r="C10487" s="85"/>
      <c r="F10487" s="92"/>
      <c r="G10487" s="85"/>
    </row>
    <row r="10488">
      <c r="A10488" s="84"/>
      <c r="B10488" s="85"/>
      <c r="C10488" s="85"/>
      <c r="F10488" s="92"/>
      <c r="G10488" s="85"/>
    </row>
    <row r="10489">
      <c r="A10489" s="84"/>
      <c r="B10489" s="85"/>
      <c r="C10489" s="85"/>
      <c r="F10489" s="92"/>
      <c r="G10489" s="85"/>
    </row>
    <row r="10490">
      <c r="A10490" s="84"/>
      <c r="B10490" s="85"/>
      <c r="C10490" s="85"/>
      <c r="F10490" s="92"/>
      <c r="G10490" s="85"/>
    </row>
    <row r="10491">
      <c r="A10491" s="84"/>
      <c r="B10491" s="85"/>
      <c r="C10491" s="85"/>
      <c r="F10491" s="92"/>
      <c r="G10491" s="85"/>
    </row>
    <row r="10492">
      <c r="A10492" s="84"/>
      <c r="B10492" s="85"/>
      <c r="C10492" s="85"/>
      <c r="F10492" s="92"/>
      <c r="G10492" s="85"/>
    </row>
    <row r="10493">
      <c r="A10493" s="84"/>
      <c r="B10493" s="85"/>
      <c r="C10493" s="85"/>
      <c r="F10493" s="92"/>
      <c r="G10493" s="85"/>
    </row>
    <row r="10494">
      <c r="A10494" s="84"/>
      <c r="B10494" s="85"/>
      <c r="C10494" s="85"/>
      <c r="F10494" s="92"/>
      <c r="G10494" s="85"/>
    </row>
    <row r="10495">
      <c r="A10495" s="84"/>
      <c r="B10495" s="85"/>
      <c r="C10495" s="85"/>
      <c r="F10495" s="92"/>
      <c r="G10495" s="85"/>
    </row>
    <row r="10496">
      <c r="A10496" s="84"/>
      <c r="B10496" s="85"/>
      <c r="C10496" s="85"/>
      <c r="F10496" s="92"/>
      <c r="G10496" s="85"/>
    </row>
    <row r="10497">
      <c r="A10497" s="84"/>
      <c r="B10497" s="85"/>
      <c r="C10497" s="85"/>
      <c r="F10497" s="92"/>
      <c r="G10497" s="85"/>
    </row>
    <row r="10498">
      <c r="A10498" s="84"/>
      <c r="B10498" s="85"/>
      <c r="C10498" s="85"/>
      <c r="F10498" s="92"/>
      <c r="G10498" s="85"/>
    </row>
    <row r="10499">
      <c r="A10499" s="84"/>
      <c r="B10499" s="85"/>
      <c r="C10499" s="85"/>
      <c r="F10499" s="92"/>
      <c r="G10499" s="85"/>
    </row>
    <row r="10500">
      <c r="A10500" s="84"/>
      <c r="B10500" s="85"/>
      <c r="C10500" s="85"/>
      <c r="F10500" s="92"/>
      <c r="G10500" s="85"/>
    </row>
    <row r="10501">
      <c r="A10501" s="84"/>
      <c r="B10501" s="85"/>
      <c r="C10501" s="85"/>
      <c r="F10501" s="92"/>
      <c r="G10501" s="85"/>
    </row>
    <row r="10502">
      <c r="A10502" s="84"/>
      <c r="B10502" s="85"/>
      <c r="C10502" s="85"/>
      <c r="F10502" s="92"/>
      <c r="G10502" s="85"/>
    </row>
    <row r="10503">
      <c r="A10503" s="84"/>
      <c r="B10503" s="85"/>
      <c r="C10503" s="85"/>
      <c r="F10503" s="92"/>
      <c r="G10503" s="85"/>
    </row>
    <row r="10504">
      <c r="A10504" s="84"/>
      <c r="B10504" s="85"/>
      <c r="C10504" s="85"/>
      <c r="F10504" s="92"/>
      <c r="G10504" s="85"/>
    </row>
    <row r="10505">
      <c r="A10505" s="84"/>
      <c r="B10505" s="85"/>
      <c r="C10505" s="85"/>
      <c r="F10505" s="92"/>
      <c r="G10505" s="85"/>
    </row>
    <row r="10506">
      <c r="A10506" s="84"/>
      <c r="B10506" s="85"/>
      <c r="C10506" s="85"/>
      <c r="F10506" s="92"/>
      <c r="G10506" s="85"/>
    </row>
    <row r="10507">
      <c r="A10507" s="84"/>
      <c r="B10507" s="85"/>
      <c r="C10507" s="85"/>
      <c r="F10507" s="92"/>
      <c r="G10507" s="85"/>
    </row>
    <row r="10508">
      <c r="A10508" s="84"/>
      <c r="B10508" s="85"/>
      <c r="C10508" s="85"/>
      <c r="F10508" s="92"/>
      <c r="G10508" s="85"/>
    </row>
    <row r="10509">
      <c r="A10509" s="84"/>
      <c r="B10509" s="85"/>
      <c r="C10509" s="85"/>
      <c r="F10509" s="92"/>
      <c r="G10509" s="85"/>
    </row>
    <row r="10510">
      <c r="A10510" s="84"/>
      <c r="B10510" s="85"/>
      <c r="C10510" s="85"/>
      <c r="F10510" s="92"/>
      <c r="G10510" s="85"/>
    </row>
    <row r="10511">
      <c r="A10511" s="84"/>
      <c r="B10511" s="85"/>
      <c r="C10511" s="85"/>
      <c r="F10511" s="92"/>
      <c r="G10511" s="85"/>
    </row>
    <row r="10512">
      <c r="A10512" s="84"/>
      <c r="B10512" s="85"/>
      <c r="C10512" s="85"/>
      <c r="F10512" s="92"/>
      <c r="G10512" s="85"/>
    </row>
    <row r="10513">
      <c r="A10513" s="84"/>
      <c r="B10513" s="85"/>
      <c r="C10513" s="85"/>
      <c r="F10513" s="92"/>
      <c r="G10513" s="85"/>
    </row>
    <row r="10514">
      <c r="A10514" s="84"/>
      <c r="B10514" s="85"/>
      <c r="C10514" s="85"/>
      <c r="F10514" s="92"/>
      <c r="G10514" s="85"/>
    </row>
    <row r="10515">
      <c r="A10515" s="84"/>
      <c r="B10515" s="85"/>
      <c r="C10515" s="85"/>
      <c r="F10515" s="92"/>
      <c r="G10515" s="85"/>
    </row>
    <row r="10516">
      <c r="A10516" s="84"/>
      <c r="B10516" s="85"/>
      <c r="C10516" s="85"/>
      <c r="F10516" s="92"/>
      <c r="G10516" s="85"/>
    </row>
    <row r="10517">
      <c r="A10517" s="84"/>
      <c r="B10517" s="85"/>
      <c r="C10517" s="85"/>
      <c r="F10517" s="92"/>
      <c r="G10517" s="85"/>
    </row>
    <row r="10518">
      <c r="A10518" s="84"/>
      <c r="B10518" s="85"/>
      <c r="C10518" s="85"/>
      <c r="F10518" s="92"/>
      <c r="G10518" s="85"/>
    </row>
    <row r="10519">
      <c r="A10519" s="84"/>
      <c r="B10519" s="85"/>
      <c r="C10519" s="85"/>
      <c r="F10519" s="92"/>
      <c r="G10519" s="85"/>
    </row>
    <row r="10520">
      <c r="A10520" s="84"/>
      <c r="B10520" s="85"/>
      <c r="C10520" s="85"/>
      <c r="F10520" s="92"/>
      <c r="G10520" s="85"/>
    </row>
    <row r="10521">
      <c r="A10521" s="84"/>
      <c r="B10521" s="85"/>
      <c r="C10521" s="85"/>
      <c r="F10521" s="92"/>
      <c r="G10521" s="85"/>
    </row>
    <row r="10522">
      <c r="A10522" s="84"/>
      <c r="B10522" s="85"/>
      <c r="C10522" s="85"/>
      <c r="F10522" s="92"/>
      <c r="G10522" s="85"/>
    </row>
    <row r="10523">
      <c r="A10523" s="84"/>
      <c r="B10523" s="85"/>
      <c r="C10523" s="85"/>
      <c r="F10523" s="92"/>
      <c r="G10523" s="85"/>
    </row>
    <row r="10524">
      <c r="A10524" s="84"/>
      <c r="B10524" s="85"/>
      <c r="C10524" s="85"/>
      <c r="F10524" s="92"/>
      <c r="G10524" s="85"/>
    </row>
    <row r="10525">
      <c r="A10525" s="84"/>
      <c r="B10525" s="85"/>
      <c r="C10525" s="85"/>
      <c r="F10525" s="92"/>
      <c r="G10525" s="85"/>
    </row>
    <row r="10526">
      <c r="A10526" s="84"/>
      <c r="B10526" s="85"/>
      <c r="C10526" s="85"/>
      <c r="F10526" s="92"/>
      <c r="G10526" s="85"/>
    </row>
    <row r="10527">
      <c r="A10527" s="84"/>
      <c r="B10527" s="85"/>
      <c r="C10527" s="85"/>
      <c r="F10527" s="92"/>
      <c r="G10527" s="85"/>
    </row>
    <row r="10528">
      <c r="A10528" s="84"/>
      <c r="B10528" s="85"/>
      <c r="C10528" s="85"/>
      <c r="F10528" s="92"/>
      <c r="G10528" s="85"/>
    </row>
    <row r="10529">
      <c r="A10529" s="84"/>
      <c r="B10529" s="85"/>
      <c r="C10529" s="85"/>
      <c r="F10529" s="92"/>
      <c r="G10529" s="85"/>
    </row>
    <row r="10530">
      <c r="A10530" s="84"/>
      <c r="B10530" s="85"/>
      <c r="C10530" s="85"/>
      <c r="F10530" s="92"/>
      <c r="G10530" s="85"/>
    </row>
    <row r="10531">
      <c r="A10531" s="84"/>
      <c r="B10531" s="85"/>
      <c r="C10531" s="85"/>
      <c r="F10531" s="92"/>
      <c r="G10531" s="85"/>
    </row>
    <row r="10532">
      <c r="A10532" s="84"/>
      <c r="B10532" s="85"/>
      <c r="C10532" s="85"/>
      <c r="F10532" s="92"/>
      <c r="G10532" s="85"/>
    </row>
    <row r="10533">
      <c r="A10533" s="84"/>
      <c r="B10533" s="85"/>
      <c r="C10533" s="85"/>
      <c r="F10533" s="92"/>
      <c r="G10533" s="85"/>
    </row>
    <row r="10534">
      <c r="A10534" s="84"/>
      <c r="B10534" s="85"/>
      <c r="C10534" s="85"/>
      <c r="F10534" s="92"/>
      <c r="G10534" s="85"/>
    </row>
    <row r="10535">
      <c r="A10535" s="84"/>
      <c r="B10535" s="85"/>
      <c r="C10535" s="85"/>
      <c r="F10535" s="92"/>
      <c r="G10535" s="85"/>
    </row>
    <row r="10536">
      <c r="A10536" s="84"/>
      <c r="B10536" s="85"/>
      <c r="C10536" s="85"/>
      <c r="F10536" s="92"/>
      <c r="G10536" s="85"/>
    </row>
    <row r="10537">
      <c r="A10537" s="84"/>
      <c r="B10537" s="85"/>
      <c r="C10537" s="85"/>
      <c r="F10537" s="92"/>
      <c r="G10537" s="85"/>
    </row>
    <row r="10538">
      <c r="A10538" s="84"/>
      <c r="B10538" s="85"/>
      <c r="C10538" s="85"/>
      <c r="F10538" s="92"/>
      <c r="G10538" s="85"/>
    </row>
    <row r="10539">
      <c r="A10539" s="84"/>
      <c r="B10539" s="85"/>
      <c r="C10539" s="85"/>
      <c r="F10539" s="92"/>
      <c r="G10539" s="85"/>
    </row>
    <row r="10540">
      <c r="A10540" s="84"/>
      <c r="B10540" s="85"/>
      <c r="C10540" s="85"/>
      <c r="F10540" s="92"/>
      <c r="G10540" s="85"/>
    </row>
    <row r="10541">
      <c r="A10541" s="84"/>
      <c r="B10541" s="85"/>
      <c r="C10541" s="85"/>
      <c r="F10541" s="92"/>
      <c r="G10541" s="85"/>
    </row>
    <row r="10542">
      <c r="A10542" s="84"/>
      <c r="B10542" s="85"/>
      <c r="C10542" s="85"/>
      <c r="F10542" s="92"/>
      <c r="G10542" s="85"/>
    </row>
    <row r="10543">
      <c r="A10543" s="84"/>
      <c r="B10543" s="85"/>
      <c r="C10543" s="85"/>
      <c r="F10543" s="92"/>
      <c r="G10543" s="85"/>
    </row>
    <row r="10544">
      <c r="A10544" s="84"/>
      <c r="B10544" s="85"/>
      <c r="C10544" s="85"/>
      <c r="F10544" s="92"/>
      <c r="G10544" s="85"/>
    </row>
    <row r="10545">
      <c r="A10545" s="84"/>
      <c r="B10545" s="85"/>
      <c r="C10545" s="85"/>
      <c r="F10545" s="92"/>
      <c r="G10545" s="85"/>
    </row>
    <row r="10546">
      <c r="A10546" s="84"/>
      <c r="B10546" s="85"/>
      <c r="C10546" s="85"/>
      <c r="F10546" s="92"/>
      <c r="G10546" s="85"/>
    </row>
    <row r="10547">
      <c r="A10547" s="84"/>
      <c r="B10547" s="85"/>
      <c r="C10547" s="85"/>
      <c r="F10547" s="92"/>
      <c r="G10547" s="85"/>
    </row>
    <row r="10548">
      <c r="A10548" s="84"/>
      <c r="B10548" s="85"/>
      <c r="C10548" s="85"/>
      <c r="F10548" s="92"/>
      <c r="G10548" s="85"/>
    </row>
    <row r="10549">
      <c r="A10549" s="84"/>
      <c r="B10549" s="85"/>
      <c r="C10549" s="85"/>
      <c r="F10549" s="92"/>
      <c r="G10549" s="85"/>
    </row>
    <row r="10550">
      <c r="A10550" s="84"/>
      <c r="B10550" s="85"/>
      <c r="C10550" s="85"/>
      <c r="F10550" s="92"/>
      <c r="G10550" s="85"/>
    </row>
    <row r="10551">
      <c r="A10551" s="84"/>
      <c r="B10551" s="85"/>
      <c r="C10551" s="85"/>
      <c r="F10551" s="92"/>
      <c r="G10551" s="85"/>
    </row>
    <row r="10552">
      <c r="A10552" s="84"/>
      <c r="B10552" s="85"/>
      <c r="C10552" s="85"/>
      <c r="F10552" s="92"/>
      <c r="G10552" s="85"/>
    </row>
    <row r="10553">
      <c r="A10553" s="84"/>
      <c r="B10553" s="85"/>
      <c r="C10553" s="85"/>
      <c r="F10553" s="92"/>
      <c r="G10553" s="85"/>
    </row>
    <row r="10554">
      <c r="A10554" s="84"/>
      <c r="B10554" s="85"/>
      <c r="C10554" s="85"/>
      <c r="F10554" s="92"/>
      <c r="G10554" s="85"/>
    </row>
    <row r="10555">
      <c r="A10555" s="84"/>
      <c r="B10555" s="85"/>
      <c r="C10555" s="85"/>
      <c r="F10555" s="92"/>
      <c r="G10555" s="85"/>
    </row>
    <row r="10556">
      <c r="A10556" s="84"/>
      <c r="B10556" s="85"/>
      <c r="C10556" s="85"/>
      <c r="F10556" s="92"/>
      <c r="G10556" s="85"/>
    </row>
    <row r="10557">
      <c r="A10557" s="84"/>
      <c r="B10557" s="85"/>
      <c r="C10557" s="85"/>
      <c r="F10557" s="92"/>
      <c r="G10557" s="85"/>
    </row>
    <row r="10558">
      <c r="A10558" s="84"/>
      <c r="B10558" s="85"/>
      <c r="C10558" s="85"/>
      <c r="F10558" s="92"/>
      <c r="G10558" s="85"/>
    </row>
    <row r="10559">
      <c r="A10559" s="84"/>
      <c r="B10559" s="85"/>
      <c r="C10559" s="85"/>
      <c r="F10559" s="92"/>
      <c r="G10559" s="85"/>
    </row>
    <row r="10560">
      <c r="A10560" s="84"/>
      <c r="B10560" s="85"/>
      <c r="C10560" s="85"/>
      <c r="F10560" s="92"/>
      <c r="G10560" s="85"/>
    </row>
    <row r="10561">
      <c r="A10561" s="84"/>
      <c r="B10561" s="85"/>
      <c r="C10561" s="85"/>
      <c r="F10561" s="92"/>
      <c r="G10561" s="85"/>
    </row>
    <row r="10562">
      <c r="A10562" s="84"/>
      <c r="B10562" s="85"/>
      <c r="C10562" s="85"/>
      <c r="F10562" s="92"/>
      <c r="G10562" s="85"/>
    </row>
    <row r="10563">
      <c r="A10563" s="84"/>
      <c r="B10563" s="85"/>
      <c r="C10563" s="85"/>
      <c r="F10563" s="92"/>
      <c r="G10563" s="85"/>
    </row>
    <row r="10564">
      <c r="A10564" s="84"/>
      <c r="B10564" s="85"/>
      <c r="C10564" s="85"/>
      <c r="F10564" s="92"/>
      <c r="G10564" s="85"/>
    </row>
    <row r="10565">
      <c r="A10565" s="84"/>
      <c r="B10565" s="85"/>
      <c r="C10565" s="85"/>
      <c r="F10565" s="92"/>
      <c r="G10565" s="85"/>
    </row>
    <row r="10566">
      <c r="A10566" s="84"/>
      <c r="B10566" s="85"/>
      <c r="C10566" s="85"/>
      <c r="F10566" s="92"/>
      <c r="G10566" s="85"/>
    </row>
    <row r="10567">
      <c r="A10567" s="84"/>
      <c r="B10567" s="85"/>
      <c r="C10567" s="85"/>
      <c r="F10567" s="92"/>
      <c r="G10567" s="85"/>
    </row>
    <row r="10568">
      <c r="A10568" s="84"/>
      <c r="B10568" s="85"/>
      <c r="C10568" s="85"/>
      <c r="F10568" s="92"/>
      <c r="G10568" s="85"/>
    </row>
    <row r="10569">
      <c r="A10569" s="84"/>
      <c r="B10569" s="85"/>
      <c r="C10569" s="85"/>
      <c r="F10569" s="92"/>
      <c r="G10569" s="85"/>
    </row>
    <row r="10570">
      <c r="A10570" s="84"/>
      <c r="B10570" s="85"/>
      <c r="C10570" s="85"/>
      <c r="F10570" s="92"/>
      <c r="G10570" s="85"/>
    </row>
    <row r="10571">
      <c r="A10571" s="84"/>
      <c r="B10571" s="85"/>
      <c r="C10571" s="85"/>
      <c r="F10571" s="92"/>
      <c r="G10571" s="85"/>
    </row>
    <row r="10572">
      <c r="A10572" s="84"/>
      <c r="B10572" s="85"/>
      <c r="C10572" s="85"/>
      <c r="F10572" s="92"/>
      <c r="G10572" s="85"/>
    </row>
    <row r="10573">
      <c r="A10573" s="84"/>
      <c r="B10573" s="85"/>
      <c r="C10573" s="85"/>
      <c r="F10573" s="92"/>
      <c r="G10573" s="85"/>
    </row>
    <row r="10574">
      <c r="A10574" s="84"/>
      <c r="B10574" s="85"/>
      <c r="C10574" s="85"/>
      <c r="F10574" s="92"/>
      <c r="G10574" s="85"/>
    </row>
    <row r="10575">
      <c r="A10575" s="84"/>
      <c r="B10575" s="85"/>
      <c r="C10575" s="85"/>
      <c r="F10575" s="92"/>
      <c r="G10575" s="85"/>
    </row>
    <row r="10576">
      <c r="A10576" s="84"/>
      <c r="B10576" s="85"/>
      <c r="C10576" s="85"/>
      <c r="F10576" s="92"/>
      <c r="G10576" s="85"/>
    </row>
    <row r="10577">
      <c r="A10577" s="84"/>
      <c r="B10577" s="85"/>
      <c r="C10577" s="85"/>
      <c r="F10577" s="92"/>
      <c r="G10577" s="85"/>
    </row>
    <row r="10578">
      <c r="A10578" s="84"/>
      <c r="B10578" s="85"/>
      <c r="C10578" s="85"/>
      <c r="F10578" s="92"/>
      <c r="G10578" s="85"/>
    </row>
    <row r="10579">
      <c r="A10579" s="84"/>
      <c r="B10579" s="85"/>
      <c r="C10579" s="85"/>
      <c r="F10579" s="92"/>
      <c r="G10579" s="85"/>
    </row>
    <row r="10580">
      <c r="A10580" s="84"/>
      <c r="B10580" s="85"/>
      <c r="C10580" s="85"/>
      <c r="F10580" s="92"/>
      <c r="G10580" s="85"/>
    </row>
    <row r="10581">
      <c r="A10581" s="84"/>
      <c r="B10581" s="85"/>
      <c r="C10581" s="85"/>
      <c r="F10581" s="92"/>
      <c r="G10581" s="85"/>
    </row>
    <row r="10582">
      <c r="A10582" s="84"/>
      <c r="B10582" s="85"/>
      <c r="C10582" s="85"/>
      <c r="F10582" s="92"/>
      <c r="G10582" s="85"/>
    </row>
    <row r="10583">
      <c r="A10583" s="84"/>
      <c r="B10583" s="85"/>
      <c r="C10583" s="85"/>
      <c r="F10583" s="92"/>
      <c r="G10583" s="85"/>
    </row>
    <row r="10584">
      <c r="A10584" s="84"/>
      <c r="B10584" s="85"/>
      <c r="C10584" s="85"/>
      <c r="F10584" s="92"/>
      <c r="G10584" s="85"/>
    </row>
    <row r="10585">
      <c r="A10585" s="84"/>
      <c r="B10585" s="85"/>
      <c r="C10585" s="85"/>
      <c r="F10585" s="92"/>
      <c r="G10585" s="85"/>
    </row>
    <row r="10586">
      <c r="A10586" s="84"/>
      <c r="B10586" s="85"/>
      <c r="C10586" s="85"/>
      <c r="F10586" s="92"/>
      <c r="G10586" s="85"/>
    </row>
    <row r="10587">
      <c r="A10587" s="84"/>
      <c r="B10587" s="85"/>
      <c r="C10587" s="85"/>
      <c r="F10587" s="92"/>
      <c r="G10587" s="85"/>
    </row>
    <row r="10588">
      <c r="A10588" s="84"/>
      <c r="B10588" s="85"/>
      <c r="C10588" s="85"/>
      <c r="F10588" s="92"/>
      <c r="G10588" s="85"/>
    </row>
    <row r="10589">
      <c r="A10589" s="84"/>
      <c r="B10589" s="85"/>
      <c r="C10589" s="85"/>
      <c r="F10589" s="92"/>
      <c r="G10589" s="85"/>
    </row>
    <row r="10590">
      <c r="A10590" s="84"/>
      <c r="B10590" s="85"/>
      <c r="C10590" s="85"/>
      <c r="F10590" s="92"/>
      <c r="G10590" s="85"/>
    </row>
    <row r="10591">
      <c r="A10591" s="84"/>
      <c r="B10591" s="85"/>
      <c r="C10591" s="85"/>
      <c r="F10591" s="92"/>
      <c r="G10591" s="85"/>
    </row>
    <row r="10592">
      <c r="A10592" s="84"/>
      <c r="B10592" s="85"/>
      <c r="C10592" s="85"/>
      <c r="F10592" s="92"/>
      <c r="G10592" s="85"/>
    </row>
    <row r="10593">
      <c r="A10593" s="84"/>
      <c r="B10593" s="85"/>
      <c r="C10593" s="85"/>
      <c r="F10593" s="92"/>
      <c r="G10593" s="85"/>
    </row>
    <row r="10594">
      <c r="A10594" s="84"/>
      <c r="B10594" s="85"/>
      <c r="C10594" s="85"/>
      <c r="F10594" s="92"/>
      <c r="G10594" s="85"/>
    </row>
    <row r="10595">
      <c r="A10595" s="84"/>
      <c r="B10595" s="85"/>
      <c r="C10595" s="85"/>
      <c r="F10595" s="92"/>
      <c r="G10595" s="85"/>
    </row>
    <row r="10596">
      <c r="A10596" s="84"/>
      <c r="B10596" s="85"/>
      <c r="C10596" s="85"/>
      <c r="F10596" s="92"/>
      <c r="G10596" s="85"/>
    </row>
    <row r="10597">
      <c r="A10597" s="84"/>
      <c r="B10597" s="85"/>
      <c r="C10597" s="85"/>
      <c r="F10597" s="92"/>
      <c r="G10597" s="85"/>
    </row>
    <row r="10598">
      <c r="A10598" s="84"/>
      <c r="B10598" s="85"/>
      <c r="C10598" s="85"/>
      <c r="F10598" s="92"/>
      <c r="G10598" s="85"/>
    </row>
    <row r="10599">
      <c r="A10599" s="84"/>
      <c r="B10599" s="85"/>
      <c r="C10599" s="85"/>
      <c r="F10599" s="92"/>
      <c r="G10599" s="85"/>
    </row>
    <row r="10600">
      <c r="A10600" s="84"/>
      <c r="B10600" s="85"/>
      <c r="C10600" s="85"/>
      <c r="F10600" s="92"/>
      <c r="G10600" s="85"/>
    </row>
    <row r="10601">
      <c r="A10601" s="84"/>
      <c r="B10601" s="85"/>
      <c r="C10601" s="85"/>
      <c r="F10601" s="92"/>
      <c r="G10601" s="85"/>
    </row>
    <row r="10602">
      <c r="A10602" s="84"/>
      <c r="B10602" s="85"/>
      <c r="C10602" s="85"/>
      <c r="F10602" s="92"/>
      <c r="G10602" s="85"/>
    </row>
    <row r="10603">
      <c r="A10603" s="84"/>
      <c r="B10603" s="85"/>
      <c r="C10603" s="85"/>
      <c r="F10603" s="92"/>
      <c r="G10603" s="85"/>
    </row>
    <row r="10604">
      <c r="A10604" s="84"/>
      <c r="B10604" s="85"/>
      <c r="C10604" s="85"/>
      <c r="F10604" s="92"/>
      <c r="G10604" s="85"/>
    </row>
    <row r="10605">
      <c r="A10605" s="84"/>
      <c r="B10605" s="85"/>
      <c r="C10605" s="85"/>
      <c r="F10605" s="92"/>
      <c r="G10605" s="85"/>
    </row>
    <row r="10606">
      <c r="A10606" s="84"/>
      <c r="B10606" s="85"/>
      <c r="C10606" s="85"/>
      <c r="F10606" s="92"/>
      <c r="G10606" s="85"/>
    </row>
    <row r="10607">
      <c r="A10607" s="84"/>
      <c r="B10607" s="85"/>
      <c r="C10607" s="85"/>
      <c r="F10607" s="92"/>
      <c r="G10607" s="85"/>
    </row>
    <row r="10608">
      <c r="A10608" s="84"/>
      <c r="B10608" s="85"/>
      <c r="C10608" s="85"/>
      <c r="F10608" s="92"/>
      <c r="G10608" s="85"/>
    </row>
    <row r="10609">
      <c r="A10609" s="84"/>
      <c r="B10609" s="85"/>
      <c r="C10609" s="85"/>
      <c r="F10609" s="92"/>
      <c r="G10609" s="85"/>
    </row>
    <row r="10610">
      <c r="A10610" s="84"/>
      <c r="B10610" s="85"/>
      <c r="C10610" s="85"/>
      <c r="F10610" s="92"/>
      <c r="G10610" s="85"/>
    </row>
    <row r="10611">
      <c r="A10611" s="84"/>
      <c r="B10611" s="85"/>
      <c r="C10611" s="85"/>
      <c r="F10611" s="92"/>
      <c r="G10611" s="85"/>
    </row>
    <row r="10612">
      <c r="A10612" s="84"/>
      <c r="B10612" s="85"/>
      <c r="C10612" s="85"/>
      <c r="F10612" s="92"/>
      <c r="G10612" s="85"/>
    </row>
    <row r="10613">
      <c r="A10613" s="84"/>
      <c r="B10613" s="85"/>
      <c r="C10613" s="85"/>
      <c r="F10613" s="92"/>
      <c r="G10613" s="85"/>
    </row>
    <row r="10614">
      <c r="A10614" s="84"/>
      <c r="B10614" s="85"/>
      <c r="C10614" s="85"/>
      <c r="F10614" s="92"/>
      <c r="G10614" s="85"/>
    </row>
    <row r="10615">
      <c r="A10615" s="84"/>
      <c r="B10615" s="85"/>
      <c r="C10615" s="85"/>
      <c r="F10615" s="92"/>
      <c r="G10615" s="85"/>
    </row>
    <row r="10616">
      <c r="A10616" s="84"/>
      <c r="B10616" s="85"/>
      <c r="C10616" s="85"/>
      <c r="F10616" s="92"/>
      <c r="G10616" s="85"/>
    </row>
    <row r="10617">
      <c r="A10617" s="84"/>
      <c r="B10617" s="85"/>
      <c r="C10617" s="85"/>
      <c r="F10617" s="92"/>
      <c r="G10617" s="85"/>
    </row>
    <row r="10618">
      <c r="A10618" s="84"/>
      <c r="B10618" s="85"/>
      <c r="C10618" s="85"/>
      <c r="F10618" s="92"/>
      <c r="G10618" s="85"/>
    </row>
    <row r="10619">
      <c r="A10619" s="84"/>
      <c r="B10619" s="85"/>
      <c r="C10619" s="85"/>
      <c r="F10619" s="92"/>
      <c r="G10619" s="85"/>
    </row>
    <row r="10620">
      <c r="A10620" s="84"/>
      <c r="B10620" s="85"/>
      <c r="C10620" s="85"/>
      <c r="F10620" s="92"/>
      <c r="G10620" s="85"/>
    </row>
    <row r="10621">
      <c r="A10621" s="84"/>
      <c r="B10621" s="85"/>
      <c r="C10621" s="85"/>
      <c r="F10621" s="92"/>
      <c r="G10621" s="85"/>
    </row>
    <row r="10622">
      <c r="A10622" s="84"/>
      <c r="B10622" s="85"/>
      <c r="C10622" s="85"/>
      <c r="F10622" s="92"/>
      <c r="G10622" s="85"/>
    </row>
    <row r="10623">
      <c r="A10623" s="84"/>
      <c r="B10623" s="85"/>
      <c r="C10623" s="85"/>
      <c r="F10623" s="92"/>
      <c r="G10623" s="85"/>
    </row>
    <row r="10624">
      <c r="A10624" s="84"/>
      <c r="B10624" s="85"/>
      <c r="C10624" s="85"/>
      <c r="F10624" s="92"/>
      <c r="G10624" s="85"/>
    </row>
    <row r="10625">
      <c r="A10625" s="84"/>
      <c r="B10625" s="85"/>
      <c r="C10625" s="85"/>
      <c r="F10625" s="92"/>
      <c r="G10625" s="85"/>
    </row>
    <row r="10626">
      <c r="A10626" s="84"/>
      <c r="B10626" s="85"/>
      <c r="C10626" s="85"/>
      <c r="F10626" s="92"/>
      <c r="G10626" s="85"/>
    </row>
    <row r="10627">
      <c r="A10627" s="84"/>
      <c r="B10627" s="85"/>
      <c r="C10627" s="85"/>
      <c r="F10627" s="92"/>
      <c r="G10627" s="85"/>
    </row>
    <row r="10628">
      <c r="A10628" s="84"/>
      <c r="B10628" s="85"/>
      <c r="C10628" s="85"/>
      <c r="F10628" s="92"/>
      <c r="G10628" s="85"/>
    </row>
    <row r="10629">
      <c r="A10629" s="84"/>
      <c r="B10629" s="85"/>
      <c r="C10629" s="85"/>
      <c r="F10629" s="92"/>
      <c r="G10629" s="85"/>
    </row>
    <row r="10630">
      <c r="A10630" s="84"/>
      <c r="B10630" s="85"/>
      <c r="C10630" s="85"/>
      <c r="F10630" s="92"/>
      <c r="G10630" s="85"/>
    </row>
    <row r="10631">
      <c r="A10631" s="84"/>
      <c r="B10631" s="85"/>
      <c r="C10631" s="85"/>
      <c r="F10631" s="92"/>
      <c r="G10631" s="85"/>
    </row>
    <row r="10632">
      <c r="A10632" s="84"/>
      <c r="B10632" s="85"/>
      <c r="C10632" s="85"/>
      <c r="F10632" s="92"/>
      <c r="G10632" s="85"/>
    </row>
    <row r="10633">
      <c r="A10633" s="84"/>
      <c r="B10633" s="85"/>
      <c r="C10633" s="85"/>
      <c r="F10633" s="92"/>
      <c r="G10633" s="85"/>
    </row>
    <row r="10634">
      <c r="A10634" s="84"/>
      <c r="B10634" s="85"/>
      <c r="C10634" s="85"/>
      <c r="F10634" s="92"/>
      <c r="G10634" s="85"/>
    </row>
    <row r="10635">
      <c r="A10635" s="84"/>
      <c r="B10635" s="85"/>
      <c r="C10635" s="85"/>
      <c r="F10635" s="92"/>
      <c r="G10635" s="85"/>
    </row>
    <row r="10636">
      <c r="A10636" s="84"/>
      <c r="B10636" s="85"/>
      <c r="C10636" s="85"/>
      <c r="F10636" s="92"/>
      <c r="G10636" s="85"/>
    </row>
    <row r="10637">
      <c r="A10637" s="84"/>
      <c r="B10637" s="85"/>
      <c r="C10637" s="85"/>
      <c r="F10637" s="92"/>
      <c r="G10637" s="85"/>
    </row>
    <row r="10638">
      <c r="A10638" s="84"/>
      <c r="B10638" s="85"/>
      <c r="C10638" s="85"/>
      <c r="F10638" s="92"/>
      <c r="G10638" s="85"/>
    </row>
    <row r="10639">
      <c r="A10639" s="84"/>
      <c r="B10639" s="85"/>
      <c r="C10639" s="85"/>
      <c r="F10639" s="92"/>
      <c r="G10639" s="85"/>
    </row>
    <row r="10640">
      <c r="A10640" s="84"/>
      <c r="B10640" s="85"/>
      <c r="C10640" s="85"/>
      <c r="F10640" s="92"/>
      <c r="G10640" s="85"/>
    </row>
    <row r="10641">
      <c r="A10641" s="84"/>
      <c r="B10641" s="85"/>
      <c r="C10641" s="85"/>
      <c r="F10641" s="92"/>
      <c r="G10641" s="85"/>
    </row>
    <row r="10642">
      <c r="A10642" s="84"/>
      <c r="B10642" s="85"/>
      <c r="C10642" s="85"/>
      <c r="F10642" s="92"/>
      <c r="G10642" s="85"/>
    </row>
    <row r="10643">
      <c r="A10643" s="84"/>
      <c r="B10643" s="85"/>
      <c r="C10643" s="85"/>
      <c r="F10643" s="92"/>
      <c r="G10643" s="85"/>
    </row>
    <row r="10644">
      <c r="A10644" s="84"/>
      <c r="B10644" s="85"/>
      <c r="C10644" s="85"/>
      <c r="F10644" s="92"/>
      <c r="G10644" s="85"/>
    </row>
    <row r="10645">
      <c r="A10645" s="84"/>
      <c r="B10645" s="85"/>
      <c r="C10645" s="85"/>
      <c r="F10645" s="92"/>
      <c r="G10645" s="85"/>
    </row>
    <row r="10646">
      <c r="A10646" s="84"/>
      <c r="B10646" s="85"/>
      <c r="C10646" s="85"/>
      <c r="F10646" s="92"/>
      <c r="G10646" s="85"/>
    </row>
    <row r="10647">
      <c r="A10647" s="84"/>
      <c r="B10647" s="85"/>
      <c r="C10647" s="85"/>
      <c r="F10647" s="92"/>
      <c r="G10647" s="85"/>
    </row>
    <row r="10648">
      <c r="A10648" s="84"/>
      <c r="B10648" s="85"/>
      <c r="C10648" s="85"/>
      <c r="F10648" s="92"/>
      <c r="G10648" s="85"/>
    </row>
    <row r="10649">
      <c r="A10649" s="84"/>
      <c r="B10649" s="85"/>
      <c r="C10649" s="85"/>
      <c r="F10649" s="92"/>
      <c r="G10649" s="85"/>
    </row>
    <row r="10650">
      <c r="A10650" s="84"/>
      <c r="B10650" s="85"/>
      <c r="C10650" s="85"/>
      <c r="F10650" s="92"/>
      <c r="G10650" s="85"/>
    </row>
    <row r="10651">
      <c r="A10651" s="84"/>
      <c r="B10651" s="85"/>
      <c r="C10651" s="85"/>
      <c r="F10651" s="92"/>
      <c r="G10651" s="85"/>
    </row>
    <row r="10652">
      <c r="A10652" s="84"/>
      <c r="B10652" s="85"/>
      <c r="C10652" s="85"/>
      <c r="F10652" s="92"/>
      <c r="G10652" s="85"/>
    </row>
    <row r="10653">
      <c r="A10653" s="84"/>
      <c r="B10653" s="85"/>
      <c r="C10653" s="85"/>
      <c r="F10653" s="92"/>
      <c r="G10653" s="85"/>
    </row>
    <row r="10654">
      <c r="A10654" s="84"/>
      <c r="B10654" s="85"/>
      <c r="C10654" s="85"/>
      <c r="F10654" s="92"/>
      <c r="G10654" s="85"/>
    </row>
    <row r="10655">
      <c r="A10655" s="84"/>
      <c r="B10655" s="85"/>
      <c r="C10655" s="85"/>
      <c r="F10655" s="92"/>
      <c r="G10655" s="85"/>
    </row>
    <row r="10656">
      <c r="A10656" s="84"/>
      <c r="B10656" s="85"/>
      <c r="C10656" s="85"/>
      <c r="F10656" s="92"/>
      <c r="G10656" s="85"/>
    </row>
    <row r="10657">
      <c r="A10657" s="84"/>
      <c r="B10657" s="85"/>
      <c r="C10657" s="85"/>
      <c r="F10657" s="92"/>
      <c r="G10657" s="85"/>
    </row>
    <row r="10658">
      <c r="A10658" s="84"/>
      <c r="B10658" s="85"/>
      <c r="C10658" s="85"/>
      <c r="F10658" s="92"/>
      <c r="G10658" s="85"/>
    </row>
    <row r="10659">
      <c r="A10659" s="84"/>
      <c r="B10659" s="85"/>
      <c r="C10659" s="85"/>
      <c r="F10659" s="92"/>
      <c r="G10659" s="85"/>
    </row>
    <row r="10660">
      <c r="A10660" s="84"/>
      <c r="B10660" s="85"/>
      <c r="C10660" s="85"/>
      <c r="F10660" s="92"/>
      <c r="G10660" s="85"/>
    </row>
    <row r="10661">
      <c r="A10661" s="84"/>
      <c r="B10661" s="85"/>
      <c r="C10661" s="85"/>
      <c r="F10661" s="92"/>
      <c r="G10661" s="85"/>
    </row>
    <row r="10662">
      <c r="A10662" s="84"/>
      <c r="B10662" s="85"/>
      <c r="C10662" s="85"/>
      <c r="F10662" s="92"/>
      <c r="G10662" s="85"/>
    </row>
    <row r="10663">
      <c r="A10663" s="84"/>
      <c r="B10663" s="85"/>
      <c r="C10663" s="85"/>
      <c r="F10663" s="92"/>
      <c r="G10663" s="85"/>
    </row>
    <row r="10664">
      <c r="A10664" s="84"/>
      <c r="B10664" s="85"/>
      <c r="C10664" s="85"/>
      <c r="F10664" s="92"/>
      <c r="G10664" s="85"/>
    </row>
    <row r="10665">
      <c r="A10665" s="84"/>
      <c r="B10665" s="85"/>
      <c r="C10665" s="85"/>
      <c r="F10665" s="92"/>
      <c r="G10665" s="85"/>
    </row>
    <row r="10666">
      <c r="A10666" s="84"/>
      <c r="B10666" s="85"/>
      <c r="C10666" s="85"/>
      <c r="F10666" s="92"/>
      <c r="G10666" s="85"/>
    </row>
    <row r="10667">
      <c r="A10667" s="84"/>
      <c r="B10667" s="85"/>
      <c r="C10667" s="85"/>
      <c r="F10667" s="92"/>
      <c r="G10667" s="85"/>
    </row>
    <row r="10668">
      <c r="A10668" s="84"/>
      <c r="B10668" s="85"/>
      <c r="C10668" s="85"/>
      <c r="F10668" s="92"/>
      <c r="G10668" s="85"/>
    </row>
    <row r="10669">
      <c r="A10669" s="84"/>
      <c r="B10669" s="85"/>
      <c r="C10669" s="85"/>
      <c r="F10669" s="92"/>
      <c r="G10669" s="85"/>
    </row>
    <row r="10670">
      <c r="A10670" s="84"/>
      <c r="B10670" s="85"/>
      <c r="C10670" s="85"/>
      <c r="F10670" s="92"/>
      <c r="G10670" s="85"/>
    </row>
    <row r="10671">
      <c r="A10671" s="84"/>
      <c r="B10671" s="85"/>
      <c r="C10671" s="85"/>
      <c r="F10671" s="92"/>
      <c r="G10671" s="85"/>
    </row>
    <row r="10672">
      <c r="A10672" s="84"/>
      <c r="B10672" s="85"/>
      <c r="C10672" s="85"/>
      <c r="F10672" s="92"/>
      <c r="G10672" s="85"/>
    </row>
    <row r="10673">
      <c r="A10673" s="84"/>
      <c r="B10673" s="85"/>
      <c r="C10673" s="85"/>
      <c r="F10673" s="92"/>
      <c r="G10673" s="85"/>
    </row>
    <row r="10674">
      <c r="A10674" s="84"/>
      <c r="B10674" s="85"/>
      <c r="C10674" s="85"/>
      <c r="F10674" s="92"/>
      <c r="G10674" s="85"/>
    </row>
    <row r="10675">
      <c r="A10675" s="84"/>
      <c r="B10675" s="85"/>
      <c r="C10675" s="85"/>
      <c r="F10675" s="92"/>
      <c r="G10675" s="85"/>
    </row>
    <row r="10676">
      <c r="A10676" s="84"/>
      <c r="B10676" s="85"/>
      <c r="C10676" s="85"/>
      <c r="F10676" s="92"/>
      <c r="G10676" s="85"/>
    </row>
    <row r="10677">
      <c r="A10677" s="84"/>
      <c r="B10677" s="85"/>
      <c r="C10677" s="85"/>
      <c r="F10677" s="92"/>
      <c r="G10677" s="85"/>
    </row>
    <row r="10678">
      <c r="A10678" s="84"/>
      <c r="B10678" s="85"/>
      <c r="C10678" s="85"/>
      <c r="F10678" s="92"/>
      <c r="G10678" s="85"/>
    </row>
    <row r="10679">
      <c r="A10679" s="84"/>
      <c r="B10679" s="85"/>
      <c r="C10679" s="85"/>
      <c r="F10679" s="92"/>
      <c r="G10679" s="85"/>
    </row>
    <row r="10680">
      <c r="A10680" s="84"/>
      <c r="B10680" s="85"/>
      <c r="C10680" s="85"/>
      <c r="F10680" s="92"/>
      <c r="G10680" s="85"/>
    </row>
    <row r="10681">
      <c r="A10681" s="84"/>
      <c r="B10681" s="85"/>
      <c r="C10681" s="85"/>
      <c r="F10681" s="92"/>
      <c r="G10681" s="85"/>
    </row>
    <row r="10682">
      <c r="A10682" s="84"/>
      <c r="B10682" s="85"/>
      <c r="C10682" s="85"/>
      <c r="F10682" s="92"/>
      <c r="G10682" s="85"/>
    </row>
    <row r="10683">
      <c r="A10683" s="84"/>
      <c r="B10683" s="85"/>
      <c r="C10683" s="85"/>
      <c r="F10683" s="92"/>
      <c r="G10683" s="85"/>
    </row>
    <row r="10684">
      <c r="A10684" s="84"/>
      <c r="B10684" s="85"/>
      <c r="C10684" s="85"/>
      <c r="F10684" s="92"/>
      <c r="G10684" s="85"/>
    </row>
    <row r="10685">
      <c r="A10685" s="84"/>
      <c r="B10685" s="85"/>
      <c r="C10685" s="85"/>
      <c r="F10685" s="92"/>
      <c r="G10685" s="85"/>
    </row>
    <row r="10686">
      <c r="A10686" s="84"/>
      <c r="B10686" s="85"/>
      <c r="C10686" s="85"/>
      <c r="F10686" s="92"/>
      <c r="G10686" s="85"/>
    </row>
    <row r="10687">
      <c r="A10687" s="84"/>
      <c r="B10687" s="85"/>
      <c r="C10687" s="85"/>
      <c r="F10687" s="92"/>
      <c r="G10687" s="85"/>
    </row>
    <row r="10688">
      <c r="A10688" s="84"/>
      <c r="B10688" s="85"/>
      <c r="C10688" s="85"/>
      <c r="F10688" s="92"/>
      <c r="G10688" s="85"/>
    </row>
    <row r="10689">
      <c r="A10689" s="84"/>
      <c r="B10689" s="85"/>
      <c r="C10689" s="85"/>
      <c r="F10689" s="92"/>
      <c r="G10689" s="85"/>
    </row>
    <row r="10690">
      <c r="A10690" s="84"/>
      <c r="B10690" s="85"/>
      <c r="C10690" s="85"/>
      <c r="F10690" s="92"/>
      <c r="G10690" s="85"/>
    </row>
    <row r="10691">
      <c r="A10691" s="84"/>
      <c r="B10691" s="85"/>
      <c r="C10691" s="85"/>
      <c r="F10691" s="92"/>
      <c r="G10691" s="85"/>
    </row>
    <row r="10692">
      <c r="A10692" s="84"/>
      <c r="B10692" s="85"/>
      <c r="C10692" s="85"/>
      <c r="F10692" s="92"/>
      <c r="G10692" s="85"/>
    </row>
    <row r="10693">
      <c r="A10693" s="84"/>
      <c r="B10693" s="85"/>
      <c r="C10693" s="85"/>
      <c r="F10693" s="92"/>
      <c r="G10693" s="85"/>
    </row>
    <row r="10694">
      <c r="A10694" s="84"/>
      <c r="B10694" s="85"/>
      <c r="C10694" s="85"/>
      <c r="F10694" s="92"/>
      <c r="G10694" s="85"/>
    </row>
    <row r="10695">
      <c r="A10695" s="84"/>
      <c r="B10695" s="85"/>
      <c r="C10695" s="85"/>
      <c r="F10695" s="92"/>
      <c r="G10695" s="85"/>
    </row>
    <row r="10696">
      <c r="A10696" s="84"/>
      <c r="B10696" s="85"/>
      <c r="C10696" s="85"/>
      <c r="F10696" s="92"/>
      <c r="G10696" s="85"/>
    </row>
    <row r="10697">
      <c r="A10697" s="84"/>
      <c r="B10697" s="85"/>
      <c r="C10697" s="85"/>
      <c r="F10697" s="92"/>
      <c r="G10697" s="85"/>
    </row>
    <row r="10698">
      <c r="A10698" s="84"/>
      <c r="B10698" s="85"/>
      <c r="C10698" s="85"/>
      <c r="F10698" s="92"/>
      <c r="G10698" s="85"/>
    </row>
    <row r="10699">
      <c r="A10699" s="84"/>
      <c r="B10699" s="85"/>
      <c r="C10699" s="85"/>
      <c r="F10699" s="92"/>
      <c r="G10699" s="85"/>
    </row>
    <row r="10700">
      <c r="A10700" s="84"/>
      <c r="B10700" s="85"/>
      <c r="C10700" s="85"/>
      <c r="F10700" s="92"/>
      <c r="G10700" s="85"/>
    </row>
    <row r="10701">
      <c r="A10701" s="84"/>
      <c r="B10701" s="85"/>
      <c r="C10701" s="85"/>
      <c r="F10701" s="92"/>
      <c r="G10701" s="85"/>
    </row>
    <row r="10702">
      <c r="A10702" s="84"/>
      <c r="B10702" s="85"/>
      <c r="C10702" s="85"/>
      <c r="F10702" s="92"/>
      <c r="G10702" s="85"/>
    </row>
    <row r="10703">
      <c r="A10703" s="84"/>
      <c r="B10703" s="85"/>
      <c r="C10703" s="85"/>
      <c r="F10703" s="92"/>
      <c r="G10703" s="85"/>
    </row>
    <row r="10704">
      <c r="A10704" s="84"/>
      <c r="B10704" s="85"/>
      <c r="C10704" s="85"/>
      <c r="F10704" s="92"/>
      <c r="G10704" s="85"/>
    </row>
    <row r="10705">
      <c r="A10705" s="84"/>
      <c r="B10705" s="85"/>
      <c r="C10705" s="85"/>
      <c r="F10705" s="92"/>
      <c r="G10705" s="85"/>
    </row>
    <row r="10706">
      <c r="A10706" s="84"/>
      <c r="B10706" s="85"/>
      <c r="C10706" s="85"/>
      <c r="F10706" s="92"/>
      <c r="G10706" s="85"/>
    </row>
    <row r="10707">
      <c r="A10707" s="84"/>
      <c r="B10707" s="85"/>
      <c r="C10707" s="85"/>
      <c r="F10707" s="92"/>
      <c r="G10707" s="85"/>
    </row>
    <row r="10708">
      <c r="A10708" s="84"/>
      <c r="B10708" s="85"/>
      <c r="C10708" s="85"/>
      <c r="F10708" s="92"/>
      <c r="G10708" s="85"/>
    </row>
    <row r="10709">
      <c r="A10709" s="84"/>
      <c r="B10709" s="85"/>
      <c r="C10709" s="85"/>
      <c r="F10709" s="92"/>
      <c r="G10709" s="85"/>
    </row>
    <row r="10710">
      <c r="A10710" s="84"/>
      <c r="B10710" s="85"/>
      <c r="C10710" s="85"/>
      <c r="F10710" s="92"/>
      <c r="G10710" s="85"/>
    </row>
    <row r="10711">
      <c r="A10711" s="84"/>
      <c r="B10711" s="85"/>
      <c r="C10711" s="85"/>
      <c r="F10711" s="92"/>
      <c r="G10711" s="85"/>
    </row>
    <row r="10712">
      <c r="A10712" s="84"/>
      <c r="B10712" s="85"/>
      <c r="C10712" s="85"/>
      <c r="F10712" s="92"/>
      <c r="G10712" s="85"/>
    </row>
    <row r="10713">
      <c r="A10713" s="84"/>
      <c r="B10713" s="85"/>
      <c r="C10713" s="85"/>
      <c r="F10713" s="92"/>
      <c r="G10713" s="85"/>
    </row>
    <row r="10714">
      <c r="A10714" s="84"/>
      <c r="B10714" s="85"/>
      <c r="C10714" s="85"/>
      <c r="F10714" s="92"/>
      <c r="G10714" s="85"/>
    </row>
    <row r="10715">
      <c r="A10715" s="84"/>
      <c r="B10715" s="85"/>
      <c r="C10715" s="85"/>
      <c r="F10715" s="92"/>
      <c r="G10715" s="85"/>
    </row>
    <row r="10716">
      <c r="A10716" s="84"/>
      <c r="B10716" s="85"/>
      <c r="C10716" s="85"/>
      <c r="F10716" s="92"/>
      <c r="G10716" s="85"/>
    </row>
    <row r="10717">
      <c r="A10717" s="84"/>
      <c r="B10717" s="85"/>
      <c r="C10717" s="85"/>
      <c r="F10717" s="92"/>
      <c r="G10717" s="85"/>
    </row>
    <row r="10718">
      <c r="A10718" s="84"/>
      <c r="B10718" s="85"/>
      <c r="C10718" s="85"/>
      <c r="F10718" s="92"/>
      <c r="G10718" s="85"/>
    </row>
    <row r="10719">
      <c r="A10719" s="84"/>
      <c r="B10719" s="85"/>
      <c r="C10719" s="85"/>
      <c r="F10719" s="92"/>
      <c r="G10719" s="85"/>
    </row>
    <row r="10720">
      <c r="A10720" s="84"/>
      <c r="B10720" s="85"/>
      <c r="C10720" s="85"/>
      <c r="F10720" s="92"/>
      <c r="G10720" s="85"/>
    </row>
    <row r="10721">
      <c r="A10721" s="84"/>
      <c r="B10721" s="85"/>
      <c r="C10721" s="85"/>
      <c r="F10721" s="92"/>
      <c r="G10721" s="85"/>
    </row>
    <row r="10722">
      <c r="A10722" s="84"/>
      <c r="B10722" s="85"/>
      <c r="C10722" s="85"/>
      <c r="F10722" s="92"/>
      <c r="G10722" s="85"/>
    </row>
    <row r="10723">
      <c r="A10723" s="84"/>
      <c r="B10723" s="85"/>
      <c r="C10723" s="85"/>
      <c r="F10723" s="92"/>
      <c r="G10723" s="85"/>
    </row>
    <row r="10724">
      <c r="A10724" s="84"/>
      <c r="B10724" s="85"/>
      <c r="C10724" s="85"/>
      <c r="F10724" s="92"/>
      <c r="G10724" s="85"/>
    </row>
    <row r="10725">
      <c r="A10725" s="84"/>
      <c r="B10725" s="85"/>
      <c r="C10725" s="85"/>
      <c r="F10725" s="92"/>
      <c r="G10725" s="85"/>
    </row>
    <row r="10726">
      <c r="A10726" s="84"/>
      <c r="B10726" s="85"/>
      <c r="C10726" s="85"/>
      <c r="F10726" s="92"/>
      <c r="G10726" s="85"/>
    </row>
    <row r="10727">
      <c r="A10727" s="84"/>
      <c r="B10727" s="85"/>
      <c r="C10727" s="85"/>
      <c r="F10727" s="92"/>
      <c r="G10727" s="85"/>
    </row>
    <row r="10728">
      <c r="A10728" s="84"/>
      <c r="B10728" s="85"/>
      <c r="C10728" s="85"/>
      <c r="F10728" s="92"/>
      <c r="G10728" s="85"/>
    </row>
    <row r="10729">
      <c r="A10729" s="84"/>
      <c r="B10729" s="85"/>
      <c r="C10729" s="85"/>
      <c r="F10729" s="92"/>
      <c r="G10729" s="85"/>
    </row>
    <row r="10730">
      <c r="A10730" s="84"/>
      <c r="B10730" s="85"/>
      <c r="C10730" s="85"/>
      <c r="F10730" s="92"/>
      <c r="G10730" s="85"/>
    </row>
    <row r="10731">
      <c r="A10731" s="84"/>
      <c r="B10731" s="85"/>
      <c r="C10731" s="85"/>
      <c r="F10731" s="92"/>
      <c r="G10731" s="85"/>
    </row>
    <row r="10732">
      <c r="A10732" s="84"/>
      <c r="B10732" s="85"/>
      <c r="C10732" s="85"/>
      <c r="F10732" s="92"/>
      <c r="G10732" s="85"/>
    </row>
    <row r="10733">
      <c r="A10733" s="84"/>
      <c r="B10733" s="85"/>
      <c r="C10733" s="85"/>
      <c r="F10733" s="92"/>
      <c r="G10733" s="85"/>
    </row>
    <row r="10734">
      <c r="A10734" s="84"/>
      <c r="B10734" s="85"/>
      <c r="C10734" s="85"/>
      <c r="F10734" s="92"/>
      <c r="G10734" s="85"/>
    </row>
    <row r="10735">
      <c r="A10735" s="84"/>
      <c r="B10735" s="85"/>
      <c r="C10735" s="85"/>
      <c r="F10735" s="92"/>
      <c r="G10735" s="85"/>
    </row>
    <row r="10736">
      <c r="A10736" s="84"/>
      <c r="B10736" s="85"/>
      <c r="C10736" s="85"/>
      <c r="F10736" s="92"/>
      <c r="G10736" s="85"/>
    </row>
    <row r="10737">
      <c r="A10737" s="84"/>
      <c r="B10737" s="85"/>
      <c r="C10737" s="85"/>
      <c r="F10737" s="92"/>
      <c r="G10737" s="85"/>
    </row>
    <row r="10738">
      <c r="A10738" s="84"/>
      <c r="B10738" s="85"/>
      <c r="C10738" s="85"/>
      <c r="F10738" s="92"/>
      <c r="G10738" s="85"/>
    </row>
    <row r="10739">
      <c r="A10739" s="84"/>
      <c r="B10739" s="85"/>
      <c r="C10739" s="85"/>
      <c r="F10739" s="92"/>
      <c r="G10739" s="85"/>
    </row>
    <row r="10740">
      <c r="A10740" s="84"/>
      <c r="B10740" s="85"/>
      <c r="C10740" s="85"/>
      <c r="F10740" s="92"/>
      <c r="G10740" s="85"/>
    </row>
    <row r="10741">
      <c r="A10741" s="84"/>
      <c r="B10741" s="85"/>
      <c r="C10741" s="85"/>
      <c r="F10741" s="92"/>
      <c r="G10741" s="85"/>
    </row>
    <row r="10742">
      <c r="A10742" s="84"/>
      <c r="B10742" s="85"/>
      <c r="C10742" s="85"/>
      <c r="F10742" s="92"/>
      <c r="G10742" s="85"/>
    </row>
    <row r="10743">
      <c r="A10743" s="84"/>
      <c r="B10743" s="85"/>
      <c r="C10743" s="85"/>
      <c r="F10743" s="92"/>
      <c r="G10743" s="85"/>
    </row>
    <row r="10744">
      <c r="A10744" s="84"/>
      <c r="B10744" s="85"/>
      <c r="C10744" s="85"/>
      <c r="F10744" s="92"/>
      <c r="G10744" s="85"/>
    </row>
    <row r="10745">
      <c r="A10745" s="84"/>
      <c r="B10745" s="85"/>
      <c r="C10745" s="85"/>
      <c r="F10745" s="92"/>
      <c r="G10745" s="85"/>
    </row>
    <row r="10746">
      <c r="A10746" s="84"/>
      <c r="B10746" s="85"/>
      <c r="C10746" s="85"/>
      <c r="F10746" s="92"/>
      <c r="G10746" s="85"/>
    </row>
    <row r="10747">
      <c r="A10747" s="84"/>
      <c r="B10747" s="85"/>
      <c r="C10747" s="85"/>
      <c r="F10747" s="92"/>
      <c r="G10747" s="85"/>
    </row>
    <row r="10748">
      <c r="A10748" s="84"/>
      <c r="B10748" s="85"/>
      <c r="C10748" s="85"/>
      <c r="F10748" s="92"/>
      <c r="G10748" s="85"/>
    </row>
    <row r="10749">
      <c r="A10749" s="84"/>
      <c r="B10749" s="85"/>
      <c r="C10749" s="85"/>
      <c r="F10749" s="92"/>
      <c r="G10749" s="85"/>
    </row>
    <row r="10750">
      <c r="A10750" s="84"/>
      <c r="B10750" s="85"/>
      <c r="C10750" s="85"/>
      <c r="F10750" s="92"/>
      <c r="G10750" s="85"/>
    </row>
    <row r="10751">
      <c r="A10751" s="84"/>
      <c r="B10751" s="85"/>
      <c r="C10751" s="85"/>
      <c r="F10751" s="92"/>
      <c r="G10751" s="85"/>
    </row>
    <row r="10752">
      <c r="A10752" s="84"/>
      <c r="B10752" s="85"/>
      <c r="C10752" s="85"/>
      <c r="F10752" s="92"/>
      <c r="G10752" s="85"/>
    </row>
    <row r="10753">
      <c r="A10753" s="84"/>
      <c r="B10753" s="85"/>
      <c r="C10753" s="85"/>
      <c r="F10753" s="92"/>
      <c r="G10753" s="85"/>
    </row>
    <row r="10754">
      <c r="A10754" s="84"/>
      <c r="B10754" s="85"/>
      <c r="C10754" s="85"/>
      <c r="F10754" s="92"/>
      <c r="G10754" s="85"/>
    </row>
    <row r="10755">
      <c r="A10755" s="84"/>
      <c r="B10755" s="85"/>
      <c r="C10755" s="85"/>
      <c r="F10755" s="92"/>
      <c r="G10755" s="85"/>
    </row>
    <row r="10756">
      <c r="A10756" s="84"/>
      <c r="B10756" s="85"/>
      <c r="C10756" s="85"/>
      <c r="F10756" s="92"/>
      <c r="G10756" s="85"/>
    </row>
    <row r="10757">
      <c r="A10757" s="84"/>
      <c r="B10757" s="85"/>
      <c r="C10757" s="85"/>
      <c r="F10757" s="92"/>
      <c r="G10757" s="85"/>
    </row>
    <row r="10758">
      <c r="A10758" s="84"/>
      <c r="B10758" s="85"/>
      <c r="C10758" s="85"/>
      <c r="F10758" s="92"/>
      <c r="G10758" s="85"/>
    </row>
    <row r="10759">
      <c r="A10759" s="84"/>
      <c r="B10759" s="85"/>
      <c r="C10759" s="85"/>
      <c r="F10759" s="92"/>
      <c r="G10759" s="85"/>
    </row>
    <row r="10760">
      <c r="A10760" s="84"/>
      <c r="B10760" s="85"/>
      <c r="C10760" s="85"/>
      <c r="F10760" s="92"/>
      <c r="G10760" s="85"/>
    </row>
    <row r="10761">
      <c r="A10761" s="84"/>
      <c r="B10761" s="85"/>
      <c r="C10761" s="85"/>
      <c r="F10761" s="92"/>
      <c r="G10761" s="85"/>
    </row>
    <row r="10762">
      <c r="A10762" s="84"/>
      <c r="B10762" s="85"/>
      <c r="C10762" s="85"/>
      <c r="F10762" s="92"/>
      <c r="G10762" s="85"/>
    </row>
    <row r="10763">
      <c r="A10763" s="84"/>
      <c r="B10763" s="85"/>
      <c r="C10763" s="85"/>
      <c r="F10763" s="92"/>
      <c r="G10763" s="85"/>
    </row>
    <row r="10764">
      <c r="A10764" s="84"/>
      <c r="B10764" s="85"/>
      <c r="C10764" s="85"/>
      <c r="F10764" s="92"/>
      <c r="G10764" s="85"/>
    </row>
    <row r="10765">
      <c r="A10765" s="84"/>
      <c r="B10765" s="85"/>
      <c r="C10765" s="85"/>
      <c r="F10765" s="92"/>
      <c r="G10765" s="85"/>
    </row>
    <row r="10766">
      <c r="A10766" s="84"/>
      <c r="B10766" s="85"/>
      <c r="C10766" s="85"/>
      <c r="F10766" s="92"/>
      <c r="G10766" s="85"/>
    </row>
    <row r="10767">
      <c r="A10767" s="84"/>
      <c r="B10767" s="85"/>
      <c r="C10767" s="85"/>
      <c r="F10767" s="92"/>
      <c r="G10767" s="85"/>
    </row>
    <row r="10768">
      <c r="A10768" s="84"/>
      <c r="B10768" s="85"/>
      <c r="C10768" s="85"/>
      <c r="F10768" s="92"/>
      <c r="G10768" s="85"/>
    </row>
    <row r="10769">
      <c r="A10769" s="84"/>
      <c r="B10769" s="85"/>
      <c r="C10769" s="85"/>
      <c r="F10769" s="92"/>
      <c r="G10769" s="85"/>
    </row>
    <row r="10770">
      <c r="A10770" s="84"/>
      <c r="B10770" s="85"/>
      <c r="C10770" s="85"/>
      <c r="F10770" s="92"/>
      <c r="G10770" s="85"/>
    </row>
    <row r="10771">
      <c r="A10771" s="84"/>
      <c r="B10771" s="85"/>
      <c r="C10771" s="85"/>
      <c r="F10771" s="92"/>
      <c r="G10771" s="85"/>
    </row>
    <row r="10772">
      <c r="A10772" s="84"/>
      <c r="B10772" s="85"/>
      <c r="C10772" s="85"/>
      <c r="F10772" s="92"/>
      <c r="G10772" s="85"/>
    </row>
    <row r="10773">
      <c r="A10773" s="84"/>
      <c r="B10773" s="85"/>
      <c r="C10773" s="85"/>
      <c r="F10773" s="92"/>
      <c r="G10773" s="85"/>
    </row>
    <row r="10774">
      <c r="A10774" s="84"/>
      <c r="B10774" s="85"/>
      <c r="C10774" s="85"/>
      <c r="F10774" s="92"/>
      <c r="G10774" s="85"/>
    </row>
    <row r="10775">
      <c r="A10775" s="84"/>
      <c r="B10775" s="85"/>
      <c r="C10775" s="85"/>
      <c r="F10775" s="92"/>
      <c r="G10775" s="85"/>
    </row>
    <row r="10776">
      <c r="A10776" s="84"/>
      <c r="B10776" s="85"/>
      <c r="C10776" s="85"/>
      <c r="F10776" s="92"/>
      <c r="G10776" s="85"/>
    </row>
    <row r="10777">
      <c r="A10777" s="84"/>
      <c r="B10777" s="85"/>
      <c r="C10777" s="85"/>
      <c r="F10777" s="92"/>
      <c r="G10777" s="85"/>
    </row>
    <row r="10778">
      <c r="A10778" s="84"/>
      <c r="B10778" s="85"/>
      <c r="C10778" s="85"/>
      <c r="F10778" s="92"/>
      <c r="G10778" s="85"/>
    </row>
    <row r="10779">
      <c r="A10779" s="84"/>
      <c r="B10779" s="85"/>
      <c r="C10779" s="85"/>
      <c r="F10779" s="92"/>
      <c r="G10779" s="85"/>
    </row>
    <row r="10780">
      <c r="A10780" s="84"/>
      <c r="B10780" s="85"/>
      <c r="C10780" s="85"/>
      <c r="F10780" s="92"/>
      <c r="G10780" s="85"/>
    </row>
    <row r="10781">
      <c r="A10781" s="84"/>
      <c r="B10781" s="85"/>
      <c r="C10781" s="85"/>
      <c r="F10781" s="92"/>
      <c r="G10781" s="85"/>
    </row>
    <row r="10782">
      <c r="A10782" s="84"/>
      <c r="B10782" s="85"/>
      <c r="C10782" s="85"/>
      <c r="F10782" s="92"/>
      <c r="G10782" s="85"/>
    </row>
    <row r="10783">
      <c r="A10783" s="84"/>
      <c r="B10783" s="85"/>
      <c r="C10783" s="85"/>
      <c r="F10783" s="92"/>
      <c r="G10783" s="85"/>
    </row>
    <row r="10784">
      <c r="A10784" s="84"/>
      <c r="B10784" s="85"/>
      <c r="C10784" s="85"/>
      <c r="F10784" s="92"/>
      <c r="G10784" s="85"/>
    </row>
    <row r="10785">
      <c r="A10785" s="84"/>
      <c r="B10785" s="85"/>
      <c r="C10785" s="85"/>
      <c r="F10785" s="92"/>
      <c r="G10785" s="85"/>
    </row>
    <row r="10786">
      <c r="A10786" s="84"/>
      <c r="B10786" s="85"/>
      <c r="C10786" s="85"/>
      <c r="F10786" s="92"/>
      <c r="G10786" s="85"/>
    </row>
    <row r="10787">
      <c r="A10787" s="84"/>
      <c r="B10787" s="85"/>
      <c r="C10787" s="85"/>
      <c r="F10787" s="92"/>
      <c r="G10787" s="85"/>
    </row>
    <row r="10788">
      <c r="A10788" s="84"/>
      <c r="B10788" s="85"/>
      <c r="C10788" s="85"/>
      <c r="F10788" s="92"/>
      <c r="G10788" s="85"/>
    </row>
    <row r="10789">
      <c r="A10789" s="84"/>
      <c r="B10789" s="85"/>
      <c r="C10789" s="85"/>
      <c r="F10789" s="92"/>
      <c r="G10789" s="85"/>
    </row>
    <row r="10790">
      <c r="A10790" s="84"/>
      <c r="B10790" s="85"/>
      <c r="C10790" s="85"/>
      <c r="F10790" s="92"/>
      <c r="G10790" s="85"/>
    </row>
    <row r="10791">
      <c r="A10791" s="84"/>
      <c r="B10791" s="85"/>
      <c r="C10791" s="85"/>
      <c r="F10791" s="92"/>
      <c r="G10791" s="85"/>
    </row>
    <row r="10792">
      <c r="A10792" s="84"/>
      <c r="B10792" s="85"/>
      <c r="C10792" s="85"/>
      <c r="F10792" s="92"/>
      <c r="G10792" s="85"/>
    </row>
    <row r="10793">
      <c r="A10793" s="84"/>
      <c r="B10793" s="85"/>
      <c r="C10793" s="85"/>
      <c r="F10793" s="92"/>
      <c r="G10793" s="85"/>
    </row>
    <row r="10794">
      <c r="A10794" s="84"/>
      <c r="B10794" s="85"/>
      <c r="C10794" s="85"/>
      <c r="F10794" s="92"/>
      <c r="G10794" s="85"/>
    </row>
    <row r="10795">
      <c r="A10795" s="84"/>
      <c r="B10795" s="85"/>
      <c r="C10795" s="85"/>
      <c r="F10795" s="92"/>
      <c r="G10795" s="85"/>
    </row>
    <row r="10796">
      <c r="A10796" s="84"/>
      <c r="B10796" s="85"/>
      <c r="C10796" s="85"/>
      <c r="F10796" s="92"/>
      <c r="G10796" s="85"/>
    </row>
    <row r="10797">
      <c r="A10797" s="84"/>
      <c r="B10797" s="85"/>
      <c r="C10797" s="85"/>
      <c r="F10797" s="92"/>
      <c r="G10797" s="85"/>
    </row>
    <row r="10798">
      <c r="A10798" s="84"/>
      <c r="B10798" s="85"/>
      <c r="C10798" s="85"/>
      <c r="F10798" s="92"/>
      <c r="G10798" s="85"/>
    </row>
    <row r="10799">
      <c r="A10799" s="84"/>
      <c r="B10799" s="85"/>
      <c r="C10799" s="85"/>
      <c r="F10799" s="92"/>
      <c r="G10799" s="85"/>
    </row>
    <row r="10800">
      <c r="A10800" s="84"/>
      <c r="B10800" s="85"/>
      <c r="C10800" s="85"/>
      <c r="F10800" s="92"/>
      <c r="G10800" s="85"/>
    </row>
    <row r="10801">
      <c r="A10801" s="84"/>
      <c r="B10801" s="85"/>
      <c r="C10801" s="85"/>
      <c r="F10801" s="92"/>
      <c r="G10801" s="85"/>
    </row>
    <row r="10802">
      <c r="A10802" s="84"/>
      <c r="B10802" s="85"/>
      <c r="C10802" s="85"/>
      <c r="F10802" s="92"/>
      <c r="G10802" s="85"/>
    </row>
    <row r="10803">
      <c r="A10803" s="84"/>
      <c r="B10803" s="85"/>
      <c r="C10803" s="85"/>
      <c r="F10803" s="92"/>
      <c r="G10803" s="85"/>
    </row>
    <row r="10804">
      <c r="A10804" s="84"/>
      <c r="B10804" s="85"/>
      <c r="C10804" s="85"/>
      <c r="F10804" s="92"/>
      <c r="G10804" s="85"/>
    </row>
    <row r="10805">
      <c r="A10805" s="84"/>
      <c r="B10805" s="85"/>
      <c r="C10805" s="85"/>
      <c r="F10805" s="92"/>
      <c r="G10805" s="85"/>
    </row>
    <row r="10806">
      <c r="A10806" s="84"/>
      <c r="B10806" s="85"/>
      <c r="C10806" s="85"/>
      <c r="F10806" s="92"/>
      <c r="G10806" s="85"/>
    </row>
    <row r="10807">
      <c r="A10807" s="84"/>
      <c r="B10807" s="85"/>
      <c r="C10807" s="85"/>
      <c r="F10807" s="92"/>
      <c r="G10807" s="85"/>
    </row>
    <row r="10808">
      <c r="A10808" s="84"/>
      <c r="B10808" s="85"/>
      <c r="C10808" s="85"/>
      <c r="F10808" s="92"/>
      <c r="G10808" s="85"/>
    </row>
    <row r="10809">
      <c r="A10809" s="84"/>
      <c r="B10809" s="85"/>
      <c r="C10809" s="85"/>
      <c r="F10809" s="92"/>
      <c r="G10809" s="85"/>
    </row>
    <row r="10810">
      <c r="A10810" s="84"/>
      <c r="B10810" s="85"/>
      <c r="C10810" s="85"/>
      <c r="F10810" s="92"/>
      <c r="G10810" s="85"/>
    </row>
    <row r="10811">
      <c r="A10811" s="84"/>
      <c r="B10811" s="85"/>
      <c r="C10811" s="85"/>
      <c r="F10811" s="92"/>
      <c r="G10811" s="85"/>
    </row>
    <row r="10812">
      <c r="A10812" s="84"/>
      <c r="B10812" s="85"/>
      <c r="C10812" s="85"/>
      <c r="F10812" s="92"/>
      <c r="G10812" s="85"/>
    </row>
    <row r="10813">
      <c r="A10813" s="84"/>
      <c r="B10813" s="85"/>
      <c r="C10813" s="85"/>
      <c r="F10813" s="92"/>
      <c r="G10813" s="85"/>
    </row>
    <row r="10814">
      <c r="A10814" s="84"/>
      <c r="B10814" s="85"/>
      <c r="C10814" s="85"/>
      <c r="F10814" s="92"/>
      <c r="G10814" s="85"/>
    </row>
    <row r="10815">
      <c r="A10815" s="84"/>
      <c r="B10815" s="85"/>
      <c r="C10815" s="85"/>
      <c r="F10815" s="92"/>
      <c r="G10815" s="85"/>
    </row>
    <row r="10816">
      <c r="A10816" s="84"/>
      <c r="B10816" s="85"/>
      <c r="C10816" s="85"/>
      <c r="F10816" s="92"/>
      <c r="G10816" s="85"/>
    </row>
    <row r="10817">
      <c r="A10817" s="84"/>
      <c r="B10817" s="85"/>
      <c r="C10817" s="85"/>
      <c r="F10817" s="92"/>
      <c r="G10817" s="85"/>
    </row>
    <row r="10818">
      <c r="A10818" s="84"/>
      <c r="B10818" s="85"/>
      <c r="C10818" s="85"/>
      <c r="F10818" s="92"/>
      <c r="G10818" s="85"/>
    </row>
    <row r="10819">
      <c r="A10819" s="84"/>
      <c r="B10819" s="85"/>
      <c r="C10819" s="85"/>
      <c r="F10819" s="92"/>
      <c r="G10819" s="85"/>
    </row>
    <row r="10820">
      <c r="A10820" s="84"/>
      <c r="B10820" s="85"/>
      <c r="C10820" s="85"/>
      <c r="F10820" s="92"/>
      <c r="G10820" s="85"/>
    </row>
    <row r="10821">
      <c r="A10821" s="84"/>
      <c r="B10821" s="85"/>
      <c r="C10821" s="85"/>
      <c r="F10821" s="92"/>
      <c r="G10821" s="85"/>
    </row>
    <row r="10822">
      <c r="A10822" s="84"/>
      <c r="B10822" s="85"/>
      <c r="C10822" s="85"/>
      <c r="F10822" s="92"/>
      <c r="G10822" s="85"/>
    </row>
    <row r="10823">
      <c r="A10823" s="84"/>
      <c r="B10823" s="85"/>
      <c r="C10823" s="85"/>
      <c r="F10823" s="92"/>
      <c r="G10823" s="85"/>
    </row>
    <row r="10824">
      <c r="A10824" s="84"/>
      <c r="B10824" s="85"/>
      <c r="C10824" s="85"/>
      <c r="F10824" s="92"/>
      <c r="G10824" s="85"/>
    </row>
    <row r="10825">
      <c r="A10825" s="84"/>
      <c r="B10825" s="85"/>
      <c r="C10825" s="85"/>
      <c r="F10825" s="92"/>
      <c r="G10825" s="85"/>
    </row>
    <row r="10826">
      <c r="A10826" s="84"/>
      <c r="B10826" s="85"/>
      <c r="C10826" s="85"/>
      <c r="F10826" s="92"/>
      <c r="G10826" s="85"/>
    </row>
    <row r="10827">
      <c r="A10827" s="84"/>
      <c r="B10827" s="85"/>
      <c r="C10827" s="85"/>
      <c r="F10827" s="92"/>
      <c r="G10827" s="85"/>
    </row>
    <row r="10828">
      <c r="A10828" s="84"/>
      <c r="B10828" s="85"/>
      <c r="C10828" s="85"/>
      <c r="F10828" s="92"/>
      <c r="G10828" s="85"/>
    </row>
    <row r="10829">
      <c r="A10829" s="84"/>
      <c r="B10829" s="85"/>
      <c r="C10829" s="85"/>
      <c r="F10829" s="92"/>
      <c r="G10829" s="85"/>
    </row>
    <row r="10830">
      <c r="A10830" s="84"/>
      <c r="B10830" s="85"/>
      <c r="C10830" s="85"/>
      <c r="F10830" s="92"/>
      <c r="G10830" s="85"/>
    </row>
    <row r="10831">
      <c r="A10831" s="84"/>
      <c r="B10831" s="85"/>
      <c r="C10831" s="85"/>
      <c r="F10831" s="92"/>
      <c r="G10831" s="85"/>
    </row>
    <row r="10832">
      <c r="A10832" s="84"/>
      <c r="B10832" s="85"/>
      <c r="C10832" s="85"/>
      <c r="F10832" s="92"/>
      <c r="G10832" s="85"/>
    </row>
    <row r="10833">
      <c r="A10833" s="84"/>
      <c r="B10833" s="85"/>
      <c r="C10833" s="85"/>
      <c r="F10833" s="92"/>
      <c r="G10833" s="85"/>
    </row>
    <row r="10834">
      <c r="A10834" s="84"/>
      <c r="B10834" s="85"/>
      <c r="C10834" s="85"/>
      <c r="F10834" s="92"/>
      <c r="G10834" s="85"/>
    </row>
    <row r="10835">
      <c r="A10835" s="84"/>
      <c r="B10835" s="85"/>
      <c r="C10835" s="85"/>
      <c r="F10835" s="92"/>
      <c r="G10835" s="85"/>
    </row>
    <row r="10836">
      <c r="A10836" s="84"/>
      <c r="B10836" s="85"/>
      <c r="C10836" s="85"/>
      <c r="F10836" s="92"/>
      <c r="G10836" s="85"/>
    </row>
    <row r="10837">
      <c r="A10837" s="84"/>
      <c r="B10837" s="85"/>
      <c r="C10837" s="85"/>
      <c r="F10837" s="92"/>
      <c r="G10837" s="85"/>
    </row>
    <row r="10838">
      <c r="A10838" s="84"/>
      <c r="B10838" s="85"/>
      <c r="C10838" s="85"/>
      <c r="F10838" s="92"/>
      <c r="G10838" s="85"/>
    </row>
    <row r="10839">
      <c r="A10839" s="84"/>
      <c r="B10839" s="85"/>
      <c r="C10839" s="85"/>
      <c r="F10839" s="92"/>
      <c r="G10839" s="85"/>
    </row>
    <row r="10840">
      <c r="A10840" s="84"/>
      <c r="B10840" s="85"/>
      <c r="C10840" s="85"/>
      <c r="F10840" s="92"/>
      <c r="G10840" s="85"/>
    </row>
    <row r="10841">
      <c r="A10841" s="84"/>
      <c r="B10841" s="85"/>
      <c r="C10841" s="85"/>
      <c r="F10841" s="92"/>
      <c r="G10841" s="85"/>
    </row>
    <row r="10842">
      <c r="A10842" s="84"/>
      <c r="B10842" s="85"/>
      <c r="C10842" s="85"/>
      <c r="F10842" s="92"/>
      <c r="G10842" s="85"/>
    </row>
    <row r="10843">
      <c r="A10843" s="84"/>
      <c r="B10843" s="85"/>
      <c r="C10843" s="85"/>
      <c r="F10843" s="92"/>
      <c r="G10843" s="85"/>
    </row>
    <row r="10844">
      <c r="A10844" s="84"/>
      <c r="B10844" s="85"/>
      <c r="C10844" s="85"/>
      <c r="F10844" s="92"/>
      <c r="G10844" s="85"/>
    </row>
    <row r="10845">
      <c r="A10845" s="84"/>
      <c r="B10845" s="85"/>
      <c r="C10845" s="85"/>
      <c r="F10845" s="92"/>
      <c r="G10845" s="85"/>
    </row>
    <row r="10846">
      <c r="A10846" s="84"/>
      <c r="B10846" s="85"/>
      <c r="C10846" s="85"/>
      <c r="F10846" s="92"/>
      <c r="G10846" s="85"/>
    </row>
    <row r="10847">
      <c r="A10847" s="84"/>
      <c r="B10847" s="85"/>
      <c r="C10847" s="85"/>
      <c r="F10847" s="92"/>
      <c r="G10847" s="85"/>
    </row>
    <row r="10848">
      <c r="A10848" s="84"/>
      <c r="B10848" s="85"/>
      <c r="C10848" s="85"/>
      <c r="F10848" s="92"/>
      <c r="G10848" s="85"/>
    </row>
    <row r="10849">
      <c r="A10849" s="84"/>
      <c r="B10849" s="85"/>
      <c r="C10849" s="85"/>
      <c r="F10849" s="92"/>
      <c r="G10849" s="85"/>
    </row>
    <row r="10850">
      <c r="A10850" s="84"/>
      <c r="B10850" s="85"/>
      <c r="C10850" s="85"/>
      <c r="F10850" s="92"/>
      <c r="G10850" s="85"/>
    </row>
    <row r="10851">
      <c r="A10851" s="84"/>
      <c r="B10851" s="85"/>
      <c r="C10851" s="85"/>
      <c r="F10851" s="92"/>
      <c r="G10851" s="85"/>
    </row>
    <row r="10852">
      <c r="A10852" s="84"/>
      <c r="B10852" s="85"/>
      <c r="C10852" s="85"/>
      <c r="F10852" s="92"/>
      <c r="G10852" s="85"/>
    </row>
    <row r="10853">
      <c r="A10853" s="84"/>
      <c r="B10853" s="85"/>
      <c r="C10853" s="85"/>
      <c r="F10853" s="92"/>
      <c r="G10853" s="85"/>
    </row>
    <row r="10854">
      <c r="A10854" s="84"/>
      <c r="B10854" s="85"/>
      <c r="C10854" s="85"/>
      <c r="F10854" s="92"/>
      <c r="G10854" s="85"/>
    </row>
    <row r="10855">
      <c r="A10855" s="84"/>
      <c r="B10855" s="85"/>
      <c r="C10855" s="85"/>
      <c r="F10855" s="92"/>
      <c r="G10855" s="85"/>
    </row>
    <row r="10856">
      <c r="A10856" s="84"/>
      <c r="B10856" s="85"/>
      <c r="C10856" s="85"/>
      <c r="F10856" s="92"/>
      <c r="G10856" s="85"/>
    </row>
    <row r="10857">
      <c r="A10857" s="84"/>
      <c r="B10857" s="85"/>
      <c r="C10857" s="85"/>
      <c r="F10857" s="92"/>
      <c r="G10857" s="85"/>
    </row>
    <row r="10858">
      <c r="A10858" s="84"/>
      <c r="B10858" s="85"/>
      <c r="C10858" s="85"/>
      <c r="F10858" s="92"/>
      <c r="G10858" s="85"/>
    </row>
    <row r="10859">
      <c r="A10859" s="84"/>
      <c r="B10859" s="85"/>
      <c r="C10859" s="85"/>
      <c r="F10859" s="92"/>
      <c r="G10859" s="85"/>
    </row>
    <row r="10860">
      <c r="A10860" s="84"/>
      <c r="B10860" s="85"/>
      <c r="C10860" s="85"/>
      <c r="F10860" s="92"/>
      <c r="G10860" s="85"/>
    </row>
    <row r="10861">
      <c r="A10861" s="84"/>
      <c r="B10861" s="85"/>
      <c r="C10861" s="85"/>
      <c r="F10861" s="92"/>
      <c r="G10861" s="85"/>
    </row>
    <row r="10862">
      <c r="A10862" s="84"/>
      <c r="B10862" s="85"/>
      <c r="C10862" s="85"/>
      <c r="F10862" s="92"/>
      <c r="G10862" s="85"/>
    </row>
    <row r="10863">
      <c r="A10863" s="84"/>
      <c r="B10863" s="85"/>
      <c r="C10863" s="85"/>
      <c r="F10863" s="92"/>
      <c r="G10863" s="85"/>
    </row>
    <row r="10864">
      <c r="A10864" s="84"/>
      <c r="B10864" s="85"/>
      <c r="C10864" s="85"/>
      <c r="F10864" s="92"/>
      <c r="G10864" s="85"/>
    </row>
    <row r="10865">
      <c r="A10865" s="84"/>
      <c r="B10865" s="85"/>
      <c r="C10865" s="85"/>
      <c r="F10865" s="92"/>
      <c r="G10865" s="85"/>
    </row>
    <row r="10866">
      <c r="A10866" s="84"/>
      <c r="B10866" s="85"/>
      <c r="C10866" s="85"/>
      <c r="F10866" s="92"/>
      <c r="G10866" s="85"/>
    </row>
    <row r="10867">
      <c r="A10867" s="84"/>
      <c r="B10867" s="85"/>
      <c r="C10867" s="85"/>
      <c r="F10867" s="92"/>
      <c r="G10867" s="85"/>
    </row>
    <row r="10868">
      <c r="A10868" s="84"/>
      <c r="B10868" s="85"/>
      <c r="C10868" s="85"/>
      <c r="F10868" s="92"/>
      <c r="G10868" s="85"/>
    </row>
    <row r="10869">
      <c r="A10869" s="84"/>
      <c r="B10869" s="85"/>
      <c r="C10869" s="85"/>
      <c r="F10869" s="92"/>
      <c r="G10869" s="85"/>
    </row>
    <row r="10870">
      <c r="A10870" s="84"/>
      <c r="B10870" s="85"/>
      <c r="C10870" s="85"/>
      <c r="F10870" s="92"/>
      <c r="G10870" s="85"/>
    </row>
    <row r="10871">
      <c r="A10871" s="84"/>
      <c r="B10871" s="85"/>
      <c r="C10871" s="85"/>
      <c r="F10871" s="92"/>
      <c r="G10871" s="85"/>
    </row>
    <row r="10872">
      <c r="A10872" s="84"/>
      <c r="B10872" s="85"/>
      <c r="C10872" s="85"/>
      <c r="F10872" s="92"/>
      <c r="G10872" s="85"/>
    </row>
    <row r="10873">
      <c r="A10873" s="84"/>
      <c r="B10873" s="85"/>
      <c r="C10873" s="85"/>
      <c r="F10873" s="92"/>
      <c r="G10873" s="85"/>
    </row>
    <row r="10874">
      <c r="A10874" s="84"/>
      <c r="B10874" s="85"/>
      <c r="C10874" s="85"/>
      <c r="F10874" s="92"/>
      <c r="G10874" s="85"/>
    </row>
    <row r="10875">
      <c r="A10875" s="84"/>
      <c r="B10875" s="85"/>
      <c r="C10875" s="85"/>
      <c r="F10875" s="92"/>
      <c r="G10875" s="85"/>
    </row>
    <row r="10876">
      <c r="A10876" s="84"/>
      <c r="B10876" s="85"/>
      <c r="C10876" s="85"/>
      <c r="F10876" s="92"/>
      <c r="G10876" s="85"/>
    </row>
    <row r="10877">
      <c r="A10877" s="84"/>
      <c r="B10877" s="85"/>
      <c r="C10877" s="85"/>
      <c r="F10877" s="92"/>
      <c r="G10877" s="85"/>
    </row>
    <row r="10878">
      <c r="A10878" s="84"/>
      <c r="B10878" s="85"/>
      <c r="C10878" s="85"/>
      <c r="F10878" s="92"/>
      <c r="G10878" s="85"/>
    </row>
    <row r="10879">
      <c r="A10879" s="84"/>
      <c r="B10879" s="85"/>
      <c r="C10879" s="85"/>
      <c r="F10879" s="92"/>
      <c r="G10879" s="85"/>
    </row>
    <row r="10880">
      <c r="A10880" s="84"/>
      <c r="B10880" s="85"/>
      <c r="C10880" s="85"/>
      <c r="F10880" s="92"/>
      <c r="G10880" s="85"/>
    </row>
    <row r="10881">
      <c r="A10881" s="84"/>
      <c r="B10881" s="85"/>
      <c r="C10881" s="85"/>
      <c r="F10881" s="92"/>
      <c r="G10881" s="85"/>
    </row>
    <row r="10882">
      <c r="A10882" s="84"/>
      <c r="B10882" s="85"/>
      <c r="C10882" s="85"/>
      <c r="F10882" s="92"/>
      <c r="G10882" s="85"/>
    </row>
    <row r="10883">
      <c r="A10883" s="84"/>
      <c r="B10883" s="85"/>
      <c r="C10883" s="85"/>
      <c r="F10883" s="92"/>
      <c r="G10883" s="85"/>
    </row>
    <row r="10884">
      <c r="A10884" s="84"/>
      <c r="B10884" s="85"/>
      <c r="C10884" s="85"/>
      <c r="F10884" s="92"/>
      <c r="G10884" s="85"/>
    </row>
    <row r="10885">
      <c r="A10885" s="84"/>
      <c r="B10885" s="85"/>
      <c r="C10885" s="85"/>
      <c r="F10885" s="92"/>
      <c r="G10885" s="85"/>
    </row>
    <row r="10886">
      <c r="A10886" s="84"/>
      <c r="B10886" s="85"/>
      <c r="C10886" s="85"/>
      <c r="F10886" s="92"/>
      <c r="G10886" s="85"/>
    </row>
    <row r="10887">
      <c r="A10887" s="84"/>
      <c r="B10887" s="85"/>
      <c r="C10887" s="85"/>
      <c r="F10887" s="92"/>
      <c r="G10887" s="85"/>
    </row>
    <row r="10888">
      <c r="A10888" s="84"/>
      <c r="B10888" s="85"/>
      <c r="C10888" s="85"/>
      <c r="F10888" s="92"/>
      <c r="G10888" s="85"/>
    </row>
    <row r="10889">
      <c r="A10889" s="84"/>
      <c r="B10889" s="85"/>
      <c r="C10889" s="85"/>
      <c r="F10889" s="92"/>
      <c r="G10889" s="85"/>
    </row>
    <row r="10890">
      <c r="A10890" s="84"/>
      <c r="B10890" s="85"/>
      <c r="C10890" s="85"/>
      <c r="F10890" s="92"/>
      <c r="G10890" s="85"/>
    </row>
    <row r="10891">
      <c r="A10891" s="84"/>
      <c r="B10891" s="85"/>
      <c r="C10891" s="85"/>
      <c r="F10891" s="92"/>
      <c r="G10891" s="85"/>
    </row>
    <row r="10892">
      <c r="A10892" s="84"/>
      <c r="B10892" s="85"/>
      <c r="C10892" s="85"/>
      <c r="F10892" s="92"/>
      <c r="G10892" s="85"/>
    </row>
    <row r="10893">
      <c r="A10893" s="84"/>
      <c r="B10893" s="85"/>
      <c r="C10893" s="85"/>
      <c r="F10893" s="92"/>
      <c r="G10893" s="85"/>
    </row>
    <row r="10894">
      <c r="A10894" s="84"/>
      <c r="B10894" s="85"/>
      <c r="C10894" s="85"/>
      <c r="F10894" s="92"/>
      <c r="G10894" s="85"/>
    </row>
    <row r="10895">
      <c r="A10895" s="84"/>
      <c r="B10895" s="85"/>
      <c r="C10895" s="85"/>
      <c r="F10895" s="92"/>
      <c r="G10895" s="85"/>
    </row>
    <row r="10896">
      <c r="A10896" s="84"/>
      <c r="B10896" s="85"/>
      <c r="C10896" s="85"/>
      <c r="F10896" s="92"/>
      <c r="G10896" s="85"/>
    </row>
    <row r="10897">
      <c r="A10897" s="84"/>
      <c r="B10897" s="85"/>
      <c r="C10897" s="85"/>
      <c r="F10897" s="92"/>
      <c r="G10897" s="85"/>
    </row>
    <row r="10898">
      <c r="A10898" s="84"/>
      <c r="B10898" s="85"/>
      <c r="C10898" s="85"/>
      <c r="F10898" s="92"/>
      <c r="G10898" s="85"/>
    </row>
    <row r="10899">
      <c r="A10899" s="84"/>
      <c r="B10899" s="85"/>
      <c r="C10899" s="85"/>
      <c r="F10899" s="92"/>
      <c r="G10899" s="85"/>
    </row>
    <row r="10900">
      <c r="A10900" s="84"/>
      <c r="B10900" s="85"/>
      <c r="C10900" s="85"/>
      <c r="F10900" s="92"/>
      <c r="G10900" s="85"/>
    </row>
    <row r="10901">
      <c r="A10901" s="84"/>
      <c r="B10901" s="85"/>
      <c r="C10901" s="85"/>
      <c r="F10901" s="92"/>
      <c r="G10901" s="85"/>
    </row>
    <row r="10902">
      <c r="A10902" s="84"/>
      <c r="B10902" s="85"/>
      <c r="C10902" s="85"/>
      <c r="F10902" s="92"/>
      <c r="G10902" s="85"/>
    </row>
    <row r="10903">
      <c r="A10903" s="84"/>
      <c r="B10903" s="85"/>
      <c r="C10903" s="85"/>
      <c r="F10903" s="92"/>
      <c r="G10903" s="85"/>
    </row>
    <row r="10904">
      <c r="A10904" s="84"/>
      <c r="B10904" s="85"/>
      <c r="C10904" s="85"/>
      <c r="F10904" s="92"/>
      <c r="G10904" s="85"/>
    </row>
    <row r="10905">
      <c r="A10905" s="84"/>
      <c r="B10905" s="85"/>
      <c r="C10905" s="85"/>
      <c r="F10905" s="92"/>
      <c r="G10905" s="85"/>
    </row>
    <row r="10906">
      <c r="A10906" s="84"/>
      <c r="B10906" s="85"/>
      <c r="C10906" s="85"/>
      <c r="F10906" s="92"/>
      <c r="G10906" s="85"/>
    </row>
    <row r="10907">
      <c r="A10907" s="84"/>
      <c r="B10907" s="85"/>
      <c r="C10907" s="85"/>
      <c r="F10907" s="92"/>
      <c r="G10907" s="85"/>
    </row>
    <row r="10908">
      <c r="A10908" s="84"/>
      <c r="B10908" s="85"/>
      <c r="C10908" s="85"/>
      <c r="F10908" s="92"/>
      <c r="G10908" s="85"/>
    </row>
    <row r="10909">
      <c r="A10909" s="84"/>
      <c r="B10909" s="85"/>
      <c r="C10909" s="85"/>
      <c r="F10909" s="92"/>
      <c r="G10909" s="85"/>
    </row>
    <row r="10910">
      <c r="A10910" s="84"/>
      <c r="B10910" s="85"/>
      <c r="C10910" s="85"/>
      <c r="F10910" s="92"/>
      <c r="G10910" s="85"/>
    </row>
    <row r="10911">
      <c r="A10911" s="84"/>
      <c r="B10911" s="85"/>
      <c r="C10911" s="85"/>
      <c r="F10911" s="92"/>
      <c r="G10911" s="85"/>
    </row>
    <row r="10912">
      <c r="A10912" s="84"/>
      <c r="B10912" s="85"/>
      <c r="C10912" s="85"/>
      <c r="F10912" s="92"/>
      <c r="G10912" s="85"/>
    </row>
    <row r="10913">
      <c r="A10913" s="84"/>
      <c r="B10913" s="85"/>
      <c r="C10913" s="85"/>
      <c r="F10913" s="92"/>
      <c r="G10913" s="85"/>
    </row>
    <row r="10914">
      <c r="A10914" s="84"/>
      <c r="B10914" s="85"/>
      <c r="C10914" s="85"/>
      <c r="F10914" s="92"/>
      <c r="G10914" s="85"/>
    </row>
    <row r="10915">
      <c r="A10915" s="84"/>
      <c r="B10915" s="85"/>
      <c r="C10915" s="85"/>
      <c r="F10915" s="92"/>
      <c r="G10915" s="85"/>
    </row>
    <row r="10916">
      <c r="A10916" s="84"/>
      <c r="B10916" s="85"/>
      <c r="C10916" s="85"/>
      <c r="F10916" s="92"/>
      <c r="G10916" s="85"/>
    </row>
    <row r="10917">
      <c r="A10917" s="84"/>
      <c r="B10917" s="85"/>
      <c r="C10917" s="85"/>
      <c r="F10917" s="92"/>
      <c r="G10917" s="85"/>
    </row>
    <row r="10918">
      <c r="A10918" s="84"/>
      <c r="B10918" s="85"/>
      <c r="C10918" s="85"/>
      <c r="F10918" s="92"/>
      <c r="G10918" s="85"/>
    </row>
    <row r="10919">
      <c r="A10919" s="84"/>
      <c r="B10919" s="85"/>
      <c r="C10919" s="85"/>
      <c r="F10919" s="92"/>
      <c r="G10919" s="85"/>
    </row>
    <row r="10920">
      <c r="A10920" s="84"/>
      <c r="B10920" s="85"/>
      <c r="C10920" s="85"/>
      <c r="F10920" s="92"/>
      <c r="G10920" s="85"/>
    </row>
    <row r="10921">
      <c r="A10921" s="84"/>
      <c r="B10921" s="85"/>
      <c r="C10921" s="85"/>
      <c r="F10921" s="92"/>
      <c r="G10921" s="85"/>
    </row>
    <row r="10922">
      <c r="A10922" s="84"/>
      <c r="B10922" s="85"/>
      <c r="C10922" s="85"/>
      <c r="F10922" s="92"/>
      <c r="G10922" s="85"/>
    </row>
    <row r="10923">
      <c r="A10923" s="84"/>
      <c r="B10923" s="85"/>
      <c r="C10923" s="85"/>
      <c r="F10923" s="92"/>
      <c r="G10923" s="85"/>
    </row>
    <row r="10924">
      <c r="A10924" s="84"/>
      <c r="B10924" s="85"/>
      <c r="C10924" s="85"/>
      <c r="F10924" s="92"/>
      <c r="G10924" s="85"/>
    </row>
    <row r="10925">
      <c r="A10925" s="84"/>
      <c r="B10925" s="85"/>
      <c r="C10925" s="85"/>
      <c r="F10925" s="92"/>
      <c r="G10925" s="85"/>
    </row>
    <row r="10926">
      <c r="A10926" s="84"/>
      <c r="B10926" s="85"/>
      <c r="C10926" s="85"/>
      <c r="F10926" s="92"/>
      <c r="G10926" s="85"/>
    </row>
    <row r="10927">
      <c r="A10927" s="84"/>
      <c r="B10927" s="85"/>
      <c r="C10927" s="85"/>
      <c r="F10927" s="92"/>
      <c r="G10927" s="85"/>
    </row>
    <row r="10928">
      <c r="A10928" s="84"/>
      <c r="B10928" s="85"/>
      <c r="C10928" s="85"/>
      <c r="F10928" s="92"/>
      <c r="G10928" s="85"/>
    </row>
    <row r="10929">
      <c r="A10929" s="84"/>
      <c r="B10929" s="85"/>
      <c r="C10929" s="85"/>
      <c r="F10929" s="92"/>
      <c r="G10929" s="85"/>
    </row>
    <row r="10930">
      <c r="A10930" s="84"/>
      <c r="B10930" s="85"/>
      <c r="C10930" s="85"/>
      <c r="F10930" s="92"/>
      <c r="G10930" s="85"/>
    </row>
    <row r="10931">
      <c r="A10931" s="84"/>
      <c r="B10931" s="85"/>
      <c r="C10931" s="85"/>
      <c r="F10931" s="92"/>
      <c r="G10931" s="85"/>
    </row>
    <row r="10932">
      <c r="A10932" s="84"/>
      <c r="B10932" s="85"/>
      <c r="C10932" s="85"/>
      <c r="F10932" s="92"/>
      <c r="G10932" s="85"/>
    </row>
    <row r="10933">
      <c r="A10933" s="84"/>
      <c r="B10933" s="85"/>
      <c r="C10933" s="85"/>
      <c r="F10933" s="92"/>
      <c r="G10933" s="85"/>
    </row>
    <row r="10934">
      <c r="A10934" s="84"/>
      <c r="B10934" s="85"/>
      <c r="C10934" s="85"/>
      <c r="F10934" s="92"/>
      <c r="G10934" s="85"/>
    </row>
    <row r="10935">
      <c r="A10935" s="84"/>
      <c r="B10935" s="85"/>
      <c r="C10935" s="85"/>
      <c r="F10935" s="92"/>
      <c r="G10935" s="85"/>
    </row>
    <row r="10936">
      <c r="A10936" s="84"/>
      <c r="B10936" s="85"/>
      <c r="C10936" s="85"/>
      <c r="F10936" s="92"/>
      <c r="G10936" s="85"/>
    </row>
    <row r="10937">
      <c r="A10937" s="84"/>
      <c r="B10937" s="85"/>
      <c r="C10937" s="85"/>
      <c r="F10937" s="92"/>
      <c r="G10937" s="85"/>
    </row>
    <row r="10938">
      <c r="A10938" s="84"/>
      <c r="B10938" s="85"/>
      <c r="C10938" s="85"/>
      <c r="F10938" s="92"/>
      <c r="G10938" s="85"/>
    </row>
    <row r="10939">
      <c r="A10939" s="84"/>
      <c r="B10939" s="85"/>
      <c r="C10939" s="85"/>
      <c r="F10939" s="92"/>
      <c r="G10939" s="85"/>
    </row>
    <row r="10940">
      <c r="A10940" s="84"/>
      <c r="B10940" s="85"/>
      <c r="C10940" s="85"/>
      <c r="F10940" s="92"/>
      <c r="G10940" s="85"/>
    </row>
    <row r="10941">
      <c r="A10941" s="84"/>
      <c r="B10941" s="85"/>
      <c r="C10941" s="85"/>
      <c r="F10941" s="92"/>
      <c r="G10941" s="85"/>
    </row>
    <row r="10942">
      <c r="A10942" s="84"/>
      <c r="B10942" s="85"/>
      <c r="C10942" s="85"/>
      <c r="F10942" s="92"/>
      <c r="G10942" s="85"/>
    </row>
    <row r="10943">
      <c r="A10943" s="84"/>
      <c r="B10943" s="85"/>
      <c r="C10943" s="85"/>
      <c r="F10943" s="92"/>
      <c r="G10943" s="85"/>
    </row>
    <row r="10944">
      <c r="A10944" s="84"/>
      <c r="B10944" s="85"/>
      <c r="C10944" s="85"/>
      <c r="F10944" s="92"/>
      <c r="G10944" s="85"/>
    </row>
    <row r="10945">
      <c r="A10945" s="84"/>
      <c r="B10945" s="85"/>
      <c r="C10945" s="85"/>
      <c r="F10945" s="92"/>
      <c r="G10945" s="85"/>
    </row>
    <row r="10946">
      <c r="A10946" s="84"/>
      <c r="B10946" s="85"/>
      <c r="C10946" s="85"/>
      <c r="F10946" s="92"/>
      <c r="G10946" s="85"/>
    </row>
    <row r="10947">
      <c r="A10947" s="84"/>
      <c r="B10947" s="85"/>
      <c r="C10947" s="85"/>
      <c r="F10947" s="92"/>
      <c r="G10947" s="85"/>
    </row>
    <row r="10948">
      <c r="A10948" s="84"/>
      <c r="B10948" s="85"/>
      <c r="C10948" s="85"/>
      <c r="F10948" s="92"/>
      <c r="G10948" s="85"/>
    </row>
    <row r="10949">
      <c r="A10949" s="84"/>
      <c r="B10949" s="85"/>
      <c r="C10949" s="85"/>
      <c r="F10949" s="92"/>
      <c r="G10949" s="85"/>
    </row>
    <row r="10950">
      <c r="A10950" s="84"/>
      <c r="B10950" s="85"/>
      <c r="C10950" s="85"/>
      <c r="F10950" s="92"/>
      <c r="G10950" s="85"/>
    </row>
    <row r="10951">
      <c r="A10951" s="84"/>
      <c r="B10951" s="85"/>
      <c r="C10951" s="85"/>
      <c r="F10951" s="92"/>
      <c r="G10951" s="85"/>
    </row>
    <row r="10952">
      <c r="A10952" s="84"/>
      <c r="B10952" s="85"/>
      <c r="C10952" s="85"/>
      <c r="F10952" s="92"/>
      <c r="G10952" s="85"/>
    </row>
    <row r="10953">
      <c r="A10953" s="84"/>
      <c r="B10953" s="85"/>
      <c r="C10953" s="85"/>
      <c r="F10953" s="92"/>
      <c r="G10953" s="85"/>
    </row>
    <row r="10954">
      <c r="A10954" s="84"/>
      <c r="B10954" s="85"/>
      <c r="C10954" s="85"/>
      <c r="F10954" s="92"/>
      <c r="G10954" s="85"/>
    </row>
    <row r="10955">
      <c r="A10955" s="84"/>
      <c r="B10955" s="85"/>
      <c r="C10955" s="85"/>
      <c r="F10955" s="92"/>
      <c r="G10955" s="85"/>
    </row>
    <row r="10956">
      <c r="A10956" s="84"/>
      <c r="B10956" s="85"/>
      <c r="C10956" s="85"/>
      <c r="F10956" s="92"/>
      <c r="G10956" s="85"/>
    </row>
    <row r="10957">
      <c r="A10957" s="84"/>
      <c r="B10957" s="85"/>
      <c r="C10957" s="85"/>
      <c r="F10957" s="92"/>
      <c r="G10957" s="85"/>
    </row>
    <row r="10958">
      <c r="A10958" s="84"/>
      <c r="B10958" s="85"/>
      <c r="C10958" s="85"/>
      <c r="F10958" s="92"/>
      <c r="G10958" s="85"/>
    </row>
    <row r="10959">
      <c r="A10959" s="84"/>
      <c r="B10959" s="85"/>
      <c r="C10959" s="85"/>
      <c r="F10959" s="92"/>
      <c r="G10959" s="85"/>
    </row>
    <row r="10960">
      <c r="A10960" s="84"/>
      <c r="B10960" s="85"/>
      <c r="C10960" s="85"/>
      <c r="F10960" s="92"/>
      <c r="G10960" s="85"/>
    </row>
    <row r="10961">
      <c r="A10961" s="84"/>
      <c r="B10961" s="85"/>
      <c r="C10961" s="85"/>
      <c r="F10961" s="92"/>
      <c r="G10961" s="85"/>
    </row>
    <row r="10962">
      <c r="A10962" s="84"/>
      <c r="B10962" s="85"/>
      <c r="C10962" s="85"/>
      <c r="F10962" s="92"/>
      <c r="G10962" s="85"/>
    </row>
    <row r="10963">
      <c r="A10963" s="84"/>
      <c r="B10963" s="85"/>
      <c r="C10963" s="85"/>
      <c r="F10963" s="92"/>
      <c r="G10963" s="85"/>
    </row>
    <row r="10964">
      <c r="A10964" s="84"/>
      <c r="B10964" s="85"/>
      <c r="C10964" s="85"/>
      <c r="F10964" s="92"/>
      <c r="G10964" s="85"/>
    </row>
    <row r="10965">
      <c r="A10965" s="84"/>
      <c r="B10965" s="85"/>
      <c r="C10965" s="85"/>
      <c r="F10965" s="92"/>
      <c r="G10965" s="85"/>
    </row>
    <row r="10966">
      <c r="A10966" s="84"/>
      <c r="B10966" s="85"/>
      <c r="C10966" s="85"/>
      <c r="F10966" s="92"/>
      <c r="G10966" s="85"/>
    </row>
    <row r="10967">
      <c r="A10967" s="84"/>
      <c r="B10967" s="85"/>
      <c r="C10967" s="85"/>
      <c r="F10967" s="92"/>
      <c r="G10967" s="85"/>
    </row>
    <row r="10968">
      <c r="A10968" s="84"/>
      <c r="B10968" s="85"/>
      <c r="C10968" s="85"/>
      <c r="F10968" s="92"/>
      <c r="G10968" s="85"/>
    </row>
    <row r="10969">
      <c r="A10969" s="84"/>
      <c r="B10969" s="85"/>
      <c r="C10969" s="85"/>
      <c r="F10969" s="92"/>
      <c r="G10969" s="85"/>
    </row>
    <row r="10970">
      <c r="A10970" s="84"/>
      <c r="B10970" s="85"/>
      <c r="C10970" s="85"/>
      <c r="F10970" s="92"/>
      <c r="G10970" s="85"/>
    </row>
    <row r="10971">
      <c r="A10971" s="84"/>
      <c r="B10971" s="85"/>
      <c r="C10971" s="85"/>
      <c r="F10971" s="92"/>
      <c r="G10971" s="85"/>
    </row>
    <row r="10972">
      <c r="A10972" s="84"/>
      <c r="B10972" s="85"/>
      <c r="C10972" s="85"/>
      <c r="F10972" s="92"/>
      <c r="G10972" s="85"/>
    </row>
    <row r="10973">
      <c r="A10973" s="84"/>
      <c r="B10973" s="85"/>
      <c r="C10973" s="85"/>
      <c r="F10973" s="92"/>
      <c r="G10973" s="85"/>
    </row>
    <row r="10974">
      <c r="A10974" s="84"/>
      <c r="B10974" s="85"/>
      <c r="C10974" s="85"/>
      <c r="F10974" s="92"/>
      <c r="G10974" s="85"/>
    </row>
    <row r="10975">
      <c r="A10975" s="84"/>
      <c r="B10975" s="85"/>
      <c r="C10975" s="85"/>
      <c r="F10975" s="92"/>
      <c r="G10975" s="85"/>
    </row>
    <row r="10976">
      <c r="A10976" s="84"/>
      <c r="B10976" s="85"/>
      <c r="C10976" s="85"/>
      <c r="F10976" s="92"/>
      <c r="G10976" s="85"/>
    </row>
    <row r="10977">
      <c r="A10977" s="84"/>
      <c r="B10977" s="85"/>
      <c r="C10977" s="85"/>
      <c r="F10977" s="92"/>
      <c r="G10977" s="85"/>
    </row>
    <row r="10978">
      <c r="A10978" s="84"/>
      <c r="B10978" s="85"/>
      <c r="C10978" s="85"/>
      <c r="F10978" s="92"/>
      <c r="G10978" s="85"/>
    </row>
    <row r="10979">
      <c r="A10979" s="84"/>
      <c r="B10979" s="85"/>
      <c r="C10979" s="85"/>
      <c r="F10979" s="92"/>
      <c r="G10979" s="85"/>
    </row>
    <row r="10980">
      <c r="A10980" s="84"/>
      <c r="B10980" s="85"/>
      <c r="C10980" s="85"/>
      <c r="F10980" s="92"/>
      <c r="G10980" s="85"/>
    </row>
    <row r="10981">
      <c r="A10981" s="84"/>
      <c r="B10981" s="85"/>
      <c r="C10981" s="85"/>
      <c r="F10981" s="92"/>
      <c r="G10981" s="85"/>
    </row>
    <row r="10982">
      <c r="A10982" s="84"/>
      <c r="B10982" s="85"/>
      <c r="C10982" s="85"/>
      <c r="F10982" s="92"/>
      <c r="G10982" s="85"/>
    </row>
    <row r="10983">
      <c r="A10983" s="84"/>
      <c r="B10983" s="85"/>
      <c r="C10983" s="85"/>
      <c r="F10983" s="92"/>
      <c r="G10983" s="85"/>
    </row>
    <row r="10984">
      <c r="A10984" s="84"/>
      <c r="B10984" s="85"/>
      <c r="C10984" s="85"/>
      <c r="F10984" s="92"/>
      <c r="G10984" s="85"/>
    </row>
    <row r="10985">
      <c r="A10985" s="84"/>
      <c r="B10985" s="85"/>
      <c r="C10985" s="85"/>
      <c r="F10985" s="92"/>
      <c r="G10985" s="85"/>
    </row>
    <row r="10986">
      <c r="A10986" s="84"/>
      <c r="B10986" s="85"/>
      <c r="C10986" s="85"/>
      <c r="F10986" s="92"/>
      <c r="G10986" s="85"/>
    </row>
    <row r="10987">
      <c r="A10987" s="84"/>
      <c r="B10987" s="85"/>
      <c r="C10987" s="85"/>
      <c r="F10987" s="92"/>
      <c r="G10987" s="85"/>
    </row>
    <row r="10988">
      <c r="A10988" s="84"/>
      <c r="B10988" s="85"/>
      <c r="C10988" s="85"/>
      <c r="F10988" s="92"/>
      <c r="G10988" s="85"/>
    </row>
    <row r="10989">
      <c r="A10989" s="84"/>
      <c r="B10989" s="85"/>
      <c r="C10989" s="85"/>
      <c r="F10989" s="92"/>
      <c r="G10989" s="85"/>
    </row>
    <row r="10990">
      <c r="A10990" s="84"/>
      <c r="B10990" s="85"/>
      <c r="C10990" s="85"/>
      <c r="F10990" s="92"/>
      <c r="G10990" s="85"/>
    </row>
    <row r="10991">
      <c r="A10991" s="84"/>
      <c r="B10991" s="85"/>
      <c r="C10991" s="85"/>
      <c r="F10991" s="92"/>
      <c r="G10991" s="85"/>
    </row>
    <row r="10992">
      <c r="A10992" s="84"/>
      <c r="B10992" s="85"/>
      <c r="C10992" s="85"/>
      <c r="F10992" s="92"/>
      <c r="G10992" s="85"/>
    </row>
    <row r="10993">
      <c r="A10993" s="84"/>
      <c r="B10993" s="85"/>
      <c r="C10993" s="85"/>
      <c r="F10993" s="92"/>
      <c r="G10993" s="85"/>
    </row>
    <row r="10994">
      <c r="A10994" s="84"/>
      <c r="B10994" s="85"/>
      <c r="C10994" s="85"/>
      <c r="F10994" s="92"/>
      <c r="G10994" s="85"/>
    </row>
    <row r="10995">
      <c r="A10995" s="84"/>
      <c r="B10995" s="85"/>
      <c r="C10995" s="85"/>
      <c r="F10995" s="92"/>
      <c r="G10995" s="85"/>
    </row>
    <row r="10996">
      <c r="A10996" s="84"/>
      <c r="B10996" s="85"/>
      <c r="C10996" s="85"/>
      <c r="F10996" s="92"/>
      <c r="G10996" s="85"/>
    </row>
    <row r="10997">
      <c r="A10997" s="84"/>
      <c r="B10997" s="85"/>
      <c r="C10997" s="85"/>
      <c r="F10997" s="92"/>
      <c r="G10997" s="85"/>
    </row>
    <row r="10998">
      <c r="A10998" s="84"/>
      <c r="B10998" s="85"/>
      <c r="C10998" s="85"/>
      <c r="F10998" s="92"/>
      <c r="G10998" s="85"/>
    </row>
    <row r="10999">
      <c r="A10999" s="84"/>
      <c r="B10999" s="85"/>
      <c r="C10999" s="85"/>
      <c r="F10999" s="92"/>
      <c r="G10999" s="85"/>
    </row>
    <row r="11000">
      <c r="A11000" s="84"/>
      <c r="B11000" s="85"/>
      <c r="C11000" s="85"/>
      <c r="F11000" s="92"/>
      <c r="G11000" s="85"/>
    </row>
    <row r="11001">
      <c r="A11001" s="84"/>
      <c r="B11001" s="85"/>
      <c r="C11001" s="85"/>
      <c r="F11001" s="92"/>
      <c r="G11001" s="85"/>
    </row>
    <row r="11002">
      <c r="A11002" s="84"/>
      <c r="B11002" s="85"/>
      <c r="C11002" s="85"/>
      <c r="F11002" s="92"/>
      <c r="G11002" s="85"/>
    </row>
    <row r="11003">
      <c r="A11003" s="84"/>
      <c r="B11003" s="85"/>
      <c r="C11003" s="85"/>
      <c r="F11003" s="92"/>
      <c r="G11003" s="85"/>
    </row>
    <row r="11004">
      <c r="A11004" s="84"/>
      <c r="B11004" s="85"/>
      <c r="C11004" s="85"/>
      <c r="F11004" s="92"/>
      <c r="G11004" s="85"/>
    </row>
    <row r="11005">
      <c r="A11005" s="84"/>
      <c r="B11005" s="85"/>
      <c r="C11005" s="85"/>
      <c r="F11005" s="92"/>
      <c r="G11005" s="85"/>
    </row>
    <row r="11006">
      <c r="A11006" s="84"/>
      <c r="B11006" s="85"/>
      <c r="C11006" s="85"/>
      <c r="F11006" s="92"/>
      <c r="G11006" s="85"/>
    </row>
    <row r="11007">
      <c r="A11007" s="84"/>
      <c r="B11007" s="85"/>
      <c r="C11007" s="85"/>
      <c r="F11007" s="92"/>
      <c r="G11007" s="85"/>
    </row>
    <row r="11008">
      <c r="A11008" s="84"/>
      <c r="B11008" s="85"/>
      <c r="C11008" s="85"/>
      <c r="F11008" s="92"/>
      <c r="G11008" s="85"/>
    </row>
    <row r="11009">
      <c r="A11009" s="84"/>
      <c r="B11009" s="85"/>
      <c r="C11009" s="85"/>
      <c r="F11009" s="92"/>
      <c r="G11009" s="85"/>
    </row>
    <row r="11010">
      <c r="A11010" s="84"/>
      <c r="B11010" s="85"/>
      <c r="C11010" s="85"/>
      <c r="F11010" s="92"/>
      <c r="G11010" s="85"/>
    </row>
    <row r="11011">
      <c r="A11011" s="84"/>
      <c r="B11011" s="85"/>
      <c r="C11011" s="85"/>
      <c r="F11011" s="92"/>
      <c r="G11011" s="85"/>
    </row>
    <row r="11012">
      <c r="A11012" s="84"/>
      <c r="B11012" s="85"/>
      <c r="C11012" s="85"/>
      <c r="F11012" s="92"/>
      <c r="G11012" s="85"/>
    </row>
    <row r="11013">
      <c r="A11013" s="84"/>
      <c r="B11013" s="85"/>
      <c r="C11013" s="85"/>
      <c r="F11013" s="92"/>
      <c r="G11013" s="85"/>
    </row>
    <row r="11014">
      <c r="A11014" s="84"/>
      <c r="B11014" s="85"/>
      <c r="C11014" s="85"/>
      <c r="F11014" s="92"/>
      <c r="G11014" s="85"/>
    </row>
    <row r="11015">
      <c r="A11015" s="84"/>
      <c r="B11015" s="85"/>
      <c r="C11015" s="85"/>
      <c r="F11015" s="92"/>
      <c r="G11015" s="85"/>
    </row>
    <row r="11016">
      <c r="A11016" s="84"/>
      <c r="B11016" s="85"/>
      <c r="C11016" s="85"/>
      <c r="F11016" s="92"/>
      <c r="G11016" s="85"/>
    </row>
    <row r="11017">
      <c r="A11017" s="84"/>
      <c r="B11017" s="85"/>
      <c r="C11017" s="85"/>
      <c r="F11017" s="92"/>
      <c r="G11017" s="85"/>
    </row>
    <row r="11018">
      <c r="A11018" s="84"/>
      <c r="B11018" s="85"/>
      <c r="C11018" s="85"/>
      <c r="F11018" s="92"/>
      <c r="G11018" s="85"/>
    </row>
    <row r="11019">
      <c r="A11019" s="84"/>
      <c r="B11019" s="85"/>
      <c r="C11019" s="85"/>
      <c r="F11019" s="92"/>
      <c r="G11019" s="85"/>
    </row>
    <row r="11020">
      <c r="A11020" s="84"/>
      <c r="B11020" s="85"/>
      <c r="C11020" s="85"/>
      <c r="F11020" s="92"/>
      <c r="G11020" s="85"/>
    </row>
    <row r="11021">
      <c r="A11021" s="84"/>
      <c r="B11021" s="85"/>
      <c r="C11021" s="85"/>
      <c r="F11021" s="92"/>
      <c r="G11021" s="85"/>
    </row>
    <row r="11022">
      <c r="A11022" s="84"/>
      <c r="B11022" s="85"/>
      <c r="C11022" s="85"/>
      <c r="F11022" s="92"/>
      <c r="G11022" s="85"/>
    </row>
    <row r="11023">
      <c r="A11023" s="84"/>
      <c r="B11023" s="85"/>
      <c r="C11023" s="85"/>
      <c r="F11023" s="92"/>
      <c r="G11023" s="85"/>
    </row>
    <row r="11024">
      <c r="A11024" s="84"/>
      <c r="B11024" s="85"/>
      <c r="C11024" s="85"/>
      <c r="F11024" s="92"/>
      <c r="G11024" s="85"/>
    </row>
    <row r="11025">
      <c r="A11025" s="84"/>
      <c r="B11025" s="85"/>
      <c r="C11025" s="85"/>
      <c r="F11025" s="92"/>
      <c r="G11025" s="85"/>
    </row>
    <row r="11026">
      <c r="A11026" s="84"/>
      <c r="B11026" s="85"/>
      <c r="C11026" s="85"/>
      <c r="F11026" s="92"/>
      <c r="G11026" s="85"/>
    </row>
    <row r="11027">
      <c r="A11027" s="84"/>
      <c r="B11027" s="85"/>
      <c r="C11027" s="85"/>
      <c r="F11027" s="92"/>
      <c r="G11027" s="85"/>
    </row>
    <row r="11028">
      <c r="A11028" s="84"/>
      <c r="B11028" s="85"/>
      <c r="C11028" s="85"/>
      <c r="F11028" s="92"/>
      <c r="G11028" s="85"/>
    </row>
    <row r="11029">
      <c r="A11029" s="84"/>
      <c r="B11029" s="85"/>
      <c r="C11029" s="85"/>
      <c r="F11029" s="92"/>
      <c r="G11029" s="85"/>
    </row>
    <row r="11030">
      <c r="A11030" s="84"/>
      <c r="B11030" s="85"/>
      <c r="C11030" s="85"/>
      <c r="F11030" s="92"/>
      <c r="G11030" s="85"/>
    </row>
    <row r="11031">
      <c r="A11031" s="84"/>
      <c r="B11031" s="85"/>
      <c r="C11031" s="85"/>
      <c r="F11031" s="92"/>
      <c r="G11031" s="85"/>
    </row>
    <row r="11032">
      <c r="A11032" s="84"/>
      <c r="B11032" s="85"/>
      <c r="C11032" s="85"/>
      <c r="F11032" s="92"/>
      <c r="G11032" s="85"/>
    </row>
    <row r="11033">
      <c r="A11033" s="84"/>
      <c r="B11033" s="85"/>
      <c r="C11033" s="85"/>
      <c r="F11033" s="92"/>
      <c r="G11033" s="85"/>
    </row>
    <row r="11034">
      <c r="A11034" s="84"/>
      <c r="B11034" s="85"/>
      <c r="C11034" s="85"/>
      <c r="F11034" s="92"/>
      <c r="G11034" s="85"/>
    </row>
    <row r="11035">
      <c r="A11035" s="84"/>
      <c r="B11035" s="85"/>
      <c r="C11035" s="85"/>
      <c r="F11035" s="92"/>
      <c r="G11035" s="85"/>
    </row>
    <row r="11036">
      <c r="A11036" s="84"/>
      <c r="B11036" s="85"/>
      <c r="C11036" s="85"/>
      <c r="F11036" s="92"/>
      <c r="G11036" s="85"/>
    </row>
    <row r="11037">
      <c r="A11037" s="84"/>
      <c r="B11037" s="85"/>
      <c r="C11037" s="85"/>
      <c r="F11037" s="92"/>
      <c r="G11037" s="85"/>
    </row>
    <row r="11038">
      <c r="A11038" s="84"/>
      <c r="B11038" s="85"/>
      <c r="C11038" s="85"/>
      <c r="F11038" s="92"/>
      <c r="G11038" s="85"/>
    </row>
    <row r="11039">
      <c r="A11039" s="84"/>
      <c r="B11039" s="85"/>
      <c r="C11039" s="85"/>
      <c r="F11039" s="92"/>
      <c r="G11039" s="85"/>
    </row>
    <row r="11040">
      <c r="A11040" s="84"/>
      <c r="B11040" s="85"/>
      <c r="C11040" s="85"/>
      <c r="F11040" s="92"/>
      <c r="G11040" s="85"/>
    </row>
    <row r="11041">
      <c r="A11041" s="84"/>
      <c r="B11041" s="85"/>
      <c r="C11041" s="85"/>
      <c r="F11041" s="92"/>
      <c r="G11041" s="85"/>
    </row>
    <row r="11042">
      <c r="A11042" s="84"/>
      <c r="B11042" s="85"/>
      <c r="C11042" s="85"/>
      <c r="F11042" s="92"/>
      <c r="G11042" s="85"/>
    </row>
    <row r="11043">
      <c r="A11043" s="84"/>
      <c r="B11043" s="85"/>
      <c r="C11043" s="85"/>
      <c r="F11043" s="92"/>
      <c r="G11043" s="85"/>
    </row>
    <row r="11044">
      <c r="A11044" s="84"/>
      <c r="B11044" s="85"/>
      <c r="C11044" s="85"/>
      <c r="F11044" s="92"/>
      <c r="G11044" s="85"/>
    </row>
    <row r="11045">
      <c r="A11045" s="84"/>
      <c r="B11045" s="85"/>
      <c r="C11045" s="85"/>
      <c r="F11045" s="92"/>
      <c r="G11045" s="85"/>
    </row>
    <row r="11046">
      <c r="A11046" s="84"/>
      <c r="B11046" s="85"/>
      <c r="C11046" s="85"/>
      <c r="F11046" s="92"/>
      <c r="G11046" s="85"/>
    </row>
    <row r="11047">
      <c r="A11047" s="84"/>
      <c r="B11047" s="85"/>
      <c r="C11047" s="85"/>
      <c r="F11047" s="92"/>
      <c r="G11047" s="85"/>
    </row>
    <row r="11048">
      <c r="A11048" s="84"/>
      <c r="B11048" s="85"/>
      <c r="C11048" s="85"/>
      <c r="F11048" s="92"/>
      <c r="G11048" s="85"/>
    </row>
    <row r="11049">
      <c r="A11049" s="84"/>
      <c r="B11049" s="85"/>
      <c r="C11049" s="85"/>
      <c r="F11049" s="92"/>
      <c r="G11049" s="85"/>
    </row>
    <row r="11050">
      <c r="A11050" s="84"/>
      <c r="B11050" s="85"/>
      <c r="C11050" s="85"/>
      <c r="F11050" s="92"/>
      <c r="G11050" s="85"/>
    </row>
    <row r="11051">
      <c r="A11051" s="84"/>
      <c r="B11051" s="85"/>
      <c r="C11051" s="85"/>
      <c r="F11051" s="92"/>
      <c r="G11051" s="85"/>
    </row>
    <row r="11052">
      <c r="A11052" s="84"/>
      <c r="B11052" s="85"/>
      <c r="C11052" s="85"/>
      <c r="F11052" s="92"/>
      <c r="G11052" s="85"/>
    </row>
    <row r="11053">
      <c r="A11053" s="84"/>
      <c r="B11053" s="85"/>
      <c r="C11053" s="85"/>
      <c r="F11053" s="92"/>
      <c r="G11053" s="85"/>
    </row>
    <row r="11054">
      <c r="A11054" s="84"/>
      <c r="B11054" s="85"/>
      <c r="C11054" s="85"/>
      <c r="F11054" s="92"/>
      <c r="G11054" s="85"/>
    </row>
    <row r="11055">
      <c r="A11055" s="84"/>
      <c r="B11055" s="85"/>
      <c r="C11055" s="85"/>
      <c r="F11055" s="92"/>
      <c r="G11055" s="85"/>
    </row>
    <row r="11056">
      <c r="A11056" s="84"/>
      <c r="B11056" s="85"/>
      <c r="C11056" s="85"/>
      <c r="F11056" s="92"/>
      <c r="G11056" s="85"/>
    </row>
    <row r="11057">
      <c r="A11057" s="84"/>
      <c r="B11057" s="85"/>
      <c r="C11057" s="85"/>
      <c r="F11057" s="92"/>
      <c r="G11057" s="85"/>
    </row>
    <row r="11058">
      <c r="A11058" s="84"/>
      <c r="B11058" s="85"/>
      <c r="C11058" s="85"/>
      <c r="F11058" s="92"/>
      <c r="G11058" s="85"/>
    </row>
    <row r="11059">
      <c r="A11059" s="84"/>
      <c r="B11059" s="85"/>
      <c r="C11059" s="85"/>
      <c r="F11059" s="92"/>
      <c r="G11059" s="85"/>
    </row>
    <row r="11060">
      <c r="A11060" s="84"/>
      <c r="B11060" s="85"/>
      <c r="C11060" s="85"/>
      <c r="F11060" s="92"/>
      <c r="G11060" s="85"/>
    </row>
    <row r="11061">
      <c r="A11061" s="84"/>
      <c r="B11061" s="85"/>
      <c r="C11061" s="85"/>
      <c r="F11061" s="92"/>
      <c r="G11061" s="85"/>
    </row>
    <row r="11062">
      <c r="A11062" s="84"/>
      <c r="B11062" s="85"/>
      <c r="C11062" s="85"/>
      <c r="F11062" s="92"/>
      <c r="G11062" s="85"/>
    </row>
    <row r="11063">
      <c r="A11063" s="84"/>
      <c r="B11063" s="85"/>
      <c r="C11063" s="85"/>
      <c r="F11063" s="92"/>
      <c r="G11063" s="85"/>
    </row>
    <row r="11064">
      <c r="A11064" s="84"/>
      <c r="B11064" s="85"/>
      <c r="C11064" s="85"/>
      <c r="F11064" s="92"/>
      <c r="G11064" s="85"/>
    </row>
    <row r="11065">
      <c r="A11065" s="84"/>
      <c r="B11065" s="85"/>
      <c r="C11065" s="85"/>
      <c r="F11065" s="92"/>
      <c r="G11065" s="85"/>
    </row>
    <row r="11066">
      <c r="A11066" s="84"/>
      <c r="B11066" s="85"/>
      <c r="C11066" s="85"/>
      <c r="F11066" s="92"/>
      <c r="G11066" s="85"/>
    </row>
    <row r="11067">
      <c r="A11067" s="84"/>
      <c r="B11067" s="85"/>
      <c r="C11067" s="85"/>
      <c r="F11067" s="92"/>
      <c r="G11067" s="85"/>
    </row>
    <row r="11068">
      <c r="A11068" s="84"/>
      <c r="B11068" s="85"/>
      <c r="C11068" s="85"/>
      <c r="F11068" s="92"/>
      <c r="G11068" s="85"/>
    </row>
    <row r="11069">
      <c r="A11069" s="84"/>
      <c r="B11069" s="85"/>
      <c r="C11069" s="85"/>
      <c r="F11069" s="92"/>
      <c r="G11069" s="85"/>
    </row>
    <row r="11070">
      <c r="A11070" s="84"/>
      <c r="B11070" s="85"/>
      <c r="C11070" s="85"/>
      <c r="F11070" s="92"/>
      <c r="G11070" s="85"/>
    </row>
    <row r="11071">
      <c r="A11071" s="84"/>
      <c r="B11071" s="85"/>
      <c r="C11071" s="85"/>
      <c r="F11071" s="92"/>
      <c r="G11071" s="85"/>
    </row>
    <row r="11072">
      <c r="A11072" s="84"/>
      <c r="B11072" s="85"/>
      <c r="C11072" s="85"/>
      <c r="F11072" s="92"/>
      <c r="G11072" s="85"/>
    </row>
    <row r="11073">
      <c r="A11073" s="84"/>
      <c r="B11073" s="85"/>
      <c r="C11073" s="85"/>
      <c r="F11073" s="92"/>
      <c r="G11073" s="85"/>
    </row>
    <row r="11074">
      <c r="A11074" s="84"/>
      <c r="B11074" s="85"/>
      <c r="C11074" s="85"/>
      <c r="F11074" s="92"/>
      <c r="G11074" s="85"/>
    </row>
    <row r="11075">
      <c r="A11075" s="84"/>
      <c r="B11075" s="85"/>
      <c r="C11075" s="85"/>
      <c r="F11075" s="92"/>
      <c r="G11075" s="85"/>
    </row>
    <row r="11076">
      <c r="A11076" s="84"/>
      <c r="B11076" s="85"/>
      <c r="C11076" s="85"/>
      <c r="F11076" s="92"/>
      <c r="G11076" s="85"/>
    </row>
    <row r="11077">
      <c r="A11077" s="84"/>
      <c r="B11077" s="85"/>
      <c r="C11077" s="85"/>
      <c r="F11077" s="92"/>
      <c r="G11077" s="85"/>
    </row>
    <row r="11078">
      <c r="A11078" s="84"/>
      <c r="B11078" s="85"/>
      <c r="C11078" s="85"/>
      <c r="F11078" s="92"/>
      <c r="G11078" s="85"/>
    </row>
    <row r="11079">
      <c r="A11079" s="84"/>
      <c r="B11079" s="85"/>
      <c r="C11079" s="85"/>
      <c r="F11079" s="92"/>
      <c r="G11079" s="85"/>
    </row>
    <row r="11080">
      <c r="A11080" s="84"/>
      <c r="B11080" s="85"/>
      <c r="C11080" s="85"/>
      <c r="F11080" s="92"/>
      <c r="G11080" s="85"/>
    </row>
    <row r="11081">
      <c r="A11081" s="84"/>
      <c r="B11081" s="85"/>
      <c r="C11081" s="85"/>
      <c r="F11081" s="92"/>
      <c r="G11081" s="85"/>
    </row>
    <row r="11082">
      <c r="A11082" s="84"/>
      <c r="B11082" s="85"/>
      <c r="C11082" s="85"/>
      <c r="F11082" s="92"/>
      <c r="G11082" s="85"/>
    </row>
    <row r="11083">
      <c r="A11083" s="84"/>
      <c r="B11083" s="85"/>
      <c r="C11083" s="85"/>
      <c r="F11083" s="92"/>
      <c r="G11083" s="85"/>
    </row>
    <row r="11084">
      <c r="A11084" s="84"/>
      <c r="B11084" s="85"/>
      <c r="C11084" s="85"/>
      <c r="F11084" s="92"/>
      <c r="G11084" s="85"/>
    </row>
    <row r="11085">
      <c r="A11085" s="84"/>
      <c r="B11085" s="85"/>
      <c r="C11085" s="85"/>
      <c r="F11085" s="92"/>
      <c r="G11085" s="85"/>
    </row>
    <row r="11086">
      <c r="A11086" s="84"/>
      <c r="B11086" s="85"/>
      <c r="C11086" s="85"/>
      <c r="F11086" s="92"/>
      <c r="G11086" s="85"/>
    </row>
    <row r="11087">
      <c r="A11087" s="84"/>
      <c r="B11087" s="85"/>
      <c r="C11087" s="85"/>
      <c r="F11087" s="92"/>
      <c r="G11087" s="85"/>
    </row>
    <row r="11088">
      <c r="A11088" s="84"/>
      <c r="B11088" s="85"/>
      <c r="C11088" s="85"/>
      <c r="F11088" s="92"/>
      <c r="G11088" s="85"/>
    </row>
    <row r="11089">
      <c r="A11089" s="84"/>
      <c r="B11089" s="85"/>
      <c r="C11089" s="85"/>
      <c r="F11089" s="92"/>
      <c r="G11089" s="85"/>
    </row>
    <row r="11090">
      <c r="A11090" s="84"/>
      <c r="B11090" s="85"/>
      <c r="C11090" s="85"/>
      <c r="F11090" s="92"/>
      <c r="G11090" s="85"/>
    </row>
    <row r="11091">
      <c r="A11091" s="84"/>
      <c r="B11091" s="85"/>
      <c r="C11091" s="85"/>
      <c r="F11091" s="92"/>
      <c r="G11091" s="85"/>
    </row>
    <row r="11092">
      <c r="A11092" s="84"/>
      <c r="B11092" s="85"/>
      <c r="C11092" s="85"/>
      <c r="F11092" s="92"/>
      <c r="G11092" s="85"/>
    </row>
    <row r="11093">
      <c r="A11093" s="84"/>
      <c r="B11093" s="85"/>
      <c r="C11093" s="85"/>
      <c r="F11093" s="92"/>
      <c r="G11093" s="85"/>
    </row>
    <row r="11094">
      <c r="A11094" s="84"/>
      <c r="B11094" s="85"/>
      <c r="C11094" s="85"/>
      <c r="F11094" s="92"/>
      <c r="G11094" s="85"/>
    </row>
    <row r="11095">
      <c r="A11095" s="84"/>
      <c r="B11095" s="85"/>
      <c r="C11095" s="85"/>
      <c r="F11095" s="92"/>
      <c r="G11095" s="85"/>
    </row>
    <row r="11096">
      <c r="A11096" s="84"/>
      <c r="B11096" s="85"/>
      <c r="C11096" s="85"/>
      <c r="F11096" s="92"/>
      <c r="G11096" s="85"/>
    </row>
    <row r="11097">
      <c r="A11097" s="84"/>
      <c r="B11097" s="85"/>
      <c r="C11097" s="85"/>
      <c r="F11097" s="92"/>
      <c r="G11097" s="85"/>
    </row>
    <row r="11098">
      <c r="A11098" s="84"/>
      <c r="B11098" s="85"/>
      <c r="C11098" s="85"/>
      <c r="F11098" s="92"/>
      <c r="G11098" s="85"/>
    </row>
    <row r="11099">
      <c r="A11099" s="84"/>
      <c r="B11099" s="85"/>
      <c r="C11099" s="85"/>
      <c r="F11099" s="92"/>
      <c r="G11099" s="85"/>
    </row>
    <row r="11100">
      <c r="A11100" s="84"/>
      <c r="B11100" s="85"/>
      <c r="C11100" s="85"/>
      <c r="F11100" s="92"/>
      <c r="G11100" s="85"/>
    </row>
    <row r="11101">
      <c r="A11101" s="84"/>
      <c r="B11101" s="85"/>
      <c r="C11101" s="85"/>
      <c r="F11101" s="92"/>
      <c r="G11101" s="85"/>
    </row>
    <row r="11102">
      <c r="A11102" s="84"/>
      <c r="B11102" s="85"/>
      <c r="C11102" s="85"/>
      <c r="F11102" s="92"/>
      <c r="G11102" s="85"/>
    </row>
    <row r="11103">
      <c r="A11103" s="84"/>
      <c r="B11103" s="85"/>
      <c r="C11103" s="85"/>
      <c r="F11103" s="92"/>
      <c r="G11103" s="85"/>
    </row>
    <row r="11104">
      <c r="A11104" s="84"/>
      <c r="B11104" s="85"/>
      <c r="C11104" s="85"/>
      <c r="F11104" s="92"/>
      <c r="G11104" s="85"/>
    </row>
    <row r="11105">
      <c r="A11105" s="84"/>
      <c r="B11105" s="85"/>
      <c r="C11105" s="85"/>
      <c r="F11105" s="92"/>
      <c r="G11105" s="85"/>
    </row>
    <row r="11106">
      <c r="A11106" s="84"/>
      <c r="B11106" s="85"/>
      <c r="C11106" s="85"/>
      <c r="F11106" s="92"/>
      <c r="G11106" s="85"/>
    </row>
    <row r="11107">
      <c r="A11107" s="84"/>
      <c r="B11107" s="85"/>
      <c r="C11107" s="85"/>
      <c r="F11107" s="92"/>
      <c r="G11107" s="85"/>
    </row>
    <row r="11108">
      <c r="A11108" s="84"/>
      <c r="B11108" s="85"/>
      <c r="C11108" s="85"/>
      <c r="F11108" s="92"/>
      <c r="G11108" s="85"/>
    </row>
    <row r="11109">
      <c r="A11109" s="84"/>
      <c r="B11109" s="85"/>
      <c r="C11109" s="85"/>
      <c r="F11109" s="92"/>
      <c r="G11109" s="85"/>
    </row>
    <row r="11110">
      <c r="A11110" s="84"/>
      <c r="B11110" s="85"/>
      <c r="C11110" s="85"/>
      <c r="F11110" s="92"/>
      <c r="G11110" s="85"/>
    </row>
    <row r="11111">
      <c r="A11111" s="84"/>
      <c r="B11111" s="85"/>
      <c r="C11111" s="85"/>
      <c r="F11111" s="92"/>
      <c r="G11111" s="85"/>
    </row>
    <row r="11112">
      <c r="A11112" s="84"/>
      <c r="B11112" s="85"/>
      <c r="C11112" s="85"/>
      <c r="F11112" s="92"/>
      <c r="G11112" s="85"/>
    </row>
    <row r="11113">
      <c r="A11113" s="84"/>
      <c r="B11113" s="85"/>
      <c r="C11113" s="85"/>
      <c r="F11113" s="92"/>
      <c r="G11113" s="85"/>
    </row>
    <row r="11114">
      <c r="A11114" s="84"/>
      <c r="B11114" s="85"/>
      <c r="C11114" s="85"/>
      <c r="F11114" s="92"/>
      <c r="G11114" s="85"/>
    </row>
    <row r="11115">
      <c r="A11115" s="84"/>
      <c r="B11115" s="85"/>
      <c r="C11115" s="85"/>
      <c r="F11115" s="92"/>
      <c r="G11115" s="85"/>
    </row>
    <row r="11116">
      <c r="A11116" s="84"/>
      <c r="B11116" s="85"/>
      <c r="C11116" s="85"/>
      <c r="F11116" s="92"/>
      <c r="G11116" s="85"/>
    </row>
    <row r="11117">
      <c r="A11117" s="84"/>
      <c r="B11117" s="85"/>
      <c r="C11117" s="85"/>
      <c r="F11117" s="92"/>
      <c r="G11117" s="85"/>
    </row>
    <row r="11118">
      <c r="A11118" s="84"/>
      <c r="B11118" s="85"/>
      <c r="C11118" s="85"/>
      <c r="F11118" s="92"/>
      <c r="G11118" s="85"/>
    </row>
    <row r="11119">
      <c r="A11119" s="84"/>
      <c r="B11119" s="85"/>
      <c r="C11119" s="85"/>
      <c r="F11119" s="92"/>
      <c r="G11119" s="85"/>
    </row>
    <row r="11120">
      <c r="A11120" s="84"/>
      <c r="B11120" s="85"/>
      <c r="C11120" s="85"/>
      <c r="F11120" s="92"/>
      <c r="G11120" s="85"/>
    </row>
    <row r="11121">
      <c r="A11121" s="84"/>
      <c r="B11121" s="85"/>
      <c r="C11121" s="85"/>
      <c r="F11121" s="92"/>
      <c r="G11121" s="85"/>
    </row>
    <row r="11122">
      <c r="A11122" s="84"/>
      <c r="B11122" s="85"/>
      <c r="C11122" s="85"/>
      <c r="F11122" s="92"/>
      <c r="G11122" s="85"/>
    </row>
    <row r="11123">
      <c r="A11123" s="84"/>
      <c r="B11123" s="85"/>
      <c r="C11123" s="85"/>
      <c r="F11123" s="92"/>
      <c r="G11123" s="85"/>
    </row>
    <row r="11124">
      <c r="A11124" s="84"/>
      <c r="B11124" s="85"/>
      <c r="C11124" s="85"/>
      <c r="F11124" s="92"/>
      <c r="G11124" s="85"/>
    </row>
    <row r="11125">
      <c r="A11125" s="84"/>
      <c r="B11125" s="85"/>
      <c r="C11125" s="85"/>
      <c r="F11125" s="92"/>
      <c r="G11125" s="85"/>
    </row>
    <row r="11126">
      <c r="A11126" s="84"/>
      <c r="B11126" s="85"/>
      <c r="C11126" s="85"/>
      <c r="F11126" s="92"/>
      <c r="G11126" s="85"/>
    </row>
    <row r="11127">
      <c r="A11127" s="84"/>
      <c r="B11127" s="85"/>
      <c r="C11127" s="85"/>
      <c r="F11127" s="92"/>
      <c r="G11127" s="85"/>
    </row>
    <row r="11128">
      <c r="A11128" s="84"/>
      <c r="B11128" s="85"/>
      <c r="C11128" s="85"/>
      <c r="F11128" s="92"/>
      <c r="G11128" s="85"/>
    </row>
    <row r="11129">
      <c r="A11129" s="84"/>
      <c r="B11129" s="85"/>
      <c r="C11129" s="85"/>
      <c r="F11129" s="92"/>
      <c r="G11129" s="85"/>
    </row>
    <row r="11130">
      <c r="A11130" s="84"/>
      <c r="B11130" s="85"/>
      <c r="C11130" s="85"/>
      <c r="F11130" s="92"/>
      <c r="G11130" s="85"/>
    </row>
    <row r="11131">
      <c r="A11131" s="84"/>
      <c r="B11131" s="85"/>
      <c r="C11131" s="85"/>
      <c r="F11131" s="92"/>
      <c r="G11131" s="85"/>
    </row>
    <row r="11132">
      <c r="A11132" s="84"/>
      <c r="B11132" s="85"/>
      <c r="C11132" s="85"/>
      <c r="F11132" s="92"/>
      <c r="G11132" s="85"/>
    </row>
    <row r="11133">
      <c r="A11133" s="84"/>
      <c r="B11133" s="85"/>
      <c r="C11133" s="85"/>
      <c r="F11133" s="92"/>
      <c r="G11133" s="85"/>
    </row>
    <row r="11134">
      <c r="A11134" s="84"/>
      <c r="B11134" s="85"/>
      <c r="C11134" s="85"/>
      <c r="F11134" s="92"/>
      <c r="G11134" s="85"/>
    </row>
    <row r="11135">
      <c r="A11135" s="84"/>
      <c r="B11135" s="85"/>
      <c r="C11135" s="85"/>
      <c r="F11135" s="92"/>
      <c r="G11135" s="85"/>
    </row>
    <row r="11136">
      <c r="A11136" s="84"/>
      <c r="B11136" s="85"/>
      <c r="C11136" s="85"/>
      <c r="F11136" s="92"/>
      <c r="G11136" s="85"/>
    </row>
    <row r="11137">
      <c r="A11137" s="84"/>
      <c r="B11137" s="85"/>
      <c r="C11137" s="85"/>
      <c r="F11137" s="92"/>
      <c r="G11137" s="85"/>
    </row>
    <row r="11138">
      <c r="A11138" s="84"/>
      <c r="B11138" s="85"/>
      <c r="C11138" s="85"/>
      <c r="F11138" s="92"/>
      <c r="G11138" s="85"/>
    </row>
    <row r="11139">
      <c r="A11139" s="84"/>
      <c r="B11139" s="85"/>
      <c r="C11139" s="85"/>
      <c r="F11139" s="92"/>
      <c r="G11139" s="85"/>
    </row>
    <row r="11140">
      <c r="A11140" s="84"/>
      <c r="B11140" s="85"/>
      <c r="C11140" s="85"/>
      <c r="F11140" s="92"/>
      <c r="G11140" s="85"/>
    </row>
    <row r="11141">
      <c r="A11141" s="84"/>
      <c r="B11141" s="85"/>
      <c r="C11141" s="85"/>
      <c r="F11141" s="92"/>
      <c r="G11141" s="85"/>
    </row>
    <row r="11142">
      <c r="A11142" s="84"/>
      <c r="B11142" s="85"/>
      <c r="C11142" s="85"/>
      <c r="F11142" s="92"/>
      <c r="G11142" s="85"/>
    </row>
    <row r="11143">
      <c r="A11143" s="84"/>
      <c r="B11143" s="85"/>
      <c r="C11143" s="85"/>
      <c r="F11143" s="92"/>
      <c r="G11143" s="85"/>
    </row>
    <row r="11144">
      <c r="A11144" s="84"/>
      <c r="B11144" s="85"/>
      <c r="C11144" s="85"/>
      <c r="F11144" s="92"/>
      <c r="G11144" s="85"/>
    </row>
    <row r="11145">
      <c r="A11145" s="84"/>
      <c r="B11145" s="85"/>
      <c r="C11145" s="85"/>
      <c r="F11145" s="92"/>
      <c r="G11145" s="85"/>
    </row>
    <row r="11146">
      <c r="A11146" s="84"/>
      <c r="B11146" s="85"/>
      <c r="C11146" s="85"/>
      <c r="F11146" s="92"/>
      <c r="G11146" s="85"/>
    </row>
    <row r="11147">
      <c r="A11147" s="84"/>
      <c r="B11147" s="85"/>
      <c r="C11147" s="85"/>
      <c r="F11147" s="92"/>
      <c r="G11147" s="85"/>
    </row>
    <row r="11148">
      <c r="A11148" s="84"/>
      <c r="B11148" s="85"/>
      <c r="C11148" s="85"/>
      <c r="F11148" s="92"/>
      <c r="G11148" s="85"/>
    </row>
    <row r="11149">
      <c r="A11149" s="84"/>
      <c r="B11149" s="85"/>
      <c r="C11149" s="85"/>
      <c r="F11149" s="92"/>
      <c r="G11149" s="85"/>
    </row>
    <row r="11150">
      <c r="A11150" s="84"/>
      <c r="B11150" s="85"/>
      <c r="C11150" s="85"/>
      <c r="F11150" s="92"/>
      <c r="G11150" s="85"/>
    </row>
    <row r="11151">
      <c r="A11151" s="84"/>
      <c r="B11151" s="85"/>
      <c r="C11151" s="85"/>
      <c r="F11151" s="92"/>
      <c r="G11151" s="85"/>
    </row>
    <row r="11152">
      <c r="A11152" s="84"/>
      <c r="B11152" s="85"/>
      <c r="C11152" s="85"/>
      <c r="F11152" s="92"/>
      <c r="G11152" s="85"/>
    </row>
    <row r="11153">
      <c r="A11153" s="84"/>
      <c r="B11153" s="85"/>
      <c r="C11153" s="85"/>
      <c r="F11153" s="92"/>
      <c r="G11153" s="85"/>
    </row>
    <row r="11154">
      <c r="A11154" s="84"/>
      <c r="B11154" s="85"/>
      <c r="C11154" s="85"/>
      <c r="F11154" s="92"/>
      <c r="G11154" s="85"/>
    </row>
    <row r="11155">
      <c r="A11155" s="84"/>
      <c r="B11155" s="85"/>
      <c r="C11155" s="85"/>
      <c r="F11155" s="92"/>
      <c r="G11155" s="85"/>
    </row>
    <row r="11156">
      <c r="A11156" s="84"/>
      <c r="B11156" s="85"/>
      <c r="C11156" s="85"/>
      <c r="F11156" s="92"/>
      <c r="G11156" s="85"/>
    </row>
    <row r="11157">
      <c r="A11157" s="84"/>
      <c r="B11157" s="85"/>
      <c r="C11157" s="85"/>
      <c r="F11157" s="92"/>
      <c r="G11157" s="85"/>
    </row>
    <row r="11158">
      <c r="A11158" s="84"/>
      <c r="B11158" s="85"/>
      <c r="C11158" s="85"/>
      <c r="F11158" s="92"/>
      <c r="G11158" s="85"/>
    </row>
    <row r="11159">
      <c r="A11159" s="84"/>
      <c r="B11159" s="85"/>
      <c r="C11159" s="85"/>
      <c r="F11159" s="92"/>
      <c r="G11159" s="85"/>
    </row>
    <row r="11160">
      <c r="A11160" s="84"/>
      <c r="B11160" s="85"/>
      <c r="C11160" s="85"/>
      <c r="F11160" s="92"/>
      <c r="G11160" s="85"/>
    </row>
    <row r="11161">
      <c r="A11161" s="84"/>
      <c r="B11161" s="85"/>
      <c r="C11161" s="85"/>
      <c r="F11161" s="92"/>
      <c r="G11161" s="85"/>
    </row>
    <row r="11162">
      <c r="A11162" s="84"/>
      <c r="B11162" s="85"/>
      <c r="C11162" s="85"/>
      <c r="F11162" s="92"/>
      <c r="G11162" s="85"/>
    </row>
    <row r="11163">
      <c r="A11163" s="84"/>
      <c r="B11163" s="85"/>
      <c r="C11163" s="85"/>
      <c r="F11163" s="92"/>
      <c r="G11163" s="85"/>
    </row>
    <row r="11164">
      <c r="A11164" s="84"/>
      <c r="B11164" s="85"/>
      <c r="C11164" s="85"/>
      <c r="F11164" s="92"/>
      <c r="G11164" s="85"/>
    </row>
    <row r="11165">
      <c r="A11165" s="84"/>
      <c r="B11165" s="85"/>
      <c r="C11165" s="85"/>
      <c r="F11165" s="92"/>
      <c r="G11165" s="85"/>
    </row>
    <row r="11166">
      <c r="A11166" s="84"/>
      <c r="B11166" s="85"/>
      <c r="C11166" s="85"/>
      <c r="F11166" s="92"/>
      <c r="G11166" s="85"/>
    </row>
    <row r="11167">
      <c r="A11167" s="84"/>
      <c r="B11167" s="85"/>
      <c r="C11167" s="85"/>
      <c r="F11167" s="92"/>
      <c r="G11167" s="85"/>
    </row>
    <row r="11168">
      <c r="A11168" s="84"/>
      <c r="B11168" s="85"/>
      <c r="C11168" s="85"/>
      <c r="F11168" s="92"/>
      <c r="G11168" s="85"/>
    </row>
    <row r="11169">
      <c r="A11169" s="84"/>
      <c r="B11169" s="85"/>
      <c r="C11169" s="85"/>
      <c r="F11169" s="92"/>
      <c r="G11169" s="85"/>
    </row>
    <row r="11170">
      <c r="A11170" s="84"/>
      <c r="B11170" s="85"/>
      <c r="C11170" s="85"/>
      <c r="F11170" s="92"/>
      <c r="G11170" s="85"/>
    </row>
    <row r="11171">
      <c r="A11171" s="84"/>
      <c r="B11171" s="85"/>
      <c r="C11171" s="85"/>
      <c r="F11171" s="92"/>
      <c r="G11171" s="85"/>
    </row>
    <row r="11172">
      <c r="A11172" s="84"/>
      <c r="B11172" s="85"/>
      <c r="C11172" s="85"/>
      <c r="F11172" s="92"/>
      <c r="G11172" s="85"/>
    </row>
    <row r="11173">
      <c r="A11173" s="84"/>
      <c r="B11173" s="85"/>
      <c r="C11173" s="85"/>
      <c r="F11173" s="92"/>
      <c r="G11173" s="85"/>
    </row>
    <row r="11174">
      <c r="A11174" s="84"/>
      <c r="B11174" s="85"/>
      <c r="C11174" s="85"/>
      <c r="F11174" s="92"/>
      <c r="G11174" s="85"/>
    </row>
    <row r="11175">
      <c r="A11175" s="84"/>
      <c r="B11175" s="85"/>
      <c r="C11175" s="85"/>
      <c r="F11175" s="92"/>
      <c r="G11175" s="85"/>
    </row>
    <row r="11176">
      <c r="A11176" s="84"/>
      <c r="B11176" s="85"/>
      <c r="C11176" s="85"/>
      <c r="F11176" s="92"/>
      <c r="G11176" s="85"/>
    </row>
    <row r="11177">
      <c r="A11177" s="84"/>
      <c r="B11177" s="85"/>
      <c r="C11177" s="85"/>
      <c r="F11177" s="92"/>
      <c r="G11177" s="85"/>
    </row>
    <row r="11178">
      <c r="A11178" s="84"/>
      <c r="B11178" s="85"/>
      <c r="C11178" s="85"/>
      <c r="F11178" s="92"/>
      <c r="G11178" s="85"/>
    </row>
    <row r="11179">
      <c r="A11179" s="84"/>
      <c r="B11179" s="85"/>
      <c r="C11179" s="85"/>
      <c r="F11179" s="92"/>
      <c r="G11179" s="85"/>
    </row>
    <row r="11180">
      <c r="A11180" s="84"/>
      <c r="B11180" s="85"/>
      <c r="C11180" s="85"/>
      <c r="F11180" s="92"/>
      <c r="G11180" s="85"/>
    </row>
    <row r="11181">
      <c r="A11181" s="84"/>
      <c r="B11181" s="85"/>
      <c r="C11181" s="85"/>
      <c r="F11181" s="92"/>
      <c r="G11181" s="85"/>
    </row>
    <row r="11182">
      <c r="A11182" s="84"/>
      <c r="B11182" s="85"/>
      <c r="C11182" s="85"/>
      <c r="F11182" s="92"/>
      <c r="G11182" s="85"/>
    </row>
    <row r="11183">
      <c r="A11183" s="84"/>
      <c r="B11183" s="85"/>
      <c r="C11183" s="85"/>
      <c r="F11183" s="92"/>
      <c r="G11183" s="85"/>
    </row>
    <row r="11184">
      <c r="A11184" s="84"/>
      <c r="B11184" s="85"/>
      <c r="C11184" s="85"/>
      <c r="F11184" s="92"/>
      <c r="G11184" s="85"/>
    </row>
    <row r="11185">
      <c r="A11185" s="84"/>
      <c r="B11185" s="85"/>
      <c r="C11185" s="85"/>
      <c r="F11185" s="92"/>
      <c r="G11185" s="85"/>
    </row>
    <row r="11186">
      <c r="A11186" s="84"/>
      <c r="B11186" s="85"/>
      <c r="C11186" s="85"/>
      <c r="F11186" s="92"/>
      <c r="G11186" s="85"/>
    </row>
    <row r="11187">
      <c r="A11187" s="84"/>
      <c r="B11187" s="85"/>
      <c r="C11187" s="85"/>
      <c r="F11187" s="92"/>
      <c r="G11187" s="85"/>
    </row>
    <row r="11188">
      <c r="A11188" s="84"/>
      <c r="B11188" s="85"/>
      <c r="C11188" s="85"/>
      <c r="F11188" s="92"/>
      <c r="G11188" s="85"/>
    </row>
    <row r="11189">
      <c r="A11189" s="84"/>
      <c r="B11189" s="85"/>
      <c r="C11189" s="85"/>
      <c r="F11189" s="92"/>
      <c r="G11189" s="85"/>
    </row>
    <row r="11190">
      <c r="A11190" s="84"/>
      <c r="B11190" s="85"/>
      <c r="C11190" s="85"/>
      <c r="F11190" s="92"/>
      <c r="G11190" s="85"/>
    </row>
    <row r="11191">
      <c r="A11191" s="84"/>
      <c r="B11191" s="85"/>
      <c r="C11191" s="85"/>
      <c r="F11191" s="92"/>
      <c r="G11191" s="85"/>
    </row>
    <row r="11192">
      <c r="A11192" s="84"/>
      <c r="B11192" s="85"/>
      <c r="C11192" s="85"/>
      <c r="F11192" s="92"/>
      <c r="G11192" s="85"/>
    </row>
    <row r="11193">
      <c r="A11193" s="84"/>
      <c r="B11193" s="85"/>
      <c r="C11193" s="85"/>
      <c r="F11193" s="92"/>
      <c r="G11193" s="85"/>
    </row>
    <row r="11194">
      <c r="A11194" s="84"/>
      <c r="B11194" s="85"/>
      <c r="C11194" s="85"/>
      <c r="F11194" s="92"/>
      <c r="G11194" s="85"/>
    </row>
    <row r="11195">
      <c r="A11195" s="84"/>
      <c r="B11195" s="85"/>
      <c r="C11195" s="85"/>
      <c r="F11195" s="92"/>
      <c r="G11195" s="85"/>
    </row>
    <row r="11196">
      <c r="A11196" s="84"/>
      <c r="B11196" s="85"/>
      <c r="C11196" s="85"/>
      <c r="F11196" s="92"/>
      <c r="G11196" s="85"/>
    </row>
    <row r="11197">
      <c r="A11197" s="84"/>
      <c r="B11197" s="85"/>
      <c r="C11197" s="85"/>
      <c r="F11197" s="92"/>
      <c r="G11197" s="85"/>
    </row>
    <row r="11198">
      <c r="A11198" s="84"/>
      <c r="B11198" s="85"/>
      <c r="C11198" s="85"/>
      <c r="F11198" s="92"/>
      <c r="G11198" s="85"/>
    </row>
    <row r="11199">
      <c r="A11199" s="84"/>
      <c r="B11199" s="85"/>
      <c r="C11199" s="85"/>
      <c r="F11199" s="92"/>
      <c r="G11199" s="85"/>
    </row>
    <row r="11200">
      <c r="A11200" s="84"/>
      <c r="B11200" s="85"/>
      <c r="C11200" s="85"/>
      <c r="F11200" s="92"/>
      <c r="G11200" s="85"/>
    </row>
    <row r="11201">
      <c r="A11201" s="84"/>
      <c r="B11201" s="85"/>
      <c r="C11201" s="85"/>
      <c r="F11201" s="92"/>
      <c r="G11201" s="85"/>
    </row>
    <row r="11202">
      <c r="A11202" s="84"/>
      <c r="B11202" s="85"/>
      <c r="C11202" s="85"/>
      <c r="F11202" s="92"/>
      <c r="G11202" s="85"/>
    </row>
    <row r="11203">
      <c r="A11203" s="84"/>
      <c r="B11203" s="85"/>
      <c r="C11203" s="85"/>
      <c r="F11203" s="92"/>
      <c r="G11203" s="85"/>
    </row>
    <row r="11204">
      <c r="A11204" s="84"/>
      <c r="B11204" s="85"/>
      <c r="C11204" s="85"/>
      <c r="F11204" s="92"/>
      <c r="G11204" s="85"/>
    </row>
    <row r="11205">
      <c r="A11205" s="84"/>
      <c r="B11205" s="85"/>
      <c r="C11205" s="85"/>
      <c r="F11205" s="92"/>
      <c r="G11205" s="85"/>
    </row>
    <row r="11206">
      <c r="A11206" s="84"/>
      <c r="B11206" s="85"/>
      <c r="C11206" s="85"/>
      <c r="F11206" s="92"/>
      <c r="G11206" s="85"/>
    </row>
    <row r="11207">
      <c r="A11207" s="84"/>
      <c r="B11207" s="85"/>
      <c r="C11207" s="85"/>
      <c r="F11207" s="92"/>
      <c r="G11207" s="85"/>
    </row>
    <row r="11208">
      <c r="A11208" s="84"/>
      <c r="B11208" s="85"/>
      <c r="C11208" s="85"/>
      <c r="F11208" s="92"/>
      <c r="G11208" s="85"/>
    </row>
    <row r="11209">
      <c r="A11209" s="84"/>
      <c r="B11209" s="85"/>
      <c r="C11209" s="85"/>
      <c r="F11209" s="92"/>
      <c r="G11209" s="85"/>
    </row>
    <row r="11210">
      <c r="A11210" s="84"/>
      <c r="B11210" s="85"/>
      <c r="C11210" s="85"/>
      <c r="F11210" s="92"/>
      <c r="G11210" s="85"/>
    </row>
    <row r="11211">
      <c r="A11211" s="84"/>
      <c r="B11211" s="85"/>
      <c r="C11211" s="85"/>
      <c r="F11211" s="92"/>
      <c r="G11211" s="85"/>
    </row>
    <row r="11212">
      <c r="A11212" s="84"/>
      <c r="B11212" s="85"/>
      <c r="C11212" s="85"/>
      <c r="F11212" s="92"/>
      <c r="G11212" s="85"/>
    </row>
    <row r="11213">
      <c r="A11213" s="84"/>
      <c r="B11213" s="85"/>
      <c r="C11213" s="85"/>
      <c r="F11213" s="92"/>
      <c r="G11213" s="85"/>
    </row>
    <row r="11214">
      <c r="A11214" s="84"/>
      <c r="B11214" s="85"/>
      <c r="C11214" s="85"/>
      <c r="F11214" s="92"/>
      <c r="G11214" s="85"/>
    </row>
    <row r="11215">
      <c r="A11215" s="84"/>
      <c r="B11215" s="85"/>
      <c r="C11215" s="85"/>
      <c r="F11215" s="92"/>
      <c r="G11215" s="85"/>
    </row>
    <row r="11216">
      <c r="A11216" s="84"/>
      <c r="B11216" s="85"/>
      <c r="C11216" s="85"/>
      <c r="F11216" s="92"/>
      <c r="G11216" s="85"/>
    </row>
    <row r="11217">
      <c r="A11217" s="84"/>
      <c r="B11217" s="85"/>
      <c r="C11217" s="85"/>
      <c r="F11217" s="92"/>
      <c r="G11217" s="85"/>
    </row>
    <row r="11218">
      <c r="A11218" s="84"/>
      <c r="B11218" s="85"/>
      <c r="C11218" s="85"/>
      <c r="F11218" s="92"/>
      <c r="G11218" s="85"/>
    </row>
    <row r="11219">
      <c r="A11219" s="84"/>
      <c r="B11219" s="85"/>
      <c r="C11219" s="85"/>
      <c r="F11219" s="92"/>
      <c r="G11219" s="85"/>
    </row>
    <row r="11220">
      <c r="A11220" s="84"/>
      <c r="B11220" s="85"/>
      <c r="C11220" s="85"/>
      <c r="F11220" s="92"/>
      <c r="G11220" s="85"/>
    </row>
    <row r="11221">
      <c r="A11221" s="84"/>
      <c r="B11221" s="85"/>
      <c r="C11221" s="85"/>
      <c r="F11221" s="92"/>
      <c r="G11221" s="85"/>
    </row>
    <row r="11222">
      <c r="A11222" s="84"/>
      <c r="B11222" s="85"/>
      <c r="C11222" s="85"/>
      <c r="F11222" s="92"/>
      <c r="G11222" s="85"/>
    </row>
    <row r="11223">
      <c r="A11223" s="84"/>
      <c r="B11223" s="85"/>
      <c r="C11223" s="85"/>
      <c r="F11223" s="92"/>
      <c r="G11223" s="85"/>
    </row>
    <row r="11224">
      <c r="A11224" s="84"/>
      <c r="B11224" s="85"/>
      <c r="C11224" s="85"/>
      <c r="F11224" s="92"/>
      <c r="G11224" s="85"/>
    </row>
    <row r="11225">
      <c r="A11225" s="84"/>
      <c r="B11225" s="85"/>
      <c r="C11225" s="85"/>
      <c r="F11225" s="92"/>
      <c r="G11225" s="85"/>
    </row>
    <row r="11226">
      <c r="A11226" s="84"/>
      <c r="B11226" s="85"/>
      <c r="C11226" s="85"/>
      <c r="F11226" s="92"/>
      <c r="G11226" s="85"/>
    </row>
    <row r="11227">
      <c r="A11227" s="84"/>
      <c r="B11227" s="85"/>
      <c r="C11227" s="85"/>
      <c r="F11227" s="92"/>
      <c r="G11227" s="85"/>
    </row>
    <row r="11228">
      <c r="A11228" s="84"/>
      <c r="B11228" s="85"/>
      <c r="C11228" s="85"/>
      <c r="F11228" s="92"/>
      <c r="G11228" s="85"/>
    </row>
    <row r="11229">
      <c r="A11229" s="84"/>
      <c r="B11229" s="85"/>
      <c r="C11229" s="85"/>
      <c r="F11229" s="92"/>
      <c r="G11229" s="85"/>
    </row>
    <row r="11230">
      <c r="A11230" s="84"/>
      <c r="B11230" s="85"/>
      <c r="C11230" s="85"/>
      <c r="F11230" s="92"/>
      <c r="G11230" s="85"/>
    </row>
    <row r="11231">
      <c r="A11231" s="84"/>
      <c r="B11231" s="85"/>
      <c r="C11231" s="85"/>
      <c r="F11231" s="92"/>
      <c r="G11231" s="85"/>
    </row>
    <row r="11232">
      <c r="A11232" s="84"/>
      <c r="B11232" s="85"/>
      <c r="C11232" s="85"/>
      <c r="F11232" s="92"/>
      <c r="G11232" s="85"/>
    </row>
    <row r="11233">
      <c r="A11233" s="84"/>
      <c r="B11233" s="85"/>
      <c r="C11233" s="85"/>
      <c r="F11233" s="92"/>
      <c r="G11233" s="85"/>
    </row>
    <row r="11234">
      <c r="A11234" s="84"/>
      <c r="B11234" s="85"/>
      <c r="C11234" s="85"/>
      <c r="F11234" s="92"/>
      <c r="G11234" s="85"/>
    </row>
    <row r="11235">
      <c r="A11235" s="84"/>
      <c r="B11235" s="85"/>
      <c r="C11235" s="85"/>
      <c r="F11235" s="92"/>
      <c r="G11235" s="85"/>
    </row>
    <row r="11236">
      <c r="A11236" s="84"/>
      <c r="B11236" s="85"/>
      <c r="C11236" s="85"/>
      <c r="F11236" s="92"/>
      <c r="G11236" s="85"/>
    </row>
    <row r="11237">
      <c r="A11237" s="84"/>
      <c r="B11237" s="85"/>
      <c r="C11237" s="85"/>
      <c r="F11237" s="92"/>
      <c r="G11237" s="85"/>
    </row>
    <row r="11238">
      <c r="A11238" s="84"/>
      <c r="B11238" s="85"/>
      <c r="C11238" s="85"/>
      <c r="F11238" s="92"/>
      <c r="G11238" s="85"/>
    </row>
    <row r="11239">
      <c r="A11239" s="84"/>
      <c r="B11239" s="85"/>
      <c r="C11239" s="85"/>
      <c r="F11239" s="92"/>
      <c r="G11239" s="85"/>
    </row>
    <row r="11240">
      <c r="A11240" s="84"/>
      <c r="B11240" s="85"/>
      <c r="C11240" s="85"/>
      <c r="F11240" s="92"/>
      <c r="G11240" s="85"/>
    </row>
    <row r="11241">
      <c r="A11241" s="84"/>
      <c r="B11241" s="85"/>
      <c r="C11241" s="85"/>
      <c r="F11241" s="92"/>
      <c r="G11241" s="85"/>
    </row>
    <row r="11242">
      <c r="A11242" s="84"/>
      <c r="B11242" s="85"/>
      <c r="C11242" s="85"/>
      <c r="F11242" s="92"/>
      <c r="G11242" s="85"/>
    </row>
    <row r="11243">
      <c r="A11243" s="84"/>
      <c r="B11243" s="85"/>
      <c r="C11243" s="85"/>
      <c r="F11243" s="92"/>
      <c r="G11243" s="85"/>
    </row>
    <row r="11244">
      <c r="A11244" s="84"/>
      <c r="B11244" s="85"/>
      <c r="C11244" s="85"/>
      <c r="F11244" s="92"/>
      <c r="G11244" s="85"/>
    </row>
    <row r="11245">
      <c r="A11245" s="84"/>
      <c r="B11245" s="85"/>
      <c r="C11245" s="85"/>
      <c r="F11245" s="92"/>
      <c r="G11245" s="85"/>
    </row>
    <row r="11246">
      <c r="A11246" s="84"/>
      <c r="B11246" s="85"/>
      <c r="C11246" s="85"/>
      <c r="F11246" s="92"/>
      <c r="G11246" s="85"/>
    </row>
    <row r="11247">
      <c r="A11247" s="84"/>
      <c r="B11247" s="85"/>
      <c r="C11247" s="85"/>
      <c r="F11247" s="92"/>
      <c r="G11247" s="85"/>
    </row>
    <row r="11248">
      <c r="A11248" s="84"/>
      <c r="B11248" s="85"/>
      <c r="C11248" s="85"/>
      <c r="F11248" s="92"/>
      <c r="G11248" s="85"/>
    </row>
    <row r="11249">
      <c r="A11249" s="84"/>
      <c r="B11249" s="85"/>
      <c r="C11249" s="85"/>
      <c r="F11249" s="92"/>
      <c r="G11249" s="85"/>
    </row>
    <row r="11250">
      <c r="A11250" s="84"/>
      <c r="B11250" s="85"/>
      <c r="C11250" s="85"/>
      <c r="F11250" s="92"/>
      <c r="G11250" s="85"/>
    </row>
    <row r="11251">
      <c r="A11251" s="84"/>
      <c r="B11251" s="85"/>
      <c r="C11251" s="85"/>
      <c r="F11251" s="92"/>
      <c r="G11251" s="85"/>
    </row>
    <row r="11252">
      <c r="A11252" s="84"/>
      <c r="B11252" s="85"/>
      <c r="C11252" s="85"/>
      <c r="F11252" s="92"/>
      <c r="G11252" s="85"/>
    </row>
    <row r="11253">
      <c r="A11253" s="84"/>
      <c r="B11253" s="85"/>
      <c r="C11253" s="85"/>
      <c r="F11253" s="92"/>
      <c r="G11253" s="85"/>
    </row>
    <row r="11254">
      <c r="A11254" s="84"/>
      <c r="B11254" s="85"/>
      <c r="C11254" s="85"/>
      <c r="F11254" s="92"/>
      <c r="G11254" s="85"/>
    </row>
    <row r="11255">
      <c r="A11255" s="84"/>
      <c r="B11255" s="85"/>
      <c r="C11255" s="85"/>
      <c r="F11255" s="92"/>
      <c r="G11255" s="85"/>
    </row>
    <row r="11256">
      <c r="A11256" s="84"/>
      <c r="B11256" s="85"/>
      <c r="C11256" s="85"/>
      <c r="F11256" s="92"/>
      <c r="G11256" s="85"/>
    </row>
    <row r="11257">
      <c r="A11257" s="84"/>
      <c r="B11257" s="85"/>
      <c r="C11257" s="85"/>
      <c r="F11257" s="92"/>
      <c r="G11257" s="85"/>
    </row>
    <row r="11258">
      <c r="A11258" s="84"/>
      <c r="B11258" s="85"/>
      <c r="C11258" s="85"/>
      <c r="F11258" s="92"/>
      <c r="G11258" s="85"/>
    </row>
    <row r="11259">
      <c r="A11259" s="84"/>
      <c r="B11259" s="85"/>
      <c r="C11259" s="85"/>
      <c r="F11259" s="92"/>
      <c r="G11259" s="85"/>
    </row>
    <row r="11260">
      <c r="A11260" s="84"/>
      <c r="B11260" s="85"/>
      <c r="C11260" s="85"/>
      <c r="F11260" s="92"/>
      <c r="G11260" s="85"/>
    </row>
    <row r="11261">
      <c r="A11261" s="84"/>
      <c r="B11261" s="85"/>
      <c r="C11261" s="85"/>
      <c r="F11261" s="92"/>
      <c r="G11261" s="85"/>
    </row>
    <row r="11262">
      <c r="A11262" s="84"/>
      <c r="B11262" s="85"/>
      <c r="C11262" s="85"/>
      <c r="F11262" s="92"/>
      <c r="G11262" s="85"/>
    </row>
    <row r="11263">
      <c r="A11263" s="84"/>
      <c r="B11263" s="85"/>
      <c r="C11263" s="85"/>
      <c r="F11263" s="92"/>
      <c r="G11263" s="85"/>
    </row>
    <row r="11264">
      <c r="A11264" s="84"/>
      <c r="B11264" s="85"/>
      <c r="C11264" s="85"/>
      <c r="F11264" s="92"/>
      <c r="G11264" s="85"/>
    </row>
    <row r="11265">
      <c r="A11265" s="84"/>
      <c r="B11265" s="85"/>
      <c r="C11265" s="85"/>
      <c r="F11265" s="92"/>
      <c r="G11265" s="85"/>
    </row>
    <row r="11266">
      <c r="A11266" s="84"/>
      <c r="B11266" s="85"/>
      <c r="C11266" s="85"/>
      <c r="F11266" s="92"/>
      <c r="G11266" s="85"/>
    </row>
    <row r="11267">
      <c r="A11267" s="84"/>
      <c r="B11267" s="85"/>
      <c r="C11267" s="85"/>
      <c r="F11267" s="92"/>
      <c r="G11267" s="85"/>
    </row>
    <row r="11268">
      <c r="A11268" s="84"/>
      <c r="B11268" s="85"/>
      <c r="C11268" s="85"/>
      <c r="F11268" s="92"/>
      <c r="G11268" s="85"/>
    </row>
    <row r="11269">
      <c r="A11269" s="84"/>
      <c r="B11269" s="85"/>
      <c r="C11269" s="85"/>
      <c r="F11269" s="92"/>
      <c r="G11269" s="85"/>
    </row>
    <row r="11270">
      <c r="A11270" s="84"/>
      <c r="B11270" s="85"/>
      <c r="C11270" s="85"/>
      <c r="F11270" s="92"/>
      <c r="G11270" s="85"/>
    </row>
    <row r="11271">
      <c r="A11271" s="84"/>
      <c r="B11271" s="85"/>
      <c r="C11271" s="85"/>
      <c r="F11271" s="92"/>
      <c r="G11271" s="85"/>
    </row>
    <row r="11272">
      <c r="A11272" s="84"/>
      <c r="B11272" s="85"/>
      <c r="C11272" s="85"/>
      <c r="F11272" s="92"/>
      <c r="G11272" s="85"/>
    </row>
    <row r="11273">
      <c r="A11273" s="84"/>
      <c r="B11273" s="85"/>
      <c r="C11273" s="85"/>
      <c r="F11273" s="92"/>
      <c r="G11273" s="85"/>
    </row>
    <row r="11274">
      <c r="A11274" s="84"/>
      <c r="B11274" s="85"/>
      <c r="C11274" s="85"/>
      <c r="F11274" s="92"/>
      <c r="G11274" s="85"/>
    </row>
    <row r="11275">
      <c r="A11275" s="84"/>
      <c r="B11275" s="85"/>
      <c r="C11275" s="85"/>
      <c r="F11275" s="92"/>
      <c r="G11275" s="85"/>
    </row>
    <row r="11276">
      <c r="A11276" s="84"/>
      <c r="B11276" s="85"/>
      <c r="C11276" s="85"/>
      <c r="F11276" s="92"/>
      <c r="G11276" s="85"/>
    </row>
    <row r="11277">
      <c r="A11277" s="84"/>
      <c r="B11277" s="85"/>
      <c r="C11277" s="85"/>
      <c r="F11277" s="92"/>
      <c r="G11277" s="85"/>
    </row>
    <row r="11278">
      <c r="A11278" s="84"/>
      <c r="B11278" s="85"/>
      <c r="C11278" s="85"/>
      <c r="F11278" s="92"/>
      <c r="G11278" s="85"/>
    </row>
    <row r="11279">
      <c r="A11279" s="84"/>
      <c r="B11279" s="85"/>
      <c r="C11279" s="85"/>
      <c r="F11279" s="92"/>
      <c r="G11279" s="85"/>
    </row>
    <row r="11280">
      <c r="A11280" s="84"/>
      <c r="B11280" s="85"/>
      <c r="C11280" s="85"/>
      <c r="F11280" s="92"/>
      <c r="G11280" s="85"/>
    </row>
    <row r="11281">
      <c r="A11281" s="84"/>
      <c r="B11281" s="85"/>
      <c r="C11281" s="85"/>
      <c r="F11281" s="92"/>
      <c r="G11281" s="85"/>
    </row>
    <row r="11282">
      <c r="A11282" s="84"/>
      <c r="B11282" s="85"/>
      <c r="C11282" s="85"/>
      <c r="F11282" s="92"/>
      <c r="G11282" s="85"/>
    </row>
    <row r="11283">
      <c r="A11283" s="84"/>
      <c r="B11283" s="85"/>
      <c r="C11283" s="85"/>
      <c r="F11283" s="92"/>
      <c r="G11283" s="85"/>
    </row>
    <row r="11284">
      <c r="A11284" s="84"/>
      <c r="B11284" s="85"/>
      <c r="C11284" s="85"/>
      <c r="F11284" s="92"/>
      <c r="G11284" s="85"/>
    </row>
    <row r="11285">
      <c r="A11285" s="84"/>
      <c r="B11285" s="85"/>
      <c r="C11285" s="85"/>
      <c r="F11285" s="92"/>
      <c r="G11285" s="85"/>
    </row>
    <row r="11286">
      <c r="A11286" s="84"/>
      <c r="B11286" s="85"/>
      <c r="C11286" s="85"/>
      <c r="F11286" s="92"/>
      <c r="G11286" s="85"/>
    </row>
    <row r="11287">
      <c r="A11287" s="84"/>
      <c r="B11287" s="85"/>
      <c r="C11287" s="85"/>
      <c r="F11287" s="92"/>
      <c r="G11287" s="85"/>
    </row>
    <row r="11288">
      <c r="A11288" s="84"/>
      <c r="B11288" s="85"/>
      <c r="C11288" s="85"/>
      <c r="F11288" s="92"/>
      <c r="G11288" s="85"/>
    </row>
    <row r="11289">
      <c r="A11289" s="84"/>
      <c r="B11289" s="85"/>
      <c r="C11289" s="85"/>
      <c r="F11289" s="92"/>
      <c r="G11289" s="85"/>
    </row>
    <row r="11290">
      <c r="A11290" s="84"/>
      <c r="B11290" s="85"/>
      <c r="C11290" s="85"/>
      <c r="F11290" s="92"/>
      <c r="G11290" s="85"/>
    </row>
    <row r="11291">
      <c r="A11291" s="84"/>
      <c r="B11291" s="85"/>
      <c r="C11291" s="85"/>
      <c r="F11291" s="92"/>
      <c r="G11291" s="85"/>
    </row>
    <row r="11292">
      <c r="A11292" s="84"/>
      <c r="B11292" s="85"/>
      <c r="C11292" s="85"/>
      <c r="F11292" s="92"/>
      <c r="G11292" s="85"/>
    </row>
    <row r="11293">
      <c r="A11293" s="84"/>
      <c r="B11293" s="85"/>
      <c r="C11293" s="85"/>
      <c r="F11293" s="92"/>
      <c r="G11293" s="85"/>
    </row>
    <row r="11294">
      <c r="A11294" s="84"/>
      <c r="B11294" s="85"/>
      <c r="C11294" s="85"/>
      <c r="F11294" s="92"/>
      <c r="G11294" s="85"/>
    </row>
    <row r="11295">
      <c r="A11295" s="84"/>
      <c r="B11295" s="85"/>
      <c r="C11295" s="85"/>
      <c r="F11295" s="92"/>
      <c r="G11295" s="85"/>
    </row>
    <row r="11296">
      <c r="A11296" s="84"/>
      <c r="B11296" s="85"/>
      <c r="C11296" s="85"/>
      <c r="F11296" s="92"/>
      <c r="G11296" s="85"/>
    </row>
    <row r="11297">
      <c r="A11297" s="84"/>
      <c r="B11297" s="85"/>
      <c r="C11297" s="85"/>
      <c r="F11297" s="92"/>
      <c r="G11297" s="85"/>
    </row>
    <row r="11298">
      <c r="A11298" s="84"/>
      <c r="B11298" s="85"/>
      <c r="C11298" s="85"/>
      <c r="F11298" s="92"/>
      <c r="G11298" s="85"/>
    </row>
    <row r="11299">
      <c r="A11299" s="84"/>
      <c r="B11299" s="85"/>
      <c r="C11299" s="85"/>
      <c r="F11299" s="92"/>
      <c r="G11299" s="85"/>
    </row>
    <row r="11300">
      <c r="A11300" s="84"/>
      <c r="B11300" s="85"/>
      <c r="C11300" s="85"/>
      <c r="F11300" s="92"/>
      <c r="G11300" s="85"/>
    </row>
    <row r="11301">
      <c r="A11301" s="84"/>
      <c r="B11301" s="85"/>
      <c r="C11301" s="85"/>
      <c r="F11301" s="92"/>
      <c r="G11301" s="85"/>
    </row>
    <row r="11302">
      <c r="A11302" s="84"/>
      <c r="B11302" s="85"/>
      <c r="C11302" s="85"/>
      <c r="F11302" s="92"/>
      <c r="G11302" s="85"/>
    </row>
    <row r="11303">
      <c r="A11303" s="84"/>
      <c r="B11303" s="85"/>
      <c r="C11303" s="85"/>
      <c r="F11303" s="92"/>
      <c r="G11303" s="85"/>
    </row>
    <row r="11304">
      <c r="A11304" s="84"/>
      <c r="B11304" s="85"/>
      <c r="C11304" s="85"/>
      <c r="F11304" s="92"/>
      <c r="G11304" s="85"/>
    </row>
    <row r="11305">
      <c r="A11305" s="84"/>
      <c r="B11305" s="85"/>
      <c r="C11305" s="85"/>
      <c r="F11305" s="92"/>
      <c r="G11305" s="85"/>
    </row>
    <row r="11306">
      <c r="A11306" s="84"/>
      <c r="B11306" s="85"/>
      <c r="C11306" s="85"/>
      <c r="F11306" s="92"/>
      <c r="G11306" s="85"/>
    </row>
    <row r="11307">
      <c r="A11307" s="84"/>
      <c r="B11307" s="85"/>
      <c r="C11307" s="85"/>
      <c r="F11307" s="92"/>
      <c r="G11307" s="85"/>
    </row>
    <row r="11308">
      <c r="A11308" s="84"/>
      <c r="B11308" s="85"/>
      <c r="C11308" s="85"/>
      <c r="F11308" s="92"/>
      <c r="G11308" s="85"/>
    </row>
    <row r="11309">
      <c r="A11309" s="84"/>
      <c r="B11309" s="85"/>
      <c r="C11309" s="85"/>
      <c r="F11309" s="92"/>
      <c r="G11309" s="85"/>
    </row>
    <row r="11310">
      <c r="A11310" s="84"/>
      <c r="B11310" s="85"/>
      <c r="C11310" s="85"/>
      <c r="F11310" s="92"/>
      <c r="G11310" s="85"/>
    </row>
    <row r="11311">
      <c r="A11311" s="84"/>
      <c r="B11311" s="85"/>
      <c r="C11311" s="85"/>
      <c r="F11311" s="92"/>
      <c r="G11311" s="85"/>
    </row>
    <row r="11312">
      <c r="A11312" s="84"/>
      <c r="B11312" s="85"/>
      <c r="C11312" s="85"/>
      <c r="F11312" s="92"/>
      <c r="G11312" s="85"/>
    </row>
    <row r="11313">
      <c r="A11313" s="84"/>
      <c r="B11313" s="85"/>
      <c r="C11313" s="85"/>
      <c r="F11313" s="92"/>
      <c r="G11313" s="85"/>
    </row>
    <row r="11314">
      <c r="A11314" s="84"/>
      <c r="B11314" s="85"/>
      <c r="C11314" s="85"/>
      <c r="F11314" s="92"/>
      <c r="G11314" s="85"/>
    </row>
    <row r="11315">
      <c r="A11315" s="84"/>
      <c r="B11315" s="85"/>
      <c r="C11315" s="85"/>
      <c r="F11315" s="92"/>
      <c r="G11315" s="85"/>
    </row>
    <row r="11316">
      <c r="A11316" s="84"/>
      <c r="B11316" s="85"/>
      <c r="C11316" s="85"/>
      <c r="F11316" s="92"/>
      <c r="G11316" s="85"/>
    </row>
    <row r="11317">
      <c r="A11317" s="84"/>
      <c r="B11317" s="85"/>
      <c r="C11317" s="85"/>
      <c r="F11317" s="92"/>
      <c r="G11317" s="85"/>
    </row>
    <row r="11318">
      <c r="A11318" s="84"/>
      <c r="B11318" s="85"/>
      <c r="C11318" s="85"/>
      <c r="F11318" s="92"/>
      <c r="G11318" s="85"/>
    </row>
    <row r="11319">
      <c r="A11319" s="84"/>
      <c r="B11319" s="85"/>
      <c r="C11319" s="85"/>
      <c r="F11319" s="92"/>
      <c r="G11319" s="85"/>
    </row>
    <row r="11320">
      <c r="A11320" s="84"/>
      <c r="B11320" s="85"/>
      <c r="C11320" s="85"/>
      <c r="F11320" s="92"/>
      <c r="G11320" s="85"/>
    </row>
    <row r="11321">
      <c r="A11321" s="84"/>
      <c r="B11321" s="85"/>
      <c r="C11321" s="85"/>
      <c r="F11321" s="92"/>
      <c r="G11321" s="85"/>
    </row>
    <row r="11322">
      <c r="A11322" s="84"/>
      <c r="B11322" s="85"/>
      <c r="C11322" s="85"/>
      <c r="F11322" s="92"/>
      <c r="G11322" s="85"/>
    </row>
    <row r="11323">
      <c r="A11323" s="84"/>
      <c r="B11323" s="85"/>
      <c r="C11323" s="85"/>
      <c r="F11323" s="92"/>
      <c r="G11323" s="85"/>
    </row>
    <row r="11324">
      <c r="A11324" s="84"/>
      <c r="B11324" s="85"/>
      <c r="C11324" s="85"/>
      <c r="F11324" s="92"/>
      <c r="G11324" s="85"/>
    </row>
    <row r="11325">
      <c r="A11325" s="84"/>
      <c r="B11325" s="85"/>
      <c r="C11325" s="85"/>
      <c r="F11325" s="92"/>
      <c r="G11325" s="85"/>
    </row>
    <row r="11326">
      <c r="A11326" s="84"/>
      <c r="B11326" s="85"/>
      <c r="C11326" s="85"/>
      <c r="F11326" s="92"/>
      <c r="G11326" s="85"/>
    </row>
    <row r="11327">
      <c r="A11327" s="84"/>
      <c r="B11327" s="85"/>
      <c r="C11327" s="85"/>
      <c r="F11327" s="92"/>
      <c r="G11327" s="85"/>
    </row>
    <row r="11328">
      <c r="A11328" s="84"/>
      <c r="B11328" s="85"/>
      <c r="C11328" s="85"/>
      <c r="F11328" s="92"/>
      <c r="G11328" s="85"/>
    </row>
    <row r="11329">
      <c r="A11329" s="84"/>
      <c r="B11329" s="85"/>
      <c r="C11329" s="85"/>
      <c r="F11329" s="92"/>
      <c r="G11329" s="85"/>
    </row>
    <row r="11330">
      <c r="A11330" s="84"/>
      <c r="B11330" s="85"/>
      <c r="C11330" s="85"/>
      <c r="F11330" s="92"/>
      <c r="G11330" s="85"/>
    </row>
    <row r="11331">
      <c r="A11331" s="84"/>
      <c r="B11331" s="85"/>
      <c r="C11331" s="85"/>
      <c r="F11331" s="92"/>
      <c r="G11331" s="85"/>
    </row>
    <row r="11332">
      <c r="A11332" s="84"/>
      <c r="B11332" s="85"/>
      <c r="C11332" s="85"/>
      <c r="F11332" s="92"/>
      <c r="G11332" s="85"/>
    </row>
    <row r="11333">
      <c r="A11333" s="84"/>
      <c r="B11333" s="85"/>
      <c r="C11333" s="85"/>
      <c r="F11333" s="92"/>
      <c r="G11333" s="85"/>
    </row>
    <row r="11334">
      <c r="A11334" s="84"/>
      <c r="B11334" s="85"/>
      <c r="C11334" s="85"/>
      <c r="F11334" s="92"/>
      <c r="G11334" s="85"/>
    </row>
    <row r="11335">
      <c r="A11335" s="84"/>
      <c r="B11335" s="85"/>
      <c r="C11335" s="85"/>
      <c r="F11335" s="92"/>
      <c r="G11335" s="85"/>
    </row>
    <row r="11336">
      <c r="A11336" s="84"/>
      <c r="B11336" s="85"/>
      <c r="C11336" s="85"/>
      <c r="F11336" s="92"/>
      <c r="G11336" s="85"/>
    </row>
    <row r="11337">
      <c r="A11337" s="84"/>
      <c r="B11337" s="85"/>
      <c r="C11337" s="85"/>
      <c r="F11337" s="92"/>
      <c r="G11337" s="85"/>
    </row>
    <row r="11338">
      <c r="A11338" s="84"/>
      <c r="B11338" s="85"/>
      <c r="C11338" s="85"/>
      <c r="F11338" s="92"/>
      <c r="G11338" s="85"/>
    </row>
    <row r="11339">
      <c r="A11339" s="84"/>
      <c r="B11339" s="85"/>
      <c r="C11339" s="85"/>
      <c r="F11339" s="92"/>
      <c r="G11339" s="85"/>
    </row>
    <row r="11340">
      <c r="A11340" s="84"/>
      <c r="B11340" s="85"/>
      <c r="C11340" s="85"/>
      <c r="F11340" s="92"/>
      <c r="G11340" s="85"/>
    </row>
    <row r="11341">
      <c r="A11341" s="84"/>
      <c r="B11341" s="85"/>
      <c r="C11341" s="85"/>
      <c r="F11341" s="92"/>
      <c r="G11341" s="85"/>
    </row>
    <row r="11342">
      <c r="A11342" s="84"/>
      <c r="B11342" s="85"/>
      <c r="C11342" s="85"/>
      <c r="F11342" s="92"/>
      <c r="G11342" s="85"/>
    </row>
    <row r="11343">
      <c r="A11343" s="84"/>
      <c r="B11343" s="85"/>
      <c r="C11343" s="85"/>
      <c r="F11343" s="92"/>
      <c r="G11343" s="85"/>
    </row>
    <row r="11344">
      <c r="A11344" s="84"/>
      <c r="B11344" s="85"/>
      <c r="C11344" s="85"/>
      <c r="F11344" s="92"/>
      <c r="G11344" s="85"/>
    </row>
    <row r="11345">
      <c r="A11345" s="84"/>
      <c r="B11345" s="85"/>
      <c r="C11345" s="85"/>
      <c r="F11345" s="92"/>
      <c r="G11345" s="85"/>
    </row>
    <row r="11346">
      <c r="A11346" s="84"/>
      <c r="B11346" s="85"/>
      <c r="C11346" s="85"/>
      <c r="F11346" s="92"/>
      <c r="G11346" s="85"/>
    </row>
    <row r="11347">
      <c r="A11347" s="84"/>
      <c r="B11347" s="85"/>
      <c r="C11347" s="85"/>
      <c r="F11347" s="92"/>
      <c r="G11347" s="85"/>
    </row>
    <row r="11348">
      <c r="A11348" s="84"/>
      <c r="B11348" s="85"/>
      <c r="C11348" s="85"/>
      <c r="F11348" s="92"/>
      <c r="G11348" s="85"/>
    </row>
    <row r="11349">
      <c r="A11349" s="84"/>
      <c r="B11349" s="85"/>
      <c r="C11349" s="85"/>
      <c r="F11349" s="92"/>
      <c r="G11349" s="85"/>
    </row>
    <row r="11350">
      <c r="A11350" s="84"/>
      <c r="B11350" s="85"/>
      <c r="C11350" s="85"/>
      <c r="F11350" s="92"/>
      <c r="G11350" s="85"/>
    </row>
    <row r="11351">
      <c r="A11351" s="84"/>
      <c r="B11351" s="85"/>
      <c r="C11351" s="85"/>
      <c r="F11351" s="92"/>
      <c r="G11351" s="85"/>
    </row>
    <row r="11352">
      <c r="A11352" s="84"/>
      <c r="B11352" s="85"/>
      <c r="C11352" s="85"/>
      <c r="F11352" s="92"/>
      <c r="G11352" s="85"/>
    </row>
    <row r="11353">
      <c r="A11353" s="84"/>
      <c r="B11353" s="85"/>
      <c r="C11353" s="85"/>
      <c r="F11353" s="92"/>
      <c r="G11353" s="85"/>
    </row>
    <row r="11354">
      <c r="A11354" s="84"/>
      <c r="B11354" s="85"/>
      <c r="C11354" s="85"/>
      <c r="F11354" s="92"/>
      <c r="G11354" s="85"/>
    </row>
    <row r="11355">
      <c r="A11355" s="84"/>
      <c r="B11355" s="85"/>
      <c r="C11355" s="85"/>
      <c r="F11355" s="92"/>
      <c r="G11355" s="85"/>
    </row>
    <row r="11356">
      <c r="A11356" s="84"/>
      <c r="B11356" s="85"/>
      <c r="C11356" s="85"/>
      <c r="F11356" s="92"/>
      <c r="G11356" s="85"/>
    </row>
    <row r="11357">
      <c r="A11357" s="84"/>
      <c r="B11357" s="85"/>
      <c r="C11357" s="85"/>
      <c r="F11357" s="92"/>
      <c r="G11357" s="85"/>
    </row>
    <row r="11358">
      <c r="A11358" s="84"/>
      <c r="B11358" s="85"/>
      <c r="C11358" s="85"/>
      <c r="F11358" s="92"/>
      <c r="G11358" s="85"/>
    </row>
    <row r="11359">
      <c r="A11359" s="84"/>
      <c r="B11359" s="85"/>
      <c r="C11359" s="85"/>
      <c r="F11359" s="92"/>
      <c r="G11359" s="85"/>
    </row>
    <row r="11360">
      <c r="A11360" s="84"/>
      <c r="B11360" s="85"/>
      <c r="C11360" s="85"/>
      <c r="F11360" s="92"/>
      <c r="G11360" s="85"/>
    </row>
    <row r="11361">
      <c r="A11361" s="84"/>
      <c r="B11361" s="85"/>
      <c r="C11361" s="85"/>
      <c r="F11361" s="92"/>
      <c r="G11361" s="85"/>
    </row>
    <row r="11362">
      <c r="A11362" s="84"/>
      <c r="B11362" s="85"/>
      <c r="C11362" s="85"/>
      <c r="F11362" s="92"/>
      <c r="G11362" s="85"/>
    </row>
    <row r="11363">
      <c r="A11363" s="84"/>
      <c r="B11363" s="85"/>
      <c r="C11363" s="85"/>
      <c r="F11363" s="92"/>
      <c r="G11363" s="85"/>
    </row>
    <row r="11364">
      <c r="A11364" s="84"/>
      <c r="B11364" s="85"/>
      <c r="C11364" s="85"/>
      <c r="F11364" s="92"/>
      <c r="G11364" s="85"/>
    </row>
    <row r="11365">
      <c r="A11365" s="84"/>
      <c r="B11365" s="85"/>
      <c r="C11365" s="85"/>
      <c r="F11365" s="92"/>
      <c r="G11365" s="85"/>
    </row>
    <row r="11366">
      <c r="A11366" s="84"/>
      <c r="B11366" s="85"/>
      <c r="C11366" s="85"/>
      <c r="F11366" s="92"/>
      <c r="G11366" s="85"/>
    </row>
    <row r="11367">
      <c r="A11367" s="84"/>
      <c r="B11367" s="85"/>
      <c r="C11367" s="85"/>
      <c r="F11367" s="92"/>
      <c r="G11367" s="85"/>
    </row>
    <row r="11368">
      <c r="A11368" s="84"/>
      <c r="B11368" s="85"/>
      <c r="C11368" s="85"/>
      <c r="F11368" s="92"/>
      <c r="G11368" s="85"/>
    </row>
    <row r="11369">
      <c r="A11369" s="84"/>
      <c r="B11369" s="85"/>
      <c r="C11369" s="85"/>
      <c r="F11369" s="92"/>
      <c r="G11369" s="85"/>
    </row>
    <row r="11370">
      <c r="A11370" s="84"/>
      <c r="B11370" s="85"/>
      <c r="C11370" s="85"/>
      <c r="F11370" s="92"/>
      <c r="G11370" s="85"/>
    </row>
    <row r="11371">
      <c r="A11371" s="84"/>
      <c r="B11371" s="85"/>
      <c r="C11371" s="85"/>
      <c r="F11371" s="92"/>
      <c r="G11371" s="85"/>
    </row>
    <row r="11372">
      <c r="A11372" s="84"/>
      <c r="B11372" s="85"/>
      <c r="C11372" s="85"/>
      <c r="F11372" s="92"/>
      <c r="G11372" s="85"/>
    </row>
    <row r="11373">
      <c r="A11373" s="84"/>
      <c r="B11373" s="85"/>
      <c r="C11373" s="85"/>
      <c r="F11373" s="92"/>
      <c r="G11373" s="85"/>
    </row>
    <row r="11374">
      <c r="A11374" s="84"/>
      <c r="B11374" s="85"/>
      <c r="C11374" s="85"/>
      <c r="F11374" s="92"/>
      <c r="G11374" s="85"/>
    </row>
    <row r="11375">
      <c r="A11375" s="84"/>
      <c r="B11375" s="85"/>
      <c r="C11375" s="85"/>
      <c r="F11375" s="92"/>
      <c r="G11375" s="85"/>
    </row>
    <row r="11376">
      <c r="A11376" s="84"/>
      <c r="B11376" s="85"/>
      <c r="C11376" s="85"/>
      <c r="F11376" s="92"/>
      <c r="G11376" s="85"/>
    </row>
    <row r="11377">
      <c r="A11377" s="84"/>
      <c r="B11377" s="85"/>
      <c r="C11377" s="85"/>
      <c r="F11377" s="92"/>
      <c r="G11377" s="85"/>
    </row>
    <row r="11378">
      <c r="A11378" s="84"/>
      <c r="B11378" s="85"/>
      <c r="C11378" s="85"/>
      <c r="F11378" s="92"/>
      <c r="G11378" s="85"/>
    </row>
    <row r="11379">
      <c r="A11379" s="84"/>
      <c r="B11379" s="85"/>
      <c r="C11379" s="85"/>
      <c r="F11379" s="92"/>
      <c r="G11379" s="85"/>
    </row>
    <row r="11380">
      <c r="A11380" s="84"/>
      <c r="B11380" s="85"/>
      <c r="C11380" s="85"/>
      <c r="F11380" s="92"/>
      <c r="G11380" s="85"/>
    </row>
    <row r="11381">
      <c r="A11381" s="84"/>
      <c r="B11381" s="85"/>
      <c r="C11381" s="85"/>
      <c r="F11381" s="92"/>
      <c r="G11381" s="85"/>
    </row>
    <row r="11382">
      <c r="A11382" s="84"/>
      <c r="B11382" s="85"/>
      <c r="C11382" s="85"/>
      <c r="F11382" s="92"/>
      <c r="G11382" s="85"/>
    </row>
    <row r="11383">
      <c r="A11383" s="84"/>
      <c r="B11383" s="85"/>
      <c r="C11383" s="85"/>
      <c r="F11383" s="92"/>
      <c r="G11383" s="85"/>
    </row>
    <row r="11384">
      <c r="A11384" s="84"/>
      <c r="B11384" s="85"/>
      <c r="C11384" s="85"/>
      <c r="F11384" s="92"/>
      <c r="G11384" s="85"/>
    </row>
    <row r="11385">
      <c r="A11385" s="84"/>
      <c r="B11385" s="85"/>
      <c r="C11385" s="85"/>
      <c r="F11385" s="92"/>
      <c r="G11385" s="85"/>
    </row>
    <row r="11386">
      <c r="A11386" s="84"/>
      <c r="B11386" s="85"/>
      <c r="C11386" s="85"/>
      <c r="F11386" s="92"/>
      <c r="G11386" s="85"/>
    </row>
    <row r="11387">
      <c r="A11387" s="84"/>
      <c r="B11387" s="85"/>
      <c r="C11387" s="85"/>
      <c r="F11387" s="92"/>
      <c r="G11387" s="85"/>
    </row>
    <row r="11388">
      <c r="A11388" s="84"/>
      <c r="B11388" s="85"/>
      <c r="C11388" s="85"/>
      <c r="F11388" s="92"/>
      <c r="G11388" s="85"/>
    </row>
    <row r="11389">
      <c r="A11389" s="84"/>
      <c r="B11389" s="85"/>
      <c r="C11389" s="85"/>
      <c r="F11389" s="92"/>
      <c r="G11389" s="85"/>
    </row>
    <row r="11390">
      <c r="A11390" s="84"/>
      <c r="B11390" s="85"/>
      <c r="C11390" s="85"/>
      <c r="F11390" s="92"/>
      <c r="G11390" s="85"/>
    </row>
    <row r="11391">
      <c r="A11391" s="84"/>
      <c r="B11391" s="85"/>
      <c r="C11391" s="85"/>
      <c r="F11391" s="92"/>
      <c r="G11391" s="85"/>
    </row>
    <row r="11392">
      <c r="A11392" s="84"/>
      <c r="B11392" s="85"/>
      <c r="C11392" s="85"/>
      <c r="F11392" s="92"/>
      <c r="G11392" s="85"/>
    </row>
    <row r="11393">
      <c r="A11393" s="84"/>
      <c r="B11393" s="85"/>
      <c r="C11393" s="85"/>
      <c r="F11393" s="92"/>
      <c r="G11393" s="85"/>
    </row>
    <row r="11394">
      <c r="A11394" s="84"/>
      <c r="B11394" s="85"/>
      <c r="C11394" s="85"/>
      <c r="F11394" s="92"/>
      <c r="G11394" s="85"/>
    </row>
    <row r="11395">
      <c r="A11395" s="84"/>
      <c r="B11395" s="85"/>
      <c r="C11395" s="85"/>
      <c r="F11395" s="92"/>
      <c r="G11395" s="85"/>
    </row>
    <row r="11396">
      <c r="A11396" s="84"/>
      <c r="B11396" s="85"/>
      <c r="C11396" s="85"/>
      <c r="F11396" s="92"/>
      <c r="G11396" s="85"/>
    </row>
    <row r="11397">
      <c r="A11397" s="84"/>
      <c r="B11397" s="85"/>
      <c r="C11397" s="85"/>
      <c r="F11397" s="92"/>
      <c r="G11397" s="85"/>
    </row>
    <row r="11398">
      <c r="A11398" s="84"/>
      <c r="B11398" s="85"/>
      <c r="C11398" s="85"/>
      <c r="F11398" s="92"/>
      <c r="G11398" s="85"/>
    </row>
    <row r="11399">
      <c r="A11399" s="84"/>
      <c r="B11399" s="85"/>
      <c r="C11399" s="85"/>
      <c r="F11399" s="92"/>
      <c r="G11399" s="85"/>
    </row>
    <row r="11400">
      <c r="A11400" s="84"/>
      <c r="B11400" s="85"/>
      <c r="C11400" s="85"/>
      <c r="F11400" s="92"/>
      <c r="G11400" s="85"/>
    </row>
    <row r="11401">
      <c r="A11401" s="84"/>
      <c r="B11401" s="85"/>
      <c r="C11401" s="85"/>
      <c r="F11401" s="92"/>
      <c r="G11401" s="85"/>
    </row>
    <row r="11402">
      <c r="A11402" s="84"/>
      <c r="B11402" s="85"/>
      <c r="C11402" s="85"/>
      <c r="F11402" s="92"/>
      <c r="G11402" s="85"/>
    </row>
    <row r="11403">
      <c r="A11403" s="84"/>
      <c r="B11403" s="85"/>
      <c r="C11403" s="85"/>
      <c r="F11403" s="92"/>
      <c r="G11403" s="85"/>
    </row>
    <row r="11404">
      <c r="A11404" s="84"/>
      <c r="B11404" s="85"/>
      <c r="C11404" s="85"/>
      <c r="F11404" s="92"/>
      <c r="G11404" s="85"/>
    </row>
    <row r="11405">
      <c r="A11405" s="84"/>
      <c r="B11405" s="85"/>
      <c r="C11405" s="85"/>
      <c r="F11405" s="92"/>
      <c r="G11405" s="85"/>
    </row>
    <row r="11406">
      <c r="A11406" s="84"/>
      <c r="B11406" s="85"/>
      <c r="C11406" s="85"/>
      <c r="F11406" s="92"/>
      <c r="G11406" s="85"/>
    </row>
    <row r="11407">
      <c r="A11407" s="84"/>
      <c r="B11407" s="85"/>
      <c r="C11407" s="85"/>
      <c r="F11407" s="92"/>
      <c r="G11407" s="85"/>
    </row>
    <row r="11408">
      <c r="A11408" s="84"/>
      <c r="B11408" s="85"/>
      <c r="C11408" s="85"/>
      <c r="F11408" s="92"/>
      <c r="G11408" s="85"/>
    </row>
    <row r="11409">
      <c r="A11409" s="84"/>
      <c r="B11409" s="85"/>
      <c r="C11409" s="85"/>
      <c r="F11409" s="92"/>
      <c r="G11409" s="85"/>
    </row>
    <row r="11410">
      <c r="A11410" s="84"/>
      <c r="B11410" s="85"/>
      <c r="C11410" s="85"/>
      <c r="F11410" s="92"/>
      <c r="G11410" s="85"/>
    </row>
    <row r="11411">
      <c r="A11411" s="84"/>
      <c r="B11411" s="85"/>
      <c r="C11411" s="85"/>
      <c r="F11411" s="92"/>
      <c r="G11411" s="85"/>
    </row>
    <row r="11412">
      <c r="A11412" s="84"/>
      <c r="B11412" s="85"/>
      <c r="C11412" s="85"/>
      <c r="F11412" s="92"/>
      <c r="G11412" s="85"/>
    </row>
    <row r="11413">
      <c r="A11413" s="84"/>
      <c r="B11413" s="85"/>
      <c r="C11413" s="85"/>
      <c r="F11413" s="92"/>
      <c r="G11413" s="85"/>
    </row>
    <row r="11414">
      <c r="A11414" s="84"/>
      <c r="B11414" s="85"/>
      <c r="C11414" s="85"/>
      <c r="F11414" s="92"/>
      <c r="G11414" s="85"/>
    </row>
    <row r="11415">
      <c r="A11415" s="84"/>
      <c r="B11415" s="85"/>
      <c r="C11415" s="85"/>
      <c r="F11415" s="92"/>
      <c r="G11415" s="85"/>
    </row>
    <row r="11416">
      <c r="A11416" s="84"/>
      <c r="B11416" s="85"/>
      <c r="C11416" s="85"/>
      <c r="F11416" s="92"/>
      <c r="G11416" s="85"/>
    </row>
    <row r="11417">
      <c r="A11417" s="84"/>
      <c r="B11417" s="85"/>
      <c r="C11417" s="85"/>
      <c r="F11417" s="92"/>
      <c r="G11417" s="85"/>
    </row>
    <row r="11418">
      <c r="A11418" s="84"/>
      <c r="B11418" s="85"/>
      <c r="C11418" s="85"/>
      <c r="F11418" s="92"/>
      <c r="G11418" s="85"/>
    </row>
    <row r="11419">
      <c r="A11419" s="84"/>
      <c r="B11419" s="85"/>
      <c r="C11419" s="85"/>
      <c r="F11419" s="92"/>
      <c r="G11419" s="85"/>
    </row>
    <row r="11420">
      <c r="A11420" s="84"/>
      <c r="B11420" s="85"/>
      <c r="C11420" s="85"/>
      <c r="F11420" s="92"/>
      <c r="G11420" s="85"/>
    </row>
    <row r="11421">
      <c r="A11421" s="84"/>
      <c r="B11421" s="85"/>
      <c r="C11421" s="85"/>
      <c r="F11421" s="92"/>
      <c r="G11421" s="85"/>
    </row>
    <row r="11422">
      <c r="A11422" s="84"/>
      <c r="B11422" s="85"/>
      <c r="C11422" s="85"/>
      <c r="F11422" s="92"/>
      <c r="G11422" s="85"/>
    </row>
    <row r="11423">
      <c r="A11423" s="84"/>
      <c r="B11423" s="85"/>
      <c r="C11423" s="85"/>
      <c r="F11423" s="92"/>
      <c r="G11423" s="85"/>
    </row>
    <row r="11424">
      <c r="A11424" s="84"/>
      <c r="B11424" s="85"/>
      <c r="C11424" s="85"/>
      <c r="F11424" s="92"/>
      <c r="G11424" s="85"/>
    </row>
    <row r="11425">
      <c r="A11425" s="84"/>
      <c r="B11425" s="85"/>
      <c r="C11425" s="85"/>
      <c r="F11425" s="92"/>
      <c r="G11425" s="85"/>
    </row>
    <row r="11426">
      <c r="A11426" s="84"/>
      <c r="B11426" s="85"/>
      <c r="C11426" s="85"/>
      <c r="F11426" s="92"/>
      <c r="G11426" s="85"/>
    </row>
    <row r="11427">
      <c r="A11427" s="84"/>
      <c r="B11427" s="85"/>
      <c r="C11427" s="85"/>
      <c r="F11427" s="92"/>
      <c r="G11427" s="85"/>
    </row>
    <row r="11428">
      <c r="A11428" s="84"/>
      <c r="B11428" s="85"/>
      <c r="C11428" s="85"/>
      <c r="F11428" s="92"/>
      <c r="G11428" s="85"/>
    </row>
    <row r="11429">
      <c r="A11429" s="84"/>
      <c r="B11429" s="85"/>
      <c r="C11429" s="85"/>
      <c r="F11429" s="92"/>
      <c r="G11429" s="85"/>
    </row>
    <row r="11430">
      <c r="A11430" s="84"/>
      <c r="B11430" s="85"/>
      <c r="C11430" s="85"/>
      <c r="F11430" s="92"/>
      <c r="G11430" s="85"/>
    </row>
    <row r="11431">
      <c r="A11431" s="84"/>
      <c r="B11431" s="85"/>
      <c r="C11431" s="85"/>
      <c r="F11431" s="92"/>
      <c r="G11431" s="85"/>
    </row>
    <row r="11432">
      <c r="A11432" s="84"/>
      <c r="B11432" s="85"/>
      <c r="C11432" s="85"/>
      <c r="F11432" s="92"/>
      <c r="G11432" s="85"/>
    </row>
    <row r="11433">
      <c r="A11433" s="84"/>
      <c r="B11433" s="85"/>
      <c r="C11433" s="85"/>
      <c r="F11433" s="92"/>
      <c r="G11433" s="85"/>
    </row>
    <row r="11434">
      <c r="A11434" s="84"/>
      <c r="B11434" s="85"/>
      <c r="C11434" s="85"/>
      <c r="F11434" s="92"/>
      <c r="G11434" s="85"/>
    </row>
    <row r="11435">
      <c r="A11435" s="84"/>
      <c r="B11435" s="85"/>
      <c r="C11435" s="85"/>
      <c r="F11435" s="92"/>
      <c r="G11435" s="85"/>
    </row>
    <row r="11436">
      <c r="A11436" s="84"/>
      <c r="B11436" s="85"/>
      <c r="C11436" s="85"/>
      <c r="F11436" s="92"/>
      <c r="G11436" s="85"/>
    </row>
    <row r="11437">
      <c r="A11437" s="84"/>
      <c r="B11437" s="85"/>
      <c r="C11437" s="85"/>
      <c r="F11437" s="92"/>
      <c r="G11437" s="85"/>
    </row>
    <row r="11438">
      <c r="A11438" s="84"/>
      <c r="B11438" s="85"/>
      <c r="C11438" s="85"/>
      <c r="F11438" s="92"/>
      <c r="G11438" s="85"/>
    </row>
    <row r="11439">
      <c r="A11439" s="84"/>
      <c r="B11439" s="85"/>
      <c r="C11439" s="85"/>
      <c r="F11439" s="92"/>
      <c r="G11439" s="85"/>
    </row>
    <row r="11440">
      <c r="A11440" s="84"/>
      <c r="B11440" s="85"/>
      <c r="C11440" s="85"/>
      <c r="F11440" s="92"/>
      <c r="G11440" s="85"/>
    </row>
    <row r="11441">
      <c r="A11441" s="84"/>
      <c r="B11441" s="85"/>
      <c r="C11441" s="85"/>
      <c r="F11441" s="92"/>
      <c r="G11441" s="85"/>
    </row>
    <row r="11442">
      <c r="A11442" s="84"/>
      <c r="B11442" s="85"/>
      <c r="C11442" s="85"/>
      <c r="F11442" s="92"/>
      <c r="G11442" s="85"/>
    </row>
    <row r="11443">
      <c r="A11443" s="84"/>
      <c r="B11443" s="85"/>
      <c r="C11443" s="85"/>
      <c r="F11443" s="92"/>
      <c r="G11443" s="85"/>
    </row>
    <row r="11444">
      <c r="A11444" s="84"/>
      <c r="B11444" s="85"/>
      <c r="C11444" s="85"/>
      <c r="F11444" s="92"/>
      <c r="G11444" s="85"/>
    </row>
    <row r="11445">
      <c r="A11445" s="84"/>
      <c r="B11445" s="85"/>
      <c r="C11445" s="85"/>
      <c r="F11445" s="92"/>
      <c r="G11445" s="85"/>
    </row>
    <row r="11446">
      <c r="A11446" s="84"/>
      <c r="B11446" s="85"/>
      <c r="C11446" s="85"/>
      <c r="F11446" s="92"/>
      <c r="G11446" s="85"/>
    </row>
    <row r="11447">
      <c r="A11447" s="84"/>
      <c r="B11447" s="85"/>
      <c r="C11447" s="85"/>
      <c r="F11447" s="92"/>
      <c r="G11447" s="85"/>
    </row>
    <row r="11448">
      <c r="A11448" s="84"/>
      <c r="B11448" s="85"/>
      <c r="C11448" s="85"/>
      <c r="F11448" s="92"/>
      <c r="G11448" s="85"/>
    </row>
    <row r="11449">
      <c r="A11449" s="84"/>
      <c r="B11449" s="85"/>
      <c r="C11449" s="85"/>
      <c r="F11449" s="92"/>
      <c r="G11449" s="85"/>
    </row>
    <row r="11450">
      <c r="A11450" s="84"/>
      <c r="B11450" s="85"/>
      <c r="C11450" s="85"/>
      <c r="F11450" s="92"/>
      <c r="G11450" s="85"/>
    </row>
    <row r="11451">
      <c r="A11451" s="84"/>
      <c r="B11451" s="85"/>
      <c r="C11451" s="85"/>
      <c r="F11451" s="92"/>
      <c r="G11451" s="85"/>
    </row>
    <row r="11452">
      <c r="A11452" s="84"/>
      <c r="B11452" s="85"/>
      <c r="C11452" s="85"/>
      <c r="F11452" s="92"/>
      <c r="G11452" s="85"/>
    </row>
    <row r="11453">
      <c r="A11453" s="84"/>
      <c r="B11453" s="85"/>
      <c r="C11453" s="85"/>
      <c r="F11453" s="92"/>
      <c r="G11453" s="85"/>
    </row>
    <row r="11454">
      <c r="A11454" s="84"/>
      <c r="B11454" s="85"/>
      <c r="C11454" s="85"/>
      <c r="F11454" s="92"/>
      <c r="G11454" s="85"/>
    </row>
    <row r="11455">
      <c r="A11455" s="84"/>
      <c r="B11455" s="85"/>
      <c r="C11455" s="85"/>
      <c r="F11455" s="92"/>
      <c r="G11455" s="85"/>
    </row>
    <row r="11456">
      <c r="A11456" s="84"/>
      <c r="B11456" s="85"/>
      <c r="C11456" s="85"/>
      <c r="F11456" s="92"/>
      <c r="G11456" s="85"/>
    </row>
    <row r="11457">
      <c r="A11457" s="84"/>
      <c r="B11457" s="85"/>
      <c r="C11457" s="85"/>
      <c r="F11457" s="92"/>
      <c r="G11457" s="85"/>
    </row>
    <row r="11458">
      <c r="A11458" s="84"/>
      <c r="B11458" s="85"/>
      <c r="C11458" s="85"/>
      <c r="F11458" s="92"/>
      <c r="G11458" s="85"/>
    </row>
    <row r="11459">
      <c r="A11459" s="84"/>
      <c r="B11459" s="85"/>
      <c r="C11459" s="85"/>
      <c r="F11459" s="92"/>
      <c r="G11459" s="85"/>
    </row>
    <row r="11460">
      <c r="A11460" s="84"/>
      <c r="B11460" s="85"/>
      <c r="C11460" s="85"/>
      <c r="F11460" s="92"/>
      <c r="G11460" s="85"/>
    </row>
    <row r="11461">
      <c r="A11461" s="84"/>
      <c r="B11461" s="85"/>
      <c r="C11461" s="85"/>
      <c r="F11461" s="92"/>
      <c r="G11461" s="85"/>
    </row>
    <row r="11462">
      <c r="A11462" s="84"/>
      <c r="B11462" s="85"/>
      <c r="C11462" s="85"/>
      <c r="F11462" s="92"/>
      <c r="G11462" s="85"/>
    </row>
    <row r="11463">
      <c r="A11463" s="84"/>
      <c r="B11463" s="85"/>
      <c r="C11463" s="85"/>
      <c r="F11463" s="92"/>
      <c r="G11463" s="85"/>
    </row>
    <row r="11464">
      <c r="A11464" s="84"/>
      <c r="B11464" s="85"/>
      <c r="C11464" s="85"/>
      <c r="F11464" s="92"/>
      <c r="G11464" s="85"/>
    </row>
    <row r="11465">
      <c r="A11465" s="84"/>
      <c r="B11465" s="85"/>
      <c r="C11465" s="85"/>
      <c r="F11465" s="92"/>
      <c r="G11465" s="85"/>
    </row>
    <row r="11466">
      <c r="A11466" s="84"/>
      <c r="B11466" s="85"/>
      <c r="C11466" s="85"/>
      <c r="F11466" s="92"/>
      <c r="G11466" s="85"/>
    </row>
    <row r="11467">
      <c r="A11467" s="84"/>
      <c r="B11467" s="85"/>
      <c r="C11467" s="85"/>
      <c r="F11467" s="92"/>
      <c r="G11467" s="85"/>
    </row>
    <row r="11468">
      <c r="A11468" s="84"/>
      <c r="B11468" s="85"/>
      <c r="C11468" s="85"/>
      <c r="F11468" s="92"/>
      <c r="G11468" s="85"/>
    </row>
    <row r="11469">
      <c r="A11469" s="84"/>
      <c r="B11469" s="85"/>
      <c r="C11469" s="85"/>
      <c r="F11469" s="92"/>
      <c r="G11469" s="85"/>
    </row>
    <row r="11470">
      <c r="A11470" s="84"/>
      <c r="B11470" s="85"/>
      <c r="C11470" s="85"/>
      <c r="F11470" s="92"/>
      <c r="G11470" s="85"/>
    </row>
    <row r="11471">
      <c r="A11471" s="84"/>
      <c r="B11471" s="85"/>
      <c r="C11471" s="85"/>
      <c r="F11471" s="92"/>
      <c r="G11471" s="85"/>
    </row>
    <row r="11472">
      <c r="A11472" s="84"/>
      <c r="B11472" s="85"/>
      <c r="C11472" s="85"/>
      <c r="F11472" s="92"/>
      <c r="G11472" s="85"/>
    </row>
    <row r="11473">
      <c r="A11473" s="84"/>
      <c r="B11473" s="85"/>
      <c r="C11473" s="85"/>
      <c r="F11473" s="92"/>
      <c r="G11473" s="85"/>
    </row>
    <row r="11474">
      <c r="A11474" s="84"/>
      <c r="B11474" s="85"/>
      <c r="C11474" s="85"/>
      <c r="F11474" s="92"/>
      <c r="G11474" s="85"/>
    </row>
    <row r="11475">
      <c r="A11475" s="84"/>
      <c r="B11475" s="85"/>
      <c r="C11475" s="85"/>
      <c r="F11475" s="92"/>
      <c r="G11475" s="85"/>
    </row>
    <row r="11476">
      <c r="A11476" s="84"/>
      <c r="B11476" s="85"/>
      <c r="C11476" s="85"/>
      <c r="F11476" s="92"/>
      <c r="G11476" s="85"/>
    </row>
    <row r="11477">
      <c r="A11477" s="84"/>
      <c r="B11477" s="85"/>
      <c r="C11477" s="85"/>
      <c r="F11477" s="92"/>
      <c r="G11477" s="85"/>
    </row>
    <row r="11478">
      <c r="A11478" s="84"/>
      <c r="B11478" s="85"/>
      <c r="C11478" s="85"/>
      <c r="F11478" s="92"/>
      <c r="G11478" s="85"/>
    </row>
    <row r="11479">
      <c r="A11479" s="84"/>
      <c r="B11479" s="85"/>
      <c r="C11479" s="85"/>
      <c r="F11479" s="92"/>
      <c r="G11479" s="85"/>
    </row>
    <row r="11480">
      <c r="A11480" s="84"/>
      <c r="B11480" s="85"/>
      <c r="C11480" s="85"/>
      <c r="F11480" s="92"/>
      <c r="G11480" s="85"/>
    </row>
    <row r="11481">
      <c r="A11481" s="84"/>
      <c r="B11481" s="85"/>
      <c r="C11481" s="85"/>
      <c r="F11481" s="92"/>
      <c r="G11481" s="85"/>
    </row>
    <row r="11482">
      <c r="A11482" s="84"/>
      <c r="B11482" s="85"/>
      <c r="C11482" s="85"/>
      <c r="F11482" s="92"/>
      <c r="G11482" s="85"/>
    </row>
    <row r="11483">
      <c r="A11483" s="84"/>
      <c r="B11483" s="85"/>
      <c r="C11483" s="85"/>
      <c r="F11483" s="92"/>
      <c r="G11483" s="85"/>
    </row>
    <row r="11484">
      <c r="A11484" s="84"/>
      <c r="B11484" s="85"/>
      <c r="C11484" s="85"/>
      <c r="F11484" s="92"/>
      <c r="G11484" s="85"/>
    </row>
    <row r="11485">
      <c r="A11485" s="84"/>
      <c r="B11485" s="85"/>
      <c r="C11485" s="85"/>
      <c r="F11485" s="92"/>
      <c r="G11485" s="85"/>
    </row>
    <row r="11486">
      <c r="A11486" s="84"/>
      <c r="B11486" s="85"/>
      <c r="C11486" s="85"/>
      <c r="F11486" s="92"/>
      <c r="G11486" s="85"/>
    </row>
    <row r="11487">
      <c r="A11487" s="84"/>
      <c r="B11487" s="85"/>
      <c r="C11487" s="85"/>
      <c r="F11487" s="92"/>
      <c r="G11487" s="85"/>
    </row>
    <row r="11488">
      <c r="A11488" s="84"/>
      <c r="B11488" s="85"/>
      <c r="C11488" s="85"/>
      <c r="F11488" s="92"/>
      <c r="G11488" s="85"/>
    </row>
    <row r="11489">
      <c r="A11489" s="84"/>
      <c r="B11489" s="85"/>
      <c r="C11489" s="85"/>
      <c r="F11489" s="92"/>
      <c r="G11489" s="85"/>
    </row>
    <row r="11490">
      <c r="A11490" s="84"/>
      <c r="B11490" s="85"/>
      <c r="C11490" s="85"/>
      <c r="F11490" s="92"/>
      <c r="G11490" s="85"/>
    </row>
    <row r="11491">
      <c r="A11491" s="84"/>
      <c r="B11491" s="85"/>
      <c r="C11491" s="85"/>
      <c r="F11491" s="92"/>
      <c r="G11491" s="85"/>
    </row>
    <row r="11492">
      <c r="A11492" s="84"/>
      <c r="B11492" s="85"/>
      <c r="C11492" s="85"/>
      <c r="F11492" s="92"/>
      <c r="G11492" s="85"/>
    </row>
    <row r="11493">
      <c r="A11493" s="84"/>
      <c r="B11493" s="85"/>
      <c r="C11493" s="85"/>
      <c r="F11493" s="92"/>
      <c r="G11493" s="85"/>
    </row>
    <row r="11494">
      <c r="A11494" s="84"/>
      <c r="B11494" s="85"/>
      <c r="C11494" s="85"/>
      <c r="F11494" s="92"/>
      <c r="G11494" s="85"/>
    </row>
    <row r="11495">
      <c r="A11495" s="84"/>
      <c r="B11495" s="85"/>
      <c r="C11495" s="85"/>
      <c r="F11495" s="92"/>
      <c r="G11495" s="85"/>
    </row>
    <row r="11496">
      <c r="A11496" s="84"/>
      <c r="B11496" s="85"/>
      <c r="C11496" s="85"/>
      <c r="F11496" s="92"/>
      <c r="G11496" s="85"/>
    </row>
    <row r="11497">
      <c r="A11497" s="84"/>
      <c r="B11497" s="85"/>
      <c r="C11497" s="85"/>
      <c r="F11497" s="92"/>
      <c r="G11497" s="85"/>
    </row>
    <row r="11498">
      <c r="A11498" s="84"/>
      <c r="B11498" s="85"/>
      <c r="C11498" s="85"/>
      <c r="F11498" s="92"/>
      <c r="G11498" s="85"/>
    </row>
    <row r="11499">
      <c r="A11499" s="84"/>
      <c r="B11499" s="85"/>
      <c r="C11499" s="85"/>
      <c r="F11499" s="92"/>
      <c r="G11499" s="85"/>
    </row>
    <row r="11500">
      <c r="A11500" s="84"/>
      <c r="B11500" s="85"/>
      <c r="C11500" s="85"/>
      <c r="F11500" s="92"/>
      <c r="G11500" s="85"/>
    </row>
    <row r="11501">
      <c r="A11501" s="84"/>
      <c r="B11501" s="85"/>
      <c r="C11501" s="85"/>
      <c r="F11501" s="92"/>
      <c r="G11501" s="85"/>
    </row>
    <row r="11502">
      <c r="A11502" s="84"/>
      <c r="B11502" s="85"/>
      <c r="C11502" s="85"/>
      <c r="F11502" s="92"/>
      <c r="G11502" s="85"/>
    </row>
    <row r="11503">
      <c r="A11503" s="84"/>
      <c r="B11503" s="85"/>
      <c r="C11503" s="85"/>
      <c r="F11503" s="92"/>
      <c r="G11503" s="85"/>
    </row>
    <row r="11504">
      <c r="A11504" s="84"/>
      <c r="B11504" s="85"/>
      <c r="C11504" s="85"/>
      <c r="F11504" s="92"/>
      <c r="G11504" s="85"/>
    </row>
    <row r="11505">
      <c r="A11505" s="84"/>
      <c r="B11505" s="85"/>
      <c r="C11505" s="85"/>
      <c r="F11505" s="92"/>
      <c r="G11505" s="85"/>
    </row>
    <row r="11506">
      <c r="A11506" s="84"/>
      <c r="B11506" s="85"/>
      <c r="C11506" s="85"/>
      <c r="F11506" s="92"/>
      <c r="G11506" s="85"/>
    </row>
    <row r="11507">
      <c r="A11507" s="84"/>
      <c r="B11507" s="85"/>
      <c r="C11507" s="85"/>
      <c r="F11507" s="92"/>
      <c r="G11507" s="85"/>
    </row>
    <row r="11508">
      <c r="A11508" s="84"/>
      <c r="B11508" s="85"/>
      <c r="C11508" s="85"/>
      <c r="F11508" s="92"/>
      <c r="G11508" s="85"/>
    </row>
    <row r="11509">
      <c r="A11509" s="84"/>
      <c r="B11509" s="85"/>
      <c r="C11509" s="85"/>
      <c r="F11509" s="92"/>
      <c r="G11509" s="85"/>
    </row>
    <row r="11510">
      <c r="A11510" s="84"/>
      <c r="B11510" s="85"/>
      <c r="C11510" s="85"/>
      <c r="F11510" s="92"/>
      <c r="G11510" s="85"/>
    </row>
    <row r="11511">
      <c r="A11511" s="84"/>
      <c r="B11511" s="85"/>
      <c r="C11511" s="85"/>
      <c r="F11511" s="92"/>
      <c r="G11511" s="85"/>
    </row>
    <row r="11512">
      <c r="A11512" s="84"/>
      <c r="B11512" s="85"/>
      <c r="C11512" s="85"/>
      <c r="F11512" s="92"/>
      <c r="G11512" s="85"/>
    </row>
    <row r="11513">
      <c r="A11513" s="84"/>
      <c r="B11513" s="85"/>
      <c r="C11513" s="85"/>
      <c r="F11513" s="92"/>
      <c r="G11513" s="85"/>
    </row>
    <row r="11514">
      <c r="A11514" s="84"/>
      <c r="B11514" s="85"/>
      <c r="C11514" s="85"/>
      <c r="F11514" s="92"/>
      <c r="G11514" s="85"/>
    </row>
    <row r="11515">
      <c r="A11515" s="84"/>
      <c r="B11515" s="85"/>
      <c r="C11515" s="85"/>
      <c r="F11515" s="92"/>
      <c r="G11515" s="85"/>
    </row>
    <row r="11516">
      <c r="A11516" s="84"/>
      <c r="B11516" s="85"/>
      <c r="C11516" s="85"/>
      <c r="F11516" s="92"/>
      <c r="G11516" s="85"/>
    </row>
    <row r="11517">
      <c r="A11517" s="84"/>
      <c r="B11517" s="85"/>
      <c r="C11517" s="85"/>
      <c r="F11517" s="92"/>
      <c r="G11517" s="85"/>
    </row>
    <row r="11518">
      <c r="A11518" s="84"/>
      <c r="B11518" s="85"/>
      <c r="C11518" s="85"/>
      <c r="F11518" s="92"/>
      <c r="G11518" s="85"/>
    </row>
    <row r="11519">
      <c r="A11519" s="84"/>
      <c r="B11519" s="85"/>
      <c r="C11519" s="85"/>
      <c r="F11519" s="92"/>
      <c r="G11519" s="85"/>
    </row>
    <row r="11520">
      <c r="A11520" s="84"/>
      <c r="B11520" s="85"/>
      <c r="C11520" s="85"/>
      <c r="F11520" s="92"/>
      <c r="G11520" s="85"/>
    </row>
    <row r="11521">
      <c r="A11521" s="84"/>
      <c r="B11521" s="85"/>
      <c r="C11521" s="85"/>
      <c r="F11521" s="92"/>
      <c r="G11521" s="85"/>
    </row>
    <row r="11522">
      <c r="A11522" s="84"/>
      <c r="B11522" s="85"/>
      <c r="C11522" s="85"/>
      <c r="F11522" s="92"/>
      <c r="G11522" s="85"/>
    </row>
    <row r="11523">
      <c r="A11523" s="84"/>
      <c r="B11523" s="85"/>
      <c r="C11523" s="85"/>
      <c r="F11523" s="92"/>
      <c r="G11523" s="85"/>
    </row>
    <row r="11524">
      <c r="A11524" s="84"/>
      <c r="B11524" s="85"/>
      <c r="C11524" s="85"/>
      <c r="F11524" s="92"/>
      <c r="G11524" s="85"/>
    </row>
    <row r="11525">
      <c r="A11525" s="84"/>
      <c r="B11525" s="85"/>
      <c r="C11525" s="85"/>
      <c r="F11525" s="92"/>
      <c r="G11525" s="85"/>
    </row>
    <row r="11526">
      <c r="A11526" s="84"/>
      <c r="B11526" s="85"/>
      <c r="C11526" s="85"/>
      <c r="F11526" s="92"/>
      <c r="G11526" s="85"/>
    </row>
    <row r="11527">
      <c r="A11527" s="84"/>
      <c r="B11527" s="85"/>
      <c r="C11527" s="85"/>
      <c r="F11527" s="92"/>
      <c r="G11527" s="85"/>
    </row>
    <row r="11528">
      <c r="A11528" s="84"/>
      <c r="B11528" s="85"/>
      <c r="C11528" s="85"/>
      <c r="F11528" s="92"/>
      <c r="G11528" s="85"/>
    </row>
    <row r="11529">
      <c r="A11529" s="84"/>
      <c r="B11529" s="85"/>
      <c r="C11529" s="85"/>
      <c r="F11529" s="92"/>
      <c r="G11529" s="85"/>
    </row>
    <row r="11530">
      <c r="A11530" s="84"/>
      <c r="B11530" s="85"/>
      <c r="C11530" s="85"/>
      <c r="F11530" s="92"/>
      <c r="G11530" s="85"/>
    </row>
    <row r="11531">
      <c r="A11531" s="84"/>
      <c r="B11531" s="85"/>
      <c r="C11531" s="85"/>
      <c r="F11531" s="92"/>
      <c r="G11531" s="85"/>
    </row>
    <row r="11532">
      <c r="A11532" s="84"/>
      <c r="B11532" s="85"/>
      <c r="C11532" s="85"/>
      <c r="F11532" s="92"/>
      <c r="G11532" s="85"/>
    </row>
    <row r="11533">
      <c r="A11533" s="84"/>
      <c r="B11533" s="85"/>
      <c r="C11533" s="85"/>
      <c r="F11533" s="92"/>
      <c r="G11533" s="85"/>
    </row>
    <row r="11534">
      <c r="A11534" s="84"/>
      <c r="B11534" s="85"/>
      <c r="C11534" s="85"/>
      <c r="F11534" s="92"/>
      <c r="G11534" s="85"/>
    </row>
    <row r="11535">
      <c r="A11535" s="84"/>
      <c r="B11535" s="85"/>
      <c r="C11535" s="85"/>
      <c r="F11535" s="92"/>
      <c r="G11535" s="85"/>
    </row>
    <row r="11536">
      <c r="A11536" s="84"/>
      <c r="B11536" s="85"/>
      <c r="C11536" s="85"/>
      <c r="F11536" s="92"/>
      <c r="G11536" s="85"/>
    </row>
    <row r="11537">
      <c r="A11537" s="84"/>
      <c r="B11537" s="85"/>
      <c r="C11537" s="85"/>
      <c r="F11537" s="92"/>
      <c r="G11537" s="85"/>
    </row>
    <row r="11538">
      <c r="A11538" s="84"/>
      <c r="B11538" s="85"/>
      <c r="C11538" s="85"/>
      <c r="F11538" s="92"/>
      <c r="G11538" s="85"/>
    </row>
    <row r="11539">
      <c r="A11539" s="84"/>
      <c r="B11539" s="85"/>
      <c r="C11539" s="85"/>
      <c r="F11539" s="92"/>
      <c r="G11539" s="85"/>
    </row>
    <row r="11540">
      <c r="A11540" s="84"/>
      <c r="B11540" s="85"/>
      <c r="C11540" s="85"/>
      <c r="F11540" s="92"/>
      <c r="G11540" s="85"/>
    </row>
    <row r="11541">
      <c r="A11541" s="84"/>
      <c r="B11541" s="85"/>
      <c r="C11541" s="85"/>
      <c r="F11541" s="92"/>
      <c r="G11541" s="85"/>
    </row>
    <row r="11542">
      <c r="A11542" s="84"/>
      <c r="B11542" s="85"/>
      <c r="C11542" s="85"/>
      <c r="F11542" s="92"/>
      <c r="G11542" s="85"/>
    </row>
    <row r="11543">
      <c r="A11543" s="84"/>
      <c r="B11543" s="85"/>
      <c r="C11543" s="85"/>
      <c r="F11543" s="92"/>
      <c r="G11543" s="85"/>
    </row>
    <row r="11544">
      <c r="A11544" s="84"/>
      <c r="B11544" s="85"/>
      <c r="C11544" s="85"/>
      <c r="F11544" s="92"/>
      <c r="G11544" s="85"/>
    </row>
    <row r="11545">
      <c r="A11545" s="84"/>
      <c r="B11545" s="85"/>
      <c r="C11545" s="85"/>
      <c r="F11545" s="92"/>
      <c r="G11545" s="85"/>
    </row>
    <row r="11546">
      <c r="A11546" s="84"/>
      <c r="B11546" s="85"/>
      <c r="C11546" s="85"/>
      <c r="F11546" s="92"/>
      <c r="G11546" s="85"/>
    </row>
    <row r="11547">
      <c r="A11547" s="84"/>
      <c r="B11547" s="85"/>
      <c r="C11547" s="85"/>
      <c r="F11547" s="92"/>
      <c r="G11547" s="85"/>
    </row>
    <row r="11548">
      <c r="A11548" s="84"/>
      <c r="B11548" s="85"/>
      <c r="C11548" s="85"/>
      <c r="F11548" s="92"/>
      <c r="G11548" s="85"/>
    </row>
    <row r="11549">
      <c r="A11549" s="84"/>
      <c r="B11549" s="85"/>
      <c r="C11549" s="85"/>
      <c r="F11549" s="92"/>
      <c r="G11549" s="85"/>
    </row>
    <row r="11550">
      <c r="A11550" s="84"/>
      <c r="B11550" s="85"/>
      <c r="C11550" s="85"/>
      <c r="F11550" s="92"/>
      <c r="G11550" s="85"/>
    </row>
    <row r="11551">
      <c r="A11551" s="84"/>
      <c r="B11551" s="85"/>
      <c r="C11551" s="85"/>
      <c r="F11551" s="92"/>
      <c r="G11551" s="85"/>
    </row>
    <row r="11552">
      <c r="A11552" s="84"/>
      <c r="B11552" s="85"/>
      <c r="C11552" s="85"/>
      <c r="F11552" s="92"/>
      <c r="G11552" s="85"/>
    </row>
    <row r="11553">
      <c r="A11553" s="84"/>
      <c r="B11553" s="85"/>
      <c r="C11553" s="85"/>
      <c r="F11553" s="92"/>
      <c r="G11553" s="85"/>
    </row>
    <row r="11554">
      <c r="A11554" s="84"/>
      <c r="B11554" s="85"/>
      <c r="C11554" s="85"/>
      <c r="F11554" s="92"/>
      <c r="G11554" s="85"/>
    </row>
    <row r="11555">
      <c r="A11555" s="84"/>
      <c r="B11555" s="85"/>
      <c r="C11555" s="85"/>
      <c r="F11555" s="92"/>
      <c r="G11555" s="85"/>
    </row>
    <row r="11556">
      <c r="A11556" s="84"/>
      <c r="B11556" s="85"/>
      <c r="C11556" s="85"/>
      <c r="F11556" s="92"/>
      <c r="G11556" s="85"/>
    </row>
    <row r="11557">
      <c r="A11557" s="84"/>
      <c r="B11557" s="85"/>
      <c r="C11557" s="85"/>
      <c r="F11557" s="92"/>
      <c r="G11557" s="85"/>
    </row>
    <row r="11558">
      <c r="A11558" s="84"/>
      <c r="B11558" s="85"/>
      <c r="C11558" s="85"/>
      <c r="F11558" s="92"/>
      <c r="G11558" s="85"/>
    </row>
    <row r="11559">
      <c r="A11559" s="84"/>
      <c r="B11559" s="85"/>
      <c r="C11559" s="85"/>
      <c r="F11559" s="92"/>
      <c r="G11559" s="85"/>
    </row>
    <row r="11560">
      <c r="A11560" s="84"/>
      <c r="B11560" s="85"/>
      <c r="C11560" s="85"/>
      <c r="F11560" s="92"/>
      <c r="G11560" s="85"/>
    </row>
    <row r="11561">
      <c r="A11561" s="84"/>
      <c r="B11561" s="85"/>
      <c r="C11561" s="85"/>
      <c r="F11561" s="92"/>
      <c r="G11561" s="85"/>
    </row>
    <row r="11562">
      <c r="A11562" s="84"/>
      <c r="B11562" s="85"/>
      <c r="C11562" s="85"/>
      <c r="F11562" s="92"/>
      <c r="G11562" s="85"/>
    </row>
    <row r="11563">
      <c r="A11563" s="84"/>
      <c r="B11563" s="85"/>
      <c r="C11563" s="85"/>
      <c r="F11563" s="92"/>
      <c r="G11563" s="85"/>
    </row>
    <row r="11564">
      <c r="A11564" s="84"/>
      <c r="B11564" s="85"/>
      <c r="C11564" s="85"/>
      <c r="F11564" s="92"/>
      <c r="G11564" s="85"/>
    </row>
    <row r="11565">
      <c r="A11565" s="84"/>
      <c r="B11565" s="85"/>
      <c r="C11565" s="85"/>
      <c r="F11565" s="92"/>
      <c r="G11565" s="85"/>
    </row>
    <row r="11566">
      <c r="A11566" s="84"/>
      <c r="B11566" s="85"/>
      <c r="C11566" s="85"/>
      <c r="F11566" s="92"/>
      <c r="G11566" s="85"/>
    </row>
    <row r="11567">
      <c r="A11567" s="84"/>
      <c r="B11567" s="85"/>
      <c r="C11567" s="85"/>
      <c r="F11567" s="92"/>
      <c r="G11567" s="85"/>
    </row>
    <row r="11568">
      <c r="A11568" s="84"/>
      <c r="B11568" s="85"/>
      <c r="C11568" s="85"/>
      <c r="F11568" s="92"/>
      <c r="G11568" s="85"/>
    </row>
    <row r="11569">
      <c r="A11569" s="84"/>
      <c r="B11569" s="85"/>
      <c r="C11569" s="85"/>
      <c r="F11569" s="92"/>
      <c r="G11569" s="85"/>
    </row>
    <row r="11570">
      <c r="A11570" s="84"/>
      <c r="B11570" s="85"/>
      <c r="C11570" s="85"/>
      <c r="F11570" s="92"/>
      <c r="G11570" s="85"/>
    </row>
    <row r="11571">
      <c r="A11571" s="84"/>
      <c r="B11571" s="85"/>
      <c r="C11571" s="85"/>
      <c r="F11571" s="92"/>
      <c r="G11571" s="85"/>
    </row>
    <row r="11572">
      <c r="A11572" s="84"/>
      <c r="B11572" s="85"/>
      <c r="C11572" s="85"/>
      <c r="F11572" s="92"/>
      <c r="G11572" s="85"/>
    </row>
    <row r="11573">
      <c r="A11573" s="84"/>
      <c r="B11573" s="85"/>
      <c r="C11573" s="85"/>
      <c r="F11573" s="92"/>
      <c r="G11573" s="85"/>
    </row>
    <row r="11574">
      <c r="A11574" s="84"/>
      <c r="B11574" s="85"/>
      <c r="C11574" s="85"/>
      <c r="F11574" s="92"/>
      <c r="G11574" s="85"/>
    </row>
    <row r="11575">
      <c r="A11575" s="84"/>
      <c r="B11575" s="85"/>
      <c r="C11575" s="85"/>
      <c r="F11575" s="92"/>
      <c r="G11575" s="85"/>
    </row>
    <row r="11576">
      <c r="A11576" s="84"/>
      <c r="B11576" s="85"/>
      <c r="C11576" s="85"/>
      <c r="F11576" s="92"/>
      <c r="G11576" s="85"/>
    </row>
    <row r="11577">
      <c r="A11577" s="84"/>
      <c r="B11577" s="85"/>
      <c r="C11577" s="85"/>
      <c r="F11577" s="92"/>
      <c r="G11577" s="85"/>
    </row>
    <row r="11578">
      <c r="A11578" s="84"/>
      <c r="B11578" s="85"/>
      <c r="C11578" s="85"/>
      <c r="F11578" s="92"/>
      <c r="G11578" s="85"/>
    </row>
    <row r="11579">
      <c r="A11579" s="84"/>
      <c r="B11579" s="85"/>
      <c r="C11579" s="85"/>
      <c r="F11579" s="92"/>
      <c r="G11579" s="85"/>
    </row>
    <row r="11580">
      <c r="A11580" s="84"/>
      <c r="B11580" s="85"/>
      <c r="C11580" s="85"/>
      <c r="F11580" s="92"/>
      <c r="G11580" s="85"/>
    </row>
    <row r="11581">
      <c r="A11581" s="84"/>
      <c r="B11581" s="85"/>
      <c r="C11581" s="85"/>
      <c r="F11581" s="92"/>
      <c r="G11581" s="85"/>
    </row>
    <row r="11582">
      <c r="A11582" s="84"/>
      <c r="B11582" s="85"/>
      <c r="C11582" s="85"/>
      <c r="F11582" s="92"/>
      <c r="G11582" s="85"/>
    </row>
    <row r="11583">
      <c r="A11583" s="84"/>
      <c r="B11583" s="85"/>
      <c r="C11583" s="85"/>
      <c r="F11583" s="92"/>
      <c r="G11583" s="85"/>
    </row>
    <row r="11584">
      <c r="A11584" s="84"/>
      <c r="B11584" s="85"/>
      <c r="C11584" s="85"/>
      <c r="F11584" s="92"/>
      <c r="G11584" s="85"/>
    </row>
    <row r="11585">
      <c r="A11585" s="84"/>
      <c r="B11585" s="85"/>
      <c r="C11585" s="85"/>
      <c r="F11585" s="92"/>
      <c r="G11585" s="85"/>
    </row>
    <row r="11586">
      <c r="A11586" s="84"/>
      <c r="B11586" s="85"/>
      <c r="C11586" s="85"/>
      <c r="F11586" s="92"/>
      <c r="G11586" s="85"/>
    </row>
    <row r="11587">
      <c r="A11587" s="84"/>
      <c r="B11587" s="85"/>
      <c r="C11587" s="85"/>
      <c r="F11587" s="92"/>
      <c r="G11587" s="85"/>
    </row>
    <row r="11588">
      <c r="A11588" s="84"/>
      <c r="B11588" s="85"/>
      <c r="C11588" s="85"/>
      <c r="F11588" s="92"/>
      <c r="G11588" s="85"/>
    </row>
    <row r="11589">
      <c r="A11589" s="84"/>
      <c r="B11589" s="85"/>
      <c r="C11589" s="85"/>
      <c r="F11589" s="92"/>
      <c r="G11589" s="85"/>
    </row>
    <row r="11590">
      <c r="A11590" s="84"/>
      <c r="B11590" s="85"/>
      <c r="C11590" s="85"/>
      <c r="F11590" s="92"/>
      <c r="G11590" s="85"/>
    </row>
    <row r="11591">
      <c r="A11591" s="84"/>
      <c r="B11591" s="85"/>
      <c r="C11591" s="85"/>
      <c r="F11591" s="92"/>
      <c r="G11591" s="85"/>
    </row>
    <row r="11592">
      <c r="A11592" s="84"/>
      <c r="B11592" s="85"/>
      <c r="C11592" s="85"/>
      <c r="F11592" s="92"/>
      <c r="G11592" s="85"/>
    </row>
    <row r="11593">
      <c r="A11593" s="84"/>
      <c r="B11593" s="85"/>
      <c r="C11593" s="85"/>
      <c r="F11593" s="92"/>
      <c r="G11593" s="85"/>
    </row>
    <row r="11594">
      <c r="A11594" s="84"/>
      <c r="B11594" s="85"/>
      <c r="C11594" s="85"/>
      <c r="F11594" s="92"/>
      <c r="G11594" s="85"/>
    </row>
    <row r="11595">
      <c r="A11595" s="84"/>
      <c r="B11595" s="85"/>
      <c r="C11595" s="85"/>
      <c r="F11595" s="92"/>
      <c r="G11595" s="85"/>
    </row>
    <row r="11596">
      <c r="A11596" s="84"/>
      <c r="B11596" s="85"/>
      <c r="C11596" s="85"/>
      <c r="F11596" s="92"/>
      <c r="G11596" s="85"/>
    </row>
    <row r="11597">
      <c r="A11597" s="84"/>
      <c r="B11597" s="85"/>
      <c r="C11597" s="85"/>
      <c r="F11597" s="92"/>
      <c r="G11597" s="85"/>
    </row>
    <row r="11598">
      <c r="A11598" s="84"/>
      <c r="B11598" s="85"/>
      <c r="C11598" s="85"/>
      <c r="F11598" s="92"/>
      <c r="G11598" s="85"/>
    </row>
    <row r="11599">
      <c r="A11599" s="84"/>
      <c r="B11599" s="85"/>
      <c r="C11599" s="85"/>
      <c r="F11599" s="92"/>
      <c r="G11599" s="85"/>
    </row>
    <row r="11600">
      <c r="A11600" s="84"/>
      <c r="B11600" s="85"/>
      <c r="C11600" s="85"/>
      <c r="F11600" s="92"/>
      <c r="G11600" s="85"/>
    </row>
    <row r="11601">
      <c r="A11601" s="84"/>
      <c r="B11601" s="85"/>
      <c r="C11601" s="85"/>
      <c r="F11601" s="92"/>
      <c r="G11601" s="85"/>
    </row>
    <row r="11602">
      <c r="A11602" s="84"/>
      <c r="B11602" s="85"/>
      <c r="C11602" s="85"/>
      <c r="F11602" s="92"/>
      <c r="G11602" s="85"/>
    </row>
    <row r="11603">
      <c r="A11603" s="84"/>
      <c r="B11603" s="85"/>
      <c r="C11603" s="85"/>
      <c r="F11603" s="92"/>
      <c r="G11603" s="85"/>
    </row>
    <row r="11604">
      <c r="A11604" s="84"/>
      <c r="B11604" s="85"/>
      <c r="C11604" s="85"/>
      <c r="F11604" s="92"/>
      <c r="G11604" s="85"/>
    </row>
    <row r="11605">
      <c r="A11605" s="84"/>
      <c r="B11605" s="85"/>
      <c r="C11605" s="85"/>
      <c r="F11605" s="92"/>
      <c r="G11605" s="85"/>
    </row>
    <row r="11606">
      <c r="A11606" s="84"/>
      <c r="B11606" s="85"/>
      <c r="C11606" s="85"/>
      <c r="F11606" s="92"/>
      <c r="G11606" s="85"/>
    </row>
    <row r="11607">
      <c r="A11607" s="84"/>
      <c r="B11607" s="85"/>
      <c r="C11607" s="85"/>
      <c r="F11607" s="92"/>
      <c r="G11607" s="85"/>
    </row>
    <row r="11608">
      <c r="A11608" s="84"/>
      <c r="B11608" s="85"/>
      <c r="C11608" s="85"/>
      <c r="F11608" s="92"/>
      <c r="G11608" s="85"/>
    </row>
    <row r="11609">
      <c r="A11609" s="84"/>
      <c r="B11609" s="85"/>
      <c r="C11609" s="85"/>
      <c r="F11609" s="92"/>
      <c r="G11609" s="85"/>
    </row>
    <row r="11610">
      <c r="A11610" s="84"/>
      <c r="B11610" s="85"/>
      <c r="C11610" s="85"/>
      <c r="F11610" s="92"/>
      <c r="G11610" s="85"/>
    </row>
    <row r="11611">
      <c r="A11611" s="84"/>
      <c r="B11611" s="85"/>
      <c r="C11611" s="85"/>
      <c r="F11611" s="92"/>
      <c r="G11611" s="85"/>
    </row>
    <row r="11612">
      <c r="A11612" s="84"/>
      <c r="B11612" s="85"/>
      <c r="C11612" s="85"/>
      <c r="F11612" s="92"/>
      <c r="G11612" s="85"/>
    </row>
    <row r="11613">
      <c r="A11613" s="84"/>
      <c r="B11613" s="85"/>
      <c r="C11613" s="85"/>
      <c r="F11613" s="92"/>
      <c r="G11613" s="85"/>
    </row>
    <row r="11614">
      <c r="A11614" s="84"/>
      <c r="B11614" s="85"/>
      <c r="C11614" s="85"/>
      <c r="F11614" s="92"/>
      <c r="G11614" s="85"/>
    </row>
    <row r="11615">
      <c r="A11615" s="84"/>
      <c r="B11615" s="85"/>
      <c r="C11615" s="85"/>
      <c r="F11615" s="92"/>
      <c r="G11615" s="85"/>
    </row>
    <row r="11616">
      <c r="A11616" s="84"/>
      <c r="B11616" s="85"/>
      <c r="C11616" s="85"/>
      <c r="F11616" s="92"/>
      <c r="G11616" s="85"/>
    </row>
    <row r="11617">
      <c r="A11617" s="84"/>
      <c r="B11617" s="85"/>
      <c r="C11617" s="85"/>
      <c r="F11617" s="92"/>
      <c r="G11617" s="85"/>
    </row>
    <row r="11618">
      <c r="A11618" s="84"/>
      <c r="B11618" s="85"/>
      <c r="C11618" s="85"/>
      <c r="F11618" s="92"/>
      <c r="G11618" s="85"/>
    </row>
    <row r="11619">
      <c r="A11619" s="84"/>
      <c r="B11619" s="85"/>
      <c r="C11619" s="85"/>
      <c r="F11619" s="92"/>
      <c r="G11619" s="85"/>
    </row>
    <row r="11620">
      <c r="A11620" s="84"/>
      <c r="B11620" s="85"/>
      <c r="C11620" s="85"/>
      <c r="F11620" s="92"/>
      <c r="G11620" s="85"/>
    </row>
    <row r="11621">
      <c r="A11621" s="84"/>
      <c r="B11621" s="85"/>
      <c r="C11621" s="85"/>
      <c r="F11621" s="92"/>
      <c r="G11621" s="85"/>
    </row>
    <row r="11622">
      <c r="A11622" s="84"/>
      <c r="B11622" s="85"/>
      <c r="C11622" s="85"/>
      <c r="F11622" s="92"/>
      <c r="G11622" s="85"/>
    </row>
    <row r="11623">
      <c r="A11623" s="84"/>
      <c r="B11623" s="85"/>
      <c r="C11623" s="85"/>
      <c r="F11623" s="92"/>
      <c r="G11623" s="85"/>
    </row>
    <row r="11624">
      <c r="A11624" s="84"/>
      <c r="B11624" s="85"/>
      <c r="C11624" s="85"/>
      <c r="F11624" s="92"/>
      <c r="G11624" s="85"/>
    </row>
    <row r="11625">
      <c r="A11625" s="84"/>
      <c r="B11625" s="85"/>
      <c r="C11625" s="85"/>
      <c r="F11625" s="92"/>
      <c r="G11625" s="85"/>
    </row>
    <row r="11626">
      <c r="A11626" s="84"/>
      <c r="B11626" s="85"/>
      <c r="C11626" s="85"/>
      <c r="F11626" s="92"/>
      <c r="G11626" s="85"/>
    </row>
    <row r="11627">
      <c r="A11627" s="84"/>
      <c r="B11627" s="85"/>
      <c r="C11627" s="85"/>
      <c r="F11627" s="92"/>
      <c r="G11627" s="85"/>
    </row>
    <row r="11628">
      <c r="A11628" s="84"/>
      <c r="B11628" s="85"/>
      <c r="C11628" s="85"/>
      <c r="F11628" s="92"/>
      <c r="G11628" s="85"/>
    </row>
    <row r="11629">
      <c r="A11629" s="84"/>
      <c r="B11629" s="85"/>
      <c r="C11629" s="85"/>
      <c r="F11629" s="92"/>
      <c r="G11629" s="85"/>
    </row>
    <row r="11630">
      <c r="A11630" s="84"/>
      <c r="B11630" s="85"/>
      <c r="C11630" s="85"/>
      <c r="F11630" s="92"/>
      <c r="G11630" s="85"/>
    </row>
    <row r="11631">
      <c r="A11631" s="84"/>
      <c r="B11631" s="85"/>
      <c r="C11631" s="85"/>
      <c r="F11631" s="92"/>
      <c r="G11631" s="85"/>
    </row>
    <row r="11632">
      <c r="A11632" s="84"/>
      <c r="B11632" s="85"/>
      <c r="C11632" s="85"/>
      <c r="F11632" s="92"/>
      <c r="G11632" s="85"/>
    </row>
    <row r="11633">
      <c r="A11633" s="84"/>
      <c r="B11633" s="85"/>
      <c r="C11633" s="85"/>
      <c r="F11633" s="92"/>
      <c r="G11633" s="85"/>
    </row>
    <row r="11634">
      <c r="A11634" s="84"/>
      <c r="B11634" s="85"/>
      <c r="C11634" s="85"/>
      <c r="F11634" s="92"/>
      <c r="G11634" s="85"/>
    </row>
    <row r="11635">
      <c r="A11635" s="84"/>
      <c r="B11635" s="85"/>
      <c r="C11635" s="85"/>
      <c r="F11635" s="92"/>
      <c r="G11635" s="85"/>
    </row>
    <row r="11636">
      <c r="A11636" s="84"/>
      <c r="B11636" s="85"/>
      <c r="C11636" s="85"/>
      <c r="F11636" s="92"/>
      <c r="G11636" s="85"/>
    </row>
    <row r="11637">
      <c r="A11637" s="84"/>
      <c r="B11637" s="85"/>
      <c r="C11637" s="85"/>
      <c r="F11637" s="92"/>
      <c r="G11637" s="85"/>
    </row>
    <row r="11638">
      <c r="A11638" s="84"/>
      <c r="B11638" s="85"/>
      <c r="C11638" s="85"/>
      <c r="F11638" s="92"/>
      <c r="G11638" s="85"/>
    </row>
    <row r="11639">
      <c r="A11639" s="84"/>
      <c r="B11639" s="85"/>
      <c r="C11639" s="85"/>
      <c r="F11639" s="92"/>
      <c r="G11639" s="85"/>
    </row>
    <row r="11640">
      <c r="A11640" s="84"/>
      <c r="B11640" s="85"/>
      <c r="C11640" s="85"/>
      <c r="F11640" s="92"/>
      <c r="G11640" s="85"/>
    </row>
    <row r="11641">
      <c r="A11641" s="84"/>
      <c r="B11641" s="85"/>
      <c r="C11641" s="85"/>
      <c r="F11641" s="92"/>
      <c r="G11641" s="85"/>
    </row>
    <row r="11642">
      <c r="A11642" s="84"/>
      <c r="B11642" s="85"/>
      <c r="C11642" s="85"/>
      <c r="F11642" s="92"/>
      <c r="G11642" s="85"/>
    </row>
    <row r="11643">
      <c r="A11643" s="84"/>
      <c r="B11643" s="85"/>
      <c r="C11643" s="85"/>
      <c r="F11643" s="92"/>
      <c r="G11643" s="85"/>
    </row>
    <row r="11644">
      <c r="A11644" s="84"/>
      <c r="B11644" s="85"/>
      <c r="C11644" s="85"/>
      <c r="F11644" s="92"/>
      <c r="G11644" s="85"/>
    </row>
    <row r="11645">
      <c r="A11645" s="84"/>
      <c r="B11645" s="85"/>
      <c r="C11645" s="85"/>
      <c r="F11645" s="92"/>
      <c r="G11645" s="85"/>
    </row>
    <row r="11646">
      <c r="A11646" s="84"/>
      <c r="B11646" s="85"/>
      <c r="C11646" s="85"/>
      <c r="F11646" s="92"/>
      <c r="G11646" s="85"/>
    </row>
    <row r="11647">
      <c r="A11647" s="84"/>
      <c r="B11647" s="85"/>
      <c r="C11647" s="85"/>
      <c r="F11647" s="92"/>
      <c r="G11647" s="85"/>
    </row>
    <row r="11648">
      <c r="A11648" s="84"/>
      <c r="B11648" s="85"/>
      <c r="C11648" s="85"/>
      <c r="F11648" s="92"/>
      <c r="G11648" s="85"/>
    </row>
    <row r="11649">
      <c r="A11649" s="84"/>
      <c r="B11649" s="85"/>
      <c r="C11649" s="85"/>
      <c r="F11649" s="92"/>
      <c r="G11649" s="85"/>
    </row>
    <row r="11650">
      <c r="A11650" s="84"/>
      <c r="B11650" s="85"/>
      <c r="C11650" s="85"/>
      <c r="F11650" s="92"/>
      <c r="G11650" s="85"/>
    </row>
    <row r="11651">
      <c r="A11651" s="84"/>
      <c r="B11651" s="85"/>
      <c r="C11651" s="85"/>
      <c r="F11651" s="92"/>
      <c r="G11651" s="85"/>
    </row>
    <row r="11652">
      <c r="A11652" s="84"/>
      <c r="B11652" s="85"/>
      <c r="C11652" s="85"/>
      <c r="F11652" s="92"/>
      <c r="G11652" s="85"/>
    </row>
    <row r="11653">
      <c r="A11653" s="84"/>
      <c r="B11653" s="85"/>
      <c r="C11653" s="85"/>
      <c r="F11653" s="92"/>
      <c r="G11653" s="85"/>
    </row>
    <row r="11654">
      <c r="A11654" s="84"/>
      <c r="B11654" s="85"/>
      <c r="C11654" s="85"/>
      <c r="F11654" s="92"/>
      <c r="G11654" s="85"/>
    </row>
    <row r="11655">
      <c r="A11655" s="84"/>
      <c r="B11655" s="85"/>
      <c r="C11655" s="85"/>
      <c r="F11655" s="92"/>
      <c r="G11655" s="85"/>
    </row>
    <row r="11656">
      <c r="A11656" s="84"/>
      <c r="B11656" s="85"/>
      <c r="C11656" s="85"/>
      <c r="F11656" s="92"/>
      <c r="G11656" s="85"/>
    </row>
    <row r="11657">
      <c r="A11657" s="84"/>
      <c r="B11657" s="85"/>
      <c r="C11657" s="85"/>
      <c r="F11657" s="92"/>
      <c r="G11657" s="85"/>
    </row>
    <row r="11658">
      <c r="A11658" s="84"/>
      <c r="B11658" s="85"/>
      <c r="C11658" s="85"/>
      <c r="F11658" s="92"/>
      <c r="G11658" s="85"/>
    </row>
    <row r="11659">
      <c r="A11659" s="84"/>
      <c r="B11659" s="85"/>
      <c r="C11659" s="85"/>
      <c r="F11659" s="92"/>
      <c r="G11659" s="85"/>
    </row>
    <row r="11660">
      <c r="A11660" s="84"/>
      <c r="B11660" s="85"/>
      <c r="C11660" s="85"/>
      <c r="F11660" s="92"/>
      <c r="G11660" s="85"/>
    </row>
    <row r="11661">
      <c r="A11661" s="84"/>
      <c r="B11661" s="85"/>
      <c r="C11661" s="85"/>
      <c r="F11661" s="92"/>
      <c r="G11661" s="85"/>
    </row>
    <row r="11662">
      <c r="A11662" s="84"/>
      <c r="B11662" s="85"/>
      <c r="C11662" s="85"/>
      <c r="F11662" s="92"/>
      <c r="G11662" s="85"/>
    </row>
    <row r="11663">
      <c r="A11663" s="84"/>
      <c r="B11663" s="85"/>
      <c r="C11663" s="85"/>
      <c r="F11663" s="92"/>
      <c r="G11663" s="85"/>
    </row>
    <row r="11664">
      <c r="A11664" s="84"/>
      <c r="B11664" s="85"/>
      <c r="C11664" s="85"/>
      <c r="F11664" s="92"/>
      <c r="G11664" s="85"/>
    </row>
    <row r="11665">
      <c r="A11665" s="84"/>
      <c r="B11665" s="85"/>
      <c r="C11665" s="85"/>
      <c r="F11665" s="92"/>
      <c r="G11665" s="85"/>
    </row>
    <row r="11666">
      <c r="A11666" s="84"/>
      <c r="B11666" s="85"/>
      <c r="C11666" s="85"/>
      <c r="F11666" s="92"/>
      <c r="G11666" s="85"/>
    </row>
    <row r="11667">
      <c r="A11667" s="84"/>
      <c r="B11667" s="85"/>
      <c r="C11667" s="85"/>
      <c r="F11667" s="92"/>
      <c r="G11667" s="85"/>
    </row>
    <row r="11668">
      <c r="A11668" s="84"/>
      <c r="B11668" s="85"/>
      <c r="C11668" s="85"/>
      <c r="F11668" s="92"/>
      <c r="G11668" s="85"/>
    </row>
    <row r="11669">
      <c r="A11669" s="84"/>
      <c r="B11669" s="85"/>
      <c r="C11669" s="85"/>
      <c r="F11669" s="92"/>
      <c r="G11669" s="85"/>
    </row>
    <row r="11670">
      <c r="A11670" s="84"/>
      <c r="B11670" s="85"/>
      <c r="C11670" s="85"/>
      <c r="F11670" s="92"/>
      <c r="G11670" s="85"/>
    </row>
    <row r="11671">
      <c r="A11671" s="84"/>
      <c r="B11671" s="85"/>
      <c r="C11671" s="85"/>
      <c r="F11671" s="92"/>
      <c r="G11671" s="85"/>
    </row>
    <row r="11672">
      <c r="A11672" s="84"/>
      <c r="B11672" s="85"/>
      <c r="C11672" s="85"/>
      <c r="F11672" s="92"/>
      <c r="G11672" s="85"/>
    </row>
    <row r="11673">
      <c r="A11673" s="84"/>
      <c r="B11673" s="85"/>
      <c r="C11673" s="85"/>
      <c r="F11673" s="92"/>
      <c r="G11673" s="85"/>
    </row>
    <row r="11674">
      <c r="A11674" s="84"/>
      <c r="B11674" s="85"/>
      <c r="C11674" s="85"/>
      <c r="F11674" s="92"/>
      <c r="G11674" s="85"/>
    </row>
    <row r="11675">
      <c r="A11675" s="84"/>
      <c r="B11675" s="85"/>
      <c r="C11675" s="85"/>
      <c r="F11675" s="92"/>
      <c r="G11675" s="85"/>
    </row>
    <row r="11676">
      <c r="A11676" s="84"/>
      <c r="B11676" s="85"/>
      <c r="C11676" s="85"/>
      <c r="F11676" s="92"/>
      <c r="G11676" s="85"/>
    </row>
    <row r="11677">
      <c r="A11677" s="84"/>
      <c r="B11677" s="85"/>
      <c r="C11677" s="85"/>
      <c r="F11677" s="92"/>
      <c r="G11677" s="85"/>
    </row>
    <row r="11678">
      <c r="A11678" s="84"/>
      <c r="B11678" s="85"/>
      <c r="C11678" s="85"/>
      <c r="F11678" s="92"/>
      <c r="G11678" s="85"/>
    </row>
    <row r="11679">
      <c r="A11679" s="84"/>
      <c r="B11679" s="85"/>
      <c r="C11679" s="85"/>
      <c r="F11679" s="92"/>
      <c r="G11679" s="85"/>
    </row>
    <row r="11680">
      <c r="A11680" s="84"/>
      <c r="B11680" s="85"/>
      <c r="C11680" s="85"/>
      <c r="F11680" s="92"/>
      <c r="G11680" s="85"/>
    </row>
    <row r="11681">
      <c r="A11681" s="84"/>
      <c r="B11681" s="85"/>
      <c r="C11681" s="85"/>
      <c r="F11681" s="92"/>
      <c r="G11681" s="85"/>
    </row>
    <row r="11682">
      <c r="A11682" s="84"/>
      <c r="B11682" s="85"/>
      <c r="C11682" s="85"/>
      <c r="F11682" s="92"/>
      <c r="G11682" s="85"/>
    </row>
    <row r="11683">
      <c r="A11683" s="84"/>
      <c r="B11683" s="85"/>
      <c r="C11683" s="85"/>
      <c r="F11683" s="92"/>
      <c r="G11683" s="85"/>
    </row>
    <row r="11684">
      <c r="A11684" s="84"/>
      <c r="B11684" s="85"/>
      <c r="C11684" s="85"/>
      <c r="F11684" s="92"/>
      <c r="G11684" s="85"/>
    </row>
    <row r="11685">
      <c r="A11685" s="84"/>
      <c r="B11685" s="85"/>
      <c r="C11685" s="85"/>
      <c r="F11685" s="92"/>
      <c r="G11685" s="85"/>
    </row>
    <row r="11686">
      <c r="A11686" s="84"/>
      <c r="B11686" s="85"/>
      <c r="C11686" s="85"/>
      <c r="F11686" s="92"/>
      <c r="G11686" s="85"/>
    </row>
    <row r="11687">
      <c r="A11687" s="84"/>
      <c r="B11687" s="85"/>
      <c r="C11687" s="85"/>
      <c r="F11687" s="92"/>
      <c r="G11687" s="85"/>
    </row>
    <row r="11688">
      <c r="A11688" s="84"/>
      <c r="B11688" s="85"/>
      <c r="C11688" s="85"/>
      <c r="F11688" s="92"/>
      <c r="G11688" s="85"/>
    </row>
    <row r="11689">
      <c r="A11689" s="84"/>
      <c r="B11689" s="85"/>
      <c r="C11689" s="85"/>
      <c r="F11689" s="92"/>
      <c r="G11689" s="85"/>
    </row>
    <row r="11690">
      <c r="A11690" s="84"/>
      <c r="B11690" s="85"/>
      <c r="C11690" s="85"/>
      <c r="F11690" s="92"/>
      <c r="G11690" s="85"/>
    </row>
    <row r="11691">
      <c r="A11691" s="84"/>
      <c r="B11691" s="85"/>
      <c r="C11691" s="85"/>
      <c r="F11691" s="92"/>
      <c r="G11691" s="85"/>
    </row>
    <row r="11692">
      <c r="A11692" s="84"/>
      <c r="B11692" s="85"/>
      <c r="C11692" s="85"/>
      <c r="F11692" s="92"/>
      <c r="G11692" s="85"/>
    </row>
    <row r="11693">
      <c r="A11693" s="84"/>
      <c r="B11693" s="85"/>
      <c r="C11693" s="85"/>
      <c r="F11693" s="92"/>
      <c r="G11693" s="85"/>
    </row>
    <row r="11694">
      <c r="A11694" s="84"/>
      <c r="B11694" s="85"/>
      <c r="C11694" s="85"/>
      <c r="F11694" s="92"/>
      <c r="G11694" s="85"/>
    </row>
    <row r="11695">
      <c r="A11695" s="84"/>
      <c r="B11695" s="85"/>
      <c r="C11695" s="85"/>
      <c r="F11695" s="92"/>
      <c r="G11695" s="85"/>
    </row>
    <row r="11696">
      <c r="A11696" s="84"/>
      <c r="B11696" s="85"/>
      <c r="C11696" s="85"/>
      <c r="F11696" s="92"/>
      <c r="G11696" s="85"/>
    </row>
    <row r="11697">
      <c r="A11697" s="84"/>
      <c r="B11697" s="85"/>
      <c r="C11697" s="85"/>
      <c r="F11697" s="92"/>
      <c r="G11697" s="85"/>
    </row>
    <row r="11698">
      <c r="A11698" s="84"/>
      <c r="B11698" s="85"/>
      <c r="C11698" s="85"/>
      <c r="F11698" s="92"/>
      <c r="G11698" s="85"/>
    </row>
    <row r="11699">
      <c r="A11699" s="84"/>
      <c r="B11699" s="85"/>
      <c r="C11699" s="85"/>
      <c r="F11699" s="92"/>
      <c r="G11699" s="85"/>
    </row>
    <row r="11700">
      <c r="A11700" s="84"/>
      <c r="B11700" s="85"/>
      <c r="C11700" s="85"/>
      <c r="F11700" s="92"/>
      <c r="G11700" s="85"/>
    </row>
    <row r="11701">
      <c r="A11701" s="84"/>
      <c r="B11701" s="85"/>
      <c r="C11701" s="85"/>
      <c r="F11701" s="92"/>
      <c r="G11701" s="85"/>
    </row>
    <row r="11702">
      <c r="A11702" s="84"/>
      <c r="B11702" s="85"/>
      <c r="C11702" s="85"/>
      <c r="F11702" s="92"/>
      <c r="G11702" s="85"/>
    </row>
    <row r="11703">
      <c r="A11703" s="84"/>
      <c r="B11703" s="85"/>
      <c r="C11703" s="85"/>
      <c r="F11703" s="92"/>
      <c r="G11703" s="85"/>
    </row>
    <row r="11704">
      <c r="A11704" s="84"/>
      <c r="B11704" s="85"/>
      <c r="C11704" s="85"/>
      <c r="F11704" s="92"/>
      <c r="G11704" s="85"/>
    </row>
    <row r="11705">
      <c r="A11705" s="84"/>
      <c r="B11705" s="85"/>
      <c r="C11705" s="85"/>
      <c r="F11705" s="92"/>
      <c r="G11705" s="85"/>
    </row>
    <row r="11706">
      <c r="A11706" s="84"/>
      <c r="B11706" s="85"/>
      <c r="C11706" s="85"/>
      <c r="F11706" s="92"/>
      <c r="G11706" s="85"/>
    </row>
    <row r="11707">
      <c r="A11707" s="84"/>
      <c r="B11707" s="85"/>
      <c r="C11707" s="85"/>
      <c r="F11707" s="92"/>
      <c r="G11707" s="85"/>
    </row>
    <row r="11708">
      <c r="A11708" s="84"/>
      <c r="B11708" s="85"/>
      <c r="C11708" s="85"/>
      <c r="F11708" s="92"/>
      <c r="G11708" s="85"/>
    </row>
    <row r="11709">
      <c r="A11709" s="84"/>
      <c r="B11709" s="85"/>
      <c r="C11709" s="85"/>
      <c r="F11709" s="92"/>
      <c r="G11709" s="85"/>
    </row>
    <row r="11710">
      <c r="A11710" s="84"/>
      <c r="B11710" s="85"/>
      <c r="C11710" s="85"/>
      <c r="F11710" s="92"/>
      <c r="G11710" s="85"/>
    </row>
    <row r="11711">
      <c r="A11711" s="84"/>
      <c r="B11711" s="85"/>
      <c r="C11711" s="85"/>
      <c r="F11711" s="92"/>
      <c r="G11711" s="85"/>
    </row>
    <row r="11712">
      <c r="A11712" s="84"/>
      <c r="B11712" s="85"/>
      <c r="C11712" s="85"/>
      <c r="F11712" s="92"/>
      <c r="G11712" s="85"/>
    </row>
    <row r="11713">
      <c r="A11713" s="84"/>
      <c r="B11713" s="85"/>
      <c r="C11713" s="85"/>
      <c r="F11713" s="92"/>
      <c r="G11713" s="85"/>
    </row>
    <row r="11714">
      <c r="A11714" s="84"/>
      <c r="B11714" s="85"/>
      <c r="C11714" s="85"/>
      <c r="F11714" s="92"/>
      <c r="G11714" s="85"/>
    </row>
    <row r="11715">
      <c r="A11715" s="84"/>
      <c r="B11715" s="85"/>
      <c r="C11715" s="85"/>
      <c r="F11715" s="92"/>
      <c r="G11715" s="85"/>
    </row>
    <row r="11716">
      <c r="A11716" s="84"/>
      <c r="B11716" s="85"/>
      <c r="C11716" s="85"/>
      <c r="F11716" s="92"/>
      <c r="G11716" s="85"/>
    </row>
    <row r="11717">
      <c r="A11717" s="84"/>
      <c r="B11717" s="85"/>
      <c r="C11717" s="85"/>
      <c r="F11717" s="92"/>
      <c r="G11717" s="85"/>
    </row>
    <row r="11718">
      <c r="A11718" s="84"/>
      <c r="B11718" s="85"/>
      <c r="C11718" s="85"/>
      <c r="F11718" s="92"/>
      <c r="G11718" s="85"/>
    </row>
    <row r="11719">
      <c r="A11719" s="84"/>
      <c r="B11719" s="85"/>
      <c r="C11719" s="85"/>
      <c r="F11719" s="92"/>
      <c r="G11719" s="85"/>
    </row>
    <row r="11720">
      <c r="A11720" s="84"/>
      <c r="B11720" s="85"/>
      <c r="C11720" s="85"/>
      <c r="F11720" s="92"/>
      <c r="G11720" s="85"/>
    </row>
    <row r="11721">
      <c r="A11721" s="84"/>
      <c r="B11721" s="85"/>
      <c r="C11721" s="85"/>
      <c r="F11721" s="92"/>
      <c r="G11721" s="85"/>
    </row>
    <row r="11722">
      <c r="A11722" s="84"/>
      <c r="B11722" s="85"/>
      <c r="C11722" s="85"/>
      <c r="F11722" s="92"/>
      <c r="G11722" s="85"/>
    </row>
    <row r="11723">
      <c r="A11723" s="84"/>
      <c r="B11723" s="85"/>
      <c r="C11723" s="85"/>
      <c r="F11723" s="92"/>
      <c r="G11723" s="85"/>
    </row>
    <row r="11724">
      <c r="A11724" s="84"/>
      <c r="B11724" s="85"/>
      <c r="C11724" s="85"/>
      <c r="F11724" s="92"/>
      <c r="G11724" s="85"/>
    </row>
    <row r="11725">
      <c r="A11725" s="84"/>
      <c r="B11725" s="85"/>
      <c r="C11725" s="85"/>
      <c r="F11725" s="92"/>
      <c r="G11725" s="85"/>
    </row>
    <row r="11726">
      <c r="A11726" s="84"/>
      <c r="B11726" s="85"/>
      <c r="C11726" s="85"/>
      <c r="F11726" s="92"/>
      <c r="G11726" s="85"/>
    </row>
    <row r="11727">
      <c r="A11727" s="84"/>
      <c r="B11727" s="85"/>
      <c r="C11727" s="85"/>
      <c r="F11727" s="92"/>
      <c r="G11727" s="85"/>
    </row>
    <row r="11728">
      <c r="A11728" s="84"/>
      <c r="B11728" s="85"/>
      <c r="C11728" s="85"/>
      <c r="F11728" s="92"/>
      <c r="G11728" s="85"/>
    </row>
    <row r="11729">
      <c r="A11729" s="84"/>
      <c r="B11729" s="85"/>
      <c r="C11729" s="85"/>
      <c r="F11729" s="92"/>
      <c r="G11729" s="85"/>
    </row>
    <row r="11730">
      <c r="A11730" s="84"/>
      <c r="B11730" s="85"/>
      <c r="C11730" s="85"/>
      <c r="F11730" s="92"/>
      <c r="G11730" s="85"/>
    </row>
    <row r="11731">
      <c r="A11731" s="84"/>
      <c r="B11731" s="85"/>
      <c r="C11731" s="85"/>
      <c r="F11731" s="92"/>
      <c r="G11731" s="85"/>
    </row>
    <row r="11732">
      <c r="A11732" s="84"/>
      <c r="B11732" s="85"/>
      <c r="C11732" s="85"/>
      <c r="F11732" s="92"/>
      <c r="G11732" s="85"/>
    </row>
    <row r="11733">
      <c r="A11733" s="84"/>
      <c r="B11733" s="85"/>
      <c r="C11733" s="85"/>
      <c r="F11733" s="92"/>
      <c r="G11733" s="85"/>
    </row>
    <row r="11734">
      <c r="A11734" s="84"/>
      <c r="B11734" s="85"/>
      <c r="C11734" s="85"/>
      <c r="F11734" s="92"/>
      <c r="G11734" s="85"/>
    </row>
    <row r="11735">
      <c r="A11735" s="84"/>
      <c r="B11735" s="85"/>
      <c r="C11735" s="85"/>
      <c r="F11735" s="92"/>
      <c r="G11735" s="85"/>
    </row>
    <row r="11736">
      <c r="A11736" s="84"/>
      <c r="B11736" s="85"/>
      <c r="C11736" s="85"/>
      <c r="F11736" s="92"/>
      <c r="G11736" s="85"/>
    </row>
    <row r="11737">
      <c r="A11737" s="84"/>
      <c r="B11737" s="85"/>
      <c r="C11737" s="85"/>
      <c r="F11737" s="92"/>
      <c r="G11737" s="85"/>
    </row>
    <row r="11738">
      <c r="A11738" s="84"/>
      <c r="B11738" s="85"/>
      <c r="C11738" s="85"/>
      <c r="F11738" s="92"/>
      <c r="G11738" s="85"/>
    </row>
    <row r="11739">
      <c r="A11739" s="84"/>
      <c r="B11739" s="85"/>
      <c r="C11739" s="85"/>
      <c r="F11739" s="92"/>
      <c r="G11739" s="85"/>
    </row>
    <row r="11740">
      <c r="A11740" s="84"/>
      <c r="B11740" s="85"/>
      <c r="C11740" s="85"/>
      <c r="F11740" s="92"/>
      <c r="G11740" s="85"/>
    </row>
    <row r="11741">
      <c r="A11741" s="84"/>
      <c r="B11741" s="85"/>
      <c r="C11741" s="85"/>
      <c r="F11741" s="92"/>
      <c r="G11741" s="85"/>
    </row>
    <row r="11742">
      <c r="A11742" s="84"/>
      <c r="B11742" s="85"/>
      <c r="C11742" s="85"/>
      <c r="F11742" s="92"/>
      <c r="G11742" s="85"/>
    </row>
    <row r="11743">
      <c r="A11743" s="84"/>
      <c r="B11743" s="85"/>
      <c r="C11743" s="85"/>
      <c r="F11743" s="92"/>
      <c r="G11743" s="85"/>
    </row>
    <row r="11744">
      <c r="A11744" s="84"/>
      <c r="B11744" s="85"/>
      <c r="C11744" s="85"/>
      <c r="F11744" s="92"/>
      <c r="G11744" s="85"/>
    </row>
    <row r="11745">
      <c r="A11745" s="84"/>
      <c r="B11745" s="85"/>
      <c r="C11745" s="85"/>
      <c r="F11745" s="92"/>
      <c r="G11745" s="85"/>
    </row>
    <row r="11746">
      <c r="A11746" s="84"/>
      <c r="B11746" s="85"/>
      <c r="C11746" s="85"/>
      <c r="F11746" s="92"/>
      <c r="G11746" s="85"/>
    </row>
    <row r="11747">
      <c r="A11747" s="84"/>
      <c r="B11747" s="85"/>
      <c r="C11747" s="85"/>
      <c r="F11747" s="92"/>
      <c r="G11747" s="85"/>
    </row>
    <row r="11748">
      <c r="A11748" s="84"/>
      <c r="B11748" s="85"/>
      <c r="C11748" s="85"/>
      <c r="F11748" s="92"/>
      <c r="G11748" s="85"/>
    </row>
    <row r="11749">
      <c r="A11749" s="84"/>
      <c r="B11749" s="85"/>
      <c r="C11749" s="85"/>
      <c r="F11749" s="92"/>
      <c r="G11749" s="85"/>
    </row>
    <row r="11750">
      <c r="A11750" s="84"/>
      <c r="B11750" s="85"/>
      <c r="C11750" s="85"/>
      <c r="F11750" s="92"/>
      <c r="G11750" s="85"/>
    </row>
    <row r="11751">
      <c r="A11751" s="84"/>
      <c r="B11751" s="85"/>
      <c r="C11751" s="85"/>
      <c r="F11751" s="92"/>
      <c r="G11751" s="85"/>
    </row>
    <row r="11752">
      <c r="A11752" s="84"/>
      <c r="B11752" s="85"/>
      <c r="C11752" s="85"/>
      <c r="F11752" s="92"/>
      <c r="G11752" s="85"/>
    </row>
    <row r="11753">
      <c r="A11753" s="84"/>
      <c r="B11753" s="85"/>
      <c r="C11753" s="85"/>
      <c r="F11753" s="92"/>
      <c r="G11753" s="85"/>
    </row>
    <row r="11754">
      <c r="A11754" s="84"/>
      <c r="B11754" s="85"/>
      <c r="C11754" s="85"/>
      <c r="F11754" s="92"/>
      <c r="G11754" s="85"/>
    </row>
    <row r="11755">
      <c r="A11755" s="84"/>
      <c r="B11755" s="85"/>
      <c r="C11755" s="85"/>
      <c r="F11755" s="92"/>
      <c r="G11755" s="85"/>
    </row>
    <row r="11756">
      <c r="A11756" s="84"/>
      <c r="B11756" s="85"/>
      <c r="C11756" s="85"/>
      <c r="F11756" s="92"/>
      <c r="G11756" s="85"/>
    </row>
    <row r="11757">
      <c r="A11757" s="84"/>
      <c r="B11757" s="85"/>
      <c r="C11757" s="85"/>
      <c r="F11757" s="92"/>
      <c r="G11757" s="85"/>
    </row>
    <row r="11758">
      <c r="A11758" s="84"/>
      <c r="B11758" s="85"/>
      <c r="C11758" s="85"/>
      <c r="F11758" s="92"/>
      <c r="G11758" s="85"/>
    </row>
    <row r="11759">
      <c r="A11759" s="84"/>
      <c r="B11759" s="85"/>
      <c r="C11759" s="85"/>
      <c r="F11759" s="92"/>
      <c r="G11759" s="85"/>
    </row>
    <row r="11760">
      <c r="A11760" s="84"/>
      <c r="B11760" s="85"/>
      <c r="C11760" s="85"/>
      <c r="F11760" s="92"/>
      <c r="G11760" s="85"/>
    </row>
    <row r="11761">
      <c r="A11761" s="84"/>
      <c r="B11761" s="85"/>
      <c r="C11761" s="85"/>
      <c r="F11761" s="92"/>
      <c r="G11761" s="85"/>
    </row>
    <row r="11762">
      <c r="A11762" s="84"/>
      <c r="B11762" s="85"/>
      <c r="C11762" s="85"/>
      <c r="F11762" s="92"/>
      <c r="G11762" s="85"/>
    </row>
    <row r="11763">
      <c r="A11763" s="84"/>
      <c r="B11763" s="85"/>
      <c r="C11763" s="85"/>
      <c r="F11763" s="92"/>
      <c r="G11763" s="85"/>
    </row>
    <row r="11764">
      <c r="A11764" s="84"/>
      <c r="B11764" s="85"/>
      <c r="C11764" s="85"/>
      <c r="F11764" s="92"/>
      <c r="G11764" s="85"/>
    </row>
    <row r="11765">
      <c r="A11765" s="84"/>
      <c r="B11765" s="85"/>
      <c r="C11765" s="85"/>
      <c r="F11765" s="92"/>
      <c r="G11765" s="85"/>
    </row>
    <row r="11766">
      <c r="A11766" s="84"/>
      <c r="B11766" s="85"/>
      <c r="C11766" s="85"/>
      <c r="F11766" s="92"/>
      <c r="G11766" s="85"/>
    </row>
    <row r="11767">
      <c r="A11767" s="84"/>
      <c r="B11767" s="85"/>
      <c r="C11767" s="85"/>
      <c r="F11767" s="92"/>
      <c r="G11767" s="85"/>
    </row>
    <row r="11768">
      <c r="A11768" s="84"/>
      <c r="B11768" s="85"/>
      <c r="C11768" s="85"/>
      <c r="F11768" s="92"/>
      <c r="G11768" s="85"/>
    </row>
    <row r="11769">
      <c r="A11769" s="84"/>
      <c r="B11769" s="85"/>
      <c r="C11769" s="85"/>
      <c r="F11769" s="92"/>
      <c r="G11769" s="85"/>
    </row>
    <row r="11770">
      <c r="A11770" s="84"/>
      <c r="B11770" s="85"/>
      <c r="C11770" s="85"/>
      <c r="F11770" s="92"/>
      <c r="G11770" s="85"/>
    </row>
    <row r="11771">
      <c r="A11771" s="84"/>
      <c r="B11771" s="85"/>
      <c r="C11771" s="85"/>
      <c r="F11771" s="92"/>
      <c r="G11771" s="85"/>
    </row>
    <row r="11772">
      <c r="A11772" s="84"/>
      <c r="B11772" s="85"/>
      <c r="C11772" s="85"/>
      <c r="F11772" s="92"/>
      <c r="G11772" s="85"/>
    </row>
    <row r="11773">
      <c r="A11773" s="84"/>
      <c r="B11773" s="85"/>
      <c r="C11773" s="85"/>
      <c r="F11773" s="92"/>
      <c r="G11773" s="85"/>
    </row>
    <row r="11774">
      <c r="A11774" s="84"/>
      <c r="B11774" s="85"/>
      <c r="C11774" s="85"/>
      <c r="F11774" s="92"/>
      <c r="G11774" s="85"/>
    </row>
    <row r="11775">
      <c r="A11775" s="84"/>
      <c r="B11775" s="85"/>
      <c r="C11775" s="85"/>
      <c r="F11775" s="92"/>
      <c r="G11775" s="85"/>
    </row>
    <row r="11776">
      <c r="A11776" s="84"/>
      <c r="B11776" s="85"/>
      <c r="C11776" s="85"/>
      <c r="F11776" s="92"/>
      <c r="G11776" s="85"/>
    </row>
    <row r="11777">
      <c r="A11777" s="84"/>
      <c r="B11777" s="85"/>
      <c r="C11777" s="85"/>
      <c r="F11777" s="92"/>
      <c r="G11777" s="85"/>
    </row>
    <row r="11778">
      <c r="A11778" s="84"/>
      <c r="B11778" s="85"/>
      <c r="C11778" s="85"/>
      <c r="F11778" s="92"/>
      <c r="G11778" s="85"/>
    </row>
    <row r="11779">
      <c r="A11779" s="84"/>
      <c r="B11779" s="85"/>
      <c r="C11779" s="85"/>
      <c r="F11779" s="92"/>
      <c r="G11779" s="85"/>
    </row>
    <row r="11780">
      <c r="A11780" s="84"/>
      <c r="B11780" s="85"/>
      <c r="C11780" s="85"/>
      <c r="F11780" s="92"/>
      <c r="G11780" s="85"/>
    </row>
    <row r="11781">
      <c r="A11781" s="84"/>
      <c r="B11781" s="85"/>
      <c r="C11781" s="85"/>
      <c r="F11781" s="92"/>
      <c r="G11781" s="85"/>
    </row>
    <row r="11782">
      <c r="A11782" s="84"/>
      <c r="B11782" s="85"/>
      <c r="C11782" s="85"/>
      <c r="F11782" s="92"/>
      <c r="G11782" s="85"/>
    </row>
    <row r="11783">
      <c r="A11783" s="84"/>
      <c r="B11783" s="85"/>
      <c r="C11783" s="85"/>
      <c r="F11783" s="92"/>
      <c r="G11783" s="85"/>
    </row>
    <row r="11784">
      <c r="A11784" s="84"/>
      <c r="B11784" s="85"/>
      <c r="C11784" s="85"/>
      <c r="F11784" s="92"/>
      <c r="G11784" s="85"/>
    </row>
    <row r="11785">
      <c r="A11785" s="84"/>
      <c r="B11785" s="85"/>
      <c r="C11785" s="85"/>
      <c r="F11785" s="92"/>
      <c r="G11785" s="85"/>
    </row>
    <row r="11786">
      <c r="A11786" s="84"/>
      <c r="B11786" s="85"/>
      <c r="C11786" s="85"/>
      <c r="F11786" s="92"/>
      <c r="G11786" s="85"/>
    </row>
    <row r="11787">
      <c r="A11787" s="84"/>
      <c r="B11787" s="85"/>
      <c r="C11787" s="85"/>
      <c r="F11787" s="92"/>
      <c r="G11787" s="85"/>
    </row>
    <row r="11788">
      <c r="A11788" s="84"/>
      <c r="B11788" s="85"/>
      <c r="C11788" s="85"/>
      <c r="F11788" s="92"/>
      <c r="G11788" s="85"/>
    </row>
    <row r="11789">
      <c r="A11789" s="84"/>
      <c r="B11789" s="85"/>
      <c r="C11789" s="85"/>
      <c r="F11789" s="92"/>
      <c r="G11789" s="85"/>
    </row>
    <row r="11790">
      <c r="A11790" s="84"/>
      <c r="B11790" s="85"/>
      <c r="C11790" s="85"/>
      <c r="F11790" s="92"/>
      <c r="G11790" s="85"/>
    </row>
    <row r="11791">
      <c r="A11791" s="84"/>
      <c r="B11791" s="85"/>
      <c r="C11791" s="85"/>
      <c r="F11791" s="92"/>
      <c r="G11791" s="85"/>
    </row>
    <row r="11792">
      <c r="A11792" s="84"/>
      <c r="B11792" s="85"/>
      <c r="C11792" s="85"/>
      <c r="F11792" s="92"/>
      <c r="G11792" s="85"/>
    </row>
    <row r="11793">
      <c r="A11793" s="84"/>
      <c r="B11793" s="85"/>
      <c r="C11793" s="85"/>
      <c r="F11793" s="92"/>
      <c r="G11793" s="85"/>
    </row>
    <row r="11794">
      <c r="A11794" s="84"/>
      <c r="B11794" s="85"/>
      <c r="C11794" s="85"/>
      <c r="F11794" s="92"/>
      <c r="G11794" s="85"/>
    </row>
    <row r="11795">
      <c r="A11795" s="84"/>
      <c r="B11795" s="85"/>
      <c r="C11795" s="85"/>
      <c r="F11795" s="92"/>
      <c r="G11795" s="85"/>
    </row>
    <row r="11796">
      <c r="A11796" s="84"/>
      <c r="B11796" s="85"/>
      <c r="C11796" s="85"/>
      <c r="F11796" s="92"/>
      <c r="G11796" s="85"/>
    </row>
    <row r="11797">
      <c r="A11797" s="84"/>
      <c r="B11797" s="85"/>
      <c r="C11797" s="85"/>
      <c r="F11797" s="92"/>
      <c r="G11797" s="85"/>
    </row>
    <row r="11798">
      <c r="A11798" s="84"/>
      <c r="B11798" s="85"/>
      <c r="C11798" s="85"/>
      <c r="F11798" s="92"/>
      <c r="G11798" s="85"/>
    </row>
    <row r="11799">
      <c r="A11799" s="84"/>
      <c r="B11799" s="85"/>
      <c r="C11799" s="85"/>
      <c r="F11799" s="92"/>
      <c r="G11799" s="85"/>
    </row>
    <row r="11800">
      <c r="A11800" s="84"/>
      <c r="B11800" s="85"/>
      <c r="C11800" s="85"/>
      <c r="F11800" s="92"/>
      <c r="G11800" s="85"/>
    </row>
    <row r="11801">
      <c r="A11801" s="84"/>
      <c r="B11801" s="85"/>
      <c r="C11801" s="85"/>
      <c r="F11801" s="92"/>
      <c r="G11801" s="85"/>
    </row>
    <row r="11802">
      <c r="A11802" s="84"/>
      <c r="B11802" s="85"/>
      <c r="C11802" s="85"/>
      <c r="F11802" s="92"/>
      <c r="G11802" s="85"/>
    </row>
    <row r="11803">
      <c r="A11803" s="84"/>
      <c r="B11803" s="85"/>
      <c r="C11803" s="85"/>
      <c r="F11803" s="92"/>
      <c r="G11803" s="85"/>
    </row>
    <row r="11804">
      <c r="A11804" s="84"/>
      <c r="B11804" s="85"/>
      <c r="C11804" s="85"/>
      <c r="F11804" s="92"/>
      <c r="G11804" s="85"/>
    </row>
    <row r="11805">
      <c r="A11805" s="84"/>
      <c r="B11805" s="85"/>
      <c r="C11805" s="85"/>
      <c r="F11805" s="92"/>
      <c r="G11805" s="85"/>
    </row>
    <row r="11806">
      <c r="A11806" s="84"/>
      <c r="B11806" s="85"/>
      <c r="C11806" s="85"/>
      <c r="F11806" s="92"/>
      <c r="G11806" s="85"/>
    </row>
    <row r="11807">
      <c r="A11807" s="84"/>
      <c r="B11807" s="85"/>
      <c r="C11807" s="85"/>
      <c r="F11807" s="92"/>
      <c r="G11807" s="85"/>
    </row>
    <row r="11808">
      <c r="A11808" s="84"/>
      <c r="B11808" s="85"/>
      <c r="C11808" s="85"/>
      <c r="F11808" s="92"/>
      <c r="G11808" s="85"/>
    </row>
    <row r="11809">
      <c r="A11809" s="84"/>
      <c r="B11809" s="85"/>
      <c r="C11809" s="85"/>
      <c r="F11809" s="92"/>
      <c r="G11809" s="85"/>
    </row>
    <row r="11810">
      <c r="A11810" s="84"/>
      <c r="B11810" s="85"/>
      <c r="C11810" s="85"/>
      <c r="F11810" s="92"/>
      <c r="G11810" s="85"/>
    </row>
    <row r="11811">
      <c r="A11811" s="84"/>
      <c r="B11811" s="85"/>
      <c r="C11811" s="85"/>
      <c r="F11811" s="92"/>
      <c r="G11811" s="85"/>
    </row>
    <row r="11812">
      <c r="A11812" s="84"/>
      <c r="B11812" s="85"/>
      <c r="C11812" s="85"/>
      <c r="F11812" s="92"/>
      <c r="G11812" s="85"/>
    </row>
    <row r="11813">
      <c r="A11813" s="84"/>
      <c r="B11813" s="85"/>
      <c r="C11813" s="85"/>
      <c r="F11813" s="92"/>
      <c r="G11813" s="85"/>
    </row>
    <row r="11814">
      <c r="A11814" s="84"/>
      <c r="B11814" s="85"/>
      <c r="C11814" s="85"/>
      <c r="F11814" s="92"/>
      <c r="G11814" s="85"/>
    </row>
    <row r="11815">
      <c r="A11815" s="84"/>
      <c r="B11815" s="85"/>
      <c r="C11815" s="85"/>
      <c r="F11815" s="92"/>
      <c r="G11815" s="85"/>
    </row>
    <row r="11816">
      <c r="A11816" s="84"/>
      <c r="B11816" s="85"/>
      <c r="C11816" s="85"/>
      <c r="F11816" s="92"/>
      <c r="G11816" s="85"/>
    </row>
    <row r="11817">
      <c r="A11817" s="84"/>
      <c r="B11817" s="85"/>
      <c r="C11817" s="85"/>
      <c r="F11817" s="92"/>
      <c r="G11817" s="85"/>
    </row>
    <row r="11818">
      <c r="A11818" s="84"/>
      <c r="B11818" s="85"/>
      <c r="C11818" s="85"/>
      <c r="F11818" s="92"/>
      <c r="G11818" s="85"/>
    </row>
    <row r="11819">
      <c r="A11819" s="84"/>
      <c r="B11819" s="85"/>
      <c r="C11819" s="85"/>
      <c r="F11819" s="92"/>
      <c r="G11819" s="85"/>
    </row>
    <row r="11820">
      <c r="A11820" s="84"/>
      <c r="B11820" s="85"/>
      <c r="C11820" s="85"/>
      <c r="F11820" s="92"/>
      <c r="G11820" s="85"/>
    </row>
    <row r="11821">
      <c r="A11821" s="84"/>
      <c r="B11821" s="85"/>
      <c r="C11821" s="85"/>
      <c r="F11821" s="92"/>
      <c r="G11821" s="85"/>
    </row>
    <row r="11822">
      <c r="A11822" s="84"/>
      <c r="B11822" s="85"/>
      <c r="C11822" s="85"/>
      <c r="F11822" s="92"/>
      <c r="G11822" s="85"/>
    </row>
    <row r="11823">
      <c r="A11823" s="84"/>
      <c r="B11823" s="85"/>
      <c r="C11823" s="85"/>
      <c r="F11823" s="92"/>
      <c r="G11823" s="85"/>
    </row>
    <row r="11824">
      <c r="A11824" s="84"/>
      <c r="B11824" s="85"/>
      <c r="C11824" s="85"/>
      <c r="F11824" s="92"/>
      <c r="G11824" s="85"/>
    </row>
    <row r="11825">
      <c r="A11825" s="84"/>
      <c r="B11825" s="85"/>
      <c r="C11825" s="85"/>
      <c r="F11825" s="92"/>
      <c r="G11825" s="85"/>
    </row>
    <row r="11826">
      <c r="A11826" s="84"/>
      <c r="B11826" s="85"/>
      <c r="C11826" s="85"/>
      <c r="F11826" s="92"/>
      <c r="G11826" s="85"/>
    </row>
    <row r="11827">
      <c r="A11827" s="84"/>
      <c r="B11827" s="85"/>
      <c r="C11827" s="85"/>
      <c r="F11827" s="92"/>
      <c r="G11827" s="85"/>
    </row>
    <row r="11828">
      <c r="A11828" s="84"/>
      <c r="B11828" s="85"/>
      <c r="C11828" s="85"/>
      <c r="F11828" s="92"/>
      <c r="G11828" s="85"/>
    </row>
    <row r="11829">
      <c r="A11829" s="84"/>
      <c r="B11829" s="85"/>
      <c r="C11829" s="85"/>
      <c r="F11829" s="92"/>
      <c r="G11829" s="85"/>
    </row>
    <row r="11830">
      <c r="A11830" s="84"/>
      <c r="B11830" s="85"/>
      <c r="C11830" s="85"/>
      <c r="F11830" s="92"/>
      <c r="G11830" s="85"/>
    </row>
    <row r="11831">
      <c r="A11831" s="84"/>
      <c r="B11831" s="85"/>
      <c r="C11831" s="85"/>
      <c r="F11831" s="92"/>
      <c r="G11831" s="85"/>
    </row>
    <row r="11832">
      <c r="A11832" s="84"/>
      <c r="B11832" s="85"/>
      <c r="C11832" s="85"/>
      <c r="F11832" s="92"/>
      <c r="G11832" s="85"/>
    </row>
    <row r="11833">
      <c r="A11833" s="84"/>
      <c r="B11833" s="85"/>
      <c r="C11833" s="85"/>
      <c r="F11833" s="92"/>
      <c r="G11833" s="85"/>
    </row>
    <row r="11834">
      <c r="A11834" s="84"/>
      <c r="B11834" s="85"/>
      <c r="C11834" s="85"/>
      <c r="F11834" s="92"/>
      <c r="G11834" s="85"/>
    </row>
    <row r="11835">
      <c r="A11835" s="84"/>
      <c r="B11835" s="85"/>
      <c r="C11835" s="85"/>
      <c r="F11835" s="92"/>
      <c r="G11835" s="85"/>
    </row>
    <row r="11836">
      <c r="A11836" s="84"/>
      <c r="B11836" s="85"/>
      <c r="C11836" s="85"/>
      <c r="F11836" s="92"/>
      <c r="G11836" s="85"/>
    </row>
    <row r="11837">
      <c r="A11837" s="84"/>
      <c r="B11837" s="85"/>
      <c r="C11837" s="85"/>
      <c r="F11837" s="92"/>
      <c r="G11837" s="85"/>
    </row>
    <row r="11838">
      <c r="A11838" s="84"/>
      <c r="B11838" s="85"/>
      <c r="C11838" s="85"/>
      <c r="F11838" s="92"/>
      <c r="G11838" s="85"/>
    </row>
    <row r="11839">
      <c r="A11839" s="84"/>
      <c r="B11839" s="85"/>
      <c r="C11839" s="85"/>
      <c r="F11839" s="92"/>
      <c r="G11839" s="85"/>
    </row>
    <row r="11840">
      <c r="A11840" s="84"/>
      <c r="B11840" s="85"/>
      <c r="C11840" s="85"/>
      <c r="F11840" s="92"/>
      <c r="G11840" s="85"/>
    </row>
    <row r="11841">
      <c r="A11841" s="84"/>
      <c r="B11841" s="85"/>
      <c r="C11841" s="85"/>
      <c r="F11841" s="92"/>
      <c r="G11841" s="85"/>
    </row>
    <row r="11842">
      <c r="A11842" s="84"/>
      <c r="B11842" s="85"/>
      <c r="C11842" s="85"/>
      <c r="F11842" s="92"/>
      <c r="G11842" s="85"/>
    </row>
    <row r="11843">
      <c r="A11843" s="84"/>
      <c r="B11843" s="85"/>
      <c r="C11843" s="85"/>
      <c r="F11843" s="92"/>
      <c r="G11843" s="85"/>
    </row>
    <row r="11844">
      <c r="A11844" s="84"/>
      <c r="B11844" s="85"/>
      <c r="C11844" s="85"/>
      <c r="F11844" s="92"/>
      <c r="G11844" s="85"/>
    </row>
    <row r="11845">
      <c r="A11845" s="84"/>
      <c r="B11845" s="85"/>
      <c r="C11845" s="85"/>
      <c r="F11845" s="92"/>
      <c r="G11845" s="85"/>
    </row>
    <row r="11846">
      <c r="A11846" s="84"/>
      <c r="B11846" s="85"/>
      <c r="C11846" s="85"/>
      <c r="F11846" s="92"/>
      <c r="G11846" s="85"/>
    </row>
    <row r="11847">
      <c r="A11847" s="84"/>
      <c r="B11847" s="85"/>
      <c r="C11847" s="85"/>
      <c r="F11847" s="92"/>
      <c r="G11847" s="85"/>
    </row>
    <row r="11848">
      <c r="A11848" s="84"/>
      <c r="B11848" s="85"/>
      <c r="C11848" s="85"/>
      <c r="F11848" s="92"/>
      <c r="G11848" s="85"/>
    </row>
    <row r="11849">
      <c r="A11849" s="84"/>
      <c r="B11849" s="85"/>
      <c r="C11849" s="85"/>
      <c r="F11849" s="92"/>
      <c r="G11849" s="85"/>
    </row>
    <row r="11850">
      <c r="A11850" s="84"/>
      <c r="B11850" s="85"/>
      <c r="C11850" s="85"/>
      <c r="F11850" s="92"/>
      <c r="G11850" s="85"/>
    </row>
    <row r="11851">
      <c r="A11851" s="84"/>
      <c r="B11851" s="85"/>
      <c r="C11851" s="85"/>
      <c r="F11851" s="92"/>
      <c r="G11851" s="85"/>
    </row>
    <row r="11852">
      <c r="A11852" s="84"/>
      <c r="B11852" s="85"/>
      <c r="C11852" s="85"/>
      <c r="F11852" s="92"/>
      <c r="G11852" s="85"/>
    </row>
    <row r="11853">
      <c r="A11853" s="84"/>
      <c r="B11853" s="85"/>
      <c r="C11853" s="85"/>
      <c r="F11853" s="92"/>
      <c r="G11853" s="85"/>
    </row>
    <row r="11854">
      <c r="A11854" s="84"/>
      <c r="B11854" s="85"/>
      <c r="C11854" s="85"/>
      <c r="F11854" s="92"/>
      <c r="G11854" s="85"/>
    </row>
    <row r="11855">
      <c r="A11855" s="84"/>
      <c r="B11855" s="85"/>
      <c r="C11855" s="85"/>
      <c r="F11855" s="92"/>
      <c r="G11855" s="85"/>
    </row>
    <row r="11856">
      <c r="A11856" s="84"/>
      <c r="B11856" s="85"/>
      <c r="C11856" s="85"/>
      <c r="F11856" s="92"/>
      <c r="G11856" s="85"/>
    </row>
    <row r="11857">
      <c r="A11857" s="84"/>
      <c r="B11857" s="85"/>
      <c r="C11857" s="85"/>
      <c r="F11857" s="92"/>
      <c r="G11857" s="85"/>
    </row>
    <row r="11858">
      <c r="A11858" s="84"/>
      <c r="B11858" s="85"/>
      <c r="C11858" s="85"/>
      <c r="F11858" s="92"/>
      <c r="G11858" s="85"/>
    </row>
    <row r="11859">
      <c r="A11859" s="84"/>
      <c r="B11859" s="85"/>
      <c r="C11859" s="85"/>
      <c r="F11859" s="92"/>
      <c r="G11859" s="85"/>
    </row>
    <row r="11860">
      <c r="A11860" s="84"/>
      <c r="B11860" s="85"/>
      <c r="C11860" s="85"/>
      <c r="F11860" s="92"/>
      <c r="G11860" s="85"/>
    </row>
    <row r="11861">
      <c r="A11861" s="84"/>
      <c r="B11861" s="85"/>
      <c r="C11861" s="85"/>
      <c r="F11861" s="92"/>
      <c r="G11861" s="85"/>
    </row>
    <row r="11862">
      <c r="A11862" s="84"/>
      <c r="B11862" s="85"/>
      <c r="C11862" s="85"/>
      <c r="F11862" s="92"/>
      <c r="G11862" s="85"/>
    </row>
    <row r="11863">
      <c r="A11863" s="84"/>
      <c r="B11863" s="85"/>
      <c r="C11863" s="85"/>
      <c r="F11863" s="92"/>
      <c r="G11863" s="85"/>
    </row>
    <row r="11864">
      <c r="A11864" s="84"/>
      <c r="B11864" s="85"/>
      <c r="C11864" s="85"/>
      <c r="F11864" s="92"/>
      <c r="G11864" s="85"/>
    </row>
    <row r="11865">
      <c r="A11865" s="84"/>
      <c r="B11865" s="85"/>
      <c r="C11865" s="85"/>
      <c r="F11865" s="92"/>
      <c r="G11865" s="85"/>
    </row>
    <row r="11866">
      <c r="A11866" s="84"/>
      <c r="B11866" s="85"/>
      <c r="C11866" s="85"/>
      <c r="F11866" s="92"/>
      <c r="G11866" s="85"/>
    </row>
    <row r="11867">
      <c r="A11867" s="84"/>
      <c r="B11867" s="85"/>
      <c r="C11867" s="85"/>
      <c r="F11867" s="92"/>
      <c r="G11867" s="85"/>
    </row>
    <row r="11868">
      <c r="A11868" s="84"/>
      <c r="B11868" s="85"/>
      <c r="C11868" s="85"/>
      <c r="F11868" s="92"/>
      <c r="G11868" s="85"/>
    </row>
    <row r="11869">
      <c r="A11869" s="84"/>
      <c r="B11869" s="85"/>
      <c r="C11869" s="85"/>
      <c r="F11869" s="92"/>
      <c r="G11869" s="85"/>
    </row>
    <row r="11870">
      <c r="A11870" s="84"/>
      <c r="B11870" s="85"/>
      <c r="C11870" s="85"/>
      <c r="F11870" s="92"/>
      <c r="G11870" s="85"/>
    </row>
    <row r="11871">
      <c r="A11871" s="84"/>
      <c r="B11871" s="85"/>
      <c r="C11871" s="85"/>
      <c r="F11871" s="92"/>
      <c r="G11871" s="85"/>
    </row>
    <row r="11872">
      <c r="A11872" s="84"/>
      <c r="B11872" s="85"/>
      <c r="C11872" s="85"/>
      <c r="F11872" s="92"/>
      <c r="G11872" s="85"/>
    </row>
    <row r="11873">
      <c r="A11873" s="84"/>
      <c r="B11873" s="85"/>
      <c r="C11873" s="85"/>
      <c r="F11873" s="92"/>
      <c r="G11873" s="85"/>
    </row>
    <row r="11874">
      <c r="A11874" s="84"/>
      <c r="B11874" s="85"/>
      <c r="C11874" s="85"/>
      <c r="F11874" s="92"/>
      <c r="G11874" s="85"/>
    </row>
    <row r="11875">
      <c r="A11875" s="84"/>
      <c r="B11875" s="85"/>
      <c r="C11875" s="85"/>
      <c r="F11875" s="92"/>
      <c r="G11875" s="85"/>
    </row>
    <row r="11876">
      <c r="A11876" s="84"/>
      <c r="B11876" s="85"/>
      <c r="C11876" s="85"/>
      <c r="F11876" s="92"/>
      <c r="G11876" s="85"/>
    </row>
    <row r="11877">
      <c r="A11877" s="84"/>
      <c r="B11877" s="85"/>
      <c r="C11877" s="85"/>
      <c r="F11877" s="92"/>
      <c r="G11877" s="85"/>
    </row>
    <row r="11878">
      <c r="A11878" s="84"/>
      <c r="B11878" s="85"/>
      <c r="C11878" s="85"/>
      <c r="F11878" s="92"/>
      <c r="G11878" s="85"/>
    </row>
    <row r="11879">
      <c r="A11879" s="84"/>
      <c r="B11879" s="85"/>
      <c r="C11879" s="85"/>
      <c r="F11879" s="92"/>
      <c r="G11879" s="85"/>
    </row>
    <row r="11880">
      <c r="A11880" s="84"/>
      <c r="B11880" s="85"/>
      <c r="C11880" s="85"/>
      <c r="F11880" s="92"/>
      <c r="G11880" s="85"/>
    </row>
    <row r="11881">
      <c r="A11881" s="84"/>
      <c r="B11881" s="85"/>
      <c r="C11881" s="85"/>
      <c r="F11881" s="92"/>
      <c r="G11881" s="85"/>
    </row>
    <row r="11882">
      <c r="A11882" s="84"/>
      <c r="B11882" s="85"/>
      <c r="C11882" s="85"/>
      <c r="F11882" s="92"/>
      <c r="G11882" s="85"/>
    </row>
    <row r="11883">
      <c r="A11883" s="84"/>
      <c r="B11883" s="85"/>
      <c r="C11883" s="85"/>
      <c r="F11883" s="92"/>
      <c r="G11883" s="85"/>
    </row>
    <row r="11884">
      <c r="A11884" s="84"/>
      <c r="B11884" s="85"/>
      <c r="C11884" s="85"/>
      <c r="F11884" s="92"/>
      <c r="G11884" s="85"/>
    </row>
    <row r="11885">
      <c r="A11885" s="84"/>
      <c r="B11885" s="85"/>
      <c r="C11885" s="85"/>
      <c r="F11885" s="92"/>
      <c r="G11885" s="85"/>
    </row>
    <row r="11886">
      <c r="A11886" s="84"/>
      <c r="B11886" s="85"/>
      <c r="C11886" s="85"/>
      <c r="F11886" s="92"/>
      <c r="G11886" s="85"/>
    </row>
    <row r="11887">
      <c r="A11887" s="84"/>
      <c r="B11887" s="85"/>
      <c r="C11887" s="85"/>
      <c r="F11887" s="92"/>
      <c r="G11887" s="85"/>
    </row>
    <row r="11888">
      <c r="A11888" s="84"/>
      <c r="B11888" s="85"/>
      <c r="C11888" s="85"/>
      <c r="F11888" s="92"/>
      <c r="G11888" s="85"/>
    </row>
    <row r="11889">
      <c r="A11889" s="84"/>
      <c r="B11889" s="85"/>
      <c r="C11889" s="85"/>
      <c r="F11889" s="92"/>
      <c r="G11889" s="85"/>
    </row>
    <row r="11890">
      <c r="A11890" s="84"/>
      <c r="B11890" s="85"/>
      <c r="C11890" s="85"/>
      <c r="F11890" s="92"/>
      <c r="G11890" s="85"/>
    </row>
    <row r="11891">
      <c r="A11891" s="84"/>
      <c r="B11891" s="85"/>
      <c r="C11891" s="85"/>
      <c r="F11891" s="92"/>
      <c r="G11891" s="85"/>
    </row>
    <row r="11892">
      <c r="A11892" s="84"/>
      <c r="B11892" s="85"/>
      <c r="C11892" s="85"/>
      <c r="F11892" s="92"/>
      <c r="G11892" s="85"/>
    </row>
    <row r="11893">
      <c r="A11893" s="84"/>
      <c r="B11893" s="85"/>
      <c r="C11893" s="85"/>
      <c r="F11893" s="92"/>
      <c r="G11893" s="85"/>
    </row>
    <row r="11894">
      <c r="A11894" s="84"/>
      <c r="B11894" s="85"/>
      <c r="C11894" s="85"/>
      <c r="F11894" s="92"/>
      <c r="G11894" s="85"/>
    </row>
    <row r="11895">
      <c r="A11895" s="84"/>
      <c r="B11895" s="85"/>
      <c r="C11895" s="85"/>
      <c r="F11895" s="92"/>
      <c r="G11895" s="85"/>
    </row>
    <row r="11896">
      <c r="A11896" s="84"/>
      <c r="B11896" s="85"/>
      <c r="C11896" s="85"/>
      <c r="F11896" s="92"/>
      <c r="G11896" s="85"/>
    </row>
    <row r="11897">
      <c r="A11897" s="84"/>
      <c r="B11897" s="85"/>
      <c r="C11897" s="85"/>
      <c r="F11897" s="92"/>
      <c r="G11897" s="85"/>
    </row>
    <row r="11898">
      <c r="A11898" s="84"/>
      <c r="B11898" s="85"/>
      <c r="C11898" s="85"/>
      <c r="F11898" s="92"/>
      <c r="G11898" s="85"/>
    </row>
    <row r="11899">
      <c r="A11899" s="84"/>
      <c r="B11899" s="85"/>
      <c r="C11899" s="85"/>
      <c r="F11899" s="92"/>
      <c r="G11899" s="85"/>
    </row>
    <row r="11900">
      <c r="A11900" s="84"/>
      <c r="B11900" s="85"/>
      <c r="C11900" s="85"/>
      <c r="F11900" s="92"/>
      <c r="G11900" s="85"/>
    </row>
    <row r="11901">
      <c r="A11901" s="84"/>
      <c r="B11901" s="85"/>
      <c r="C11901" s="85"/>
      <c r="F11901" s="92"/>
      <c r="G11901" s="85"/>
    </row>
    <row r="11902">
      <c r="A11902" s="84"/>
      <c r="B11902" s="85"/>
      <c r="C11902" s="85"/>
      <c r="F11902" s="92"/>
      <c r="G11902" s="85"/>
    </row>
    <row r="11903">
      <c r="A11903" s="84"/>
      <c r="B11903" s="85"/>
      <c r="C11903" s="85"/>
      <c r="F11903" s="92"/>
      <c r="G11903" s="85"/>
    </row>
    <row r="11904">
      <c r="A11904" s="84"/>
      <c r="B11904" s="85"/>
      <c r="C11904" s="85"/>
      <c r="F11904" s="92"/>
      <c r="G11904" s="85"/>
    </row>
    <row r="11905">
      <c r="A11905" s="84"/>
      <c r="B11905" s="85"/>
      <c r="C11905" s="85"/>
      <c r="F11905" s="92"/>
      <c r="G11905" s="85"/>
    </row>
    <row r="11906">
      <c r="A11906" s="84"/>
      <c r="B11906" s="85"/>
      <c r="C11906" s="85"/>
      <c r="F11906" s="92"/>
      <c r="G11906" s="85"/>
    </row>
    <row r="11907">
      <c r="A11907" s="84"/>
      <c r="B11907" s="85"/>
      <c r="C11907" s="85"/>
      <c r="F11907" s="92"/>
      <c r="G11907" s="85"/>
    </row>
    <row r="11908">
      <c r="A11908" s="84"/>
      <c r="B11908" s="85"/>
      <c r="C11908" s="85"/>
      <c r="F11908" s="92"/>
      <c r="G11908" s="85"/>
    </row>
    <row r="11909">
      <c r="A11909" s="84"/>
      <c r="B11909" s="85"/>
      <c r="C11909" s="85"/>
      <c r="F11909" s="92"/>
      <c r="G11909" s="85"/>
    </row>
    <row r="11910">
      <c r="A11910" s="84"/>
      <c r="B11910" s="85"/>
      <c r="C11910" s="85"/>
      <c r="F11910" s="92"/>
      <c r="G11910" s="85"/>
    </row>
    <row r="11911">
      <c r="A11911" s="84"/>
      <c r="B11911" s="85"/>
      <c r="C11911" s="85"/>
      <c r="F11911" s="92"/>
      <c r="G11911" s="85"/>
    </row>
    <row r="11912">
      <c r="A11912" s="84"/>
      <c r="B11912" s="85"/>
      <c r="C11912" s="85"/>
      <c r="F11912" s="92"/>
      <c r="G11912" s="85"/>
    </row>
    <row r="11913">
      <c r="A11913" s="84"/>
      <c r="B11913" s="85"/>
      <c r="C11913" s="85"/>
      <c r="F11913" s="92"/>
      <c r="G11913" s="85"/>
    </row>
    <row r="11914">
      <c r="A11914" s="84"/>
      <c r="B11914" s="85"/>
      <c r="C11914" s="85"/>
      <c r="F11914" s="92"/>
      <c r="G11914" s="85"/>
    </row>
    <row r="11915">
      <c r="A11915" s="84"/>
      <c r="B11915" s="85"/>
      <c r="C11915" s="85"/>
      <c r="F11915" s="92"/>
      <c r="G11915" s="85"/>
    </row>
    <row r="11916">
      <c r="A11916" s="84"/>
      <c r="B11916" s="85"/>
      <c r="C11916" s="85"/>
      <c r="F11916" s="92"/>
      <c r="G11916" s="85"/>
    </row>
    <row r="11917">
      <c r="A11917" s="84"/>
      <c r="B11917" s="85"/>
      <c r="C11917" s="85"/>
      <c r="F11917" s="92"/>
      <c r="G11917" s="85"/>
    </row>
    <row r="11918">
      <c r="A11918" s="84"/>
      <c r="B11918" s="85"/>
      <c r="C11918" s="85"/>
      <c r="F11918" s="92"/>
      <c r="G11918" s="85"/>
    </row>
    <row r="11919">
      <c r="A11919" s="84"/>
      <c r="B11919" s="85"/>
      <c r="C11919" s="85"/>
      <c r="F11919" s="92"/>
      <c r="G11919" s="85"/>
    </row>
    <row r="11920">
      <c r="A11920" s="84"/>
      <c r="B11920" s="85"/>
      <c r="C11920" s="85"/>
      <c r="F11920" s="92"/>
      <c r="G11920" s="85"/>
    </row>
    <row r="11921">
      <c r="A11921" s="84"/>
      <c r="B11921" s="85"/>
      <c r="C11921" s="85"/>
      <c r="F11921" s="92"/>
      <c r="G11921" s="85"/>
    </row>
    <row r="11922">
      <c r="A11922" s="84"/>
      <c r="B11922" s="85"/>
      <c r="C11922" s="85"/>
      <c r="F11922" s="92"/>
      <c r="G11922" s="85"/>
    </row>
    <row r="11923">
      <c r="A11923" s="84"/>
      <c r="B11923" s="85"/>
      <c r="C11923" s="85"/>
      <c r="F11923" s="92"/>
      <c r="G11923" s="85"/>
    </row>
    <row r="11924">
      <c r="A11924" s="84"/>
      <c r="B11924" s="85"/>
      <c r="C11924" s="85"/>
      <c r="F11924" s="92"/>
      <c r="G11924" s="85"/>
    </row>
    <row r="11925">
      <c r="A11925" s="84"/>
      <c r="B11925" s="85"/>
      <c r="C11925" s="85"/>
      <c r="F11925" s="92"/>
      <c r="G11925" s="85"/>
    </row>
    <row r="11926">
      <c r="A11926" s="84"/>
      <c r="B11926" s="85"/>
      <c r="C11926" s="85"/>
      <c r="F11926" s="92"/>
      <c r="G11926" s="85"/>
    </row>
    <row r="11927">
      <c r="A11927" s="84"/>
      <c r="B11927" s="85"/>
      <c r="C11927" s="85"/>
      <c r="F11927" s="92"/>
      <c r="G11927" s="85"/>
    </row>
    <row r="11928">
      <c r="A11928" s="84"/>
      <c r="B11928" s="85"/>
      <c r="C11928" s="85"/>
      <c r="F11928" s="92"/>
      <c r="G11928" s="85"/>
    </row>
    <row r="11929">
      <c r="A11929" s="84"/>
      <c r="B11929" s="85"/>
      <c r="C11929" s="85"/>
      <c r="F11929" s="92"/>
      <c r="G11929" s="85"/>
    </row>
    <row r="11930">
      <c r="A11930" s="84"/>
      <c r="B11930" s="85"/>
      <c r="C11930" s="85"/>
      <c r="F11930" s="92"/>
      <c r="G11930" s="85"/>
    </row>
    <row r="11931">
      <c r="A11931" s="84"/>
      <c r="B11931" s="85"/>
      <c r="C11931" s="85"/>
      <c r="F11931" s="92"/>
      <c r="G11931" s="85"/>
    </row>
    <row r="11932">
      <c r="A11932" s="84"/>
      <c r="B11932" s="85"/>
      <c r="C11932" s="85"/>
      <c r="F11932" s="92"/>
      <c r="G11932" s="85"/>
    </row>
    <row r="11933">
      <c r="A11933" s="84"/>
      <c r="B11933" s="85"/>
      <c r="C11933" s="85"/>
      <c r="F11933" s="92"/>
      <c r="G11933" s="85"/>
    </row>
    <row r="11934">
      <c r="A11934" s="84"/>
      <c r="B11934" s="85"/>
      <c r="C11934" s="85"/>
      <c r="F11934" s="92"/>
      <c r="G11934" s="85"/>
    </row>
    <row r="11935">
      <c r="A11935" s="84"/>
      <c r="B11935" s="85"/>
      <c r="C11935" s="85"/>
      <c r="F11935" s="92"/>
      <c r="G11935" s="85"/>
    </row>
    <row r="11936">
      <c r="A11936" s="84"/>
      <c r="B11936" s="85"/>
      <c r="C11936" s="85"/>
      <c r="F11936" s="92"/>
      <c r="G11936" s="85"/>
    </row>
    <row r="11937">
      <c r="A11937" s="84"/>
      <c r="B11937" s="85"/>
      <c r="C11937" s="85"/>
      <c r="F11937" s="92"/>
      <c r="G11937" s="85"/>
    </row>
    <row r="11938">
      <c r="A11938" s="84"/>
      <c r="B11938" s="85"/>
      <c r="C11938" s="85"/>
      <c r="F11938" s="92"/>
      <c r="G11938" s="85"/>
    </row>
    <row r="11939">
      <c r="A11939" s="84"/>
      <c r="B11939" s="85"/>
      <c r="C11939" s="85"/>
      <c r="F11939" s="92"/>
      <c r="G11939" s="85"/>
    </row>
    <row r="11940">
      <c r="A11940" s="84"/>
      <c r="B11940" s="85"/>
      <c r="C11940" s="85"/>
      <c r="F11940" s="92"/>
      <c r="G11940" s="85"/>
    </row>
    <row r="11941">
      <c r="A11941" s="84"/>
      <c r="B11941" s="85"/>
      <c r="C11941" s="85"/>
      <c r="F11941" s="92"/>
      <c r="G11941" s="85"/>
    </row>
    <row r="11942">
      <c r="A11942" s="84"/>
      <c r="B11942" s="85"/>
      <c r="C11942" s="85"/>
      <c r="F11942" s="92"/>
      <c r="G11942" s="85"/>
    </row>
    <row r="11943">
      <c r="A11943" s="84"/>
      <c r="B11943" s="85"/>
      <c r="C11943" s="85"/>
      <c r="F11943" s="92"/>
      <c r="G11943" s="85"/>
    </row>
    <row r="11944">
      <c r="A11944" s="84"/>
      <c r="B11944" s="85"/>
      <c r="C11944" s="85"/>
      <c r="F11944" s="92"/>
      <c r="G11944" s="85"/>
    </row>
    <row r="11945">
      <c r="A11945" s="84"/>
      <c r="B11945" s="85"/>
      <c r="C11945" s="85"/>
      <c r="F11945" s="92"/>
      <c r="G11945" s="85"/>
    </row>
    <row r="11946">
      <c r="A11946" s="84"/>
      <c r="B11946" s="85"/>
      <c r="C11946" s="85"/>
      <c r="F11946" s="92"/>
      <c r="G11946" s="85"/>
    </row>
    <row r="11947">
      <c r="A11947" s="84"/>
      <c r="B11947" s="85"/>
      <c r="C11947" s="85"/>
      <c r="F11947" s="92"/>
      <c r="G11947" s="85"/>
    </row>
    <row r="11948">
      <c r="A11948" s="84"/>
      <c r="B11948" s="85"/>
      <c r="C11948" s="85"/>
      <c r="F11948" s="92"/>
      <c r="G11948" s="85"/>
    </row>
    <row r="11949">
      <c r="A11949" s="84"/>
      <c r="B11949" s="85"/>
      <c r="C11949" s="85"/>
      <c r="F11949" s="92"/>
      <c r="G11949" s="85"/>
    </row>
    <row r="11950">
      <c r="A11950" s="84"/>
      <c r="B11950" s="85"/>
      <c r="C11950" s="85"/>
      <c r="F11950" s="92"/>
      <c r="G11950" s="85"/>
    </row>
    <row r="11951">
      <c r="A11951" s="84"/>
      <c r="B11951" s="85"/>
      <c r="C11951" s="85"/>
      <c r="F11951" s="92"/>
      <c r="G11951" s="85"/>
    </row>
    <row r="11952">
      <c r="A11952" s="84"/>
      <c r="B11952" s="85"/>
      <c r="C11952" s="85"/>
      <c r="F11952" s="92"/>
      <c r="G11952" s="85"/>
    </row>
    <row r="11953">
      <c r="A11953" s="84"/>
      <c r="B11953" s="85"/>
      <c r="C11953" s="85"/>
      <c r="F11953" s="92"/>
      <c r="G11953" s="85"/>
    </row>
    <row r="11954">
      <c r="A11954" s="84"/>
      <c r="B11954" s="85"/>
      <c r="C11954" s="85"/>
      <c r="F11954" s="92"/>
      <c r="G11954" s="85"/>
    </row>
    <row r="11955">
      <c r="A11955" s="84"/>
      <c r="B11955" s="85"/>
      <c r="C11955" s="85"/>
      <c r="F11955" s="92"/>
      <c r="G11955" s="85"/>
    </row>
    <row r="11956">
      <c r="A11956" s="84"/>
      <c r="B11956" s="85"/>
      <c r="C11956" s="85"/>
      <c r="F11956" s="92"/>
      <c r="G11956" s="85"/>
    </row>
    <row r="11957">
      <c r="A11957" s="84"/>
      <c r="B11957" s="85"/>
      <c r="C11957" s="85"/>
      <c r="F11957" s="92"/>
      <c r="G11957" s="85"/>
    </row>
    <row r="11958">
      <c r="A11958" s="84"/>
      <c r="B11958" s="85"/>
      <c r="C11958" s="85"/>
      <c r="F11958" s="92"/>
      <c r="G11958" s="85"/>
    </row>
    <row r="11959">
      <c r="A11959" s="84"/>
      <c r="B11959" s="85"/>
      <c r="C11959" s="85"/>
      <c r="F11959" s="92"/>
      <c r="G11959" s="85"/>
    </row>
    <row r="11960">
      <c r="A11960" s="84"/>
      <c r="B11960" s="85"/>
      <c r="C11960" s="85"/>
      <c r="F11960" s="92"/>
      <c r="G11960" s="85"/>
    </row>
    <row r="11961">
      <c r="A11961" s="84"/>
      <c r="B11961" s="85"/>
      <c r="C11961" s="85"/>
      <c r="F11961" s="92"/>
      <c r="G11961" s="85"/>
    </row>
    <row r="11962">
      <c r="A11962" s="84"/>
      <c r="B11962" s="85"/>
      <c r="C11962" s="85"/>
      <c r="F11962" s="92"/>
      <c r="G11962" s="85"/>
    </row>
    <row r="11963">
      <c r="A11963" s="84"/>
      <c r="B11963" s="85"/>
      <c r="C11963" s="85"/>
      <c r="F11963" s="92"/>
      <c r="G11963" s="85"/>
    </row>
    <row r="11964">
      <c r="A11964" s="84"/>
      <c r="B11964" s="85"/>
      <c r="C11964" s="85"/>
      <c r="F11964" s="92"/>
      <c r="G11964" s="85"/>
    </row>
    <row r="11965">
      <c r="A11965" s="84"/>
      <c r="B11965" s="85"/>
      <c r="C11965" s="85"/>
      <c r="F11965" s="92"/>
      <c r="G11965" s="85"/>
    </row>
    <row r="11966">
      <c r="A11966" s="84"/>
      <c r="B11966" s="85"/>
      <c r="C11966" s="85"/>
      <c r="F11966" s="92"/>
      <c r="G11966" s="85"/>
    </row>
    <row r="11967">
      <c r="A11967" s="84"/>
      <c r="B11967" s="85"/>
      <c r="C11967" s="85"/>
      <c r="F11967" s="92"/>
      <c r="G11967" s="85"/>
    </row>
    <row r="11968">
      <c r="A11968" s="84"/>
      <c r="B11968" s="85"/>
      <c r="C11968" s="85"/>
      <c r="F11968" s="92"/>
      <c r="G11968" s="85"/>
    </row>
    <row r="11969">
      <c r="A11969" s="84"/>
      <c r="B11969" s="85"/>
      <c r="C11969" s="85"/>
      <c r="F11969" s="92"/>
      <c r="G11969" s="85"/>
    </row>
    <row r="11970">
      <c r="A11970" s="84"/>
      <c r="B11970" s="85"/>
      <c r="C11970" s="85"/>
      <c r="F11970" s="92"/>
      <c r="G11970" s="85"/>
    </row>
    <row r="11971">
      <c r="A11971" s="84"/>
      <c r="B11971" s="85"/>
      <c r="C11971" s="85"/>
      <c r="F11971" s="92"/>
      <c r="G11971" s="85"/>
    </row>
    <row r="11972">
      <c r="A11972" s="84"/>
      <c r="B11972" s="85"/>
      <c r="C11972" s="85"/>
      <c r="F11972" s="92"/>
      <c r="G11972" s="85"/>
    </row>
    <row r="11973">
      <c r="A11973" s="84"/>
      <c r="B11973" s="85"/>
      <c r="C11973" s="85"/>
      <c r="F11973" s="92"/>
      <c r="G11973" s="85"/>
    </row>
    <row r="11974">
      <c r="A11974" s="84"/>
      <c r="B11974" s="85"/>
      <c r="C11974" s="85"/>
      <c r="F11974" s="92"/>
      <c r="G11974" s="85"/>
    </row>
    <row r="11975">
      <c r="A11975" s="84"/>
      <c r="B11975" s="85"/>
      <c r="C11975" s="85"/>
      <c r="F11975" s="92"/>
      <c r="G11975" s="85"/>
    </row>
    <row r="11976">
      <c r="A11976" s="84"/>
      <c r="B11976" s="85"/>
      <c r="C11976" s="85"/>
      <c r="F11976" s="92"/>
      <c r="G11976" s="85"/>
    </row>
    <row r="11977">
      <c r="A11977" s="84"/>
      <c r="B11977" s="85"/>
      <c r="C11977" s="85"/>
      <c r="F11977" s="92"/>
      <c r="G11977" s="85"/>
    </row>
    <row r="11978">
      <c r="A11978" s="84"/>
      <c r="B11978" s="85"/>
      <c r="C11978" s="85"/>
      <c r="F11978" s="92"/>
      <c r="G11978" s="85"/>
    </row>
    <row r="11979">
      <c r="A11979" s="84"/>
      <c r="B11979" s="85"/>
      <c r="C11979" s="85"/>
      <c r="F11979" s="92"/>
      <c r="G11979" s="85"/>
    </row>
    <row r="11980">
      <c r="A11980" s="84"/>
      <c r="B11980" s="85"/>
      <c r="C11980" s="85"/>
      <c r="F11980" s="92"/>
      <c r="G11980" s="85"/>
    </row>
    <row r="11981">
      <c r="A11981" s="84"/>
      <c r="B11981" s="85"/>
      <c r="C11981" s="85"/>
      <c r="F11981" s="92"/>
      <c r="G11981" s="85"/>
    </row>
    <row r="11982">
      <c r="A11982" s="84"/>
      <c r="B11982" s="85"/>
      <c r="C11982" s="85"/>
      <c r="F11982" s="92"/>
      <c r="G11982" s="85"/>
    </row>
    <row r="11983">
      <c r="A11983" s="84"/>
      <c r="B11983" s="85"/>
      <c r="C11983" s="85"/>
      <c r="F11983" s="92"/>
      <c r="G11983" s="85"/>
    </row>
    <row r="11984">
      <c r="A11984" s="84"/>
      <c r="B11984" s="85"/>
      <c r="C11984" s="85"/>
      <c r="F11984" s="92"/>
      <c r="G11984" s="85"/>
    </row>
    <row r="11985">
      <c r="A11985" s="84"/>
      <c r="B11985" s="85"/>
      <c r="C11985" s="85"/>
      <c r="F11985" s="92"/>
      <c r="G11985" s="85"/>
    </row>
    <row r="11986">
      <c r="A11986" s="84"/>
      <c r="B11986" s="85"/>
      <c r="C11986" s="85"/>
      <c r="F11986" s="92"/>
      <c r="G11986" s="85"/>
    </row>
    <row r="11987">
      <c r="A11987" s="84"/>
      <c r="B11987" s="85"/>
      <c r="C11987" s="85"/>
      <c r="F11987" s="92"/>
      <c r="G11987" s="85"/>
    </row>
    <row r="11988">
      <c r="A11988" s="84"/>
      <c r="B11988" s="85"/>
      <c r="C11988" s="85"/>
      <c r="F11988" s="92"/>
      <c r="G11988" s="85"/>
    </row>
    <row r="11989">
      <c r="A11989" s="84"/>
      <c r="B11989" s="85"/>
      <c r="C11989" s="85"/>
      <c r="F11989" s="92"/>
      <c r="G11989" s="85"/>
    </row>
    <row r="11990">
      <c r="A11990" s="84"/>
      <c r="B11990" s="85"/>
      <c r="C11990" s="85"/>
      <c r="F11990" s="92"/>
      <c r="G11990" s="85"/>
    </row>
    <row r="11991">
      <c r="A11991" s="84"/>
      <c r="B11991" s="85"/>
      <c r="C11991" s="85"/>
      <c r="F11991" s="92"/>
      <c r="G11991" s="85"/>
    </row>
    <row r="11992">
      <c r="A11992" s="84"/>
      <c r="B11992" s="85"/>
      <c r="C11992" s="85"/>
      <c r="F11992" s="92"/>
      <c r="G11992" s="85"/>
    </row>
    <row r="11993">
      <c r="A11993" s="84"/>
      <c r="B11993" s="85"/>
      <c r="C11993" s="85"/>
      <c r="F11993" s="92"/>
      <c r="G11993" s="85"/>
    </row>
    <row r="11994">
      <c r="A11994" s="84"/>
      <c r="B11994" s="85"/>
      <c r="C11994" s="85"/>
      <c r="F11994" s="92"/>
      <c r="G11994" s="85"/>
    </row>
    <row r="11995">
      <c r="A11995" s="84"/>
      <c r="B11995" s="85"/>
      <c r="C11995" s="85"/>
      <c r="F11995" s="92"/>
      <c r="G11995" s="85"/>
    </row>
    <row r="11996">
      <c r="A11996" s="84"/>
      <c r="B11996" s="85"/>
      <c r="C11996" s="85"/>
      <c r="F11996" s="92"/>
      <c r="G11996" s="85"/>
    </row>
    <row r="11997">
      <c r="A11997" s="84"/>
      <c r="B11997" s="85"/>
      <c r="C11997" s="85"/>
      <c r="F11997" s="92"/>
      <c r="G11997" s="85"/>
    </row>
    <row r="11998">
      <c r="A11998" s="84"/>
      <c r="B11998" s="85"/>
      <c r="C11998" s="85"/>
      <c r="F11998" s="92"/>
      <c r="G11998" s="85"/>
    </row>
    <row r="11999">
      <c r="A11999" s="84"/>
      <c r="B11999" s="85"/>
      <c r="C11999" s="85"/>
      <c r="F11999" s="92"/>
      <c r="G11999" s="85"/>
    </row>
    <row r="12000">
      <c r="A12000" s="84"/>
      <c r="B12000" s="85"/>
      <c r="C12000" s="85"/>
      <c r="F12000" s="92"/>
      <c r="G12000" s="85"/>
    </row>
    <row r="12001">
      <c r="A12001" s="84"/>
      <c r="B12001" s="85"/>
      <c r="C12001" s="85"/>
      <c r="F12001" s="92"/>
      <c r="G12001" s="85"/>
    </row>
    <row r="12002">
      <c r="A12002" s="84"/>
      <c r="B12002" s="85"/>
      <c r="C12002" s="85"/>
      <c r="F12002" s="92"/>
      <c r="G12002" s="85"/>
    </row>
    <row r="12003">
      <c r="A12003" s="84"/>
      <c r="B12003" s="85"/>
      <c r="C12003" s="85"/>
      <c r="F12003" s="92"/>
      <c r="G12003" s="85"/>
    </row>
    <row r="12004">
      <c r="A12004" s="84"/>
      <c r="B12004" s="85"/>
      <c r="C12004" s="85"/>
      <c r="F12004" s="92"/>
      <c r="G12004" s="85"/>
    </row>
    <row r="12005">
      <c r="A12005" s="84"/>
      <c r="B12005" s="85"/>
      <c r="C12005" s="85"/>
      <c r="F12005" s="92"/>
      <c r="G12005" s="85"/>
    </row>
    <row r="12006">
      <c r="A12006" s="84"/>
      <c r="B12006" s="85"/>
      <c r="C12006" s="85"/>
      <c r="F12006" s="92"/>
      <c r="G12006" s="85"/>
    </row>
    <row r="12007">
      <c r="A12007" s="84"/>
      <c r="B12007" s="85"/>
      <c r="C12007" s="85"/>
      <c r="F12007" s="92"/>
      <c r="G12007" s="85"/>
    </row>
    <row r="12008">
      <c r="A12008" s="84"/>
      <c r="B12008" s="85"/>
      <c r="C12008" s="85"/>
      <c r="F12008" s="92"/>
      <c r="G12008" s="85"/>
    </row>
    <row r="12009">
      <c r="A12009" s="84"/>
      <c r="B12009" s="85"/>
      <c r="C12009" s="85"/>
      <c r="F12009" s="92"/>
      <c r="G12009" s="85"/>
    </row>
    <row r="12010">
      <c r="A12010" s="84"/>
      <c r="B12010" s="85"/>
      <c r="C12010" s="85"/>
      <c r="F12010" s="92"/>
      <c r="G12010" s="85"/>
    </row>
    <row r="12011">
      <c r="A12011" s="84"/>
      <c r="B12011" s="85"/>
      <c r="C12011" s="85"/>
      <c r="F12011" s="92"/>
      <c r="G12011" s="85"/>
    </row>
    <row r="12012">
      <c r="A12012" s="84"/>
      <c r="B12012" s="85"/>
      <c r="C12012" s="85"/>
      <c r="F12012" s="92"/>
      <c r="G12012" s="85"/>
    </row>
    <row r="12013">
      <c r="A12013" s="84"/>
      <c r="B12013" s="85"/>
      <c r="C12013" s="85"/>
      <c r="F12013" s="92"/>
      <c r="G12013" s="85"/>
    </row>
    <row r="12014">
      <c r="A12014" s="84"/>
      <c r="B12014" s="85"/>
      <c r="C12014" s="85"/>
      <c r="F12014" s="92"/>
      <c r="G12014" s="85"/>
    </row>
    <row r="12015">
      <c r="A12015" s="84"/>
      <c r="B12015" s="85"/>
      <c r="C12015" s="85"/>
      <c r="F12015" s="92"/>
      <c r="G12015" s="85"/>
    </row>
    <row r="12016">
      <c r="A12016" s="84"/>
      <c r="B12016" s="85"/>
      <c r="C12016" s="85"/>
      <c r="F12016" s="92"/>
      <c r="G12016" s="85"/>
    </row>
    <row r="12017">
      <c r="A12017" s="84"/>
      <c r="B12017" s="85"/>
      <c r="C12017" s="85"/>
      <c r="F12017" s="92"/>
      <c r="G12017" s="85"/>
    </row>
    <row r="12018">
      <c r="A12018" s="84"/>
      <c r="B12018" s="85"/>
      <c r="C12018" s="85"/>
      <c r="F12018" s="92"/>
      <c r="G12018" s="85"/>
    </row>
    <row r="12019">
      <c r="A12019" s="84"/>
      <c r="B12019" s="85"/>
      <c r="C12019" s="85"/>
      <c r="F12019" s="92"/>
      <c r="G12019" s="85"/>
    </row>
    <row r="12020">
      <c r="A12020" s="84"/>
      <c r="B12020" s="85"/>
      <c r="C12020" s="85"/>
      <c r="F12020" s="92"/>
      <c r="G12020" s="85"/>
    </row>
    <row r="12021">
      <c r="A12021" s="84"/>
      <c r="B12021" s="85"/>
      <c r="C12021" s="85"/>
      <c r="F12021" s="92"/>
      <c r="G12021" s="85"/>
    </row>
    <row r="12022">
      <c r="A12022" s="84"/>
      <c r="B12022" s="85"/>
      <c r="C12022" s="85"/>
      <c r="F12022" s="92"/>
      <c r="G12022" s="85"/>
    </row>
    <row r="12023">
      <c r="A12023" s="84"/>
      <c r="B12023" s="85"/>
      <c r="C12023" s="85"/>
      <c r="F12023" s="92"/>
      <c r="G12023" s="85"/>
    </row>
    <row r="12024">
      <c r="A12024" s="84"/>
      <c r="B12024" s="85"/>
      <c r="C12024" s="85"/>
      <c r="F12024" s="92"/>
      <c r="G12024" s="85"/>
    </row>
    <row r="12025">
      <c r="A12025" s="84"/>
      <c r="B12025" s="85"/>
      <c r="C12025" s="85"/>
      <c r="F12025" s="92"/>
      <c r="G12025" s="85"/>
    </row>
    <row r="12026">
      <c r="A12026" s="84"/>
      <c r="B12026" s="85"/>
      <c r="C12026" s="85"/>
      <c r="F12026" s="92"/>
      <c r="G12026" s="85"/>
    </row>
    <row r="12027">
      <c r="A12027" s="84"/>
      <c r="B12027" s="85"/>
      <c r="C12027" s="85"/>
      <c r="F12027" s="92"/>
      <c r="G12027" s="85"/>
    </row>
    <row r="12028">
      <c r="A12028" s="84"/>
      <c r="B12028" s="85"/>
      <c r="C12028" s="85"/>
      <c r="F12028" s="92"/>
      <c r="G12028" s="85"/>
    </row>
    <row r="12029">
      <c r="A12029" s="84"/>
      <c r="B12029" s="85"/>
      <c r="C12029" s="85"/>
      <c r="F12029" s="92"/>
      <c r="G12029" s="85"/>
    </row>
    <row r="12030">
      <c r="A12030" s="84"/>
      <c r="B12030" s="85"/>
      <c r="C12030" s="85"/>
      <c r="F12030" s="92"/>
      <c r="G12030" s="85"/>
    </row>
    <row r="12031">
      <c r="A12031" s="84"/>
      <c r="B12031" s="85"/>
      <c r="C12031" s="85"/>
      <c r="F12031" s="92"/>
      <c r="G12031" s="85"/>
    </row>
    <row r="12032">
      <c r="A12032" s="84"/>
      <c r="B12032" s="85"/>
      <c r="C12032" s="85"/>
      <c r="F12032" s="92"/>
      <c r="G12032" s="85"/>
    </row>
    <row r="12033">
      <c r="A12033" s="84"/>
      <c r="B12033" s="85"/>
      <c r="C12033" s="85"/>
      <c r="F12033" s="92"/>
      <c r="G12033" s="85"/>
    </row>
    <row r="12034">
      <c r="A12034" s="84"/>
      <c r="B12034" s="85"/>
      <c r="C12034" s="85"/>
      <c r="F12034" s="92"/>
      <c r="G12034" s="85"/>
    </row>
    <row r="12035">
      <c r="A12035" s="84"/>
      <c r="B12035" s="85"/>
      <c r="C12035" s="85"/>
      <c r="F12035" s="92"/>
      <c r="G12035" s="85"/>
    </row>
    <row r="12036">
      <c r="A12036" s="84"/>
      <c r="B12036" s="85"/>
      <c r="C12036" s="85"/>
      <c r="F12036" s="92"/>
      <c r="G12036" s="85"/>
    </row>
    <row r="12037">
      <c r="A12037" s="84"/>
      <c r="B12037" s="85"/>
      <c r="C12037" s="85"/>
      <c r="F12037" s="92"/>
      <c r="G12037" s="85"/>
    </row>
    <row r="12038">
      <c r="A12038" s="84"/>
      <c r="B12038" s="85"/>
      <c r="C12038" s="85"/>
      <c r="F12038" s="92"/>
      <c r="G12038" s="85"/>
    </row>
    <row r="12039">
      <c r="A12039" s="84"/>
      <c r="B12039" s="85"/>
      <c r="C12039" s="85"/>
      <c r="F12039" s="92"/>
      <c r="G12039" s="85"/>
    </row>
    <row r="12040">
      <c r="A12040" s="84"/>
      <c r="B12040" s="85"/>
      <c r="C12040" s="85"/>
      <c r="F12040" s="92"/>
      <c r="G12040" s="85"/>
    </row>
    <row r="12041">
      <c r="A12041" s="84"/>
      <c r="B12041" s="85"/>
      <c r="C12041" s="85"/>
      <c r="F12041" s="92"/>
      <c r="G12041" s="85"/>
    </row>
    <row r="12042">
      <c r="A12042" s="84"/>
      <c r="B12042" s="85"/>
      <c r="C12042" s="85"/>
      <c r="F12042" s="92"/>
      <c r="G12042" s="85"/>
    </row>
    <row r="12043">
      <c r="A12043" s="84"/>
      <c r="B12043" s="85"/>
      <c r="C12043" s="85"/>
      <c r="F12043" s="92"/>
      <c r="G12043" s="85"/>
    </row>
    <row r="12044">
      <c r="A12044" s="84"/>
      <c r="B12044" s="85"/>
      <c r="C12044" s="85"/>
      <c r="F12044" s="92"/>
      <c r="G12044" s="85"/>
    </row>
    <row r="12045">
      <c r="A12045" s="84"/>
      <c r="B12045" s="85"/>
      <c r="C12045" s="85"/>
      <c r="F12045" s="92"/>
      <c r="G12045" s="85"/>
    </row>
    <row r="12046">
      <c r="A12046" s="84"/>
      <c r="B12046" s="85"/>
      <c r="C12046" s="85"/>
      <c r="F12046" s="92"/>
      <c r="G12046" s="85"/>
    </row>
    <row r="12047">
      <c r="A12047" s="84"/>
      <c r="B12047" s="85"/>
      <c r="C12047" s="85"/>
      <c r="F12047" s="92"/>
      <c r="G12047" s="85"/>
    </row>
    <row r="12048">
      <c r="A12048" s="84"/>
      <c r="B12048" s="85"/>
      <c r="C12048" s="85"/>
      <c r="F12048" s="92"/>
      <c r="G12048" s="85"/>
    </row>
    <row r="12049">
      <c r="A12049" s="84"/>
      <c r="B12049" s="85"/>
      <c r="C12049" s="85"/>
      <c r="F12049" s="92"/>
      <c r="G12049" s="85"/>
    </row>
    <row r="12050">
      <c r="A12050" s="84"/>
      <c r="B12050" s="85"/>
      <c r="C12050" s="85"/>
      <c r="F12050" s="92"/>
      <c r="G12050" s="85"/>
    </row>
    <row r="12051">
      <c r="A12051" s="84"/>
      <c r="B12051" s="85"/>
      <c r="C12051" s="85"/>
      <c r="F12051" s="92"/>
      <c r="G12051" s="85"/>
    </row>
    <row r="12052">
      <c r="A12052" s="84"/>
      <c r="B12052" s="85"/>
      <c r="C12052" s="85"/>
      <c r="F12052" s="92"/>
      <c r="G12052" s="85"/>
    </row>
    <row r="12053">
      <c r="A12053" s="84"/>
      <c r="B12053" s="85"/>
      <c r="C12053" s="85"/>
      <c r="F12053" s="92"/>
      <c r="G12053" s="85"/>
    </row>
    <row r="12054">
      <c r="A12054" s="84"/>
      <c r="B12054" s="85"/>
      <c r="C12054" s="85"/>
      <c r="F12054" s="92"/>
      <c r="G12054" s="85"/>
    </row>
    <row r="12055">
      <c r="A12055" s="84"/>
      <c r="B12055" s="85"/>
      <c r="C12055" s="85"/>
      <c r="F12055" s="92"/>
      <c r="G12055" s="85"/>
    </row>
    <row r="12056">
      <c r="A12056" s="84"/>
      <c r="B12056" s="85"/>
      <c r="C12056" s="85"/>
      <c r="F12056" s="92"/>
      <c r="G12056" s="85"/>
    </row>
    <row r="12057">
      <c r="A12057" s="84"/>
      <c r="B12057" s="85"/>
      <c r="C12057" s="85"/>
      <c r="F12057" s="92"/>
      <c r="G12057" s="85"/>
    </row>
    <row r="12058">
      <c r="A12058" s="84"/>
      <c r="B12058" s="85"/>
      <c r="C12058" s="85"/>
      <c r="F12058" s="92"/>
      <c r="G12058" s="85"/>
    </row>
    <row r="12059">
      <c r="A12059" s="84"/>
      <c r="B12059" s="85"/>
      <c r="C12059" s="85"/>
      <c r="F12059" s="92"/>
      <c r="G12059" s="85"/>
    </row>
    <row r="12060">
      <c r="A12060" s="84"/>
      <c r="B12060" s="85"/>
      <c r="C12060" s="85"/>
      <c r="F12060" s="92"/>
      <c r="G12060" s="85"/>
    </row>
    <row r="12061">
      <c r="A12061" s="84"/>
      <c r="B12061" s="85"/>
      <c r="C12061" s="85"/>
      <c r="F12061" s="92"/>
      <c r="G12061" s="85"/>
    </row>
    <row r="12062">
      <c r="A12062" s="84"/>
      <c r="B12062" s="85"/>
      <c r="C12062" s="85"/>
      <c r="F12062" s="92"/>
      <c r="G12062" s="85"/>
    </row>
    <row r="12063">
      <c r="A12063" s="84"/>
      <c r="B12063" s="85"/>
      <c r="C12063" s="85"/>
      <c r="F12063" s="92"/>
      <c r="G12063" s="85"/>
    </row>
    <row r="12064">
      <c r="A12064" s="84"/>
      <c r="B12064" s="85"/>
      <c r="C12064" s="85"/>
      <c r="F12064" s="92"/>
      <c r="G12064" s="85"/>
    </row>
    <row r="12065">
      <c r="A12065" s="84"/>
      <c r="B12065" s="85"/>
      <c r="C12065" s="85"/>
      <c r="F12065" s="92"/>
      <c r="G12065" s="85"/>
    </row>
    <row r="12066">
      <c r="A12066" s="84"/>
      <c r="B12066" s="85"/>
      <c r="C12066" s="85"/>
      <c r="F12066" s="92"/>
      <c r="G12066" s="85"/>
    </row>
    <row r="12067">
      <c r="A12067" s="84"/>
      <c r="B12067" s="85"/>
      <c r="C12067" s="85"/>
      <c r="F12067" s="92"/>
      <c r="G12067" s="85"/>
    </row>
    <row r="12068">
      <c r="A12068" s="84"/>
      <c r="B12068" s="85"/>
      <c r="C12068" s="85"/>
      <c r="F12068" s="92"/>
      <c r="G12068" s="85"/>
    </row>
    <row r="12069">
      <c r="A12069" s="84"/>
      <c r="B12069" s="85"/>
      <c r="C12069" s="85"/>
      <c r="F12069" s="92"/>
      <c r="G12069" s="85"/>
    </row>
    <row r="12070">
      <c r="A12070" s="84"/>
      <c r="B12070" s="85"/>
      <c r="C12070" s="85"/>
      <c r="F12070" s="92"/>
      <c r="G12070" s="85"/>
    </row>
    <row r="12071">
      <c r="A12071" s="84"/>
      <c r="B12071" s="85"/>
      <c r="C12071" s="85"/>
      <c r="F12071" s="92"/>
      <c r="G12071" s="85"/>
    </row>
    <row r="12072">
      <c r="A12072" s="84"/>
      <c r="B12072" s="85"/>
      <c r="C12072" s="85"/>
      <c r="F12072" s="92"/>
      <c r="G12072" s="85"/>
    </row>
    <row r="12073">
      <c r="A12073" s="84"/>
      <c r="B12073" s="85"/>
      <c r="C12073" s="85"/>
      <c r="F12073" s="92"/>
      <c r="G12073" s="85"/>
    </row>
    <row r="12074">
      <c r="A12074" s="84"/>
      <c r="B12074" s="85"/>
      <c r="C12074" s="85"/>
      <c r="F12074" s="92"/>
      <c r="G12074" s="85"/>
    </row>
    <row r="12075">
      <c r="A12075" s="84"/>
      <c r="B12075" s="85"/>
      <c r="C12075" s="85"/>
      <c r="F12075" s="92"/>
      <c r="G12075" s="85"/>
    </row>
    <row r="12076">
      <c r="A12076" s="84"/>
      <c r="B12076" s="85"/>
      <c r="C12076" s="85"/>
      <c r="F12076" s="92"/>
      <c r="G12076" s="85"/>
    </row>
    <row r="12077">
      <c r="A12077" s="84"/>
      <c r="B12077" s="85"/>
      <c r="C12077" s="85"/>
      <c r="F12077" s="92"/>
      <c r="G12077" s="85"/>
    </row>
    <row r="12078">
      <c r="A12078" s="84"/>
      <c r="B12078" s="85"/>
      <c r="C12078" s="85"/>
      <c r="F12078" s="92"/>
      <c r="G12078" s="85"/>
    </row>
    <row r="12079">
      <c r="A12079" s="84"/>
      <c r="B12079" s="85"/>
      <c r="C12079" s="85"/>
      <c r="F12079" s="92"/>
      <c r="G12079" s="85"/>
    </row>
    <row r="12080">
      <c r="A12080" s="84"/>
      <c r="B12080" s="85"/>
      <c r="C12080" s="85"/>
      <c r="F12080" s="92"/>
      <c r="G12080" s="85"/>
    </row>
    <row r="12081">
      <c r="A12081" s="84"/>
      <c r="B12081" s="85"/>
      <c r="C12081" s="85"/>
      <c r="F12081" s="92"/>
      <c r="G12081" s="85"/>
    </row>
    <row r="12082">
      <c r="A12082" s="84"/>
      <c r="B12082" s="85"/>
      <c r="C12082" s="85"/>
      <c r="F12082" s="92"/>
      <c r="G12082" s="85"/>
    </row>
    <row r="12083">
      <c r="A12083" s="84"/>
      <c r="B12083" s="85"/>
      <c r="C12083" s="85"/>
      <c r="F12083" s="92"/>
      <c r="G12083" s="85"/>
    </row>
    <row r="12084">
      <c r="A12084" s="84"/>
      <c r="B12084" s="85"/>
      <c r="C12084" s="85"/>
      <c r="F12084" s="92"/>
      <c r="G12084" s="85"/>
    </row>
    <row r="12085">
      <c r="A12085" s="84"/>
      <c r="B12085" s="85"/>
      <c r="C12085" s="85"/>
      <c r="F12085" s="92"/>
      <c r="G12085" s="85"/>
    </row>
    <row r="12086">
      <c r="A12086" s="84"/>
      <c r="B12086" s="85"/>
      <c r="C12086" s="85"/>
      <c r="F12086" s="92"/>
      <c r="G12086" s="85"/>
    </row>
    <row r="12087">
      <c r="A12087" s="84"/>
      <c r="B12087" s="85"/>
      <c r="C12087" s="85"/>
      <c r="F12087" s="92"/>
      <c r="G12087" s="85"/>
    </row>
    <row r="12088">
      <c r="A12088" s="84"/>
      <c r="B12088" s="85"/>
      <c r="C12088" s="85"/>
      <c r="F12088" s="92"/>
      <c r="G12088" s="85"/>
    </row>
    <row r="12089">
      <c r="A12089" s="84"/>
      <c r="B12089" s="85"/>
      <c r="C12089" s="85"/>
      <c r="F12089" s="92"/>
      <c r="G12089" s="85"/>
    </row>
    <row r="12090">
      <c r="A12090" s="84"/>
      <c r="B12090" s="85"/>
      <c r="C12090" s="85"/>
      <c r="F12090" s="92"/>
      <c r="G12090" s="85"/>
    </row>
    <row r="12091">
      <c r="A12091" s="84"/>
      <c r="B12091" s="85"/>
      <c r="C12091" s="85"/>
      <c r="F12091" s="92"/>
      <c r="G12091" s="85"/>
    </row>
    <row r="12092">
      <c r="A12092" s="84"/>
      <c r="B12092" s="85"/>
      <c r="C12092" s="85"/>
      <c r="F12092" s="92"/>
      <c r="G12092" s="85"/>
    </row>
    <row r="12093">
      <c r="A12093" s="84"/>
      <c r="B12093" s="85"/>
      <c r="C12093" s="85"/>
      <c r="F12093" s="92"/>
      <c r="G12093" s="85"/>
    </row>
    <row r="12094">
      <c r="A12094" s="84"/>
      <c r="B12094" s="85"/>
      <c r="C12094" s="85"/>
      <c r="F12094" s="92"/>
      <c r="G12094" s="85"/>
    </row>
    <row r="12095">
      <c r="A12095" s="84"/>
      <c r="B12095" s="85"/>
      <c r="C12095" s="85"/>
      <c r="F12095" s="92"/>
      <c r="G12095" s="85"/>
    </row>
    <row r="12096">
      <c r="A12096" s="84"/>
      <c r="B12096" s="85"/>
      <c r="C12096" s="85"/>
      <c r="F12096" s="92"/>
      <c r="G12096" s="85"/>
    </row>
    <row r="12097">
      <c r="A12097" s="84"/>
      <c r="B12097" s="85"/>
      <c r="C12097" s="85"/>
      <c r="F12097" s="92"/>
      <c r="G12097" s="85"/>
    </row>
    <row r="12098">
      <c r="A12098" s="84"/>
      <c r="B12098" s="85"/>
      <c r="C12098" s="85"/>
      <c r="F12098" s="92"/>
      <c r="G12098" s="85"/>
    </row>
    <row r="12099">
      <c r="A12099" s="84"/>
      <c r="B12099" s="85"/>
      <c r="C12099" s="85"/>
      <c r="F12099" s="92"/>
      <c r="G12099" s="85"/>
    </row>
    <row r="12100">
      <c r="A12100" s="84"/>
      <c r="B12100" s="85"/>
      <c r="C12100" s="85"/>
      <c r="F12100" s="92"/>
      <c r="G12100" s="85"/>
    </row>
    <row r="12101">
      <c r="A12101" s="84"/>
      <c r="B12101" s="85"/>
      <c r="C12101" s="85"/>
      <c r="F12101" s="92"/>
      <c r="G12101" s="85"/>
    </row>
    <row r="12102">
      <c r="A12102" s="84"/>
      <c r="B12102" s="85"/>
      <c r="C12102" s="85"/>
      <c r="F12102" s="92"/>
      <c r="G12102" s="85"/>
    </row>
    <row r="12103">
      <c r="A12103" s="84"/>
      <c r="B12103" s="85"/>
      <c r="C12103" s="85"/>
      <c r="F12103" s="92"/>
      <c r="G12103" s="85"/>
    </row>
    <row r="12104">
      <c r="A12104" s="84"/>
      <c r="B12104" s="85"/>
      <c r="C12104" s="85"/>
      <c r="F12104" s="92"/>
      <c r="G12104" s="85"/>
    </row>
    <row r="12105">
      <c r="A12105" s="84"/>
      <c r="B12105" s="85"/>
      <c r="C12105" s="85"/>
      <c r="F12105" s="92"/>
      <c r="G12105" s="85"/>
    </row>
    <row r="12106">
      <c r="A12106" s="84"/>
      <c r="B12106" s="85"/>
      <c r="C12106" s="85"/>
      <c r="F12106" s="92"/>
      <c r="G12106" s="85"/>
    </row>
    <row r="12107">
      <c r="A12107" s="84"/>
      <c r="B12107" s="85"/>
      <c r="C12107" s="85"/>
      <c r="F12107" s="92"/>
      <c r="G12107" s="85"/>
    </row>
    <row r="12108">
      <c r="A12108" s="84"/>
      <c r="B12108" s="85"/>
      <c r="C12108" s="85"/>
      <c r="F12108" s="92"/>
      <c r="G12108" s="85"/>
    </row>
    <row r="12109">
      <c r="A12109" s="84"/>
      <c r="B12109" s="85"/>
      <c r="C12109" s="85"/>
      <c r="F12109" s="92"/>
      <c r="G12109" s="85"/>
    </row>
    <row r="12110">
      <c r="A12110" s="84"/>
      <c r="B12110" s="85"/>
      <c r="C12110" s="85"/>
      <c r="F12110" s="92"/>
      <c r="G12110" s="85"/>
    </row>
    <row r="12111">
      <c r="A12111" s="84"/>
      <c r="B12111" s="85"/>
      <c r="C12111" s="85"/>
      <c r="F12111" s="92"/>
      <c r="G12111" s="85"/>
    </row>
    <row r="12112">
      <c r="A12112" s="84"/>
      <c r="B12112" s="85"/>
      <c r="C12112" s="85"/>
      <c r="F12112" s="92"/>
      <c r="G12112" s="85"/>
    </row>
    <row r="12113">
      <c r="A12113" s="84"/>
      <c r="B12113" s="85"/>
      <c r="C12113" s="85"/>
      <c r="F12113" s="92"/>
      <c r="G12113" s="85"/>
    </row>
    <row r="12114">
      <c r="A12114" s="84"/>
      <c r="B12114" s="85"/>
      <c r="C12114" s="85"/>
      <c r="F12114" s="92"/>
      <c r="G12114" s="85"/>
    </row>
    <row r="12115">
      <c r="A12115" s="84"/>
      <c r="B12115" s="85"/>
      <c r="C12115" s="85"/>
      <c r="F12115" s="92"/>
      <c r="G12115" s="85"/>
    </row>
    <row r="12116">
      <c r="A12116" s="84"/>
      <c r="B12116" s="85"/>
      <c r="C12116" s="85"/>
      <c r="F12116" s="92"/>
      <c r="G12116" s="85"/>
    </row>
    <row r="12117">
      <c r="A12117" s="84"/>
      <c r="B12117" s="85"/>
      <c r="C12117" s="85"/>
      <c r="F12117" s="92"/>
      <c r="G12117" s="85"/>
    </row>
    <row r="12118">
      <c r="A12118" s="84"/>
      <c r="B12118" s="85"/>
      <c r="C12118" s="85"/>
      <c r="F12118" s="92"/>
      <c r="G12118" s="85"/>
    </row>
    <row r="12119">
      <c r="A12119" s="84"/>
      <c r="B12119" s="85"/>
      <c r="C12119" s="85"/>
      <c r="F12119" s="92"/>
      <c r="G12119" s="85"/>
    </row>
    <row r="12120">
      <c r="A12120" s="84"/>
      <c r="B12120" s="85"/>
      <c r="C12120" s="85"/>
      <c r="F12120" s="92"/>
      <c r="G12120" s="85"/>
    </row>
    <row r="12121">
      <c r="A12121" s="84"/>
      <c r="B12121" s="85"/>
      <c r="C12121" s="85"/>
      <c r="F12121" s="92"/>
      <c r="G12121" s="85"/>
    </row>
    <row r="12122">
      <c r="A12122" s="84"/>
      <c r="B12122" s="85"/>
      <c r="C12122" s="85"/>
      <c r="F12122" s="92"/>
      <c r="G12122" s="85"/>
    </row>
    <row r="12123">
      <c r="A12123" s="84"/>
      <c r="B12123" s="85"/>
      <c r="C12123" s="85"/>
      <c r="F12123" s="92"/>
      <c r="G12123" s="85"/>
    </row>
    <row r="12124">
      <c r="A12124" s="84"/>
      <c r="B12124" s="85"/>
      <c r="C12124" s="85"/>
      <c r="F12124" s="92"/>
      <c r="G12124" s="85"/>
    </row>
    <row r="12125">
      <c r="A12125" s="84"/>
      <c r="B12125" s="85"/>
      <c r="C12125" s="85"/>
      <c r="F12125" s="92"/>
      <c r="G12125" s="85"/>
    </row>
    <row r="12126">
      <c r="A12126" s="84"/>
      <c r="B12126" s="85"/>
      <c r="C12126" s="85"/>
      <c r="F12126" s="92"/>
      <c r="G12126" s="85"/>
    </row>
    <row r="12127">
      <c r="A12127" s="84"/>
      <c r="B12127" s="85"/>
      <c r="C12127" s="85"/>
      <c r="F12127" s="92"/>
      <c r="G12127" s="85"/>
    </row>
    <row r="12128">
      <c r="A12128" s="84"/>
      <c r="B12128" s="85"/>
      <c r="C12128" s="85"/>
      <c r="F12128" s="92"/>
      <c r="G12128" s="85"/>
    </row>
    <row r="12129">
      <c r="A12129" s="84"/>
      <c r="B12129" s="85"/>
      <c r="C12129" s="85"/>
      <c r="F12129" s="92"/>
      <c r="G12129" s="85"/>
    </row>
    <row r="12130">
      <c r="A12130" s="84"/>
      <c r="B12130" s="85"/>
      <c r="C12130" s="85"/>
      <c r="F12130" s="92"/>
      <c r="G12130" s="85"/>
    </row>
    <row r="12131">
      <c r="A12131" s="84"/>
      <c r="B12131" s="85"/>
      <c r="C12131" s="85"/>
      <c r="F12131" s="92"/>
      <c r="G12131" s="85"/>
    </row>
    <row r="12132">
      <c r="A12132" s="84"/>
      <c r="B12132" s="85"/>
      <c r="C12132" s="85"/>
      <c r="F12132" s="92"/>
      <c r="G12132" s="85"/>
    </row>
    <row r="12133">
      <c r="A12133" s="84"/>
      <c r="B12133" s="85"/>
      <c r="C12133" s="85"/>
      <c r="F12133" s="92"/>
      <c r="G12133" s="85"/>
    </row>
    <row r="12134">
      <c r="A12134" s="84"/>
      <c r="B12134" s="85"/>
      <c r="C12134" s="85"/>
      <c r="F12134" s="92"/>
      <c r="G12134" s="85"/>
    </row>
    <row r="12135">
      <c r="A12135" s="84"/>
      <c r="B12135" s="85"/>
      <c r="C12135" s="85"/>
      <c r="F12135" s="92"/>
      <c r="G12135" s="85"/>
    </row>
    <row r="12136">
      <c r="A12136" s="84"/>
      <c r="B12136" s="85"/>
      <c r="C12136" s="85"/>
      <c r="F12136" s="92"/>
      <c r="G12136" s="85"/>
    </row>
    <row r="12137">
      <c r="A12137" s="84"/>
      <c r="B12137" s="85"/>
      <c r="C12137" s="85"/>
      <c r="F12137" s="92"/>
      <c r="G12137" s="85"/>
    </row>
    <row r="12138">
      <c r="A12138" s="84"/>
      <c r="B12138" s="85"/>
      <c r="C12138" s="85"/>
      <c r="F12138" s="92"/>
      <c r="G12138" s="85"/>
    </row>
    <row r="12139">
      <c r="A12139" s="84"/>
      <c r="B12139" s="85"/>
      <c r="C12139" s="85"/>
      <c r="F12139" s="92"/>
      <c r="G12139" s="85"/>
    </row>
    <row r="12140">
      <c r="A12140" s="84"/>
      <c r="B12140" s="85"/>
      <c r="C12140" s="85"/>
      <c r="F12140" s="92"/>
      <c r="G12140" s="85"/>
    </row>
    <row r="12141">
      <c r="A12141" s="84"/>
      <c r="B12141" s="85"/>
      <c r="C12141" s="85"/>
      <c r="F12141" s="92"/>
      <c r="G12141" s="85"/>
    </row>
    <row r="12142">
      <c r="A12142" s="84"/>
      <c r="B12142" s="85"/>
      <c r="C12142" s="85"/>
      <c r="F12142" s="92"/>
      <c r="G12142" s="85"/>
    </row>
    <row r="12143">
      <c r="A12143" s="84"/>
      <c r="B12143" s="85"/>
      <c r="C12143" s="85"/>
      <c r="F12143" s="92"/>
      <c r="G12143" s="85"/>
    </row>
    <row r="12144">
      <c r="A12144" s="84"/>
      <c r="B12144" s="85"/>
      <c r="C12144" s="85"/>
      <c r="F12144" s="92"/>
      <c r="G12144" s="85"/>
    </row>
    <row r="12145">
      <c r="A12145" s="84"/>
      <c r="B12145" s="85"/>
      <c r="C12145" s="85"/>
      <c r="F12145" s="92"/>
      <c r="G12145" s="85"/>
    </row>
    <row r="12146">
      <c r="A12146" s="84"/>
      <c r="B12146" s="85"/>
      <c r="C12146" s="85"/>
      <c r="F12146" s="92"/>
      <c r="G12146" s="85"/>
    </row>
    <row r="12147">
      <c r="A12147" s="84"/>
      <c r="B12147" s="85"/>
      <c r="C12147" s="85"/>
      <c r="F12147" s="92"/>
      <c r="G12147" s="85"/>
    </row>
    <row r="12148">
      <c r="A12148" s="84"/>
      <c r="B12148" s="85"/>
      <c r="C12148" s="85"/>
      <c r="F12148" s="92"/>
      <c r="G12148" s="85"/>
    </row>
    <row r="12149">
      <c r="A12149" s="84"/>
      <c r="B12149" s="85"/>
      <c r="C12149" s="85"/>
      <c r="F12149" s="92"/>
      <c r="G12149" s="85"/>
    </row>
    <row r="12150">
      <c r="A12150" s="84"/>
      <c r="B12150" s="85"/>
      <c r="C12150" s="85"/>
      <c r="F12150" s="92"/>
      <c r="G12150" s="85"/>
    </row>
    <row r="12151">
      <c r="A12151" s="84"/>
      <c r="B12151" s="85"/>
      <c r="C12151" s="85"/>
      <c r="F12151" s="92"/>
      <c r="G12151" s="85"/>
    </row>
    <row r="12152">
      <c r="A12152" s="84"/>
      <c r="B12152" s="85"/>
      <c r="C12152" s="85"/>
      <c r="F12152" s="92"/>
      <c r="G12152" s="85"/>
    </row>
    <row r="12153">
      <c r="A12153" s="84"/>
      <c r="B12153" s="85"/>
      <c r="C12153" s="85"/>
      <c r="F12153" s="92"/>
      <c r="G12153" s="85"/>
    </row>
    <row r="12154">
      <c r="A12154" s="84"/>
      <c r="B12154" s="85"/>
      <c r="C12154" s="85"/>
      <c r="F12154" s="92"/>
      <c r="G12154" s="85"/>
    </row>
    <row r="12155">
      <c r="A12155" s="84"/>
      <c r="B12155" s="85"/>
      <c r="C12155" s="85"/>
      <c r="F12155" s="92"/>
      <c r="G12155" s="85"/>
    </row>
    <row r="12156">
      <c r="A12156" s="84"/>
      <c r="B12156" s="85"/>
      <c r="C12156" s="85"/>
      <c r="F12156" s="92"/>
      <c r="G12156" s="85"/>
    </row>
    <row r="12157">
      <c r="A12157" s="84"/>
      <c r="B12157" s="85"/>
      <c r="C12157" s="85"/>
      <c r="F12157" s="92"/>
      <c r="G12157" s="85"/>
    </row>
    <row r="12158">
      <c r="A12158" s="84"/>
      <c r="B12158" s="85"/>
      <c r="C12158" s="85"/>
      <c r="F12158" s="92"/>
      <c r="G12158" s="85"/>
    </row>
    <row r="12159">
      <c r="A12159" s="84"/>
      <c r="B12159" s="85"/>
      <c r="C12159" s="85"/>
      <c r="F12159" s="92"/>
      <c r="G12159" s="85"/>
    </row>
    <row r="12160">
      <c r="A12160" s="84"/>
      <c r="B12160" s="85"/>
      <c r="C12160" s="85"/>
      <c r="F12160" s="92"/>
      <c r="G12160" s="85"/>
    </row>
    <row r="12161">
      <c r="A12161" s="84"/>
      <c r="B12161" s="85"/>
      <c r="C12161" s="85"/>
      <c r="F12161" s="92"/>
      <c r="G12161" s="85"/>
    </row>
    <row r="12162">
      <c r="A12162" s="84"/>
      <c r="B12162" s="85"/>
      <c r="C12162" s="85"/>
      <c r="F12162" s="92"/>
      <c r="G12162" s="85"/>
    </row>
    <row r="12163">
      <c r="A12163" s="84"/>
      <c r="B12163" s="85"/>
      <c r="C12163" s="85"/>
      <c r="F12163" s="92"/>
      <c r="G12163" s="85"/>
    </row>
    <row r="12164">
      <c r="A12164" s="84"/>
      <c r="B12164" s="85"/>
      <c r="C12164" s="85"/>
      <c r="F12164" s="92"/>
      <c r="G12164" s="85"/>
    </row>
    <row r="12165">
      <c r="A12165" s="84"/>
      <c r="B12165" s="85"/>
      <c r="C12165" s="85"/>
      <c r="F12165" s="92"/>
      <c r="G12165" s="85"/>
    </row>
    <row r="12166">
      <c r="A12166" s="84"/>
      <c r="B12166" s="85"/>
      <c r="C12166" s="85"/>
      <c r="F12166" s="92"/>
      <c r="G12166" s="85"/>
    </row>
    <row r="12167">
      <c r="A12167" s="84"/>
      <c r="B12167" s="85"/>
      <c r="C12167" s="85"/>
      <c r="F12167" s="92"/>
      <c r="G12167" s="85"/>
    </row>
    <row r="12168">
      <c r="A12168" s="84"/>
      <c r="B12168" s="85"/>
      <c r="C12168" s="85"/>
      <c r="F12168" s="92"/>
      <c r="G12168" s="85"/>
    </row>
    <row r="12169">
      <c r="A12169" s="84"/>
      <c r="B12169" s="85"/>
      <c r="C12169" s="85"/>
      <c r="F12169" s="92"/>
      <c r="G12169" s="85"/>
    </row>
    <row r="12170">
      <c r="A12170" s="84"/>
      <c r="B12170" s="85"/>
      <c r="C12170" s="85"/>
      <c r="F12170" s="92"/>
      <c r="G12170" s="85"/>
    </row>
    <row r="12171">
      <c r="A12171" s="84"/>
      <c r="B12171" s="85"/>
      <c r="C12171" s="85"/>
      <c r="F12171" s="92"/>
      <c r="G12171" s="85"/>
    </row>
    <row r="12172">
      <c r="A12172" s="84"/>
      <c r="B12172" s="85"/>
      <c r="C12172" s="85"/>
      <c r="F12172" s="92"/>
      <c r="G12172" s="85"/>
    </row>
    <row r="12173">
      <c r="A12173" s="84"/>
      <c r="B12173" s="85"/>
      <c r="C12173" s="85"/>
      <c r="F12173" s="92"/>
      <c r="G12173" s="85"/>
    </row>
    <row r="12174">
      <c r="A12174" s="84"/>
      <c r="B12174" s="85"/>
      <c r="C12174" s="85"/>
      <c r="F12174" s="92"/>
      <c r="G12174" s="85"/>
    </row>
    <row r="12175">
      <c r="A12175" s="84"/>
      <c r="B12175" s="85"/>
      <c r="C12175" s="85"/>
      <c r="F12175" s="92"/>
      <c r="G12175" s="85"/>
    </row>
    <row r="12176">
      <c r="A12176" s="84"/>
      <c r="B12176" s="85"/>
      <c r="C12176" s="85"/>
      <c r="F12176" s="92"/>
      <c r="G12176" s="85"/>
    </row>
    <row r="12177">
      <c r="A12177" s="84"/>
      <c r="B12177" s="85"/>
      <c r="C12177" s="85"/>
      <c r="F12177" s="92"/>
      <c r="G12177" s="85"/>
    </row>
    <row r="12178">
      <c r="A12178" s="84"/>
      <c r="B12178" s="85"/>
      <c r="C12178" s="85"/>
      <c r="F12178" s="92"/>
      <c r="G12178" s="85"/>
    </row>
    <row r="12179">
      <c r="A12179" s="84"/>
      <c r="B12179" s="85"/>
      <c r="C12179" s="85"/>
      <c r="F12179" s="92"/>
      <c r="G12179" s="85"/>
    </row>
    <row r="12180">
      <c r="A12180" s="84"/>
      <c r="B12180" s="85"/>
      <c r="C12180" s="85"/>
      <c r="F12180" s="92"/>
      <c r="G12180" s="85"/>
    </row>
    <row r="12181">
      <c r="A12181" s="84"/>
      <c r="B12181" s="85"/>
      <c r="C12181" s="85"/>
      <c r="F12181" s="92"/>
      <c r="G12181" s="85"/>
    </row>
    <row r="12182">
      <c r="A12182" s="84"/>
      <c r="B12182" s="85"/>
      <c r="C12182" s="85"/>
      <c r="F12182" s="92"/>
      <c r="G12182" s="85"/>
    </row>
    <row r="12183">
      <c r="A12183" s="84"/>
      <c r="B12183" s="85"/>
      <c r="C12183" s="85"/>
      <c r="F12183" s="92"/>
      <c r="G12183" s="85"/>
    </row>
    <row r="12184">
      <c r="A12184" s="84"/>
      <c r="B12184" s="85"/>
      <c r="C12184" s="85"/>
      <c r="F12184" s="92"/>
      <c r="G12184" s="85"/>
    </row>
    <row r="12185">
      <c r="A12185" s="84"/>
      <c r="B12185" s="85"/>
      <c r="C12185" s="85"/>
      <c r="F12185" s="92"/>
      <c r="G12185" s="85"/>
    </row>
    <row r="12186">
      <c r="A12186" s="84"/>
      <c r="B12186" s="85"/>
      <c r="C12186" s="85"/>
      <c r="F12186" s="92"/>
      <c r="G12186" s="85"/>
    </row>
    <row r="12187">
      <c r="A12187" s="84"/>
      <c r="B12187" s="85"/>
      <c r="C12187" s="85"/>
      <c r="F12187" s="92"/>
      <c r="G12187" s="85"/>
    </row>
    <row r="12188">
      <c r="A12188" s="84"/>
      <c r="B12188" s="85"/>
      <c r="C12188" s="85"/>
      <c r="F12188" s="92"/>
      <c r="G12188" s="85"/>
    </row>
    <row r="12189">
      <c r="A12189" s="84"/>
      <c r="B12189" s="85"/>
      <c r="C12189" s="85"/>
      <c r="F12189" s="92"/>
      <c r="G12189" s="85"/>
    </row>
    <row r="12190">
      <c r="A12190" s="84"/>
      <c r="B12190" s="85"/>
      <c r="C12190" s="85"/>
      <c r="F12190" s="92"/>
      <c r="G12190" s="85"/>
    </row>
    <row r="12191">
      <c r="A12191" s="84"/>
      <c r="B12191" s="85"/>
      <c r="C12191" s="85"/>
      <c r="F12191" s="92"/>
      <c r="G12191" s="85"/>
    </row>
    <row r="12192">
      <c r="A12192" s="84"/>
      <c r="B12192" s="85"/>
      <c r="C12192" s="85"/>
      <c r="F12192" s="92"/>
      <c r="G12192" s="85"/>
    </row>
    <row r="12193">
      <c r="A12193" s="84"/>
      <c r="B12193" s="85"/>
      <c r="C12193" s="85"/>
      <c r="F12193" s="92"/>
      <c r="G12193" s="85"/>
    </row>
    <row r="12194">
      <c r="A12194" s="84"/>
      <c r="B12194" s="85"/>
      <c r="C12194" s="85"/>
      <c r="F12194" s="92"/>
      <c r="G12194" s="85"/>
    </row>
    <row r="12195">
      <c r="A12195" s="84"/>
      <c r="B12195" s="85"/>
      <c r="C12195" s="85"/>
      <c r="F12195" s="92"/>
      <c r="G12195" s="85"/>
    </row>
    <row r="12196">
      <c r="A12196" s="84"/>
      <c r="B12196" s="85"/>
      <c r="C12196" s="85"/>
      <c r="F12196" s="92"/>
      <c r="G12196" s="85"/>
    </row>
    <row r="12197">
      <c r="A12197" s="84"/>
      <c r="B12197" s="85"/>
      <c r="C12197" s="85"/>
      <c r="F12197" s="92"/>
      <c r="G12197" s="85"/>
    </row>
    <row r="12198">
      <c r="A12198" s="84"/>
      <c r="B12198" s="85"/>
      <c r="C12198" s="85"/>
      <c r="F12198" s="92"/>
      <c r="G12198" s="85"/>
    </row>
    <row r="12199">
      <c r="A12199" s="84"/>
      <c r="B12199" s="85"/>
      <c r="C12199" s="85"/>
      <c r="F12199" s="92"/>
      <c r="G12199" s="85"/>
    </row>
    <row r="12200">
      <c r="A12200" s="84"/>
      <c r="B12200" s="85"/>
      <c r="C12200" s="85"/>
      <c r="F12200" s="92"/>
      <c r="G12200" s="85"/>
    </row>
    <row r="12201">
      <c r="A12201" s="84"/>
      <c r="B12201" s="85"/>
      <c r="C12201" s="85"/>
      <c r="F12201" s="92"/>
      <c r="G12201" s="85"/>
    </row>
    <row r="12202">
      <c r="A12202" s="84"/>
      <c r="B12202" s="85"/>
      <c r="C12202" s="85"/>
      <c r="F12202" s="92"/>
      <c r="G12202" s="85"/>
    </row>
    <row r="12203">
      <c r="A12203" s="84"/>
      <c r="B12203" s="85"/>
      <c r="C12203" s="85"/>
      <c r="F12203" s="92"/>
      <c r="G12203" s="85"/>
    </row>
    <row r="12204">
      <c r="A12204" s="84"/>
      <c r="B12204" s="85"/>
      <c r="C12204" s="85"/>
      <c r="F12204" s="92"/>
      <c r="G12204" s="85"/>
    </row>
    <row r="12205">
      <c r="A12205" s="84"/>
      <c r="B12205" s="85"/>
      <c r="C12205" s="85"/>
      <c r="F12205" s="92"/>
      <c r="G12205" s="85"/>
    </row>
    <row r="12206">
      <c r="A12206" s="84"/>
      <c r="B12206" s="85"/>
      <c r="C12206" s="85"/>
      <c r="F12206" s="92"/>
      <c r="G12206" s="85"/>
    </row>
    <row r="12207">
      <c r="A12207" s="84"/>
      <c r="B12207" s="85"/>
      <c r="C12207" s="85"/>
      <c r="F12207" s="92"/>
      <c r="G12207" s="85"/>
    </row>
    <row r="12208">
      <c r="A12208" s="84"/>
      <c r="B12208" s="85"/>
      <c r="C12208" s="85"/>
      <c r="F12208" s="92"/>
      <c r="G12208" s="85"/>
    </row>
    <row r="12209">
      <c r="A12209" s="84"/>
      <c r="B12209" s="85"/>
      <c r="C12209" s="85"/>
      <c r="F12209" s="92"/>
      <c r="G12209" s="85"/>
    </row>
    <row r="12210">
      <c r="A12210" s="84"/>
      <c r="B12210" s="85"/>
      <c r="C12210" s="85"/>
      <c r="F12210" s="92"/>
      <c r="G12210" s="85"/>
    </row>
    <row r="12211">
      <c r="A12211" s="84"/>
      <c r="B12211" s="85"/>
      <c r="C12211" s="85"/>
      <c r="F12211" s="92"/>
      <c r="G12211" s="85"/>
    </row>
    <row r="12212">
      <c r="A12212" s="84"/>
      <c r="B12212" s="85"/>
      <c r="C12212" s="85"/>
      <c r="F12212" s="92"/>
      <c r="G12212" s="85"/>
    </row>
    <row r="12213">
      <c r="A12213" s="84"/>
      <c r="B12213" s="85"/>
      <c r="C12213" s="85"/>
      <c r="F12213" s="92"/>
      <c r="G12213" s="85"/>
    </row>
    <row r="12214">
      <c r="A12214" s="84"/>
      <c r="B12214" s="85"/>
      <c r="C12214" s="85"/>
      <c r="F12214" s="92"/>
      <c r="G12214" s="85"/>
    </row>
    <row r="12215">
      <c r="A12215" s="84"/>
      <c r="B12215" s="85"/>
      <c r="C12215" s="85"/>
      <c r="F12215" s="92"/>
      <c r="G12215" s="85"/>
    </row>
    <row r="12216">
      <c r="A12216" s="84"/>
      <c r="B12216" s="85"/>
      <c r="C12216" s="85"/>
      <c r="F12216" s="92"/>
      <c r="G12216" s="85"/>
    </row>
    <row r="12217">
      <c r="A12217" s="84"/>
      <c r="B12217" s="85"/>
      <c r="C12217" s="85"/>
      <c r="F12217" s="92"/>
      <c r="G12217" s="85"/>
    </row>
    <row r="12218">
      <c r="A12218" s="84"/>
      <c r="B12218" s="85"/>
      <c r="C12218" s="85"/>
      <c r="F12218" s="92"/>
      <c r="G12218" s="85"/>
    </row>
    <row r="12219">
      <c r="A12219" s="84"/>
      <c r="B12219" s="85"/>
      <c r="C12219" s="85"/>
      <c r="F12219" s="92"/>
      <c r="G12219" s="85"/>
    </row>
    <row r="12220">
      <c r="A12220" s="84"/>
      <c r="B12220" s="85"/>
      <c r="C12220" s="85"/>
      <c r="F12220" s="92"/>
      <c r="G12220" s="85"/>
    </row>
    <row r="12221">
      <c r="A12221" s="84"/>
      <c r="B12221" s="85"/>
      <c r="C12221" s="85"/>
      <c r="F12221" s="92"/>
      <c r="G12221" s="85"/>
    </row>
    <row r="12222">
      <c r="A12222" s="84"/>
      <c r="B12222" s="85"/>
      <c r="C12222" s="85"/>
      <c r="F12222" s="92"/>
      <c r="G12222" s="85"/>
    </row>
    <row r="12223">
      <c r="A12223" s="84"/>
      <c r="B12223" s="85"/>
      <c r="C12223" s="85"/>
      <c r="F12223" s="92"/>
      <c r="G12223" s="85"/>
    </row>
    <row r="12224">
      <c r="A12224" s="84"/>
      <c r="B12224" s="85"/>
      <c r="C12224" s="85"/>
      <c r="F12224" s="92"/>
      <c r="G12224" s="85"/>
    </row>
    <row r="12225">
      <c r="A12225" s="84"/>
      <c r="B12225" s="85"/>
      <c r="C12225" s="85"/>
      <c r="F12225" s="92"/>
      <c r="G12225" s="85"/>
    </row>
    <row r="12226">
      <c r="A12226" s="84"/>
      <c r="B12226" s="85"/>
      <c r="C12226" s="85"/>
      <c r="F12226" s="92"/>
      <c r="G12226" s="85"/>
    </row>
    <row r="12227">
      <c r="A12227" s="84"/>
      <c r="B12227" s="85"/>
      <c r="C12227" s="85"/>
      <c r="F12227" s="92"/>
      <c r="G12227" s="85"/>
    </row>
    <row r="12228">
      <c r="A12228" s="84"/>
      <c r="B12228" s="85"/>
      <c r="C12228" s="85"/>
      <c r="F12228" s="92"/>
      <c r="G12228" s="85"/>
    </row>
    <row r="12229">
      <c r="A12229" s="84"/>
      <c r="B12229" s="85"/>
      <c r="C12229" s="85"/>
      <c r="F12229" s="92"/>
      <c r="G12229" s="85"/>
    </row>
    <row r="12230">
      <c r="A12230" s="84"/>
      <c r="B12230" s="85"/>
      <c r="C12230" s="85"/>
      <c r="F12230" s="92"/>
      <c r="G12230" s="85"/>
    </row>
    <row r="12231">
      <c r="A12231" s="84"/>
      <c r="B12231" s="85"/>
      <c r="C12231" s="85"/>
      <c r="F12231" s="92"/>
      <c r="G12231" s="85"/>
    </row>
    <row r="12232">
      <c r="A12232" s="84"/>
      <c r="B12232" s="85"/>
      <c r="C12232" s="85"/>
      <c r="F12232" s="92"/>
      <c r="G12232" s="85"/>
    </row>
    <row r="12233">
      <c r="A12233" s="84"/>
      <c r="B12233" s="85"/>
      <c r="C12233" s="85"/>
      <c r="F12233" s="92"/>
      <c r="G12233" s="85"/>
    </row>
    <row r="12234">
      <c r="A12234" s="84"/>
      <c r="B12234" s="85"/>
      <c r="C12234" s="85"/>
      <c r="F12234" s="92"/>
      <c r="G12234" s="85"/>
    </row>
    <row r="12235">
      <c r="A12235" s="84"/>
      <c r="B12235" s="85"/>
      <c r="C12235" s="85"/>
      <c r="F12235" s="92"/>
      <c r="G12235" s="85"/>
    </row>
    <row r="12236">
      <c r="A12236" s="84"/>
      <c r="B12236" s="85"/>
      <c r="C12236" s="85"/>
      <c r="F12236" s="92"/>
      <c r="G12236" s="85"/>
    </row>
    <row r="12237">
      <c r="A12237" s="84"/>
      <c r="B12237" s="85"/>
      <c r="C12237" s="85"/>
      <c r="F12237" s="92"/>
      <c r="G12237" s="85"/>
    </row>
    <row r="12238">
      <c r="A12238" s="84"/>
      <c r="B12238" s="85"/>
      <c r="C12238" s="85"/>
      <c r="F12238" s="92"/>
      <c r="G12238" s="85"/>
    </row>
    <row r="12239">
      <c r="A12239" s="84"/>
      <c r="B12239" s="85"/>
      <c r="C12239" s="85"/>
      <c r="F12239" s="92"/>
      <c r="G12239" s="85"/>
    </row>
    <row r="12240">
      <c r="A12240" s="84"/>
      <c r="B12240" s="85"/>
      <c r="C12240" s="85"/>
      <c r="F12240" s="92"/>
      <c r="G12240" s="85"/>
    </row>
    <row r="12241">
      <c r="A12241" s="84"/>
      <c r="B12241" s="85"/>
      <c r="C12241" s="85"/>
      <c r="F12241" s="92"/>
      <c r="G12241" s="85"/>
    </row>
    <row r="12242">
      <c r="A12242" s="84"/>
      <c r="B12242" s="85"/>
      <c r="C12242" s="85"/>
      <c r="F12242" s="92"/>
      <c r="G12242" s="85"/>
    </row>
    <row r="12243">
      <c r="A12243" s="84"/>
      <c r="B12243" s="85"/>
      <c r="C12243" s="85"/>
      <c r="F12243" s="92"/>
      <c r="G12243" s="85"/>
    </row>
    <row r="12244">
      <c r="A12244" s="84"/>
      <c r="B12244" s="85"/>
      <c r="C12244" s="85"/>
      <c r="F12244" s="92"/>
      <c r="G12244" s="85"/>
    </row>
    <row r="12245">
      <c r="A12245" s="84"/>
      <c r="B12245" s="85"/>
      <c r="C12245" s="85"/>
      <c r="F12245" s="92"/>
      <c r="G12245" s="85"/>
    </row>
    <row r="12246">
      <c r="A12246" s="84"/>
      <c r="B12246" s="85"/>
      <c r="C12246" s="85"/>
      <c r="F12246" s="92"/>
      <c r="G12246" s="85"/>
    </row>
    <row r="12247">
      <c r="A12247" s="84"/>
      <c r="B12247" s="85"/>
      <c r="C12247" s="85"/>
      <c r="F12247" s="92"/>
      <c r="G12247" s="85"/>
    </row>
    <row r="12248">
      <c r="A12248" s="84"/>
      <c r="B12248" s="85"/>
      <c r="C12248" s="85"/>
      <c r="F12248" s="92"/>
      <c r="G12248" s="85"/>
    </row>
    <row r="12249">
      <c r="A12249" s="84"/>
      <c r="B12249" s="85"/>
      <c r="C12249" s="85"/>
      <c r="F12249" s="92"/>
      <c r="G12249" s="85"/>
    </row>
    <row r="12250">
      <c r="A12250" s="84"/>
      <c r="B12250" s="85"/>
      <c r="C12250" s="85"/>
      <c r="F12250" s="92"/>
      <c r="G12250" s="85"/>
    </row>
    <row r="12251">
      <c r="A12251" s="84"/>
      <c r="B12251" s="85"/>
      <c r="C12251" s="85"/>
      <c r="F12251" s="92"/>
      <c r="G12251" s="85"/>
    </row>
    <row r="12252">
      <c r="A12252" s="84"/>
      <c r="B12252" s="85"/>
      <c r="C12252" s="85"/>
      <c r="F12252" s="92"/>
      <c r="G12252" s="85"/>
    </row>
    <row r="12253">
      <c r="A12253" s="84"/>
      <c r="B12253" s="85"/>
      <c r="C12253" s="85"/>
      <c r="F12253" s="92"/>
      <c r="G12253" s="85"/>
    </row>
    <row r="12254">
      <c r="A12254" s="84"/>
      <c r="B12254" s="85"/>
      <c r="C12254" s="85"/>
      <c r="F12254" s="92"/>
      <c r="G12254" s="85"/>
    </row>
    <row r="12255">
      <c r="A12255" s="84"/>
      <c r="B12255" s="85"/>
      <c r="C12255" s="85"/>
      <c r="F12255" s="92"/>
      <c r="G12255" s="85"/>
    </row>
    <row r="12256">
      <c r="A12256" s="84"/>
      <c r="B12256" s="85"/>
      <c r="C12256" s="85"/>
      <c r="F12256" s="92"/>
      <c r="G12256" s="85"/>
    </row>
    <row r="12257">
      <c r="A12257" s="84"/>
      <c r="B12257" s="85"/>
      <c r="C12257" s="85"/>
      <c r="F12257" s="92"/>
      <c r="G12257" s="85"/>
    </row>
    <row r="12258">
      <c r="A12258" s="84"/>
      <c r="B12258" s="85"/>
      <c r="C12258" s="85"/>
      <c r="F12258" s="92"/>
      <c r="G12258" s="85"/>
    </row>
    <row r="12259">
      <c r="A12259" s="84"/>
      <c r="B12259" s="85"/>
      <c r="C12259" s="85"/>
      <c r="F12259" s="92"/>
      <c r="G12259" s="85"/>
    </row>
    <row r="12260">
      <c r="A12260" s="84"/>
      <c r="B12260" s="85"/>
      <c r="C12260" s="85"/>
      <c r="F12260" s="92"/>
      <c r="G12260" s="85"/>
    </row>
    <row r="12261">
      <c r="A12261" s="84"/>
      <c r="B12261" s="85"/>
      <c r="C12261" s="85"/>
      <c r="F12261" s="92"/>
      <c r="G12261" s="85"/>
    </row>
    <row r="12262">
      <c r="A12262" s="84"/>
      <c r="B12262" s="85"/>
      <c r="C12262" s="85"/>
      <c r="F12262" s="92"/>
      <c r="G12262" s="85"/>
    </row>
    <row r="12263">
      <c r="A12263" s="84"/>
      <c r="B12263" s="85"/>
      <c r="C12263" s="85"/>
      <c r="F12263" s="92"/>
      <c r="G12263" s="85"/>
    </row>
    <row r="12264">
      <c r="A12264" s="84"/>
      <c r="B12264" s="85"/>
      <c r="C12264" s="85"/>
      <c r="F12264" s="92"/>
      <c r="G12264" s="85"/>
    </row>
    <row r="12265">
      <c r="A12265" s="84"/>
      <c r="B12265" s="85"/>
      <c r="C12265" s="85"/>
      <c r="F12265" s="92"/>
      <c r="G12265" s="85"/>
    </row>
    <row r="12266">
      <c r="A12266" s="84"/>
      <c r="B12266" s="85"/>
      <c r="C12266" s="85"/>
      <c r="F12266" s="92"/>
      <c r="G12266" s="85"/>
    </row>
    <row r="12267">
      <c r="A12267" s="84"/>
      <c r="B12267" s="85"/>
      <c r="C12267" s="85"/>
      <c r="F12267" s="92"/>
      <c r="G12267" s="85"/>
    </row>
    <row r="12268">
      <c r="A12268" s="84"/>
      <c r="B12268" s="85"/>
      <c r="C12268" s="85"/>
      <c r="F12268" s="92"/>
      <c r="G12268" s="85"/>
    </row>
    <row r="12269">
      <c r="A12269" s="84"/>
      <c r="B12269" s="85"/>
      <c r="C12269" s="85"/>
      <c r="F12269" s="92"/>
      <c r="G12269" s="85"/>
    </row>
    <row r="12270">
      <c r="A12270" s="84"/>
      <c r="B12270" s="85"/>
      <c r="C12270" s="85"/>
      <c r="F12270" s="92"/>
      <c r="G12270" s="85"/>
    </row>
    <row r="12271">
      <c r="A12271" s="84"/>
      <c r="B12271" s="85"/>
      <c r="C12271" s="85"/>
      <c r="F12271" s="92"/>
      <c r="G12271" s="85"/>
    </row>
    <row r="12272">
      <c r="A12272" s="84"/>
      <c r="B12272" s="85"/>
      <c r="C12272" s="85"/>
      <c r="F12272" s="92"/>
      <c r="G12272" s="85"/>
    </row>
    <row r="12273">
      <c r="A12273" s="84"/>
      <c r="B12273" s="85"/>
      <c r="C12273" s="85"/>
      <c r="F12273" s="92"/>
      <c r="G12273" s="85"/>
    </row>
    <row r="12274">
      <c r="A12274" s="84"/>
      <c r="B12274" s="85"/>
      <c r="C12274" s="85"/>
      <c r="F12274" s="92"/>
      <c r="G12274" s="85"/>
    </row>
    <row r="12275">
      <c r="A12275" s="84"/>
      <c r="B12275" s="85"/>
      <c r="C12275" s="85"/>
      <c r="F12275" s="92"/>
      <c r="G12275" s="85"/>
    </row>
    <row r="12276">
      <c r="A12276" s="84"/>
      <c r="B12276" s="85"/>
      <c r="C12276" s="85"/>
      <c r="F12276" s="92"/>
      <c r="G12276" s="85"/>
    </row>
    <row r="12277">
      <c r="A12277" s="84"/>
      <c r="B12277" s="85"/>
      <c r="C12277" s="85"/>
      <c r="F12277" s="92"/>
      <c r="G12277" s="85"/>
    </row>
    <row r="12278">
      <c r="A12278" s="84"/>
      <c r="B12278" s="85"/>
      <c r="C12278" s="85"/>
      <c r="F12278" s="92"/>
      <c r="G12278" s="85"/>
    </row>
    <row r="12279">
      <c r="A12279" s="84"/>
      <c r="B12279" s="85"/>
      <c r="C12279" s="85"/>
      <c r="F12279" s="92"/>
      <c r="G12279" s="85"/>
    </row>
    <row r="12280">
      <c r="A12280" s="84"/>
      <c r="B12280" s="85"/>
      <c r="C12280" s="85"/>
      <c r="F12280" s="92"/>
      <c r="G12280" s="85"/>
    </row>
    <row r="12281">
      <c r="A12281" s="84"/>
      <c r="B12281" s="85"/>
      <c r="C12281" s="85"/>
      <c r="F12281" s="92"/>
      <c r="G12281" s="85"/>
    </row>
    <row r="12282">
      <c r="A12282" s="84"/>
      <c r="B12282" s="85"/>
      <c r="C12282" s="85"/>
      <c r="F12282" s="92"/>
      <c r="G12282" s="85"/>
    </row>
    <row r="12283">
      <c r="A12283" s="84"/>
      <c r="B12283" s="85"/>
      <c r="C12283" s="85"/>
      <c r="F12283" s="92"/>
      <c r="G12283" s="85"/>
    </row>
    <row r="12284">
      <c r="A12284" s="84"/>
      <c r="B12284" s="85"/>
      <c r="C12284" s="85"/>
      <c r="F12284" s="92"/>
      <c r="G12284" s="85"/>
    </row>
    <row r="12285">
      <c r="A12285" s="84"/>
      <c r="B12285" s="85"/>
      <c r="C12285" s="85"/>
      <c r="F12285" s="92"/>
      <c r="G12285" s="85"/>
    </row>
    <row r="12286">
      <c r="A12286" s="84"/>
      <c r="B12286" s="85"/>
      <c r="C12286" s="85"/>
      <c r="F12286" s="92"/>
      <c r="G12286" s="85"/>
    </row>
    <row r="12287">
      <c r="A12287" s="84"/>
      <c r="B12287" s="85"/>
      <c r="C12287" s="85"/>
      <c r="F12287" s="92"/>
      <c r="G12287" s="85"/>
    </row>
    <row r="12288">
      <c r="A12288" s="84"/>
      <c r="B12288" s="85"/>
      <c r="C12288" s="85"/>
      <c r="F12288" s="92"/>
      <c r="G12288" s="85"/>
    </row>
    <row r="12289">
      <c r="A12289" s="84"/>
      <c r="B12289" s="85"/>
      <c r="C12289" s="85"/>
      <c r="F12289" s="92"/>
      <c r="G12289" s="85"/>
    </row>
    <row r="12290">
      <c r="A12290" s="84"/>
      <c r="B12290" s="85"/>
      <c r="C12290" s="85"/>
      <c r="F12290" s="92"/>
      <c r="G12290" s="85"/>
    </row>
    <row r="12291">
      <c r="A12291" s="84"/>
      <c r="B12291" s="85"/>
      <c r="C12291" s="85"/>
      <c r="F12291" s="92"/>
      <c r="G12291" s="85"/>
    </row>
    <row r="12292">
      <c r="A12292" s="84"/>
      <c r="B12292" s="85"/>
      <c r="C12292" s="85"/>
      <c r="F12292" s="92"/>
      <c r="G12292" s="85"/>
    </row>
    <row r="12293">
      <c r="A12293" s="84"/>
      <c r="B12293" s="85"/>
      <c r="C12293" s="85"/>
      <c r="F12293" s="92"/>
      <c r="G12293" s="85"/>
    </row>
    <row r="12294">
      <c r="A12294" s="84"/>
      <c r="B12294" s="85"/>
      <c r="C12294" s="85"/>
      <c r="F12294" s="92"/>
      <c r="G12294" s="85"/>
    </row>
    <row r="12295">
      <c r="A12295" s="84"/>
      <c r="B12295" s="85"/>
      <c r="C12295" s="85"/>
      <c r="F12295" s="92"/>
      <c r="G12295" s="85"/>
    </row>
    <row r="12296">
      <c r="A12296" s="84"/>
      <c r="B12296" s="85"/>
      <c r="C12296" s="85"/>
      <c r="F12296" s="92"/>
      <c r="G12296" s="85"/>
    </row>
    <row r="12297">
      <c r="A12297" s="84"/>
      <c r="B12297" s="85"/>
      <c r="C12297" s="85"/>
      <c r="F12297" s="92"/>
      <c r="G12297" s="85"/>
    </row>
    <row r="12298">
      <c r="A12298" s="84"/>
      <c r="B12298" s="85"/>
      <c r="C12298" s="85"/>
      <c r="F12298" s="92"/>
      <c r="G12298" s="85"/>
    </row>
    <row r="12299">
      <c r="A12299" s="84"/>
      <c r="B12299" s="85"/>
      <c r="C12299" s="85"/>
      <c r="F12299" s="92"/>
      <c r="G12299" s="85"/>
    </row>
    <row r="12300">
      <c r="A12300" s="84"/>
      <c r="B12300" s="85"/>
      <c r="C12300" s="85"/>
      <c r="F12300" s="92"/>
      <c r="G12300" s="85"/>
    </row>
    <row r="12301">
      <c r="A12301" s="84"/>
      <c r="B12301" s="85"/>
      <c r="C12301" s="85"/>
      <c r="F12301" s="92"/>
      <c r="G12301" s="85"/>
    </row>
    <row r="12302">
      <c r="A12302" s="84"/>
      <c r="B12302" s="85"/>
      <c r="C12302" s="85"/>
      <c r="F12302" s="92"/>
      <c r="G12302" s="85"/>
    </row>
    <row r="12303">
      <c r="A12303" s="84"/>
      <c r="B12303" s="85"/>
      <c r="C12303" s="85"/>
      <c r="F12303" s="92"/>
      <c r="G12303" s="85"/>
    </row>
    <row r="12304">
      <c r="A12304" s="84"/>
      <c r="B12304" s="85"/>
      <c r="C12304" s="85"/>
      <c r="F12304" s="92"/>
      <c r="G12304" s="85"/>
    </row>
    <row r="12305">
      <c r="A12305" s="84"/>
      <c r="B12305" s="85"/>
      <c r="C12305" s="85"/>
      <c r="F12305" s="92"/>
      <c r="G12305" s="85"/>
    </row>
    <row r="12306">
      <c r="A12306" s="84"/>
      <c r="B12306" s="85"/>
      <c r="C12306" s="85"/>
      <c r="F12306" s="92"/>
      <c r="G12306" s="85"/>
    </row>
    <row r="12307">
      <c r="A12307" s="84"/>
      <c r="B12307" s="85"/>
      <c r="C12307" s="85"/>
      <c r="F12307" s="92"/>
      <c r="G12307" s="85"/>
    </row>
    <row r="12308">
      <c r="A12308" s="84"/>
      <c r="B12308" s="85"/>
      <c r="C12308" s="85"/>
      <c r="F12308" s="92"/>
      <c r="G12308" s="85"/>
    </row>
    <row r="12309">
      <c r="A12309" s="84"/>
      <c r="B12309" s="85"/>
      <c r="C12309" s="85"/>
      <c r="F12309" s="92"/>
      <c r="G12309" s="85"/>
    </row>
    <row r="12310">
      <c r="A12310" s="84"/>
      <c r="B12310" s="85"/>
      <c r="C12310" s="85"/>
      <c r="F12310" s="92"/>
      <c r="G12310" s="85"/>
    </row>
    <row r="12311">
      <c r="A12311" s="84"/>
      <c r="B12311" s="85"/>
      <c r="C12311" s="85"/>
      <c r="F12311" s="92"/>
      <c r="G12311" s="85"/>
    </row>
    <row r="12312">
      <c r="A12312" s="84"/>
      <c r="B12312" s="85"/>
      <c r="C12312" s="85"/>
      <c r="F12312" s="92"/>
      <c r="G12312" s="85"/>
    </row>
    <row r="12313">
      <c r="A12313" s="84"/>
      <c r="B12313" s="85"/>
      <c r="C12313" s="85"/>
      <c r="F12313" s="92"/>
      <c r="G12313" s="85"/>
    </row>
    <row r="12314">
      <c r="A12314" s="84"/>
      <c r="B12314" s="85"/>
      <c r="C12314" s="85"/>
      <c r="F12314" s="92"/>
      <c r="G12314" s="85"/>
    </row>
    <row r="12315">
      <c r="A12315" s="84"/>
      <c r="B12315" s="85"/>
      <c r="C12315" s="85"/>
      <c r="F12315" s="92"/>
      <c r="G12315" s="85"/>
    </row>
    <row r="12316">
      <c r="A12316" s="84"/>
      <c r="B12316" s="85"/>
      <c r="C12316" s="85"/>
      <c r="F12316" s="92"/>
      <c r="G12316" s="85"/>
    </row>
    <row r="12317">
      <c r="A12317" s="84"/>
      <c r="B12317" s="85"/>
      <c r="C12317" s="85"/>
      <c r="F12317" s="92"/>
      <c r="G12317" s="85"/>
    </row>
    <row r="12318">
      <c r="A12318" s="84"/>
      <c r="B12318" s="85"/>
      <c r="C12318" s="85"/>
      <c r="F12318" s="92"/>
      <c r="G12318" s="85"/>
    </row>
    <row r="12319">
      <c r="A12319" s="84"/>
      <c r="B12319" s="85"/>
      <c r="C12319" s="85"/>
      <c r="F12319" s="92"/>
      <c r="G12319" s="85"/>
    </row>
    <row r="12320">
      <c r="A12320" s="84"/>
      <c r="B12320" s="85"/>
      <c r="C12320" s="85"/>
      <c r="F12320" s="92"/>
      <c r="G12320" s="85"/>
    </row>
    <row r="12321">
      <c r="A12321" s="84"/>
      <c r="B12321" s="85"/>
      <c r="C12321" s="85"/>
      <c r="F12321" s="92"/>
      <c r="G12321" s="85"/>
    </row>
    <row r="12322">
      <c r="A12322" s="84"/>
      <c r="B12322" s="85"/>
      <c r="C12322" s="85"/>
      <c r="F12322" s="92"/>
      <c r="G12322" s="85"/>
    </row>
    <row r="12323">
      <c r="A12323" s="84"/>
      <c r="B12323" s="85"/>
      <c r="C12323" s="85"/>
      <c r="F12323" s="92"/>
      <c r="G12323" s="85"/>
    </row>
    <row r="12324">
      <c r="A12324" s="84"/>
      <c r="B12324" s="85"/>
      <c r="C12324" s="85"/>
      <c r="F12324" s="92"/>
      <c r="G12324" s="85"/>
    </row>
    <row r="12325">
      <c r="A12325" s="84"/>
      <c r="B12325" s="85"/>
      <c r="C12325" s="85"/>
      <c r="F12325" s="92"/>
      <c r="G12325" s="85"/>
    </row>
    <row r="12326">
      <c r="A12326" s="84"/>
      <c r="B12326" s="85"/>
      <c r="C12326" s="85"/>
      <c r="F12326" s="92"/>
      <c r="G12326" s="85"/>
    </row>
    <row r="12327">
      <c r="A12327" s="84"/>
      <c r="B12327" s="85"/>
      <c r="C12327" s="85"/>
      <c r="F12327" s="92"/>
      <c r="G12327" s="85"/>
    </row>
    <row r="12328">
      <c r="A12328" s="84"/>
      <c r="B12328" s="85"/>
      <c r="C12328" s="85"/>
      <c r="F12328" s="92"/>
      <c r="G12328" s="85"/>
    </row>
    <row r="12329">
      <c r="A12329" s="84"/>
      <c r="B12329" s="85"/>
      <c r="C12329" s="85"/>
      <c r="F12329" s="92"/>
      <c r="G12329" s="85"/>
    </row>
    <row r="12330">
      <c r="A12330" s="84"/>
      <c r="B12330" s="85"/>
      <c r="C12330" s="85"/>
      <c r="F12330" s="92"/>
      <c r="G12330" s="85"/>
    </row>
    <row r="12331">
      <c r="A12331" s="84"/>
      <c r="B12331" s="85"/>
      <c r="C12331" s="85"/>
      <c r="F12331" s="92"/>
      <c r="G12331" s="85"/>
    </row>
    <row r="12332">
      <c r="A12332" s="84"/>
      <c r="B12332" s="85"/>
      <c r="C12332" s="85"/>
      <c r="F12332" s="92"/>
      <c r="G12332" s="85"/>
    </row>
    <row r="12333">
      <c r="A12333" s="84"/>
      <c r="B12333" s="85"/>
      <c r="C12333" s="85"/>
      <c r="F12333" s="92"/>
      <c r="G12333" s="85"/>
    </row>
    <row r="12334">
      <c r="A12334" s="84"/>
      <c r="B12334" s="85"/>
      <c r="C12334" s="85"/>
      <c r="F12334" s="92"/>
      <c r="G12334" s="85"/>
    </row>
    <row r="12335">
      <c r="A12335" s="84"/>
      <c r="B12335" s="85"/>
      <c r="C12335" s="85"/>
      <c r="F12335" s="92"/>
      <c r="G12335" s="85"/>
    </row>
    <row r="12336">
      <c r="A12336" s="84"/>
      <c r="B12336" s="85"/>
      <c r="C12336" s="85"/>
      <c r="F12336" s="92"/>
      <c r="G12336" s="85"/>
    </row>
    <row r="12337">
      <c r="A12337" s="84"/>
      <c r="B12337" s="85"/>
      <c r="C12337" s="85"/>
      <c r="F12337" s="92"/>
      <c r="G12337" s="85"/>
    </row>
    <row r="12338">
      <c r="A12338" s="84"/>
      <c r="B12338" s="85"/>
      <c r="C12338" s="85"/>
      <c r="F12338" s="92"/>
      <c r="G12338" s="85"/>
    </row>
    <row r="12339">
      <c r="A12339" s="84"/>
      <c r="B12339" s="85"/>
      <c r="C12339" s="85"/>
      <c r="F12339" s="92"/>
      <c r="G12339" s="85"/>
    </row>
    <row r="12340">
      <c r="A12340" s="84"/>
      <c r="B12340" s="85"/>
      <c r="C12340" s="85"/>
      <c r="F12340" s="92"/>
      <c r="G12340" s="85"/>
    </row>
    <row r="12341">
      <c r="A12341" s="84"/>
      <c r="B12341" s="85"/>
      <c r="C12341" s="85"/>
      <c r="F12341" s="92"/>
      <c r="G12341" s="85"/>
    </row>
    <row r="12342">
      <c r="A12342" s="84"/>
      <c r="B12342" s="85"/>
      <c r="C12342" s="85"/>
      <c r="F12342" s="92"/>
      <c r="G12342" s="85"/>
    </row>
    <row r="12343">
      <c r="A12343" s="84"/>
      <c r="B12343" s="85"/>
      <c r="C12343" s="85"/>
      <c r="F12343" s="92"/>
      <c r="G12343" s="85"/>
    </row>
    <row r="12344">
      <c r="A12344" s="84"/>
      <c r="B12344" s="85"/>
      <c r="C12344" s="85"/>
      <c r="F12344" s="92"/>
      <c r="G12344" s="85"/>
    </row>
    <row r="12345">
      <c r="A12345" s="84"/>
      <c r="B12345" s="85"/>
      <c r="C12345" s="85"/>
      <c r="F12345" s="92"/>
      <c r="G12345" s="85"/>
    </row>
    <row r="12346">
      <c r="A12346" s="84"/>
      <c r="B12346" s="85"/>
      <c r="C12346" s="85"/>
      <c r="F12346" s="92"/>
      <c r="G12346" s="85"/>
    </row>
    <row r="12347">
      <c r="A12347" s="84"/>
      <c r="B12347" s="85"/>
      <c r="C12347" s="85"/>
      <c r="F12347" s="92"/>
      <c r="G12347" s="85"/>
    </row>
    <row r="12348">
      <c r="A12348" s="84"/>
      <c r="B12348" s="85"/>
      <c r="C12348" s="85"/>
      <c r="F12348" s="92"/>
      <c r="G12348" s="85"/>
    </row>
    <row r="12349">
      <c r="A12349" s="84"/>
      <c r="B12349" s="85"/>
      <c r="C12349" s="85"/>
      <c r="F12349" s="92"/>
      <c r="G12349" s="85"/>
    </row>
    <row r="12350">
      <c r="A12350" s="84"/>
      <c r="B12350" s="85"/>
      <c r="C12350" s="85"/>
      <c r="F12350" s="92"/>
      <c r="G12350" s="85"/>
    </row>
    <row r="12351">
      <c r="A12351" s="84"/>
      <c r="B12351" s="85"/>
      <c r="C12351" s="85"/>
      <c r="F12351" s="92"/>
      <c r="G12351" s="85"/>
    </row>
    <row r="12352">
      <c r="A12352" s="84"/>
      <c r="B12352" s="85"/>
      <c r="C12352" s="85"/>
      <c r="F12352" s="92"/>
      <c r="G12352" s="85"/>
    </row>
    <row r="12353">
      <c r="A12353" s="84"/>
      <c r="B12353" s="85"/>
      <c r="C12353" s="85"/>
      <c r="F12353" s="92"/>
      <c r="G12353" s="85"/>
    </row>
    <row r="12354">
      <c r="A12354" s="84"/>
      <c r="B12354" s="85"/>
      <c r="C12354" s="85"/>
      <c r="F12354" s="92"/>
      <c r="G12354" s="85"/>
    </row>
    <row r="12355">
      <c r="A12355" s="84"/>
      <c r="B12355" s="85"/>
      <c r="C12355" s="85"/>
      <c r="F12355" s="92"/>
      <c r="G12355" s="85"/>
    </row>
    <row r="12356">
      <c r="A12356" s="84"/>
      <c r="B12356" s="85"/>
      <c r="C12356" s="85"/>
      <c r="F12356" s="92"/>
      <c r="G12356" s="85"/>
    </row>
    <row r="12357">
      <c r="A12357" s="84"/>
      <c r="B12357" s="85"/>
      <c r="C12357" s="85"/>
      <c r="F12357" s="92"/>
      <c r="G12357" s="85"/>
    </row>
    <row r="12358">
      <c r="A12358" s="84"/>
      <c r="B12358" s="85"/>
      <c r="C12358" s="85"/>
      <c r="F12358" s="92"/>
      <c r="G12358" s="85"/>
    </row>
    <row r="12359">
      <c r="A12359" s="84"/>
      <c r="B12359" s="85"/>
      <c r="C12359" s="85"/>
      <c r="F12359" s="92"/>
      <c r="G12359" s="85"/>
    </row>
    <row r="12360">
      <c r="A12360" s="84"/>
      <c r="B12360" s="85"/>
      <c r="C12360" s="85"/>
      <c r="F12360" s="92"/>
      <c r="G12360" s="85"/>
    </row>
    <row r="12361">
      <c r="A12361" s="84"/>
      <c r="B12361" s="85"/>
      <c r="C12361" s="85"/>
      <c r="F12361" s="92"/>
      <c r="G12361" s="85"/>
    </row>
    <row r="12362">
      <c r="A12362" s="84"/>
      <c r="B12362" s="85"/>
      <c r="C12362" s="85"/>
      <c r="F12362" s="92"/>
      <c r="G12362" s="85"/>
    </row>
    <row r="12363">
      <c r="A12363" s="84"/>
      <c r="B12363" s="85"/>
      <c r="C12363" s="85"/>
      <c r="F12363" s="92"/>
      <c r="G12363" s="85"/>
    </row>
    <row r="12364">
      <c r="A12364" s="84"/>
      <c r="B12364" s="85"/>
      <c r="C12364" s="85"/>
      <c r="F12364" s="92"/>
      <c r="G12364" s="85"/>
    </row>
    <row r="12365">
      <c r="A12365" s="84"/>
      <c r="B12365" s="85"/>
      <c r="C12365" s="85"/>
      <c r="F12365" s="92"/>
      <c r="G12365" s="85"/>
    </row>
    <row r="12366">
      <c r="A12366" s="84"/>
      <c r="B12366" s="85"/>
      <c r="C12366" s="85"/>
      <c r="F12366" s="92"/>
      <c r="G12366" s="85"/>
    </row>
    <row r="12367">
      <c r="A12367" s="84"/>
      <c r="B12367" s="85"/>
      <c r="C12367" s="85"/>
      <c r="F12367" s="92"/>
      <c r="G12367" s="85"/>
    </row>
    <row r="12368">
      <c r="A12368" s="84"/>
      <c r="B12368" s="85"/>
      <c r="C12368" s="85"/>
      <c r="F12368" s="92"/>
      <c r="G12368" s="85"/>
    </row>
    <row r="12369">
      <c r="A12369" s="84"/>
      <c r="B12369" s="85"/>
      <c r="C12369" s="85"/>
      <c r="F12369" s="92"/>
      <c r="G12369" s="85"/>
    </row>
    <row r="12370">
      <c r="A12370" s="84"/>
      <c r="B12370" s="85"/>
      <c r="C12370" s="85"/>
      <c r="F12370" s="92"/>
      <c r="G12370" s="85"/>
    </row>
    <row r="12371">
      <c r="A12371" s="84"/>
      <c r="B12371" s="85"/>
      <c r="C12371" s="85"/>
      <c r="F12371" s="92"/>
      <c r="G12371" s="85"/>
    </row>
    <row r="12372">
      <c r="A12372" s="84"/>
      <c r="B12372" s="85"/>
      <c r="C12372" s="85"/>
      <c r="F12372" s="92"/>
      <c r="G12372" s="85"/>
    </row>
    <row r="12373">
      <c r="A12373" s="84"/>
      <c r="B12373" s="85"/>
      <c r="C12373" s="85"/>
      <c r="F12373" s="92"/>
      <c r="G12373" s="85"/>
    </row>
    <row r="12374">
      <c r="A12374" s="84"/>
      <c r="B12374" s="85"/>
      <c r="C12374" s="85"/>
      <c r="F12374" s="92"/>
      <c r="G12374" s="85"/>
    </row>
    <row r="12375">
      <c r="A12375" s="84"/>
      <c r="B12375" s="85"/>
      <c r="C12375" s="85"/>
      <c r="F12375" s="92"/>
      <c r="G12375" s="85"/>
    </row>
    <row r="12376">
      <c r="A12376" s="84"/>
      <c r="B12376" s="85"/>
      <c r="C12376" s="85"/>
      <c r="F12376" s="92"/>
      <c r="G12376" s="85"/>
    </row>
    <row r="12377">
      <c r="A12377" s="84"/>
      <c r="B12377" s="85"/>
      <c r="C12377" s="85"/>
      <c r="F12377" s="92"/>
      <c r="G12377" s="85"/>
    </row>
    <row r="12378">
      <c r="A12378" s="84"/>
      <c r="B12378" s="85"/>
      <c r="C12378" s="85"/>
      <c r="F12378" s="92"/>
      <c r="G12378" s="85"/>
    </row>
    <row r="12379">
      <c r="A12379" s="84"/>
      <c r="B12379" s="85"/>
      <c r="C12379" s="85"/>
      <c r="F12379" s="92"/>
      <c r="G12379" s="85"/>
    </row>
    <row r="12380">
      <c r="A12380" s="84"/>
      <c r="B12380" s="85"/>
      <c r="C12380" s="85"/>
      <c r="F12380" s="92"/>
      <c r="G12380" s="85"/>
    </row>
    <row r="12381">
      <c r="A12381" s="84"/>
      <c r="B12381" s="85"/>
      <c r="C12381" s="85"/>
      <c r="F12381" s="92"/>
      <c r="G12381" s="85"/>
    </row>
    <row r="12382">
      <c r="A12382" s="84"/>
      <c r="B12382" s="85"/>
      <c r="C12382" s="85"/>
      <c r="F12382" s="92"/>
      <c r="G12382" s="85"/>
    </row>
    <row r="12383">
      <c r="A12383" s="84"/>
      <c r="B12383" s="85"/>
      <c r="C12383" s="85"/>
      <c r="F12383" s="92"/>
      <c r="G12383" s="85"/>
    </row>
    <row r="12384">
      <c r="A12384" s="84"/>
      <c r="B12384" s="85"/>
      <c r="C12384" s="85"/>
      <c r="F12384" s="92"/>
      <c r="G12384" s="85"/>
    </row>
    <row r="12385">
      <c r="A12385" s="84"/>
      <c r="B12385" s="85"/>
      <c r="C12385" s="85"/>
      <c r="F12385" s="92"/>
      <c r="G12385" s="85"/>
    </row>
    <row r="12386">
      <c r="A12386" s="84"/>
      <c r="B12386" s="85"/>
      <c r="C12386" s="85"/>
      <c r="F12386" s="92"/>
      <c r="G12386" s="85"/>
    </row>
    <row r="12387">
      <c r="A12387" s="84"/>
      <c r="B12387" s="85"/>
      <c r="C12387" s="85"/>
      <c r="F12387" s="92"/>
      <c r="G12387" s="85"/>
    </row>
    <row r="12388">
      <c r="A12388" s="84"/>
      <c r="B12388" s="85"/>
      <c r="C12388" s="85"/>
      <c r="F12388" s="92"/>
      <c r="G12388" s="85"/>
    </row>
    <row r="12389">
      <c r="A12389" s="84"/>
      <c r="B12389" s="85"/>
      <c r="C12389" s="85"/>
      <c r="F12389" s="92"/>
      <c r="G12389" s="85"/>
    </row>
    <row r="12390">
      <c r="A12390" s="84"/>
      <c r="B12390" s="85"/>
      <c r="C12390" s="85"/>
      <c r="F12390" s="92"/>
      <c r="G12390" s="85"/>
    </row>
    <row r="12391">
      <c r="A12391" s="84"/>
      <c r="B12391" s="85"/>
      <c r="C12391" s="85"/>
      <c r="F12391" s="92"/>
      <c r="G12391" s="85"/>
    </row>
    <row r="12392">
      <c r="A12392" s="84"/>
      <c r="B12392" s="85"/>
      <c r="C12392" s="85"/>
      <c r="F12392" s="92"/>
      <c r="G12392" s="85"/>
    </row>
    <row r="12393">
      <c r="A12393" s="84"/>
      <c r="B12393" s="85"/>
      <c r="C12393" s="85"/>
      <c r="F12393" s="92"/>
      <c r="G12393" s="85"/>
    </row>
    <row r="12394">
      <c r="A12394" s="84"/>
      <c r="B12394" s="85"/>
      <c r="C12394" s="85"/>
      <c r="F12394" s="92"/>
      <c r="G12394" s="85"/>
    </row>
    <row r="12395">
      <c r="A12395" s="84"/>
      <c r="B12395" s="85"/>
      <c r="C12395" s="85"/>
      <c r="F12395" s="92"/>
      <c r="G12395" s="85"/>
    </row>
    <row r="12396">
      <c r="A12396" s="84"/>
      <c r="B12396" s="85"/>
      <c r="C12396" s="85"/>
      <c r="F12396" s="92"/>
      <c r="G12396" s="85"/>
    </row>
    <row r="12397">
      <c r="A12397" s="84"/>
      <c r="B12397" s="85"/>
      <c r="C12397" s="85"/>
      <c r="F12397" s="92"/>
      <c r="G12397" s="85"/>
    </row>
    <row r="12398">
      <c r="A12398" s="84"/>
      <c r="B12398" s="85"/>
      <c r="C12398" s="85"/>
      <c r="F12398" s="92"/>
      <c r="G12398" s="85"/>
    </row>
    <row r="12399">
      <c r="A12399" s="84"/>
      <c r="B12399" s="85"/>
      <c r="C12399" s="85"/>
      <c r="F12399" s="92"/>
      <c r="G12399" s="85"/>
    </row>
    <row r="12400">
      <c r="A12400" s="84"/>
      <c r="B12400" s="85"/>
      <c r="C12400" s="85"/>
      <c r="F12400" s="92"/>
      <c r="G12400" s="85"/>
    </row>
    <row r="12401">
      <c r="A12401" s="84"/>
      <c r="B12401" s="85"/>
      <c r="C12401" s="85"/>
      <c r="F12401" s="92"/>
      <c r="G12401" s="85"/>
    </row>
    <row r="12402">
      <c r="A12402" s="84"/>
      <c r="B12402" s="85"/>
      <c r="C12402" s="85"/>
      <c r="F12402" s="92"/>
      <c r="G12402" s="85"/>
    </row>
    <row r="12403">
      <c r="A12403" s="84"/>
      <c r="B12403" s="85"/>
      <c r="C12403" s="85"/>
      <c r="F12403" s="92"/>
      <c r="G12403" s="85"/>
    </row>
    <row r="12404">
      <c r="A12404" s="84"/>
      <c r="B12404" s="85"/>
      <c r="C12404" s="85"/>
      <c r="F12404" s="92"/>
      <c r="G12404" s="85"/>
    </row>
    <row r="12405">
      <c r="A12405" s="84"/>
      <c r="B12405" s="85"/>
      <c r="C12405" s="85"/>
      <c r="F12405" s="92"/>
      <c r="G12405" s="85"/>
    </row>
    <row r="12406">
      <c r="A12406" s="84"/>
      <c r="B12406" s="85"/>
      <c r="C12406" s="85"/>
      <c r="F12406" s="92"/>
      <c r="G12406" s="85"/>
    </row>
    <row r="12407">
      <c r="A12407" s="84"/>
      <c r="B12407" s="85"/>
      <c r="C12407" s="85"/>
      <c r="F12407" s="92"/>
      <c r="G12407" s="85"/>
    </row>
    <row r="12408">
      <c r="A12408" s="84"/>
      <c r="B12408" s="85"/>
      <c r="C12408" s="85"/>
      <c r="F12408" s="92"/>
      <c r="G12408" s="85"/>
    </row>
    <row r="12409">
      <c r="A12409" s="84"/>
      <c r="B12409" s="85"/>
      <c r="C12409" s="85"/>
      <c r="F12409" s="92"/>
      <c r="G12409" s="85"/>
    </row>
    <row r="12410">
      <c r="A12410" s="84"/>
      <c r="B12410" s="85"/>
      <c r="C12410" s="85"/>
      <c r="F12410" s="92"/>
      <c r="G12410" s="85"/>
    </row>
    <row r="12411">
      <c r="A12411" s="84"/>
      <c r="B12411" s="85"/>
      <c r="C12411" s="85"/>
      <c r="F12411" s="92"/>
      <c r="G12411" s="85"/>
    </row>
    <row r="12412">
      <c r="A12412" s="84"/>
      <c r="B12412" s="85"/>
      <c r="C12412" s="85"/>
      <c r="F12412" s="92"/>
      <c r="G12412" s="85"/>
    </row>
    <row r="12413">
      <c r="A12413" s="84"/>
      <c r="B12413" s="85"/>
      <c r="C12413" s="85"/>
      <c r="F12413" s="92"/>
      <c r="G12413" s="85"/>
    </row>
    <row r="12414">
      <c r="A12414" s="84"/>
      <c r="B12414" s="85"/>
      <c r="C12414" s="85"/>
      <c r="F12414" s="92"/>
      <c r="G12414" s="85"/>
    </row>
    <row r="12415">
      <c r="A12415" s="84"/>
      <c r="B12415" s="85"/>
      <c r="C12415" s="85"/>
      <c r="F12415" s="92"/>
      <c r="G12415" s="85"/>
    </row>
    <row r="12416">
      <c r="A12416" s="84"/>
      <c r="B12416" s="85"/>
      <c r="C12416" s="85"/>
      <c r="F12416" s="92"/>
      <c r="G12416" s="85"/>
    </row>
    <row r="12417">
      <c r="A12417" s="84"/>
      <c r="B12417" s="85"/>
      <c r="C12417" s="85"/>
      <c r="F12417" s="92"/>
      <c r="G12417" s="85"/>
    </row>
    <row r="12418">
      <c r="A12418" s="84"/>
      <c r="B12418" s="85"/>
      <c r="C12418" s="85"/>
      <c r="F12418" s="92"/>
      <c r="G12418" s="85"/>
    </row>
    <row r="12419">
      <c r="A12419" s="84"/>
      <c r="B12419" s="85"/>
      <c r="C12419" s="85"/>
      <c r="F12419" s="92"/>
      <c r="G12419" s="85"/>
    </row>
    <row r="12420">
      <c r="A12420" s="84"/>
      <c r="B12420" s="85"/>
      <c r="C12420" s="85"/>
      <c r="F12420" s="92"/>
      <c r="G12420" s="85"/>
    </row>
    <row r="12421">
      <c r="A12421" s="84"/>
      <c r="B12421" s="85"/>
      <c r="C12421" s="85"/>
      <c r="F12421" s="92"/>
      <c r="G12421" s="85"/>
    </row>
    <row r="12422">
      <c r="A12422" s="84"/>
      <c r="B12422" s="85"/>
      <c r="C12422" s="85"/>
      <c r="F12422" s="92"/>
      <c r="G12422" s="85"/>
    </row>
    <row r="12423">
      <c r="A12423" s="84"/>
      <c r="B12423" s="85"/>
      <c r="C12423" s="85"/>
      <c r="F12423" s="92"/>
      <c r="G12423" s="85"/>
    </row>
    <row r="12424">
      <c r="A12424" s="84"/>
      <c r="B12424" s="85"/>
      <c r="C12424" s="85"/>
      <c r="F12424" s="92"/>
      <c r="G12424" s="85"/>
    </row>
    <row r="12425">
      <c r="A12425" s="84"/>
      <c r="B12425" s="85"/>
      <c r="C12425" s="85"/>
      <c r="F12425" s="92"/>
      <c r="G12425" s="85"/>
    </row>
    <row r="12426">
      <c r="A12426" s="84"/>
      <c r="B12426" s="85"/>
      <c r="C12426" s="85"/>
      <c r="F12426" s="92"/>
      <c r="G12426" s="85"/>
    </row>
    <row r="12427">
      <c r="A12427" s="84"/>
      <c r="B12427" s="85"/>
      <c r="C12427" s="85"/>
      <c r="F12427" s="92"/>
      <c r="G12427" s="85"/>
    </row>
    <row r="12428">
      <c r="A12428" s="84"/>
      <c r="B12428" s="85"/>
      <c r="C12428" s="85"/>
      <c r="F12428" s="92"/>
      <c r="G12428" s="85"/>
    </row>
    <row r="12429">
      <c r="A12429" s="84"/>
      <c r="B12429" s="85"/>
      <c r="C12429" s="85"/>
      <c r="F12429" s="92"/>
      <c r="G12429" s="85"/>
    </row>
    <row r="12430">
      <c r="A12430" s="84"/>
      <c r="B12430" s="85"/>
      <c r="C12430" s="85"/>
      <c r="F12430" s="92"/>
      <c r="G12430" s="85"/>
    </row>
    <row r="12431">
      <c r="A12431" s="84"/>
      <c r="B12431" s="85"/>
      <c r="C12431" s="85"/>
      <c r="F12431" s="92"/>
      <c r="G12431" s="85"/>
    </row>
    <row r="12432">
      <c r="A12432" s="84"/>
      <c r="B12432" s="85"/>
      <c r="C12432" s="85"/>
      <c r="F12432" s="92"/>
      <c r="G12432" s="85"/>
    </row>
    <row r="12433">
      <c r="A12433" s="84"/>
      <c r="B12433" s="85"/>
      <c r="C12433" s="85"/>
      <c r="F12433" s="92"/>
      <c r="G12433" s="85"/>
    </row>
    <row r="12434">
      <c r="A12434" s="84"/>
      <c r="B12434" s="85"/>
      <c r="C12434" s="85"/>
      <c r="F12434" s="92"/>
      <c r="G12434" s="85"/>
    </row>
    <row r="12435">
      <c r="A12435" s="84"/>
      <c r="B12435" s="85"/>
      <c r="C12435" s="85"/>
      <c r="F12435" s="92"/>
      <c r="G12435" s="85"/>
    </row>
    <row r="12436">
      <c r="A12436" s="84"/>
      <c r="B12436" s="85"/>
      <c r="C12436" s="85"/>
      <c r="F12436" s="92"/>
      <c r="G12436" s="85"/>
    </row>
    <row r="12437">
      <c r="A12437" s="84"/>
      <c r="B12437" s="85"/>
      <c r="C12437" s="85"/>
      <c r="F12437" s="92"/>
      <c r="G12437" s="85"/>
    </row>
    <row r="12438">
      <c r="A12438" s="84"/>
      <c r="B12438" s="85"/>
      <c r="C12438" s="85"/>
      <c r="F12438" s="92"/>
      <c r="G12438" s="85"/>
    </row>
    <row r="12439">
      <c r="A12439" s="84"/>
      <c r="B12439" s="85"/>
      <c r="C12439" s="85"/>
      <c r="F12439" s="92"/>
      <c r="G12439" s="85"/>
    </row>
    <row r="12440">
      <c r="A12440" s="84"/>
      <c r="B12440" s="85"/>
      <c r="C12440" s="85"/>
      <c r="F12440" s="92"/>
      <c r="G12440" s="85"/>
    </row>
    <row r="12441">
      <c r="A12441" s="84"/>
      <c r="B12441" s="85"/>
      <c r="C12441" s="85"/>
      <c r="F12441" s="92"/>
      <c r="G12441" s="85"/>
    </row>
    <row r="12442">
      <c r="A12442" s="84"/>
      <c r="B12442" s="85"/>
      <c r="C12442" s="85"/>
      <c r="F12442" s="92"/>
      <c r="G12442" s="85"/>
    </row>
    <row r="12443">
      <c r="A12443" s="84"/>
      <c r="B12443" s="85"/>
      <c r="C12443" s="85"/>
      <c r="F12443" s="92"/>
      <c r="G12443" s="85"/>
    </row>
    <row r="12444">
      <c r="A12444" s="84"/>
      <c r="B12444" s="85"/>
      <c r="C12444" s="85"/>
      <c r="F12444" s="92"/>
      <c r="G12444" s="85"/>
    </row>
    <row r="12445">
      <c r="A12445" s="84"/>
      <c r="B12445" s="85"/>
      <c r="C12445" s="85"/>
      <c r="F12445" s="92"/>
      <c r="G12445" s="85"/>
    </row>
    <row r="12446">
      <c r="A12446" s="84"/>
      <c r="B12446" s="85"/>
      <c r="C12446" s="85"/>
      <c r="F12446" s="92"/>
      <c r="G12446" s="85"/>
    </row>
    <row r="12447">
      <c r="A12447" s="84"/>
      <c r="B12447" s="85"/>
      <c r="C12447" s="85"/>
      <c r="F12447" s="92"/>
      <c r="G12447" s="85"/>
    </row>
    <row r="12448">
      <c r="A12448" s="84"/>
      <c r="B12448" s="85"/>
      <c r="C12448" s="85"/>
      <c r="F12448" s="92"/>
      <c r="G12448" s="85"/>
    </row>
    <row r="12449">
      <c r="A12449" s="84"/>
      <c r="B12449" s="85"/>
      <c r="C12449" s="85"/>
      <c r="F12449" s="92"/>
      <c r="G12449" s="85"/>
    </row>
    <row r="12450">
      <c r="A12450" s="84"/>
      <c r="B12450" s="85"/>
      <c r="C12450" s="85"/>
      <c r="F12450" s="92"/>
      <c r="G12450" s="85"/>
    </row>
    <row r="12451">
      <c r="A12451" s="84"/>
      <c r="B12451" s="85"/>
      <c r="C12451" s="85"/>
      <c r="F12451" s="92"/>
      <c r="G12451" s="85"/>
    </row>
    <row r="12452">
      <c r="A12452" s="84"/>
      <c r="B12452" s="85"/>
      <c r="C12452" s="85"/>
      <c r="F12452" s="92"/>
      <c r="G12452" s="85"/>
    </row>
    <row r="12453">
      <c r="A12453" s="84"/>
      <c r="B12453" s="85"/>
      <c r="C12453" s="85"/>
      <c r="F12453" s="92"/>
      <c r="G12453" s="85"/>
    </row>
    <row r="12454">
      <c r="A12454" s="84"/>
      <c r="B12454" s="85"/>
      <c r="C12454" s="85"/>
      <c r="F12454" s="92"/>
      <c r="G12454" s="85"/>
    </row>
    <row r="12455">
      <c r="A12455" s="84"/>
      <c r="B12455" s="85"/>
      <c r="C12455" s="85"/>
      <c r="F12455" s="92"/>
      <c r="G12455" s="85"/>
    </row>
    <row r="12456">
      <c r="A12456" s="84"/>
      <c r="B12456" s="85"/>
      <c r="C12456" s="85"/>
      <c r="F12456" s="92"/>
      <c r="G12456" s="85"/>
    </row>
    <row r="12457">
      <c r="A12457" s="84"/>
      <c r="B12457" s="85"/>
      <c r="C12457" s="85"/>
      <c r="F12457" s="92"/>
      <c r="G12457" s="85"/>
    </row>
    <row r="12458">
      <c r="A12458" s="84"/>
      <c r="B12458" s="85"/>
      <c r="C12458" s="85"/>
      <c r="F12458" s="92"/>
      <c r="G12458" s="85"/>
    </row>
    <row r="12459">
      <c r="A12459" s="84"/>
      <c r="B12459" s="85"/>
      <c r="C12459" s="85"/>
      <c r="F12459" s="92"/>
      <c r="G12459" s="85"/>
    </row>
    <row r="12460">
      <c r="A12460" s="84"/>
      <c r="B12460" s="85"/>
      <c r="C12460" s="85"/>
      <c r="F12460" s="92"/>
      <c r="G12460" s="85"/>
    </row>
    <row r="12461">
      <c r="A12461" s="84"/>
      <c r="B12461" s="85"/>
      <c r="C12461" s="85"/>
      <c r="F12461" s="92"/>
      <c r="G12461" s="85"/>
    </row>
    <row r="12462">
      <c r="A12462" s="84"/>
      <c r="B12462" s="85"/>
      <c r="C12462" s="85"/>
      <c r="F12462" s="92"/>
      <c r="G12462" s="85"/>
    </row>
    <row r="12463">
      <c r="A12463" s="84"/>
      <c r="B12463" s="85"/>
      <c r="C12463" s="85"/>
      <c r="F12463" s="92"/>
      <c r="G12463" s="85"/>
    </row>
    <row r="12464">
      <c r="A12464" s="84"/>
      <c r="B12464" s="85"/>
      <c r="C12464" s="85"/>
      <c r="F12464" s="92"/>
      <c r="G12464" s="85"/>
    </row>
    <row r="12465">
      <c r="A12465" s="84"/>
      <c r="B12465" s="85"/>
      <c r="C12465" s="85"/>
      <c r="F12465" s="92"/>
      <c r="G12465" s="85"/>
    </row>
    <row r="12466">
      <c r="A12466" s="84"/>
      <c r="B12466" s="85"/>
      <c r="C12466" s="85"/>
      <c r="F12466" s="92"/>
      <c r="G12466" s="85"/>
    </row>
    <row r="12467">
      <c r="A12467" s="84"/>
      <c r="B12467" s="85"/>
      <c r="C12467" s="85"/>
      <c r="F12467" s="92"/>
      <c r="G12467" s="85"/>
    </row>
    <row r="12468">
      <c r="A12468" s="84"/>
      <c r="B12468" s="85"/>
      <c r="C12468" s="85"/>
      <c r="F12468" s="92"/>
      <c r="G12468" s="85"/>
    </row>
    <row r="12469">
      <c r="A12469" s="84"/>
      <c r="B12469" s="85"/>
      <c r="C12469" s="85"/>
      <c r="F12469" s="92"/>
      <c r="G12469" s="85"/>
    </row>
    <row r="12470">
      <c r="A12470" s="84"/>
      <c r="B12470" s="85"/>
      <c r="C12470" s="85"/>
      <c r="F12470" s="92"/>
      <c r="G12470" s="85"/>
    </row>
    <row r="12471">
      <c r="A12471" s="84"/>
      <c r="B12471" s="85"/>
      <c r="C12471" s="85"/>
      <c r="F12471" s="92"/>
      <c r="G12471" s="85"/>
    </row>
    <row r="12472">
      <c r="A12472" s="84"/>
      <c r="B12472" s="85"/>
      <c r="C12472" s="85"/>
      <c r="F12472" s="92"/>
      <c r="G12472" s="85"/>
    </row>
    <row r="12473">
      <c r="A12473" s="84"/>
      <c r="B12473" s="85"/>
      <c r="C12473" s="85"/>
      <c r="F12473" s="92"/>
      <c r="G12473" s="85"/>
    </row>
    <row r="12474">
      <c r="A12474" s="84"/>
      <c r="B12474" s="85"/>
      <c r="C12474" s="85"/>
      <c r="F12474" s="92"/>
      <c r="G12474" s="85"/>
    </row>
    <row r="12475">
      <c r="A12475" s="84"/>
      <c r="B12475" s="85"/>
      <c r="C12475" s="85"/>
      <c r="F12475" s="92"/>
      <c r="G12475" s="85"/>
    </row>
    <row r="12476">
      <c r="A12476" s="84"/>
      <c r="B12476" s="85"/>
      <c r="C12476" s="85"/>
      <c r="F12476" s="92"/>
      <c r="G12476" s="85"/>
    </row>
    <row r="12477">
      <c r="A12477" s="84"/>
      <c r="B12477" s="85"/>
      <c r="C12477" s="85"/>
      <c r="F12477" s="92"/>
      <c r="G12477" s="85"/>
    </row>
    <row r="12478">
      <c r="A12478" s="84"/>
      <c r="B12478" s="85"/>
      <c r="C12478" s="85"/>
      <c r="F12478" s="92"/>
      <c r="G12478" s="85"/>
    </row>
    <row r="12479">
      <c r="A12479" s="84"/>
      <c r="B12479" s="85"/>
      <c r="C12479" s="85"/>
      <c r="F12479" s="92"/>
      <c r="G12479" s="85"/>
    </row>
    <row r="12480">
      <c r="A12480" s="84"/>
      <c r="B12480" s="85"/>
      <c r="C12480" s="85"/>
      <c r="F12480" s="92"/>
      <c r="G12480" s="85"/>
    </row>
    <row r="12481">
      <c r="A12481" s="84"/>
      <c r="B12481" s="85"/>
      <c r="C12481" s="85"/>
      <c r="F12481" s="92"/>
      <c r="G12481" s="85"/>
    </row>
    <row r="12482">
      <c r="A12482" s="84"/>
      <c r="B12482" s="85"/>
      <c r="C12482" s="85"/>
      <c r="F12482" s="92"/>
      <c r="G12482" s="85"/>
    </row>
    <row r="12483">
      <c r="A12483" s="84"/>
      <c r="B12483" s="85"/>
      <c r="C12483" s="85"/>
      <c r="F12483" s="92"/>
      <c r="G12483" s="85"/>
    </row>
    <row r="12484">
      <c r="A12484" s="84"/>
      <c r="B12484" s="85"/>
      <c r="C12484" s="85"/>
      <c r="F12484" s="92"/>
      <c r="G12484" s="85"/>
    </row>
    <row r="12485">
      <c r="A12485" s="84"/>
      <c r="B12485" s="85"/>
      <c r="C12485" s="85"/>
      <c r="F12485" s="92"/>
      <c r="G12485" s="85"/>
    </row>
    <row r="12486">
      <c r="A12486" s="84"/>
      <c r="B12486" s="85"/>
      <c r="C12486" s="85"/>
      <c r="F12486" s="92"/>
      <c r="G12486" s="85"/>
    </row>
    <row r="12487">
      <c r="A12487" s="84"/>
      <c r="B12487" s="85"/>
      <c r="C12487" s="85"/>
      <c r="F12487" s="92"/>
      <c r="G12487" s="85"/>
    </row>
    <row r="12488">
      <c r="A12488" s="84"/>
      <c r="B12488" s="85"/>
      <c r="C12488" s="85"/>
      <c r="F12488" s="92"/>
      <c r="G12488" s="85"/>
    </row>
    <row r="12489">
      <c r="A12489" s="84"/>
      <c r="B12489" s="85"/>
      <c r="C12489" s="85"/>
      <c r="F12489" s="92"/>
      <c r="G12489" s="85"/>
    </row>
    <row r="12490">
      <c r="A12490" s="84"/>
      <c r="B12490" s="85"/>
      <c r="C12490" s="85"/>
      <c r="F12490" s="92"/>
      <c r="G12490" s="85"/>
    </row>
    <row r="12491">
      <c r="A12491" s="84"/>
      <c r="B12491" s="85"/>
      <c r="C12491" s="85"/>
      <c r="F12491" s="92"/>
      <c r="G12491" s="85"/>
    </row>
    <row r="12492">
      <c r="A12492" s="84"/>
      <c r="B12492" s="85"/>
      <c r="C12492" s="85"/>
      <c r="F12492" s="92"/>
      <c r="G12492" s="85"/>
    </row>
    <row r="12493">
      <c r="A12493" s="84"/>
      <c r="B12493" s="85"/>
      <c r="C12493" s="85"/>
      <c r="F12493" s="92"/>
      <c r="G12493" s="85"/>
    </row>
    <row r="12494">
      <c r="A12494" s="84"/>
      <c r="B12494" s="85"/>
      <c r="C12494" s="85"/>
      <c r="F12494" s="92"/>
      <c r="G12494" s="85"/>
    </row>
    <row r="12495">
      <c r="A12495" s="84"/>
      <c r="B12495" s="85"/>
      <c r="C12495" s="85"/>
      <c r="F12495" s="92"/>
      <c r="G12495" s="85"/>
    </row>
    <row r="12496">
      <c r="A12496" s="84"/>
      <c r="B12496" s="85"/>
      <c r="C12496" s="85"/>
      <c r="F12496" s="92"/>
      <c r="G12496" s="85"/>
    </row>
    <row r="12497">
      <c r="A12497" s="84"/>
      <c r="B12497" s="85"/>
      <c r="C12497" s="85"/>
      <c r="F12497" s="92"/>
      <c r="G12497" s="85"/>
    </row>
    <row r="12498">
      <c r="A12498" s="84"/>
      <c r="B12498" s="85"/>
      <c r="C12498" s="85"/>
      <c r="F12498" s="92"/>
      <c r="G12498" s="85"/>
    </row>
    <row r="12499">
      <c r="A12499" s="84"/>
      <c r="B12499" s="85"/>
      <c r="C12499" s="85"/>
      <c r="F12499" s="92"/>
      <c r="G12499" s="85"/>
    </row>
    <row r="12500">
      <c r="A12500" s="84"/>
      <c r="B12500" s="85"/>
      <c r="C12500" s="85"/>
      <c r="F12500" s="92"/>
      <c r="G12500" s="85"/>
    </row>
    <row r="12501">
      <c r="A12501" s="84"/>
      <c r="B12501" s="85"/>
      <c r="C12501" s="85"/>
      <c r="F12501" s="92"/>
      <c r="G12501" s="85"/>
    </row>
    <row r="12502">
      <c r="A12502" s="84"/>
      <c r="B12502" s="85"/>
      <c r="C12502" s="85"/>
      <c r="F12502" s="92"/>
      <c r="G12502" s="85"/>
    </row>
    <row r="12503">
      <c r="A12503" s="84"/>
      <c r="B12503" s="85"/>
      <c r="C12503" s="85"/>
      <c r="F12503" s="92"/>
      <c r="G12503" s="85"/>
    </row>
    <row r="12504">
      <c r="A12504" s="84"/>
      <c r="B12504" s="85"/>
      <c r="C12504" s="85"/>
      <c r="F12504" s="92"/>
      <c r="G12504" s="85"/>
    </row>
    <row r="12505">
      <c r="A12505" s="84"/>
      <c r="B12505" s="85"/>
      <c r="C12505" s="85"/>
      <c r="F12505" s="92"/>
      <c r="G12505" s="85"/>
    </row>
    <row r="12506">
      <c r="A12506" s="84"/>
      <c r="B12506" s="85"/>
      <c r="C12506" s="85"/>
      <c r="F12506" s="92"/>
      <c r="G12506" s="85"/>
    </row>
    <row r="12507">
      <c r="A12507" s="84"/>
      <c r="B12507" s="85"/>
      <c r="C12507" s="85"/>
      <c r="F12507" s="92"/>
      <c r="G12507" s="85"/>
    </row>
    <row r="12508">
      <c r="A12508" s="84"/>
      <c r="B12508" s="85"/>
      <c r="C12508" s="85"/>
      <c r="F12508" s="92"/>
      <c r="G12508" s="85"/>
    </row>
    <row r="12509">
      <c r="A12509" s="84"/>
      <c r="B12509" s="85"/>
      <c r="C12509" s="85"/>
      <c r="F12509" s="92"/>
      <c r="G12509" s="85"/>
    </row>
    <row r="12510">
      <c r="A12510" s="84"/>
      <c r="B12510" s="85"/>
      <c r="C12510" s="85"/>
      <c r="F12510" s="92"/>
      <c r="G12510" s="85"/>
    </row>
    <row r="12511">
      <c r="A12511" s="84"/>
      <c r="B12511" s="85"/>
      <c r="C12511" s="85"/>
      <c r="F12511" s="92"/>
      <c r="G12511" s="85"/>
    </row>
    <row r="12512">
      <c r="A12512" s="84"/>
      <c r="B12512" s="85"/>
      <c r="C12512" s="85"/>
      <c r="F12512" s="92"/>
      <c r="G12512" s="85"/>
    </row>
    <row r="12513">
      <c r="A12513" s="84"/>
      <c r="B12513" s="85"/>
      <c r="C12513" s="85"/>
      <c r="F12513" s="92"/>
      <c r="G12513" s="85"/>
    </row>
    <row r="12514">
      <c r="A12514" s="84"/>
      <c r="B12514" s="85"/>
      <c r="C12514" s="85"/>
      <c r="F12514" s="92"/>
      <c r="G12514" s="85"/>
    </row>
    <row r="12515">
      <c r="A12515" s="84"/>
      <c r="B12515" s="85"/>
      <c r="C12515" s="85"/>
      <c r="F12515" s="92"/>
      <c r="G12515" s="85"/>
    </row>
    <row r="12516">
      <c r="A12516" s="84"/>
      <c r="B12516" s="85"/>
      <c r="C12516" s="85"/>
      <c r="F12516" s="92"/>
      <c r="G12516" s="85"/>
    </row>
    <row r="12517">
      <c r="A12517" s="84"/>
      <c r="B12517" s="85"/>
      <c r="C12517" s="85"/>
      <c r="F12517" s="92"/>
      <c r="G12517" s="85"/>
    </row>
    <row r="12518">
      <c r="A12518" s="84"/>
      <c r="B12518" s="85"/>
      <c r="C12518" s="85"/>
      <c r="F12518" s="92"/>
      <c r="G12518" s="85"/>
    </row>
    <row r="12519">
      <c r="A12519" s="84"/>
      <c r="B12519" s="85"/>
      <c r="C12519" s="85"/>
      <c r="F12519" s="92"/>
      <c r="G12519" s="85"/>
    </row>
    <row r="12520">
      <c r="A12520" s="84"/>
      <c r="B12520" s="85"/>
      <c r="C12520" s="85"/>
      <c r="F12520" s="92"/>
      <c r="G12520" s="85"/>
    </row>
    <row r="12521">
      <c r="A12521" s="84"/>
      <c r="B12521" s="85"/>
      <c r="C12521" s="85"/>
      <c r="F12521" s="92"/>
      <c r="G12521" s="85"/>
    </row>
    <row r="12522">
      <c r="A12522" s="84"/>
      <c r="B12522" s="85"/>
      <c r="C12522" s="85"/>
      <c r="F12522" s="92"/>
      <c r="G12522" s="85"/>
    </row>
    <row r="12523">
      <c r="A12523" s="84"/>
      <c r="B12523" s="85"/>
      <c r="C12523" s="85"/>
      <c r="F12523" s="92"/>
      <c r="G12523" s="85"/>
    </row>
    <row r="12524">
      <c r="A12524" s="84"/>
      <c r="B12524" s="85"/>
      <c r="C12524" s="85"/>
      <c r="F12524" s="92"/>
      <c r="G12524" s="85"/>
    </row>
    <row r="12525">
      <c r="A12525" s="84"/>
      <c r="B12525" s="85"/>
      <c r="C12525" s="85"/>
      <c r="F12525" s="92"/>
      <c r="G12525" s="85"/>
    </row>
    <row r="12526">
      <c r="A12526" s="84"/>
      <c r="B12526" s="85"/>
      <c r="C12526" s="85"/>
      <c r="F12526" s="92"/>
      <c r="G12526" s="85"/>
    </row>
    <row r="12527">
      <c r="A12527" s="84"/>
      <c r="B12527" s="85"/>
      <c r="C12527" s="85"/>
      <c r="F12527" s="92"/>
      <c r="G12527" s="85"/>
    </row>
    <row r="12528">
      <c r="A12528" s="84"/>
      <c r="B12528" s="85"/>
      <c r="C12528" s="85"/>
      <c r="F12528" s="92"/>
      <c r="G12528" s="85"/>
    </row>
    <row r="12529">
      <c r="A12529" s="84"/>
      <c r="B12529" s="85"/>
      <c r="C12529" s="85"/>
      <c r="F12529" s="92"/>
      <c r="G12529" s="85"/>
    </row>
    <row r="12530">
      <c r="A12530" s="84"/>
      <c r="B12530" s="85"/>
      <c r="C12530" s="85"/>
      <c r="F12530" s="92"/>
      <c r="G12530" s="85"/>
    </row>
    <row r="12531">
      <c r="A12531" s="84"/>
      <c r="B12531" s="85"/>
      <c r="C12531" s="85"/>
      <c r="F12531" s="92"/>
      <c r="G12531" s="85"/>
    </row>
    <row r="12532">
      <c r="A12532" s="84"/>
      <c r="B12532" s="85"/>
      <c r="C12532" s="85"/>
      <c r="F12532" s="92"/>
      <c r="G12532" s="85"/>
    </row>
    <row r="12533">
      <c r="A12533" s="84"/>
      <c r="B12533" s="85"/>
      <c r="C12533" s="85"/>
      <c r="F12533" s="92"/>
      <c r="G12533" s="85"/>
    </row>
    <row r="12534">
      <c r="A12534" s="84"/>
      <c r="B12534" s="85"/>
      <c r="C12534" s="85"/>
      <c r="F12534" s="92"/>
      <c r="G12534" s="85"/>
    </row>
    <row r="12535">
      <c r="A12535" s="84"/>
      <c r="B12535" s="85"/>
      <c r="C12535" s="85"/>
      <c r="F12535" s="92"/>
      <c r="G12535" s="85"/>
    </row>
    <row r="12536">
      <c r="A12536" s="84"/>
      <c r="B12536" s="85"/>
      <c r="C12536" s="85"/>
      <c r="F12536" s="92"/>
      <c r="G12536" s="85"/>
    </row>
    <row r="12537">
      <c r="A12537" s="84"/>
      <c r="B12537" s="85"/>
      <c r="C12537" s="85"/>
      <c r="F12537" s="92"/>
      <c r="G12537" s="85"/>
    </row>
    <row r="12538">
      <c r="A12538" s="84"/>
      <c r="B12538" s="85"/>
      <c r="C12538" s="85"/>
      <c r="F12538" s="92"/>
      <c r="G12538" s="85"/>
    </row>
    <row r="12539">
      <c r="A12539" s="84"/>
      <c r="B12539" s="85"/>
      <c r="C12539" s="85"/>
      <c r="F12539" s="92"/>
      <c r="G12539" s="85"/>
    </row>
    <row r="12540">
      <c r="A12540" s="84"/>
      <c r="B12540" s="85"/>
      <c r="C12540" s="85"/>
      <c r="F12540" s="92"/>
      <c r="G12540" s="85"/>
    </row>
    <row r="12541">
      <c r="A12541" s="84"/>
      <c r="B12541" s="85"/>
      <c r="C12541" s="85"/>
      <c r="F12541" s="92"/>
      <c r="G12541" s="85"/>
    </row>
    <row r="12542">
      <c r="A12542" s="84"/>
      <c r="B12542" s="85"/>
      <c r="C12542" s="85"/>
      <c r="F12542" s="92"/>
      <c r="G12542" s="85"/>
    </row>
    <row r="12543">
      <c r="A12543" s="84"/>
      <c r="B12543" s="85"/>
      <c r="C12543" s="85"/>
      <c r="F12543" s="92"/>
      <c r="G12543" s="85"/>
    </row>
    <row r="12544">
      <c r="A12544" s="84"/>
      <c r="B12544" s="85"/>
      <c r="C12544" s="85"/>
      <c r="F12544" s="92"/>
      <c r="G12544" s="85"/>
    </row>
    <row r="12545">
      <c r="A12545" s="84"/>
      <c r="B12545" s="85"/>
      <c r="C12545" s="85"/>
      <c r="F12545" s="92"/>
      <c r="G12545" s="85"/>
    </row>
    <row r="12546">
      <c r="A12546" s="84"/>
      <c r="B12546" s="85"/>
      <c r="C12546" s="85"/>
      <c r="F12546" s="92"/>
      <c r="G12546" s="85"/>
    </row>
    <row r="12547">
      <c r="A12547" s="84"/>
      <c r="B12547" s="85"/>
      <c r="C12547" s="85"/>
      <c r="F12547" s="92"/>
      <c r="G12547" s="85"/>
    </row>
    <row r="12548">
      <c r="A12548" s="84"/>
      <c r="B12548" s="85"/>
      <c r="C12548" s="85"/>
      <c r="F12548" s="92"/>
      <c r="G12548" s="85"/>
    </row>
    <row r="12549">
      <c r="A12549" s="84"/>
      <c r="B12549" s="85"/>
      <c r="C12549" s="85"/>
      <c r="F12549" s="92"/>
      <c r="G12549" s="85"/>
    </row>
    <row r="12550">
      <c r="A12550" s="84"/>
      <c r="B12550" s="85"/>
      <c r="C12550" s="85"/>
      <c r="F12550" s="92"/>
      <c r="G12550" s="85"/>
    </row>
    <row r="12551">
      <c r="A12551" s="84"/>
      <c r="B12551" s="85"/>
      <c r="C12551" s="85"/>
      <c r="F12551" s="92"/>
      <c r="G12551" s="85"/>
    </row>
    <row r="12552">
      <c r="A12552" s="84"/>
      <c r="B12552" s="85"/>
      <c r="C12552" s="85"/>
      <c r="F12552" s="92"/>
      <c r="G12552" s="85"/>
    </row>
    <row r="12553">
      <c r="A12553" s="84"/>
      <c r="B12553" s="85"/>
      <c r="C12553" s="85"/>
      <c r="F12553" s="92"/>
      <c r="G12553" s="85"/>
    </row>
    <row r="12554">
      <c r="A12554" s="84"/>
      <c r="B12554" s="85"/>
      <c r="C12554" s="85"/>
      <c r="F12554" s="92"/>
      <c r="G12554" s="85"/>
    </row>
    <row r="12555">
      <c r="A12555" s="84"/>
      <c r="B12555" s="85"/>
      <c r="C12555" s="85"/>
      <c r="F12555" s="92"/>
      <c r="G12555" s="85"/>
    </row>
    <row r="12556">
      <c r="A12556" s="84"/>
      <c r="B12556" s="85"/>
      <c r="C12556" s="85"/>
      <c r="F12556" s="92"/>
      <c r="G12556" s="85"/>
    </row>
    <row r="12557">
      <c r="A12557" s="84"/>
      <c r="B12557" s="85"/>
      <c r="C12557" s="85"/>
      <c r="F12557" s="92"/>
      <c r="G12557" s="85"/>
    </row>
    <row r="12558">
      <c r="A12558" s="84"/>
      <c r="B12558" s="85"/>
      <c r="C12558" s="85"/>
      <c r="F12558" s="92"/>
      <c r="G12558" s="85"/>
    </row>
    <row r="12559">
      <c r="A12559" s="84"/>
      <c r="B12559" s="85"/>
      <c r="C12559" s="85"/>
      <c r="F12559" s="92"/>
      <c r="G12559" s="85"/>
    </row>
    <row r="12560">
      <c r="A12560" s="84"/>
      <c r="B12560" s="85"/>
      <c r="C12560" s="85"/>
      <c r="F12560" s="92"/>
      <c r="G12560" s="85"/>
    </row>
    <row r="12561">
      <c r="A12561" s="84"/>
      <c r="B12561" s="85"/>
      <c r="C12561" s="85"/>
      <c r="F12561" s="92"/>
      <c r="G12561" s="85"/>
    </row>
    <row r="12562">
      <c r="A12562" s="84"/>
      <c r="B12562" s="85"/>
      <c r="C12562" s="85"/>
      <c r="F12562" s="92"/>
      <c r="G12562" s="85"/>
    </row>
    <row r="12563">
      <c r="A12563" s="84"/>
      <c r="B12563" s="85"/>
      <c r="C12563" s="85"/>
      <c r="F12563" s="92"/>
      <c r="G12563" s="85"/>
    </row>
    <row r="12564">
      <c r="A12564" s="84"/>
      <c r="B12564" s="85"/>
      <c r="C12564" s="85"/>
      <c r="F12564" s="92"/>
      <c r="G12564" s="85"/>
    </row>
    <row r="12565">
      <c r="A12565" s="84"/>
      <c r="B12565" s="85"/>
      <c r="C12565" s="85"/>
      <c r="F12565" s="92"/>
      <c r="G12565" s="85"/>
    </row>
    <row r="12566">
      <c r="A12566" s="84"/>
      <c r="B12566" s="85"/>
      <c r="C12566" s="85"/>
      <c r="F12566" s="92"/>
      <c r="G12566" s="85"/>
    </row>
    <row r="12567">
      <c r="A12567" s="84"/>
      <c r="B12567" s="85"/>
      <c r="C12567" s="85"/>
      <c r="F12567" s="92"/>
      <c r="G12567" s="85"/>
    </row>
    <row r="12568">
      <c r="A12568" s="84"/>
      <c r="B12568" s="85"/>
      <c r="C12568" s="85"/>
      <c r="F12568" s="92"/>
      <c r="G12568" s="85"/>
    </row>
    <row r="12569">
      <c r="A12569" s="84"/>
      <c r="B12569" s="85"/>
      <c r="C12569" s="85"/>
      <c r="F12569" s="92"/>
      <c r="G12569" s="85"/>
    </row>
    <row r="12570">
      <c r="A12570" s="84"/>
      <c r="B12570" s="85"/>
      <c r="C12570" s="85"/>
      <c r="F12570" s="92"/>
      <c r="G12570" s="85"/>
    </row>
    <row r="12571">
      <c r="A12571" s="84"/>
      <c r="B12571" s="85"/>
      <c r="C12571" s="85"/>
      <c r="F12571" s="92"/>
      <c r="G12571" s="85"/>
    </row>
    <row r="12572">
      <c r="A12572" s="84"/>
      <c r="B12572" s="85"/>
      <c r="C12572" s="85"/>
      <c r="F12572" s="92"/>
      <c r="G12572" s="85"/>
    </row>
    <row r="12573">
      <c r="A12573" s="84"/>
      <c r="B12573" s="85"/>
      <c r="C12573" s="85"/>
      <c r="F12573" s="92"/>
      <c r="G12573" s="85"/>
    </row>
    <row r="12574">
      <c r="A12574" s="84"/>
      <c r="B12574" s="85"/>
      <c r="C12574" s="85"/>
      <c r="F12574" s="92"/>
      <c r="G12574" s="85"/>
    </row>
    <row r="12575">
      <c r="A12575" s="84"/>
      <c r="B12575" s="85"/>
      <c r="C12575" s="85"/>
      <c r="F12575" s="92"/>
      <c r="G12575" s="85"/>
    </row>
    <row r="12576">
      <c r="A12576" s="84"/>
      <c r="B12576" s="85"/>
      <c r="C12576" s="85"/>
      <c r="F12576" s="92"/>
      <c r="G12576" s="85"/>
    </row>
    <row r="12577">
      <c r="A12577" s="84"/>
      <c r="B12577" s="85"/>
      <c r="C12577" s="85"/>
      <c r="F12577" s="92"/>
      <c r="G12577" s="85"/>
    </row>
    <row r="12578">
      <c r="A12578" s="84"/>
      <c r="B12578" s="85"/>
      <c r="C12578" s="85"/>
      <c r="F12578" s="92"/>
      <c r="G12578" s="85"/>
    </row>
    <row r="12579">
      <c r="A12579" s="84"/>
      <c r="B12579" s="85"/>
      <c r="C12579" s="85"/>
      <c r="F12579" s="92"/>
      <c r="G12579" s="85"/>
    </row>
    <row r="12580">
      <c r="A12580" s="84"/>
      <c r="B12580" s="85"/>
      <c r="C12580" s="85"/>
      <c r="F12580" s="92"/>
      <c r="G12580" s="85"/>
    </row>
    <row r="12581">
      <c r="A12581" s="84"/>
      <c r="B12581" s="85"/>
      <c r="C12581" s="85"/>
      <c r="F12581" s="92"/>
      <c r="G12581" s="85"/>
    </row>
    <row r="12582">
      <c r="A12582" s="84"/>
      <c r="B12582" s="85"/>
      <c r="C12582" s="85"/>
      <c r="F12582" s="92"/>
      <c r="G12582" s="85"/>
    </row>
    <row r="12583">
      <c r="A12583" s="84"/>
      <c r="B12583" s="85"/>
      <c r="C12583" s="85"/>
      <c r="F12583" s="92"/>
      <c r="G12583" s="85"/>
    </row>
    <row r="12584">
      <c r="A12584" s="84"/>
      <c r="B12584" s="85"/>
      <c r="C12584" s="85"/>
      <c r="F12584" s="92"/>
      <c r="G12584" s="85"/>
    </row>
    <row r="12585">
      <c r="A12585" s="84"/>
      <c r="B12585" s="85"/>
      <c r="C12585" s="85"/>
      <c r="F12585" s="92"/>
      <c r="G12585" s="85"/>
    </row>
    <row r="12586">
      <c r="A12586" s="84"/>
      <c r="B12586" s="85"/>
      <c r="C12586" s="85"/>
      <c r="F12586" s="92"/>
      <c r="G12586" s="85"/>
    </row>
    <row r="12587">
      <c r="A12587" s="84"/>
      <c r="B12587" s="85"/>
      <c r="C12587" s="85"/>
      <c r="F12587" s="92"/>
      <c r="G12587" s="85"/>
    </row>
    <row r="12588">
      <c r="A12588" s="84"/>
      <c r="B12588" s="85"/>
      <c r="C12588" s="85"/>
      <c r="F12588" s="92"/>
      <c r="G12588" s="85"/>
    </row>
    <row r="12589">
      <c r="A12589" s="84"/>
      <c r="B12589" s="85"/>
      <c r="C12589" s="85"/>
      <c r="F12589" s="92"/>
      <c r="G12589" s="85"/>
    </row>
    <row r="12590">
      <c r="A12590" s="84"/>
      <c r="B12590" s="85"/>
      <c r="C12590" s="85"/>
      <c r="F12590" s="92"/>
      <c r="G12590" s="85"/>
    </row>
    <row r="12591">
      <c r="A12591" s="84"/>
      <c r="B12591" s="85"/>
      <c r="C12591" s="85"/>
      <c r="F12591" s="92"/>
      <c r="G12591" s="85"/>
    </row>
    <row r="12592">
      <c r="A12592" s="84"/>
      <c r="B12592" s="85"/>
      <c r="C12592" s="85"/>
      <c r="F12592" s="92"/>
      <c r="G12592" s="85"/>
    </row>
    <row r="12593">
      <c r="A12593" s="84"/>
      <c r="B12593" s="85"/>
      <c r="C12593" s="85"/>
      <c r="F12593" s="92"/>
      <c r="G12593" s="85"/>
    </row>
    <row r="12594">
      <c r="A12594" s="84"/>
      <c r="B12594" s="85"/>
      <c r="C12594" s="85"/>
      <c r="F12594" s="92"/>
      <c r="G12594" s="85"/>
    </row>
    <row r="12595">
      <c r="A12595" s="84"/>
      <c r="B12595" s="85"/>
      <c r="C12595" s="85"/>
      <c r="F12595" s="92"/>
      <c r="G12595" s="85"/>
    </row>
    <row r="12596">
      <c r="A12596" s="84"/>
      <c r="B12596" s="85"/>
      <c r="C12596" s="85"/>
      <c r="F12596" s="92"/>
      <c r="G12596" s="85"/>
    </row>
    <row r="12597">
      <c r="A12597" s="84"/>
      <c r="B12597" s="85"/>
      <c r="C12597" s="85"/>
      <c r="F12597" s="92"/>
      <c r="G12597" s="85"/>
    </row>
    <row r="12598">
      <c r="A12598" s="84"/>
      <c r="B12598" s="85"/>
      <c r="C12598" s="85"/>
      <c r="F12598" s="92"/>
      <c r="G12598" s="85"/>
    </row>
    <row r="12599">
      <c r="A12599" s="84"/>
      <c r="B12599" s="85"/>
      <c r="C12599" s="85"/>
      <c r="F12599" s="92"/>
      <c r="G12599" s="85"/>
    </row>
    <row r="12600">
      <c r="A12600" s="84"/>
      <c r="B12600" s="85"/>
      <c r="C12600" s="85"/>
      <c r="F12600" s="92"/>
      <c r="G12600" s="85"/>
    </row>
    <row r="12601">
      <c r="A12601" s="84"/>
      <c r="B12601" s="85"/>
      <c r="C12601" s="85"/>
      <c r="F12601" s="92"/>
      <c r="G12601" s="85"/>
    </row>
    <row r="12602">
      <c r="A12602" s="84"/>
      <c r="B12602" s="85"/>
      <c r="C12602" s="85"/>
      <c r="F12602" s="92"/>
      <c r="G12602" s="85"/>
    </row>
    <row r="12603">
      <c r="A12603" s="84"/>
      <c r="B12603" s="85"/>
      <c r="C12603" s="85"/>
      <c r="F12603" s="92"/>
      <c r="G12603" s="85"/>
    </row>
    <row r="12604">
      <c r="A12604" s="84"/>
      <c r="B12604" s="85"/>
      <c r="C12604" s="85"/>
      <c r="F12604" s="92"/>
      <c r="G12604" s="85"/>
    </row>
    <row r="12605">
      <c r="A12605" s="84"/>
      <c r="B12605" s="85"/>
      <c r="C12605" s="85"/>
      <c r="F12605" s="92"/>
      <c r="G12605" s="85"/>
    </row>
    <row r="12606">
      <c r="A12606" s="84"/>
      <c r="B12606" s="85"/>
      <c r="C12606" s="85"/>
      <c r="F12606" s="92"/>
      <c r="G12606" s="85"/>
    </row>
    <row r="12607">
      <c r="A12607" s="84"/>
      <c r="B12607" s="85"/>
      <c r="C12607" s="85"/>
      <c r="F12607" s="92"/>
      <c r="G12607" s="85"/>
    </row>
    <row r="12608">
      <c r="A12608" s="84"/>
      <c r="B12608" s="85"/>
      <c r="C12608" s="85"/>
      <c r="F12608" s="92"/>
      <c r="G12608" s="85"/>
    </row>
    <row r="12609">
      <c r="A12609" s="84"/>
      <c r="B12609" s="85"/>
      <c r="C12609" s="85"/>
      <c r="F12609" s="92"/>
      <c r="G12609" s="85"/>
    </row>
    <row r="12610">
      <c r="A12610" s="84"/>
      <c r="B12610" s="85"/>
      <c r="C12610" s="85"/>
      <c r="F12610" s="92"/>
      <c r="G12610" s="85"/>
    </row>
    <row r="12611">
      <c r="A12611" s="84"/>
      <c r="B12611" s="85"/>
      <c r="C12611" s="85"/>
      <c r="F12611" s="92"/>
      <c r="G12611" s="85"/>
    </row>
    <row r="12612">
      <c r="A12612" s="84"/>
      <c r="B12612" s="85"/>
      <c r="C12612" s="85"/>
      <c r="F12612" s="92"/>
      <c r="G12612" s="85"/>
    </row>
    <row r="12613">
      <c r="A12613" s="84"/>
      <c r="B12613" s="85"/>
      <c r="C12613" s="85"/>
      <c r="F12613" s="92"/>
      <c r="G12613" s="85"/>
    </row>
    <row r="12614">
      <c r="A12614" s="84"/>
      <c r="B12614" s="85"/>
      <c r="C12614" s="85"/>
      <c r="F12614" s="92"/>
      <c r="G12614" s="85"/>
    </row>
    <row r="12615">
      <c r="A12615" s="84"/>
      <c r="B12615" s="85"/>
      <c r="C12615" s="85"/>
      <c r="F12615" s="92"/>
      <c r="G12615" s="85"/>
    </row>
    <row r="12616">
      <c r="A12616" s="84"/>
      <c r="B12616" s="85"/>
      <c r="C12616" s="85"/>
      <c r="F12616" s="92"/>
      <c r="G12616" s="85"/>
    </row>
    <row r="12617">
      <c r="A12617" s="84"/>
      <c r="B12617" s="85"/>
      <c r="C12617" s="85"/>
      <c r="F12617" s="92"/>
      <c r="G12617" s="85"/>
    </row>
    <row r="12618">
      <c r="A12618" s="84"/>
      <c r="B12618" s="85"/>
      <c r="C12618" s="85"/>
      <c r="F12618" s="92"/>
      <c r="G12618" s="85"/>
    </row>
    <row r="12619">
      <c r="A12619" s="84"/>
      <c r="B12619" s="85"/>
      <c r="C12619" s="85"/>
      <c r="F12619" s="92"/>
      <c r="G12619" s="85"/>
    </row>
    <row r="12620">
      <c r="A12620" s="84"/>
      <c r="B12620" s="85"/>
      <c r="C12620" s="85"/>
      <c r="F12620" s="92"/>
      <c r="G12620" s="85"/>
    </row>
    <row r="12621">
      <c r="A12621" s="84"/>
      <c r="B12621" s="85"/>
      <c r="C12621" s="85"/>
      <c r="F12621" s="92"/>
      <c r="G12621" s="85"/>
    </row>
    <row r="12622">
      <c r="A12622" s="84"/>
      <c r="B12622" s="85"/>
      <c r="C12622" s="85"/>
      <c r="F12622" s="92"/>
      <c r="G12622" s="85"/>
    </row>
    <row r="12623">
      <c r="A12623" s="84"/>
      <c r="B12623" s="85"/>
      <c r="C12623" s="85"/>
      <c r="F12623" s="92"/>
      <c r="G12623" s="85"/>
    </row>
    <row r="12624">
      <c r="A12624" s="84"/>
      <c r="B12624" s="85"/>
      <c r="C12624" s="85"/>
      <c r="F12624" s="92"/>
      <c r="G12624" s="85"/>
    </row>
    <row r="12625">
      <c r="A12625" s="84"/>
      <c r="B12625" s="85"/>
      <c r="C12625" s="85"/>
      <c r="F12625" s="92"/>
      <c r="G12625" s="85"/>
    </row>
    <row r="12626">
      <c r="A12626" s="84"/>
      <c r="B12626" s="85"/>
      <c r="C12626" s="85"/>
      <c r="F12626" s="92"/>
      <c r="G12626" s="85"/>
    </row>
    <row r="12627">
      <c r="A12627" s="84"/>
      <c r="B12627" s="85"/>
      <c r="C12627" s="85"/>
      <c r="F12627" s="92"/>
      <c r="G12627" s="85"/>
    </row>
    <row r="12628">
      <c r="A12628" s="84"/>
      <c r="B12628" s="85"/>
      <c r="C12628" s="85"/>
      <c r="F12628" s="92"/>
      <c r="G12628" s="85"/>
    </row>
    <row r="12629">
      <c r="A12629" s="84"/>
      <c r="B12629" s="85"/>
      <c r="C12629" s="85"/>
      <c r="F12629" s="92"/>
      <c r="G12629" s="85"/>
    </row>
    <row r="12630">
      <c r="A12630" s="84"/>
      <c r="B12630" s="85"/>
      <c r="C12630" s="85"/>
      <c r="F12630" s="92"/>
      <c r="G12630" s="85"/>
    </row>
    <row r="12631">
      <c r="A12631" s="84"/>
      <c r="B12631" s="85"/>
      <c r="C12631" s="85"/>
      <c r="F12631" s="92"/>
      <c r="G12631" s="85"/>
    </row>
    <row r="12632">
      <c r="A12632" s="84"/>
      <c r="B12632" s="85"/>
      <c r="C12632" s="85"/>
      <c r="F12632" s="92"/>
      <c r="G12632" s="85"/>
    </row>
    <row r="12633">
      <c r="A12633" s="84"/>
      <c r="B12633" s="85"/>
      <c r="C12633" s="85"/>
      <c r="F12633" s="92"/>
      <c r="G12633" s="85"/>
    </row>
    <row r="12634">
      <c r="A12634" s="84"/>
      <c r="B12634" s="85"/>
      <c r="C12634" s="85"/>
      <c r="F12634" s="92"/>
      <c r="G12634" s="85"/>
    </row>
    <row r="12635">
      <c r="A12635" s="84"/>
      <c r="B12635" s="85"/>
      <c r="C12635" s="85"/>
      <c r="F12635" s="92"/>
      <c r="G12635" s="85"/>
    </row>
    <row r="12636">
      <c r="A12636" s="84"/>
      <c r="B12636" s="85"/>
      <c r="C12636" s="85"/>
      <c r="F12636" s="92"/>
      <c r="G12636" s="85"/>
    </row>
    <row r="12637">
      <c r="A12637" s="84"/>
      <c r="B12637" s="85"/>
      <c r="C12637" s="85"/>
      <c r="F12637" s="92"/>
      <c r="G12637" s="85"/>
    </row>
    <row r="12638">
      <c r="A12638" s="84"/>
      <c r="B12638" s="85"/>
      <c r="C12638" s="85"/>
      <c r="F12638" s="92"/>
      <c r="G12638" s="85"/>
    </row>
    <row r="12639">
      <c r="A12639" s="84"/>
      <c r="B12639" s="85"/>
      <c r="C12639" s="85"/>
      <c r="F12639" s="92"/>
      <c r="G12639" s="85"/>
    </row>
    <row r="12640">
      <c r="A12640" s="84"/>
      <c r="B12640" s="85"/>
      <c r="C12640" s="85"/>
      <c r="F12640" s="92"/>
      <c r="G12640" s="85"/>
    </row>
    <row r="12641">
      <c r="A12641" s="84"/>
      <c r="B12641" s="85"/>
      <c r="C12641" s="85"/>
      <c r="F12641" s="92"/>
      <c r="G12641" s="85"/>
    </row>
    <row r="12642">
      <c r="A12642" s="84"/>
      <c r="B12642" s="85"/>
      <c r="C12642" s="85"/>
      <c r="F12642" s="92"/>
      <c r="G12642" s="85"/>
    </row>
    <row r="12643">
      <c r="A12643" s="84"/>
      <c r="B12643" s="85"/>
      <c r="C12643" s="85"/>
      <c r="F12643" s="92"/>
      <c r="G12643" s="85"/>
    </row>
    <row r="12644">
      <c r="A12644" s="84"/>
      <c r="B12644" s="85"/>
      <c r="C12644" s="85"/>
      <c r="F12644" s="92"/>
      <c r="G12644" s="85"/>
    </row>
    <row r="12645">
      <c r="A12645" s="84"/>
      <c r="B12645" s="85"/>
      <c r="C12645" s="85"/>
      <c r="F12645" s="92"/>
      <c r="G12645" s="85"/>
    </row>
    <row r="12646">
      <c r="A12646" s="84"/>
      <c r="B12646" s="85"/>
      <c r="C12646" s="85"/>
      <c r="F12646" s="92"/>
      <c r="G12646" s="85"/>
    </row>
    <row r="12647">
      <c r="A12647" s="84"/>
      <c r="B12647" s="85"/>
      <c r="C12647" s="85"/>
      <c r="F12647" s="92"/>
      <c r="G12647" s="85"/>
    </row>
    <row r="12648">
      <c r="A12648" s="84"/>
      <c r="B12648" s="85"/>
      <c r="C12648" s="85"/>
      <c r="F12648" s="92"/>
      <c r="G12648" s="85"/>
    </row>
    <row r="12649">
      <c r="A12649" s="84"/>
      <c r="B12649" s="85"/>
      <c r="C12649" s="85"/>
      <c r="F12649" s="92"/>
      <c r="G12649" s="85"/>
    </row>
    <row r="12650">
      <c r="A12650" s="84"/>
      <c r="B12650" s="85"/>
      <c r="C12650" s="85"/>
      <c r="F12650" s="92"/>
      <c r="G12650" s="85"/>
    </row>
    <row r="12651">
      <c r="A12651" s="84"/>
      <c r="B12651" s="85"/>
      <c r="C12651" s="85"/>
      <c r="F12651" s="92"/>
      <c r="G12651" s="85"/>
    </row>
    <row r="12652">
      <c r="A12652" s="84"/>
      <c r="B12652" s="85"/>
      <c r="C12652" s="85"/>
      <c r="F12652" s="92"/>
      <c r="G12652" s="85"/>
    </row>
    <row r="12653">
      <c r="A12653" s="84"/>
      <c r="B12653" s="85"/>
      <c r="C12653" s="85"/>
      <c r="F12653" s="92"/>
      <c r="G12653" s="85"/>
    </row>
    <row r="12654">
      <c r="A12654" s="84"/>
      <c r="B12654" s="85"/>
      <c r="C12654" s="85"/>
      <c r="F12654" s="92"/>
      <c r="G12654" s="85"/>
    </row>
    <row r="12655">
      <c r="A12655" s="84"/>
      <c r="B12655" s="85"/>
      <c r="C12655" s="85"/>
      <c r="F12655" s="92"/>
      <c r="G12655" s="85"/>
    </row>
    <row r="12656">
      <c r="A12656" s="84"/>
      <c r="B12656" s="85"/>
      <c r="C12656" s="85"/>
      <c r="F12656" s="92"/>
      <c r="G12656" s="85"/>
    </row>
    <row r="12657">
      <c r="A12657" s="84"/>
      <c r="B12657" s="85"/>
      <c r="C12657" s="85"/>
      <c r="F12657" s="92"/>
      <c r="G12657" s="85"/>
    </row>
    <row r="12658">
      <c r="A12658" s="84"/>
      <c r="B12658" s="85"/>
      <c r="C12658" s="85"/>
      <c r="F12658" s="92"/>
      <c r="G12658" s="85"/>
    </row>
    <row r="12659">
      <c r="A12659" s="84"/>
      <c r="B12659" s="85"/>
      <c r="C12659" s="85"/>
      <c r="F12659" s="92"/>
      <c r="G12659" s="85"/>
    </row>
    <row r="12660">
      <c r="A12660" s="84"/>
      <c r="B12660" s="85"/>
      <c r="C12660" s="85"/>
      <c r="F12660" s="92"/>
      <c r="G12660" s="85"/>
    </row>
    <row r="12661">
      <c r="A12661" s="84"/>
      <c r="B12661" s="85"/>
      <c r="C12661" s="85"/>
      <c r="F12661" s="92"/>
      <c r="G12661" s="85"/>
    </row>
    <row r="12662">
      <c r="A12662" s="84"/>
      <c r="B12662" s="85"/>
      <c r="C12662" s="85"/>
      <c r="F12662" s="92"/>
      <c r="G12662" s="85"/>
    </row>
    <row r="12663">
      <c r="A12663" s="84"/>
      <c r="B12663" s="85"/>
      <c r="C12663" s="85"/>
      <c r="F12663" s="92"/>
      <c r="G12663" s="85"/>
    </row>
    <row r="12664">
      <c r="A12664" s="84"/>
      <c r="B12664" s="85"/>
      <c r="C12664" s="85"/>
      <c r="F12664" s="92"/>
      <c r="G12664" s="85"/>
    </row>
    <row r="12665">
      <c r="A12665" s="84"/>
      <c r="B12665" s="85"/>
      <c r="C12665" s="85"/>
      <c r="F12665" s="92"/>
      <c r="G12665" s="85"/>
    </row>
    <row r="12666">
      <c r="A12666" s="84"/>
      <c r="B12666" s="85"/>
      <c r="C12666" s="85"/>
      <c r="F12666" s="92"/>
      <c r="G12666" s="85"/>
    </row>
    <row r="12667">
      <c r="A12667" s="84"/>
      <c r="B12667" s="85"/>
      <c r="C12667" s="85"/>
      <c r="F12667" s="92"/>
      <c r="G12667" s="85"/>
    </row>
    <row r="12668">
      <c r="A12668" s="84"/>
      <c r="B12668" s="85"/>
      <c r="C12668" s="85"/>
      <c r="F12668" s="92"/>
      <c r="G12668" s="85"/>
    </row>
    <row r="12669">
      <c r="A12669" s="84"/>
      <c r="B12669" s="85"/>
      <c r="C12669" s="85"/>
      <c r="F12669" s="92"/>
      <c r="G12669" s="85"/>
    </row>
    <row r="12670">
      <c r="A12670" s="84"/>
      <c r="B12670" s="85"/>
      <c r="C12670" s="85"/>
      <c r="F12670" s="92"/>
      <c r="G12670" s="85"/>
    </row>
    <row r="12671">
      <c r="A12671" s="84"/>
      <c r="B12671" s="85"/>
      <c r="C12671" s="85"/>
      <c r="F12671" s="92"/>
      <c r="G12671" s="85"/>
    </row>
    <row r="12672">
      <c r="A12672" s="84"/>
      <c r="B12672" s="85"/>
      <c r="C12672" s="85"/>
      <c r="F12672" s="92"/>
      <c r="G12672" s="85"/>
    </row>
    <row r="12673">
      <c r="A12673" s="84"/>
      <c r="B12673" s="85"/>
      <c r="C12673" s="85"/>
      <c r="F12673" s="92"/>
      <c r="G12673" s="85"/>
    </row>
    <row r="12674">
      <c r="A12674" s="84"/>
      <c r="B12674" s="85"/>
      <c r="C12674" s="85"/>
      <c r="F12674" s="92"/>
      <c r="G12674" s="85"/>
    </row>
    <row r="12675">
      <c r="A12675" s="84"/>
      <c r="B12675" s="85"/>
      <c r="C12675" s="85"/>
      <c r="F12675" s="92"/>
      <c r="G12675" s="85"/>
    </row>
    <row r="12676">
      <c r="A12676" s="84"/>
      <c r="B12676" s="85"/>
      <c r="C12676" s="85"/>
      <c r="F12676" s="92"/>
      <c r="G12676" s="85"/>
    </row>
    <row r="12677">
      <c r="A12677" s="84"/>
      <c r="B12677" s="85"/>
      <c r="C12677" s="85"/>
      <c r="F12677" s="92"/>
      <c r="G12677" s="85"/>
    </row>
    <row r="12678">
      <c r="A12678" s="84"/>
      <c r="B12678" s="85"/>
      <c r="C12678" s="85"/>
      <c r="F12678" s="92"/>
      <c r="G12678" s="85"/>
    </row>
    <row r="12679">
      <c r="A12679" s="84"/>
      <c r="B12679" s="85"/>
      <c r="C12679" s="85"/>
      <c r="F12679" s="92"/>
      <c r="G12679" s="85"/>
    </row>
    <row r="12680">
      <c r="A12680" s="84"/>
      <c r="B12680" s="85"/>
      <c r="C12680" s="85"/>
      <c r="F12680" s="92"/>
      <c r="G12680" s="85"/>
    </row>
    <row r="12681">
      <c r="A12681" s="84"/>
      <c r="B12681" s="85"/>
      <c r="C12681" s="85"/>
      <c r="F12681" s="92"/>
      <c r="G12681" s="85"/>
    </row>
    <row r="12682">
      <c r="A12682" s="84"/>
      <c r="B12682" s="85"/>
      <c r="C12682" s="85"/>
      <c r="F12682" s="92"/>
      <c r="G12682" s="85"/>
    </row>
    <row r="12683">
      <c r="A12683" s="84"/>
      <c r="B12683" s="85"/>
      <c r="C12683" s="85"/>
      <c r="F12683" s="92"/>
      <c r="G12683" s="85"/>
    </row>
    <row r="12684">
      <c r="A12684" s="84"/>
      <c r="B12684" s="85"/>
      <c r="C12684" s="85"/>
      <c r="F12684" s="92"/>
      <c r="G12684" s="85"/>
    </row>
    <row r="12685">
      <c r="A12685" s="84"/>
      <c r="B12685" s="85"/>
      <c r="C12685" s="85"/>
      <c r="F12685" s="92"/>
      <c r="G12685" s="85"/>
    </row>
    <row r="12686">
      <c r="A12686" s="84"/>
      <c r="B12686" s="85"/>
      <c r="C12686" s="85"/>
      <c r="F12686" s="92"/>
      <c r="G12686" s="85"/>
    </row>
    <row r="12687">
      <c r="A12687" s="84"/>
      <c r="B12687" s="85"/>
      <c r="C12687" s="85"/>
      <c r="F12687" s="92"/>
      <c r="G12687" s="85"/>
    </row>
    <row r="12688">
      <c r="A12688" s="84"/>
      <c r="B12688" s="85"/>
      <c r="C12688" s="85"/>
      <c r="F12688" s="92"/>
      <c r="G12688" s="85"/>
    </row>
    <row r="12689">
      <c r="A12689" s="84"/>
      <c r="B12689" s="85"/>
      <c r="C12689" s="85"/>
      <c r="F12689" s="92"/>
      <c r="G12689" s="85"/>
    </row>
    <row r="12690">
      <c r="A12690" s="84"/>
      <c r="B12690" s="85"/>
      <c r="C12690" s="85"/>
      <c r="F12690" s="92"/>
      <c r="G12690" s="85"/>
    </row>
    <row r="12691">
      <c r="A12691" s="84"/>
      <c r="B12691" s="85"/>
      <c r="C12691" s="85"/>
      <c r="F12691" s="92"/>
      <c r="G12691" s="85"/>
    </row>
    <row r="12692">
      <c r="A12692" s="84"/>
      <c r="B12692" s="85"/>
      <c r="C12692" s="85"/>
      <c r="F12692" s="92"/>
      <c r="G12692" s="85"/>
    </row>
    <row r="12693">
      <c r="A12693" s="84"/>
      <c r="B12693" s="85"/>
      <c r="C12693" s="85"/>
      <c r="F12693" s="92"/>
      <c r="G12693" s="85"/>
    </row>
    <row r="12694">
      <c r="A12694" s="84"/>
      <c r="B12694" s="85"/>
      <c r="C12694" s="85"/>
      <c r="F12694" s="92"/>
      <c r="G12694" s="85"/>
    </row>
    <row r="12695">
      <c r="A12695" s="84"/>
      <c r="B12695" s="85"/>
      <c r="C12695" s="85"/>
      <c r="F12695" s="92"/>
      <c r="G12695" s="85"/>
    </row>
    <row r="12696">
      <c r="A12696" s="84"/>
      <c r="B12696" s="85"/>
      <c r="C12696" s="85"/>
      <c r="F12696" s="92"/>
      <c r="G12696" s="85"/>
    </row>
    <row r="12697">
      <c r="A12697" s="84"/>
      <c r="B12697" s="85"/>
      <c r="C12697" s="85"/>
      <c r="F12697" s="92"/>
      <c r="G12697" s="85"/>
    </row>
    <row r="12698">
      <c r="A12698" s="84"/>
      <c r="B12698" s="85"/>
      <c r="C12698" s="85"/>
      <c r="F12698" s="92"/>
      <c r="G12698" s="85"/>
    </row>
    <row r="12699">
      <c r="A12699" s="84"/>
      <c r="B12699" s="85"/>
      <c r="C12699" s="85"/>
      <c r="F12699" s="92"/>
      <c r="G12699" s="85"/>
    </row>
    <row r="12700">
      <c r="A12700" s="84"/>
      <c r="B12700" s="85"/>
      <c r="C12700" s="85"/>
      <c r="F12700" s="92"/>
      <c r="G12700" s="85"/>
    </row>
    <row r="12701">
      <c r="A12701" s="84"/>
      <c r="B12701" s="85"/>
      <c r="C12701" s="85"/>
      <c r="F12701" s="92"/>
      <c r="G12701" s="85"/>
    </row>
    <row r="12702">
      <c r="A12702" s="84"/>
      <c r="B12702" s="85"/>
      <c r="C12702" s="85"/>
      <c r="F12702" s="92"/>
      <c r="G12702" s="85"/>
    </row>
    <row r="12703">
      <c r="A12703" s="84"/>
      <c r="B12703" s="85"/>
      <c r="C12703" s="85"/>
      <c r="F12703" s="92"/>
      <c r="G12703" s="85"/>
    </row>
    <row r="12704">
      <c r="A12704" s="84"/>
      <c r="B12704" s="85"/>
      <c r="C12704" s="85"/>
      <c r="F12704" s="92"/>
      <c r="G12704" s="85"/>
    </row>
    <row r="12705">
      <c r="A12705" s="84"/>
      <c r="B12705" s="85"/>
      <c r="C12705" s="85"/>
      <c r="F12705" s="92"/>
      <c r="G12705" s="85"/>
    </row>
    <row r="12706">
      <c r="A12706" s="84"/>
      <c r="B12706" s="85"/>
      <c r="C12706" s="85"/>
      <c r="F12706" s="92"/>
      <c r="G12706" s="85"/>
    </row>
    <row r="12707">
      <c r="A12707" s="84"/>
      <c r="B12707" s="85"/>
      <c r="C12707" s="85"/>
      <c r="F12707" s="92"/>
      <c r="G12707" s="85"/>
    </row>
    <row r="12708">
      <c r="A12708" s="84"/>
      <c r="B12708" s="85"/>
      <c r="C12708" s="85"/>
      <c r="F12708" s="92"/>
      <c r="G12708" s="85"/>
    </row>
    <row r="12709">
      <c r="A12709" s="84"/>
      <c r="B12709" s="85"/>
      <c r="C12709" s="85"/>
      <c r="F12709" s="92"/>
      <c r="G12709" s="85"/>
    </row>
    <row r="12710">
      <c r="A12710" s="84"/>
      <c r="B12710" s="85"/>
      <c r="C12710" s="85"/>
      <c r="F12710" s="92"/>
      <c r="G12710" s="85"/>
    </row>
    <row r="12711">
      <c r="A12711" s="84"/>
      <c r="B12711" s="85"/>
      <c r="C12711" s="85"/>
      <c r="F12711" s="92"/>
      <c r="G12711" s="85"/>
    </row>
    <row r="12712">
      <c r="A12712" s="84"/>
      <c r="B12712" s="85"/>
      <c r="C12712" s="85"/>
      <c r="F12712" s="92"/>
      <c r="G12712" s="85"/>
    </row>
    <row r="12713">
      <c r="A12713" s="84"/>
      <c r="B12713" s="85"/>
      <c r="C12713" s="85"/>
      <c r="F12713" s="92"/>
      <c r="G12713" s="85"/>
    </row>
    <row r="12714">
      <c r="A12714" s="84"/>
      <c r="B12714" s="85"/>
      <c r="C12714" s="85"/>
      <c r="F12714" s="92"/>
      <c r="G12714" s="85"/>
    </row>
    <row r="12715">
      <c r="A12715" s="84"/>
      <c r="B12715" s="85"/>
      <c r="C12715" s="85"/>
      <c r="F12715" s="92"/>
      <c r="G12715" s="85"/>
    </row>
    <row r="12716">
      <c r="A12716" s="84"/>
      <c r="B12716" s="85"/>
      <c r="C12716" s="85"/>
      <c r="F12716" s="92"/>
      <c r="G12716" s="85"/>
    </row>
    <row r="12717">
      <c r="A12717" s="84"/>
      <c r="B12717" s="85"/>
      <c r="C12717" s="85"/>
      <c r="F12717" s="92"/>
      <c r="G12717" s="85"/>
    </row>
    <row r="12718">
      <c r="A12718" s="84"/>
      <c r="B12718" s="85"/>
      <c r="C12718" s="85"/>
      <c r="F12718" s="92"/>
      <c r="G12718" s="85"/>
    </row>
    <row r="12719">
      <c r="A12719" s="84"/>
      <c r="B12719" s="85"/>
      <c r="C12719" s="85"/>
      <c r="F12719" s="92"/>
      <c r="G12719" s="85"/>
    </row>
    <row r="12720">
      <c r="A12720" s="84"/>
      <c r="B12720" s="85"/>
      <c r="C12720" s="85"/>
      <c r="F12720" s="92"/>
      <c r="G12720" s="85"/>
    </row>
    <row r="12721">
      <c r="A12721" s="84"/>
      <c r="B12721" s="85"/>
      <c r="C12721" s="85"/>
      <c r="F12721" s="92"/>
      <c r="G12721" s="85"/>
    </row>
    <row r="12722">
      <c r="A12722" s="84"/>
      <c r="B12722" s="85"/>
      <c r="C12722" s="85"/>
      <c r="F12722" s="92"/>
      <c r="G12722" s="85"/>
    </row>
    <row r="12723">
      <c r="A12723" s="84"/>
      <c r="B12723" s="85"/>
      <c r="C12723" s="85"/>
      <c r="F12723" s="92"/>
      <c r="G12723" s="85"/>
    </row>
    <row r="12724">
      <c r="A12724" s="84"/>
      <c r="B12724" s="85"/>
      <c r="C12724" s="85"/>
      <c r="F12724" s="92"/>
      <c r="G12724" s="85"/>
    </row>
    <row r="12725">
      <c r="A12725" s="84"/>
      <c r="B12725" s="85"/>
      <c r="C12725" s="85"/>
      <c r="F12725" s="92"/>
      <c r="G12725" s="85"/>
    </row>
    <row r="12726">
      <c r="A12726" s="84"/>
      <c r="B12726" s="85"/>
      <c r="C12726" s="85"/>
      <c r="F12726" s="92"/>
      <c r="G12726" s="85"/>
    </row>
    <row r="12727">
      <c r="A12727" s="84"/>
      <c r="B12727" s="85"/>
      <c r="C12727" s="85"/>
      <c r="F12727" s="92"/>
      <c r="G12727" s="85"/>
    </row>
    <row r="12728">
      <c r="A12728" s="84"/>
      <c r="B12728" s="85"/>
      <c r="C12728" s="85"/>
      <c r="F12728" s="92"/>
      <c r="G12728" s="85"/>
    </row>
    <row r="12729">
      <c r="A12729" s="84"/>
      <c r="B12729" s="85"/>
      <c r="C12729" s="85"/>
      <c r="F12729" s="92"/>
      <c r="G12729" s="85"/>
    </row>
    <row r="12730">
      <c r="A12730" s="84"/>
      <c r="B12730" s="85"/>
      <c r="C12730" s="85"/>
      <c r="F12730" s="92"/>
      <c r="G12730" s="85"/>
    </row>
    <row r="12731">
      <c r="A12731" s="84"/>
      <c r="B12731" s="85"/>
      <c r="C12731" s="85"/>
      <c r="F12731" s="92"/>
      <c r="G12731" s="85"/>
    </row>
    <row r="12732">
      <c r="A12732" s="84"/>
      <c r="B12732" s="85"/>
      <c r="C12732" s="85"/>
      <c r="F12732" s="92"/>
      <c r="G12732" s="85"/>
    </row>
    <row r="12733">
      <c r="A12733" s="84"/>
      <c r="B12733" s="85"/>
      <c r="C12733" s="85"/>
      <c r="F12733" s="92"/>
      <c r="G12733" s="85"/>
    </row>
    <row r="12734">
      <c r="A12734" s="84"/>
      <c r="B12734" s="85"/>
      <c r="C12734" s="85"/>
      <c r="F12734" s="92"/>
      <c r="G12734" s="85"/>
    </row>
    <row r="12735">
      <c r="A12735" s="84"/>
      <c r="B12735" s="85"/>
      <c r="C12735" s="85"/>
      <c r="F12735" s="92"/>
      <c r="G12735" s="85"/>
    </row>
    <row r="12736">
      <c r="A12736" s="84"/>
      <c r="B12736" s="85"/>
      <c r="C12736" s="85"/>
      <c r="F12736" s="92"/>
      <c r="G12736" s="85"/>
    </row>
    <row r="12737">
      <c r="A12737" s="84"/>
      <c r="B12737" s="85"/>
      <c r="C12737" s="85"/>
      <c r="F12737" s="92"/>
      <c r="G12737" s="85"/>
    </row>
    <row r="12738">
      <c r="A12738" s="84"/>
      <c r="B12738" s="85"/>
      <c r="C12738" s="85"/>
      <c r="F12738" s="92"/>
      <c r="G12738" s="85"/>
    </row>
    <row r="12739">
      <c r="A12739" s="84"/>
      <c r="B12739" s="85"/>
      <c r="C12739" s="85"/>
      <c r="F12739" s="92"/>
      <c r="G12739" s="85"/>
    </row>
    <row r="12740">
      <c r="A12740" s="84"/>
      <c r="B12740" s="85"/>
      <c r="C12740" s="85"/>
      <c r="F12740" s="92"/>
      <c r="G12740" s="85"/>
    </row>
    <row r="12741">
      <c r="A12741" s="84"/>
      <c r="B12741" s="85"/>
      <c r="C12741" s="85"/>
      <c r="F12741" s="92"/>
      <c r="G12741" s="85"/>
    </row>
    <row r="12742">
      <c r="A12742" s="84"/>
      <c r="B12742" s="85"/>
      <c r="C12742" s="85"/>
      <c r="F12742" s="92"/>
      <c r="G12742" s="85"/>
    </row>
    <row r="12743">
      <c r="A12743" s="84"/>
      <c r="B12743" s="85"/>
      <c r="C12743" s="85"/>
      <c r="F12743" s="92"/>
      <c r="G12743" s="85"/>
    </row>
    <row r="12744">
      <c r="A12744" s="84"/>
      <c r="B12744" s="85"/>
      <c r="C12744" s="85"/>
      <c r="F12744" s="92"/>
      <c r="G12744" s="85"/>
    </row>
    <row r="12745">
      <c r="A12745" s="84"/>
      <c r="B12745" s="85"/>
      <c r="C12745" s="85"/>
      <c r="F12745" s="92"/>
      <c r="G12745" s="85"/>
    </row>
    <row r="12746">
      <c r="A12746" s="84"/>
      <c r="B12746" s="85"/>
      <c r="C12746" s="85"/>
      <c r="F12746" s="92"/>
      <c r="G12746" s="85"/>
    </row>
    <row r="12747">
      <c r="A12747" s="84"/>
      <c r="B12747" s="85"/>
      <c r="C12747" s="85"/>
      <c r="F12747" s="92"/>
      <c r="G12747" s="85"/>
    </row>
    <row r="12748">
      <c r="A12748" s="84"/>
      <c r="B12748" s="85"/>
      <c r="C12748" s="85"/>
      <c r="F12748" s="92"/>
      <c r="G12748" s="85"/>
    </row>
    <row r="12749">
      <c r="A12749" s="84"/>
      <c r="B12749" s="85"/>
      <c r="C12749" s="85"/>
      <c r="F12749" s="92"/>
      <c r="G12749" s="85"/>
    </row>
    <row r="12750">
      <c r="A12750" s="84"/>
      <c r="B12750" s="85"/>
      <c r="C12750" s="85"/>
      <c r="F12750" s="92"/>
      <c r="G12750" s="85"/>
    </row>
    <row r="12751">
      <c r="A12751" s="84"/>
      <c r="B12751" s="85"/>
      <c r="C12751" s="85"/>
      <c r="F12751" s="92"/>
      <c r="G12751" s="85"/>
    </row>
    <row r="12752">
      <c r="A12752" s="84"/>
      <c r="B12752" s="85"/>
      <c r="C12752" s="85"/>
      <c r="F12752" s="92"/>
      <c r="G12752" s="85"/>
    </row>
    <row r="12753">
      <c r="A12753" s="84"/>
      <c r="B12753" s="85"/>
      <c r="C12753" s="85"/>
      <c r="F12753" s="92"/>
      <c r="G12753" s="85"/>
    </row>
    <row r="12754">
      <c r="A12754" s="84"/>
      <c r="B12754" s="85"/>
      <c r="C12754" s="85"/>
      <c r="F12754" s="92"/>
      <c r="G12754" s="85"/>
    </row>
    <row r="12755">
      <c r="A12755" s="84"/>
      <c r="B12755" s="85"/>
      <c r="C12755" s="85"/>
      <c r="F12755" s="92"/>
      <c r="G12755" s="85"/>
    </row>
    <row r="12756">
      <c r="A12756" s="84"/>
      <c r="B12756" s="85"/>
      <c r="C12756" s="85"/>
      <c r="F12756" s="92"/>
      <c r="G12756" s="85"/>
    </row>
    <row r="12757">
      <c r="A12757" s="84"/>
      <c r="B12757" s="85"/>
      <c r="C12757" s="85"/>
      <c r="F12757" s="92"/>
      <c r="G12757" s="85"/>
    </row>
    <row r="12758">
      <c r="A12758" s="84"/>
      <c r="B12758" s="85"/>
      <c r="C12758" s="85"/>
      <c r="F12758" s="92"/>
      <c r="G12758" s="85"/>
    </row>
    <row r="12759">
      <c r="A12759" s="84"/>
      <c r="B12759" s="85"/>
      <c r="C12759" s="85"/>
      <c r="F12759" s="92"/>
      <c r="G12759" s="85"/>
    </row>
    <row r="12760">
      <c r="A12760" s="84"/>
      <c r="B12760" s="85"/>
      <c r="C12760" s="85"/>
      <c r="F12760" s="92"/>
      <c r="G12760" s="85"/>
    </row>
    <row r="12761">
      <c r="A12761" s="84"/>
      <c r="B12761" s="85"/>
      <c r="C12761" s="85"/>
      <c r="F12761" s="92"/>
      <c r="G12761" s="85"/>
    </row>
    <row r="12762">
      <c r="A12762" s="84"/>
      <c r="B12762" s="85"/>
      <c r="C12762" s="85"/>
      <c r="F12762" s="92"/>
      <c r="G12762" s="85"/>
    </row>
    <row r="12763">
      <c r="A12763" s="84"/>
      <c r="B12763" s="85"/>
      <c r="C12763" s="85"/>
      <c r="F12763" s="92"/>
      <c r="G12763" s="85"/>
    </row>
    <row r="12764">
      <c r="A12764" s="84"/>
      <c r="B12764" s="85"/>
      <c r="C12764" s="85"/>
      <c r="F12764" s="92"/>
      <c r="G12764" s="85"/>
    </row>
    <row r="12765">
      <c r="A12765" s="84"/>
      <c r="B12765" s="85"/>
      <c r="C12765" s="85"/>
      <c r="F12765" s="92"/>
      <c r="G12765" s="85"/>
    </row>
    <row r="12766">
      <c r="A12766" s="84"/>
      <c r="B12766" s="85"/>
      <c r="C12766" s="85"/>
      <c r="F12766" s="92"/>
      <c r="G12766" s="85"/>
    </row>
    <row r="12767">
      <c r="A12767" s="84"/>
      <c r="B12767" s="85"/>
      <c r="C12767" s="85"/>
      <c r="F12767" s="92"/>
      <c r="G12767" s="85"/>
    </row>
    <row r="12768">
      <c r="A12768" s="84"/>
      <c r="B12768" s="85"/>
      <c r="C12768" s="85"/>
      <c r="F12768" s="92"/>
      <c r="G12768" s="85"/>
    </row>
    <row r="12769">
      <c r="A12769" s="84"/>
      <c r="B12769" s="85"/>
      <c r="C12769" s="85"/>
      <c r="F12769" s="92"/>
      <c r="G12769" s="85"/>
    </row>
    <row r="12770">
      <c r="A12770" s="84"/>
      <c r="B12770" s="85"/>
      <c r="C12770" s="85"/>
      <c r="F12770" s="92"/>
      <c r="G12770" s="85"/>
    </row>
    <row r="12771">
      <c r="A12771" s="84"/>
      <c r="B12771" s="85"/>
      <c r="C12771" s="85"/>
      <c r="F12771" s="92"/>
      <c r="G12771" s="85"/>
    </row>
    <row r="12772">
      <c r="A12772" s="84"/>
      <c r="B12772" s="85"/>
      <c r="C12772" s="85"/>
      <c r="F12772" s="92"/>
      <c r="G12772" s="85"/>
    </row>
    <row r="12773">
      <c r="A12773" s="84"/>
      <c r="B12773" s="85"/>
      <c r="C12773" s="85"/>
      <c r="F12773" s="92"/>
      <c r="G12773" s="85"/>
    </row>
    <row r="12774">
      <c r="A12774" s="84"/>
      <c r="B12774" s="85"/>
      <c r="C12774" s="85"/>
      <c r="F12774" s="92"/>
      <c r="G12774" s="85"/>
    </row>
    <row r="12775">
      <c r="A12775" s="84"/>
      <c r="B12775" s="85"/>
      <c r="C12775" s="85"/>
      <c r="F12775" s="92"/>
      <c r="G12775" s="85"/>
    </row>
    <row r="12776">
      <c r="A12776" s="84"/>
      <c r="B12776" s="85"/>
      <c r="C12776" s="85"/>
      <c r="F12776" s="92"/>
      <c r="G12776" s="85"/>
    </row>
    <row r="12777">
      <c r="A12777" s="84"/>
      <c r="B12777" s="85"/>
      <c r="C12777" s="85"/>
      <c r="F12777" s="92"/>
      <c r="G12777" s="85"/>
    </row>
    <row r="12778">
      <c r="A12778" s="84"/>
      <c r="B12778" s="85"/>
      <c r="C12778" s="85"/>
      <c r="F12778" s="92"/>
      <c r="G12778" s="85"/>
    </row>
    <row r="12779">
      <c r="A12779" s="84"/>
      <c r="B12779" s="85"/>
      <c r="C12779" s="85"/>
      <c r="F12779" s="92"/>
      <c r="G12779" s="85"/>
    </row>
    <row r="12780">
      <c r="A12780" s="84"/>
      <c r="B12780" s="85"/>
      <c r="C12780" s="85"/>
      <c r="F12780" s="92"/>
      <c r="G12780" s="85"/>
    </row>
    <row r="12781">
      <c r="A12781" s="84"/>
      <c r="B12781" s="85"/>
      <c r="C12781" s="85"/>
      <c r="F12781" s="92"/>
      <c r="G12781" s="85"/>
    </row>
    <row r="12782">
      <c r="A12782" s="84"/>
      <c r="B12782" s="85"/>
      <c r="C12782" s="85"/>
      <c r="F12782" s="92"/>
      <c r="G12782" s="85"/>
    </row>
    <row r="12783">
      <c r="A12783" s="84"/>
      <c r="B12783" s="85"/>
      <c r="C12783" s="85"/>
      <c r="F12783" s="92"/>
      <c r="G12783" s="85"/>
    </row>
    <row r="12784">
      <c r="A12784" s="84"/>
      <c r="B12784" s="85"/>
      <c r="C12784" s="85"/>
      <c r="F12784" s="92"/>
      <c r="G12784" s="85"/>
    </row>
    <row r="12785">
      <c r="A12785" s="84"/>
      <c r="B12785" s="85"/>
      <c r="C12785" s="85"/>
      <c r="F12785" s="92"/>
      <c r="G12785" s="85"/>
    </row>
    <row r="12786">
      <c r="A12786" s="84"/>
      <c r="B12786" s="85"/>
      <c r="C12786" s="85"/>
      <c r="F12786" s="92"/>
      <c r="G12786" s="85"/>
    </row>
    <row r="12787">
      <c r="A12787" s="84"/>
      <c r="B12787" s="85"/>
      <c r="C12787" s="85"/>
      <c r="F12787" s="92"/>
      <c r="G12787" s="85"/>
    </row>
    <row r="12788">
      <c r="A12788" s="84"/>
      <c r="B12788" s="85"/>
      <c r="C12788" s="85"/>
      <c r="F12788" s="92"/>
      <c r="G12788" s="85"/>
    </row>
    <row r="12789">
      <c r="A12789" s="84"/>
      <c r="B12789" s="85"/>
      <c r="C12789" s="85"/>
      <c r="F12789" s="92"/>
      <c r="G12789" s="85"/>
    </row>
    <row r="12790">
      <c r="A12790" s="84"/>
      <c r="B12790" s="85"/>
      <c r="C12790" s="85"/>
      <c r="F12790" s="92"/>
      <c r="G12790" s="85"/>
    </row>
    <row r="12791">
      <c r="A12791" s="84"/>
      <c r="B12791" s="85"/>
      <c r="C12791" s="85"/>
      <c r="F12791" s="92"/>
      <c r="G12791" s="85"/>
    </row>
    <row r="12792">
      <c r="A12792" s="84"/>
      <c r="B12792" s="85"/>
      <c r="C12792" s="85"/>
      <c r="F12792" s="92"/>
      <c r="G12792" s="85"/>
    </row>
    <row r="12793">
      <c r="A12793" s="84"/>
      <c r="B12793" s="85"/>
      <c r="C12793" s="85"/>
      <c r="F12793" s="92"/>
      <c r="G12793" s="85"/>
    </row>
    <row r="12794">
      <c r="A12794" s="84"/>
      <c r="B12794" s="85"/>
      <c r="C12794" s="85"/>
      <c r="F12794" s="92"/>
      <c r="G12794" s="85"/>
    </row>
    <row r="12795">
      <c r="A12795" s="84"/>
      <c r="B12795" s="85"/>
      <c r="C12795" s="85"/>
      <c r="F12795" s="92"/>
      <c r="G12795" s="85"/>
    </row>
    <row r="12796">
      <c r="A12796" s="84"/>
      <c r="B12796" s="85"/>
      <c r="C12796" s="85"/>
      <c r="F12796" s="92"/>
      <c r="G12796" s="85"/>
    </row>
    <row r="12797">
      <c r="A12797" s="84"/>
      <c r="B12797" s="85"/>
      <c r="C12797" s="85"/>
      <c r="F12797" s="92"/>
      <c r="G12797" s="85"/>
    </row>
    <row r="12798">
      <c r="A12798" s="84"/>
      <c r="B12798" s="85"/>
      <c r="C12798" s="85"/>
      <c r="F12798" s="92"/>
      <c r="G12798" s="85"/>
    </row>
    <row r="12799">
      <c r="A12799" s="84"/>
      <c r="B12799" s="85"/>
      <c r="C12799" s="85"/>
      <c r="F12799" s="92"/>
      <c r="G12799" s="85"/>
    </row>
    <row r="12800">
      <c r="A12800" s="84"/>
      <c r="B12800" s="85"/>
      <c r="C12800" s="85"/>
      <c r="F12800" s="92"/>
      <c r="G12800" s="85"/>
    </row>
    <row r="12801">
      <c r="A12801" s="84"/>
      <c r="B12801" s="85"/>
      <c r="C12801" s="85"/>
      <c r="F12801" s="92"/>
      <c r="G12801" s="85"/>
    </row>
    <row r="12802">
      <c r="A12802" s="84"/>
      <c r="B12802" s="85"/>
      <c r="C12802" s="85"/>
      <c r="F12802" s="92"/>
      <c r="G12802" s="85"/>
    </row>
    <row r="12803">
      <c r="A12803" s="84"/>
      <c r="B12803" s="85"/>
      <c r="C12803" s="85"/>
      <c r="F12803" s="92"/>
      <c r="G12803" s="85"/>
    </row>
    <row r="12804">
      <c r="A12804" s="84"/>
      <c r="B12804" s="85"/>
      <c r="C12804" s="85"/>
      <c r="F12804" s="92"/>
      <c r="G12804" s="85"/>
    </row>
    <row r="12805">
      <c r="A12805" s="84"/>
      <c r="B12805" s="85"/>
      <c r="C12805" s="85"/>
      <c r="F12805" s="92"/>
      <c r="G12805" s="85"/>
    </row>
    <row r="12806">
      <c r="A12806" s="84"/>
      <c r="B12806" s="85"/>
      <c r="C12806" s="85"/>
      <c r="F12806" s="92"/>
      <c r="G12806" s="85"/>
    </row>
    <row r="12807">
      <c r="A12807" s="84"/>
      <c r="B12807" s="85"/>
      <c r="C12807" s="85"/>
      <c r="F12807" s="92"/>
      <c r="G12807" s="85"/>
    </row>
    <row r="12808">
      <c r="A12808" s="84"/>
      <c r="B12808" s="85"/>
      <c r="C12808" s="85"/>
      <c r="F12808" s="92"/>
      <c r="G12808" s="85"/>
    </row>
    <row r="12809">
      <c r="A12809" s="84"/>
      <c r="B12809" s="85"/>
      <c r="C12809" s="85"/>
      <c r="F12809" s="92"/>
      <c r="G12809" s="85"/>
    </row>
    <row r="12810">
      <c r="A12810" s="84"/>
      <c r="B12810" s="85"/>
      <c r="C12810" s="85"/>
      <c r="F12810" s="92"/>
      <c r="G12810" s="85"/>
    </row>
    <row r="12811">
      <c r="A12811" s="84"/>
      <c r="B12811" s="85"/>
      <c r="C12811" s="85"/>
      <c r="F12811" s="92"/>
      <c r="G12811" s="85"/>
    </row>
    <row r="12812">
      <c r="A12812" s="84"/>
      <c r="B12812" s="85"/>
      <c r="C12812" s="85"/>
      <c r="F12812" s="92"/>
      <c r="G12812" s="85"/>
    </row>
    <row r="12813">
      <c r="A12813" s="84"/>
      <c r="B12813" s="85"/>
      <c r="C12813" s="85"/>
      <c r="F12813" s="92"/>
      <c r="G12813" s="85"/>
    </row>
    <row r="12814">
      <c r="A12814" s="84"/>
      <c r="B12814" s="85"/>
      <c r="C12814" s="85"/>
      <c r="F12814" s="92"/>
      <c r="G12814" s="85"/>
    </row>
    <row r="12815">
      <c r="A12815" s="84"/>
      <c r="B12815" s="85"/>
      <c r="C12815" s="85"/>
      <c r="F12815" s="92"/>
      <c r="G12815" s="85"/>
    </row>
    <row r="12816">
      <c r="A12816" s="84"/>
      <c r="B12816" s="85"/>
      <c r="C12816" s="85"/>
      <c r="F12816" s="92"/>
      <c r="G12816" s="85"/>
    </row>
    <row r="12817">
      <c r="A12817" s="84"/>
      <c r="B12817" s="85"/>
      <c r="C12817" s="85"/>
      <c r="F12817" s="92"/>
      <c r="G12817" s="85"/>
    </row>
    <row r="12818">
      <c r="A12818" s="84"/>
      <c r="B12818" s="85"/>
      <c r="C12818" s="85"/>
      <c r="F12818" s="92"/>
      <c r="G12818" s="85"/>
    </row>
    <row r="12819">
      <c r="A12819" s="84"/>
      <c r="B12819" s="85"/>
      <c r="C12819" s="85"/>
      <c r="F12819" s="92"/>
      <c r="G12819" s="85"/>
    </row>
    <row r="12820">
      <c r="A12820" s="84"/>
      <c r="B12820" s="85"/>
      <c r="C12820" s="85"/>
      <c r="F12820" s="92"/>
      <c r="G12820" s="85"/>
    </row>
    <row r="12821">
      <c r="A12821" s="84"/>
      <c r="B12821" s="85"/>
      <c r="C12821" s="85"/>
      <c r="F12821" s="92"/>
      <c r="G12821" s="85"/>
    </row>
    <row r="12822">
      <c r="A12822" s="84"/>
      <c r="B12822" s="85"/>
      <c r="C12822" s="85"/>
      <c r="F12822" s="92"/>
      <c r="G12822" s="85"/>
    </row>
    <row r="12823">
      <c r="A12823" s="84"/>
      <c r="B12823" s="85"/>
      <c r="C12823" s="85"/>
      <c r="F12823" s="92"/>
      <c r="G12823" s="85"/>
    </row>
    <row r="12824">
      <c r="A12824" s="84"/>
      <c r="B12824" s="85"/>
      <c r="C12824" s="85"/>
      <c r="F12824" s="92"/>
      <c r="G12824" s="85"/>
    </row>
    <row r="12825">
      <c r="A12825" s="84"/>
      <c r="B12825" s="85"/>
      <c r="C12825" s="85"/>
      <c r="F12825" s="92"/>
      <c r="G12825" s="85"/>
    </row>
    <row r="12826">
      <c r="A12826" s="84"/>
      <c r="B12826" s="85"/>
      <c r="C12826" s="85"/>
      <c r="F12826" s="92"/>
      <c r="G12826" s="85"/>
    </row>
    <row r="12827">
      <c r="A12827" s="84"/>
      <c r="B12827" s="85"/>
      <c r="C12827" s="85"/>
      <c r="F12827" s="92"/>
      <c r="G12827" s="85"/>
    </row>
    <row r="12828">
      <c r="A12828" s="84"/>
      <c r="B12828" s="85"/>
      <c r="C12828" s="85"/>
      <c r="F12828" s="92"/>
      <c r="G12828" s="85"/>
    </row>
    <row r="12829">
      <c r="A12829" s="84"/>
      <c r="B12829" s="85"/>
      <c r="C12829" s="85"/>
      <c r="F12829" s="92"/>
      <c r="G12829" s="85"/>
    </row>
    <row r="12830">
      <c r="A12830" s="84"/>
      <c r="B12830" s="85"/>
      <c r="C12830" s="85"/>
      <c r="F12830" s="92"/>
      <c r="G12830" s="85"/>
    </row>
    <row r="12831">
      <c r="A12831" s="84"/>
      <c r="B12831" s="85"/>
      <c r="C12831" s="85"/>
      <c r="F12831" s="92"/>
      <c r="G12831" s="85"/>
    </row>
    <row r="12832">
      <c r="A12832" s="84"/>
      <c r="B12832" s="85"/>
      <c r="C12832" s="85"/>
      <c r="F12832" s="92"/>
      <c r="G12832" s="85"/>
    </row>
    <row r="12833">
      <c r="A12833" s="84"/>
      <c r="B12833" s="85"/>
      <c r="C12833" s="85"/>
      <c r="F12833" s="92"/>
      <c r="G12833" s="85"/>
    </row>
    <row r="12834">
      <c r="A12834" s="84"/>
      <c r="B12834" s="85"/>
      <c r="C12834" s="85"/>
      <c r="F12834" s="92"/>
      <c r="G12834" s="85"/>
    </row>
    <row r="12835">
      <c r="A12835" s="84"/>
      <c r="B12835" s="85"/>
      <c r="C12835" s="85"/>
      <c r="F12835" s="92"/>
      <c r="G12835" s="85"/>
    </row>
    <row r="12836">
      <c r="A12836" s="84"/>
      <c r="B12836" s="85"/>
      <c r="C12836" s="85"/>
      <c r="F12836" s="92"/>
      <c r="G12836" s="85"/>
    </row>
    <row r="12837">
      <c r="A12837" s="84"/>
      <c r="B12837" s="85"/>
      <c r="C12837" s="85"/>
      <c r="F12837" s="92"/>
      <c r="G12837" s="85"/>
    </row>
    <row r="12838">
      <c r="A12838" s="84"/>
      <c r="B12838" s="85"/>
      <c r="C12838" s="85"/>
      <c r="F12838" s="92"/>
      <c r="G12838" s="85"/>
    </row>
    <row r="12839">
      <c r="A12839" s="84"/>
      <c r="B12839" s="85"/>
      <c r="C12839" s="85"/>
      <c r="F12839" s="92"/>
      <c r="G12839" s="85"/>
    </row>
    <row r="12840">
      <c r="A12840" s="84"/>
      <c r="B12840" s="85"/>
      <c r="C12840" s="85"/>
      <c r="F12840" s="92"/>
      <c r="G12840" s="85"/>
    </row>
    <row r="12841">
      <c r="A12841" s="84"/>
      <c r="B12841" s="85"/>
      <c r="C12841" s="85"/>
      <c r="F12841" s="92"/>
      <c r="G12841" s="85"/>
    </row>
    <row r="12842">
      <c r="A12842" s="84"/>
      <c r="B12842" s="85"/>
      <c r="C12842" s="85"/>
      <c r="F12842" s="92"/>
      <c r="G12842" s="85"/>
    </row>
    <row r="12843">
      <c r="A12843" s="84"/>
      <c r="B12843" s="85"/>
      <c r="C12843" s="85"/>
      <c r="F12843" s="92"/>
      <c r="G12843" s="85"/>
    </row>
    <row r="12844">
      <c r="A12844" s="84"/>
      <c r="B12844" s="85"/>
      <c r="C12844" s="85"/>
      <c r="F12844" s="92"/>
      <c r="G12844" s="85"/>
    </row>
    <row r="12845">
      <c r="A12845" s="84"/>
      <c r="B12845" s="85"/>
      <c r="C12845" s="85"/>
      <c r="F12845" s="92"/>
      <c r="G12845" s="85"/>
    </row>
    <row r="12846">
      <c r="A12846" s="84"/>
      <c r="B12846" s="85"/>
      <c r="C12846" s="85"/>
      <c r="F12846" s="92"/>
      <c r="G12846" s="85"/>
    </row>
    <row r="12847">
      <c r="A12847" s="84"/>
      <c r="B12847" s="85"/>
      <c r="C12847" s="85"/>
      <c r="F12847" s="92"/>
      <c r="G12847" s="85"/>
    </row>
    <row r="12848">
      <c r="A12848" s="84"/>
      <c r="B12848" s="85"/>
      <c r="C12848" s="85"/>
      <c r="F12848" s="92"/>
      <c r="G12848" s="85"/>
    </row>
    <row r="12849">
      <c r="A12849" s="84"/>
      <c r="B12849" s="85"/>
      <c r="C12849" s="85"/>
      <c r="F12849" s="92"/>
      <c r="G12849" s="85"/>
    </row>
    <row r="12850">
      <c r="A12850" s="84"/>
      <c r="B12850" s="85"/>
      <c r="C12850" s="85"/>
      <c r="F12850" s="92"/>
      <c r="G12850" s="85"/>
    </row>
    <row r="12851">
      <c r="A12851" s="84"/>
      <c r="B12851" s="85"/>
      <c r="C12851" s="85"/>
      <c r="F12851" s="92"/>
      <c r="G12851" s="85"/>
    </row>
    <row r="12852">
      <c r="A12852" s="84"/>
      <c r="B12852" s="85"/>
      <c r="C12852" s="85"/>
      <c r="F12852" s="92"/>
      <c r="G12852" s="85"/>
    </row>
    <row r="12853">
      <c r="A12853" s="84"/>
      <c r="B12853" s="85"/>
      <c r="C12853" s="85"/>
      <c r="F12853" s="92"/>
      <c r="G12853" s="85"/>
    </row>
    <row r="12854">
      <c r="A12854" s="84"/>
      <c r="B12854" s="85"/>
      <c r="C12854" s="85"/>
      <c r="F12854" s="92"/>
      <c r="G12854" s="85"/>
    </row>
    <row r="12855">
      <c r="A12855" s="84"/>
      <c r="B12855" s="85"/>
      <c r="C12855" s="85"/>
      <c r="F12855" s="92"/>
      <c r="G12855" s="85"/>
    </row>
    <row r="12856">
      <c r="A12856" s="84"/>
      <c r="B12856" s="85"/>
      <c r="C12856" s="85"/>
      <c r="F12856" s="92"/>
      <c r="G12856" s="85"/>
    </row>
    <row r="12857">
      <c r="A12857" s="84"/>
      <c r="B12857" s="85"/>
      <c r="C12857" s="85"/>
      <c r="F12857" s="92"/>
      <c r="G12857" s="85"/>
    </row>
    <row r="12858">
      <c r="A12858" s="84"/>
      <c r="B12858" s="85"/>
      <c r="C12858" s="85"/>
      <c r="F12858" s="92"/>
      <c r="G12858" s="85"/>
    </row>
    <row r="12859">
      <c r="A12859" s="84"/>
      <c r="B12859" s="85"/>
      <c r="C12859" s="85"/>
      <c r="F12859" s="92"/>
      <c r="G12859" s="85"/>
    </row>
    <row r="12860">
      <c r="A12860" s="84"/>
      <c r="B12860" s="85"/>
      <c r="C12860" s="85"/>
      <c r="F12860" s="92"/>
      <c r="G12860" s="85"/>
    </row>
    <row r="12861">
      <c r="A12861" s="84"/>
      <c r="B12861" s="85"/>
      <c r="C12861" s="85"/>
      <c r="F12861" s="92"/>
      <c r="G12861" s="85"/>
    </row>
    <row r="12862">
      <c r="A12862" s="84"/>
      <c r="B12862" s="85"/>
      <c r="C12862" s="85"/>
      <c r="F12862" s="92"/>
      <c r="G12862" s="85"/>
    </row>
    <row r="12863">
      <c r="A12863" s="84"/>
      <c r="B12863" s="85"/>
      <c r="C12863" s="85"/>
      <c r="F12863" s="92"/>
      <c r="G12863" s="85"/>
    </row>
    <row r="12864">
      <c r="A12864" s="84"/>
      <c r="B12864" s="85"/>
      <c r="C12864" s="85"/>
      <c r="F12864" s="92"/>
      <c r="G12864" s="85"/>
    </row>
    <row r="12865">
      <c r="A12865" s="84"/>
      <c r="B12865" s="85"/>
      <c r="C12865" s="85"/>
      <c r="F12865" s="92"/>
      <c r="G12865" s="85"/>
    </row>
    <row r="12866">
      <c r="A12866" s="84"/>
      <c r="B12866" s="85"/>
      <c r="C12866" s="85"/>
      <c r="F12866" s="92"/>
      <c r="G12866" s="85"/>
    </row>
    <row r="12867">
      <c r="A12867" s="84"/>
      <c r="B12867" s="85"/>
      <c r="C12867" s="85"/>
      <c r="F12867" s="92"/>
      <c r="G12867" s="85"/>
    </row>
    <row r="12868">
      <c r="A12868" s="84"/>
      <c r="B12868" s="85"/>
      <c r="C12868" s="85"/>
      <c r="F12868" s="92"/>
      <c r="G12868" s="85"/>
    </row>
    <row r="12869">
      <c r="A12869" s="84"/>
      <c r="B12869" s="85"/>
      <c r="C12869" s="85"/>
      <c r="F12869" s="92"/>
      <c r="G12869" s="85"/>
    </row>
    <row r="12870">
      <c r="A12870" s="84"/>
      <c r="B12870" s="85"/>
      <c r="C12870" s="85"/>
      <c r="F12870" s="92"/>
      <c r="G12870" s="85"/>
    </row>
    <row r="12871">
      <c r="A12871" s="84"/>
      <c r="B12871" s="85"/>
      <c r="C12871" s="85"/>
      <c r="F12871" s="92"/>
      <c r="G12871" s="85"/>
    </row>
    <row r="12872">
      <c r="A12872" s="84"/>
      <c r="B12872" s="85"/>
      <c r="C12872" s="85"/>
      <c r="F12872" s="92"/>
      <c r="G12872" s="85"/>
    </row>
    <row r="12873">
      <c r="A12873" s="84"/>
      <c r="B12873" s="85"/>
      <c r="C12873" s="85"/>
      <c r="F12873" s="92"/>
      <c r="G12873" s="85"/>
    </row>
    <row r="12874">
      <c r="A12874" s="84"/>
      <c r="B12874" s="85"/>
      <c r="C12874" s="85"/>
      <c r="F12874" s="92"/>
      <c r="G12874" s="85"/>
    </row>
    <row r="12875">
      <c r="A12875" s="84"/>
      <c r="B12875" s="85"/>
      <c r="C12875" s="85"/>
      <c r="F12875" s="92"/>
      <c r="G12875" s="85"/>
    </row>
    <row r="12876">
      <c r="A12876" s="84"/>
      <c r="B12876" s="85"/>
      <c r="C12876" s="85"/>
      <c r="F12876" s="92"/>
      <c r="G12876" s="85"/>
    </row>
    <row r="12877">
      <c r="A12877" s="84"/>
      <c r="B12877" s="85"/>
      <c r="C12877" s="85"/>
      <c r="F12877" s="92"/>
      <c r="G12877" s="85"/>
    </row>
    <row r="12878">
      <c r="A12878" s="84"/>
      <c r="B12878" s="85"/>
      <c r="C12878" s="85"/>
      <c r="F12878" s="92"/>
      <c r="G12878" s="85"/>
    </row>
    <row r="12879">
      <c r="A12879" s="84"/>
      <c r="B12879" s="85"/>
      <c r="C12879" s="85"/>
      <c r="F12879" s="92"/>
      <c r="G12879" s="85"/>
    </row>
    <row r="12880">
      <c r="A12880" s="84"/>
      <c r="B12880" s="85"/>
      <c r="C12880" s="85"/>
      <c r="F12880" s="92"/>
      <c r="G12880" s="85"/>
    </row>
    <row r="12881">
      <c r="A12881" s="84"/>
      <c r="B12881" s="85"/>
      <c r="C12881" s="85"/>
      <c r="F12881" s="92"/>
      <c r="G12881" s="85"/>
    </row>
    <row r="12882">
      <c r="A12882" s="84"/>
      <c r="B12882" s="85"/>
      <c r="C12882" s="85"/>
      <c r="F12882" s="92"/>
      <c r="G12882" s="85"/>
    </row>
    <row r="12883">
      <c r="A12883" s="84"/>
      <c r="B12883" s="85"/>
      <c r="C12883" s="85"/>
      <c r="F12883" s="92"/>
      <c r="G12883" s="85"/>
    </row>
    <row r="12884">
      <c r="A12884" s="84"/>
      <c r="B12884" s="85"/>
      <c r="C12884" s="85"/>
      <c r="F12884" s="92"/>
      <c r="G12884" s="85"/>
    </row>
    <row r="12885">
      <c r="A12885" s="84"/>
      <c r="B12885" s="85"/>
      <c r="C12885" s="85"/>
      <c r="F12885" s="92"/>
      <c r="G12885" s="85"/>
    </row>
    <row r="12886">
      <c r="A12886" s="84"/>
      <c r="B12886" s="85"/>
      <c r="C12886" s="85"/>
      <c r="F12886" s="92"/>
      <c r="G12886" s="85"/>
    </row>
    <row r="12887">
      <c r="A12887" s="84"/>
      <c r="B12887" s="85"/>
      <c r="C12887" s="85"/>
      <c r="F12887" s="92"/>
      <c r="G12887" s="85"/>
    </row>
    <row r="12888">
      <c r="A12888" s="84"/>
      <c r="B12888" s="85"/>
      <c r="C12888" s="85"/>
      <c r="F12888" s="92"/>
      <c r="G12888" s="85"/>
    </row>
    <row r="12889">
      <c r="A12889" s="84"/>
      <c r="B12889" s="85"/>
      <c r="C12889" s="85"/>
      <c r="F12889" s="92"/>
      <c r="G12889" s="85"/>
    </row>
    <row r="12890">
      <c r="A12890" s="84"/>
      <c r="B12890" s="85"/>
      <c r="C12890" s="85"/>
      <c r="F12890" s="92"/>
      <c r="G12890" s="85"/>
    </row>
    <row r="12891">
      <c r="A12891" s="84"/>
      <c r="B12891" s="85"/>
      <c r="C12891" s="85"/>
      <c r="F12891" s="92"/>
      <c r="G12891" s="85"/>
    </row>
    <row r="12892">
      <c r="A12892" s="84"/>
      <c r="B12892" s="85"/>
      <c r="C12892" s="85"/>
      <c r="F12892" s="92"/>
      <c r="G12892" s="85"/>
    </row>
    <row r="12893">
      <c r="A12893" s="84"/>
      <c r="B12893" s="85"/>
      <c r="C12893" s="85"/>
      <c r="F12893" s="92"/>
      <c r="G12893" s="85"/>
    </row>
    <row r="12894">
      <c r="A12894" s="84"/>
      <c r="B12894" s="85"/>
      <c r="C12894" s="85"/>
      <c r="F12894" s="92"/>
      <c r="G12894" s="85"/>
    </row>
    <row r="12895">
      <c r="A12895" s="84"/>
      <c r="B12895" s="85"/>
      <c r="C12895" s="85"/>
      <c r="F12895" s="92"/>
      <c r="G12895" s="85"/>
    </row>
    <row r="12896">
      <c r="A12896" s="84"/>
      <c r="B12896" s="85"/>
      <c r="C12896" s="85"/>
      <c r="F12896" s="92"/>
      <c r="G12896" s="85"/>
    </row>
    <row r="12897">
      <c r="A12897" s="84"/>
      <c r="B12897" s="85"/>
      <c r="C12897" s="85"/>
      <c r="F12897" s="92"/>
      <c r="G12897" s="85"/>
    </row>
    <row r="12898">
      <c r="A12898" s="84"/>
      <c r="B12898" s="85"/>
      <c r="C12898" s="85"/>
      <c r="F12898" s="92"/>
      <c r="G12898" s="85"/>
    </row>
    <row r="12899">
      <c r="A12899" s="84"/>
      <c r="B12899" s="85"/>
      <c r="C12899" s="85"/>
      <c r="F12899" s="92"/>
      <c r="G12899" s="85"/>
    </row>
    <row r="12900">
      <c r="A12900" s="84"/>
      <c r="B12900" s="85"/>
      <c r="C12900" s="85"/>
      <c r="F12900" s="92"/>
      <c r="G12900" s="85"/>
    </row>
    <row r="12901">
      <c r="A12901" s="84"/>
      <c r="B12901" s="85"/>
      <c r="C12901" s="85"/>
      <c r="F12901" s="92"/>
      <c r="G12901" s="85"/>
    </row>
    <row r="12902">
      <c r="A12902" s="84"/>
      <c r="B12902" s="85"/>
      <c r="C12902" s="85"/>
      <c r="F12902" s="92"/>
      <c r="G12902" s="85"/>
    </row>
    <row r="12903">
      <c r="A12903" s="84"/>
      <c r="B12903" s="85"/>
      <c r="C12903" s="85"/>
      <c r="F12903" s="92"/>
      <c r="G12903" s="85"/>
    </row>
    <row r="12904">
      <c r="A12904" s="84"/>
      <c r="B12904" s="85"/>
      <c r="C12904" s="85"/>
      <c r="F12904" s="92"/>
      <c r="G12904" s="85"/>
    </row>
    <row r="12905">
      <c r="A12905" s="84"/>
      <c r="B12905" s="85"/>
      <c r="C12905" s="85"/>
      <c r="F12905" s="92"/>
      <c r="G12905" s="85"/>
    </row>
    <row r="12906">
      <c r="A12906" s="84"/>
      <c r="B12906" s="85"/>
      <c r="C12906" s="85"/>
      <c r="F12906" s="92"/>
      <c r="G12906" s="85"/>
    </row>
    <row r="12907">
      <c r="A12907" s="84"/>
      <c r="B12907" s="85"/>
      <c r="C12907" s="85"/>
      <c r="F12907" s="92"/>
      <c r="G12907" s="85"/>
    </row>
    <row r="12908">
      <c r="A12908" s="84"/>
      <c r="B12908" s="85"/>
      <c r="C12908" s="85"/>
      <c r="F12908" s="92"/>
      <c r="G12908" s="85"/>
    </row>
    <row r="12909">
      <c r="A12909" s="84"/>
      <c r="B12909" s="85"/>
      <c r="C12909" s="85"/>
      <c r="F12909" s="92"/>
      <c r="G12909" s="85"/>
    </row>
    <row r="12910">
      <c r="A12910" s="84"/>
      <c r="B12910" s="85"/>
      <c r="C12910" s="85"/>
      <c r="F12910" s="92"/>
      <c r="G12910" s="85"/>
    </row>
    <row r="12911">
      <c r="A12911" s="84"/>
      <c r="B12911" s="85"/>
      <c r="C12911" s="85"/>
      <c r="F12911" s="92"/>
      <c r="G12911" s="85"/>
    </row>
    <row r="12912">
      <c r="A12912" s="84"/>
      <c r="B12912" s="85"/>
      <c r="C12912" s="85"/>
      <c r="F12912" s="92"/>
      <c r="G12912" s="85"/>
    </row>
    <row r="12913">
      <c r="A12913" s="84"/>
      <c r="B12913" s="85"/>
      <c r="C12913" s="85"/>
      <c r="F12913" s="92"/>
      <c r="G12913" s="85"/>
    </row>
    <row r="12914">
      <c r="A12914" s="84"/>
      <c r="B12914" s="85"/>
      <c r="C12914" s="85"/>
      <c r="F12914" s="92"/>
      <c r="G12914" s="85"/>
    </row>
    <row r="12915">
      <c r="A12915" s="84"/>
      <c r="B12915" s="85"/>
      <c r="C12915" s="85"/>
      <c r="F12915" s="92"/>
      <c r="G12915" s="85"/>
    </row>
    <row r="12916">
      <c r="A12916" s="84"/>
      <c r="B12916" s="85"/>
      <c r="C12916" s="85"/>
      <c r="F12916" s="92"/>
      <c r="G12916" s="85"/>
    </row>
    <row r="12917">
      <c r="A12917" s="84"/>
      <c r="B12917" s="85"/>
      <c r="C12917" s="85"/>
      <c r="F12917" s="92"/>
      <c r="G12917" s="85"/>
    </row>
    <row r="12918">
      <c r="A12918" s="84"/>
      <c r="B12918" s="85"/>
      <c r="C12918" s="85"/>
      <c r="F12918" s="92"/>
      <c r="G12918" s="85"/>
    </row>
    <row r="12919">
      <c r="A12919" s="84"/>
      <c r="B12919" s="85"/>
      <c r="C12919" s="85"/>
      <c r="F12919" s="92"/>
      <c r="G12919" s="85"/>
    </row>
    <row r="12920">
      <c r="A12920" s="84"/>
      <c r="B12920" s="85"/>
      <c r="C12920" s="85"/>
      <c r="F12920" s="92"/>
      <c r="G12920" s="85"/>
    </row>
    <row r="12921">
      <c r="A12921" s="84"/>
      <c r="B12921" s="85"/>
      <c r="C12921" s="85"/>
      <c r="F12921" s="92"/>
      <c r="G12921" s="85"/>
    </row>
    <row r="12922">
      <c r="A12922" s="84"/>
      <c r="B12922" s="85"/>
      <c r="C12922" s="85"/>
      <c r="F12922" s="92"/>
      <c r="G12922" s="85"/>
    </row>
    <row r="12923">
      <c r="A12923" s="84"/>
      <c r="B12923" s="85"/>
      <c r="C12923" s="85"/>
      <c r="F12923" s="92"/>
      <c r="G12923" s="85"/>
    </row>
    <row r="12924">
      <c r="A12924" s="84"/>
      <c r="B12924" s="85"/>
      <c r="C12924" s="85"/>
      <c r="F12924" s="92"/>
      <c r="G12924" s="85"/>
    </row>
    <row r="12925">
      <c r="A12925" s="84"/>
      <c r="B12925" s="85"/>
      <c r="C12925" s="85"/>
      <c r="F12925" s="92"/>
      <c r="G12925" s="85"/>
    </row>
    <row r="12926">
      <c r="A12926" s="84"/>
      <c r="B12926" s="85"/>
      <c r="C12926" s="85"/>
      <c r="F12926" s="92"/>
      <c r="G12926" s="85"/>
    </row>
    <row r="12927">
      <c r="A12927" s="84"/>
      <c r="B12927" s="85"/>
      <c r="C12927" s="85"/>
      <c r="F12927" s="92"/>
      <c r="G12927" s="85"/>
    </row>
    <row r="12928">
      <c r="A12928" s="84"/>
      <c r="B12928" s="85"/>
      <c r="C12928" s="85"/>
      <c r="F12928" s="92"/>
      <c r="G12928" s="85"/>
    </row>
    <row r="12929">
      <c r="A12929" s="84"/>
      <c r="B12929" s="85"/>
      <c r="C12929" s="85"/>
      <c r="F12929" s="92"/>
      <c r="G12929" s="85"/>
    </row>
    <row r="12930">
      <c r="A12930" s="84"/>
      <c r="B12930" s="85"/>
      <c r="C12930" s="85"/>
      <c r="F12930" s="92"/>
      <c r="G12930" s="85"/>
    </row>
    <row r="12931">
      <c r="A12931" s="84"/>
      <c r="B12931" s="85"/>
      <c r="C12931" s="85"/>
      <c r="F12931" s="92"/>
      <c r="G12931" s="85"/>
    </row>
    <row r="12932">
      <c r="A12932" s="84"/>
      <c r="B12932" s="85"/>
      <c r="C12932" s="85"/>
      <c r="F12932" s="92"/>
      <c r="G12932" s="85"/>
    </row>
    <row r="12933">
      <c r="A12933" s="84"/>
      <c r="B12933" s="85"/>
      <c r="C12933" s="85"/>
      <c r="F12933" s="92"/>
      <c r="G12933" s="85"/>
    </row>
    <row r="12934">
      <c r="A12934" s="84"/>
      <c r="B12934" s="85"/>
      <c r="C12934" s="85"/>
      <c r="F12934" s="92"/>
      <c r="G12934" s="85"/>
    </row>
    <row r="12935">
      <c r="A12935" s="84"/>
      <c r="B12935" s="85"/>
      <c r="C12935" s="85"/>
      <c r="F12935" s="92"/>
      <c r="G12935" s="85"/>
    </row>
    <row r="12936">
      <c r="A12936" s="84"/>
      <c r="B12936" s="85"/>
      <c r="C12936" s="85"/>
      <c r="F12936" s="92"/>
      <c r="G12936" s="85"/>
    </row>
    <row r="12937">
      <c r="A12937" s="84"/>
      <c r="B12937" s="85"/>
      <c r="C12937" s="85"/>
      <c r="F12937" s="92"/>
      <c r="G12937" s="85"/>
    </row>
    <row r="12938">
      <c r="A12938" s="84"/>
      <c r="B12938" s="85"/>
      <c r="C12938" s="85"/>
      <c r="F12938" s="92"/>
      <c r="G12938" s="85"/>
    </row>
    <row r="12939">
      <c r="A12939" s="84"/>
      <c r="B12939" s="85"/>
      <c r="C12939" s="85"/>
      <c r="F12939" s="92"/>
      <c r="G12939" s="85"/>
    </row>
    <row r="12940">
      <c r="A12940" s="84"/>
      <c r="B12940" s="85"/>
      <c r="C12940" s="85"/>
      <c r="F12940" s="92"/>
      <c r="G12940" s="85"/>
    </row>
    <row r="12941">
      <c r="A12941" s="84"/>
      <c r="B12941" s="85"/>
      <c r="C12941" s="85"/>
      <c r="F12941" s="92"/>
      <c r="G12941" s="85"/>
    </row>
    <row r="12942">
      <c r="A12942" s="84"/>
      <c r="B12942" s="85"/>
      <c r="C12942" s="85"/>
      <c r="F12942" s="92"/>
      <c r="G12942" s="85"/>
    </row>
    <row r="12943">
      <c r="A12943" s="84"/>
      <c r="B12943" s="85"/>
      <c r="C12943" s="85"/>
      <c r="F12943" s="92"/>
      <c r="G12943" s="85"/>
    </row>
    <row r="12944">
      <c r="A12944" s="84"/>
      <c r="B12944" s="85"/>
      <c r="C12944" s="85"/>
      <c r="F12944" s="92"/>
      <c r="G12944" s="85"/>
    </row>
    <row r="12945">
      <c r="A12945" s="84"/>
      <c r="B12945" s="85"/>
      <c r="C12945" s="85"/>
      <c r="F12945" s="92"/>
      <c r="G12945" s="85"/>
    </row>
    <row r="12946">
      <c r="A12946" s="84"/>
      <c r="B12946" s="85"/>
      <c r="C12946" s="85"/>
      <c r="F12946" s="92"/>
      <c r="G12946" s="85"/>
    </row>
    <row r="12947">
      <c r="A12947" s="84"/>
      <c r="B12947" s="85"/>
      <c r="C12947" s="85"/>
      <c r="F12947" s="92"/>
      <c r="G12947" s="85"/>
    </row>
    <row r="12948">
      <c r="A12948" s="84"/>
      <c r="B12948" s="85"/>
      <c r="C12948" s="85"/>
      <c r="F12948" s="92"/>
      <c r="G12948" s="85"/>
    </row>
    <row r="12949">
      <c r="A12949" s="84"/>
      <c r="B12949" s="85"/>
      <c r="C12949" s="85"/>
      <c r="F12949" s="92"/>
      <c r="G12949" s="85"/>
    </row>
    <row r="12950">
      <c r="A12950" s="84"/>
      <c r="B12950" s="85"/>
      <c r="C12950" s="85"/>
      <c r="F12950" s="92"/>
      <c r="G12950" s="85"/>
    </row>
    <row r="12951">
      <c r="A12951" s="84"/>
      <c r="B12951" s="85"/>
      <c r="C12951" s="85"/>
      <c r="F12951" s="92"/>
      <c r="G12951" s="85"/>
    </row>
    <row r="12952">
      <c r="A12952" s="84"/>
      <c r="B12952" s="85"/>
      <c r="C12952" s="85"/>
      <c r="F12952" s="92"/>
      <c r="G12952" s="85"/>
    </row>
    <row r="12953">
      <c r="A12953" s="84"/>
      <c r="B12953" s="85"/>
      <c r="C12953" s="85"/>
      <c r="F12953" s="92"/>
      <c r="G12953" s="85"/>
    </row>
    <row r="12954">
      <c r="A12954" s="84"/>
      <c r="B12954" s="85"/>
      <c r="C12954" s="85"/>
      <c r="F12954" s="92"/>
      <c r="G12954" s="85"/>
    </row>
    <row r="12955">
      <c r="A12955" s="84"/>
      <c r="B12955" s="85"/>
      <c r="C12955" s="85"/>
      <c r="F12955" s="92"/>
      <c r="G12955" s="85"/>
    </row>
    <row r="12956">
      <c r="A12956" s="84"/>
      <c r="B12956" s="85"/>
      <c r="C12956" s="85"/>
      <c r="F12956" s="92"/>
      <c r="G12956" s="85"/>
    </row>
    <row r="12957">
      <c r="A12957" s="84"/>
      <c r="B12957" s="85"/>
      <c r="C12957" s="85"/>
      <c r="F12957" s="92"/>
      <c r="G12957" s="85"/>
    </row>
    <row r="12958">
      <c r="A12958" s="84"/>
      <c r="B12958" s="85"/>
      <c r="C12958" s="85"/>
      <c r="F12958" s="92"/>
      <c r="G12958" s="85"/>
    </row>
    <row r="12959">
      <c r="A12959" s="84"/>
      <c r="B12959" s="85"/>
      <c r="C12959" s="85"/>
      <c r="F12959" s="92"/>
      <c r="G12959" s="85"/>
    </row>
    <row r="12960">
      <c r="A12960" s="84"/>
      <c r="B12960" s="85"/>
      <c r="C12960" s="85"/>
      <c r="F12960" s="92"/>
      <c r="G12960" s="85"/>
    </row>
    <row r="12961">
      <c r="A12961" s="84"/>
      <c r="B12961" s="85"/>
      <c r="C12961" s="85"/>
      <c r="F12961" s="92"/>
      <c r="G12961" s="85"/>
    </row>
    <row r="12962">
      <c r="A12962" s="84"/>
      <c r="B12962" s="85"/>
      <c r="C12962" s="85"/>
      <c r="F12962" s="92"/>
      <c r="G12962" s="85"/>
    </row>
    <row r="12963">
      <c r="A12963" s="84"/>
      <c r="B12963" s="85"/>
      <c r="C12963" s="85"/>
      <c r="F12963" s="92"/>
      <c r="G12963" s="85"/>
    </row>
    <row r="12964">
      <c r="A12964" s="84"/>
      <c r="B12964" s="85"/>
      <c r="C12964" s="85"/>
      <c r="F12964" s="92"/>
      <c r="G12964" s="85"/>
    </row>
    <row r="12965">
      <c r="A12965" s="84"/>
      <c r="B12965" s="85"/>
      <c r="C12965" s="85"/>
      <c r="F12965" s="92"/>
      <c r="G12965" s="85"/>
    </row>
    <row r="12966">
      <c r="A12966" s="84"/>
      <c r="B12966" s="85"/>
      <c r="C12966" s="85"/>
      <c r="F12966" s="92"/>
      <c r="G12966" s="85"/>
    </row>
    <row r="12967">
      <c r="A12967" s="84"/>
      <c r="B12967" s="85"/>
      <c r="C12967" s="85"/>
      <c r="F12967" s="92"/>
      <c r="G12967" s="85"/>
    </row>
    <row r="12968">
      <c r="A12968" s="84"/>
      <c r="B12968" s="85"/>
      <c r="C12968" s="85"/>
      <c r="F12968" s="92"/>
      <c r="G12968" s="85"/>
    </row>
    <row r="12969">
      <c r="A12969" s="84"/>
      <c r="B12969" s="85"/>
      <c r="C12969" s="85"/>
      <c r="F12969" s="92"/>
      <c r="G12969" s="85"/>
    </row>
    <row r="12970">
      <c r="A12970" s="84"/>
      <c r="B12970" s="85"/>
      <c r="C12970" s="85"/>
      <c r="F12970" s="92"/>
      <c r="G12970" s="85"/>
    </row>
    <row r="12971">
      <c r="A12971" s="84"/>
      <c r="B12971" s="85"/>
      <c r="C12971" s="85"/>
      <c r="F12971" s="92"/>
      <c r="G12971" s="85"/>
    </row>
    <row r="12972">
      <c r="A12972" s="84"/>
      <c r="B12972" s="85"/>
      <c r="C12972" s="85"/>
      <c r="F12972" s="92"/>
      <c r="G12972" s="85"/>
    </row>
    <row r="12973">
      <c r="A12973" s="84"/>
      <c r="B12973" s="85"/>
      <c r="C12973" s="85"/>
      <c r="F12973" s="92"/>
      <c r="G12973" s="85"/>
    </row>
    <row r="12974">
      <c r="A12974" s="84"/>
      <c r="B12974" s="85"/>
      <c r="C12974" s="85"/>
      <c r="F12974" s="92"/>
      <c r="G12974" s="85"/>
    </row>
    <row r="12975">
      <c r="A12975" s="84"/>
      <c r="B12975" s="85"/>
      <c r="C12975" s="85"/>
      <c r="F12975" s="92"/>
      <c r="G12975" s="85"/>
    </row>
    <row r="12976">
      <c r="A12976" s="84"/>
      <c r="B12976" s="85"/>
      <c r="C12976" s="85"/>
      <c r="F12976" s="92"/>
      <c r="G12976" s="85"/>
    </row>
    <row r="12977">
      <c r="A12977" s="84"/>
      <c r="B12977" s="85"/>
      <c r="C12977" s="85"/>
      <c r="F12977" s="92"/>
      <c r="G12977" s="85"/>
    </row>
    <row r="12978">
      <c r="A12978" s="84"/>
      <c r="B12978" s="85"/>
      <c r="C12978" s="85"/>
      <c r="F12978" s="92"/>
      <c r="G12978" s="85"/>
    </row>
    <row r="12979">
      <c r="A12979" s="84"/>
      <c r="B12979" s="85"/>
      <c r="C12979" s="85"/>
      <c r="F12979" s="92"/>
      <c r="G12979" s="85"/>
    </row>
    <row r="12980">
      <c r="A12980" s="84"/>
      <c r="B12980" s="85"/>
      <c r="C12980" s="85"/>
      <c r="F12980" s="92"/>
      <c r="G12980" s="85"/>
    </row>
    <row r="12981">
      <c r="A12981" s="84"/>
      <c r="B12981" s="85"/>
      <c r="C12981" s="85"/>
      <c r="F12981" s="92"/>
      <c r="G12981" s="85"/>
    </row>
    <row r="12982">
      <c r="A12982" s="84"/>
      <c r="B12982" s="85"/>
      <c r="C12982" s="85"/>
      <c r="F12982" s="92"/>
      <c r="G12982" s="85"/>
    </row>
    <row r="12983">
      <c r="A12983" s="84"/>
      <c r="B12983" s="85"/>
      <c r="C12983" s="85"/>
      <c r="F12983" s="92"/>
      <c r="G12983" s="85"/>
    </row>
    <row r="12984">
      <c r="A12984" s="84"/>
      <c r="B12984" s="85"/>
      <c r="C12984" s="85"/>
      <c r="F12984" s="92"/>
      <c r="G12984" s="85"/>
    </row>
    <row r="12985">
      <c r="A12985" s="84"/>
      <c r="B12985" s="85"/>
      <c r="C12985" s="85"/>
      <c r="F12985" s="92"/>
      <c r="G12985" s="85"/>
    </row>
    <row r="12986">
      <c r="A12986" s="84"/>
      <c r="B12986" s="85"/>
      <c r="C12986" s="85"/>
      <c r="F12986" s="92"/>
      <c r="G12986" s="85"/>
    </row>
    <row r="12987">
      <c r="A12987" s="84"/>
      <c r="B12987" s="85"/>
      <c r="C12987" s="85"/>
      <c r="F12987" s="92"/>
      <c r="G12987" s="85"/>
    </row>
    <row r="12988">
      <c r="A12988" s="84"/>
      <c r="B12988" s="85"/>
      <c r="C12988" s="85"/>
      <c r="F12988" s="92"/>
      <c r="G12988" s="85"/>
    </row>
    <row r="12989">
      <c r="A12989" s="84"/>
      <c r="B12989" s="85"/>
      <c r="C12989" s="85"/>
      <c r="F12989" s="92"/>
      <c r="G12989" s="85"/>
    </row>
    <row r="12990">
      <c r="A12990" s="84"/>
      <c r="B12990" s="85"/>
      <c r="C12990" s="85"/>
      <c r="F12990" s="92"/>
      <c r="G12990" s="85"/>
    </row>
    <row r="12991">
      <c r="A12991" s="84"/>
      <c r="B12991" s="85"/>
      <c r="C12991" s="85"/>
      <c r="F12991" s="92"/>
      <c r="G12991" s="85"/>
    </row>
    <row r="12992">
      <c r="A12992" s="84"/>
      <c r="B12992" s="85"/>
      <c r="C12992" s="85"/>
      <c r="F12992" s="92"/>
      <c r="G12992" s="85"/>
    </row>
    <row r="12993">
      <c r="A12993" s="84"/>
      <c r="B12993" s="85"/>
      <c r="C12993" s="85"/>
      <c r="F12993" s="92"/>
      <c r="G12993" s="85"/>
    </row>
    <row r="12994">
      <c r="A12994" s="84"/>
      <c r="B12994" s="85"/>
      <c r="C12994" s="85"/>
      <c r="F12994" s="92"/>
      <c r="G12994" s="85"/>
    </row>
    <row r="12995">
      <c r="A12995" s="84"/>
      <c r="B12995" s="85"/>
      <c r="C12995" s="85"/>
      <c r="F12995" s="92"/>
      <c r="G12995" s="85"/>
    </row>
    <row r="12996">
      <c r="A12996" s="84"/>
      <c r="B12996" s="85"/>
      <c r="C12996" s="85"/>
      <c r="F12996" s="92"/>
      <c r="G12996" s="85"/>
    </row>
    <row r="12997">
      <c r="A12997" s="84"/>
      <c r="B12997" s="85"/>
      <c r="C12997" s="85"/>
      <c r="F12997" s="92"/>
      <c r="G12997" s="85"/>
    </row>
    <row r="12998">
      <c r="A12998" s="84"/>
      <c r="B12998" s="85"/>
      <c r="C12998" s="85"/>
      <c r="F12998" s="92"/>
      <c r="G12998" s="85"/>
    </row>
    <row r="12999">
      <c r="A12999" s="84"/>
      <c r="B12999" s="85"/>
      <c r="C12999" s="85"/>
      <c r="F12999" s="92"/>
      <c r="G12999" s="85"/>
    </row>
    <row r="13000">
      <c r="A13000" s="84"/>
      <c r="B13000" s="85"/>
      <c r="C13000" s="85"/>
      <c r="F13000" s="92"/>
      <c r="G13000" s="85"/>
    </row>
    <row r="13001">
      <c r="A13001" s="84"/>
      <c r="B13001" s="85"/>
      <c r="C13001" s="85"/>
      <c r="F13001" s="92"/>
      <c r="G13001" s="85"/>
    </row>
    <row r="13002">
      <c r="A13002" s="84"/>
      <c r="B13002" s="85"/>
      <c r="C13002" s="85"/>
      <c r="F13002" s="92"/>
      <c r="G13002" s="85"/>
    </row>
    <row r="13003">
      <c r="A13003" s="84"/>
      <c r="B13003" s="85"/>
      <c r="C13003" s="85"/>
      <c r="F13003" s="92"/>
      <c r="G13003" s="85"/>
    </row>
    <row r="13004">
      <c r="A13004" s="84"/>
      <c r="B13004" s="85"/>
      <c r="C13004" s="85"/>
      <c r="F13004" s="92"/>
      <c r="G13004" s="85"/>
    </row>
    <row r="13005">
      <c r="A13005" s="84"/>
      <c r="B13005" s="85"/>
      <c r="C13005" s="85"/>
      <c r="F13005" s="92"/>
      <c r="G13005" s="85"/>
    </row>
    <row r="13006">
      <c r="A13006" s="84"/>
      <c r="B13006" s="85"/>
      <c r="C13006" s="85"/>
      <c r="F13006" s="92"/>
      <c r="G13006" s="85"/>
    </row>
    <row r="13007">
      <c r="A13007" s="84"/>
      <c r="B13007" s="85"/>
      <c r="C13007" s="85"/>
      <c r="F13007" s="92"/>
      <c r="G13007" s="85"/>
    </row>
    <row r="13008">
      <c r="A13008" s="84"/>
      <c r="B13008" s="85"/>
      <c r="C13008" s="85"/>
      <c r="F13008" s="92"/>
      <c r="G13008" s="85"/>
    </row>
    <row r="13009">
      <c r="A13009" s="84"/>
      <c r="B13009" s="85"/>
      <c r="C13009" s="85"/>
      <c r="F13009" s="92"/>
      <c r="G13009" s="85"/>
    </row>
    <row r="13010">
      <c r="A13010" s="84"/>
      <c r="B13010" s="85"/>
      <c r="C13010" s="85"/>
      <c r="F13010" s="92"/>
      <c r="G13010" s="85"/>
    </row>
    <row r="13011">
      <c r="A13011" s="84"/>
      <c r="B13011" s="85"/>
      <c r="C13011" s="85"/>
      <c r="F13011" s="92"/>
      <c r="G13011" s="85"/>
    </row>
    <row r="13012">
      <c r="A13012" s="84"/>
      <c r="B13012" s="85"/>
      <c r="C13012" s="85"/>
      <c r="F13012" s="92"/>
      <c r="G13012" s="85"/>
    </row>
    <row r="13013">
      <c r="A13013" s="84"/>
      <c r="B13013" s="85"/>
      <c r="C13013" s="85"/>
      <c r="F13013" s="92"/>
      <c r="G13013" s="85"/>
    </row>
    <row r="13014">
      <c r="A13014" s="84"/>
      <c r="B13014" s="85"/>
      <c r="C13014" s="85"/>
      <c r="F13014" s="92"/>
      <c r="G13014" s="85"/>
    </row>
    <row r="13015">
      <c r="A13015" s="84"/>
      <c r="B13015" s="85"/>
      <c r="C13015" s="85"/>
      <c r="F13015" s="92"/>
      <c r="G13015" s="85"/>
    </row>
    <row r="13016">
      <c r="A13016" s="84"/>
      <c r="B13016" s="85"/>
      <c r="C13016" s="85"/>
      <c r="F13016" s="92"/>
      <c r="G13016" s="85"/>
    </row>
    <row r="13017">
      <c r="A13017" s="84"/>
      <c r="B13017" s="85"/>
      <c r="C13017" s="85"/>
      <c r="F13017" s="92"/>
      <c r="G13017" s="85"/>
    </row>
    <row r="13018">
      <c r="A13018" s="84"/>
      <c r="B13018" s="85"/>
      <c r="C13018" s="85"/>
      <c r="F13018" s="92"/>
      <c r="G13018" s="85"/>
    </row>
    <row r="13019">
      <c r="A13019" s="84"/>
      <c r="B13019" s="85"/>
      <c r="C13019" s="85"/>
      <c r="F13019" s="92"/>
      <c r="G13019" s="85"/>
    </row>
    <row r="13020">
      <c r="A13020" s="84"/>
      <c r="B13020" s="85"/>
      <c r="C13020" s="85"/>
      <c r="F13020" s="92"/>
      <c r="G13020" s="85"/>
    </row>
    <row r="13021">
      <c r="A13021" s="84"/>
      <c r="B13021" s="85"/>
      <c r="C13021" s="85"/>
      <c r="F13021" s="92"/>
      <c r="G13021" s="85"/>
    </row>
    <row r="13022">
      <c r="A13022" s="84"/>
      <c r="B13022" s="85"/>
      <c r="C13022" s="85"/>
      <c r="F13022" s="92"/>
      <c r="G13022" s="85"/>
    </row>
    <row r="13023">
      <c r="A13023" s="84"/>
      <c r="B13023" s="85"/>
      <c r="C13023" s="85"/>
      <c r="F13023" s="92"/>
      <c r="G13023" s="85"/>
    </row>
    <row r="13024">
      <c r="A13024" s="84"/>
      <c r="B13024" s="85"/>
      <c r="C13024" s="85"/>
      <c r="F13024" s="92"/>
      <c r="G13024" s="85"/>
    </row>
    <row r="13025">
      <c r="A13025" s="84"/>
      <c r="B13025" s="85"/>
      <c r="C13025" s="85"/>
      <c r="F13025" s="92"/>
      <c r="G13025" s="85"/>
    </row>
    <row r="13026">
      <c r="A13026" s="84"/>
      <c r="B13026" s="85"/>
      <c r="C13026" s="85"/>
      <c r="F13026" s="92"/>
      <c r="G13026" s="85"/>
    </row>
    <row r="13027">
      <c r="A13027" s="84"/>
      <c r="B13027" s="85"/>
      <c r="C13027" s="85"/>
      <c r="F13027" s="92"/>
      <c r="G13027" s="85"/>
    </row>
    <row r="13028">
      <c r="A13028" s="84"/>
      <c r="B13028" s="85"/>
      <c r="C13028" s="85"/>
      <c r="F13028" s="92"/>
      <c r="G13028" s="85"/>
    </row>
    <row r="13029">
      <c r="A13029" s="84"/>
      <c r="B13029" s="85"/>
      <c r="C13029" s="85"/>
      <c r="F13029" s="92"/>
      <c r="G13029" s="85"/>
    </row>
    <row r="13030">
      <c r="A13030" s="84"/>
      <c r="B13030" s="85"/>
      <c r="C13030" s="85"/>
      <c r="F13030" s="92"/>
      <c r="G13030" s="85"/>
    </row>
    <row r="13031">
      <c r="A13031" s="84"/>
      <c r="B13031" s="85"/>
      <c r="C13031" s="85"/>
      <c r="F13031" s="92"/>
      <c r="G13031" s="85"/>
    </row>
    <row r="13032">
      <c r="A13032" s="84"/>
      <c r="B13032" s="85"/>
      <c r="C13032" s="85"/>
      <c r="F13032" s="92"/>
      <c r="G13032" s="85"/>
    </row>
    <row r="13033">
      <c r="A13033" s="84"/>
      <c r="B13033" s="85"/>
      <c r="C13033" s="85"/>
      <c r="F13033" s="92"/>
      <c r="G13033" s="85"/>
    </row>
    <row r="13034">
      <c r="A13034" s="84"/>
      <c r="B13034" s="85"/>
      <c r="C13034" s="85"/>
      <c r="F13034" s="92"/>
      <c r="G13034" s="85"/>
    </row>
    <row r="13035">
      <c r="A13035" s="84"/>
      <c r="B13035" s="85"/>
      <c r="C13035" s="85"/>
      <c r="F13035" s="92"/>
      <c r="G13035" s="85"/>
    </row>
    <row r="13036">
      <c r="A13036" s="84"/>
      <c r="B13036" s="85"/>
      <c r="C13036" s="85"/>
      <c r="F13036" s="92"/>
      <c r="G13036" s="85"/>
    </row>
    <row r="13037">
      <c r="A13037" s="84"/>
      <c r="B13037" s="85"/>
      <c r="C13037" s="85"/>
      <c r="F13037" s="92"/>
      <c r="G13037" s="85"/>
    </row>
    <row r="13038">
      <c r="A13038" s="84"/>
      <c r="B13038" s="85"/>
      <c r="C13038" s="85"/>
      <c r="F13038" s="92"/>
      <c r="G13038" s="85"/>
    </row>
    <row r="13039">
      <c r="A13039" s="84"/>
      <c r="B13039" s="85"/>
      <c r="C13039" s="85"/>
      <c r="F13039" s="92"/>
      <c r="G13039" s="85"/>
    </row>
    <row r="13040">
      <c r="A13040" s="84"/>
      <c r="B13040" s="85"/>
      <c r="C13040" s="85"/>
      <c r="F13040" s="92"/>
      <c r="G13040" s="85"/>
    </row>
    <row r="13041">
      <c r="A13041" s="84"/>
      <c r="B13041" s="85"/>
      <c r="C13041" s="85"/>
      <c r="F13041" s="92"/>
      <c r="G13041" s="85"/>
    </row>
    <row r="13042">
      <c r="A13042" s="84"/>
      <c r="B13042" s="85"/>
      <c r="C13042" s="85"/>
      <c r="F13042" s="92"/>
      <c r="G13042" s="85"/>
    </row>
    <row r="13043">
      <c r="A13043" s="84"/>
      <c r="B13043" s="85"/>
      <c r="C13043" s="85"/>
      <c r="F13043" s="92"/>
      <c r="G13043" s="85"/>
    </row>
    <row r="13044">
      <c r="A13044" s="84"/>
      <c r="B13044" s="85"/>
      <c r="C13044" s="85"/>
      <c r="F13044" s="92"/>
      <c r="G13044" s="85"/>
    </row>
    <row r="13045">
      <c r="A13045" s="84"/>
      <c r="B13045" s="85"/>
      <c r="C13045" s="85"/>
      <c r="F13045" s="92"/>
      <c r="G13045" s="85"/>
    </row>
    <row r="13046">
      <c r="A13046" s="84"/>
      <c r="B13046" s="85"/>
      <c r="C13046" s="85"/>
      <c r="F13046" s="92"/>
      <c r="G13046" s="85"/>
    </row>
    <row r="13047">
      <c r="A13047" s="84"/>
      <c r="B13047" s="85"/>
      <c r="C13047" s="85"/>
      <c r="F13047" s="92"/>
      <c r="G13047" s="85"/>
    </row>
    <row r="13048">
      <c r="A13048" s="84"/>
      <c r="B13048" s="85"/>
      <c r="C13048" s="85"/>
      <c r="F13048" s="92"/>
      <c r="G13048" s="85"/>
    </row>
    <row r="13049">
      <c r="A13049" s="84"/>
      <c r="B13049" s="85"/>
      <c r="C13049" s="85"/>
      <c r="F13049" s="92"/>
      <c r="G13049" s="85"/>
    </row>
    <row r="13050">
      <c r="A13050" s="84"/>
      <c r="B13050" s="85"/>
      <c r="C13050" s="85"/>
      <c r="F13050" s="92"/>
      <c r="G13050" s="85"/>
    </row>
    <row r="13051">
      <c r="A13051" s="84"/>
      <c r="B13051" s="85"/>
      <c r="C13051" s="85"/>
      <c r="F13051" s="92"/>
      <c r="G13051" s="85"/>
    </row>
    <row r="13052">
      <c r="A13052" s="84"/>
      <c r="B13052" s="85"/>
      <c r="C13052" s="85"/>
      <c r="F13052" s="92"/>
      <c r="G13052" s="85"/>
    </row>
    <row r="13053">
      <c r="A13053" s="84"/>
      <c r="B13053" s="85"/>
      <c r="C13053" s="85"/>
      <c r="F13053" s="92"/>
      <c r="G13053" s="85"/>
    </row>
    <row r="13054">
      <c r="A13054" s="84"/>
      <c r="B13054" s="85"/>
      <c r="C13054" s="85"/>
      <c r="F13054" s="92"/>
      <c r="G13054" s="85"/>
    </row>
    <row r="13055">
      <c r="A13055" s="84"/>
      <c r="B13055" s="85"/>
      <c r="C13055" s="85"/>
      <c r="F13055" s="92"/>
      <c r="G13055" s="85"/>
    </row>
    <row r="13056">
      <c r="A13056" s="84"/>
      <c r="B13056" s="85"/>
      <c r="C13056" s="85"/>
      <c r="F13056" s="92"/>
      <c r="G13056" s="85"/>
    </row>
    <row r="13057">
      <c r="A13057" s="84"/>
      <c r="B13057" s="85"/>
      <c r="C13057" s="85"/>
      <c r="F13057" s="92"/>
      <c r="G13057" s="85"/>
    </row>
    <row r="13058">
      <c r="A13058" s="84"/>
      <c r="B13058" s="85"/>
      <c r="C13058" s="85"/>
      <c r="F13058" s="92"/>
      <c r="G13058" s="85"/>
    </row>
    <row r="13059">
      <c r="A13059" s="84"/>
      <c r="B13059" s="85"/>
      <c r="C13059" s="85"/>
      <c r="F13059" s="92"/>
      <c r="G13059" s="85"/>
    </row>
    <row r="13060">
      <c r="A13060" s="84"/>
      <c r="B13060" s="85"/>
      <c r="C13060" s="85"/>
      <c r="F13060" s="92"/>
      <c r="G13060" s="85"/>
    </row>
    <row r="13061">
      <c r="A13061" s="84"/>
      <c r="B13061" s="85"/>
      <c r="C13061" s="85"/>
      <c r="F13061" s="92"/>
      <c r="G13061" s="85"/>
    </row>
    <row r="13062">
      <c r="A13062" s="84"/>
      <c r="B13062" s="85"/>
      <c r="C13062" s="85"/>
      <c r="F13062" s="92"/>
      <c r="G13062" s="85"/>
    </row>
    <row r="13063">
      <c r="A13063" s="84"/>
      <c r="B13063" s="85"/>
      <c r="C13063" s="85"/>
      <c r="F13063" s="92"/>
      <c r="G13063" s="85"/>
    </row>
    <row r="13064">
      <c r="A13064" s="84"/>
      <c r="B13064" s="85"/>
      <c r="C13064" s="85"/>
      <c r="F13064" s="92"/>
      <c r="G13064" s="85"/>
    </row>
    <row r="13065">
      <c r="A13065" s="84"/>
      <c r="B13065" s="85"/>
      <c r="C13065" s="85"/>
      <c r="F13065" s="92"/>
      <c r="G13065" s="85"/>
    </row>
    <row r="13066">
      <c r="A13066" s="84"/>
      <c r="B13066" s="85"/>
      <c r="C13066" s="85"/>
      <c r="F13066" s="92"/>
      <c r="G13066" s="85"/>
    </row>
    <row r="13067">
      <c r="A13067" s="84"/>
      <c r="B13067" s="85"/>
      <c r="C13067" s="85"/>
      <c r="F13067" s="92"/>
      <c r="G13067" s="85"/>
    </row>
    <row r="13068">
      <c r="A13068" s="84"/>
      <c r="B13068" s="85"/>
      <c r="C13068" s="85"/>
      <c r="F13068" s="92"/>
      <c r="G13068" s="85"/>
    </row>
    <row r="13069">
      <c r="A13069" s="84"/>
      <c r="B13069" s="85"/>
      <c r="C13069" s="85"/>
      <c r="F13069" s="92"/>
      <c r="G13069" s="85"/>
    </row>
    <row r="13070">
      <c r="A13070" s="84"/>
      <c r="B13070" s="85"/>
      <c r="C13070" s="85"/>
      <c r="F13070" s="92"/>
      <c r="G13070" s="85"/>
    </row>
    <row r="13071">
      <c r="A13071" s="84"/>
      <c r="B13071" s="85"/>
      <c r="C13071" s="85"/>
      <c r="F13071" s="92"/>
      <c r="G13071" s="85"/>
    </row>
    <row r="13072">
      <c r="A13072" s="84"/>
      <c r="B13072" s="85"/>
      <c r="C13072" s="85"/>
      <c r="F13072" s="92"/>
      <c r="G13072" s="85"/>
    </row>
    <row r="13073">
      <c r="A13073" s="84"/>
      <c r="B13073" s="85"/>
      <c r="C13073" s="85"/>
      <c r="F13073" s="92"/>
      <c r="G13073" s="85"/>
    </row>
    <row r="13074">
      <c r="A13074" s="84"/>
      <c r="B13074" s="85"/>
      <c r="C13074" s="85"/>
      <c r="F13074" s="92"/>
      <c r="G13074" s="85"/>
    </row>
    <row r="13075">
      <c r="A13075" s="84"/>
      <c r="B13075" s="85"/>
      <c r="C13075" s="85"/>
      <c r="F13075" s="92"/>
      <c r="G13075" s="85"/>
    </row>
    <row r="13076">
      <c r="A13076" s="84"/>
      <c r="B13076" s="85"/>
      <c r="C13076" s="85"/>
      <c r="F13076" s="92"/>
      <c r="G13076" s="85"/>
    </row>
    <row r="13077">
      <c r="A13077" s="84"/>
      <c r="B13077" s="85"/>
      <c r="C13077" s="85"/>
      <c r="F13077" s="92"/>
      <c r="G13077" s="85"/>
    </row>
    <row r="13078">
      <c r="A13078" s="84"/>
      <c r="B13078" s="85"/>
      <c r="C13078" s="85"/>
      <c r="F13078" s="92"/>
      <c r="G13078" s="85"/>
    </row>
    <row r="13079">
      <c r="A13079" s="84"/>
      <c r="B13079" s="85"/>
      <c r="C13079" s="85"/>
      <c r="F13079" s="92"/>
      <c r="G13079" s="85"/>
    </row>
    <row r="13080">
      <c r="A13080" s="84"/>
      <c r="B13080" s="85"/>
      <c r="C13080" s="85"/>
      <c r="F13080" s="92"/>
      <c r="G13080" s="85"/>
    </row>
    <row r="13081">
      <c r="A13081" s="84"/>
      <c r="B13081" s="85"/>
      <c r="C13081" s="85"/>
      <c r="F13081" s="92"/>
      <c r="G13081" s="85"/>
    </row>
    <row r="13082">
      <c r="A13082" s="84"/>
      <c r="B13082" s="85"/>
      <c r="C13082" s="85"/>
      <c r="F13082" s="92"/>
      <c r="G13082" s="85"/>
    </row>
    <row r="13083">
      <c r="A13083" s="84"/>
      <c r="B13083" s="85"/>
      <c r="C13083" s="85"/>
      <c r="F13083" s="92"/>
      <c r="G13083" s="85"/>
    </row>
    <row r="13084">
      <c r="A13084" s="84"/>
      <c r="B13084" s="85"/>
      <c r="C13084" s="85"/>
      <c r="F13084" s="92"/>
      <c r="G13084" s="85"/>
    </row>
    <row r="13085">
      <c r="A13085" s="84"/>
      <c r="B13085" s="85"/>
      <c r="C13085" s="85"/>
      <c r="F13085" s="92"/>
      <c r="G13085" s="85"/>
    </row>
    <row r="13086">
      <c r="A13086" s="84"/>
      <c r="B13086" s="85"/>
      <c r="C13086" s="85"/>
      <c r="F13086" s="92"/>
      <c r="G13086" s="85"/>
    </row>
    <row r="13087">
      <c r="A13087" s="84"/>
      <c r="B13087" s="85"/>
      <c r="C13087" s="85"/>
      <c r="F13087" s="92"/>
      <c r="G13087" s="85"/>
    </row>
    <row r="13088">
      <c r="A13088" s="84"/>
      <c r="B13088" s="85"/>
      <c r="C13088" s="85"/>
      <c r="F13088" s="92"/>
      <c r="G13088" s="85"/>
    </row>
    <row r="13089">
      <c r="A13089" s="84"/>
      <c r="B13089" s="85"/>
      <c r="C13089" s="85"/>
      <c r="F13089" s="92"/>
      <c r="G13089" s="85"/>
    </row>
    <row r="13090">
      <c r="A13090" s="84"/>
      <c r="B13090" s="85"/>
      <c r="C13090" s="85"/>
      <c r="F13090" s="92"/>
      <c r="G13090" s="85"/>
    </row>
    <row r="13091">
      <c r="A13091" s="84"/>
      <c r="B13091" s="85"/>
      <c r="C13091" s="85"/>
      <c r="F13091" s="92"/>
      <c r="G13091" s="85"/>
    </row>
    <row r="13092">
      <c r="A13092" s="84"/>
      <c r="B13092" s="85"/>
      <c r="C13092" s="85"/>
      <c r="F13092" s="92"/>
      <c r="G13092" s="85"/>
    </row>
    <row r="13093">
      <c r="A13093" s="84"/>
      <c r="B13093" s="85"/>
      <c r="C13093" s="85"/>
      <c r="F13093" s="92"/>
      <c r="G13093" s="85"/>
    </row>
    <row r="13094">
      <c r="A13094" s="84"/>
      <c r="B13094" s="85"/>
      <c r="C13094" s="85"/>
      <c r="F13094" s="92"/>
      <c r="G13094" s="85"/>
    </row>
    <row r="13095">
      <c r="A13095" s="84"/>
      <c r="B13095" s="85"/>
      <c r="C13095" s="85"/>
      <c r="F13095" s="92"/>
      <c r="G13095" s="85"/>
    </row>
    <row r="13096">
      <c r="A13096" s="84"/>
      <c r="B13096" s="85"/>
      <c r="C13096" s="85"/>
      <c r="F13096" s="92"/>
      <c r="G13096" s="85"/>
    </row>
    <row r="13097">
      <c r="A13097" s="84"/>
      <c r="B13097" s="85"/>
      <c r="C13097" s="85"/>
      <c r="F13097" s="92"/>
      <c r="G13097" s="85"/>
    </row>
    <row r="13098">
      <c r="A13098" s="84"/>
      <c r="B13098" s="85"/>
      <c r="C13098" s="85"/>
      <c r="F13098" s="92"/>
      <c r="G13098" s="85"/>
    </row>
    <row r="13099">
      <c r="A13099" s="84"/>
      <c r="B13099" s="85"/>
      <c r="C13099" s="85"/>
      <c r="F13099" s="92"/>
      <c r="G13099" s="85"/>
    </row>
    <row r="13100">
      <c r="A13100" s="84"/>
      <c r="B13100" s="85"/>
      <c r="C13100" s="85"/>
      <c r="F13100" s="92"/>
      <c r="G13100" s="85"/>
    </row>
    <row r="13101">
      <c r="A13101" s="84"/>
      <c r="B13101" s="85"/>
      <c r="C13101" s="85"/>
      <c r="F13101" s="92"/>
      <c r="G13101" s="85"/>
    </row>
    <row r="13102">
      <c r="A13102" s="84"/>
      <c r="B13102" s="85"/>
      <c r="C13102" s="85"/>
      <c r="F13102" s="92"/>
      <c r="G13102" s="85"/>
    </row>
    <row r="13103">
      <c r="A13103" s="84"/>
      <c r="B13103" s="85"/>
      <c r="C13103" s="85"/>
      <c r="F13103" s="92"/>
      <c r="G13103" s="85"/>
    </row>
    <row r="13104">
      <c r="A13104" s="84"/>
      <c r="B13104" s="85"/>
      <c r="C13104" s="85"/>
      <c r="F13104" s="92"/>
      <c r="G13104" s="85"/>
    </row>
    <row r="13105">
      <c r="A13105" s="84"/>
      <c r="B13105" s="85"/>
      <c r="C13105" s="85"/>
      <c r="F13105" s="92"/>
      <c r="G13105" s="85"/>
    </row>
    <row r="13106">
      <c r="A13106" s="84"/>
      <c r="B13106" s="85"/>
      <c r="C13106" s="85"/>
      <c r="F13106" s="92"/>
      <c r="G13106" s="85"/>
    </row>
    <row r="13107">
      <c r="A13107" s="84"/>
      <c r="B13107" s="85"/>
      <c r="C13107" s="85"/>
      <c r="F13107" s="92"/>
      <c r="G13107" s="85"/>
    </row>
    <row r="13108">
      <c r="A13108" s="84"/>
      <c r="B13108" s="85"/>
      <c r="C13108" s="85"/>
      <c r="F13108" s="92"/>
      <c r="G13108" s="85"/>
    </row>
    <row r="13109">
      <c r="A13109" s="84"/>
      <c r="B13109" s="85"/>
      <c r="C13109" s="85"/>
      <c r="F13109" s="92"/>
      <c r="G13109" s="85"/>
    </row>
    <row r="13110">
      <c r="A13110" s="84"/>
      <c r="B13110" s="85"/>
      <c r="C13110" s="85"/>
      <c r="F13110" s="92"/>
      <c r="G13110" s="85"/>
    </row>
    <row r="13111">
      <c r="A13111" s="84"/>
      <c r="B13111" s="85"/>
      <c r="C13111" s="85"/>
      <c r="F13111" s="92"/>
      <c r="G13111" s="85"/>
    </row>
    <row r="13112">
      <c r="A13112" s="84"/>
      <c r="B13112" s="85"/>
      <c r="C13112" s="85"/>
      <c r="F13112" s="92"/>
      <c r="G13112" s="85"/>
    </row>
    <row r="13113">
      <c r="A13113" s="84"/>
      <c r="B13113" s="85"/>
      <c r="C13113" s="85"/>
      <c r="F13113" s="92"/>
      <c r="G13113" s="85"/>
    </row>
    <row r="13114">
      <c r="A13114" s="84"/>
      <c r="B13114" s="85"/>
      <c r="C13114" s="85"/>
      <c r="F13114" s="92"/>
      <c r="G13114" s="85"/>
    </row>
    <row r="13115">
      <c r="A13115" s="84"/>
      <c r="B13115" s="85"/>
      <c r="C13115" s="85"/>
      <c r="F13115" s="92"/>
      <c r="G13115" s="85"/>
    </row>
    <row r="13116">
      <c r="A13116" s="84"/>
      <c r="B13116" s="85"/>
      <c r="C13116" s="85"/>
      <c r="F13116" s="92"/>
      <c r="G13116" s="85"/>
    </row>
    <row r="13117">
      <c r="A13117" s="84"/>
      <c r="B13117" s="85"/>
      <c r="C13117" s="85"/>
      <c r="F13117" s="92"/>
      <c r="G13117" s="85"/>
    </row>
    <row r="13118">
      <c r="A13118" s="84"/>
      <c r="B13118" s="85"/>
      <c r="C13118" s="85"/>
      <c r="F13118" s="92"/>
      <c r="G13118" s="85"/>
    </row>
    <row r="13119">
      <c r="A13119" s="84"/>
      <c r="B13119" s="85"/>
      <c r="C13119" s="85"/>
      <c r="F13119" s="92"/>
      <c r="G13119" s="85"/>
    </row>
    <row r="13120">
      <c r="A13120" s="84"/>
      <c r="B13120" s="85"/>
      <c r="C13120" s="85"/>
      <c r="F13120" s="92"/>
      <c r="G13120" s="85"/>
    </row>
    <row r="13121">
      <c r="A13121" s="84"/>
      <c r="B13121" s="85"/>
      <c r="C13121" s="85"/>
      <c r="F13121" s="92"/>
      <c r="G13121" s="85"/>
    </row>
    <row r="13122">
      <c r="A13122" s="84"/>
      <c r="B13122" s="85"/>
      <c r="C13122" s="85"/>
      <c r="F13122" s="92"/>
      <c r="G13122" s="85"/>
    </row>
    <row r="13123">
      <c r="A13123" s="84"/>
      <c r="B13123" s="85"/>
      <c r="C13123" s="85"/>
      <c r="F13123" s="92"/>
      <c r="G13123" s="85"/>
    </row>
    <row r="13124">
      <c r="A13124" s="84"/>
      <c r="B13124" s="85"/>
      <c r="C13124" s="85"/>
      <c r="F13124" s="92"/>
      <c r="G13124" s="85"/>
    </row>
    <row r="13125">
      <c r="A13125" s="84"/>
      <c r="B13125" s="85"/>
      <c r="C13125" s="85"/>
      <c r="F13125" s="92"/>
      <c r="G13125" s="85"/>
    </row>
    <row r="13126">
      <c r="A13126" s="84"/>
      <c r="B13126" s="85"/>
      <c r="C13126" s="85"/>
      <c r="F13126" s="92"/>
      <c r="G13126" s="85"/>
    </row>
    <row r="13127">
      <c r="A13127" s="84"/>
      <c r="B13127" s="85"/>
      <c r="C13127" s="85"/>
      <c r="F13127" s="92"/>
      <c r="G13127" s="85"/>
    </row>
    <row r="13128">
      <c r="A13128" s="84"/>
      <c r="B13128" s="85"/>
      <c r="C13128" s="85"/>
      <c r="F13128" s="92"/>
      <c r="G13128" s="85"/>
    </row>
    <row r="13129">
      <c r="A13129" s="84"/>
      <c r="B13129" s="85"/>
      <c r="C13129" s="85"/>
      <c r="F13129" s="92"/>
      <c r="G13129" s="85"/>
    </row>
    <row r="13130">
      <c r="A13130" s="84"/>
      <c r="B13130" s="85"/>
      <c r="C13130" s="85"/>
      <c r="F13130" s="92"/>
      <c r="G13130" s="85"/>
    </row>
    <row r="13131">
      <c r="A13131" s="84"/>
      <c r="B13131" s="85"/>
      <c r="C13131" s="85"/>
      <c r="F13131" s="92"/>
      <c r="G13131" s="85"/>
    </row>
    <row r="13132">
      <c r="A13132" s="84"/>
      <c r="B13132" s="85"/>
      <c r="C13132" s="85"/>
      <c r="F13132" s="92"/>
      <c r="G13132" s="85"/>
    </row>
    <row r="13133">
      <c r="A13133" s="84"/>
      <c r="B13133" s="85"/>
      <c r="C13133" s="85"/>
      <c r="F13133" s="92"/>
      <c r="G13133" s="85"/>
    </row>
    <row r="13134">
      <c r="A13134" s="84"/>
      <c r="B13134" s="85"/>
      <c r="C13134" s="85"/>
      <c r="F13134" s="92"/>
      <c r="G13134" s="85"/>
    </row>
    <row r="13135">
      <c r="A13135" s="84"/>
      <c r="B13135" s="85"/>
      <c r="C13135" s="85"/>
      <c r="F13135" s="92"/>
      <c r="G13135" s="85"/>
    </row>
    <row r="13136">
      <c r="A13136" s="84"/>
      <c r="B13136" s="85"/>
      <c r="C13136" s="85"/>
      <c r="F13136" s="92"/>
      <c r="G13136" s="85"/>
    </row>
    <row r="13137">
      <c r="A13137" s="84"/>
      <c r="B13137" s="85"/>
      <c r="C13137" s="85"/>
      <c r="F13137" s="92"/>
      <c r="G13137" s="85"/>
    </row>
    <row r="13138">
      <c r="A13138" s="84"/>
      <c r="B13138" s="85"/>
      <c r="C13138" s="85"/>
      <c r="F13138" s="92"/>
      <c r="G13138" s="85"/>
    </row>
    <row r="13139">
      <c r="A13139" s="84"/>
      <c r="B13139" s="85"/>
      <c r="C13139" s="85"/>
      <c r="F13139" s="92"/>
      <c r="G13139" s="85"/>
    </row>
    <row r="13140">
      <c r="A13140" s="84"/>
      <c r="B13140" s="85"/>
      <c r="C13140" s="85"/>
      <c r="F13140" s="92"/>
      <c r="G13140" s="85"/>
    </row>
    <row r="13141">
      <c r="A13141" s="84"/>
      <c r="B13141" s="85"/>
      <c r="C13141" s="85"/>
      <c r="F13141" s="92"/>
      <c r="G13141" s="85"/>
    </row>
    <row r="13142">
      <c r="A13142" s="84"/>
      <c r="B13142" s="85"/>
      <c r="C13142" s="85"/>
      <c r="F13142" s="92"/>
      <c r="G13142" s="85"/>
    </row>
    <row r="13143">
      <c r="A13143" s="84"/>
      <c r="B13143" s="85"/>
      <c r="C13143" s="85"/>
      <c r="F13143" s="92"/>
      <c r="G13143" s="85"/>
    </row>
    <row r="13144">
      <c r="A13144" s="84"/>
      <c r="B13144" s="85"/>
      <c r="C13144" s="85"/>
      <c r="F13144" s="92"/>
      <c r="G13144" s="85"/>
    </row>
    <row r="13145">
      <c r="A13145" s="84"/>
      <c r="B13145" s="85"/>
      <c r="C13145" s="85"/>
      <c r="F13145" s="92"/>
      <c r="G13145" s="85"/>
    </row>
    <row r="13146">
      <c r="A13146" s="84"/>
      <c r="B13146" s="85"/>
      <c r="C13146" s="85"/>
      <c r="F13146" s="92"/>
      <c r="G13146" s="85"/>
    </row>
    <row r="13147">
      <c r="A13147" s="84"/>
      <c r="B13147" s="85"/>
      <c r="C13147" s="85"/>
      <c r="F13147" s="92"/>
      <c r="G13147" s="85"/>
    </row>
    <row r="13148">
      <c r="A13148" s="84"/>
      <c r="B13148" s="85"/>
      <c r="C13148" s="85"/>
      <c r="F13148" s="92"/>
      <c r="G13148" s="85"/>
    </row>
    <row r="13149">
      <c r="A13149" s="84"/>
      <c r="B13149" s="85"/>
      <c r="C13149" s="85"/>
      <c r="F13149" s="92"/>
      <c r="G13149" s="85"/>
    </row>
    <row r="13150">
      <c r="A13150" s="84"/>
      <c r="B13150" s="85"/>
      <c r="C13150" s="85"/>
      <c r="F13150" s="92"/>
      <c r="G13150" s="85"/>
    </row>
    <row r="13151">
      <c r="A13151" s="84"/>
      <c r="B13151" s="85"/>
      <c r="C13151" s="85"/>
      <c r="F13151" s="92"/>
      <c r="G13151" s="85"/>
    </row>
    <row r="13152">
      <c r="A13152" s="84"/>
      <c r="B13152" s="85"/>
      <c r="C13152" s="85"/>
      <c r="F13152" s="92"/>
      <c r="G13152" s="85"/>
    </row>
    <row r="13153">
      <c r="A13153" s="84"/>
      <c r="B13153" s="85"/>
      <c r="C13153" s="85"/>
      <c r="F13153" s="92"/>
      <c r="G13153" s="85"/>
    </row>
    <row r="13154">
      <c r="A13154" s="84"/>
      <c r="B13154" s="85"/>
      <c r="C13154" s="85"/>
      <c r="F13154" s="92"/>
      <c r="G13154" s="85"/>
    </row>
    <row r="13155">
      <c r="A13155" s="84"/>
      <c r="B13155" s="85"/>
      <c r="C13155" s="85"/>
      <c r="F13155" s="92"/>
      <c r="G13155" s="85"/>
    </row>
    <row r="13156">
      <c r="A13156" s="84"/>
      <c r="B13156" s="85"/>
      <c r="C13156" s="85"/>
      <c r="F13156" s="92"/>
      <c r="G13156" s="85"/>
    </row>
    <row r="13157">
      <c r="A13157" s="84"/>
      <c r="B13157" s="85"/>
      <c r="C13157" s="85"/>
      <c r="F13157" s="92"/>
      <c r="G13157" s="85"/>
    </row>
    <row r="13158">
      <c r="A13158" s="84"/>
      <c r="B13158" s="85"/>
      <c r="C13158" s="85"/>
      <c r="F13158" s="92"/>
      <c r="G13158" s="85"/>
    </row>
    <row r="13159">
      <c r="A13159" s="84"/>
      <c r="B13159" s="85"/>
      <c r="C13159" s="85"/>
      <c r="F13159" s="92"/>
      <c r="G13159" s="85"/>
    </row>
    <row r="13160">
      <c r="A13160" s="84"/>
      <c r="B13160" s="85"/>
      <c r="C13160" s="85"/>
      <c r="F13160" s="92"/>
      <c r="G13160" s="85"/>
    </row>
    <row r="13161">
      <c r="A13161" s="84"/>
      <c r="B13161" s="85"/>
      <c r="C13161" s="85"/>
      <c r="F13161" s="92"/>
      <c r="G13161" s="85"/>
    </row>
    <row r="13162">
      <c r="A13162" s="84"/>
      <c r="B13162" s="85"/>
      <c r="C13162" s="85"/>
      <c r="F13162" s="92"/>
      <c r="G13162" s="85"/>
    </row>
    <row r="13163">
      <c r="A13163" s="84"/>
      <c r="B13163" s="85"/>
      <c r="C13163" s="85"/>
      <c r="F13163" s="92"/>
      <c r="G13163" s="85"/>
    </row>
    <row r="13164">
      <c r="A13164" s="84"/>
      <c r="B13164" s="85"/>
      <c r="C13164" s="85"/>
      <c r="F13164" s="92"/>
      <c r="G13164" s="85"/>
    </row>
    <row r="13165">
      <c r="A13165" s="84"/>
      <c r="B13165" s="85"/>
      <c r="C13165" s="85"/>
      <c r="F13165" s="92"/>
      <c r="G13165" s="85"/>
    </row>
    <row r="13166">
      <c r="A13166" s="84"/>
      <c r="B13166" s="85"/>
      <c r="C13166" s="85"/>
      <c r="F13166" s="92"/>
      <c r="G13166" s="85"/>
    </row>
    <row r="13167">
      <c r="A13167" s="84"/>
      <c r="B13167" s="85"/>
      <c r="C13167" s="85"/>
      <c r="F13167" s="92"/>
      <c r="G13167" s="85"/>
    </row>
    <row r="13168">
      <c r="A13168" s="84"/>
      <c r="B13168" s="85"/>
      <c r="C13168" s="85"/>
      <c r="F13168" s="92"/>
      <c r="G13168" s="85"/>
    </row>
    <row r="13169">
      <c r="A13169" s="84"/>
      <c r="B13169" s="85"/>
      <c r="C13169" s="85"/>
      <c r="F13169" s="92"/>
      <c r="G13169" s="85"/>
    </row>
    <row r="13170">
      <c r="A13170" s="84"/>
      <c r="B13170" s="85"/>
      <c r="C13170" s="85"/>
      <c r="F13170" s="92"/>
      <c r="G13170" s="85"/>
    </row>
    <row r="13171">
      <c r="A13171" s="84"/>
      <c r="B13171" s="85"/>
      <c r="C13171" s="85"/>
      <c r="F13171" s="92"/>
      <c r="G13171" s="85"/>
    </row>
    <row r="13172">
      <c r="A13172" s="84"/>
      <c r="B13172" s="85"/>
      <c r="C13172" s="85"/>
      <c r="F13172" s="92"/>
      <c r="G13172" s="85"/>
    </row>
    <row r="13173">
      <c r="A13173" s="84"/>
      <c r="B13173" s="85"/>
      <c r="C13173" s="85"/>
      <c r="F13173" s="92"/>
      <c r="G13173" s="85"/>
    </row>
    <row r="13174">
      <c r="A13174" s="84"/>
      <c r="B13174" s="85"/>
      <c r="C13174" s="85"/>
      <c r="F13174" s="92"/>
      <c r="G13174" s="85"/>
    </row>
    <row r="13175">
      <c r="A13175" s="84"/>
      <c r="B13175" s="85"/>
      <c r="C13175" s="85"/>
      <c r="F13175" s="92"/>
      <c r="G13175" s="85"/>
    </row>
    <row r="13176">
      <c r="A13176" s="84"/>
      <c r="B13176" s="85"/>
      <c r="C13176" s="85"/>
      <c r="F13176" s="92"/>
      <c r="G13176" s="85"/>
    </row>
    <row r="13177">
      <c r="A13177" s="84"/>
      <c r="B13177" s="85"/>
      <c r="C13177" s="85"/>
      <c r="F13177" s="92"/>
      <c r="G13177" s="85"/>
    </row>
    <row r="13178">
      <c r="A13178" s="84"/>
      <c r="B13178" s="85"/>
      <c r="C13178" s="85"/>
      <c r="F13178" s="92"/>
      <c r="G13178" s="85"/>
    </row>
    <row r="13179">
      <c r="A13179" s="84"/>
      <c r="B13179" s="85"/>
      <c r="C13179" s="85"/>
      <c r="F13179" s="92"/>
      <c r="G13179" s="85"/>
    </row>
    <row r="13180">
      <c r="A13180" s="84"/>
      <c r="B13180" s="85"/>
      <c r="C13180" s="85"/>
      <c r="F13180" s="92"/>
      <c r="G13180" s="85"/>
    </row>
    <row r="13181">
      <c r="A13181" s="84"/>
      <c r="B13181" s="85"/>
      <c r="C13181" s="85"/>
      <c r="F13181" s="92"/>
      <c r="G13181" s="85"/>
    </row>
    <row r="13182">
      <c r="A13182" s="84"/>
      <c r="B13182" s="85"/>
      <c r="C13182" s="85"/>
      <c r="F13182" s="92"/>
      <c r="G13182" s="85"/>
    </row>
    <row r="13183">
      <c r="A13183" s="84"/>
      <c r="B13183" s="85"/>
      <c r="C13183" s="85"/>
      <c r="F13183" s="92"/>
      <c r="G13183" s="85"/>
    </row>
    <row r="13184">
      <c r="A13184" s="84"/>
      <c r="B13184" s="85"/>
      <c r="C13184" s="85"/>
      <c r="F13184" s="92"/>
      <c r="G13184" s="85"/>
    </row>
    <row r="13185">
      <c r="A13185" s="84"/>
      <c r="B13185" s="85"/>
      <c r="C13185" s="85"/>
      <c r="F13185" s="92"/>
      <c r="G13185" s="85"/>
    </row>
    <row r="13186">
      <c r="A13186" s="84"/>
      <c r="B13186" s="85"/>
      <c r="C13186" s="85"/>
      <c r="F13186" s="92"/>
      <c r="G13186" s="85"/>
    </row>
    <row r="13187">
      <c r="A13187" s="84"/>
      <c r="B13187" s="85"/>
      <c r="C13187" s="85"/>
      <c r="F13187" s="92"/>
      <c r="G13187" s="85"/>
    </row>
    <row r="13188">
      <c r="A13188" s="84"/>
      <c r="B13188" s="85"/>
      <c r="C13188" s="85"/>
      <c r="F13188" s="92"/>
      <c r="G13188" s="85"/>
    </row>
    <row r="13189">
      <c r="A13189" s="84"/>
      <c r="B13189" s="85"/>
      <c r="C13189" s="85"/>
      <c r="F13189" s="92"/>
      <c r="G13189" s="85"/>
    </row>
    <row r="13190">
      <c r="A13190" s="84"/>
      <c r="B13190" s="85"/>
      <c r="C13190" s="85"/>
      <c r="F13190" s="92"/>
      <c r="G13190" s="85"/>
    </row>
    <row r="13191">
      <c r="A13191" s="84"/>
      <c r="B13191" s="85"/>
      <c r="C13191" s="85"/>
      <c r="F13191" s="92"/>
      <c r="G13191" s="85"/>
    </row>
    <row r="13192">
      <c r="A13192" s="84"/>
      <c r="B13192" s="85"/>
      <c r="C13192" s="85"/>
      <c r="F13192" s="92"/>
      <c r="G13192" s="85"/>
    </row>
    <row r="13193">
      <c r="A13193" s="84"/>
      <c r="B13193" s="85"/>
      <c r="C13193" s="85"/>
      <c r="F13193" s="92"/>
      <c r="G13193" s="85"/>
    </row>
    <row r="13194">
      <c r="A13194" s="84"/>
      <c r="B13194" s="85"/>
      <c r="C13194" s="85"/>
      <c r="F13194" s="92"/>
      <c r="G13194" s="85"/>
    </row>
    <row r="13195">
      <c r="A13195" s="84"/>
      <c r="B13195" s="85"/>
      <c r="C13195" s="85"/>
      <c r="F13195" s="92"/>
      <c r="G13195" s="85"/>
    </row>
    <row r="13196">
      <c r="A13196" s="84"/>
      <c r="B13196" s="85"/>
      <c r="C13196" s="85"/>
      <c r="F13196" s="92"/>
      <c r="G13196" s="85"/>
    </row>
    <row r="13197">
      <c r="A13197" s="84"/>
      <c r="B13197" s="85"/>
      <c r="C13197" s="85"/>
      <c r="F13197" s="92"/>
      <c r="G13197" s="85"/>
    </row>
    <row r="13198">
      <c r="A13198" s="84"/>
      <c r="B13198" s="85"/>
      <c r="C13198" s="85"/>
      <c r="F13198" s="92"/>
      <c r="G13198" s="85"/>
    </row>
    <row r="13199">
      <c r="A13199" s="84"/>
      <c r="B13199" s="85"/>
      <c r="C13199" s="85"/>
      <c r="F13199" s="92"/>
      <c r="G13199" s="85"/>
    </row>
    <row r="13200">
      <c r="A13200" s="84"/>
      <c r="B13200" s="85"/>
      <c r="C13200" s="85"/>
      <c r="F13200" s="92"/>
      <c r="G13200" s="85"/>
    </row>
    <row r="13201">
      <c r="A13201" s="84"/>
      <c r="B13201" s="85"/>
      <c r="C13201" s="85"/>
      <c r="F13201" s="92"/>
      <c r="G13201" s="85"/>
    </row>
    <row r="13202">
      <c r="A13202" s="84"/>
      <c r="B13202" s="85"/>
      <c r="C13202" s="85"/>
      <c r="F13202" s="92"/>
      <c r="G13202" s="85"/>
    </row>
    <row r="13203">
      <c r="A13203" s="84"/>
      <c r="B13203" s="85"/>
      <c r="C13203" s="85"/>
      <c r="F13203" s="92"/>
      <c r="G13203" s="85"/>
    </row>
    <row r="13204">
      <c r="A13204" s="84"/>
      <c r="B13204" s="85"/>
      <c r="C13204" s="85"/>
      <c r="F13204" s="92"/>
      <c r="G13204" s="85"/>
    </row>
    <row r="13205">
      <c r="A13205" s="84"/>
      <c r="B13205" s="85"/>
      <c r="C13205" s="85"/>
      <c r="F13205" s="92"/>
      <c r="G13205" s="85"/>
    </row>
    <row r="13206">
      <c r="A13206" s="84"/>
      <c r="B13206" s="85"/>
      <c r="C13206" s="85"/>
      <c r="F13206" s="92"/>
      <c r="G13206" s="85"/>
    </row>
    <row r="13207">
      <c r="A13207" s="84"/>
      <c r="B13207" s="85"/>
      <c r="C13207" s="85"/>
      <c r="F13207" s="92"/>
      <c r="G13207" s="85"/>
    </row>
    <row r="13208">
      <c r="A13208" s="84"/>
      <c r="B13208" s="85"/>
      <c r="C13208" s="85"/>
      <c r="F13208" s="92"/>
      <c r="G13208" s="85"/>
    </row>
    <row r="13209">
      <c r="A13209" s="84"/>
      <c r="B13209" s="85"/>
      <c r="C13209" s="85"/>
      <c r="F13209" s="92"/>
      <c r="G13209" s="85"/>
    </row>
    <row r="13210">
      <c r="A13210" s="84"/>
      <c r="B13210" s="85"/>
      <c r="C13210" s="85"/>
      <c r="F13210" s="92"/>
      <c r="G13210" s="85"/>
    </row>
    <row r="13211">
      <c r="A13211" s="84"/>
      <c r="B13211" s="85"/>
      <c r="C13211" s="85"/>
      <c r="F13211" s="92"/>
      <c r="G13211" s="85"/>
    </row>
    <row r="13212">
      <c r="A13212" s="84"/>
      <c r="B13212" s="85"/>
      <c r="C13212" s="85"/>
      <c r="F13212" s="92"/>
      <c r="G13212" s="85"/>
    </row>
    <row r="13213">
      <c r="A13213" s="84"/>
      <c r="B13213" s="85"/>
      <c r="C13213" s="85"/>
      <c r="F13213" s="92"/>
      <c r="G13213" s="85"/>
    </row>
    <row r="13214">
      <c r="A13214" s="84"/>
      <c r="B13214" s="85"/>
      <c r="C13214" s="85"/>
      <c r="F13214" s="92"/>
      <c r="G13214" s="85"/>
    </row>
    <row r="13215">
      <c r="A13215" s="84"/>
      <c r="B13215" s="85"/>
      <c r="C13215" s="85"/>
      <c r="F13215" s="92"/>
      <c r="G13215" s="85"/>
    </row>
    <row r="13216">
      <c r="A13216" s="84"/>
      <c r="B13216" s="85"/>
      <c r="C13216" s="85"/>
      <c r="F13216" s="92"/>
      <c r="G13216" s="85"/>
    </row>
    <row r="13217">
      <c r="A13217" s="84"/>
      <c r="B13217" s="85"/>
      <c r="C13217" s="85"/>
      <c r="F13217" s="92"/>
      <c r="G13217" s="85"/>
    </row>
    <row r="13218">
      <c r="A13218" s="84"/>
      <c r="B13218" s="85"/>
      <c r="C13218" s="85"/>
      <c r="F13218" s="92"/>
      <c r="G13218" s="85"/>
    </row>
    <row r="13219">
      <c r="A13219" s="84"/>
      <c r="B13219" s="85"/>
      <c r="C13219" s="85"/>
      <c r="F13219" s="92"/>
      <c r="G13219" s="85"/>
    </row>
    <row r="13220">
      <c r="A13220" s="84"/>
      <c r="B13220" s="85"/>
      <c r="C13220" s="85"/>
      <c r="F13220" s="92"/>
      <c r="G13220" s="85"/>
    </row>
    <row r="13221">
      <c r="A13221" s="84"/>
      <c r="B13221" s="85"/>
      <c r="C13221" s="85"/>
      <c r="F13221" s="92"/>
      <c r="G13221" s="85"/>
    </row>
    <row r="13222">
      <c r="A13222" s="84"/>
      <c r="B13222" s="85"/>
      <c r="C13222" s="85"/>
      <c r="F13222" s="92"/>
      <c r="G13222" s="85"/>
    </row>
    <row r="13223">
      <c r="A13223" s="84"/>
      <c r="B13223" s="85"/>
      <c r="C13223" s="85"/>
      <c r="F13223" s="92"/>
      <c r="G13223" s="85"/>
    </row>
    <row r="13224">
      <c r="A13224" s="84"/>
      <c r="B13224" s="85"/>
      <c r="C13224" s="85"/>
      <c r="F13224" s="92"/>
      <c r="G13224" s="85"/>
    </row>
    <row r="13225">
      <c r="A13225" s="84"/>
      <c r="B13225" s="85"/>
      <c r="C13225" s="85"/>
      <c r="F13225" s="92"/>
      <c r="G13225" s="85"/>
    </row>
    <row r="13226">
      <c r="A13226" s="84"/>
      <c r="B13226" s="85"/>
      <c r="C13226" s="85"/>
      <c r="F13226" s="92"/>
      <c r="G13226" s="85"/>
    </row>
    <row r="13227">
      <c r="A13227" s="84"/>
      <c r="B13227" s="85"/>
      <c r="C13227" s="85"/>
      <c r="F13227" s="92"/>
      <c r="G13227" s="85"/>
    </row>
    <row r="13228">
      <c r="A13228" s="84"/>
      <c r="B13228" s="85"/>
      <c r="C13228" s="85"/>
      <c r="F13228" s="92"/>
      <c r="G13228" s="85"/>
    </row>
    <row r="13229">
      <c r="A13229" s="84"/>
      <c r="B13229" s="85"/>
      <c r="C13229" s="85"/>
      <c r="F13229" s="92"/>
      <c r="G13229" s="85"/>
    </row>
    <row r="13230">
      <c r="A13230" s="84"/>
      <c r="B13230" s="85"/>
      <c r="C13230" s="85"/>
      <c r="F13230" s="92"/>
      <c r="G13230" s="85"/>
    </row>
    <row r="13231">
      <c r="A13231" s="84"/>
      <c r="B13231" s="85"/>
      <c r="C13231" s="85"/>
      <c r="F13231" s="92"/>
      <c r="G13231" s="85"/>
    </row>
    <row r="13232">
      <c r="A13232" s="84"/>
      <c r="B13232" s="85"/>
      <c r="C13232" s="85"/>
      <c r="F13232" s="92"/>
      <c r="G13232" s="85"/>
    </row>
    <row r="13233">
      <c r="A13233" s="84"/>
      <c r="B13233" s="85"/>
      <c r="C13233" s="85"/>
      <c r="F13233" s="92"/>
      <c r="G13233" s="85"/>
    </row>
    <row r="13234">
      <c r="A13234" s="84"/>
      <c r="B13234" s="85"/>
      <c r="C13234" s="85"/>
      <c r="F13234" s="92"/>
      <c r="G13234" s="85"/>
    </row>
    <row r="13235">
      <c r="A13235" s="84"/>
      <c r="B13235" s="85"/>
      <c r="C13235" s="85"/>
      <c r="F13235" s="92"/>
      <c r="G13235" s="85"/>
    </row>
    <row r="13236">
      <c r="A13236" s="84"/>
      <c r="B13236" s="85"/>
      <c r="C13236" s="85"/>
      <c r="F13236" s="92"/>
      <c r="G13236" s="85"/>
    </row>
    <row r="13237">
      <c r="A13237" s="84"/>
      <c r="B13237" s="85"/>
      <c r="C13237" s="85"/>
      <c r="F13237" s="92"/>
      <c r="G13237" s="85"/>
    </row>
    <row r="13238">
      <c r="A13238" s="84"/>
      <c r="B13238" s="85"/>
      <c r="C13238" s="85"/>
      <c r="F13238" s="92"/>
      <c r="G13238" s="85"/>
    </row>
    <row r="13239">
      <c r="A13239" s="84"/>
      <c r="B13239" s="85"/>
      <c r="C13239" s="85"/>
      <c r="F13239" s="92"/>
      <c r="G13239" s="85"/>
    </row>
    <row r="13240">
      <c r="A13240" s="84"/>
      <c r="B13240" s="85"/>
      <c r="C13240" s="85"/>
      <c r="F13240" s="92"/>
      <c r="G13240" s="85"/>
    </row>
    <row r="13241">
      <c r="A13241" s="84"/>
      <c r="B13241" s="85"/>
      <c r="C13241" s="85"/>
      <c r="F13241" s="92"/>
      <c r="G13241" s="85"/>
    </row>
    <row r="13242">
      <c r="A13242" s="84"/>
      <c r="B13242" s="85"/>
      <c r="C13242" s="85"/>
      <c r="F13242" s="92"/>
      <c r="G13242" s="85"/>
    </row>
    <row r="13243">
      <c r="A13243" s="84"/>
      <c r="B13243" s="85"/>
      <c r="C13243" s="85"/>
      <c r="F13243" s="92"/>
      <c r="G13243" s="85"/>
    </row>
    <row r="13244">
      <c r="A13244" s="84"/>
      <c r="B13244" s="85"/>
      <c r="C13244" s="85"/>
      <c r="F13244" s="92"/>
      <c r="G13244" s="85"/>
    </row>
    <row r="13245">
      <c r="A13245" s="84"/>
      <c r="B13245" s="85"/>
      <c r="C13245" s="85"/>
      <c r="F13245" s="92"/>
      <c r="G13245" s="85"/>
    </row>
    <row r="13246">
      <c r="A13246" s="84"/>
      <c r="B13246" s="85"/>
      <c r="C13246" s="85"/>
      <c r="F13246" s="92"/>
      <c r="G13246" s="85"/>
    </row>
    <row r="13247">
      <c r="A13247" s="84"/>
      <c r="B13247" s="85"/>
      <c r="C13247" s="85"/>
      <c r="F13247" s="92"/>
      <c r="G13247" s="85"/>
    </row>
    <row r="13248">
      <c r="A13248" s="84"/>
      <c r="B13248" s="85"/>
      <c r="C13248" s="85"/>
      <c r="F13248" s="92"/>
      <c r="G13248" s="85"/>
    </row>
    <row r="13249">
      <c r="A13249" s="84"/>
      <c r="B13249" s="85"/>
      <c r="C13249" s="85"/>
      <c r="F13249" s="92"/>
      <c r="G13249" s="85"/>
    </row>
    <row r="13250">
      <c r="A13250" s="84"/>
      <c r="B13250" s="85"/>
      <c r="C13250" s="85"/>
      <c r="F13250" s="92"/>
      <c r="G13250" s="85"/>
    </row>
    <row r="13251">
      <c r="A13251" s="84"/>
      <c r="B13251" s="85"/>
      <c r="C13251" s="85"/>
      <c r="F13251" s="92"/>
      <c r="G13251" s="85"/>
    </row>
    <row r="13252">
      <c r="A13252" s="84"/>
      <c r="B13252" s="85"/>
      <c r="C13252" s="85"/>
      <c r="F13252" s="92"/>
      <c r="G13252" s="85"/>
    </row>
    <row r="13253">
      <c r="A13253" s="84"/>
      <c r="B13253" s="85"/>
      <c r="C13253" s="85"/>
      <c r="F13253" s="92"/>
      <c r="G13253" s="85"/>
    </row>
    <row r="13254">
      <c r="A13254" s="84"/>
      <c r="B13254" s="85"/>
      <c r="C13254" s="85"/>
      <c r="F13254" s="92"/>
      <c r="G13254" s="85"/>
    </row>
    <row r="13255">
      <c r="A13255" s="84"/>
      <c r="B13255" s="85"/>
      <c r="C13255" s="85"/>
      <c r="F13255" s="92"/>
      <c r="G13255" s="85"/>
    </row>
    <row r="13256">
      <c r="A13256" s="84"/>
      <c r="B13256" s="85"/>
      <c r="C13256" s="85"/>
      <c r="F13256" s="92"/>
      <c r="G13256" s="85"/>
    </row>
    <row r="13257">
      <c r="A13257" s="84"/>
      <c r="B13257" s="85"/>
      <c r="C13257" s="85"/>
      <c r="F13257" s="92"/>
      <c r="G13257" s="85"/>
    </row>
    <row r="13258">
      <c r="A13258" s="84"/>
      <c r="B13258" s="85"/>
      <c r="C13258" s="85"/>
      <c r="F13258" s="92"/>
      <c r="G13258" s="85"/>
    </row>
    <row r="13259">
      <c r="A13259" s="84"/>
      <c r="B13259" s="85"/>
      <c r="C13259" s="85"/>
      <c r="F13259" s="92"/>
      <c r="G13259" s="85"/>
    </row>
    <row r="13260">
      <c r="A13260" s="84"/>
      <c r="B13260" s="85"/>
      <c r="C13260" s="85"/>
      <c r="F13260" s="92"/>
      <c r="G13260" s="85"/>
    </row>
    <row r="13261">
      <c r="A13261" s="84"/>
      <c r="B13261" s="85"/>
      <c r="C13261" s="85"/>
      <c r="F13261" s="92"/>
      <c r="G13261" s="85"/>
    </row>
    <row r="13262">
      <c r="A13262" s="84"/>
      <c r="B13262" s="85"/>
      <c r="C13262" s="85"/>
      <c r="F13262" s="92"/>
      <c r="G13262" s="85"/>
    </row>
    <row r="13263">
      <c r="A13263" s="84"/>
      <c r="B13263" s="85"/>
      <c r="C13263" s="85"/>
      <c r="F13263" s="92"/>
      <c r="G13263" s="85"/>
    </row>
    <row r="13264">
      <c r="A13264" s="84"/>
      <c r="B13264" s="85"/>
      <c r="C13264" s="85"/>
      <c r="F13264" s="92"/>
      <c r="G13264" s="85"/>
    </row>
    <row r="13265">
      <c r="A13265" s="84"/>
      <c r="B13265" s="85"/>
      <c r="C13265" s="85"/>
      <c r="F13265" s="92"/>
      <c r="G13265" s="85"/>
    </row>
    <row r="13266">
      <c r="A13266" s="84"/>
      <c r="B13266" s="85"/>
      <c r="C13266" s="85"/>
      <c r="F13266" s="92"/>
      <c r="G13266" s="85"/>
    </row>
    <row r="13267">
      <c r="A13267" s="84"/>
      <c r="B13267" s="85"/>
      <c r="C13267" s="85"/>
      <c r="F13267" s="92"/>
      <c r="G13267" s="85"/>
    </row>
    <row r="13268">
      <c r="A13268" s="84"/>
      <c r="B13268" s="85"/>
      <c r="C13268" s="85"/>
      <c r="F13268" s="92"/>
      <c r="G13268" s="85"/>
    </row>
    <row r="13269">
      <c r="A13269" s="84"/>
      <c r="B13269" s="85"/>
      <c r="C13269" s="85"/>
      <c r="F13269" s="92"/>
      <c r="G13269" s="85"/>
    </row>
    <row r="13270">
      <c r="A13270" s="84"/>
      <c r="B13270" s="85"/>
      <c r="C13270" s="85"/>
      <c r="F13270" s="92"/>
      <c r="G13270" s="85"/>
    </row>
    <row r="13271">
      <c r="A13271" s="84"/>
      <c r="B13271" s="85"/>
      <c r="C13271" s="85"/>
      <c r="F13271" s="92"/>
      <c r="G13271" s="85"/>
    </row>
    <row r="13272">
      <c r="A13272" s="84"/>
      <c r="B13272" s="85"/>
      <c r="C13272" s="85"/>
      <c r="F13272" s="92"/>
      <c r="G13272" s="85"/>
    </row>
    <row r="13273">
      <c r="A13273" s="84"/>
      <c r="B13273" s="85"/>
      <c r="C13273" s="85"/>
      <c r="F13273" s="92"/>
      <c r="G13273" s="85"/>
    </row>
    <row r="13274">
      <c r="A13274" s="84"/>
      <c r="B13274" s="85"/>
      <c r="C13274" s="85"/>
      <c r="F13274" s="92"/>
      <c r="G13274" s="85"/>
    </row>
    <row r="13275">
      <c r="A13275" s="84"/>
      <c r="B13275" s="85"/>
      <c r="C13275" s="85"/>
      <c r="F13275" s="92"/>
      <c r="G13275" s="85"/>
    </row>
    <row r="13276">
      <c r="A13276" s="84"/>
      <c r="B13276" s="85"/>
      <c r="C13276" s="85"/>
      <c r="F13276" s="92"/>
      <c r="G13276" s="85"/>
    </row>
    <row r="13277">
      <c r="A13277" s="84"/>
      <c r="B13277" s="85"/>
      <c r="C13277" s="85"/>
      <c r="F13277" s="92"/>
      <c r="G13277" s="85"/>
    </row>
    <row r="13278">
      <c r="A13278" s="84"/>
      <c r="B13278" s="85"/>
      <c r="C13278" s="85"/>
      <c r="F13278" s="92"/>
      <c r="G13278" s="85"/>
    </row>
    <row r="13279">
      <c r="A13279" s="84"/>
      <c r="B13279" s="85"/>
      <c r="C13279" s="85"/>
      <c r="F13279" s="92"/>
      <c r="G13279" s="85"/>
    </row>
    <row r="13280">
      <c r="A13280" s="84"/>
      <c r="B13280" s="85"/>
      <c r="C13280" s="85"/>
      <c r="F13280" s="92"/>
      <c r="G13280" s="85"/>
    </row>
    <row r="13281">
      <c r="A13281" s="84"/>
      <c r="B13281" s="85"/>
      <c r="C13281" s="85"/>
      <c r="F13281" s="92"/>
      <c r="G13281" s="85"/>
    </row>
    <row r="13282">
      <c r="A13282" s="84"/>
      <c r="B13282" s="85"/>
      <c r="C13282" s="85"/>
      <c r="F13282" s="92"/>
      <c r="G13282" s="85"/>
    </row>
    <row r="13283">
      <c r="A13283" s="84"/>
      <c r="B13283" s="85"/>
      <c r="C13283" s="85"/>
      <c r="F13283" s="92"/>
      <c r="G13283" s="85"/>
    </row>
    <row r="13284">
      <c r="A13284" s="84"/>
      <c r="B13284" s="85"/>
      <c r="C13284" s="85"/>
      <c r="F13284" s="92"/>
      <c r="G13284" s="85"/>
    </row>
    <row r="13285">
      <c r="A13285" s="84"/>
      <c r="B13285" s="85"/>
      <c r="C13285" s="85"/>
      <c r="F13285" s="92"/>
      <c r="G13285" s="85"/>
    </row>
    <row r="13286">
      <c r="A13286" s="84"/>
      <c r="B13286" s="85"/>
      <c r="C13286" s="85"/>
      <c r="F13286" s="92"/>
      <c r="G13286" s="85"/>
    </row>
    <row r="13287">
      <c r="A13287" s="84"/>
      <c r="B13287" s="85"/>
      <c r="C13287" s="85"/>
      <c r="F13287" s="92"/>
      <c r="G13287" s="85"/>
    </row>
    <row r="13288">
      <c r="A13288" s="84"/>
      <c r="B13288" s="85"/>
      <c r="C13288" s="85"/>
      <c r="F13288" s="92"/>
      <c r="G13288" s="85"/>
    </row>
    <row r="13289">
      <c r="A13289" s="84"/>
      <c r="B13289" s="85"/>
      <c r="C13289" s="85"/>
      <c r="F13289" s="92"/>
      <c r="G13289" s="85"/>
    </row>
    <row r="13290">
      <c r="A13290" s="84"/>
      <c r="B13290" s="85"/>
      <c r="C13290" s="85"/>
      <c r="F13290" s="92"/>
      <c r="G13290" s="85"/>
    </row>
    <row r="13291">
      <c r="A13291" s="84"/>
      <c r="B13291" s="85"/>
      <c r="C13291" s="85"/>
      <c r="F13291" s="92"/>
      <c r="G13291" s="85"/>
    </row>
    <row r="13292">
      <c r="A13292" s="84"/>
      <c r="B13292" s="85"/>
      <c r="C13292" s="85"/>
      <c r="F13292" s="92"/>
      <c r="G13292" s="85"/>
    </row>
    <row r="13293">
      <c r="A13293" s="84"/>
      <c r="B13293" s="85"/>
      <c r="C13293" s="85"/>
      <c r="F13293" s="92"/>
      <c r="G13293" s="85"/>
    </row>
    <row r="13294">
      <c r="A13294" s="84"/>
      <c r="B13294" s="85"/>
      <c r="C13294" s="85"/>
      <c r="F13294" s="92"/>
      <c r="G13294" s="85"/>
    </row>
    <row r="13295">
      <c r="A13295" s="84"/>
      <c r="B13295" s="85"/>
      <c r="C13295" s="85"/>
      <c r="F13295" s="92"/>
      <c r="G13295" s="85"/>
    </row>
    <row r="13296">
      <c r="A13296" s="84"/>
      <c r="B13296" s="85"/>
      <c r="C13296" s="85"/>
      <c r="F13296" s="92"/>
      <c r="G13296" s="85"/>
    </row>
    <row r="13297">
      <c r="A13297" s="84"/>
      <c r="B13297" s="85"/>
      <c r="C13297" s="85"/>
      <c r="F13297" s="92"/>
      <c r="G13297" s="85"/>
    </row>
    <row r="13298">
      <c r="A13298" s="84"/>
      <c r="B13298" s="85"/>
      <c r="C13298" s="85"/>
      <c r="F13298" s="92"/>
      <c r="G13298" s="85"/>
    </row>
    <row r="13299">
      <c r="A13299" s="84"/>
      <c r="B13299" s="85"/>
      <c r="C13299" s="85"/>
      <c r="F13299" s="92"/>
      <c r="G13299" s="85"/>
    </row>
    <row r="13300">
      <c r="A13300" s="84"/>
      <c r="B13300" s="85"/>
      <c r="C13300" s="85"/>
      <c r="F13300" s="92"/>
      <c r="G13300" s="85"/>
    </row>
    <row r="13301">
      <c r="A13301" s="84"/>
      <c r="B13301" s="85"/>
      <c r="C13301" s="85"/>
      <c r="F13301" s="92"/>
      <c r="G13301" s="85"/>
    </row>
    <row r="13302">
      <c r="A13302" s="84"/>
      <c r="B13302" s="85"/>
      <c r="C13302" s="85"/>
      <c r="F13302" s="92"/>
      <c r="G13302" s="85"/>
    </row>
    <row r="13303">
      <c r="A13303" s="84"/>
      <c r="B13303" s="85"/>
      <c r="C13303" s="85"/>
      <c r="F13303" s="92"/>
      <c r="G13303" s="85"/>
    </row>
    <row r="13304">
      <c r="A13304" s="84"/>
      <c r="B13304" s="85"/>
      <c r="C13304" s="85"/>
      <c r="F13304" s="92"/>
      <c r="G13304" s="85"/>
    </row>
    <row r="13305">
      <c r="A13305" s="84"/>
      <c r="B13305" s="85"/>
      <c r="C13305" s="85"/>
      <c r="F13305" s="92"/>
      <c r="G13305" s="85"/>
    </row>
    <row r="13306">
      <c r="A13306" s="84"/>
      <c r="B13306" s="85"/>
      <c r="C13306" s="85"/>
      <c r="F13306" s="92"/>
      <c r="G13306" s="85"/>
    </row>
    <row r="13307">
      <c r="A13307" s="84"/>
      <c r="B13307" s="85"/>
      <c r="C13307" s="85"/>
      <c r="F13307" s="92"/>
      <c r="G13307" s="85"/>
    </row>
    <row r="13308">
      <c r="A13308" s="84"/>
      <c r="B13308" s="85"/>
      <c r="C13308" s="85"/>
      <c r="F13308" s="92"/>
      <c r="G13308" s="85"/>
    </row>
    <row r="13309">
      <c r="A13309" s="84"/>
      <c r="B13309" s="85"/>
      <c r="C13309" s="85"/>
      <c r="F13309" s="92"/>
      <c r="G13309" s="85"/>
    </row>
    <row r="13310">
      <c r="A13310" s="84"/>
      <c r="B13310" s="85"/>
      <c r="C13310" s="85"/>
      <c r="F13310" s="92"/>
      <c r="G13310" s="85"/>
    </row>
    <row r="13311">
      <c r="A13311" s="84"/>
      <c r="B13311" s="85"/>
      <c r="C13311" s="85"/>
      <c r="F13311" s="92"/>
      <c r="G13311" s="85"/>
    </row>
    <row r="13312">
      <c r="A13312" s="84"/>
      <c r="B13312" s="85"/>
      <c r="C13312" s="85"/>
      <c r="F13312" s="92"/>
      <c r="G13312" s="85"/>
    </row>
    <row r="13313">
      <c r="A13313" s="84"/>
      <c r="B13313" s="85"/>
      <c r="C13313" s="85"/>
      <c r="F13313" s="92"/>
      <c r="G13313" s="85"/>
    </row>
    <row r="13314">
      <c r="A13314" s="84"/>
      <c r="B13314" s="85"/>
      <c r="C13314" s="85"/>
      <c r="F13314" s="92"/>
      <c r="G13314" s="85"/>
    </row>
    <row r="13315">
      <c r="A13315" s="84"/>
      <c r="B13315" s="85"/>
      <c r="C13315" s="85"/>
      <c r="F13315" s="92"/>
      <c r="G13315" s="85"/>
    </row>
    <row r="13316">
      <c r="A13316" s="84"/>
      <c r="B13316" s="85"/>
      <c r="C13316" s="85"/>
      <c r="F13316" s="92"/>
      <c r="G13316" s="85"/>
    </row>
    <row r="13317">
      <c r="A13317" s="84"/>
      <c r="B13317" s="85"/>
      <c r="C13317" s="85"/>
      <c r="F13317" s="92"/>
      <c r="G13317" s="85"/>
    </row>
    <row r="13318">
      <c r="A13318" s="84"/>
      <c r="B13318" s="85"/>
      <c r="C13318" s="85"/>
      <c r="F13318" s="92"/>
      <c r="G13318" s="85"/>
    </row>
    <row r="13319">
      <c r="A13319" s="84"/>
      <c r="B13319" s="85"/>
      <c r="C13319" s="85"/>
      <c r="F13319" s="92"/>
      <c r="G13319" s="85"/>
    </row>
    <row r="13320">
      <c r="A13320" s="84"/>
      <c r="B13320" s="85"/>
      <c r="C13320" s="85"/>
      <c r="F13320" s="92"/>
      <c r="G13320" s="85"/>
    </row>
    <row r="13321">
      <c r="A13321" s="84"/>
      <c r="B13321" s="85"/>
      <c r="C13321" s="85"/>
      <c r="F13321" s="92"/>
      <c r="G13321" s="85"/>
    </row>
    <row r="13322">
      <c r="A13322" s="84"/>
      <c r="B13322" s="85"/>
      <c r="C13322" s="85"/>
      <c r="F13322" s="92"/>
      <c r="G13322" s="85"/>
    </row>
    <row r="13323">
      <c r="A13323" s="84"/>
      <c r="B13323" s="85"/>
      <c r="C13323" s="85"/>
      <c r="F13323" s="92"/>
      <c r="G13323" s="85"/>
    </row>
    <row r="13324">
      <c r="A13324" s="84"/>
      <c r="B13324" s="85"/>
      <c r="C13324" s="85"/>
      <c r="F13324" s="92"/>
      <c r="G13324" s="85"/>
    </row>
    <row r="13325">
      <c r="A13325" s="84"/>
      <c r="B13325" s="85"/>
      <c r="C13325" s="85"/>
      <c r="F13325" s="92"/>
      <c r="G13325" s="85"/>
    </row>
    <row r="13326">
      <c r="A13326" s="84"/>
      <c r="B13326" s="85"/>
      <c r="C13326" s="85"/>
      <c r="F13326" s="92"/>
      <c r="G13326" s="85"/>
    </row>
    <row r="13327">
      <c r="A13327" s="84"/>
      <c r="B13327" s="85"/>
      <c r="C13327" s="85"/>
      <c r="F13327" s="92"/>
      <c r="G13327" s="85"/>
    </row>
    <row r="13328">
      <c r="A13328" s="84"/>
      <c r="B13328" s="85"/>
      <c r="C13328" s="85"/>
      <c r="F13328" s="92"/>
      <c r="G13328" s="85"/>
    </row>
    <row r="13329">
      <c r="A13329" s="84"/>
      <c r="B13329" s="85"/>
      <c r="C13329" s="85"/>
      <c r="F13329" s="92"/>
      <c r="G13329" s="85"/>
    </row>
    <row r="13330">
      <c r="A13330" s="84"/>
      <c r="B13330" s="85"/>
      <c r="C13330" s="85"/>
      <c r="F13330" s="92"/>
      <c r="G13330" s="85"/>
    </row>
    <row r="13331">
      <c r="A13331" s="84"/>
      <c r="B13331" s="85"/>
      <c r="C13331" s="85"/>
      <c r="F13331" s="92"/>
      <c r="G13331" s="85"/>
    </row>
    <row r="13332">
      <c r="A13332" s="84"/>
      <c r="B13332" s="85"/>
      <c r="C13332" s="85"/>
      <c r="F13332" s="92"/>
      <c r="G13332" s="85"/>
    </row>
    <row r="13333">
      <c r="A13333" s="84"/>
      <c r="B13333" s="85"/>
      <c r="C13333" s="85"/>
      <c r="F13333" s="92"/>
      <c r="G13333" s="85"/>
    </row>
    <row r="13334">
      <c r="A13334" s="84"/>
      <c r="B13334" s="85"/>
      <c r="C13334" s="85"/>
      <c r="F13334" s="92"/>
      <c r="G13334" s="85"/>
    </row>
    <row r="13335">
      <c r="A13335" s="84"/>
      <c r="B13335" s="85"/>
      <c r="C13335" s="85"/>
      <c r="F13335" s="92"/>
      <c r="G13335" s="85"/>
    </row>
    <row r="13336">
      <c r="A13336" s="84"/>
      <c r="B13336" s="85"/>
      <c r="C13336" s="85"/>
      <c r="F13336" s="92"/>
      <c r="G13336" s="85"/>
    </row>
    <row r="13337">
      <c r="A13337" s="84"/>
      <c r="B13337" s="85"/>
      <c r="C13337" s="85"/>
      <c r="F13337" s="92"/>
      <c r="G13337" s="85"/>
    </row>
    <row r="13338">
      <c r="A13338" s="84"/>
      <c r="B13338" s="85"/>
      <c r="C13338" s="85"/>
      <c r="F13338" s="92"/>
      <c r="G13338" s="85"/>
    </row>
    <row r="13339">
      <c r="A13339" s="84"/>
      <c r="B13339" s="85"/>
      <c r="C13339" s="85"/>
      <c r="F13339" s="92"/>
      <c r="G13339" s="85"/>
    </row>
    <row r="13340">
      <c r="A13340" s="84"/>
      <c r="B13340" s="85"/>
      <c r="C13340" s="85"/>
      <c r="F13340" s="92"/>
      <c r="G13340" s="85"/>
    </row>
    <row r="13341">
      <c r="A13341" s="84"/>
      <c r="B13341" s="85"/>
      <c r="C13341" s="85"/>
      <c r="F13341" s="92"/>
      <c r="G13341" s="85"/>
    </row>
    <row r="13342">
      <c r="A13342" s="84"/>
      <c r="B13342" s="85"/>
      <c r="C13342" s="85"/>
      <c r="F13342" s="92"/>
      <c r="G13342" s="85"/>
    </row>
    <row r="13343">
      <c r="A13343" s="84"/>
      <c r="B13343" s="85"/>
      <c r="C13343" s="85"/>
      <c r="F13343" s="92"/>
      <c r="G13343" s="85"/>
    </row>
    <row r="13344">
      <c r="A13344" s="84"/>
      <c r="B13344" s="85"/>
      <c r="C13344" s="85"/>
      <c r="F13344" s="92"/>
      <c r="G13344" s="85"/>
    </row>
    <row r="13345">
      <c r="A13345" s="84"/>
      <c r="B13345" s="85"/>
      <c r="C13345" s="85"/>
      <c r="F13345" s="92"/>
      <c r="G13345" s="85"/>
    </row>
    <row r="13346">
      <c r="A13346" s="84"/>
      <c r="B13346" s="85"/>
      <c r="C13346" s="85"/>
      <c r="F13346" s="92"/>
      <c r="G13346" s="85"/>
    </row>
    <row r="13347">
      <c r="A13347" s="84"/>
      <c r="B13347" s="85"/>
      <c r="C13347" s="85"/>
      <c r="F13347" s="92"/>
      <c r="G13347" s="85"/>
    </row>
    <row r="13348">
      <c r="A13348" s="84"/>
      <c r="B13348" s="85"/>
      <c r="C13348" s="85"/>
      <c r="F13348" s="92"/>
      <c r="G13348" s="85"/>
    </row>
    <row r="13349">
      <c r="A13349" s="84"/>
      <c r="B13349" s="85"/>
      <c r="C13349" s="85"/>
      <c r="F13349" s="92"/>
      <c r="G13349" s="85"/>
    </row>
    <row r="13350">
      <c r="A13350" s="84"/>
      <c r="B13350" s="85"/>
      <c r="C13350" s="85"/>
      <c r="F13350" s="92"/>
      <c r="G13350" s="85"/>
    </row>
    <row r="13351">
      <c r="A13351" s="84"/>
      <c r="B13351" s="85"/>
      <c r="C13351" s="85"/>
      <c r="F13351" s="92"/>
      <c r="G13351" s="85"/>
    </row>
    <row r="13352">
      <c r="A13352" s="84"/>
      <c r="B13352" s="85"/>
      <c r="C13352" s="85"/>
      <c r="F13352" s="92"/>
      <c r="G13352" s="85"/>
    </row>
    <row r="13353">
      <c r="A13353" s="84"/>
      <c r="B13353" s="85"/>
      <c r="C13353" s="85"/>
      <c r="F13353" s="92"/>
      <c r="G13353" s="85"/>
    </row>
    <row r="13354">
      <c r="A13354" s="84"/>
      <c r="B13354" s="85"/>
      <c r="C13354" s="85"/>
      <c r="F13354" s="92"/>
      <c r="G13354" s="85"/>
    </row>
    <row r="13355">
      <c r="A13355" s="84"/>
      <c r="B13355" s="85"/>
      <c r="C13355" s="85"/>
      <c r="F13355" s="92"/>
      <c r="G13355" s="85"/>
    </row>
    <row r="13356">
      <c r="A13356" s="84"/>
      <c r="B13356" s="85"/>
      <c r="C13356" s="85"/>
      <c r="F13356" s="92"/>
      <c r="G13356" s="85"/>
    </row>
    <row r="13357">
      <c r="A13357" s="84"/>
      <c r="B13357" s="85"/>
      <c r="C13357" s="85"/>
      <c r="F13357" s="92"/>
      <c r="G13357" s="85"/>
    </row>
    <row r="13358">
      <c r="A13358" s="84"/>
      <c r="B13358" s="85"/>
      <c r="C13358" s="85"/>
      <c r="F13358" s="92"/>
      <c r="G13358" s="85"/>
    </row>
    <row r="13359">
      <c r="A13359" s="84"/>
      <c r="B13359" s="85"/>
      <c r="C13359" s="85"/>
      <c r="F13359" s="92"/>
      <c r="G13359" s="85"/>
    </row>
    <row r="13360">
      <c r="A13360" s="84"/>
      <c r="B13360" s="85"/>
      <c r="C13360" s="85"/>
      <c r="F13360" s="92"/>
      <c r="G13360" s="85"/>
    </row>
    <row r="13361">
      <c r="A13361" s="84"/>
      <c r="B13361" s="85"/>
      <c r="C13361" s="85"/>
      <c r="F13361" s="92"/>
      <c r="G13361" s="85"/>
    </row>
    <row r="13362">
      <c r="A13362" s="84"/>
      <c r="B13362" s="85"/>
      <c r="C13362" s="85"/>
      <c r="F13362" s="92"/>
      <c r="G13362" s="85"/>
    </row>
    <row r="13363">
      <c r="A13363" s="84"/>
      <c r="B13363" s="85"/>
      <c r="C13363" s="85"/>
      <c r="F13363" s="92"/>
      <c r="G13363" s="85"/>
    </row>
    <row r="13364">
      <c r="A13364" s="84"/>
      <c r="B13364" s="85"/>
      <c r="C13364" s="85"/>
      <c r="F13364" s="92"/>
      <c r="G13364" s="85"/>
    </row>
    <row r="13365">
      <c r="A13365" s="84"/>
      <c r="B13365" s="85"/>
      <c r="C13365" s="85"/>
      <c r="F13365" s="92"/>
      <c r="G13365" s="85"/>
    </row>
    <row r="13366">
      <c r="A13366" s="84"/>
      <c r="B13366" s="85"/>
      <c r="C13366" s="85"/>
      <c r="F13366" s="92"/>
      <c r="G13366" s="85"/>
    </row>
    <row r="13367">
      <c r="A13367" s="84"/>
      <c r="B13367" s="85"/>
      <c r="C13367" s="85"/>
      <c r="F13367" s="92"/>
      <c r="G13367" s="85"/>
    </row>
    <row r="13368">
      <c r="A13368" s="84"/>
      <c r="B13368" s="85"/>
      <c r="C13368" s="85"/>
      <c r="F13368" s="92"/>
      <c r="G13368" s="85"/>
    </row>
    <row r="13369">
      <c r="A13369" s="84"/>
      <c r="B13369" s="85"/>
      <c r="C13369" s="85"/>
      <c r="F13369" s="92"/>
      <c r="G13369" s="85"/>
    </row>
    <row r="13370">
      <c r="A13370" s="84"/>
      <c r="B13370" s="85"/>
      <c r="C13370" s="85"/>
      <c r="F13370" s="92"/>
      <c r="G13370" s="85"/>
    </row>
    <row r="13371">
      <c r="A13371" s="84"/>
      <c r="B13371" s="85"/>
      <c r="C13371" s="85"/>
      <c r="F13371" s="92"/>
      <c r="G13371" s="85"/>
    </row>
    <row r="13372">
      <c r="A13372" s="84"/>
      <c r="B13372" s="85"/>
      <c r="C13372" s="85"/>
      <c r="F13372" s="92"/>
      <c r="G13372" s="85"/>
    </row>
    <row r="13373">
      <c r="A13373" s="84"/>
      <c r="B13373" s="85"/>
      <c r="C13373" s="85"/>
      <c r="F13373" s="92"/>
      <c r="G13373" s="85"/>
    </row>
    <row r="13374">
      <c r="A13374" s="84"/>
      <c r="B13374" s="85"/>
      <c r="C13374" s="85"/>
      <c r="F13374" s="92"/>
      <c r="G13374" s="85"/>
    </row>
    <row r="13375">
      <c r="A13375" s="84"/>
      <c r="B13375" s="85"/>
      <c r="C13375" s="85"/>
      <c r="F13375" s="92"/>
      <c r="G13375" s="85"/>
    </row>
    <row r="13376">
      <c r="A13376" s="84"/>
      <c r="B13376" s="85"/>
      <c r="C13376" s="85"/>
      <c r="F13376" s="92"/>
      <c r="G13376" s="85"/>
    </row>
    <row r="13377">
      <c r="A13377" s="84"/>
      <c r="B13377" s="85"/>
      <c r="C13377" s="85"/>
      <c r="F13377" s="92"/>
      <c r="G13377" s="85"/>
    </row>
    <row r="13378">
      <c r="A13378" s="84"/>
      <c r="B13378" s="85"/>
      <c r="C13378" s="85"/>
      <c r="F13378" s="92"/>
      <c r="G13378" s="85"/>
    </row>
    <row r="13379">
      <c r="A13379" s="84"/>
      <c r="B13379" s="85"/>
      <c r="C13379" s="85"/>
      <c r="F13379" s="92"/>
      <c r="G13379" s="85"/>
    </row>
    <row r="13380">
      <c r="A13380" s="84"/>
      <c r="B13380" s="85"/>
      <c r="C13380" s="85"/>
      <c r="F13380" s="92"/>
      <c r="G13380" s="85"/>
    </row>
    <row r="13381">
      <c r="A13381" s="84"/>
      <c r="B13381" s="85"/>
      <c r="C13381" s="85"/>
      <c r="F13381" s="92"/>
      <c r="G13381" s="85"/>
    </row>
    <row r="13382">
      <c r="A13382" s="84"/>
      <c r="B13382" s="85"/>
      <c r="C13382" s="85"/>
      <c r="F13382" s="92"/>
      <c r="G13382" s="85"/>
    </row>
    <row r="13383">
      <c r="A13383" s="84"/>
      <c r="B13383" s="85"/>
      <c r="C13383" s="85"/>
      <c r="F13383" s="92"/>
      <c r="G13383" s="85"/>
    </row>
    <row r="13384">
      <c r="A13384" s="84"/>
      <c r="B13384" s="85"/>
      <c r="C13384" s="85"/>
      <c r="F13384" s="92"/>
      <c r="G13384" s="85"/>
    </row>
    <row r="13385">
      <c r="A13385" s="84"/>
      <c r="B13385" s="85"/>
      <c r="C13385" s="85"/>
      <c r="F13385" s="92"/>
      <c r="G13385" s="85"/>
    </row>
    <row r="13386">
      <c r="A13386" s="84"/>
      <c r="B13386" s="85"/>
      <c r="C13386" s="85"/>
      <c r="F13386" s="92"/>
      <c r="G13386" s="85"/>
    </row>
    <row r="13387">
      <c r="A13387" s="84"/>
      <c r="B13387" s="85"/>
      <c r="C13387" s="85"/>
      <c r="F13387" s="92"/>
      <c r="G13387" s="85"/>
    </row>
    <row r="13388">
      <c r="A13388" s="84"/>
      <c r="B13388" s="85"/>
      <c r="C13388" s="85"/>
      <c r="F13388" s="92"/>
      <c r="G13388" s="85"/>
    </row>
    <row r="13389">
      <c r="A13389" s="84"/>
      <c r="B13389" s="85"/>
      <c r="C13389" s="85"/>
      <c r="F13389" s="92"/>
      <c r="G13389" s="85"/>
    </row>
    <row r="13390">
      <c r="A13390" s="84"/>
      <c r="B13390" s="85"/>
      <c r="C13390" s="85"/>
      <c r="F13390" s="92"/>
      <c r="G13390" s="85"/>
    </row>
    <row r="13391">
      <c r="A13391" s="84"/>
      <c r="B13391" s="85"/>
      <c r="C13391" s="85"/>
      <c r="F13391" s="92"/>
      <c r="G13391" s="85"/>
    </row>
    <row r="13392">
      <c r="A13392" s="84"/>
      <c r="B13392" s="85"/>
      <c r="C13392" s="85"/>
      <c r="F13392" s="92"/>
      <c r="G13392" s="85"/>
    </row>
    <row r="13393">
      <c r="A13393" s="84"/>
      <c r="B13393" s="85"/>
      <c r="C13393" s="85"/>
      <c r="F13393" s="92"/>
      <c r="G13393" s="85"/>
    </row>
    <row r="13394">
      <c r="A13394" s="84"/>
      <c r="B13394" s="85"/>
      <c r="C13394" s="85"/>
      <c r="F13394" s="92"/>
      <c r="G13394" s="85"/>
    </row>
    <row r="13395">
      <c r="A13395" s="84"/>
      <c r="B13395" s="85"/>
      <c r="C13395" s="85"/>
      <c r="F13395" s="92"/>
      <c r="G13395" s="85"/>
    </row>
    <row r="13396">
      <c r="A13396" s="84"/>
      <c r="B13396" s="85"/>
      <c r="C13396" s="85"/>
      <c r="F13396" s="92"/>
      <c r="G13396" s="85"/>
    </row>
    <row r="13397">
      <c r="A13397" s="84"/>
      <c r="B13397" s="85"/>
      <c r="C13397" s="85"/>
      <c r="F13397" s="92"/>
      <c r="G13397" s="85"/>
    </row>
    <row r="13398">
      <c r="A13398" s="84"/>
      <c r="B13398" s="85"/>
      <c r="C13398" s="85"/>
      <c r="F13398" s="92"/>
      <c r="G13398" s="85"/>
    </row>
    <row r="13399">
      <c r="A13399" s="84"/>
      <c r="B13399" s="85"/>
      <c r="C13399" s="85"/>
      <c r="F13399" s="92"/>
      <c r="G13399" s="85"/>
    </row>
    <row r="13400">
      <c r="A13400" s="84"/>
      <c r="B13400" s="85"/>
      <c r="C13400" s="85"/>
      <c r="F13400" s="92"/>
      <c r="G13400" s="85"/>
    </row>
    <row r="13401">
      <c r="A13401" s="84"/>
      <c r="B13401" s="85"/>
      <c r="C13401" s="85"/>
      <c r="F13401" s="92"/>
      <c r="G13401" s="85"/>
    </row>
    <row r="13402">
      <c r="A13402" s="84"/>
      <c r="B13402" s="85"/>
      <c r="C13402" s="85"/>
      <c r="F13402" s="92"/>
      <c r="G13402" s="85"/>
    </row>
    <row r="13403">
      <c r="A13403" s="84"/>
      <c r="B13403" s="85"/>
      <c r="C13403" s="85"/>
      <c r="F13403" s="92"/>
      <c r="G13403" s="85"/>
    </row>
    <row r="13404">
      <c r="A13404" s="84"/>
      <c r="B13404" s="85"/>
      <c r="C13404" s="85"/>
      <c r="F13404" s="92"/>
      <c r="G13404" s="85"/>
    </row>
    <row r="13405">
      <c r="A13405" s="84"/>
      <c r="B13405" s="85"/>
      <c r="C13405" s="85"/>
      <c r="F13405" s="92"/>
      <c r="G13405" s="85"/>
    </row>
    <row r="13406">
      <c r="A13406" s="84"/>
      <c r="B13406" s="85"/>
      <c r="C13406" s="85"/>
      <c r="F13406" s="92"/>
      <c r="G13406" s="85"/>
    </row>
    <row r="13407">
      <c r="A13407" s="84"/>
      <c r="B13407" s="85"/>
      <c r="C13407" s="85"/>
      <c r="F13407" s="92"/>
      <c r="G13407" s="85"/>
    </row>
    <row r="13408">
      <c r="A13408" s="84"/>
      <c r="B13408" s="85"/>
      <c r="C13408" s="85"/>
      <c r="F13408" s="92"/>
      <c r="G13408" s="85"/>
    </row>
    <row r="13409">
      <c r="A13409" s="84"/>
      <c r="B13409" s="85"/>
      <c r="C13409" s="85"/>
      <c r="F13409" s="92"/>
      <c r="G13409" s="85"/>
    </row>
    <row r="13410">
      <c r="A13410" s="84"/>
      <c r="B13410" s="85"/>
      <c r="C13410" s="85"/>
      <c r="F13410" s="92"/>
      <c r="G13410" s="85"/>
    </row>
    <row r="13411">
      <c r="A13411" s="84"/>
      <c r="B13411" s="85"/>
      <c r="C13411" s="85"/>
      <c r="F13411" s="92"/>
      <c r="G13411" s="85"/>
    </row>
    <row r="13412">
      <c r="A13412" s="84"/>
      <c r="B13412" s="85"/>
      <c r="C13412" s="85"/>
      <c r="F13412" s="92"/>
      <c r="G13412" s="85"/>
    </row>
    <row r="13413">
      <c r="A13413" s="84"/>
      <c r="B13413" s="85"/>
      <c r="C13413" s="85"/>
      <c r="F13413" s="92"/>
      <c r="G13413" s="85"/>
    </row>
    <row r="13414">
      <c r="A13414" s="84"/>
      <c r="B13414" s="85"/>
      <c r="C13414" s="85"/>
      <c r="F13414" s="92"/>
      <c r="G13414" s="85"/>
    </row>
    <row r="13415">
      <c r="A13415" s="84"/>
      <c r="B13415" s="85"/>
      <c r="C13415" s="85"/>
      <c r="F13415" s="92"/>
      <c r="G13415" s="85"/>
    </row>
    <row r="13416">
      <c r="A13416" s="84"/>
      <c r="B13416" s="85"/>
      <c r="C13416" s="85"/>
      <c r="F13416" s="92"/>
      <c r="G13416" s="85"/>
    </row>
    <row r="13417">
      <c r="A13417" s="84"/>
      <c r="B13417" s="85"/>
      <c r="C13417" s="85"/>
      <c r="F13417" s="92"/>
      <c r="G13417" s="85"/>
    </row>
    <row r="13418">
      <c r="A13418" s="84"/>
      <c r="B13418" s="85"/>
      <c r="C13418" s="85"/>
      <c r="F13418" s="92"/>
      <c r="G13418" s="85"/>
    </row>
    <row r="13419">
      <c r="A13419" s="84"/>
      <c r="B13419" s="85"/>
      <c r="C13419" s="85"/>
      <c r="F13419" s="92"/>
      <c r="G13419" s="85"/>
    </row>
    <row r="13420">
      <c r="A13420" s="84"/>
      <c r="B13420" s="85"/>
      <c r="C13420" s="85"/>
      <c r="F13420" s="92"/>
      <c r="G13420" s="85"/>
    </row>
    <row r="13421">
      <c r="A13421" s="84"/>
      <c r="B13421" s="85"/>
      <c r="C13421" s="85"/>
      <c r="F13421" s="92"/>
      <c r="G13421" s="85"/>
    </row>
    <row r="13422">
      <c r="A13422" s="84"/>
      <c r="B13422" s="85"/>
      <c r="C13422" s="85"/>
      <c r="F13422" s="92"/>
      <c r="G13422" s="85"/>
    </row>
    <row r="13423">
      <c r="A13423" s="84"/>
      <c r="B13423" s="85"/>
      <c r="C13423" s="85"/>
      <c r="F13423" s="92"/>
      <c r="G13423" s="85"/>
    </row>
    <row r="13424">
      <c r="A13424" s="84"/>
      <c r="B13424" s="85"/>
      <c r="C13424" s="85"/>
      <c r="F13424" s="92"/>
      <c r="G13424" s="85"/>
    </row>
    <row r="13425">
      <c r="A13425" s="84"/>
      <c r="B13425" s="85"/>
      <c r="C13425" s="85"/>
      <c r="F13425" s="92"/>
      <c r="G13425" s="85"/>
    </row>
    <row r="13426">
      <c r="A13426" s="84"/>
      <c r="B13426" s="85"/>
      <c r="C13426" s="85"/>
      <c r="F13426" s="92"/>
      <c r="G13426" s="85"/>
    </row>
    <row r="13427">
      <c r="A13427" s="84"/>
      <c r="B13427" s="85"/>
      <c r="C13427" s="85"/>
      <c r="F13427" s="92"/>
      <c r="G13427" s="85"/>
    </row>
    <row r="13428">
      <c r="A13428" s="84"/>
      <c r="B13428" s="85"/>
      <c r="C13428" s="85"/>
      <c r="F13428" s="92"/>
      <c r="G13428" s="85"/>
    </row>
    <row r="13429">
      <c r="A13429" s="84"/>
      <c r="B13429" s="85"/>
      <c r="C13429" s="85"/>
      <c r="F13429" s="92"/>
      <c r="G13429" s="85"/>
    </row>
    <row r="13430">
      <c r="A13430" s="84"/>
      <c r="B13430" s="85"/>
      <c r="C13430" s="85"/>
      <c r="F13430" s="92"/>
      <c r="G13430" s="85"/>
    </row>
    <row r="13431">
      <c r="A13431" s="84"/>
      <c r="B13431" s="85"/>
      <c r="C13431" s="85"/>
      <c r="F13431" s="92"/>
      <c r="G13431" s="85"/>
    </row>
    <row r="13432">
      <c r="A13432" s="84"/>
      <c r="B13432" s="85"/>
      <c r="C13432" s="85"/>
      <c r="F13432" s="92"/>
      <c r="G13432" s="85"/>
    </row>
    <row r="13433">
      <c r="A13433" s="84"/>
      <c r="B13433" s="85"/>
      <c r="C13433" s="85"/>
      <c r="F13433" s="92"/>
      <c r="G13433" s="85"/>
    </row>
    <row r="13434">
      <c r="A13434" s="84"/>
      <c r="B13434" s="85"/>
      <c r="C13434" s="85"/>
      <c r="F13434" s="92"/>
      <c r="G13434" s="85"/>
    </row>
    <row r="13435">
      <c r="A13435" s="84"/>
      <c r="B13435" s="85"/>
      <c r="C13435" s="85"/>
      <c r="F13435" s="92"/>
      <c r="G13435" s="85"/>
    </row>
    <row r="13436">
      <c r="A13436" s="84"/>
      <c r="B13436" s="85"/>
      <c r="C13436" s="85"/>
      <c r="F13436" s="92"/>
      <c r="G13436" s="85"/>
    </row>
    <row r="13437">
      <c r="A13437" s="84"/>
      <c r="B13437" s="85"/>
      <c r="C13437" s="85"/>
      <c r="F13437" s="92"/>
      <c r="G13437" s="85"/>
    </row>
    <row r="13438">
      <c r="A13438" s="84"/>
      <c r="B13438" s="85"/>
      <c r="C13438" s="85"/>
      <c r="F13438" s="92"/>
      <c r="G13438" s="85"/>
    </row>
    <row r="13439">
      <c r="A13439" s="84"/>
      <c r="B13439" s="85"/>
      <c r="C13439" s="85"/>
      <c r="F13439" s="92"/>
      <c r="G13439" s="85"/>
    </row>
    <row r="13440">
      <c r="A13440" s="84"/>
      <c r="B13440" s="85"/>
      <c r="C13440" s="85"/>
      <c r="F13440" s="92"/>
      <c r="G13440" s="85"/>
    </row>
    <row r="13441">
      <c r="A13441" s="84"/>
      <c r="B13441" s="85"/>
      <c r="C13441" s="85"/>
      <c r="F13441" s="92"/>
      <c r="G13441" s="85"/>
    </row>
    <row r="13442">
      <c r="A13442" s="84"/>
      <c r="B13442" s="85"/>
      <c r="C13442" s="85"/>
      <c r="F13442" s="92"/>
      <c r="G13442" s="85"/>
    </row>
    <row r="13443">
      <c r="A13443" s="84"/>
      <c r="B13443" s="85"/>
      <c r="C13443" s="85"/>
      <c r="F13443" s="92"/>
      <c r="G13443" s="85"/>
    </row>
    <row r="13444">
      <c r="A13444" s="84"/>
      <c r="B13444" s="85"/>
      <c r="C13444" s="85"/>
      <c r="F13444" s="92"/>
      <c r="G13444" s="85"/>
    </row>
    <row r="13445">
      <c r="A13445" s="84"/>
      <c r="B13445" s="85"/>
      <c r="C13445" s="85"/>
      <c r="F13445" s="92"/>
      <c r="G13445" s="85"/>
    </row>
    <row r="13446">
      <c r="A13446" s="84"/>
      <c r="B13446" s="85"/>
      <c r="C13446" s="85"/>
      <c r="F13446" s="92"/>
      <c r="G13446" s="85"/>
    </row>
    <row r="13447">
      <c r="A13447" s="84"/>
      <c r="B13447" s="85"/>
      <c r="C13447" s="85"/>
      <c r="F13447" s="92"/>
      <c r="G13447" s="85"/>
    </row>
    <row r="13448">
      <c r="A13448" s="84"/>
      <c r="B13448" s="85"/>
      <c r="C13448" s="85"/>
      <c r="F13448" s="92"/>
      <c r="G13448" s="85"/>
    </row>
    <row r="13449">
      <c r="A13449" s="84"/>
      <c r="B13449" s="85"/>
      <c r="C13449" s="85"/>
      <c r="F13449" s="92"/>
      <c r="G13449" s="85"/>
    </row>
    <row r="13450">
      <c r="A13450" s="84"/>
      <c r="B13450" s="85"/>
      <c r="C13450" s="85"/>
      <c r="F13450" s="92"/>
      <c r="G13450" s="85"/>
    </row>
    <row r="13451">
      <c r="A13451" s="84"/>
      <c r="B13451" s="85"/>
      <c r="C13451" s="85"/>
      <c r="F13451" s="92"/>
      <c r="G13451" s="85"/>
    </row>
    <row r="13452">
      <c r="A13452" s="84"/>
      <c r="B13452" s="85"/>
      <c r="C13452" s="85"/>
      <c r="F13452" s="92"/>
      <c r="G13452" s="85"/>
    </row>
    <row r="13453">
      <c r="A13453" s="84"/>
      <c r="B13453" s="85"/>
      <c r="C13453" s="85"/>
      <c r="F13453" s="92"/>
      <c r="G13453" s="85"/>
    </row>
    <row r="13454">
      <c r="A13454" s="84"/>
      <c r="B13454" s="85"/>
      <c r="C13454" s="85"/>
      <c r="F13454" s="92"/>
      <c r="G13454" s="85"/>
    </row>
    <row r="13455">
      <c r="A13455" s="84"/>
      <c r="B13455" s="85"/>
      <c r="C13455" s="85"/>
      <c r="F13455" s="92"/>
      <c r="G13455" s="85"/>
    </row>
    <row r="13456">
      <c r="A13456" s="84"/>
      <c r="B13456" s="85"/>
      <c r="C13456" s="85"/>
      <c r="F13456" s="92"/>
      <c r="G13456" s="85"/>
    </row>
    <row r="13457">
      <c r="A13457" s="84"/>
      <c r="B13457" s="85"/>
      <c r="C13457" s="85"/>
      <c r="F13457" s="92"/>
      <c r="G13457" s="85"/>
    </row>
    <row r="13458">
      <c r="A13458" s="84"/>
      <c r="B13458" s="85"/>
      <c r="C13458" s="85"/>
      <c r="F13458" s="92"/>
      <c r="G13458" s="85"/>
    </row>
    <row r="13459">
      <c r="A13459" s="84"/>
      <c r="B13459" s="85"/>
      <c r="C13459" s="85"/>
      <c r="F13459" s="92"/>
      <c r="G13459" s="85"/>
    </row>
    <row r="13460">
      <c r="A13460" s="84"/>
      <c r="B13460" s="85"/>
      <c r="C13460" s="85"/>
      <c r="F13460" s="92"/>
      <c r="G13460" s="85"/>
    </row>
    <row r="13461">
      <c r="A13461" s="84"/>
      <c r="B13461" s="85"/>
      <c r="C13461" s="85"/>
      <c r="F13461" s="92"/>
      <c r="G13461" s="85"/>
    </row>
    <row r="13462">
      <c r="A13462" s="84"/>
      <c r="B13462" s="85"/>
      <c r="C13462" s="85"/>
      <c r="F13462" s="92"/>
      <c r="G13462" s="85"/>
    </row>
    <row r="13463">
      <c r="A13463" s="84"/>
      <c r="B13463" s="85"/>
      <c r="C13463" s="85"/>
      <c r="F13463" s="92"/>
      <c r="G13463" s="85"/>
    </row>
    <row r="13464">
      <c r="A13464" s="84"/>
      <c r="B13464" s="85"/>
      <c r="C13464" s="85"/>
      <c r="F13464" s="92"/>
      <c r="G13464" s="85"/>
    </row>
    <row r="13465">
      <c r="A13465" s="84"/>
      <c r="B13465" s="85"/>
      <c r="C13465" s="85"/>
      <c r="F13465" s="92"/>
      <c r="G13465" s="85"/>
    </row>
    <row r="13466">
      <c r="A13466" s="84"/>
      <c r="B13466" s="85"/>
      <c r="C13466" s="85"/>
      <c r="F13466" s="92"/>
      <c r="G13466" s="85"/>
    </row>
    <row r="13467">
      <c r="A13467" s="84"/>
      <c r="B13467" s="85"/>
      <c r="C13467" s="85"/>
      <c r="F13467" s="92"/>
      <c r="G13467" s="85"/>
    </row>
    <row r="13468">
      <c r="A13468" s="84"/>
      <c r="B13468" s="85"/>
      <c r="C13468" s="85"/>
      <c r="F13468" s="92"/>
      <c r="G13468" s="85"/>
    </row>
    <row r="13469">
      <c r="A13469" s="84"/>
      <c r="B13469" s="85"/>
      <c r="C13469" s="85"/>
      <c r="F13469" s="92"/>
      <c r="G13469" s="85"/>
    </row>
    <row r="13470">
      <c r="A13470" s="84"/>
      <c r="B13470" s="85"/>
      <c r="C13470" s="85"/>
      <c r="F13470" s="92"/>
      <c r="G13470" s="85"/>
    </row>
    <row r="13471">
      <c r="A13471" s="84"/>
      <c r="B13471" s="85"/>
      <c r="C13471" s="85"/>
      <c r="F13471" s="92"/>
      <c r="G13471" s="85"/>
    </row>
    <row r="13472">
      <c r="A13472" s="84"/>
      <c r="B13472" s="85"/>
      <c r="C13472" s="85"/>
      <c r="F13472" s="92"/>
      <c r="G13472" s="85"/>
    </row>
    <row r="13473">
      <c r="A13473" s="84"/>
      <c r="B13473" s="85"/>
      <c r="C13473" s="85"/>
      <c r="F13473" s="92"/>
      <c r="G13473" s="85"/>
    </row>
    <row r="13474">
      <c r="A13474" s="84"/>
      <c r="B13474" s="85"/>
      <c r="C13474" s="85"/>
      <c r="F13474" s="92"/>
      <c r="G13474" s="85"/>
    </row>
    <row r="13475">
      <c r="A13475" s="84"/>
      <c r="B13475" s="85"/>
      <c r="C13475" s="85"/>
      <c r="F13475" s="92"/>
      <c r="G13475" s="85"/>
    </row>
    <row r="13476">
      <c r="A13476" s="84"/>
      <c r="B13476" s="85"/>
      <c r="C13476" s="85"/>
      <c r="F13476" s="92"/>
      <c r="G13476" s="85"/>
    </row>
    <row r="13477">
      <c r="A13477" s="84"/>
      <c r="B13477" s="85"/>
      <c r="C13477" s="85"/>
      <c r="F13477" s="92"/>
      <c r="G13477" s="85"/>
    </row>
    <row r="13478">
      <c r="A13478" s="84"/>
      <c r="B13478" s="85"/>
      <c r="C13478" s="85"/>
      <c r="F13478" s="92"/>
      <c r="G13478" s="85"/>
    </row>
    <row r="13479">
      <c r="A13479" s="84"/>
      <c r="B13479" s="85"/>
      <c r="C13479" s="85"/>
      <c r="F13479" s="92"/>
      <c r="G13479" s="85"/>
    </row>
    <row r="13480">
      <c r="A13480" s="84"/>
      <c r="B13480" s="85"/>
      <c r="C13480" s="85"/>
      <c r="F13480" s="92"/>
      <c r="G13480" s="85"/>
    </row>
    <row r="13481">
      <c r="A13481" s="84"/>
      <c r="B13481" s="85"/>
      <c r="C13481" s="85"/>
      <c r="F13481" s="92"/>
      <c r="G13481" s="85"/>
    </row>
    <row r="13482">
      <c r="A13482" s="84"/>
      <c r="B13482" s="85"/>
      <c r="C13482" s="85"/>
      <c r="F13482" s="92"/>
      <c r="G13482" s="85"/>
    </row>
    <row r="13483">
      <c r="A13483" s="84"/>
      <c r="B13483" s="85"/>
      <c r="C13483" s="85"/>
      <c r="F13483" s="92"/>
      <c r="G13483" s="85"/>
    </row>
    <row r="13484">
      <c r="A13484" s="84"/>
      <c r="B13484" s="85"/>
      <c r="C13484" s="85"/>
      <c r="F13484" s="92"/>
      <c r="G13484" s="85"/>
    </row>
    <row r="13485">
      <c r="A13485" s="84"/>
      <c r="B13485" s="85"/>
      <c r="C13485" s="85"/>
      <c r="F13485" s="92"/>
      <c r="G13485" s="85"/>
    </row>
    <row r="13486">
      <c r="A13486" s="84"/>
      <c r="B13486" s="85"/>
      <c r="C13486" s="85"/>
      <c r="F13486" s="92"/>
      <c r="G13486" s="85"/>
    </row>
    <row r="13487">
      <c r="A13487" s="84"/>
      <c r="B13487" s="85"/>
      <c r="C13487" s="85"/>
      <c r="F13487" s="92"/>
      <c r="G13487" s="85"/>
    </row>
    <row r="13488">
      <c r="A13488" s="84"/>
      <c r="B13488" s="85"/>
      <c r="C13488" s="85"/>
      <c r="F13488" s="92"/>
      <c r="G13488" s="85"/>
    </row>
    <row r="13489">
      <c r="A13489" s="84"/>
      <c r="B13489" s="85"/>
      <c r="C13489" s="85"/>
      <c r="F13489" s="92"/>
      <c r="G13489" s="85"/>
    </row>
    <row r="13490">
      <c r="A13490" s="84"/>
      <c r="B13490" s="85"/>
      <c r="C13490" s="85"/>
      <c r="F13490" s="92"/>
      <c r="G13490" s="85"/>
    </row>
    <row r="13491">
      <c r="A13491" s="84"/>
      <c r="B13491" s="85"/>
      <c r="C13491" s="85"/>
      <c r="F13491" s="92"/>
      <c r="G13491" s="85"/>
    </row>
    <row r="13492">
      <c r="A13492" s="84"/>
      <c r="B13492" s="85"/>
      <c r="C13492" s="85"/>
      <c r="F13492" s="92"/>
      <c r="G13492" s="85"/>
    </row>
    <row r="13493">
      <c r="A13493" s="84"/>
      <c r="B13493" s="85"/>
      <c r="C13493" s="85"/>
      <c r="F13493" s="92"/>
      <c r="G13493" s="85"/>
    </row>
    <row r="13494">
      <c r="A13494" s="84"/>
      <c r="B13494" s="85"/>
      <c r="C13494" s="85"/>
      <c r="F13494" s="92"/>
      <c r="G13494" s="85"/>
    </row>
    <row r="13495">
      <c r="A13495" s="84"/>
      <c r="B13495" s="85"/>
      <c r="C13495" s="85"/>
      <c r="F13495" s="92"/>
      <c r="G13495" s="85"/>
    </row>
    <row r="13496">
      <c r="A13496" s="84"/>
      <c r="B13496" s="85"/>
      <c r="C13496" s="85"/>
      <c r="F13496" s="92"/>
      <c r="G13496" s="85"/>
    </row>
    <row r="13497">
      <c r="A13497" s="84"/>
      <c r="B13497" s="85"/>
      <c r="C13497" s="85"/>
      <c r="F13497" s="92"/>
      <c r="G13497" s="85"/>
    </row>
    <row r="13498">
      <c r="A13498" s="84"/>
      <c r="B13498" s="85"/>
      <c r="C13498" s="85"/>
      <c r="F13498" s="92"/>
      <c r="G13498" s="85"/>
    </row>
    <row r="13499">
      <c r="A13499" s="84"/>
      <c r="B13499" s="85"/>
      <c r="C13499" s="85"/>
      <c r="F13499" s="92"/>
      <c r="G13499" s="85"/>
    </row>
    <row r="13500">
      <c r="A13500" s="84"/>
      <c r="B13500" s="85"/>
      <c r="C13500" s="85"/>
      <c r="F13500" s="92"/>
      <c r="G13500" s="85"/>
    </row>
    <row r="13501">
      <c r="A13501" s="84"/>
      <c r="B13501" s="85"/>
      <c r="C13501" s="85"/>
      <c r="F13501" s="92"/>
      <c r="G13501" s="85"/>
    </row>
    <row r="13502">
      <c r="A13502" s="84"/>
      <c r="B13502" s="85"/>
      <c r="C13502" s="85"/>
      <c r="F13502" s="92"/>
      <c r="G13502" s="85"/>
    </row>
    <row r="13503">
      <c r="A13503" s="84"/>
      <c r="B13503" s="85"/>
      <c r="C13503" s="85"/>
      <c r="F13503" s="92"/>
      <c r="G13503" s="85"/>
    </row>
    <row r="13504">
      <c r="A13504" s="84"/>
      <c r="B13504" s="85"/>
      <c r="C13504" s="85"/>
      <c r="F13504" s="92"/>
      <c r="G13504" s="85"/>
    </row>
    <row r="13505">
      <c r="A13505" s="84"/>
      <c r="B13505" s="85"/>
      <c r="C13505" s="85"/>
      <c r="F13505" s="92"/>
      <c r="G13505" s="85"/>
    </row>
    <row r="13506">
      <c r="A13506" s="84"/>
      <c r="B13506" s="85"/>
      <c r="C13506" s="85"/>
      <c r="F13506" s="92"/>
      <c r="G13506" s="85"/>
    </row>
    <row r="13507">
      <c r="A13507" s="84"/>
      <c r="B13507" s="85"/>
      <c r="C13507" s="85"/>
      <c r="F13507" s="92"/>
      <c r="G13507" s="85"/>
    </row>
    <row r="13508">
      <c r="A13508" s="84"/>
      <c r="B13508" s="85"/>
      <c r="C13508" s="85"/>
      <c r="F13508" s="92"/>
      <c r="G13508" s="85"/>
    </row>
    <row r="13509">
      <c r="A13509" s="84"/>
      <c r="B13509" s="85"/>
      <c r="C13509" s="85"/>
      <c r="F13509" s="92"/>
      <c r="G13509" s="85"/>
    </row>
    <row r="13510">
      <c r="A13510" s="84"/>
      <c r="B13510" s="85"/>
      <c r="C13510" s="85"/>
      <c r="F13510" s="92"/>
      <c r="G13510" s="85"/>
    </row>
    <row r="13511">
      <c r="A13511" s="84"/>
      <c r="B13511" s="85"/>
      <c r="C13511" s="85"/>
      <c r="F13511" s="92"/>
      <c r="G13511" s="85"/>
    </row>
    <row r="13512">
      <c r="A13512" s="84"/>
      <c r="B13512" s="85"/>
      <c r="C13512" s="85"/>
      <c r="F13512" s="92"/>
      <c r="G13512" s="85"/>
    </row>
    <row r="13513">
      <c r="A13513" s="84"/>
      <c r="B13513" s="85"/>
      <c r="C13513" s="85"/>
      <c r="F13513" s="92"/>
      <c r="G13513" s="85"/>
    </row>
    <row r="13514">
      <c r="A13514" s="84"/>
      <c r="B13514" s="85"/>
      <c r="C13514" s="85"/>
      <c r="F13514" s="92"/>
      <c r="G13514" s="85"/>
    </row>
    <row r="13515">
      <c r="A13515" s="84"/>
      <c r="B13515" s="85"/>
      <c r="C13515" s="85"/>
      <c r="F13515" s="92"/>
      <c r="G13515" s="85"/>
    </row>
    <row r="13516">
      <c r="A13516" s="84"/>
      <c r="B13516" s="85"/>
      <c r="C13516" s="85"/>
      <c r="F13516" s="92"/>
      <c r="G13516" s="85"/>
    </row>
    <row r="13517">
      <c r="A13517" s="84"/>
      <c r="B13517" s="85"/>
      <c r="C13517" s="85"/>
      <c r="F13517" s="92"/>
      <c r="G13517" s="85"/>
    </row>
    <row r="13518">
      <c r="A13518" s="84"/>
      <c r="B13518" s="85"/>
      <c r="C13518" s="85"/>
      <c r="F13518" s="92"/>
      <c r="G13518" s="85"/>
    </row>
    <row r="13519">
      <c r="A13519" s="84"/>
      <c r="B13519" s="85"/>
      <c r="C13519" s="85"/>
      <c r="F13519" s="92"/>
      <c r="G13519" s="85"/>
    </row>
    <row r="13520">
      <c r="A13520" s="84"/>
      <c r="B13520" s="85"/>
      <c r="C13520" s="85"/>
      <c r="F13520" s="92"/>
      <c r="G13520" s="85"/>
    </row>
    <row r="13521">
      <c r="A13521" s="84"/>
      <c r="B13521" s="85"/>
      <c r="C13521" s="85"/>
      <c r="F13521" s="92"/>
      <c r="G13521" s="85"/>
    </row>
    <row r="13522">
      <c r="A13522" s="84"/>
      <c r="B13522" s="85"/>
      <c r="C13522" s="85"/>
      <c r="F13522" s="92"/>
      <c r="G13522" s="85"/>
    </row>
    <row r="13523">
      <c r="A13523" s="84"/>
      <c r="B13523" s="85"/>
      <c r="C13523" s="85"/>
      <c r="F13523" s="92"/>
      <c r="G13523" s="85"/>
    </row>
    <row r="13524">
      <c r="A13524" s="84"/>
      <c r="B13524" s="85"/>
      <c r="C13524" s="85"/>
      <c r="F13524" s="92"/>
      <c r="G13524" s="85"/>
    </row>
    <row r="13525">
      <c r="A13525" s="84"/>
      <c r="B13525" s="85"/>
      <c r="C13525" s="85"/>
      <c r="F13525" s="92"/>
      <c r="G13525" s="85"/>
    </row>
    <row r="13526">
      <c r="A13526" s="84"/>
      <c r="B13526" s="85"/>
      <c r="C13526" s="85"/>
      <c r="F13526" s="92"/>
      <c r="G13526" s="85"/>
    </row>
    <row r="13527">
      <c r="A13527" s="84"/>
      <c r="B13527" s="85"/>
      <c r="C13527" s="85"/>
      <c r="F13527" s="92"/>
      <c r="G13527" s="85"/>
    </row>
    <row r="13528">
      <c r="A13528" s="84"/>
      <c r="B13528" s="85"/>
      <c r="C13528" s="85"/>
      <c r="F13528" s="92"/>
      <c r="G13528" s="85"/>
    </row>
    <row r="13529">
      <c r="A13529" s="84"/>
      <c r="B13529" s="85"/>
      <c r="C13529" s="85"/>
      <c r="F13529" s="92"/>
      <c r="G13529" s="85"/>
    </row>
    <row r="13530">
      <c r="A13530" s="84"/>
      <c r="B13530" s="85"/>
      <c r="C13530" s="85"/>
      <c r="F13530" s="92"/>
      <c r="G13530" s="85"/>
    </row>
    <row r="13531">
      <c r="A13531" s="84"/>
      <c r="B13531" s="85"/>
      <c r="C13531" s="85"/>
      <c r="F13531" s="92"/>
      <c r="G13531" s="85"/>
    </row>
    <row r="13532">
      <c r="A13532" s="84"/>
      <c r="B13532" s="85"/>
      <c r="C13532" s="85"/>
      <c r="F13532" s="92"/>
      <c r="G13532" s="85"/>
    </row>
    <row r="13533">
      <c r="A13533" s="84"/>
      <c r="B13533" s="85"/>
      <c r="C13533" s="85"/>
      <c r="F13533" s="92"/>
      <c r="G13533" s="85"/>
    </row>
    <row r="13534">
      <c r="A13534" s="84"/>
      <c r="B13534" s="85"/>
      <c r="C13534" s="85"/>
      <c r="F13534" s="92"/>
      <c r="G13534" s="85"/>
    </row>
    <row r="13535">
      <c r="A13535" s="84"/>
      <c r="B13535" s="85"/>
      <c r="C13535" s="85"/>
      <c r="F13535" s="92"/>
      <c r="G13535" s="85"/>
    </row>
    <row r="13536">
      <c r="A13536" s="84"/>
      <c r="B13536" s="85"/>
      <c r="C13536" s="85"/>
      <c r="F13536" s="92"/>
      <c r="G13536" s="85"/>
    </row>
    <row r="13537">
      <c r="A13537" s="84"/>
      <c r="B13537" s="85"/>
      <c r="C13537" s="85"/>
      <c r="F13537" s="92"/>
      <c r="G13537" s="85"/>
    </row>
    <row r="13538">
      <c r="A13538" s="84"/>
      <c r="B13538" s="85"/>
      <c r="C13538" s="85"/>
      <c r="F13538" s="92"/>
      <c r="G13538" s="85"/>
    </row>
    <row r="13539">
      <c r="A13539" s="84"/>
      <c r="B13539" s="85"/>
      <c r="C13539" s="85"/>
      <c r="F13539" s="92"/>
      <c r="G13539" s="85"/>
    </row>
    <row r="13540">
      <c r="A13540" s="84"/>
      <c r="B13540" s="85"/>
      <c r="C13540" s="85"/>
      <c r="F13540" s="92"/>
      <c r="G13540" s="85"/>
    </row>
    <row r="13541">
      <c r="A13541" s="84"/>
      <c r="B13541" s="85"/>
      <c r="C13541" s="85"/>
      <c r="F13541" s="92"/>
      <c r="G13541" s="85"/>
    </row>
    <row r="13542">
      <c r="A13542" s="84"/>
      <c r="B13542" s="85"/>
      <c r="C13542" s="85"/>
      <c r="F13542" s="92"/>
      <c r="G13542" s="85"/>
    </row>
    <row r="13543">
      <c r="A13543" s="84"/>
      <c r="B13543" s="85"/>
      <c r="C13543" s="85"/>
      <c r="F13543" s="92"/>
      <c r="G13543" s="85"/>
    </row>
    <row r="13544">
      <c r="A13544" s="84"/>
      <c r="B13544" s="85"/>
      <c r="C13544" s="85"/>
      <c r="F13544" s="92"/>
      <c r="G13544" s="85"/>
    </row>
    <row r="13545">
      <c r="A13545" s="84"/>
      <c r="B13545" s="85"/>
      <c r="C13545" s="85"/>
      <c r="F13545" s="92"/>
      <c r="G13545" s="85"/>
    </row>
    <row r="13546">
      <c r="A13546" s="84"/>
      <c r="B13546" s="85"/>
      <c r="C13546" s="85"/>
      <c r="F13546" s="92"/>
      <c r="G13546" s="85"/>
    </row>
    <row r="13547">
      <c r="A13547" s="84"/>
      <c r="B13547" s="85"/>
      <c r="C13547" s="85"/>
      <c r="F13547" s="92"/>
      <c r="G13547" s="85"/>
    </row>
    <row r="13548">
      <c r="A13548" s="84"/>
      <c r="B13548" s="85"/>
      <c r="C13548" s="85"/>
      <c r="F13548" s="92"/>
      <c r="G13548" s="85"/>
    </row>
    <row r="13549">
      <c r="A13549" s="84"/>
      <c r="B13549" s="85"/>
      <c r="C13549" s="85"/>
      <c r="F13549" s="92"/>
      <c r="G13549" s="85"/>
    </row>
    <row r="13550">
      <c r="A13550" s="84"/>
      <c r="B13550" s="85"/>
      <c r="C13550" s="85"/>
      <c r="F13550" s="92"/>
      <c r="G13550" s="85"/>
    </row>
    <row r="13551">
      <c r="A13551" s="84"/>
      <c r="B13551" s="85"/>
      <c r="C13551" s="85"/>
      <c r="F13551" s="92"/>
      <c r="G13551" s="85"/>
    </row>
    <row r="13552">
      <c r="A13552" s="84"/>
      <c r="B13552" s="85"/>
      <c r="C13552" s="85"/>
      <c r="F13552" s="92"/>
      <c r="G13552" s="85"/>
    </row>
    <row r="13553">
      <c r="A13553" s="84"/>
      <c r="B13553" s="85"/>
      <c r="C13553" s="85"/>
      <c r="F13553" s="92"/>
      <c r="G13553" s="85"/>
    </row>
    <row r="13554">
      <c r="A13554" s="84"/>
      <c r="B13554" s="85"/>
      <c r="C13554" s="85"/>
      <c r="F13554" s="92"/>
      <c r="G13554" s="85"/>
    </row>
    <row r="13555">
      <c r="A13555" s="84"/>
      <c r="B13555" s="85"/>
      <c r="C13555" s="85"/>
      <c r="F13555" s="92"/>
      <c r="G13555" s="85"/>
    </row>
    <row r="13556">
      <c r="A13556" s="84"/>
      <c r="B13556" s="85"/>
      <c r="C13556" s="85"/>
      <c r="F13556" s="92"/>
      <c r="G13556" s="85"/>
    </row>
    <row r="13557">
      <c r="A13557" s="84"/>
      <c r="B13557" s="85"/>
      <c r="C13557" s="85"/>
      <c r="F13557" s="92"/>
      <c r="G13557" s="85"/>
    </row>
    <row r="13558">
      <c r="A13558" s="84"/>
      <c r="B13558" s="85"/>
      <c r="C13558" s="85"/>
      <c r="F13558" s="92"/>
      <c r="G13558" s="85"/>
    </row>
    <row r="13559">
      <c r="A13559" s="84"/>
      <c r="B13559" s="85"/>
      <c r="C13559" s="85"/>
      <c r="F13559" s="92"/>
      <c r="G13559" s="85"/>
    </row>
    <row r="13560">
      <c r="A13560" s="84"/>
      <c r="B13560" s="85"/>
      <c r="C13560" s="85"/>
      <c r="F13560" s="92"/>
      <c r="G13560" s="85"/>
    </row>
    <row r="13561">
      <c r="A13561" s="84"/>
      <c r="B13561" s="85"/>
      <c r="C13561" s="85"/>
      <c r="F13561" s="92"/>
      <c r="G13561" s="85"/>
    </row>
    <row r="13562">
      <c r="A13562" s="84"/>
      <c r="B13562" s="85"/>
      <c r="C13562" s="85"/>
      <c r="F13562" s="92"/>
      <c r="G13562" s="85"/>
    </row>
    <row r="13563">
      <c r="A13563" s="84"/>
      <c r="B13563" s="85"/>
      <c r="C13563" s="85"/>
      <c r="F13563" s="92"/>
      <c r="G13563" s="85"/>
    </row>
    <row r="13564">
      <c r="A13564" s="84"/>
      <c r="B13564" s="85"/>
      <c r="C13564" s="85"/>
      <c r="F13564" s="92"/>
      <c r="G13564" s="85"/>
    </row>
    <row r="13565">
      <c r="A13565" s="84"/>
      <c r="B13565" s="85"/>
      <c r="C13565" s="85"/>
      <c r="F13565" s="92"/>
      <c r="G13565" s="85"/>
    </row>
    <row r="13566">
      <c r="A13566" s="84"/>
      <c r="B13566" s="85"/>
      <c r="C13566" s="85"/>
      <c r="F13566" s="92"/>
      <c r="G13566" s="85"/>
    </row>
    <row r="13567">
      <c r="A13567" s="84"/>
      <c r="B13567" s="85"/>
      <c r="C13567" s="85"/>
      <c r="F13567" s="92"/>
      <c r="G13567" s="85"/>
    </row>
    <row r="13568">
      <c r="A13568" s="84"/>
      <c r="B13568" s="85"/>
      <c r="C13568" s="85"/>
      <c r="F13568" s="92"/>
      <c r="G13568" s="85"/>
    </row>
    <row r="13569">
      <c r="A13569" s="84"/>
      <c r="B13569" s="85"/>
      <c r="C13569" s="85"/>
      <c r="F13569" s="92"/>
      <c r="G13569" s="85"/>
    </row>
    <row r="13570">
      <c r="A13570" s="84"/>
      <c r="B13570" s="85"/>
      <c r="C13570" s="85"/>
      <c r="F13570" s="92"/>
      <c r="G13570" s="85"/>
    </row>
    <row r="13571">
      <c r="A13571" s="84"/>
      <c r="B13571" s="85"/>
      <c r="C13571" s="85"/>
      <c r="F13571" s="92"/>
      <c r="G13571" s="85"/>
    </row>
    <row r="13572">
      <c r="A13572" s="84"/>
      <c r="B13572" s="85"/>
      <c r="C13572" s="85"/>
      <c r="F13572" s="92"/>
      <c r="G13572" s="85"/>
    </row>
    <row r="13573">
      <c r="A13573" s="84"/>
      <c r="B13573" s="85"/>
      <c r="C13573" s="85"/>
      <c r="F13573" s="92"/>
      <c r="G13573" s="85"/>
    </row>
    <row r="13574">
      <c r="A13574" s="84"/>
      <c r="B13574" s="85"/>
      <c r="C13574" s="85"/>
      <c r="F13574" s="92"/>
      <c r="G13574" s="85"/>
    </row>
    <row r="13575">
      <c r="A13575" s="84"/>
      <c r="B13575" s="85"/>
      <c r="C13575" s="85"/>
      <c r="F13575" s="92"/>
      <c r="G13575" s="85"/>
    </row>
    <row r="13576">
      <c r="A13576" s="84"/>
      <c r="B13576" s="85"/>
      <c r="C13576" s="85"/>
      <c r="F13576" s="92"/>
      <c r="G13576" s="85"/>
    </row>
    <row r="13577">
      <c r="A13577" s="84"/>
      <c r="B13577" s="85"/>
      <c r="C13577" s="85"/>
      <c r="F13577" s="92"/>
      <c r="G13577" s="85"/>
    </row>
    <row r="13578">
      <c r="A13578" s="84"/>
      <c r="B13578" s="85"/>
      <c r="C13578" s="85"/>
      <c r="F13578" s="92"/>
      <c r="G13578" s="85"/>
    </row>
    <row r="13579">
      <c r="A13579" s="84"/>
      <c r="B13579" s="85"/>
      <c r="C13579" s="85"/>
      <c r="F13579" s="92"/>
      <c r="G13579" s="85"/>
    </row>
    <row r="13580">
      <c r="A13580" s="84"/>
      <c r="B13580" s="85"/>
      <c r="C13580" s="85"/>
      <c r="F13580" s="92"/>
      <c r="G13580" s="85"/>
    </row>
    <row r="13581">
      <c r="A13581" s="84"/>
      <c r="B13581" s="85"/>
      <c r="C13581" s="85"/>
      <c r="F13581" s="92"/>
      <c r="G13581" s="85"/>
    </row>
    <row r="13582">
      <c r="A13582" s="84"/>
      <c r="B13582" s="85"/>
      <c r="C13582" s="85"/>
      <c r="F13582" s="92"/>
      <c r="G13582" s="85"/>
    </row>
    <row r="13583">
      <c r="A13583" s="84"/>
      <c r="B13583" s="85"/>
      <c r="C13583" s="85"/>
      <c r="F13583" s="92"/>
      <c r="G13583" s="85"/>
    </row>
    <row r="13584">
      <c r="A13584" s="84"/>
      <c r="B13584" s="85"/>
      <c r="C13584" s="85"/>
      <c r="F13584" s="92"/>
      <c r="G13584" s="85"/>
    </row>
    <row r="13585">
      <c r="A13585" s="84"/>
      <c r="B13585" s="85"/>
      <c r="C13585" s="85"/>
      <c r="F13585" s="92"/>
      <c r="G13585" s="85"/>
    </row>
    <row r="13586">
      <c r="A13586" s="84"/>
      <c r="B13586" s="85"/>
      <c r="C13586" s="85"/>
      <c r="F13586" s="92"/>
      <c r="G13586" s="85"/>
    </row>
    <row r="13587">
      <c r="A13587" s="84"/>
      <c r="B13587" s="85"/>
      <c r="C13587" s="85"/>
      <c r="F13587" s="92"/>
      <c r="G13587" s="85"/>
    </row>
    <row r="13588">
      <c r="A13588" s="84"/>
      <c r="B13588" s="85"/>
      <c r="C13588" s="85"/>
      <c r="F13588" s="92"/>
      <c r="G13588" s="85"/>
    </row>
    <row r="13589">
      <c r="A13589" s="84"/>
      <c r="B13589" s="85"/>
      <c r="C13589" s="85"/>
      <c r="F13589" s="92"/>
      <c r="G13589" s="85"/>
    </row>
    <row r="13590">
      <c r="A13590" s="84"/>
      <c r="B13590" s="85"/>
      <c r="C13590" s="85"/>
      <c r="F13590" s="92"/>
      <c r="G13590" s="85"/>
    </row>
    <row r="13591">
      <c r="A13591" s="84"/>
      <c r="B13591" s="85"/>
      <c r="C13591" s="85"/>
      <c r="F13591" s="92"/>
      <c r="G13591" s="85"/>
    </row>
    <row r="13592">
      <c r="A13592" s="84"/>
      <c r="B13592" s="85"/>
      <c r="C13592" s="85"/>
      <c r="F13592" s="92"/>
      <c r="G13592" s="85"/>
    </row>
    <row r="13593">
      <c r="A13593" s="84"/>
      <c r="B13593" s="85"/>
      <c r="C13593" s="85"/>
      <c r="F13593" s="92"/>
      <c r="G13593" s="85"/>
    </row>
    <row r="13594">
      <c r="A13594" s="84"/>
      <c r="B13594" s="85"/>
      <c r="C13594" s="85"/>
      <c r="F13594" s="92"/>
      <c r="G13594" s="85"/>
    </row>
    <row r="13595">
      <c r="A13595" s="84"/>
      <c r="B13595" s="85"/>
      <c r="C13595" s="85"/>
      <c r="F13595" s="92"/>
      <c r="G13595" s="85"/>
    </row>
    <row r="13596">
      <c r="A13596" s="84"/>
      <c r="B13596" s="85"/>
      <c r="C13596" s="85"/>
      <c r="F13596" s="92"/>
      <c r="G13596" s="85"/>
    </row>
    <row r="13597">
      <c r="A13597" s="84"/>
      <c r="B13597" s="85"/>
      <c r="C13597" s="85"/>
      <c r="F13597" s="92"/>
      <c r="G13597" s="85"/>
    </row>
    <row r="13598">
      <c r="A13598" s="84"/>
      <c r="B13598" s="85"/>
      <c r="C13598" s="85"/>
      <c r="F13598" s="92"/>
      <c r="G13598" s="85"/>
    </row>
    <row r="13599">
      <c r="A13599" s="84"/>
      <c r="B13599" s="85"/>
      <c r="C13599" s="85"/>
      <c r="F13599" s="92"/>
      <c r="G13599" s="85"/>
    </row>
    <row r="13600">
      <c r="A13600" s="84"/>
      <c r="B13600" s="85"/>
      <c r="C13600" s="85"/>
      <c r="F13600" s="92"/>
      <c r="G13600" s="85"/>
    </row>
    <row r="13601">
      <c r="A13601" s="84"/>
      <c r="B13601" s="85"/>
      <c r="C13601" s="85"/>
      <c r="F13601" s="92"/>
      <c r="G13601" s="85"/>
    </row>
    <row r="13602">
      <c r="A13602" s="84"/>
      <c r="B13602" s="85"/>
      <c r="C13602" s="85"/>
      <c r="F13602" s="92"/>
      <c r="G13602" s="85"/>
    </row>
    <row r="13603">
      <c r="A13603" s="84"/>
      <c r="B13603" s="85"/>
      <c r="C13603" s="85"/>
      <c r="F13603" s="92"/>
      <c r="G13603" s="85"/>
    </row>
    <row r="13604">
      <c r="A13604" s="84"/>
      <c r="B13604" s="85"/>
      <c r="C13604" s="85"/>
      <c r="F13604" s="92"/>
      <c r="G13604" s="85"/>
    </row>
    <row r="13605">
      <c r="A13605" s="84"/>
      <c r="B13605" s="85"/>
      <c r="C13605" s="85"/>
      <c r="F13605" s="92"/>
      <c r="G13605" s="85"/>
    </row>
    <row r="13606">
      <c r="A13606" s="84"/>
      <c r="B13606" s="85"/>
      <c r="C13606" s="85"/>
      <c r="F13606" s="92"/>
      <c r="G13606" s="85"/>
    </row>
    <row r="13607">
      <c r="A13607" s="84"/>
      <c r="B13607" s="85"/>
      <c r="C13607" s="85"/>
      <c r="F13607" s="92"/>
      <c r="G13607" s="85"/>
    </row>
    <row r="13608">
      <c r="A13608" s="84"/>
      <c r="B13608" s="85"/>
      <c r="C13608" s="85"/>
      <c r="F13608" s="92"/>
      <c r="G13608" s="85"/>
    </row>
    <row r="13609">
      <c r="A13609" s="84"/>
      <c r="B13609" s="85"/>
      <c r="C13609" s="85"/>
      <c r="F13609" s="92"/>
      <c r="G13609" s="85"/>
    </row>
    <row r="13610">
      <c r="A13610" s="84"/>
      <c r="B13610" s="85"/>
      <c r="C13610" s="85"/>
      <c r="F13610" s="92"/>
      <c r="G13610" s="85"/>
    </row>
    <row r="13611">
      <c r="A13611" s="84"/>
      <c r="B13611" s="85"/>
      <c r="C13611" s="85"/>
      <c r="F13611" s="92"/>
      <c r="G13611" s="85"/>
    </row>
    <row r="13612">
      <c r="A13612" s="84"/>
      <c r="B13612" s="85"/>
      <c r="C13612" s="85"/>
      <c r="F13612" s="92"/>
      <c r="G13612" s="85"/>
    </row>
    <row r="13613">
      <c r="A13613" s="84"/>
      <c r="B13613" s="85"/>
      <c r="C13613" s="85"/>
      <c r="F13613" s="92"/>
      <c r="G13613" s="85"/>
    </row>
    <row r="13614">
      <c r="A13614" s="84"/>
      <c r="B13614" s="85"/>
      <c r="C13614" s="85"/>
      <c r="F13614" s="92"/>
      <c r="G13614" s="85"/>
    </row>
    <row r="13615">
      <c r="A13615" s="84"/>
      <c r="B13615" s="85"/>
      <c r="C13615" s="85"/>
      <c r="F13615" s="92"/>
      <c r="G13615" s="85"/>
    </row>
    <row r="13616">
      <c r="A13616" s="84"/>
      <c r="B13616" s="85"/>
      <c r="C13616" s="85"/>
      <c r="F13616" s="92"/>
      <c r="G13616" s="85"/>
    </row>
    <row r="13617">
      <c r="A13617" s="84"/>
      <c r="B13617" s="85"/>
      <c r="C13617" s="85"/>
      <c r="F13617" s="92"/>
      <c r="G13617" s="85"/>
    </row>
    <row r="13618">
      <c r="A13618" s="84"/>
      <c r="B13618" s="85"/>
      <c r="C13618" s="85"/>
      <c r="F13618" s="92"/>
      <c r="G13618" s="85"/>
    </row>
    <row r="13619">
      <c r="A13619" s="84"/>
      <c r="B13619" s="85"/>
      <c r="C13619" s="85"/>
      <c r="F13619" s="92"/>
      <c r="G13619" s="85"/>
    </row>
    <row r="13620">
      <c r="A13620" s="84"/>
      <c r="B13620" s="85"/>
      <c r="C13620" s="85"/>
      <c r="F13620" s="92"/>
      <c r="G13620" s="85"/>
    </row>
    <row r="13621">
      <c r="A13621" s="84"/>
      <c r="B13621" s="85"/>
      <c r="C13621" s="85"/>
      <c r="F13621" s="92"/>
      <c r="G13621" s="85"/>
    </row>
    <row r="13622">
      <c r="A13622" s="84"/>
      <c r="B13622" s="85"/>
      <c r="C13622" s="85"/>
      <c r="F13622" s="92"/>
      <c r="G13622" s="85"/>
    </row>
    <row r="13623">
      <c r="A13623" s="84"/>
      <c r="B13623" s="85"/>
      <c r="C13623" s="85"/>
      <c r="F13623" s="92"/>
      <c r="G13623" s="85"/>
    </row>
    <row r="13624">
      <c r="A13624" s="84"/>
      <c r="B13624" s="85"/>
      <c r="C13624" s="85"/>
      <c r="F13624" s="92"/>
      <c r="G13624" s="85"/>
    </row>
    <row r="13625">
      <c r="A13625" s="84"/>
      <c r="B13625" s="85"/>
      <c r="C13625" s="85"/>
      <c r="F13625" s="92"/>
      <c r="G13625" s="85"/>
    </row>
    <row r="13626">
      <c r="A13626" s="84"/>
      <c r="B13626" s="85"/>
      <c r="C13626" s="85"/>
      <c r="F13626" s="92"/>
      <c r="G13626" s="85"/>
    </row>
    <row r="13627">
      <c r="A13627" s="84"/>
      <c r="B13627" s="85"/>
      <c r="C13627" s="85"/>
      <c r="F13627" s="92"/>
      <c r="G13627" s="85"/>
    </row>
    <row r="13628">
      <c r="A13628" s="84"/>
      <c r="B13628" s="85"/>
      <c r="C13628" s="85"/>
      <c r="F13628" s="92"/>
      <c r="G13628" s="85"/>
    </row>
    <row r="13629">
      <c r="A13629" s="84"/>
      <c r="B13629" s="85"/>
      <c r="C13629" s="85"/>
      <c r="F13629" s="92"/>
      <c r="G13629" s="85"/>
    </row>
    <row r="13630">
      <c r="A13630" s="84"/>
      <c r="B13630" s="85"/>
      <c r="C13630" s="85"/>
      <c r="F13630" s="92"/>
      <c r="G13630" s="85"/>
    </row>
    <row r="13631">
      <c r="A13631" s="84"/>
      <c r="B13631" s="85"/>
      <c r="C13631" s="85"/>
      <c r="F13631" s="92"/>
      <c r="G13631" s="85"/>
    </row>
    <row r="13632">
      <c r="A13632" s="84"/>
      <c r="B13632" s="85"/>
      <c r="C13632" s="85"/>
      <c r="F13632" s="92"/>
      <c r="G13632" s="85"/>
    </row>
    <row r="13633">
      <c r="A13633" s="84"/>
      <c r="B13633" s="85"/>
      <c r="C13633" s="85"/>
      <c r="F13633" s="92"/>
      <c r="G13633" s="85"/>
    </row>
    <row r="13634">
      <c r="A13634" s="84"/>
      <c r="B13634" s="85"/>
      <c r="C13634" s="85"/>
      <c r="F13634" s="92"/>
      <c r="G13634" s="85"/>
    </row>
    <row r="13635">
      <c r="A13635" s="84"/>
      <c r="B13635" s="85"/>
      <c r="C13635" s="85"/>
      <c r="F13635" s="92"/>
      <c r="G13635" s="85"/>
    </row>
    <row r="13636">
      <c r="A13636" s="84"/>
      <c r="B13636" s="85"/>
      <c r="C13636" s="85"/>
      <c r="F13636" s="92"/>
      <c r="G13636" s="85"/>
    </row>
    <row r="13637">
      <c r="A13637" s="84"/>
      <c r="B13637" s="85"/>
      <c r="C13637" s="85"/>
      <c r="F13637" s="92"/>
      <c r="G13637" s="85"/>
    </row>
    <row r="13638">
      <c r="A13638" s="84"/>
      <c r="B13638" s="85"/>
      <c r="C13638" s="85"/>
      <c r="F13638" s="92"/>
      <c r="G13638" s="85"/>
    </row>
    <row r="13639">
      <c r="A13639" s="84"/>
      <c r="B13639" s="85"/>
      <c r="C13639" s="85"/>
      <c r="F13639" s="92"/>
      <c r="G13639" s="85"/>
    </row>
    <row r="13640">
      <c r="A13640" s="84"/>
      <c r="B13640" s="85"/>
      <c r="C13640" s="85"/>
      <c r="F13640" s="92"/>
      <c r="G13640" s="85"/>
    </row>
    <row r="13641">
      <c r="A13641" s="84"/>
      <c r="B13641" s="85"/>
      <c r="C13641" s="85"/>
      <c r="F13641" s="92"/>
      <c r="G13641" s="85"/>
    </row>
    <row r="13642">
      <c r="A13642" s="84"/>
      <c r="B13642" s="85"/>
      <c r="C13642" s="85"/>
      <c r="F13642" s="92"/>
      <c r="G13642" s="85"/>
    </row>
    <row r="13643">
      <c r="A13643" s="84"/>
      <c r="B13643" s="85"/>
      <c r="C13643" s="85"/>
      <c r="F13643" s="92"/>
      <c r="G13643" s="85"/>
    </row>
    <row r="13644">
      <c r="A13644" s="84"/>
      <c r="B13644" s="85"/>
      <c r="C13644" s="85"/>
      <c r="F13644" s="92"/>
      <c r="G13644" s="85"/>
    </row>
    <row r="13645">
      <c r="A13645" s="84"/>
      <c r="B13645" s="85"/>
      <c r="C13645" s="85"/>
      <c r="F13645" s="92"/>
      <c r="G13645" s="85"/>
    </row>
    <row r="13646">
      <c r="A13646" s="84"/>
      <c r="B13646" s="85"/>
      <c r="C13646" s="85"/>
      <c r="F13646" s="92"/>
      <c r="G13646" s="85"/>
    </row>
    <row r="13647">
      <c r="A13647" s="84"/>
      <c r="B13647" s="85"/>
      <c r="C13647" s="85"/>
      <c r="F13647" s="92"/>
      <c r="G13647" s="85"/>
    </row>
    <row r="13648">
      <c r="A13648" s="84"/>
      <c r="B13648" s="85"/>
      <c r="C13648" s="85"/>
      <c r="F13648" s="92"/>
      <c r="G13648" s="85"/>
    </row>
    <row r="13649">
      <c r="A13649" s="84"/>
      <c r="B13649" s="85"/>
      <c r="C13649" s="85"/>
      <c r="F13649" s="92"/>
      <c r="G13649" s="85"/>
    </row>
    <row r="13650">
      <c r="A13650" s="84"/>
      <c r="B13650" s="85"/>
      <c r="C13650" s="85"/>
      <c r="F13650" s="92"/>
      <c r="G13650" s="85"/>
    </row>
    <row r="13651">
      <c r="A13651" s="84"/>
      <c r="B13651" s="85"/>
      <c r="C13651" s="85"/>
      <c r="F13651" s="92"/>
      <c r="G13651" s="85"/>
    </row>
    <row r="13652">
      <c r="A13652" s="84"/>
      <c r="B13652" s="85"/>
      <c r="C13652" s="85"/>
      <c r="F13652" s="92"/>
      <c r="G13652" s="85"/>
    </row>
    <row r="13653">
      <c r="A13653" s="84"/>
      <c r="B13653" s="85"/>
      <c r="C13653" s="85"/>
      <c r="F13653" s="92"/>
      <c r="G13653" s="85"/>
    </row>
    <row r="13654">
      <c r="A13654" s="84"/>
      <c r="B13654" s="85"/>
      <c r="C13654" s="85"/>
      <c r="F13654" s="92"/>
      <c r="G13654" s="85"/>
    </row>
    <row r="13655">
      <c r="A13655" s="84"/>
      <c r="B13655" s="85"/>
      <c r="C13655" s="85"/>
      <c r="F13655" s="92"/>
      <c r="G13655" s="85"/>
    </row>
    <row r="13656">
      <c r="A13656" s="84"/>
      <c r="B13656" s="85"/>
      <c r="C13656" s="85"/>
      <c r="F13656" s="92"/>
      <c r="G13656" s="85"/>
    </row>
    <row r="13657">
      <c r="A13657" s="84"/>
      <c r="B13657" s="85"/>
      <c r="C13657" s="85"/>
      <c r="F13657" s="92"/>
      <c r="G13657" s="85"/>
    </row>
    <row r="13658">
      <c r="A13658" s="84"/>
      <c r="B13658" s="85"/>
      <c r="C13658" s="85"/>
      <c r="F13658" s="92"/>
      <c r="G13658" s="85"/>
    </row>
    <row r="13659">
      <c r="A13659" s="84"/>
      <c r="B13659" s="85"/>
      <c r="C13659" s="85"/>
      <c r="F13659" s="92"/>
      <c r="G13659" s="85"/>
    </row>
    <row r="13660">
      <c r="A13660" s="84"/>
      <c r="B13660" s="85"/>
      <c r="C13660" s="85"/>
      <c r="F13660" s="92"/>
      <c r="G13660" s="85"/>
    </row>
    <row r="13661">
      <c r="A13661" s="84"/>
      <c r="B13661" s="85"/>
      <c r="C13661" s="85"/>
      <c r="F13661" s="92"/>
      <c r="G13661" s="85"/>
    </row>
    <row r="13662">
      <c r="A13662" s="84"/>
      <c r="B13662" s="85"/>
      <c r="C13662" s="85"/>
      <c r="F13662" s="92"/>
      <c r="G13662" s="85"/>
    </row>
    <row r="13663">
      <c r="A13663" s="84"/>
      <c r="B13663" s="85"/>
      <c r="C13663" s="85"/>
      <c r="F13663" s="92"/>
      <c r="G13663" s="85"/>
    </row>
    <row r="13664">
      <c r="A13664" s="84"/>
      <c r="B13664" s="85"/>
      <c r="C13664" s="85"/>
      <c r="F13664" s="92"/>
      <c r="G13664" s="85"/>
    </row>
    <row r="13665">
      <c r="A13665" s="84"/>
      <c r="B13665" s="85"/>
      <c r="C13665" s="85"/>
      <c r="F13665" s="92"/>
      <c r="G13665" s="85"/>
    </row>
    <row r="13666">
      <c r="A13666" s="84"/>
      <c r="B13666" s="85"/>
      <c r="C13666" s="85"/>
      <c r="F13666" s="92"/>
      <c r="G13666" s="85"/>
    </row>
    <row r="13667">
      <c r="A13667" s="84"/>
      <c r="B13667" s="85"/>
      <c r="C13667" s="85"/>
      <c r="F13667" s="92"/>
      <c r="G13667" s="85"/>
    </row>
    <row r="13668">
      <c r="A13668" s="84"/>
      <c r="B13668" s="85"/>
      <c r="C13668" s="85"/>
      <c r="F13668" s="92"/>
      <c r="G13668" s="85"/>
    </row>
    <row r="13669">
      <c r="A13669" s="84"/>
      <c r="B13669" s="85"/>
      <c r="C13669" s="85"/>
      <c r="F13669" s="92"/>
      <c r="G13669" s="85"/>
    </row>
    <row r="13670">
      <c r="A13670" s="84"/>
      <c r="B13670" s="85"/>
      <c r="C13670" s="85"/>
      <c r="F13670" s="92"/>
      <c r="G13670" s="85"/>
    </row>
    <row r="13671">
      <c r="A13671" s="84"/>
      <c r="B13671" s="85"/>
      <c r="C13671" s="85"/>
      <c r="F13671" s="92"/>
      <c r="G13671" s="85"/>
    </row>
    <row r="13672">
      <c r="A13672" s="84"/>
      <c r="B13672" s="85"/>
      <c r="C13672" s="85"/>
      <c r="F13672" s="92"/>
      <c r="G13672" s="85"/>
    </row>
    <row r="13673">
      <c r="A13673" s="84"/>
      <c r="B13673" s="85"/>
      <c r="C13673" s="85"/>
      <c r="F13673" s="92"/>
      <c r="G13673" s="85"/>
    </row>
    <row r="13674">
      <c r="A13674" s="84"/>
      <c r="B13674" s="85"/>
      <c r="C13674" s="85"/>
      <c r="F13674" s="92"/>
      <c r="G13674" s="85"/>
    </row>
    <row r="13675">
      <c r="A13675" s="84"/>
      <c r="B13675" s="85"/>
      <c r="C13675" s="85"/>
      <c r="F13675" s="92"/>
      <c r="G13675" s="85"/>
    </row>
    <row r="13676">
      <c r="A13676" s="84"/>
      <c r="B13676" s="85"/>
      <c r="C13676" s="85"/>
      <c r="F13676" s="92"/>
      <c r="G13676" s="85"/>
    </row>
    <row r="13677">
      <c r="A13677" s="84"/>
      <c r="B13677" s="85"/>
      <c r="C13677" s="85"/>
      <c r="F13677" s="92"/>
      <c r="G13677" s="85"/>
    </row>
    <row r="13678">
      <c r="A13678" s="84"/>
      <c r="B13678" s="85"/>
      <c r="C13678" s="85"/>
      <c r="F13678" s="92"/>
      <c r="G13678" s="85"/>
    </row>
    <row r="13679">
      <c r="A13679" s="84"/>
      <c r="B13679" s="85"/>
      <c r="C13679" s="85"/>
      <c r="F13679" s="92"/>
      <c r="G13679" s="85"/>
    </row>
    <row r="13680">
      <c r="A13680" s="84"/>
      <c r="B13680" s="85"/>
      <c r="C13680" s="85"/>
      <c r="F13680" s="92"/>
      <c r="G13680" s="85"/>
    </row>
    <row r="13681">
      <c r="A13681" s="84"/>
      <c r="B13681" s="85"/>
      <c r="C13681" s="85"/>
      <c r="F13681" s="92"/>
      <c r="G13681" s="85"/>
    </row>
    <row r="13682">
      <c r="A13682" s="84"/>
      <c r="B13682" s="85"/>
      <c r="C13682" s="85"/>
      <c r="F13682" s="92"/>
      <c r="G13682" s="85"/>
    </row>
    <row r="13683">
      <c r="A13683" s="84"/>
      <c r="B13683" s="85"/>
      <c r="C13683" s="85"/>
      <c r="F13683" s="92"/>
      <c r="G13683" s="85"/>
    </row>
    <row r="13684">
      <c r="A13684" s="84"/>
      <c r="B13684" s="85"/>
      <c r="C13684" s="85"/>
      <c r="F13684" s="92"/>
      <c r="G13684" s="85"/>
    </row>
    <row r="13685">
      <c r="A13685" s="84"/>
      <c r="B13685" s="85"/>
      <c r="C13685" s="85"/>
      <c r="F13685" s="92"/>
      <c r="G13685" s="85"/>
    </row>
    <row r="13686">
      <c r="A13686" s="84"/>
      <c r="B13686" s="85"/>
      <c r="C13686" s="85"/>
      <c r="F13686" s="92"/>
      <c r="G13686" s="85"/>
    </row>
    <row r="13687">
      <c r="A13687" s="84"/>
      <c r="B13687" s="85"/>
      <c r="C13687" s="85"/>
      <c r="F13687" s="92"/>
      <c r="G13687" s="85"/>
    </row>
    <row r="13688">
      <c r="A13688" s="84"/>
      <c r="B13688" s="85"/>
      <c r="C13688" s="85"/>
      <c r="F13688" s="92"/>
      <c r="G13688" s="85"/>
    </row>
    <row r="13689">
      <c r="A13689" s="84"/>
      <c r="B13689" s="85"/>
      <c r="C13689" s="85"/>
      <c r="F13689" s="92"/>
      <c r="G13689" s="85"/>
    </row>
    <row r="13690">
      <c r="A13690" s="84"/>
      <c r="B13690" s="85"/>
      <c r="C13690" s="85"/>
      <c r="F13690" s="92"/>
      <c r="G13690" s="85"/>
    </row>
    <row r="13691">
      <c r="A13691" s="84"/>
      <c r="B13691" s="85"/>
      <c r="C13691" s="85"/>
      <c r="F13691" s="92"/>
      <c r="G13691" s="85"/>
    </row>
    <row r="13692">
      <c r="A13692" s="84"/>
      <c r="B13692" s="85"/>
      <c r="C13692" s="85"/>
      <c r="F13692" s="92"/>
      <c r="G13692" s="85"/>
    </row>
    <row r="13693">
      <c r="A13693" s="84"/>
      <c r="B13693" s="85"/>
      <c r="C13693" s="85"/>
      <c r="F13693" s="92"/>
      <c r="G13693" s="85"/>
    </row>
    <row r="13694">
      <c r="A13694" s="84"/>
      <c r="B13694" s="85"/>
      <c r="C13694" s="85"/>
      <c r="F13694" s="92"/>
      <c r="G13694" s="85"/>
    </row>
    <row r="13695">
      <c r="A13695" s="84"/>
      <c r="B13695" s="85"/>
      <c r="C13695" s="85"/>
      <c r="F13695" s="92"/>
      <c r="G13695" s="85"/>
    </row>
    <row r="13696">
      <c r="A13696" s="84"/>
      <c r="B13696" s="85"/>
      <c r="C13696" s="85"/>
      <c r="F13696" s="92"/>
      <c r="G13696" s="85"/>
    </row>
    <row r="13697">
      <c r="A13697" s="84"/>
      <c r="B13697" s="85"/>
      <c r="C13697" s="85"/>
      <c r="F13697" s="92"/>
      <c r="G13697" s="85"/>
    </row>
    <row r="13698">
      <c r="A13698" s="84"/>
      <c r="B13698" s="85"/>
      <c r="C13698" s="85"/>
      <c r="F13698" s="92"/>
      <c r="G13698" s="85"/>
    </row>
    <row r="13699">
      <c r="A13699" s="84"/>
      <c r="B13699" s="85"/>
      <c r="C13699" s="85"/>
      <c r="F13699" s="92"/>
      <c r="G13699" s="85"/>
    </row>
    <row r="13700">
      <c r="A13700" s="84"/>
      <c r="B13700" s="85"/>
      <c r="C13700" s="85"/>
      <c r="F13700" s="92"/>
      <c r="G13700" s="85"/>
    </row>
    <row r="13701">
      <c r="A13701" s="84"/>
      <c r="B13701" s="85"/>
      <c r="C13701" s="85"/>
      <c r="F13701" s="92"/>
      <c r="G13701" s="85"/>
    </row>
    <row r="13702">
      <c r="A13702" s="84"/>
      <c r="B13702" s="85"/>
      <c r="C13702" s="85"/>
      <c r="F13702" s="92"/>
      <c r="G13702" s="85"/>
    </row>
    <row r="13703">
      <c r="A13703" s="84"/>
      <c r="B13703" s="85"/>
      <c r="C13703" s="85"/>
      <c r="F13703" s="92"/>
      <c r="G13703" s="85"/>
    </row>
    <row r="13704">
      <c r="A13704" s="84"/>
      <c r="B13704" s="85"/>
      <c r="C13704" s="85"/>
      <c r="F13704" s="92"/>
      <c r="G13704" s="85"/>
    </row>
    <row r="13705">
      <c r="A13705" s="84"/>
      <c r="B13705" s="85"/>
      <c r="C13705" s="85"/>
      <c r="F13705" s="92"/>
      <c r="G13705" s="85"/>
    </row>
    <row r="13706">
      <c r="A13706" s="84"/>
      <c r="B13706" s="85"/>
      <c r="C13706" s="85"/>
      <c r="F13706" s="92"/>
      <c r="G13706" s="85"/>
    </row>
    <row r="13707">
      <c r="A13707" s="84"/>
      <c r="B13707" s="85"/>
      <c r="C13707" s="85"/>
      <c r="F13707" s="92"/>
      <c r="G13707" s="85"/>
    </row>
    <row r="13708">
      <c r="A13708" s="84"/>
      <c r="B13708" s="85"/>
      <c r="C13708" s="85"/>
      <c r="F13708" s="92"/>
      <c r="G13708" s="85"/>
    </row>
    <row r="13709">
      <c r="A13709" s="84"/>
      <c r="B13709" s="85"/>
      <c r="C13709" s="85"/>
      <c r="F13709" s="92"/>
      <c r="G13709" s="85"/>
    </row>
    <row r="13710">
      <c r="A13710" s="84"/>
      <c r="B13710" s="85"/>
      <c r="C13710" s="85"/>
      <c r="F13710" s="92"/>
      <c r="G13710" s="85"/>
    </row>
    <row r="13711">
      <c r="A13711" s="84"/>
      <c r="B13711" s="85"/>
      <c r="C13711" s="85"/>
      <c r="F13711" s="92"/>
      <c r="G13711" s="85"/>
    </row>
    <row r="13712">
      <c r="A13712" s="84"/>
      <c r="B13712" s="85"/>
      <c r="C13712" s="85"/>
      <c r="F13712" s="92"/>
      <c r="G13712" s="85"/>
    </row>
    <row r="13713">
      <c r="A13713" s="84"/>
      <c r="B13713" s="85"/>
      <c r="C13713" s="85"/>
      <c r="F13713" s="92"/>
      <c r="G13713" s="85"/>
    </row>
    <row r="13714">
      <c r="A13714" s="84"/>
      <c r="B13714" s="85"/>
      <c r="C13714" s="85"/>
      <c r="F13714" s="92"/>
      <c r="G13714" s="85"/>
    </row>
    <row r="13715">
      <c r="A13715" s="84"/>
      <c r="B13715" s="85"/>
      <c r="C13715" s="85"/>
      <c r="F13715" s="92"/>
      <c r="G13715" s="85"/>
    </row>
    <row r="13716">
      <c r="A13716" s="84"/>
      <c r="B13716" s="85"/>
      <c r="C13716" s="85"/>
      <c r="F13716" s="92"/>
      <c r="G13716" s="85"/>
    </row>
    <row r="13717">
      <c r="A13717" s="84"/>
      <c r="B13717" s="85"/>
      <c r="C13717" s="85"/>
      <c r="F13717" s="92"/>
      <c r="G13717" s="85"/>
    </row>
    <row r="13718">
      <c r="A13718" s="84"/>
      <c r="B13718" s="85"/>
      <c r="C13718" s="85"/>
      <c r="F13718" s="92"/>
      <c r="G13718" s="85"/>
    </row>
    <row r="13719">
      <c r="A13719" s="84"/>
      <c r="B13719" s="85"/>
      <c r="C13719" s="85"/>
      <c r="F13719" s="92"/>
      <c r="G13719" s="85"/>
    </row>
    <row r="13720">
      <c r="A13720" s="84"/>
      <c r="B13720" s="85"/>
      <c r="C13720" s="85"/>
      <c r="F13720" s="92"/>
      <c r="G13720" s="85"/>
    </row>
    <row r="13721">
      <c r="A13721" s="84"/>
      <c r="B13721" s="85"/>
      <c r="C13721" s="85"/>
      <c r="F13721" s="92"/>
      <c r="G13721" s="85"/>
    </row>
    <row r="13722">
      <c r="A13722" s="84"/>
      <c r="B13722" s="85"/>
      <c r="C13722" s="85"/>
      <c r="F13722" s="92"/>
      <c r="G13722" s="85"/>
    </row>
    <row r="13723">
      <c r="A13723" s="84"/>
      <c r="B13723" s="85"/>
      <c r="C13723" s="85"/>
      <c r="F13723" s="92"/>
      <c r="G13723" s="85"/>
    </row>
    <row r="13724">
      <c r="A13724" s="84"/>
      <c r="B13724" s="85"/>
      <c r="C13724" s="85"/>
      <c r="F13724" s="92"/>
      <c r="G13724" s="85"/>
    </row>
    <row r="13725">
      <c r="A13725" s="84"/>
      <c r="B13725" s="85"/>
      <c r="C13725" s="85"/>
      <c r="F13725" s="92"/>
      <c r="G13725" s="85"/>
    </row>
    <row r="13726">
      <c r="A13726" s="84"/>
      <c r="B13726" s="85"/>
      <c r="C13726" s="85"/>
      <c r="F13726" s="92"/>
      <c r="G13726" s="85"/>
    </row>
    <row r="13727">
      <c r="A13727" s="84"/>
      <c r="B13727" s="85"/>
      <c r="C13727" s="85"/>
      <c r="F13727" s="92"/>
      <c r="G13727" s="85"/>
    </row>
    <row r="13728">
      <c r="A13728" s="84"/>
      <c r="B13728" s="85"/>
      <c r="C13728" s="85"/>
      <c r="F13728" s="92"/>
      <c r="G13728" s="85"/>
    </row>
    <row r="13729">
      <c r="A13729" s="84"/>
      <c r="B13729" s="85"/>
      <c r="C13729" s="85"/>
      <c r="F13729" s="92"/>
      <c r="G13729" s="85"/>
    </row>
    <row r="13730">
      <c r="A13730" s="84"/>
      <c r="B13730" s="85"/>
      <c r="C13730" s="85"/>
      <c r="F13730" s="92"/>
      <c r="G13730" s="85"/>
    </row>
    <row r="13731">
      <c r="A13731" s="84"/>
      <c r="B13731" s="85"/>
      <c r="C13731" s="85"/>
      <c r="F13731" s="92"/>
      <c r="G13731" s="85"/>
    </row>
    <row r="13732">
      <c r="A13732" s="84"/>
      <c r="B13732" s="85"/>
      <c r="C13732" s="85"/>
      <c r="F13732" s="92"/>
      <c r="G13732" s="85"/>
    </row>
    <row r="13733">
      <c r="A13733" s="84"/>
      <c r="B13733" s="85"/>
      <c r="C13733" s="85"/>
      <c r="F13733" s="92"/>
      <c r="G13733" s="85"/>
    </row>
    <row r="13734">
      <c r="A13734" s="84"/>
      <c r="B13734" s="85"/>
      <c r="C13734" s="85"/>
      <c r="F13734" s="92"/>
      <c r="G13734" s="85"/>
    </row>
    <row r="13735">
      <c r="A13735" s="84"/>
      <c r="B13735" s="85"/>
      <c r="C13735" s="85"/>
      <c r="F13735" s="92"/>
      <c r="G13735" s="85"/>
    </row>
    <row r="13736">
      <c r="A13736" s="84"/>
      <c r="B13736" s="85"/>
      <c r="C13736" s="85"/>
      <c r="F13736" s="92"/>
      <c r="G13736" s="85"/>
    </row>
    <row r="13737">
      <c r="A13737" s="84"/>
      <c r="B13737" s="85"/>
      <c r="C13737" s="85"/>
      <c r="F13737" s="92"/>
      <c r="G13737" s="85"/>
    </row>
    <row r="13738">
      <c r="A13738" s="84"/>
      <c r="B13738" s="85"/>
      <c r="C13738" s="85"/>
      <c r="F13738" s="92"/>
      <c r="G13738" s="85"/>
    </row>
    <row r="13739">
      <c r="A13739" s="84"/>
      <c r="B13739" s="85"/>
      <c r="C13739" s="85"/>
      <c r="F13739" s="92"/>
      <c r="G13739" s="85"/>
    </row>
    <row r="13740">
      <c r="A13740" s="84"/>
      <c r="B13740" s="85"/>
      <c r="C13740" s="85"/>
      <c r="F13740" s="92"/>
      <c r="G13740" s="85"/>
    </row>
    <row r="13741">
      <c r="A13741" s="84"/>
      <c r="B13741" s="85"/>
      <c r="C13741" s="85"/>
      <c r="F13741" s="92"/>
      <c r="G13741" s="85"/>
    </row>
    <row r="13742">
      <c r="A13742" s="84"/>
      <c r="B13742" s="85"/>
      <c r="C13742" s="85"/>
      <c r="F13742" s="92"/>
      <c r="G13742" s="85"/>
    </row>
    <row r="13743">
      <c r="A13743" s="84"/>
      <c r="B13743" s="85"/>
      <c r="C13743" s="85"/>
      <c r="F13743" s="92"/>
      <c r="G13743" s="85"/>
    </row>
    <row r="13744">
      <c r="A13744" s="84"/>
      <c r="B13744" s="85"/>
      <c r="C13744" s="85"/>
      <c r="F13744" s="92"/>
      <c r="G13744" s="85"/>
    </row>
    <row r="13745">
      <c r="A13745" s="84"/>
      <c r="B13745" s="85"/>
      <c r="C13745" s="85"/>
      <c r="F13745" s="92"/>
      <c r="G13745" s="85"/>
    </row>
    <row r="13746">
      <c r="A13746" s="84"/>
      <c r="B13746" s="85"/>
      <c r="C13746" s="85"/>
      <c r="F13746" s="92"/>
      <c r="G13746" s="85"/>
    </row>
    <row r="13747">
      <c r="A13747" s="84"/>
      <c r="B13747" s="85"/>
      <c r="C13747" s="85"/>
      <c r="F13747" s="92"/>
      <c r="G13747" s="85"/>
    </row>
    <row r="13748">
      <c r="A13748" s="84"/>
      <c r="B13748" s="85"/>
      <c r="C13748" s="85"/>
      <c r="F13748" s="92"/>
      <c r="G13748" s="85"/>
    </row>
    <row r="13749">
      <c r="A13749" s="84"/>
      <c r="B13749" s="85"/>
      <c r="C13749" s="85"/>
      <c r="F13749" s="92"/>
      <c r="G13749" s="85"/>
    </row>
    <row r="13750">
      <c r="A13750" s="84"/>
      <c r="B13750" s="85"/>
      <c r="C13750" s="85"/>
      <c r="F13750" s="92"/>
      <c r="G13750" s="85"/>
    </row>
    <row r="13751">
      <c r="A13751" s="84"/>
      <c r="B13751" s="85"/>
      <c r="C13751" s="85"/>
      <c r="F13751" s="92"/>
      <c r="G13751" s="85"/>
    </row>
    <row r="13752">
      <c r="A13752" s="84"/>
      <c r="B13752" s="85"/>
      <c r="C13752" s="85"/>
      <c r="F13752" s="92"/>
      <c r="G13752" s="85"/>
    </row>
    <row r="13753">
      <c r="A13753" s="84"/>
      <c r="B13753" s="85"/>
      <c r="C13753" s="85"/>
      <c r="F13753" s="92"/>
      <c r="G13753" s="85"/>
    </row>
    <row r="13754">
      <c r="A13754" s="84"/>
      <c r="B13754" s="85"/>
      <c r="C13754" s="85"/>
      <c r="F13754" s="92"/>
      <c r="G13754" s="85"/>
    </row>
    <row r="13755">
      <c r="A13755" s="84"/>
      <c r="B13755" s="85"/>
      <c r="C13755" s="85"/>
      <c r="F13755" s="92"/>
      <c r="G13755" s="85"/>
    </row>
    <row r="13756">
      <c r="A13756" s="84"/>
      <c r="B13756" s="85"/>
      <c r="C13756" s="85"/>
      <c r="F13756" s="92"/>
      <c r="G13756" s="85"/>
    </row>
    <row r="13757">
      <c r="A13757" s="84"/>
      <c r="B13757" s="85"/>
      <c r="C13757" s="85"/>
      <c r="F13757" s="92"/>
      <c r="G13757" s="85"/>
    </row>
    <row r="13758">
      <c r="A13758" s="84"/>
      <c r="B13758" s="85"/>
      <c r="C13758" s="85"/>
      <c r="F13758" s="92"/>
      <c r="G13758" s="85"/>
    </row>
    <row r="13759">
      <c r="A13759" s="84"/>
      <c r="B13759" s="85"/>
      <c r="C13759" s="85"/>
      <c r="F13759" s="92"/>
      <c r="G13759" s="85"/>
    </row>
    <row r="13760">
      <c r="A13760" s="84"/>
      <c r="B13760" s="85"/>
      <c r="C13760" s="85"/>
      <c r="F13760" s="92"/>
      <c r="G13760" s="85"/>
    </row>
    <row r="13761">
      <c r="A13761" s="84"/>
      <c r="B13761" s="85"/>
      <c r="C13761" s="85"/>
      <c r="F13761" s="92"/>
      <c r="G13761" s="85"/>
    </row>
    <row r="13762">
      <c r="A13762" s="84"/>
      <c r="B13762" s="85"/>
      <c r="C13762" s="85"/>
      <c r="F13762" s="92"/>
      <c r="G13762" s="85"/>
    </row>
    <row r="13763">
      <c r="A13763" s="84"/>
      <c r="B13763" s="85"/>
      <c r="C13763" s="85"/>
      <c r="F13763" s="92"/>
      <c r="G13763" s="85"/>
    </row>
    <row r="13764">
      <c r="A13764" s="84"/>
      <c r="B13764" s="85"/>
      <c r="C13764" s="85"/>
      <c r="F13764" s="92"/>
      <c r="G13764" s="85"/>
    </row>
    <row r="13765">
      <c r="A13765" s="84"/>
      <c r="B13765" s="85"/>
      <c r="C13765" s="85"/>
      <c r="F13765" s="92"/>
      <c r="G13765" s="85"/>
    </row>
    <row r="13766">
      <c r="A13766" s="84"/>
      <c r="B13766" s="85"/>
      <c r="C13766" s="85"/>
      <c r="F13766" s="92"/>
      <c r="G13766" s="85"/>
    </row>
    <row r="13767">
      <c r="A13767" s="84"/>
      <c r="B13767" s="85"/>
      <c r="C13767" s="85"/>
      <c r="F13767" s="92"/>
      <c r="G13767" s="85"/>
    </row>
    <row r="13768">
      <c r="A13768" s="84"/>
      <c r="B13768" s="85"/>
      <c r="C13768" s="85"/>
      <c r="F13768" s="92"/>
      <c r="G13768" s="85"/>
    </row>
    <row r="13769">
      <c r="A13769" s="84"/>
      <c r="B13769" s="85"/>
      <c r="C13769" s="85"/>
      <c r="F13769" s="92"/>
      <c r="G13769" s="85"/>
    </row>
    <row r="13770">
      <c r="A13770" s="84"/>
      <c r="B13770" s="85"/>
      <c r="C13770" s="85"/>
      <c r="F13770" s="92"/>
      <c r="G13770" s="85"/>
    </row>
    <row r="13771">
      <c r="A13771" s="84"/>
      <c r="B13771" s="85"/>
      <c r="C13771" s="85"/>
      <c r="F13771" s="92"/>
      <c r="G13771" s="85"/>
    </row>
    <row r="13772">
      <c r="A13772" s="84"/>
      <c r="B13772" s="85"/>
      <c r="C13772" s="85"/>
      <c r="F13772" s="92"/>
      <c r="G13772" s="85"/>
    </row>
    <row r="13773">
      <c r="A13773" s="84"/>
      <c r="B13773" s="85"/>
      <c r="C13773" s="85"/>
      <c r="F13773" s="92"/>
      <c r="G13773" s="85"/>
    </row>
    <row r="13774">
      <c r="A13774" s="84"/>
      <c r="B13774" s="85"/>
      <c r="C13774" s="85"/>
      <c r="F13774" s="92"/>
      <c r="G13774" s="85"/>
    </row>
    <row r="13775">
      <c r="A13775" s="84"/>
      <c r="B13775" s="85"/>
      <c r="C13775" s="85"/>
      <c r="F13775" s="92"/>
      <c r="G13775" s="85"/>
    </row>
    <row r="13776">
      <c r="A13776" s="84"/>
      <c r="B13776" s="85"/>
      <c r="C13776" s="85"/>
      <c r="F13776" s="92"/>
      <c r="G13776" s="85"/>
    </row>
    <row r="13777">
      <c r="A13777" s="84"/>
      <c r="B13777" s="85"/>
      <c r="C13777" s="85"/>
      <c r="F13777" s="92"/>
      <c r="G13777" s="85"/>
    </row>
    <row r="13778">
      <c r="A13778" s="84"/>
      <c r="B13778" s="85"/>
      <c r="C13778" s="85"/>
      <c r="F13778" s="92"/>
      <c r="G13778" s="85"/>
    </row>
    <row r="13779">
      <c r="A13779" s="84"/>
      <c r="B13779" s="85"/>
      <c r="C13779" s="85"/>
      <c r="F13779" s="92"/>
      <c r="G13779" s="85"/>
    </row>
    <row r="13780">
      <c r="A13780" s="84"/>
      <c r="B13780" s="85"/>
      <c r="C13780" s="85"/>
      <c r="F13780" s="92"/>
      <c r="G13780" s="85"/>
    </row>
    <row r="13781">
      <c r="A13781" s="84"/>
      <c r="B13781" s="85"/>
      <c r="C13781" s="85"/>
      <c r="F13781" s="92"/>
      <c r="G13781" s="85"/>
    </row>
    <row r="13782">
      <c r="A13782" s="84"/>
      <c r="B13782" s="85"/>
      <c r="C13782" s="85"/>
      <c r="F13782" s="92"/>
      <c r="G13782" s="85"/>
    </row>
    <row r="13783">
      <c r="A13783" s="84"/>
      <c r="B13783" s="85"/>
      <c r="C13783" s="85"/>
      <c r="F13783" s="92"/>
      <c r="G13783" s="85"/>
    </row>
    <row r="13784">
      <c r="A13784" s="84"/>
      <c r="B13784" s="85"/>
      <c r="C13784" s="85"/>
      <c r="F13784" s="92"/>
      <c r="G13784" s="85"/>
    </row>
    <row r="13785">
      <c r="A13785" s="84"/>
      <c r="B13785" s="85"/>
      <c r="C13785" s="85"/>
      <c r="F13785" s="92"/>
      <c r="G13785" s="85"/>
    </row>
    <row r="13786">
      <c r="A13786" s="84"/>
      <c r="B13786" s="85"/>
      <c r="C13786" s="85"/>
      <c r="F13786" s="92"/>
      <c r="G13786" s="85"/>
    </row>
    <row r="13787">
      <c r="A13787" s="84"/>
      <c r="B13787" s="85"/>
      <c r="C13787" s="85"/>
      <c r="F13787" s="92"/>
      <c r="G13787" s="85"/>
    </row>
    <row r="13788">
      <c r="A13788" s="84"/>
      <c r="B13788" s="85"/>
      <c r="C13788" s="85"/>
      <c r="F13788" s="92"/>
      <c r="G13788" s="85"/>
    </row>
    <row r="13789">
      <c r="A13789" s="84"/>
      <c r="B13789" s="85"/>
      <c r="C13789" s="85"/>
      <c r="F13789" s="92"/>
      <c r="G13789" s="85"/>
    </row>
    <row r="13790">
      <c r="A13790" s="84"/>
      <c r="B13790" s="85"/>
      <c r="C13790" s="85"/>
      <c r="F13790" s="92"/>
      <c r="G13790" s="85"/>
    </row>
    <row r="13791">
      <c r="A13791" s="84"/>
      <c r="B13791" s="85"/>
      <c r="C13791" s="85"/>
      <c r="F13791" s="92"/>
      <c r="G13791" s="85"/>
    </row>
    <row r="13792">
      <c r="A13792" s="84"/>
      <c r="B13792" s="85"/>
      <c r="C13792" s="85"/>
      <c r="F13792" s="92"/>
      <c r="G13792" s="85"/>
    </row>
    <row r="13793">
      <c r="A13793" s="84"/>
      <c r="B13793" s="85"/>
      <c r="C13793" s="85"/>
      <c r="F13793" s="92"/>
      <c r="G13793" s="85"/>
    </row>
    <row r="13794">
      <c r="A13794" s="84"/>
      <c r="B13794" s="85"/>
      <c r="C13794" s="85"/>
      <c r="F13794" s="92"/>
      <c r="G13794" s="85"/>
    </row>
    <row r="13795">
      <c r="A13795" s="84"/>
      <c r="B13795" s="85"/>
      <c r="C13795" s="85"/>
      <c r="F13795" s="92"/>
      <c r="G13795" s="85"/>
    </row>
    <row r="13796">
      <c r="A13796" s="84"/>
      <c r="B13796" s="85"/>
      <c r="C13796" s="85"/>
      <c r="F13796" s="92"/>
      <c r="G13796" s="85"/>
    </row>
    <row r="13797">
      <c r="A13797" s="84"/>
      <c r="B13797" s="85"/>
      <c r="C13797" s="85"/>
      <c r="F13797" s="92"/>
      <c r="G13797" s="85"/>
    </row>
    <row r="13798">
      <c r="A13798" s="84"/>
      <c r="B13798" s="85"/>
      <c r="C13798" s="85"/>
      <c r="F13798" s="92"/>
      <c r="G13798" s="85"/>
    </row>
    <row r="13799">
      <c r="A13799" s="84"/>
      <c r="B13799" s="85"/>
      <c r="C13799" s="85"/>
      <c r="F13799" s="92"/>
      <c r="G13799" s="85"/>
    </row>
    <row r="13800">
      <c r="A13800" s="84"/>
      <c r="B13800" s="85"/>
      <c r="C13800" s="85"/>
      <c r="F13800" s="92"/>
      <c r="G13800" s="85"/>
    </row>
    <row r="13801">
      <c r="A13801" s="84"/>
      <c r="B13801" s="85"/>
      <c r="C13801" s="85"/>
      <c r="F13801" s="92"/>
      <c r="G13801" s="85"/>
    </row>
    <row r="13802">
      <c r="A13802" s="84"/>
      <c r="B13802" s="85"/>
      <c r="C13802" s="85"/>
      <c r="F13802" s="92"/>
      <c r="G13802" s="85"/>
    </row>
    <row r="13803">
      <c r="A13803" s="84"/>
      <c r="B13803" s="85"/>
      <c r="C13803" s="85"/>
      <c r="F13803" s="92"/>
      <c r="G13803" s="85"/>
    </row>
    <row r="13804">
      <c r="A13804" s="84"/>
      <c r="B13804" s="85"/>
      <c r="C13804" s="85"/>
      <c r="F13804" s="92"/>
      <c r="G13804" s="85"/>
    </row>
    <row r="13805">
      <c r="A13805" s="84"/>
      <c r="B13805" s="85"/>
      <c r="C13805" s="85"/>
      <c r="F13805" s="92"/>
      <c r="G13805" s="85"/>
    </row>
    <row r="13806">
      <c r="A13806" s="84"/>
      <c r="B13806" s="85"/>
      <c r="C13806" s="85"/>
      <c r="F13806" s="92"/>
      <c r="G13806" s="85"/>
    </row>
    <row r="13807">
      <c r="A13807" s="84"/>
      <c r="B13807" s="85"/>
      <c r="C13807" s="85"/>
      <c r="F13807" s="92"/>
      <c r="G13807" s="85"/>
    </row>
    <row r="13808">
      <c r="A13808" s="84"/>
      <c r="B13808" s="85"/>
      <c r="C13808" s="85"/>
      <c r="F13808" s="92"/>
      <c r="G13808" s="85"/>
    </row>
    <row r="13809">
      <c r="A13809" s="84"/>
      <c r="B13809" s="85"/>
      <c r="C13809" s="85"/>
      <c r="F13809" s="92"/>
      <c r="G13809" s="85"/>
    </row>
    <row r="13810">
      <c r="A13810" s="84"/>
      <c r="B13810" s="85"/>
      <c r="C13810" s="85"/>
      <c r="F13810" s="92"/>
      <c r="G13810" s="85"/>
    </row>
    <row r="13811">
      <c r="A13811" s="84"/>
      <c r="B13811" s="85"/>
      <c r="C13811" s="85"/>
      <c r="F13811" s="92"/>
      <c r="G13811" s="85"/>
    </row>
    <row r="13812">
      <c r="A13812" s="84"/>
      <c r="B13812" s="85"/>
      <c r="C13812" s="85"/>
      <c r="F13812" s="92"/>
      <c r="G13812" s="85"/>
    </row>
    <row r="13813">
      <c r="A13813" s="84"/>
      <c r="B13813" s="85"/>
      <c r="C13813" s="85"/>
      <c r="F13813" s="92"/>
      <c r="G13813" s="85"/>
    </row>
    <row r="13814">
      <c r="A13814" s="84"/>
      <c r="B13814" s="85"/>
      <c r="C13814" s="85"/>
      <c r="F13814" s="92"/>
      <c r="G13814" s="85"/>
    </row>
    <row r="13815">
      <c r="A13815" s="84"/>
      <c r="B13815" s="85"/>
      <c r="C13815" s="85"/>
      <c r="F13815" s="92"/>
      <c r="G13815" s="85"/>
    </row>
    <row r="13816">
      <c r="A13816" s="84"/>
      <c r="B13816" s="85"/>
      <c r="C13816" s="85"/>
      <c r="F13816" s="92"/>
      <c r="G13816" s="85"/>
    </row>
    <row r="13817">
      <c r="A13817" s="84"/>
      <c r="B13817" s="85"/>
      <c r="C13817" s="85"/>
      <c r="F13817" s="92"/>
      <c r="G13817" s="85"/>
    </row>
    <row r="13818">
      <c r="A13818" s="84"/>
      <c r="B13818" s="85"/>
      <c r="C13818" s="85"/>
      <c r="F13818" s="92"/>
      <c r="G13818" s="85"/>
    </row>
    <row r="13819">
      <c r="A13819" s="84"/>
      <c r="B13819" s="85"/>
      <c r="C13819" s="85"/>
      <c r="F13819" s="92"/>
      <c r="G13819" s="85"/>
    </row>
    <row r="13820">
      <c r="A13820" s="84"/>
      <c r="B13820" s="85"/>
      <c r="C13820" s="85"/>
      <c r="F13820" s="92"/>
      <c r="G13820" s="85"/>
    </row>
    <row r="13821">
      <c r="A13821" s="84"/>
      <c r="B13821" s="85"/>
      <c r="C13821" s="85"/>
      <c r="F13821" s="92"/>
      <c r="G13821" s="85"/>
    </row>
    <row r="13822">
      <c r="A13822" s="84"/>
      <c r="B13822" s="85"/>
      <c r="C13822" s="85"/>
      <c r="F13822" s="92"/>
      <c r="G13822" s="85"/>
    </row>
    <row r="13823">
      <c r="A13823" s="84"/>
      <c r="B13823" s="85"/>
      <c r="C13823" s="85"/>
      <c r="F13823" s="92"/>
      <c r="G13823" s="85"/>
    </row>
    <row r="13824">
      <c r="A13824" s="84"/>
      <c r="B13824" s="85"/>
      <c r="C13824" s="85"/>
      <c r="F13824" s="92"/>
      <c r="G13824" s="85"/>
    </row>
    <row r="13825">
      <c r="A13825" s="84"/>
      <c r="B13825" s="85"/>
      <c r="C13825" s="85"/>
      <c r="F13825" s="92"/>
      <c r="G13825" s="85"/>
    </row>
    <row r="13826">
      <c r="A13826" s="84"/>
      <c r="B13826" s="85"/>
      <c r="C13826" s="85"/>
      <c r="F13826" s="92"/>
      <c r="G13826" s="85"/>
    </row>
    <row r="13827">
      <c r="A13827" s="84"/>
      <c r="B13827" s="85"/>
      <c r="C13827" s="85"/>
      <c r="F13827" s="92"/>
      <c r="G13827" s="85"/>
    </row>
    <row r="13828">
      <c r="A13828" s="84"/>
      <c r="B13828" s="85"/>
      <c r="C13828" s="85"/>
      <c r="F13828" s="92"/>
      <c r="G13828" s="85"/>
    </row>
    <row r="13829">
      <c r="A13829" s="84"/>
      <c r="B13829" s="85"/>
      <c r="C13829" s="85"/>
      <c r="F13829" s="92"/>
      <c r="G13829" s="85"/>
    </row>
    <row r="13830">
      <c r="A13830" s="84"/>
      <c r="B13830" s="85"/>
      <c r="C13830" s="85"/>
      <c r="F13830" s="92"/>
      <c r="G13830" s="85"/>
    </row>
    <row r="13831">
      <c r="A13831" s="84"/>
      <c r="B13831" s="85"/>
      <c r="C13831" s="85"/>
      <c r="F13831" s="92"/>
      <c r="G13831" s="85"/>
    </row>
    <row r="13832">
      <c r="A13832" s="84"/>
      <c r="B13832" s="85"/>
      <c r="C13832" s="85"/>
      <c r="F13832" s="92"/>
      <c r="G13832" s="85"/>
    </row>
    <row r="13833">
      <c r="A13833" s="84"/>
      <c r="B13833" s="85"/>
      <c r="C13833" s="85"/>
      <c r="F13833" s="92"/>
      <c r="G13833" s="85"/>
    </row>
    <row r="13834">
      <c r="A13834" s="84"/>
      <c r="B13834" s="85"/>
      <c r="C13834" s="85"/>
      <c r="F13834" s="92"/>
      <c r="G13834" s="85"/>
    </row>
    <row r="13835">
      <c r="A13835" s="84"/>
      <c r="B13835" s="85"/>
      <c r="C13835" s="85"/>
      <c r="F13835" s="92"/>
      <c r="G13835" s="85"/>
    </row>
    <row r="13836">
      <c r="A13836" s="84"/>
      <c r="B13836" s="85"/>
      <c r="C13836" s="85"/>
      <c r="F13836" s="92"/>
      <c r="G13836" s="85"/>
    </row>
    <row r="13837">
      <c r="A13837" s="84"/>
      <c r="B13837" s="85"/>
      <c r="C13837" s="85"/>
      <c r="F13837" s="92"/>
      <c r="G13837" s="85"/>
    </row>
    <row r="13838">
      <c r="A13838" s="84"/>
      <c r="B13838" s="85"/>
      <c r="C13838" s="85"/>
      <c r="F13838" s="92"/>
      <c r="G13838" s="85"/>
    </row>
    <row r="13839">
      <c r="A13839" s="84"/>
      <c r="B13839" s="85"/>
      <c r="C13839" s="85"/>
      <c r="F13839" s="92"/>
      <c r="G13839" s="85"/>
    </row>
    <row r="13840">
      <c r="A13840" s="84"/>
      <c r="B13840" s="85"/>
      <c r="C13840" s="85"/>
      <c r="F13840" s="92"/>
      <c r="G13840" s="85"/>
    </row>
    <row r="13841">
      <c r="A13841" s="84"/>
      <c r="B13841" s="85"/>
      <c r="C13841" s="85"/>
      <c r="F13841" s="92"/>
      <c r="G13841" s="85"/>
    </row>
    <row r="13842">
      <c r="A13842" s="84"/>
      <c r="B13842" s="85"/>
      <c r="C13842" s="85"/>
      <c r="F13842" s="92"/>
      <c r="G13842" s="85"/>
    </row>
    <row r="13843">
      <c r="A13843" s="84"/>
      <c r="B13843" s="85"/>
      <c r="C13843" s="85"/>
      <c r="F13843" s="92"/>
      <c r="G13843" s="85"/>
    </row>
    <row r="13844">
      <c r="A13844" s="84"/>
      <c r="B13844" s="85"/>
      <c r="C13844" s="85"/>
      <c r="F13844" s="92"/>
      <c r="G13844" s="85"/>
    </row>
    <row r="13845">
      <c r="A13845" s="84"/>
      <c r="B13845" s="85"/>
      <c r="C13845" s="85"/>
      <c r="F13845" s="92"/>
      <c r="G13845" s="85"/>
    </row>
    <row r="13846">
      <c r="A13846" s="84"/>
      <c r="B13846" s="85"/>
      <c r="C13846" s="85"/>
      <c r="F13846" s="92"/>
      <c r="G13846" s="85"/>
    </row>
    <row r="13847">
      <c r="A13847" s="84"/>
      <c r="B13847" s="85"/>
      <c r="C13847" s="85"/>
      <c r="F13847" s="92"/>
      <c r="G13847" s="85"/>
    </row>
    <row r="13848">
      <c r="A13848" s="84"/>
      <c r="B13848" s="85"/>
      <c r="C13848" s="85"/>
      <c r="F13848" s="92"/>
      <c r="G13848" s="85"/>
    </row>
    <row r="13849">
      <c r="A13849" s="84"/>
      <c r="B13849" s="85"/>
      <c r="C13849" s="85"/>
      <c r="F13849" s="92"/>
      <c r="G13849" s="85"/>
    </row>
    <row r="13850">
      <c r="A13850" s="84"/>
      <c r="B13850" s="85"/>
      <c r="C13850" s="85"/>
      <c r="F13850" s="92"/>
      <c r="G13850" s="85"/>
    </row>
    <row r="13851">
      <c r="A13851" s="84"/>
      <c r="B13851" s="85"/>
      <c r="C13851" s="85"/>
      <c r="F13851" s="92"/>
      <c r="G13851" s="85"/>
    </row>
    <row r="13852">
      <c r="A13852" s="84"/>
      <c r="B13852" s="85"/>
      <c r="C13852" s="85"/>
      <c r="F13852" s="92"/>
      <c r="G13852" s="85"/>
    </row>
    <row r="13853">
      <c r="A13853" s="84"/>
      <c r="B13853" s="85"/>
      <c r="C13853" s="85"/>
      <c r="F13853" s="92"/>
      <c r="G13853" s="85"/>
    </row>
    <row r="13854">
      <c r="A13854" s="84"/>
      <c r="B13854" s="85"/>
      <c r="C13854" s="85"/>
      <c r="F13854" s="92"/>
      <c r="G13854" s="85"/>
    </row>
    <row r="13855">
      <c r="A13855" s="84"/>
      <c r="B13855" s="85"/>
      <c r="C13855" s="85"/>
      <c r="F13855" s="92"/>
      <c r="G13855" s="85"/>
    </row>
    <row r="13856">
      <c r="A13856" s="84"/>
      <c r="B13856" s="85"/>
      <c r="C13856" s="85"/>
      <c r="F13856" s="92"/>
      <c r="G13856" s="85"/>
    </row>
    <row r="13857">
      <c r="A13857" s="84"/>
      <c r="B13857" s="85"/>
      <c r="C13857" s="85"/>
      <c r="F13857" s="92"/>
      <c r="G13857" s="85"/>
    </row>
    <row r="13858">
      <c r="A13858" s="84"/>
      <c r="B13858" s="85"/>
      <c r="C13858" s="85"/>
      <c r="F13858" s="92"/>
      <c r="G13858" s="85"/>
    </row>
    <row r="13859">
      <c r="A13859" s="84"/>
      <c r="B13859" s="85"/>
      <c r="C13859" s="85"/>
      <c r="F13859" s="92"/>
      <c r="G13859" s="85"/>
    </row>
    <row r="13860">
      <c r="A13860" s="84"/>
      <c r="B13860" s="85"/>
      <c r="C13860" s="85"/>
      <c r="F13860" s="92"/>
      <c r="G13860" s="85"/>
    </row>
    <row r="13861">
      <c r="A13861" s="84"/>
      <c r="B13861" s="85"/>
      <c r="C13861" s="85"/>
      <c r="F13861" s="92"/>
      <c r="G13861" s="85"/>
    </row>
    <row r="13862">
      <c r="A13862" s="84"/>
      <c r="B13862" s="85"/>
      <c r="C13862" s="85"/>
      <c r="F13862" s="92"/>
      <c r="G13862" s="85"/>
    </row>
    <row r="13863">
      <c r="A13863" s="84"/>
      <c r="B13863" s="85"/>
      <c r="C13863" s="85"/>
      <c r="F13863" s="92"/>
      <c r="G13863" s="85"/>
    </row>
    <row r="13864">
      <c r="A13864" s="84"/>
      <c r="B13864" s="85"/>
      <c r="C13864" s="85"/>
      <c r="F13864" s="92"/>
      <c r="G13864" s="85"/>
    </row>
    <row r="13865">
      <c r="A13865" s="84"/>
      <c r="B13865" s="85"/>
      <c r="C13865" s="85"/>
      <c r="F13865" s="92"/>
      <c r="G13865" s="85"/>
    </row>
    <row r="13866">
      <c r="A13866" s="84"/>
      <c r="B13866" s="85"/>
      <c r="C13866" s="85"/>
      <c r="F13866" s="92"/>
      <c r="G13866" s="85"/>
    </row>
    <row r="13867">
      <c r="A13867" s="84"/>
      <c r="B13867" s="85"/>
      <c r="C13867" s="85"/>
      <c r="F13867" s="92"/>
      <c r="G13867" s="85"/>
    </row>
    <row r="13868">
      <c r="A13868" s="84"/>
      <c r="B13868" s="85"/>
      <c r="C13868" s="85"/>
      <c r="F13868" s="92"/>
      <c r="G13868" s="85"/>
    </row>
    <row r="13869">
      <c r="A13869" s="84"/>
      <c r="B13869" s="85"/>
      <c r="C13869" s="85"/>
      <c r="F13869" s="92"/>
      <c r="G13869" s="85"/>
    </row>
    <row r="13870">
      <c r="A13870" s="84"/>
      <c r="B13870" s="85"/>
      <c r="C13870" s="85"/>
      <c r="F13870" s="92"/>
      <c r="G13870" s="85"/>
    </row>
    <row r="13871">
      <c r="A13871" s="84"/>
      <c r="B13871" s="85"/>
      <c r="C13871" s="85"/>
      <c r="F13871" s="92"/>
      <c r="G13871" s="85"/>
    </row>
    <row r="13872">
      <c r="A13872" s="84"/>
      <c r="B13872" s="85"/>
      <c r="C13872" s="85"/>
      <c r="F13872" s="92"/>
      <c r="G13872" s="85"/>
    </row>
    <row r="13873">
      <c r="A13873" s="84"/>
      <c r="B13873" s="85"/>
      <c r="C13873" s="85"/>
      <c r="F13873" s="92"/>
      <c r="G13873" s="85"/>
    </row>
    <row r="13874">
      <c r="A13874" s="84"/>
      <c r="B13874" s="85"/>
      <c r="C13874" s="85"/>
      <c r="F13874" s="92"/>
      <c r="G13874" s="85"/>
    </row>
    <row r="13875">
      <c r="A13875" s="84"/>
      <c r="B13875" s="85"/>
      <c r="C13875" s="85"/>
      <c r="F13875" s="92"/>
      <c r="G13875" s="85"/>
    </row>
    <row r="13876">
      <c r="A13876" s="84"/>
      <c r="B13876" s="85"/>
      <c r="C13876" s="85"/>
      <c r="F13876" s="92"/>
      <c r="G13876" s="85"/>
    </row>
    <row r="13877">
      <c r="A13877" s="84"/>
      <c r="B13877" s="85"/>
      <c r="C13877" s="85"/>
      <c r="F13877" s="92"/>
      <c r="G13877" s="85"/>
    </row>
    <row r="13878">
      <c r="A13878" s="84"/>
      <c r="B13878" s="85"/>
      <c r="C13878" s="85"/>
      <c r="F13878" s="92"/>
      <c r="G13878" s="85"/>
    </row>
    <row r="13879">
      <c r="A13879" s="84"/>
      <c r="B13879" s="85"/>
      <c r="C13879" s="85"/>
      <c r="F13879" s="92"/>
      <c r="G13879" s="85"/>
    </row>
    <row r="13880">
      <c r="A13880" s="84"/>
      <c r="B13880" s="85"/>
      <c r="C13880" s="85"/>
      <c r="F13880" s="92"/>
      <c r="G13880" s="85"/>
    </row>
    <row r="13881">
      <c r="A13881" s="84"/>
      <c r="B13881" s="85"/>
      <c r="C13881" s="85"/>
      <c r="F13881" s="92"/>
      <c r="G13881" s="85"/>
    </row>
    <row r="13882">
      <c r="A13882" s="84"/>
      <c r="B13882" s="85"/>
      <c r="C13882" s="85"/>
      <c r="F13882" s="92"/>
      <c r="G13882" s="85"/>
    </row>
    <row r="13883">
      <c r="A13883" s="84"/>
      <c r="B13883" s="85"/>
      <c r="C13883" s="85"/>
      <c r="F13883" s="92"/>
      <c r="G13883" s="85"/>
    </row>
    <row r="13884">
      <c r="A13884" s="84"/>
      <c r="B13884" s="85"/>
      <c r="C13884" s="85"/>
      <c r="F13884" s="92"/>
      <c r="G13884" s="85"/>
    </row>
    <row r="13885">
      <c r="A13885" s="84"/>
      <c r="B13885" s="85"/>
      <c r="C13885" s="85"/>
      <c r="F13885" s="92"/>
      <c r="G13885" s="85"/>
    </row>
    <row r="13886">
      <c r="A13886" s="84"/>
      <c r="B13886" s="85"/>
      <c r="C13886" s="85"/>
      <c r="F13886" s="92"/>
      <c r="G13886" s="85"/>
    </row>
    <row r="13887">
      <c r="A13887" s="84"/>
      <c r="B13887" s="85"/>
      <c r="C13887" s="85"/>
      <c r="F13887" s="92"/>
      <c r="G13887" s="85"/>
    </row>
    <row r="13888">
      <c r="A13888" s="84"/>
      <c r="B13888" s="85"/>
      <c r="C13888" s="85"/>
      <c r="F13888" s="92"/>
      <c r="G13888" s="85"/>
    </row>
    <row r="13889">
      <c r="A13889" s="84"/>
      <c r="B13889" s="85"/>
      <c r="C13889" s="85"/>
      <c r="F13889" s="92"/>
      <c r="G13889" s="85"/>
    </row>
    <row r="13890">
      <c r="A13890" s="84"/>
      <c r="B13890" s="85"/>
      <c r="C13890" s="85"/>
      <c r="F13890" s="92"/>
      <c r="G13890" s="85"/>
    </row>
    <row r="13891">
      <c r="A13891" s="84"/>
      <c r="B13891" s="85"/>
      <c r="C13891" s="85"/>
      <c r="F13891" s="92"/>
      <c r="G13891" s="85"/>
    </row>
    <row r="13892">
      <c r="A13892" s="84"/>
      <c r="B13892" s="85"/>
      <c r="C13892" s="85"/>
      <c r="F13892" s="92"/>
      <c r="G13892" s="85"/>
    </row>
    <row r="13893">
      <c r="A13893" s="84"/>
      <c r="B13893" s="85"/>
      <c r="C13893" s="85"/>
      <c r="F13893" s="92"/>
      <c r="G13893" s="85"/>
    </row>
    <row r="13894">
      <c r="A13894" s="84"/>
      <c r="B13894" s="85"/>
      <c r="C13894" s="85"/>
      <c r="F13894" s="92"/>
      <c r="G13894" s="85"/>
    </row>
    <row r="13895">
      <c r="A13895" s="84"/>
      <c r="B13895" s="85"/>
      <c r="C13895" s="85"/>
      <c r="F13895" s="92"/>
      <c r="G13895" s="85"/>
    </row>
    <row r="13896">
      <c r="A13896" s="84"/>
      <c r="B13896" s="85"/>
      <c r="C13896" s="85"/>
      <c r="F13896" s="92"/>
      <c r="G13896" s="85"/>
    </row>
    <row r="13897">
      <c r="A13897" s="84"/>
      <c r="B13897" s="85"/>
      <c r="C13897" s="85"/>
      <c r="F13897" s="92"/>
      <c r="G13897" s="85"/>
    </row>
    <row r="13898">
      <c r="A13898" s="84"/>
      <c r="B13898" s="85"/>
      <c r="C13898" s="85"/>
      <c r="F13898" s="92"/>
      <c r="G13898" s="85"/>
    </row>
    <row r="13899">
      <c r="A13899" s="84"/>
      <c r="B13899" s="85"/>
      <c r="C13899" s="85"/>
      <c r="F13899" s="92"/>
      <c r="G13899" s="85"/>
    </row>
    <row r="13900">
      <c r="A13900" s="84"/>
      <c r="B13900" s="85"/>
      <c r="C13900" s="85"/>
      <c r="F13900" s="92"/>
      <c r="G13900" s="85"/>
    </row>
    <row r="13901">
      <c r="A13901" s="84"/>
      <c r="B13901" s="85"/>
      <c r="C13901" s="85"/>
      <c r="F13901" s="92"/>
      <c r="G13901" s="85"/>
    </row>
    <row r="13902">
      <c r="A13902" s="84"/>
      <c r="B13902" s="85"/>
      <c r="C13902" s="85"/>
      <c r="F13902" s="92"/>
      <c r="G13902" s="85"/>
    </row>
    <row r="13903">
      <c r="A13903" s="84"/>
      <c r="B13903" s="85"/>
      <c r="C13903" s="85"/>
      <c r="F13903" s="92"/>
      <c r="G13903" s="85"/>
    </row>
    <row r="13904">
      <c r="A13904" s="84"/>
      <c r="B13904" s="85"/>
      <c r="C13904" s="85"/>
      <c r="F13904" s="92"/>
      <c r="G13904" s="85"/>
    </row>
    <row r="13905">
      <c r="A13905" s="84"/>
      <c r="B13905" s="85"/>
      <c r="C13905" s="85"/>
      <c r="F13905" s="92"/>
      <c r="G13905" s="85"/>
    </row>
    <row r="13906">
      <c r="A13906" s="84"/>
      <c r="B13906" s="85"/>
      <c r="C13906" s="85"/>
      <c r="F13906" s="92"/>
      <c r="G13906" s="85"/>
    </row>
    <row r="13907">
      <c r="A13907" s="84"/>
      <c r="B13907" s="85"/>
      <c r="C13907" s="85"/>
      <c r="F13907" s="92"/>
      <c r="G13907" s="85"/>
    </row>
    <row r="13908">
      <c r="A13908" s="84"/>
      <c r="B13908" s="85"/>
      <c r="C13908" s="85"/>
      <c r="F13908" s="92"/>
      <c r="G13908" s="85"/>
    </row>
    <row r="13909">
      <c r="A13909" s="84"/>
      <c r="B13909" s="85"/>
      <c r="C13909" s="85"/>
      <c r="F13909" s="92"/>
      <c r="G13909" s="85"/>
    </row>
    <row r="13910">
      <c r="A13910" s="84"/>
      <c r="B13910" s="85"/>
      <c r="C13910" s="85"/>
      <c r="F13910" s="92"/>
      <c r="G13910" s="85"/>
    </row>
    <row r="13911">
      <c r="A13911" s="84"/>
      <c r="B13911" s="85"/>
      <c r="C13911" s="85"/>
      <c r="F13911" s="92"/>
      <c r="G13911" s="85"/>
    </row>
    <row r="13912">
      <c r="A13912" s="84"/>
      <c r="B13912" s="85"/>
      <c r="C13912" s="85"/>
      <c r="F13912" s="92"/>
      <c r="G13912" s="85"/>
    </row>
    <row r="13913">
      <c r="A13913" s="84"/>
      <c r="B13913" s="85"/>
      <c r="C13913" s="85"/>
      <c r="F13913" s="92"/>
      <c r="G13913" s="85"/>
    </row>
    <row r="13914">
      <c r="A13914" s="84"/>
      <c r="B13914" s="85"/>
      <c r="C13914" s="85"/>
      <c r="F13914" s="92"/>
      <c r="G13914" s="85"/>
    </row>
    <row r="13915">
      <c r="A13915" s="84"/>
      <c r="B13915" s="85"/>
      <c r="C13915" s="85"/>
      <c r="F13915" s="92"/>
      <c r="G13915" s="85"/>
    </row>
    <row r="13916">
      <c r="A13916" s="84"/>
      <c r="B13916" s="85"/>
      <c r="C13916" s="85"/>
      <c r="F13916" s="92"/>
      <c r="G13916" s="85"/>
    </row>
    <row r="13917">
      <c r="A13917" s="84"/>
      <c r="B13917" s="85"/>
      <c r="C13917" s="85"/>
      <c r="F13917" s="92"/>
      <c r="G13917" s="85"/>
    </row>
    <row r="13918">
      <c r="A13918" s="84"/>
      <c r="B13918" s="85"/>
      <c r="C13918" s="85"/>
      <c r="F13918" s="92"/>
      <c r="G13918" s="85"/>
    </row>
    <row r="13919">
      <c r="A13919" s="84"/>
      <c r="B13919" s="85"/>
      <c r="C13919" s="85"/>
      <c r="F13919" s="92"/>
      <c r="G13919" s="85"/>
    </row>
    <row r="13920">
      <c r="A13920" s="84"/>
      <c r="B13920" s="85"/>
      <c r="C13920" s="85"/>
      <c r="F13920" s="92"/>
      <c r="G13920" s="85"/>
    </row>
    <row r="13921">
      <c r="A13921" s="84"/>
      <c r="B13921" s="85"/>
      <c r="C13921" s="85"/>
      <c r="F13921" s="92"/>
      <c r="G13921" s="85"/>
    </row>
    <row r="13922">
      <c r="A13922" s="84"/>
      <c r="B13922" s="85"/>
      <c r="C13922" s="85"/>
      <c r="F13922" s="92"/>
      <c r="G13922" s="85"/>
    </row>
    <row r="13923">
      <c r="A13923" s="84"/>
      <c r="B13923" s="85"/>
      <c r="C13923" s="85"/>
      <c r="F13923" s="92"/>
      <c r="G13923" s="85"/>
    </row>
    <row r="13924">
      <c r="A13924" s="84"/>
      <c r="B13924" s="85"/>
      <c r="C13924" s="85"/>
      <c r="F13924" s="92"/>
      <c r="G13924" s="85"/>
    </row>
    <row r="13925">
      <c r="A13925" s="84"/>
      <c r="B13925" s="85"/>
      <c r="C13925" s="85"/>
      <c r="F13925" s="92"/>
      <c r="G13925" s="85"/>
    </row>
    <row r="13926">
      <c r="A13926" s="84"/>
      <c r="B13926" s="85"/>
      <c r="C13926" s="85"/>
      <c r="F13926" s="92"/>
      <c r="G13926" s="85"/>
    </row>
    <row r="13927">
      <c r="A13927" s="84"/>
      <c r="B13927" s="85"/>
      <c r="C13927" s="85"/>
      <c r="F13927" s="92"/>
      <c r="G13927" s="85"/>
    </row>
    <row r="13928">
      <c r="A13928" s="84"/>
      <c r="B13928" s="85"/>
      <c r="C13928" s="85"/>
      <c r="F13928" s="92"/>
      <c r="G13928" s="85"/>
    </row>
    <row r="13929">
      <c r="A13929" s="84"/>
      <c r="B13929" s="85"/>
      <c r="C13929" s="85"/>
      <c r="F13929" s="92"/>
      <c r="G13929" s="85"/>
    </row>
    <row r="13930">
      <c r="A13930" s="84"/>
      <c r="B13930" s="85"/>
      <c r="C13930" s="85"/>
      <c r="F13930" s="92"/>
      <c r="G13930" s="85"/>
    </row>
    <row r="13931">
      <c r="A13931" s="84"/>
      <c r="B13931" s="85"/>
      <c r="C13931" s="85"/>
      <c r="F13931" s="92"/>
      <c r="G13931" s="85"/>
    </row>
    <row r="13932">
      <c r="A13932" s="84"/>
      <c r="B13932" s="85"/>
      <c r="C13932" s="85"/>
      <c r="F13932" s="92"/>
      <c r="G13932" s="85"/>
    </row>
    <row r="13933">
      <c r="A13933" s="84"/>
      <c r="B13933" s="85"/>
      <c r="C13933" s="85"/>
      <c r="F13933" s="92"/>
      <c r="G13933" s="85"/>
    </row>
    <row r="13934">
      <c r="A13934" s="84"/>
      <c r="B13934" s="85"/>
      <c r="C13934" s="85"/>
      <c r="F13934" s="92"/>
      <c r="G13934" s="85"/>
    </row>
    <row r="13935">
      <c r="A13935" s="84"/>
      <c r="B13935" s="85"/>
      <c r="C13935" s="85"/>
      <c r="F13935" s="92"/>
      <c r="G13935" s="85"/>
    </row>
    <row r="13936">
      <c r="A13936" s="84"/>
      <c r="B13936" s="85"/>
      <c r="C13936" s="85"/>
      <c r="F13936" s="92"/>
      <c r="G13936" s="85"/>
    </row>
    <row r="13937">
      <c r="A13937" s="84"/>
      <c r="B13937" s="85"/>
      <c r="C13937" s="85"/>
      <c r="F13937" s="92"/>
      <c r="G13937" s="85"/>
    </row>
    <row r="13938">
      <c r="A13938" s="84"/>
      <c r="B13938" s="85"/>
      <c r="C13938" s="85"/>
      <c r="F13938" s="92"/>
      <c r="G13938" s="85"/>
    </row>
    <row r="13939">
      <c r="A13939" s="84"/>
      <c r="B13939" s="85"/>
      <c r="C13939" s="85"/>
      <c r="F13939" s="92"/>
      <c r="G13939" s="85"/>
    </row>
    <row r="13940">
      <c r="A13940" s="84"/>
      <c r="B13940" s="85"/>
      <c r="C13940" s="85"/>
      <c r="F13940" s="92"/>
      <c r="G13940" s="85"/>
    </row>
    <row r="13941">
      <c r="A13941" s="84"/>
      <c r="B13941" s="85"/>
      <c r="C13941" s="85"/>
      <c r="F13941" s="92"/>
      <c r="G13941" s="85"/>
    </row>
    <row r="13942">
      <c r="A13942" s="84"/>
      <c r="B13942" s="85"/>
      <c r="C13942" s="85"/>
      <c r="F13942" s="92"/>
      <c r="G13942" s="85"/>
    </row>
    <row r="13943">
      <c r="A13943" s="84"/>
      <c r="B13943" s="85"/>
      <c r="C13943" s="85"/>
      <c r="F13943" s="92"/>
      <c r="G13943" s="85"/>
    </row>
    <row r="13944">
      <c r="A13944" s="84"/>
      <c r="B13944" s="85"/>
      <c r="C13944" s="85"/>
      <c r="F13944" s="92"/>
      <c r="G13944" s="85"/>
    </row>
    <row r="13945">
      <c r="A13945" s="84"/>
      <c r="B13945" s="85"/>
      <c r="C13945" s="85"/>
      <c r="F13945" s="92"/>
      <c r="G13945" s="85"/>
    </row>
    <row r="13946">
      <c r="A13946" s="84"/>
      <c r="B13946" s="85"/>
      <c r="C13946" s="85"/>
      <c r="F13946" s="92"/>
      <c r="G13946" s="85"/>
    </row>
    <row r="13947">
      <c r="A13947" s="84"/>
      <c r="B13947" s="85"/>
      <c r="C13947" s="85"/>
      <c r="F13947" s="92"/>
      <c r="G13947" s="85"/>
    </row>
    <row r="13948">
      <c r="A13948" s="84"/>
      <c r="B13948" s="85"/>
      <c r="C13948" s="85"/>
      <c r="F13948" s="92"/>
      <c r="G13948" s="85"/>
    </row>
    <row r="13949">
      <c r="A13949" s="84"/>
      <c r="B13949" s="85"/>
      <c r="C13949" s="85"/>
      <c r="F13949" s="92"/>
      <c r="G13949" s="85"/>
    </row>
    <row r="13950">
      <c r="A13950" s="84"/>
      <c r="B13950" s="85"/>
      <c r="C13950" s="85"/>
      <c r="F13950" s="92"/>
      <c r="G13950" s="85"/>
    </row>
    <row r="13951">
      <c r="A13951" s="84"/>
      <c r="B13951" s="85"/>
      <c r="C13951" s="85"/>
      <c r="F13951" s="92"/>
      <c r="G13951" s="85"/>
    </row>
    <row r="13952">
      <c r="A13952" s="84"/>
      <c r="B13952" s="85"/>
      <c r="C13952" s="85"/>
      <c r="F13952" s="92"/>
      <c r="G13952" s="85"/>
    </row>
    <row r="13953">
      <c r="A13953" s="84"/>
      <c r="B13953" s="85"/>
      <c r="C13953" s="85"/>
      <c r="F13953" s="92"/>
      <c r="G13953" s="85"/>
    </row>
    <row r="13954">
      <c r="A13954" s="84"/>
      <c r="B13954" s="85"/>
      <c r="C13954" s="85"/>
      <c r="F13954" s="92"/>
      <c r="G13954" s="85"/>
    </row>
    <row r="13955">
      <c r="A13955" s="84"/>
      <c r="B13955" s="85"/>
      <c r="C13955" s="85"/>
      <c r="F13955" s="92"/>
      <c r="G13955" s="85"/>
    </row>
    <row r="13956">
      <c r="A13956" s="84"/>
      <c r="B13956" s="85"/>
      <c r="C13956" s="85"/>
      <c r="F13956" s="92"/>
      <c r="G13956" s="85"/>
    </row>
    <row r="13957">
      <c r="A13957" s="84"/>
      <c r="B13957" s="85"/>
      <c r="C13957" s="85"/>
      <c r="F13957" s="92"/>
      <c r="G13957" s="85"/>
    </row>
    <row r="13958">
      <c r="A13958" s="84"/>
      <c r="B13958" s="85"/>
      <c r="C13958" s="85"/>
      <c r="F13958" s="92"/>
      <c r="G13958" s="85"/>
    </row>
    <row r="13959">
      <c r="A13959" s="84"/>
      <c r="B13959" s="85"/>
      <c r="C13959" s="85"/>
      <c r="F13959" s="92"/>
      <c r="G13959" s="85"/>
    </row>
    <row r="13960">
      <c r="A13960" s="84"/>
      <c r="B13960" s="85"/>
      <c r="C13960" s="85"/>
      <c r="F13960" s="92"/>
      <c r="G13960" s="85"/>
    </row>
    <row r="13961">
      <c r="A13961" s="84"/>
      <c r="B13961" s="85"/>
      <c r="C13961" s="85"/>
      <c r="F13961" s="92"/>
      <c r="G13961" s="85"/>
    </row>
    <row r="13962">
      <c r="A13962" s="84"/>
      <c r="B13962" s="85"/>
      <c r="C13962" s="85"/>
      <c r="F13962" s="92"/>
      <c r="G13962" s="85"/>
    </row>
    <row r="13963">
      <c r="A13963" s="84"/>
      <c r="B13963" s="85"/>
      <c r="C13963" s="85"/>
      <c r="F13963" s="92"/>
      <c r="G13963" s="85"/>
    </row>
    <row r="13964">
      <c r="A13964" s="84"/>
      <c r="B13964" s="85"/>
      <c r="C13964" s="85"/>
      <c r="F13964" s="92"/>
      <c r="G13964" s="85"/>
    </row>
    <row r="13965">
      <c r="A13965" s="84"/>
      <c r="B13965" s="85"/>
      <c r="C13965" s="85"/>
      <c r="F13965" s="92"/>
      <c r="G13965" s="85"/>
    </row>
    <row r="13966">
      <c r="A13966" s="84"/>
      <c r="B13966" s="85"/>
      <c r="C13966" s="85"/>
      <c r="F13966" s="92"/>
      <c r="G13966" s="85"/>
    </row>
    <row r="13967">
      <c r="A13967" s="84"/>
      <c r="B13967" s="85"/>
      <c r="C13967" s="85"/>
      <c r="F13967" s="92"/>
      <c r="G13967" s="85"/>
    </row>
    <row r="13968">
      <c r="A13968" s="84"/>
      <c r="B13968" s="85"/>
      <c r="C13968" s="85"/>
      <c r="F13968" s="92"/>
      <c r="G13968" s="85"/>
    </row>
    <row r="13969">
      <c r="A13969" s="84"/>
      <c r="B13969" s="85"/>
      <c r="C13969" s="85"/>
      <c r="F13969" s="92"/>
      <c r="G13969" s="85"/>
    </row>
    <row r="13970">
      <c r="A13970" s="84"/>
      <c r="B13970" s="85"/>
      <c r="C13970" s="85"/>
      <c r="F13970" s="92"/>
      <c r="G13970" s="85"/>
    </row>
    <row r="13971">
      <c r="A13971" s="84"/>
      <c r="B13971" s="85"/>
      <c r="C13971" s="85"/>
      <c r="F13971" s="92"/>
      <c r="G13971" s="85"/>
    </row>
    <row r="13972">
      <c r="A13972" s="84"/>
      <c r="B13972" s="85"/>
      <c r="C13972" s="85"/>
      <c r="F13972" s="92"/>
      <c r="G13972" s="85"/>
    </row>
    <row r="13973">
      <c r="A13973" s="84"/>
      <c r="B13973" s="85"/>
      <c r="C13973" s="85"/>
      <c r="F13973" s="92"/>
      <c r="G13973" s="85"/>
    </row>
    <row r="13974">
      <c r="A13974" s="84"/>
      <c r="B13974" s="85"/>
      <c r="C13974" s="85"/>
      <c r="F13974" s="92"/>
      <c r="G13974" s="85"/>
    </row>
    <row r="13975">
      <c r="A13975" s="84"/>
      <c r="B13975" s="85"/>
      <c r="C13975" s="85"/>
      <c r="F13975" s="92"/>
      <c r="G13975" s="85"/>
    </row>
    <row r="13976">
      <c r="A13976" s="84"/>
      <c r="B13976" s="85"/>
      <c r="C13976" s="85"/>
      <c r="F13976" s="92"/>
      <c r="G13976" s="85"/>
    </row>
    <row r="13977">
      <c r="A13977" s="84"/>
      <c r="B13977" s="85"/>
      <c r="C13977" s="85"/>
      <c r="F13977" s="92"/>
      <c r="G13977" s="85"/>
    </row>
    <row r="13978">
      <c r="A13978" s="84"/>
      <c r="B13978" s="85"/>
      <c r="C13978" s="85"/>
      <c r="F13978" s="92"/>
      <c r="G13978" s="85"/>
    </row>
    <row r="13979">
      <c r="A13979" s="84"/>
      <c r="B13979" s="85"/>
      <c r="C13979" s="85"/>
      <c r="F13979" s="92"/>
      <c r="G13979" s="85"/>
    </row>
    <row r="13980">
      <c r="A13980" s="84"/>
      <c r="B13980" s="85"/>
      <c r="C13980" s="85"/>
      <c r="F13980" s="92"/>
      <c r="G13980" s="85"/>
    </row>
    <row r="13981">
      <c r="A13981" s="84"/>
      <c r="B13981" s="85"/>
      <c r="C13981" s="85"/>
      <c r="F13981" s="92"/>
      <c r="G13981" s="85"/>
    </row>
    <row r="13982">
      <c r="A13982" s="84"/>
      <c r="B13982" s="85"/>
      <c r="C13982" s="85"/>
      <c r="F13982" s="92"/>
      <c r="G13982" s="85"/>
    </row>
    <row r="13983">
      <c r="A13983" s="84"/>
      <c r="B13983" s="85"/>
      <c r="C13983" s="85"/>
      <c r="F13983" s="92"/>
      <c r="G13983" s="85"/>
    </row>
    <row r="13984">
      <c r="A13984" s="84"/>
      <c r="B13984" s="85"/>
      <c r="C13984" s="85"/>
      <c r="F13984" s="92"/>
      <c r="G13984" s="85"/>
    </row>
    <row r="13985">
      <c r="A13985" s="84"/>
      <c r="B13985" s="85"/>
      <c r="C13985" s="85"/>
      <c r="F13985" s="92"/>
      <c r="G13985" s="85"/>
    </row>
    <row r="13986">
      <c r="A13986" s="84"/>
      <c r="B13986" s="85"/>
      <c r="C13986" s="85"/>
      <c r="F13986" s="92"/>
      <c r="G13986" s="85"/>
    </row>
    <row r="13987">
      <c r="A13987" s="84"/>
      <c r="B13987" s="85"/>
      <c r="C13987" s="85"/>
      <c r="F13987" s="92"/>
      <c r="G13987" s="85"/>
    </row>
    <row r="13988">
      <c r="A13988" s="84"/>
      <c r="B13988" s="85"/>
      <c r="C13988" s="85"/>
      <c r="F13988" s="92"/>
      <c r="G13988" s="85"/>
    </row>
    <row r="13989">
      <c r="A13989" s="84"/>
      <c r="B13989" s="85"/>
      <c r="C13989" s="85"/>
      <c r="F13989" s="92"/>
      <c r="G13989" s="85"/>
    </row>
    <row r="13990">
      <c r="A13990" s="84"/>
      <c r="B13990" s="85"/>
      <c r="C13990" s="85"/>
      <c r="F13990" s="92"/>
      <c r="G13990" s="85"/>
    </row>
    <row r="13991">
      <c r="A13991" s="84"/>
      <c r="B13991" s="85"/>
      <c r="C13991" s="85"/>
      <c r="F13991" s="92"/>
      <c r="G13991" s="85"/>
    </row>
    <row r="13992">
      <c r="A13992" s="84"/>
      <c r="B13992" s="85"/>
      <c r="C13992" s="85"/>
      <c r="F13992" s="92"/>
      <c r="G13992" s="85"/>
    </row>
    <row r="13993">
      <c r="A13993" s="84"/>
      <c r="B13993" s="85"/>
      <c r="C13993" s="85"/>
      <c r="F13993" s="92"/>
      <c r="G13993" s="85"/>
    </row>
    <row r="13994">
      <c r="A13994" s="84"/>
      <c r="B13994" s="85"/>
      <c r="C13994" s="85"/>
      <c r="F13994" s="92"/>
      <c r="G13994" s="85"/>
    </row>
    <row r="13995">
      <c r="A13995" s="84"/>
      <c r="B13995" s="85"/>
      <c r="C13995" s="85"/>
      <c r="F13995" s="92"/>
      <c r="G13995" s="85"/>
    </row>
    <row r="13996">
      <c r="A13996" s="84"/>
      <c r="B13996" s="85"/>
      <c r="C13996" s="85"/>
      <c r="F13996" s="92"/>
      <c r="G13996" s="85"/>
    </row>
    <row r="13997">
      <c r="A13997" s="84"/>
      <c r="B13997" s="85"/>
      <c r="C13997" s="85"/>
      <c r="F13997" s="92"/>
      <c r="G13997" s="85"/>
    </row>
    <row r="13998">
      <c r="A13998" s="84"/>
      <c r="B13998" s="85"/>
      <c r="C13998" s="85"/>
      <c r="F13998" s="92"/>
      <c r="G13998" s="85"/>
    </row>
    <row r="13999">
      <c r="A13999" s="84"/>
      <c r="B13999" s="85"/>
      <c r="C13999" s="85"/>
      <c r="F13999" s="92"/>
      <c r="G13999" s="85"/>
    </row>
    <row r="14000">
      <c r="A14000" s="84"/>
      <c r="B14000" s="85"/>
      <c r="C14000" s="85"/>
      <c r="F14000" s="92"/>
      <c r="G14000" s="85"/>
    </row>
    <row r="14001">
      <c r="A14001" s="84"/>
      <c r="B14001" s="85"/>
      <c r="C14001" s="85"/>
      <c r="F14001" s="92"/>
      <c r="G14001" s="85"/>
    </row>
    <row r="14002">
      <c r="A14002" s="84"/>
      <c r="B14002" s="85"/>
      <c r="C14002" s="85"/>
      <c r="F14002" s="92"/>
      <c r="G14002" s="85"/>
    </row>
    <row r="14003">
      <c r="A14003" s="84"/>
      <c r="B14003" s="85"/>
      <c r="C14003" s="85"/>
      <c r="F14003" s="92"/>
      <c r="G14003" s="85"/>
    </row>
    <row r="14004">
      <c r="A14004" s="84"/>
      <c r="B14004" s="85"/>
      <c r="C14004" s="85"/>
      <c r="F14004" s="92"/>
      <c r="G14004" s="85"/>
    </row>
    <row r="14005">
      <c r="A14005" s="84"/>
      <c r="B14005" s="85"/>
      <c r="C14005" s="85"/>
      <c r="F14005" s="92"/>
      <c r="G14005" s="85"/>
    </row>
    <row r="14006">
      <c r="A14006" s="84"/>
      <c r="B14006" s="85"/>
      <c r="C14006" s="85"/>
      <c r="F14006" s="92"/>
      <c r="G14006" s="85"/>
    </row>
    <row r="14007">
      <c r="A14007" s="84"/>
      <c r="B14007" s="85"/>
      <c r="C14007" s="85"/>
      <c r="F14007" s="92"/>
      <c r="G14007" s="85"/>
    </row>
    <row r="14008">
      <c r="A14008" s="84"/>
      <c r="B14008" s="85"/>
      <c r="C14008" s="85"/>
      <c r="F14008" s="92"/>
      <c r="G14008" s="85"/>
    </row>
    <row r="14009">
      <c r="A14009" s="84"/>
      <c r="B14009" s="85"/>
      <c r="C14009" s="85"/>
      <c r="F14009" s="92"/>
      <c r="G14009" s="85"/>
    </row>
    <row r="14010">
      <c r="A14010" s="84"/>
      <c r="B14010" s="85"/>
      <c r="C14010" s="85"/>
      <c r="F14010" s="92"/>
      <c r="G14010" s="85"/>
    </row>
    <row r="14011">
      <c r="A14011" s="84"/>
      <c r="B14011" s="85"/>
      <c r="C14011" s="85"/>
      <c r="F14011" s="92"/>
      <c r="G14011" s="85"/>
    </row>
    <row r="14012">
      <c r="A14012" s="84"/>
      <c r="B14012" s="85"/>
      <c r="C14012" s="85"/>
      <c r="F14012" s="92"/>
      <c r="G14012" s="85"/>
    </row>
    <row r="14013">
      <c r="A14013" s="84"/>
      <c r="B14013" s="85"/>
      <c r="C14013" s="85"/>
      <c r="F14013" s="92"/>
      <c r="G14013" s="85"/>
    </row>
    <row r="14014">
      <c r="A14014" s="84"/>
      <c r="B14014" s="85"/>
      <c r="C14014" s="85"/>
      <c r="F14014" s="92"/>
      <c r="G14014" s="85"/>
    </row>
    <row r="14015">
      <c r="A14015" s="84"/>
      <c r="B14015" s="85"/>
      <c r="C14015" s="85"/>
      <c r="F14015" s="92"/>
      <c r="G14015" s="85"/>
    </row>
    <row r="14016">
      <c r="A14016" s="84"/>
      <c r="B14016" s="85"/>
      <c r="C14016" s="85"/>
      <c r="F14016" s="92"/>
      <c r="G14016" s="85"/>
    </row>
    <row r="14017">
      <c r="A14017" s="84"/>
      <c r="B14017" s="85"/>
      <c r="C14017" s="85"/>
      <c r="F14017" s="92"/>
      <c r="G14017" s="85"/>
    </row>
    <row r="14018">
      <c r="A14018" s="84"/>
      <c r="B14018" s="85"/>
      <c r="C14018" s="85"/>
      <c r="F14018" s="92"/>
      <c r="G14018" s="85"/>
    </row>
    <row r="14019">
      <c r="A14019" s="84"/>
      <c r="B14019" s="85"/>
      <c r="C14019" s="85"/>
      <c r="F14019" s="92"/>
      <c r="G14019" s="85"/>
    </row>
    <row r="14020">
      <c r="A14020" s="84"/>
      <c r="B14020" s="85"/>
      <c r="C14020" s="85"/>
      <c r="F14020" s="92"/>
      <c r="G14020" s="85"/>
    </row>
    <row r="14021">
      <c r="A14021" s="84"/>
      <c r="B14021" s="85"/>
      <c r="C14021" s="85"/>
      <c r="F14021" s="92"/>
      <c r="G14021" s="85"/>
    </row>
    <row r="14022">
      <c r="A14022" s="84"/>
      <c r="B14022" s="85"/>
      <c r="C14022" s="85"/>
      <c r="F14022" s="92"/>
      <c r="G14022" s="85"/>
    </row>
    <row r="14023">
      <c r="A14023" s="84"/>
      <c r="B14023" s="85"/>
      <c r="C14023" s="85"/>
      <c r="F14023" s="92"/>
      <c r="G14023" s="85"/>
    </row>
    <row r="14024">
      <c r="A14024" s="84"/>
      <c r="B14024" s="85"/>
      <c r="C14024" s="85"/>
      <c r="F14024" s="92"/>
      <c r="G14024" s="85"/>
    </row>
    <row r="14025">
      <c r="A14025" s="84"/>
      <c r="B14025" s="85"/>
      <c r="C14025" s="85"/>
      <c r="F14025" s="92"/>
      <c r="G14025" s="85"/>
    </row>
    <row r="14026">
      <c r="A14026" s="84"/>
      <c r="B14026" s="85"/>
      <c r="C14026" s="85"/>
      <c r="F14026" s="92"/>
      <c r="G14026" s="85"/>
    </row>
    <row r="14027">
      <c r="A14027" s="84"/>
      <c r="B14027" s="85"/>
      <c r="C14027" s="85"/>
      <c r="F14027" s="92"/>
      <c r="G14027" s="85"/>
    </row>
    <row r="14028">
      <c r="A14028" s="84"/>
      <c r="B14028" s="85"/>
      <c r="C14028" s="85"/>
      <c r="F14028" s="92"/>
      <c r="G14028" s="85"/>
    </row>
    <row r="14029">
      <c r="A14029" s="84"/>
      <c r="B14029" s="85"/>
      <c r="C14029" s="85"/>
      <c r="F14029" s="92"/>
      <c r="G14029" s="85"/>
    </row>
    <row r="14030">
      <c r="A14030" s="84"/>
      <c r="B14030" s="85"/>
      <c r="C14030" s="85"/>
      <c r="F14030" s="92"/>
      <c r="G14030" s="85"/>
    </row>
    <row r="14031">
      <c r="A14031" s="84"/>
      <c r="B14031" s="85"/>
      <c r="C14031" s="85"/>
      <c r="F14031" s="92"/>
      <c r="G14031" s="85"/>
    </row>
    <row r="14032">
      <c r="A14032" s="84"/>
      <c r="B14032" s="85"/>
      <c r="C14032" s="85"/>
      <c r="F14032" s="92"/>
      <c r="G14032" s="85"/>
    </row>
    <row r="14033">
      <c r="A14033" s="84"/>
      <c r="B14033" s="85"/>
      <c r="C14033" s="85"/>
      <c r="F14033" s="92"/>
      <c r="G14033" s="85"/>
    </row>
    <row r="14034">
      <c r="A14034" s="84"/>
      <c r="B14034" s="85"/>
      <c r="C14034" s="85"/>
      <c r="F14034" s="92"/>
      <c r="G14034" s="85"/>
    </row>
    <row r="14035">
      <c r="A14035" s="84"/>
      <c r="B14035" s="85"/>
      <c r="C14035" s="85"/>
      <c r="F14035" s="92"/>
      <c r="G14035" s="85"/>
    </row>
    <row r="14036">
      <c r="A14036" s="84"/>
      <c r="B14036" s="85"/>
      <c r="C14036" s="85"/>
      <c r="F14036" s="92"/>
      <c r="G14036" s="85"/>
    </row>
    <row r="14037">
      <c r="A14037" s="84"/>
      <c r="B14037" s="85"/>
      <c r="C14037" s="85"/>
      <c r="F14037" s="92"/>
      <c r="G14037" s="85"/>
    </row>
    <row r="14038">
      <c r="A14038" s="84"/>
      <c r="B14038" s="85"/>
      <c r="C14038" s="85"/>
      <c r="F14038" s="92"/>
      <c r="G14038" s="85"/>
    </row>
    <row r="14039">
      <c r="A14039" s="84"/>
      <c r="B14039" s="85"/>
      <c r="C14039" s="85"/>
      <c r="F14039" s="92"/>
      <c r="G14039" s="85"/>
    </row>
    <row r="14040">
      <c r="A14040" s="84"/>
      <c r="B14040" s="85"/>
      <c r="C14040" s="85"/>
      <c r="F14040" s="92"/>
      <c r="G14040" s="85"/>
    </row>
    <row r="14041">
      <c r="A14041" s="84"/>
      <c r="B14041" s="85"/>
      <c r="C14041" s="85"/>
      <c r="F14041" s="92"/>
      <c r="G14041" s="85"/>
    </row>
    <row r="14042">
      <c r="A14042" s="84"/>
      <c r="B14042" s="85"/>
      <c r="C14042" s="85"/>
      <c r="F14042" s="92"/>
      <c r="G14042" s="85"/>
    </row>
    <row r="14043">
      <c r="A14043" s="84"/>
      <c r="B14043" s="85"/>
      <c r="C14043" s="85"/>
      <c r="F14043" s="92"/>
      <c r="G14043" s="85"/>
    </row>
    <row r="14044">
      <c r="A14044" s="84"/>
      <c r="B14044" s="85"/>
      <c r="C14044" s="85"/>
      <c r="F14044" s="92"/>
      <c r="G14044" s="85"/>
    </row>
    <row r="14045">
      <c r="A14045" s="84"/>
      <c r="B14045" s="85"/>
      <c r="C14045" s="85"/>
      <c r="F14045" s="92"/>
      <c r="G14045" s="85"/>
    </row>
    <row r="14046">
      <c r="A14046" s="84"/>
      <c r="B14046" s="85"/>
      <c r="C14046" s="85"/>
      <c r="F14046" s="92"/>
      <c r="G14046" s="85"/>
    </row>
    <row r="14047">
      <c r="A14047" s="84"/>
      <c r="B14047" s="85"/>
      <c r="C14047" s="85"/>
      <c r="F14047" s="92"/>
      <c r="G14047" s="85"/>
    </row>
    <row r="14048">
      <c r="A14048" s="84"/>
      <c r="B14048" s="85"/>
      <c r="C14048" s="85"/>
      <c r="F14048" s="92"/>
      <c r="G14048" s="85"/>
    </row>
    <row r="14049">
      <c r="A14049" s="84"/>
      <c r="B14049" s="85"/>
      <c r="C14049" s="85"/>
      <c r="F14049" s="92"/>
      <c r="G14049" s="85"/>
    </row>
    <row r="14050">
      <c r="A14050" s="84"/>
      <c r="B14050" s="85"/>
      <c r="C14050" s="85"/>
      <c r="F14050" s="92"/>
      <c r="G14050" s="85"/>
    </row>
    <row r="14051">
      <c r="A14051" s="84"/>
      <c r="B14051" s="85"/>
      <c r="C14051" s="85"/>
      <c r="F14051" s="92"/>
      <c r="G14051" s="85"/>
    </row>
    <row r="14052">
      <c r="A14052" s="84"/>
      <c r="B14052" s="85"/>
      <c r="C14052" s="85"/>
      <c r="F14052" s="92"/>
      <c r="G14052" s="85"/>
    </row>
    <row r="14053">
      <c r="A14053" s="84"/>
      <c r="B14053" s="85"/>
      <c r="C14053" s="85"/>
      <c r="F14053" s="92"/>
      <c r="G14053" s="85"/>
    </row>
    <row r="14054">
      <c r="A14054" s="84"/>
      <c r="B14054" s="85"/>
      <c r="C14054" s="85"/>
      <c r="F14054" s="92"/>
      <c r="G14054" s="85"/>
    </row>
    <row r="14055">
      <c r="A14055" s="84"/>
      <c r="B14055" s="85"/>
      <c r="C14055" s="85"/>
      <c r="F14055" s="92"/>
      <c r="G14055" s="85"/>
    </row>
    <row r="14056">
      <c r="A14056" s="84"/>
      <c r="B14056" s="85"/>
      <c r="C14056" s="85"/>
      <c r="F14056" s="92"/>
      <c r="G14056" s="85"/>
    </row>
    <row r="14057">
      <c r="A14057" s="84"/>
      <c r="B14057" s="85"/>
      <c r="C14057" s="85"/>
      <c r="F14057" s="92"/>
      <c r="G14057" s="85"/>
    </row>
    <row r="14058">
      <c r="A14058" s="84"/>
      <c r="B14058" s="85"/>
      <c r="C14058" s="85"/>
      <c r="F14058" s="92"/>
      <c r="G14058" s="85"/>
    </row>
    <row r="14059">
      <c r="A14059" s="84"/>
      <c r="B14059" s="85"/>
      <c r="C14059" s="85"/>
      <c r="F14059" s="92"/>
      <c r="G14059" s="85"/>
    </row>
    <row r="14060">
      <c r="A14060" s="84"/>
      <c r="B14060" s="85"/>
      <c r="C14060" s="85"/>
      <c r="F14060" s="92"/>
      <c r="G14060" s="85"/>
    </row>
    <row r="14061">
      <c r="A14061" s="84"/>
      <c r="B14061" s="85"/>
      <c r="C14061" s="85"/>
      <c r="F14061" s="92"/>
      <c r="G14061" s="85"/>
    </row>
    <row r="14062">
      <c r="A14062" s="84"/>
      <c r="B14062" s="85"/>
      <c r="C14062" s="85"/>
      <c r="F14062" s="92"/>
      <c r="G14062" s="85"/>
    </row>
    <row r="14063">
      <c r="A14063" s="84"/>
      <c r="B14063" s="85"/>
      <c r="C14063" s="85"/>
      <c r="F14063" s="92"/>
      <c r="G14063" s="85"/>
    </row>
    <row r="14064">
      <c r="A14064" s="84"/>
      <c r="B14064" s="85"/>
      <c r="C14064" s="85"/>
      <c r="F14064" s="92"/>
      <c r="G14064" s="85"/>
    </row>
    <row r="14065">
      <c r="A14065" s="84"/>
      <c r="B14065" s="85"/>
      <c r="C14065" s="85"/>
      <c r="F14065" s="92"/>
      <c r="G14065" s="85"/>
    </row>
    <row r="14066">
      <c r="A14066" s="84"/>
      <c r="B14066" s="85"/>
      <c r="C14066" s="85"/>
      <c r="F14066" s="92"/>
      <c r="G14066" s="85"/>
    </row>
    <row r="14067">
      <c r="A14067" s="84"/>
      <c r="B14067" s="85"/>
      <c r="C14067" s="85"/>
      <c r="F14067" s="92"/>
      <c r="G14067" s="85"/>
    </row>
    <row r="14068">
      <c r="A14068" s="84"/>
      <c r="B14068" s="85"/>
      <c r="C14068" s="85"/>
      <c r="F14068" s="92"/>
      <c r="G14068" s="85"/>
    </row>
    <row r="14069">
      <c r="A14069" s="84"/>
      <c r="B14069" s="85"/>
      <c r="C14069" s="85"/>
      <c r="F14069" s="92"/>
      <c r="G14069" s="85"/>
    </row>
    <row r="14070">
      <c r="A14070" s="84"/>
      <c r="B14070" s="85"/>
      <c r="C14070" s="85"/>
      <c r="F14070" s="92"/>
      <c r="G14070" s="85"/>
    </row>
    <row r="14071">
      <c r="A14071" s="84"/>
      <c r="B14071" s="85"/>
      <c r="C14071" s="85"/>
      <c r="F14071" s="92"/>
      <c r="G14071" s="85"/>
    </row>
    <row r="14072">
      <c r="A14072" s="84"/>
      <c r="B14072" s="85"/>
      <c r="C14072" s="85"/>
      <c r="F14072" s="92"/>
      <c r="G14072" s="85"/>
    </row>
    <row r="14073">
      <c r="A14073" s="84"/>
      <c r="B14073" s="85"/>
      <c r="C14073" s="85"/>
      <c r="F14073" s="92"/>
      <c r="G14073" s="85"/>
    </row>
    <row r="14074">
      <c r="A14074" s="84"/>
      <c r="B14074" s="85"/>
      <c r="C14074" s="85"/>
      <c r="F14074" s="92"/>
      <c r="G14074" s="85"/>
    </row>
    <row r="14075">
      <c r="A14075" s="84"/>
      <c r="B14075" s="85"/>
      <c r="C14075" s="85"/>
      <c r="F14075" s="92"/>
      <c r="G14075" s="85"/>
    </row>
    <row r="14076">
      <c r="A14076" s="84"/>
      <c r="B14076" s="85"/>
      <c r="C14076" s="85"/>
      <c r="F14076" s="92"/>
      <c r="G14076" s="85"/>
    </row>
    <row r="14077">
      <c r="A14077" s="84"/>
      <c r="B14077" s="85"/>
      <c r="C14077" s="85"/>
      <c r="F14077" s="92"/>
      <c r="G14077" s="85"/>
    </row>
    <row r="14078">
      <c r="A14078" s="84"/>
      <c r="B14078" s="85"/>
      <c r="C14078" s="85"/>
      <c r="F14078" s="92"/>
      <c r="G14078" s="85"/>
    </row>
    <row r="14079">
      <c r="A14079" s="84"/>
      <c r="B14079" s="85"/>
      <c r="C14079" s="85"/>
      <c r="F14079" s="92"/>
      <c r="G14079" s="85"/>
    </row>
    <row r="14080">
      <c r="A14080" s="84"/>
      <c r="B14080" s="85"/>
      <c r="C14080" s="85"/>
      <c r="F14080" s="92"/>
      <c r="G14080" s="85"/>
    </row>
    <row r="14081">
      <c r="A14081" s="84"/>
      <c r="B14081" s="85"/>
      <c r="C14081" s="85"/>
      <c r="F14081" s="92"/>
      <c r="G14081" s="85"/>
    </row>
    <row r="14082">
      <c r="A14082" s="84"/>
      <c r="B14082" s="85"/>
      <c r="C14082" s="85"/>
      <c r="F14082" s="92"/>
      <c r="G14082" s="85"/>
    </row>
    <row r="14083">
      <c r="A14083" s="84"/>
      <c r="B14083" s="85"/>
      <c r="C14083" s="85"/>
      <c r="F14083" s="92"/>
      <c r="G14083" s="85"/>
    </row>
    <row r="14084">
      <c r="A14084" s="84"/>
      <c r="B14084" s="85"/>
      <c r="C14084" s="85"/>
      <c r="F14084" s="92"/>
      <c r="G14084" s="85"/>
    </row>
    <row r="14085">
      <c r="A14085" s="84"/>
      <c r="B14085" s="85"/>
      <c r="C14085" s="85"/>
      <c r="F14085" s="92"/>
      <c r="G14085" s="85"/>
    </row>
    <row r="14086">
      <c r="A14086" s="84"/>
      <c r="B14086" s="85"/>
      <c r="C14086" s="85"/>
      <c r="F14086" s="92"/>
      <c r="G14086" s="85"/>
    </row>
    <row r="14087">
      <c r="A14087" s="84"/>
      <c r="B14087" s="85"/>
      <c r="C14087" s="85"/>
      <c r="F14087" s="92"/>
      <c r="G14087" s="85"/>
    </row>
    <row r="14088">
      <c r="A14088" s="84"/>
      <c r="B14088" s="85"/>
      <c r="C14088" s="85"/>
      <c r="F14088" s="92"/>
      <c r="G14088" s="85"/>
    </row>
    <row r="14089">
      <c r="A14089" s="84"/>
      <c r="B14089" s="85"/>
      <c r="C14089" s="85"/>
      <c r="F14089" s="92"/>
      <c r="G14089" s="85"/>
    </row>
    <row r="14090">
      <c r="A14090" s="84"/>
      <c r="B14090" s="85"/>
      <c r="C14090" s="85"/>
      <c r="F14090" s="92"/>
      <c r="G14090" s="85"/>
    </row>
    <row r="14091">
      <c r="A14091" s="84"/>
      <c r="B14091" s="85"/>
      <c r="C14091" s="85"/>
      <c r="F14091" s="92"/>
      <c r="G14091" s="85"/>
    </row>
    <row r="14092">
      <c r="A14092" s="84"/>
      <c r="B14092" s="85"/>
      <c r="C14092" s="85"/>
      <c r="F14092" s="92"/>
      <c r="G14092" s="85"/>
    </row>
    <row r="14093">
      <c r="A14093" s="84"/>
      <c r="B14093" s="85"/>
      <c r="C14093" s="85"/>
      <c r="F14093" s="92"/>
      <c r="G14093" s="85"/>
    </row>
    <row r="14094">
      <c r="A14094" s="84"/>
      <c r="B14094" s="85"/>
      <c r="C14094" s="85"/>
      <c r="F14094" s="92"/>
      <c r="G14094" s="85"/>
    </row>
    <row r="14095">
      <c r="A14095" s="84"/>
      <c r="B14095" s="85"/>
      <c r="C14095" s="85"/>
      <c r="F14095" s="92"/>
      <c r="G14095" s="85"/>
    </row>
    <row r="14096">
      <c r="A14096" s="84"/>
      <c r="B14096" s="85"/>
      <c r="C14096" s="85"/>
      <c r="F14096" s="92"/>
      <c r="G14096" s="85"/>
    </row>
    <row r="14097">
      <c r="A14097" s="84"/>
      <c r="B14097" s="85"/>
      <c r="C14097" s="85"/>
      <c r="F14097" s="92"/>
      <c r="G14097" s="85"/>
    </row>
    <row r="14098">
      <c r="A14098" s="84"/>
      <c r="B14098" s="85"/>
      <c r="C14098" s="85"/>
      <c r="F14098" s="92"/>
      <c r="G14098" s="85"/>
    </row>
    <row r="14099">
      <c r="A14099" s="84"/>
      <c r="B14099" s="85"/>
      <c r="C14099" s="85"/>
      <c r="F14099" s="92"/>
      <c r="G14099" s="85"/>
    </row>
    <row r="14100">
      <c r="A14100" s="84"/>
      <c r="B14100" s="85"/>
      <c r="C14100" s="85"/>
      <c r="F14100" s="92"/>
      <c r="G14100" s="85"/>
    </row>
    <row r="14101">
      <c r="A14101" s="84"/>
      <c r="B14101" s="85"/>
      <c r="C14101" s="85"/>
      <c r="F14101" s="92"/>
      <c r="G14101" s="85"/>
    </row>
    <row r="14102">
      <c r="A14102" s="84"/>
      <c r="B14102" s="85"/>
      <c r="C14102" s="85"/>
      <c r="F14102" s="92"/>
      <c r="G14102" s="85"/>
    </row>
    <row r="14103">
      <c r="A14103" s="84"/>
      <c r="B14103" s="85"/>
      <c r="C14103" s="85"/>
      <c r="F14103" s="92"/>
      <c r="G14103" s="85"/>
    </row>
    <row r="14104">
      <c r="A14104" s="84"/>
      <c r="B14104" s="85"/>
      <c r="C14104" s="85"/>
      <c r="F14104" s="92"/>
      <c r="G14104" s="85"/>
    </row>
    <row r="14105">
      <c r="A14105" s="84"/>
      <c r="B14105" s="85"/>
      <c r="C14105" s="85"/>
      <c r="F14105" s="92"/>
      <c r="G14105" s="85"/>
    </row>
    <row r="14106">
      <c r="A14106" s="84"/>
      <c r="B14106" s="85"/>
      <c r="C14106" s="85"/>
      <c r="F14106" s="92"/>
      <c r="G14106" s="85"/>
    </row>
    <row r="14107">
      <c r="A14107" s="84"/>
      <c r="B14107" s="85"/>
      <c r="C14107" s="85"/>
      <c r="F14107" s="92"/>
      <c r="G14107" s="85"/>
    </row>
    <row r="14108">
      <c r="A14108" s="84"/>
      <c r="B14108" s="85"/>
      <c r="C14108" s="85"/>
      <c r="F14108" s="92"/>
      <c r="G14108" s="85"/>
    </row>
    <row r="14109">
      <c r="A14109" s="84"/>
      <c r="B14109" s="85"/>
      <c r="C14109" s="85"/>
      <c r="F14109" s="92"/>
      <c r="G14109" s="85"/>
    </row>
    <row r="14110">
      <c r="A14110" s="84"/>
      <c r="B14110" s="85"/>
      <c r="C14110" s="85"/>
      <c r="F14110" s="92"/>
      <c r="G14110" s="85"/>
    </row>
    <row r="14111">
      <c r="A14111" s="84"/>
      <c r="B14111" s="85"/>
      <c r="C14111" s="85"/>
      <c r="F14111" s="92"/>
      <c r="G14111" s="85"/>
    </row>
    <row r="14112">
      <c r="A14112" s="84"/>
      <c r="B14112" s="85"/>
      <c r="C14112" s="85"/>
      <c r="F14112" s="92"/>
      <c r="G14112" s="85"/>
    </row>
    <row r="14113">
      <c r="A14113" s="84"/>
      <c r="B14113" s="85"/>
      <c r="C14113" s="85"/>
      <c r="F14113" s="92"/>
      <c r="G14113" s="85"/>
    </row>
    <row r="14114">
      <c r="A14114" s="84"/>
      <c r="B14114" s="85"/>
      <c r="C14114" s="85"/>
      <c r="F14114" s="92"/>
      <c r="G14114" s="85"/>
    </row>
    <row r="14115">
      <c r="A14115" s="84"/>
      <c r="B14115" s="85"/>
      <c r="C14115" s="85"/>
      <c r="F14115" s="92"/>
      <c r="G14115" s="85"/>
    </row>
    <row r="14116">
      <c r="A14116" s="84"/>
      <c r="B14116" s="85"/>
      <c r="C14116" s="85"/>
      <c r="F14116" s="92"/>
      <c r="G14116" s="85"/>
    </row>
    <row r="14117">
      <c r="A14117" s="84"/>
      <c r="B14117" s="85"/>
      <c r="C14117" s="85"/>
      <c r="F14117" s="92"/>
      <c r="G14117" s="85"/>
    </row>
    <row r="14118">
      <c r="A14118" s="84"/>
      <c r="B14118" s="85"/>
      <c r="C14118" s="85"/>
      <c r="F14118" s="92"/>
      <c r="G14118" s="85"/>
    </row>
    <row r="14119">
      <c r="A14119" s="84"/>
      <c r="B14119" s="85"/>
      <c r="C14119" s="85"/>
      <c r="F14119" s="92"/>
      <c r="G14119" s="85"/>
    </row>
    <row r="14120">
      <c r="A14120" s="84"/>
      <c r="B14120" s="85"/>
      <c r="C14120" s="85"/>
      <c r="F14120" s="92"/>
      <c r="G14120" s="85"/>
    </row>
    <row r="14121">
      <c r="A14121" s="84"/>
      <c r="B14121" s="85"/>
      <c r="C14121" s="85"/>
      <c r="F14121" s="92"/>
      <c r="G14121" s="85"/>
    </row>
    <row r="14122">
      <c r="A14122" s="84"/>
      <c r="B14122" s="85"/>
      <c r="C14122" s="85"/>
      <c r="F14122" s="92"/>
      <c r="G14122" s="85"/>
    </row>
    <row r="14123">
      <c r="A14123" s="84"/>
      <c r="B14123" s="85"/>
      <c r="C14123" s="85"/>
      <c r="F14123" s="92"/>
      <c r="G14123" s="85"/>
    </row>
    <row r="14124">
      <c r="A14124" s="84"/>
      <c r="B14124" s="85"/>
      <c r="C14124" s="85"/>
      <c r="F14124" s="92"/>
      <c r="G14124" s="85"/>
    </row>
    <row r="14125">
      <c r="A14125" s="84"/>
      <c r="B14125" s="85"/>
      <c r="C14125" s="85"/>
      <c r="F14125" s="92"/>
      <c r="G14125" s="85"/>
    </row>
    <row r="14126">
      <c r="A14126" s="84"/>
      <c r="B14126" s="85"/>
      <c r="C14126" s="85"/>
      <c r="F14126" s="92"/>
      <c r="G14126" s="85"/>
    </row>
    <row r="14127">
      <c r="A14127" s="84"/>
      <c r="B14127" s="85"/>
      <c r="C14127" s="85"/>
      <c r="F14127" s="92"/>
      <c r="G14127" s="85"/>
    </row>
    <row r="14128">
      <c r="A14128" s="84"/>
      <c r="B14128" s="85"/>
      <c r="C14128" s="85"/>
      <c r="F14128" s="92"/>
      <c r="G14128" s="85"/>
    </row>
    <row r="14129">
      <c r="A14129" s="84"/>
      <c r="B14129" s="85"/>
      <c r="C14129" s="85"/>
      <c r="F14129" s="92"/>
      <c r="G14129" s="85"/>
    </row>
    <row r="14130">
      <c r="A14130" s="84"/>
      <c r="B14130" s="85"/>
      <c r="C14130" s="85"/>
      <c r="F14130" s="92"/>
      <c r="G14130" s="85"/>
    </row>
    <row r="14131">
      <c r="A14131" s="84"/>
      <c r="B14131" s="85"/>
      <c r="C14131" s="85"/>
      <c r="F14131" s="92"/>
      <c r="G14131" s="85"/>
    </row>
    <row r="14132">
      <c r="A14132" s="84"/>
      <c r="B14132" s="85"/>
      <c r="C14132" s="85"/>
      <c r="F14132" s="92"/>
      <c r="G14132" s="85"/>
    </row>
    <row r="14133">
      <c r="A14133" s="84"/>
      <c r="B14133" s="85"/>
      <c r="C14133" s="85"/>
      <c r="F14133" s="92"/>
      <c r="G14133" s="85"/>
    </row>
    <row r="14134">
      <c r="A14134" s="84"/>
      <c r="B14134" s="85"/>
      <c r="C14134" s="85"/>
      <c r="F14134" s="92"/>
      <c r="G14134" s="85"/>
    </row>
    <row r="14135">
      <c r="A14135" s="84"/>
      <c r="B14135" s="85"/>
      <c r="C14135" s="85"/>
      <c r="F14135" s="92"/>
      <c r="G14135" s="85"/>
    </row>
    <row r="14136">
      <c r="A14136" s="84"/>
      <c r="B14136" s="85"/>
      <c r="C14136" s="85"/>
      <c r="F14136" s="92"/>
      <c r="G14136" s="85"/>
    </row>
    <row r="14137">
      <c r="A14137" s="84"/>
      <c r="B14137" s="85"/>
      <c r="C14137" s="85"/>
      <c r="F14137" s="92"/>
      <c r="G14137" s="85"/>
    </row>
    <row r="14138">
      <c r="A14138" s="84"/>
      <c r="B14138" s="85"/>
      <c r="C14138" s="85"/>
      <c r="F14138" s="92"/>
      <c r="G14138" s="85"/>
    </row>
    <row r="14139">
      <c r="A14139" s="84"/>
      <c r="B14139" s="85"/>
      <c r="C14139" s="85"/>
      <c r="F14139" s="92"/>
      <c r="G14139" s="85"/>
    </row>
    <row r="14140">
      <c r="A14140" s="84"/>
      <c r="B14140" s="85"/>
      <c r="C14140" s="85"/>
      <c r="F14140" s="92"/>
      <c r="G14140" s="85"/>
    </row>
    <row r="14141">
      <c r="A14141" s="84"/>
      <c r="B14141" s="85"/>
      <c r="C14141" s="85"/>
      <c r="F14141" s="92"/>
      <c r="G14141" s="85"/>
    </row>
    <row r="14142">
      <c r="A14142" s="84"/>
      <c r="B14142" s="85"/>
      <c r="C14142" s="85"/>
      <c r="F14142" s="92"/>
      <c r="G14142" s="85"/>
    </row>
    <row r="14143">
      <c r="A14143" s="84"/>
      <c r="B14143" s="85"/>
      <c r="C14143" s="85"/>
      <c r="F14143" s="92"/>
      <c r="G14143" s="85"/>
    </row>
    <row r="14144">
      <c r="A14144" s="84"/>
      <c r="B14144" s="85"/>
      <c r="C14144" s="85"/>
      <c r="F14144" s="92"/>
      <c r="G14144" s="85"/>
    </row>
    <row r="14145">
      <c r="A14145" s="84"/>
      <c r="B14145" s="85"/>
      <c r="C14145" s="85"/>
      <c r="F14145" s="92"/>
      <c r="G14145" s="85"/>
    </row>
    <row r="14146">
      <c r="A14146" s="84"/>
      <c r="B14146" s="85"/>
      <c r="C14146" s="85"/>
      <c r="F14146" s="92"/>
      <c r="G14146" s="85"/>
    </row>
    <row r="14147">
      <c r="A14147" s="84"/>
      <c r="B14147" s="85"/>
      <c r="C14147" s="85"/>
      <c r="F14147" s="92"/>
      <c r="G14147" s="85"/>
    </row>
    <row r="14148">
      <c r="A14148" s="84"/>
      <c r="B14148" s="85"/>
      <c r="C14148" s="85"/>
      <c r="F14148" s="92"/>
      <c r="G14148" s="85"/>
    </row>
    <row r="14149">
      <c r="A14149" s="84"/>
      <c r="B14149" s="85"/>
      <c r="C14149" s="85"/>
      <c r="F14149" s="92"/>
      <c r="G14149" s="85"/>
    </row>
    <row r="14150">
      <c r="A14150" s="84"/>
      <c r="B14150" s="85"/>
      <c r="C14150" s="85"/>
      <c r="F14150" s="92"/>
      <c r="G14150" s="85"/>
    </row>
    <row r="14151">
      <c r="A14151" s="84"/>
      <c r="B14151" s="85"/>
      <c r="C14151" s="85"/>
      <c r="F14151" s="92"/>
      <c r="G14151" s="85"/>
    </row>
    <row r="14152">
      <c r="A14152" s="84"/>
      <c r="B14152" s="85"/>
      <c r="C14152" s="85"/>
      <c r="F14152" s="92"/>
      <c r="G14152" s="85"/>
    </row>
    <row r="14153">
      <c r="A14153" s="84"/>
      <c r="B14153" s="85"/>
      <c r="C14153" s="85"/>
      <c r="F14153" s="92"/>
      <c r="G14153" s="85"/>
    </row>
    <row r="14154">
      <c r="A14154" s="84"/>
      <c r="B14154" s="85"/>
      <c r="C14154" s="85"/>
      <c r="F14154" s="92"/>
      <c r="G14154" s="85"/>
    </row>
    <row r="14155">
      <c r="A14155" s="84"/>
      <c r="B14155" s="85"/>
      <c r="C14155" s="85"/>
      <c r="F14155" s="92"/>
      <c r="G14155" s="85"/>
    </row>
    <row r="14156">
      <c r="A14156" s="84"/>
      <c r="B14156" s="85"/>
      <c r="C14156" s="85"/>
      <c r="F14156" s="92"/>
      <c r="G14156" s="85"/>
    </row>
    <row r="14157">
      <c r="A14157" s="84"/>
      <c r="B14157" s="85"/>
      <c r="C14157" s="85"/>
      <c r="F14157" s="92"/>
      <c r="G14157" s="85"/>
    </row>
    <row r="14158">
      <c r="A14158" s="84"/>
      <c r="B14158" s="85"/>
      <c r="C14158" s="85"/>
      <c r="F14158" s="92"/>
      <c r="G14158" s="85"/>
    </row>
    <row r="14159">
      <c r="A14159" s="84"/>
      <c r="B14159" s="85"/>
      <c r="C14159" s="85"/>
      <c r="F14159" s="92"/>
      <c r="G14159" s="85"/>
    </row>
    <row r="14160">
      <c r="A14160" s="84"/>
      <c r="B14160" s="85"/>
      <c r="C14160" s="85"/>
      <c r="F14160" s="92"/>
      <c r="G14160" s="85"/>
    </row>
    <row r="14161">
      <c r="A14161" s="84"/>
      <c r="B14161" s="85"/>
      <c r="C14161" s="85"/>
      <c r="F14161" s="92"/>
      <c r="G14161" s="85"/>
    </row>
    <row r="14162">
      <c r="A14162" s="84"/>
      <c r="B14162" s="85"/>
      <c r="C14162" s="85"/>
      <c r="F14162" s="92"/>
      <c r="G14162" s="85"/>
    </row>
    <row r="14163">
      <c r="A14163" s="84"/>
      <c r="B14163" s="85"/>
      <c r="C14163" s="85"/>
      <c r="F14163" s="92"/>
      <c r="G14163" s="85"/>
    </row>
    <row r="14164">
      <c r="A14164" s="84"/>
      <c r="B14164" s="85"/>
      <c r="C14164" s="85"/>
      <c r="F14164" s="92"/>
      <c r="G14164" s="85"/>
    </row>
    <row r="14165">
      <c r="A14165" s="84"/>
      <c r="B14165" s="85"/>
      <c r="C14165" s="85"/>
      <c r="F14165" s="92"/>
      <c r="G14165" s="85"/>
    </row>
    <row r="14166">
      <c r="A14166" s="84"/>
      <c r="B14166" s="85"/>
      <c r="C14166" s="85"/>
      <c r="F14166" s="92"/>
      <c r="G14166" s="85"/>
    </row>
    <row r="14167">
      <c r="A14167" s="84"/>
      <c r="B14167" s="85"/>
      <c r="C14167" s="85"/>
      <c r="F14167" s="92"/>
      <c r="G14167" s="85"/>
    </row>
    <row r="14168">
      <c r="A14168" s="84"/>
      <c r="B14168" s="85"/>
      <c r="C14168" s="85"/>
      <c r="F14168" s="92"/>
      <c r="G14168" s="85"/>
    </row>
    <row r="14169">
      <c r="A14169" s="84"/>
      <c r="B14169" s="85"/>
      <c r="C14169" s="85"/>
      <c r="F14169" s="92"/>
      <c r="G14169" s="85"/>
    </row>
    <row r="14170">
      <c r="A14170" s="84"/>
      <c r="B14170" s="85"/>
      <c r="C14170" s="85"/>
      <c r="F14170" s="92"/>
      <c r="G14170" s="85"/>
    </row>
    <row r="14171">
      <c r="A14171" s="84"/>
      <c r="B14171" s="85"/>
      <c r="C14171" s="85"/>
      <c r="F14171" s="92"/>
      <c r="G14171" s="85"/>
    </row>
    <row r="14172">
      <c r="A14172" s="84"/>
      <c r="B14172" s="85"/>
      <c r="C14172" s="85"/>
      <c r="F14172" s="92"/>
      <c r="G14172" s="85"/>
    </row>
    <row r="14173">
      <c r="A14173" s="84"/>
      <c r="B14173" s="85"/>
      <c r="C14173" s="85"/>
      <c r="F14173" s="92"/>
      <c r="G14173" s="85"/>
    </row>
    <row r="14174">
      <c r="A14174" s="84"/>
      <c r="B14174" s="85"/>
      <c r="C14174" s="85"/>
      <c r="F14174" s="92"/>
      <c r="G14174" s="85"/>
    </row>
    <row r="14175">
      <c r="A14175" s="84"/>
      <c r="B14175" s="85"/>
      <c r="C14175" s="85"/>
      <c r="F14175" s="92"/>
      <c r="G14175" s="85"/>
    </row>
    <row r="14176">
      <c r="A14176" s="84"/>
      <c r="B14176" s="85"/>
      <c r="C14176" s="85"/>
      <c r="F14176" s="92"/>
      <c r="G14176" s="85"/>
    </row>
    <row r="14177">
      <c r="A14177" s="84"/>
      <c r="B14177" s="85"/>
      <c r="C14177" s="85"/>
      <c r="F14177" s="92"/>
      <c r="G14177" s="85"/>
    </row>
    <row r="14178">
      <c r="A14178" s="84"/>
      <c r="B14178" s="85"/>
      <c r="C14178" s="85"/>
      <c r="F14178" s="92"/>
      <c r="G14178" s="85"/>
    </row>
    <row r="14179">
      <c r="A14179" s="84"/>
      <c r="B14179" s="85"/>
      <c r="C14179" s="85"/>
      <c r="F14179" s="92"/>
      <c r="G14179" s="85"/>
    </row>
    <row r="14180">
      <c r="A14180" s="84"/>
      <c r="B14180" s="85"/>
      <c r="C14180" s="85"/>
      <c r="F14180" s="92"/>
      <c r="G14180" s="85"/>
    </row>
    <row r="14181">
      <c r="A14181" s="84"/>
      <c r="B14181" s="85"/>
      <c r="C14181" s="85"/>
      <c r="F14181" s="92"/>
      <c r="G14181" s="85"/>
    </row>
    <row r="14182">
      <c r="A14182" s="84"/>
      <c r="B14182" s="85"/>
      <c r="C14182" s="85"/>
      <c r="F14182" s="92"/>
      <c r="G14182" s="85"/>
    </row>
    <row r="14183">
      <c r="A14183" s="84"/>
      <c r="B14183" s="85"/>
      <c r="C14183" s="85"/>
      <c r="F14183" s="92"/>
      <c r="G14183" s="85"/>
    </row>
    <row r="14184">
      <c r="A14184" s="84"/>
      <c r="B14184" s="85"/>
      <c r="C14184" s="85"/>
      <c r="F14184" s="92"/>
      <c r="G14184" s="85"/>
    </row>
    <row r="14185">
      <c r="A14185" s="84"/>
      <c r="B14185" s="85"/>
      <c r="C14185" s="85"/>
      <c r="F14185" s="92"/>
      <c r="G14185" s="85"/>
    </row>
    <row r="14186">
      <c r="A14186" s="84"/>
      <c r="B14186" s="85"/>
      <c r="C14186" s="85"/>
      <c r="F14186" s="92"/>
      <c r="G14186" s="85"/>
    </row>
    <row r="14187">
      <c r="A14187" s="84"/>
      <c r="B14187" s="85"/>
      <c r="C14187" s="85"/>
      <c r="F14187" s="92"/>
      <c r="G14187" s="85"/>
    </row>
    <row r="14188">
      <c r="A14188" s="84"/>
      <c r="B14188" s="85"/>
      <c r="C14188" s="85"/>
      <c r="F14188" s="92"/>
      <c r="G14188" s="85"/>
    </row>
    <row r="14189">
      <c r="A14189" s="84"/>
      <c r="B14189" s="85"/>
      <c r="C14189" s="85"/>
      <c r="F14189" s="92"/>
      <c r="G14189" s="85"/>
    </row>
    <row r="14190">
      <c r="A14190" s="84"/>
      <c r="B14190" s="85"/>
      <c r="C14190" s="85"/>
      <c r="F14190" s="92"/>
      <c r="G14190" s="85"/>
    </row>
    <row r="14191">
      <c r="A14191" s="84"/>
      <c r="B14191" s="85"/>
      <c r="C14191" s="85"/>
      <c r="F14191" s="92"/>
      <c r="G14191" s="85"/>
    </row>
    <row r="14192">
      <c r="A14192" s="84"/>
      <c r="B14192" s="85"/>
      <c r="C14192" s="85"/>
      <c r="F14192" s="92"/>
      <c r="G14192" s="85"/>
    </row>
    <row r="14193">
      <c r="A14193" s="84"/>
      <c r="B14193" s="85"/>
      <c r="C14193" s="85"/>
      <c r="F14193" s="92"/>
      <c r="G14193" s="85"/>
    </row>
    <row r="14194">
      <c r="A14194" s="84"/>
      <c r="B14194" s="85"/>
      <c r="C14194" s="85"/>
      <c r="F14194" s="92"/>
      <c r="G14194" s="85"/>
    </row>
    <row r="14195">
      <c r="A14195" s="84"/>
      <c r="B14195" s="85"/>
      <c r="C14195" s="85"/>
      <c r="F14195" s="92"/>
      <c r="G14195" s="85"/>
    </row>
    <row r="14196">
      <c r="A14196" s="84"/>
      <c r="B14196" s="85"/>
      <c r="C14196" s="85"/>
      <c r="F14196" s="92"/>
      <c r="G14196" s="85"/>
    </row>
    <row r="14197">
      <c r="A14197" s="84"/>
      <c r="B14197" s="85"/>
      <c r="C14197" s="85"/>
      <c r="F14197" s="92"/>
      <c r="G14197" s="85"/>
    </row>
    <row r="14198">
      <c r="A14198" s="84"/>
      <c r="B14198" s="85"/>
      <c r="C14198" s="85"/>
      <c r="F14198" s="92"/>
      <c r="G14198" s="85"/>
    </row>
    <row r="14199">
      <c r="A14199" s="84"/>
      <c r="B14199" s="85"/>
      <c r="C14199" s="85"/>
      <c r="F14199" s="92"/>
      <c r="G14199" s="85"/>
    </row>
    <row r="14200">
      <c r="A14200" s="84"/>
      <c r="B14200" s="85"/>
      <c r="C14200" s="85"/>
      <c r="F14200" s="92"/>
      <c r="G14200" s="85"/>
    </row>
    <row r="14201">
      <c r="A14201" s="84"/>
      <c r="B14201" s="85"/>
      <c r="C14201" s="85"/>
      <c r="F14201" s="92"/>
      <c r="G14201" s="85"/>
    </row>
    <row r="14202">
      <c r="A14202" s="84"/>
      <c r="B14202" s="85"/>
      <c r="C14202" s="85"/>
      <c r="F14202" s="92"/>
      <c r="G14202" s="85"/>
    </row>
    <row r="14203">
      <c r="A14203" s="84"/>
      <c r="B14203" s="85"/>
      <c r="C14203" s="85"/>
      <c r="F14203" s="92"/>
      <c r="G14203" s="85"/>
    </row>
    <row r="14204">
      <c r="A14204" s="84"/>
      <c r="B14204" s="85"/>
      <c r="C14204" s="85"/>
      <c r="F14204" s="92"/>
      <c r="G14204" s="85"/>
    </row>
    <row r="14205">
      <c r="A14205" s="84"/>
      <c r="B14205" s="85"/>
      <c r="C14205" s="85"/>
      <c r="F14205" s="92"/>
      <c r="G14205" s="85"/>
    </row>
    <row r="14206">
      <c r="A14206" s="84"/>
      <c r="B14206" s="85"/>
      <c r="C14206" s="85"/>
      <c r="F14206" s="92"/>
      <c r="G14206" s="85"/>
    </row>
    <row r="14207">
      <c r="A14207" s="84"/>
      <c r="B14207" s="85"/>
      <c r="C14207" s="85"/>
      <c r="F14207" s="92"/>
      <c r="G14207" s="85"/>
    </row>
    <row r="14208">
      <c r="A14208" s="84"/>
      <c r="B14208" s="85"/>
      <c r="C14208" s="85"/>
      <c r="F14208" s="92"/>
      <c r="G14208" s="85"/>
    </row>
    <row r="14209">
      <c r="A14209" s="84"/>
      <c r="B14209" s="85"/>
      <c r="C14209" s="85"/>
      <c r="F14209" s="92"/>
      <c r="G14209" s="85"/>
    </row>
    <row r="14210">
      <c r="A14210" s="84"/>
      <c r="B14210" s="85"/>
      <c r="C14210" s="85"/>
      <c r="F14210" s="92"/>
      <c r="G14210" s="85"/>
    </row>
    <row r="14211">
      <c r="A14211" s="84"/>
      <c r="B14211" s="85"/>
      <c r="C14211" s="85"/>
      <c r="F14211" s="92"/>
      <c r="G14211" s="85"/>
    </row>
    <row r="14212">
      <c r="A14212" s="84"/>
      <c r="B14212" s="85"/>
      <c r="C14212" s="85"/>
      <c r="F14212" s="92"/>
      <c r="G14212" s="85"/>
    </row>
    <row r="14213">
      <c r="A14213" s="84"/>
      <c r="B14213" s="85"/>
      <c r="C14213" s="85"/>
      <c r="F14213" s="92"/>
      <c r="G14213" s="85"/>
    </row>
    <row r="14214">
      <c r="A14214" s="84"/>
      <c r="B14214" s="85"/>
      <c r="C14214" s="85"/>
      <c r="F14214" s="92"/>
      <c r="G14214" s="85"/>
    </row>
    <row r="14215">
      <c r="A14215" s="84"/>
      <c r="B14215" s="85"/>
      <c r="C14215" s="85"/>
      <c r="F14215" s="92"/>
      <c r="G14215" s="85"/>
    </row>
    <row r="14216">
      <c r="A14216" s="84"/>
      <c r="B14216" s="85"/>
      <c r="C14216" s="85"/>
      <c r="F14216" s="92"/>
      <c r="G14216" s="85"/>
    </row>
    <row r="14217">
      <c r="A14217" s="84"/>
      <c r="B14217" s="85"/>
      <c r="C14217" s="85"/>
      <c r="F14217" s="92"/>
      <c r="G14217" s="85"/>
    </row>
    <row r="14218">
      <c r="A14218" s="84"/>
      <c r="B14218" s="85"/>
      <c r="C14218" s="85"/>
      <c r="F14218" s="92"/>
      <c r="G14218" s="85"/>
    </row>
    <row r="14219">
      <c r="A14219" s="84"/>
      <c r="B14219" s="85"/>
      <c r="C14219" s="85"/>
      <c r="F14219" s="92"/>
      <c r="G14219" s="85"/>
    </row>
    <row r="14220">
      <c r="A14220" s="84"/>
      <c r="B14220" s="85"/>
      <c r="C14220" s="85"/>
      <c r="F14220" s="92"/>
      <c r="G14220" s="85"/>
    </row>
    <row r="14221">
      <c r="A14221" s="84"/>
      <c r="B14221" s="85"/>
      <c r="C14221" s="85"/>
      <c r="F14221" s="92"/>
      <c r="G14221" s="85"/>
    </row>
    <row r="14222">
      <c r="A14222" s="84"/>
      <c r="B14222" s="85"/>
      <c r="C14222" s="85"/>
      <c r="F14222" s="92"/>
      <c r="G14222" s="85"/>
    </row>
    <row r="14223">
      <c r="A14223" s="84"/>
      <c r="B14223" s="85"/>
      <c r="C14223" s="85"/>
      <c r="F14223" s="92"/>
      <c r="G14223" s="85"/>
    </row>
    <row r="14224">
      <c r="A14224" s="84"/>
      <c r="B14224" s="85"/>
      <c r="C14224" s="85"/>
      <c r="F14224" s="92"/>
      <c r="G14224" s="85"/>
    </row>
    <row r="14225">
      <c r="A14225" s="84"/>
      <c r="B14225" s="85"/>
      <c r="C14225" s="85"/>
      <c r="F14225" s="92"/>
      <c r="G14225" s="85"/>
    </row>
    <row r="14226">
      <c r="A14226" s="84"/>
      <c r="B14226" s="85"/>
      <c r="C14226" s="85"/>
      <c r="F14226" s="92"/>
      <c r="G14226" s="85"/>
    </row>
    <row r="14227">
      <c r="A14227" s="84"/>
      <c r="B14227" s="85"/>
      <c r="C14227" s="85"/>
      <c r="F14227" s="92"/>
      <c r="G14227" s="85"/>
    </row>
    <row r="14228">
      <c r="A14228" s="84"/>
      <c r="B14228" s="85"/>
      <c r="C14228" s="85"/>
      <c r="F14228" s="92"/>
      <c r="G14228" s="85"/>
    </row>
    <row r="14229">
      <c r="A14229" s="84"/>
      <c r="B14229" s="85"/>
      <c r="C14229" s="85"/>
      <c r="F14229" s="92"/>
      <c r="G14229" s="85"/>
    </row>
    <row r="14230">
      <c r="A14230" s="84"/>
      <c r="B14230" s="85"/>
      <c r="C14230" s="85"/>
      <c r="F14230" s="92"/>
      <c r="G14230" s="85"/>
    </row>
    <row r="14231">
      <c r="A14231" s="84"/>
      <c r="B14231" s="85"/>
      <c r="C14231" s="85"/>
      <c r="F14231" s="92"/>
      <c r="G14231" s="85"/>
    </row>
    <row r="14232">
      <c r="A14232" s="84"/>
      <c r="B14232" s="85"/>
      <c r="C14232" s="85"/>
      <c r="F14232" s="92"/>
      <c r="G14232" s="85"/>
    </row>
    <row r="14233">
      <c r="A14233" s="84"/>
      <c r="B14233" s="85"/>
      <c r="C14233" s="85"/>
      <c r="F14233" s="92"/>
      <c r="G14233" s="85"/>
    </row>
    <row r="14234">
      <c r="A14234" s="84"/>
      <c r="B14234" s="85"/>
      <c r="C14234" s="85"/>
      <c r="F14234" s="92"/>
      <c r="G14234" s="85"/>
    </row>
    <row r="14235">
      <c r="A14235" s="84"/>
      <c r="B14235" s="85"/>
      <c r="C14235" s="85"/>
      <c r="F14235" s="92"/>
      <c r="G14235" s="85"/>
    </row>
    <row r="14236">
      <c r="A14236" s="84"/>
      <c r="B14236" s="85"/>
      <c r="C14236" s="85"/>
      <c r="F14236" s="92"/>
      <c r="G14236" s="85"/>
    </row>
    <row r="14237">
      <c r="A14237" s="84"/>
      <c r="B14237" s="85"/>
      <c r="C14237" s="85"/>
      <c r="F14237" s="92"/>
      <c r="G14237" s="85"/>
    </row>
    <row r="14238">
      <c r="A14238" s="84"/>
      <c r="B14238" s="85"/>
      <c r="C14238" s="85"/>
      <c r="F14238" s="92"/>
      <c r="G14238" s="85"/>
    </row>
    <row r="14239">
      <c r="A14239" s="84"/>
      <c r="B14239" s="85"/>
      <c r="C14239" s="85"/>
      <c r="F14239" s="92"/>
      <c r="G14239" s="85"/>
    </row>
    <row r="14240">
      <c r="A14240" s="84"/>
      <c r="B14240" s="85"/>
      <c r="C14240" s="85"/>
      <c r="F14240" s="92"/>
      <c r="G14240" s="85"/>
    </row>
    <row r="14241">
      <c r="A14241" s="84"/>
      <c r="B14241" s="85"/>
      <c r="C14241" s="85"/>
      <c r="F14241" s="92"/>
      <c r="G14241" s="85"/>
    </row>
    <row r="14242">
      <c r="A14242" s="84"/>
      <c r="B14242" s="85"/>
      <c r="C14242" s="85"/>
      <c r="F14242" s="92"/>
      <c r="G14242" s="85"/>
    </row>
    <row r="14243">
      <c r="A14243" s="84"/>
      <c r="B14243" s="85"/>
      <c r="C14243" s="85"/>
      <c r="F14243" s="92"/>
      <c r="G14243" s="85"/>
    </row>
    <row r="14244">
      <c r="A14244" s="84"/>
      <c r="B14244" s="85"/>
      <c r="C14244" s="85"/>
      <c r="F14244" s="92"/>
      <c r="G14244" s="85"/>
    </row>
    <row r="14245">
      <c r="A14245" s="84"/>
      <c r="B14245" s="85"/>
      <c r="C14245" s="85"/>
      <c r="F14245" s="92"/>
      <c r="G14245" s="85"/>
    </row>
    <row r="14246">
      <c r="A14246" s="84"/>
      <c r="B14246" s="85"/>
      <c r="C14246" s="85"/>
      <c r="F14246" s="92"/>
      <c r="G14246" s="85"/>
    </row>
    <row r="14247">
      <c r="A14247" s="84"/>
      <c r="B14247" s="85"/>
      <c r="C14247" s="85"/>
      <c r="F14247" s="92"/>
      <c r="G14247" s="85"/>
    </row>
    <row r="14248">
      <c r="A14248" s="84"/>
      <c r="B14248" s="85"/>
      <c r="C14248" s="85"/>
      <c r="F14248" s="92"/>
      <c r="G14248" s="85"/>
    </row>
    <row r="14249">
      <c r="A14249" s="84"/>
      <c r="B14249" s="85"/>
      <c r="C14249" s="85"/>
      <c r="F14249" s="92"/>
      <c r="G14249" s="85"/>
    </row>
    <row r="14250">
      <c r="A14250" s="84"/>
      <c r="B14250" s="85"/>
      <c r="C14250" s="85"/>
      <c r="F14250" s="92"/>
      <c r="G14250" s="85"/>
    </row>
    <row r="14251">
      <c r="A14251" s="84"/>
      <c r="B14251" s="85"/>
      <c r="C14251" s="85"/>
      <c r="F14251" s="92"/>
      <c r="G14251" s="85"/>
    </row>
    <row r="14252">
      <c r="A14252" s="84"/>
      <c r="B14252" s="85"/>
      <c r="C14252" s="85"/>
      <c r="F14252" s="92"/>
      <c r="G14252" s="85"/>
    </row>
    <row r="14253">
      <c r="A14253" s="84"/>
      <c r="B14253" s="85"/>
      <c r="C14253" s="85"/>
      <c r="F14253" s="92"/>
      <c r="G14253" s="85"/>
    </row>
    <row r="14254">
      <c r="A14254" s="84"/>
      <c r="B14254" s="85"/>
      <c r="C14254" s="85"/>
      <c r="F14254" s="92"/>
      <c r="G14254" s="85"/>
    </row>
    <row r="14255">
      <c r="A14255" s="84"/>
      <c r="B14255" s="85"/>
      <c r="C14255" s="85"/>
      <c r="F14255" s="92"/>
      <c r="G14255" s="85"/>
    </row>
    <row r="14256">
      <c r="A14256" s="84"/>
      <c r="B14256" s="85"/>
      <c r="C14256" s="85"/>
      <c r="F14256" s="92"/>
      <c r="G14256" s="85"/>
    </row>
    <row r="14257">
      <c r="A14257" s="84"/>
      <c r="B14257" s="85"/>
      <c r="C14257" s="85"/>
      <c r="F14257" s="92"/>
      <c r="G14257" s="85"/>
    </row>
    <row r="14258">
      <c r="A14258" s="84"/>
      <c r="B14258" s="85"/>
      <c r="C14258" s="85"/>
      <c r="F14258" s="92"/>
      <c r="G14258" s="85"/>
    </row>
    <row r="14259">
      <c r="A14259" s="84"/>
      <c r="B14259" s="85"/>
      <c r="C14259" s="85"/>
      <c r="F14259" s="92"/>
      <c r="G14259" s="85"/>
    </row>
    <row r="14260">
      <c r="A14260" s="84"/>
      <c r="B14260" s="85"/>
      <c r="C14260" s="85"/>
      <c r="F14260" s="92"/>
      <c r="G14260" s="85"/>
    </row>
    <row r="14261">
      <c r="A14261" s="84"/>
      <c r="B14261" s="85"/>
      <c r="C14261" s="85"/>
      <c r="F14261" s="92"/>
      <c r="G14261" s="85"/>
    </row>
    <row r="14262">
      <c r="A14262" s="84"/>
      <c r="B14262" s="85"/>
      <c r="C14262" s="85"/>
      <c r="F14262" s="92"/>
      <c r="G14262" s="85"/>
    </row>
    <row r="14263">
      <c r="A14263" s="84"/>
      <c r="B14263" s="85"/>
      <c r="C14263" s="85"/>
      <c r="F14263" s="92"/>
      <c r="G14263" s="85"/>
    </row>
    <row r="14264">
      <c r="A14264" s="84"/>
      <c r="B14264" s="85"/>
      <c r="C14264" s="85"/>
      <c r="F14264" s="92"/>
      <c r="G14264" s="85"/>
    </row>
    <row r="14265">
      <c r="A14265" s="84"/>
      <c r="B14265" s="85"/>
      <c r="C14265" s="85"/>
      <c r="F14265" s="92"/>
      <c r="G14265" s="85"/>
    </row>
    <row r="14266">
      <c r="A14266" s="84"/>
      <c r="B14266" s="85"/>
      <c r="C14266" s="85"/>
      <c r="F14266" s="92"/>
      <c r="G14266" s="85"/>
    </row>
    <row r="14267">
      <c r="A14267" s="84"/>
      <c r="B14267" s="85"/>
      <c r="C14267" s="85"/>
      <c r="F14267" s="92"/>
      <c r="G14267" s="85"/>
    </row>
    <row r="14268">
      <c r="A14268" s="84"/>
      <c r="B14268" s="85"/>
      <c r="C14268" s="85"/>
      <c r="F14268" s="92"/>
      <c r="G14268" s="85"/>
    </row>
    <row r="14269">
      <c r="A14269" s="84"/>
      <c r="B14269" s="85"/>
      <c r="C14269" s="85"/>
      <c r="F14269" s="92"/>
      <c r="G14269" s="85"/>
    </row>
    <row r="14270">
      <c r="A14270" s="84"/>
      <c r="B14270" s="85"/>
      <c r="C14270" s="85"/>
      <c r="F14270" s="92"/>
      <c r="G14270" s="85"/>
    </row>
    <row r="14271">
      <c r="A14271" s="84"/>
      <c r="B14271" s="85"/>
      <c r="C14271" s="85"/>
      <c r="F14271" s="92"/>
      <c r="G14271" s="85"/>
    </row>
    <row r="14272">
      <c r="A14272" s="84"/>
      <c r="B14272" s="85"/>
      <c r="C14272" s="85"/>
      <c r="F14272" s="92"/>
      <c r="G14272" s="85"/>
    </row>
    <row r="14273">
      <c r="A14273" s="84"/>
      <c r="B14273" s="85"/>
      <c r="C14273" s="85"/>
      <c r="F14273" s="92"/>
      <c r="G14273" s="85"/>
    </row>
    <row r="14274">
      <c r="A14274" s="84"/>
      <c r="B14274" s="85"/>
      <c r="C14274" s="85"/>
      <c r="F14274" s="92"/>
      <c r="G14274" s="85"/>
    </row>
    <row r="14275">
      <c r="A14275" s="84"/>
      <c r="B14275" s="85"/>
      <c r="C14275" s="85"/>
      <c r="F14275" s="92"/>
      <c r="G14275" s="85"/>
    </row>
    <row r="14276">
      <c r="A14276" s="84"/>
      <c r="B14276" s="85"/>
      <c r="C14276" s="85"/>
      <c r="F14276" s="92"/>
      <c r="G14276" s="85"/>
    </row>
    <row r="14277">
      <c r="A14277" s="84"/>
      <c r="B14277" s="85"/>
      <c r="C14277" s="85"/>
      <c r="F14277" s="92"/>
      <c r="G14277" s="85"/>
    </row>
    <row r="14278">
      <c r="A14278" s="84"/>
      <c r="B14278" s="85"/>
      <c r="C14278" s="85"/>
      <c r="F14278" s="92"/>
      <c r="G14278" s="85"/>
    </row>
    <row r="14279">
      <c r="A14279" s="84"/>
      <c r="B14279" s="85"/>
      <c r="C14279" s="85"/>
      <c r="F14279" s="92"/>
      <c r="G14279" s="85"/>
    </row>
    <row r="14280">
      <c r="A14280" s="84"/>
      <c r="B14280" s="85"/>
      <c r="C14280" s="85"/>
      <c r="F14280" s="92"/>
      <c r="G14280" s="85"/>
    </row>
    <row r="14281">
      <c r="A14281" s="84"/>
      <c r="B14281" s="85"/>
      <c r="C14281" s="85"/>
      <c r="F14281" s="92"/>
      <c r="G14281" s="85"/>
    </row>
    <row r="14282">
      <c r="A14282" s="84"/>
      <c r="B14282" s="85"/>
      <c r="C14282" s="85"/>
      <c r="F14282" s="92"/>
      <c r="G14282" s="85"/>
    </row>
    <row r="14283">
      <c r="A14283" s="84"/>
      <c r="B14283" s="85"/>
      <c r="C14283" s="85"/>
      <c r="F14283" s="92"/>
      <c r="G14283" s="85"/>
    </row>
    <row r="14284">
      <c r="A14284" s="84"/>
      <c r="B14284" s="85"/>
      <c r="C14284" s="85"/>
      <c r="F14284" s="92"/>
      <c r="G14284" s="85"/>
    </row>
    <row r="14285">
      <c r="A14285" s="84"/>
      <c r="B14285" s="85"/>
      <c r="C14285" s="85"/>
      <c r="F14285" s="92"/>
      <c r="G14285" s="85"/>
    </row>
    <row r="14286">
      <c r="A14286" s="84"/>
      <c r="B14286" s="85"/>
      <c r="C14286" s="85"/>
      <c r="F14286" s="92"/>
      <c r="G14286" s="85"/>
    </row>
    <row r="14287">
      <c r="A14287" s="84"/>
      <c r="B14287" s="85"/>
      <c r="C14287" s="85"/>
      <c r="F14287" s="92"/>
      <c r="G14287" s="85"/>
    </row>
    <row r="14288">
      <c r="A14288" s="84"/>
      <c r="B14288" s="85"/>
      <c r="C14288" s="85"/>
      <c r="F14288" s="92"/>
      <c r="G14288" s="85"/>
    </row>
    <row r="14289">
      <c r="A14289" s="84"/>
      <c r="B14289" s="85"/>
      <c r="C14289" s="85"/>
      <c r="F14289" s="92"/>
      <c r="G14289" s="85"/>
    </row>
    <row r="14290">
      <c r="A14290" s="84"/>
      <c r="B14290" s="85"/>
      <c r="C14290" s="85"/>
      <c r="F14290" s="92"/>
      <c r="G14290" s="85"/>
    </row>
    <row r="14291">
      <c r="A14291" s="84"/>
      <c r="B14291" s="85"/>
      <c r="C14291" s="85"/>
      <c r="F14291" s="92"/>
      <c r="G14291" s="85"/>
    </row>
    <row r="14292">
      <c r="A14292" s="84"/>
      <c r="B14292" s="85"/>
      <c r="C14292" s="85"/>
      <c r="F14292" s="92"/>
      <c r="G14292" s="85"/>
    </row>
    <row r="14293">
      <c r="A14293" s="84"/>
      <c r="B14293" s="85"/>
      <c r="C14293" s="85"/>
      <c r="F14293" s="92"/>
      <c r="G14293" s="85"/>
    </row>
    <row r="14294">
      <c r="A14294" s="84"/>
      <c r="B14294" s="85"/>
      <c r="C14294" s="85"/>
      <c r="F14294" s="92"/>
      <c r="G14294" s="85"/>
    </row>
    <row r="14295">
      <c r="A14295" s="84"/>
      <c r="B14295" s="85"/>
      <c r="C14295" s="85"/>
      <c r="F14295" s="92"/>
      <c r="G14295" s="85"/>
    </row>
    <row r="14296">
      <c r="A14296" s="84"/>
      <c r="B14296" s="85"/>
      <c r="C14296" s="85"/>
      <c r="F14296" s="92"/>
      <c r="G14296" s="85"/>
    </row>
    <row r="14297">
      <c r="A14297" s="84"/>
      <c r="B14297" s="85"/>
      <c r="C14297" s="85"/>
      <c r="F14297" s="92"/>
      <c r="G14297" s="85"/>
    </row>
    <row r="14298">
      <c r="A14298" s="84"/>
      <c r="B14298" s="85"/>
      <c r="C14298" s="85"/>
      <c r="F14298" s="92"/>
      <c r="G14298" s="85"/>
    </row>
    <row r="14299">
      <c r="A14299" s="84"/>
      <c r="B14299" s="85"/>
      <c r="C14299" s="85"/>
      <c r="F14299" s="92"/>
      <c r="G14299" s="85"/>
    </row>
    <row r="14300">
      <c r="A14300" s="84"/>
      <c r="B14300" s="85"/>
      <c r="C14300" s="85"/>
      <c r="F14300" s="92"/>
      <c r="G14300" s="85"/>
    </row>
    <row r="14301">
      <c r="A14301" s="84"/>
      <c r="B14301" s="85"/>
      <c r="C14301" s="85"/>
      <c r="F14301" s="92"/>
      <c r="G14301" s="85"/>
    </row>
    <row r="14302">
      <c r="A14302" s="84"/>
      <c r="B14302" s="85"/>
      <c r="C14302" s="85"/>
      <c r="F14302" s="92"/>
      <c r="G14302" s="85"/>
    </row>
    <row r="14303">
      <c r="A14303" s="84"/>
      <c r="B14303" s="85"/>
      <c r="C14303" s="85"/>
      <c r="F14303" s="92"/>
      <c r="G14303" s="85"/>
    </row>
    <row r="14304">
      <c r="A14304" s="84"/>
      <c r="B14304" s="85"/>
      <c r="C14304" s="85"/>
      <c r="F14304" s="92"/>
      <c r="G14304" s="85"/>
    </row>
    <row r="14305">
      <c r="A14305" s="84"/>
      <c r="B14305" s="85"/>
      <c r="C14305" s="85"/>
      <c r="F14305" s="92"/>
      <c r="G14305" s="85"/>
    </row>
    <row r="14306">
      <c r="A14306" s="84"/>
      <c r="B14306" s="85"/>
      <c r="C14306" s="85"/>
      <c r="F14306" s="92"/>
      <c r="G14306" s="85"/>
    </row>
    <row r="14307">
      <c r="A14307" s="84"/>
      <c r="B14307" s="85"/>
      <c r="C14307" s="85"/>
      <c r="F14307" s="92"/>
      <c r="G14307" s="85"/>
    </row>
    <row r="14308">
      <c r="A14308" s="84"/>
      <c r="B14308" s="85"/>
      <c r="C14308" s="85"/>
      <c r="F14308" s="92"/>
      <c r="G14308" s="85"/>
    </row>
    <row r="14309">
      <c r="A14309" s="84"/>
      <c r="B14309" s="85"/>
      <c r="C14309" s="85"/>
      <c r="F14309" s="92"/>
      <c r="G14309" s="85"/>
    </row>
    <row r="14310">
      <c r="A14310" s="84"/>
      <c r="B14310" s="85"/>
      <c r="C14310" s="85"/>
      <c r="F14310" s="92"/>
      <c r="G14310" s="85"/>
    </row>
    <row r="14311">
      <c r="A14311" s="84"/>
      <c r="B14311" s="85"/>
      <c r="C14311" s="85"/>
      <c r="F14311" s="92"/>
      <c r="G14311" s="85"/>
    </row>
    <row r="14312">
      <c r="A14312" s="84"/>
      <c r="B14312" s="85"/>
      <c r="C14312" s="85"/>
      <c r="F14312" s="92"/>
      <c r="G14312" s="85"/>
    </row>
    <row r="14313">
      <c r="A14313" s="84"/>
      <c r="B14313" s="85"/>
      <c r="C14313" s="85"/>
      <c r="F14313" s="92"/>
      <c r="G14313" s="85"/>
    </row>
    <row r="14314">
      <c r="A14314" s="84"/>
      <c r="B14314" s="85"/>
      <c r="C14314" s="85"/>
      <c r="F14314" s="92"/>
      <c r="G14314" s="85"/>
    </row>
    <row r="14315">
      <c r="A14315" s="84"/>
      <c r="B14315" s="85"/>
      <c r="C14315" s="85"/>
      <c r="F14315" s="92"/>
      <c r="G14315" s="85"/>
    </row>
    <row r="14316">
      <c r="A14316" s="84"/>
      <c r="B14316" s="85"/>
      <c r="C14316" s="85"/>
      <c r="F14316" s="92"/>
      <c r="G14316" s="85"/>
    </row>
    <row r="14317">
      <c r="A14317" s="84"/>
      <c r="B14317" s="85"/>
      <c r="C14317" s="85"/>
      <c r="F14317" s="92"/>
      <c r="G14317" s="85"/>
    </row>
    <row r="14318">
      <c r="A14318" s="84"/>
      <c r="B14318" s="85"/>
      <c r="C14318" s="85"/>
      <c r="F14318" s="92"/>
      <c r="G14318" s="85"/>
    </row>
    <row r="14319">
      <c r="A14319" s="84"/>
      <c r="B14319" s="85"/>
      <c r="C14319" s="85"/>
      <c r="F14319" s="92"/>
      <c r="G14319" s="85"/>
    </row>
    <row r="14320">
      <c r="A14320" s="84"/>
      <c r="B14320" s="85"/>
      <c r="C14320" s="85"/>
      <c r="F14320" s="92"/>
      <c r="G14320" s="85"/>
    </row>
    <row r="14321">
      <c r="A14321" s="84"/>
      <c r="B14321" s="85"/>
      <c r="C14321" s="85"/>
      <c r="F14321" s="92"/>
      <c r="G14321" s="85"/>
    </row>
    <row r="14322">
      <c r="A14322" s="84"/>
      <c r="B14322" s="85"/>
      <c r="C14322" s="85"/>
      <c r="F14322" s="92"/>
      <c r="G14322" s="85"/>
    </row>
    <row r="14323">
      <c r="A14323" s="84"/>
      <c r="B14323" s="85"/>
      <c r="C14323" s="85"/>
      <c r="F14323" s="92"/>
      <c r="G14323" s="85"/>
    </row>
    <row r="14324">
      <c r="A14324" s="84"/>
      <c r="B14324" s="85"/>
      <c r="C14324" s="85"/>
      <c r="F14324" s="92"/>
      <c r="G14324" s="85"/>
    </row>
    <row r="14325">
      <c r="A14325" s="84"/>
      <c r="B14325" s="85"/>
      <c r="C14325" s="85"/>
      <c r="F14325" s="92"/>
      <c r="G14325" s="85"/>
    </row>
    <row r="14326">
      <c r="A14326" s="84"/>
      <c r="B14326" s="85"/>
      <c r="C14326" s="85"/>
      <c r="F14326" s="92"/>
      <c r="G14326" s="85"/>
    </row>
    <row r="14327">
      <c r="A14327" s="84"/>
      <c r="B14327" s="85"/>
      <c r="C14327" s="85"/>
      <c r="F14327" s="92"/>
      <c r="G14327" s="85"/>
    </row>
    <row r="14328">
      <c r="A14328" s="84"/>
      <c r="B14328" s="85"/>
      <c r="C14328" s="85"/>
      <c r="F14328" s="92"/>
      <c r="G14328" s="85"/>
    </row>
    <row r="14329">
      <c r="A14329" s="84"/>
      <c r="B14329" s="85"/>
      <c r="C14329" s="85"/>
      <c r="F14329" s="92"/>
      <c r="G14329" s="85"/>
    </row>
    <row r="14330">
      <c r="A14330" s="84"/>
      <c r="B14330" s="85"/>
      <c r="C14330" s="85"/>
      <c r="F14330" s="92"/>
      <c r="G14330" s="85"/>
    </row>
    <row r="14331">
      <c r="A14331" s="84"/>
      <c r="B14331" s="85"/>
      <c r="C14331" s="85"/>
      <c r="F14331" s="92"/>
      <c r="G14331" s="85"/>
    </row>
    <row r="14332">
      <c r="A14332" s="84"/>
      <c r="B14332" s="85"/>
      <c r="C14332" s="85"/>
      <c r="F14332" s="92"/>
      <c r="G14332" s="85"/>
    </row>
    <row r="14333">
      <c r="A14333" s="84"/>
      <c r="B14333" s="85"/>
      <c r="C14333" s="85"/>
      <c r="F14333" s="92"/>
      <c r="G14333" s="85"/>
    </row>
    <row r="14334">
      <c r="A14334" s="84"/>
      <c r="B14334" s="85"/>
      <c r="C14334" s="85"/>
      <c r="F14334" s="92"/>
      <c r="G14334" s="85"/>
    </row>
    <row r="14335">
      <c r="A14335" s="84"/>
      <c r="B14335" s="85"/>
      <c r="C14335" s="85"/>
      <c r="F14335" s="92"/>
      <c r="G14335" s="85"/>
    </row>
    <row r="14336">
      <c r="A14336" s="84"/>
      <c r="B14336" s="85"/>
      <c r="C14336" s="85"/>
      <c r="F14336" s="92"/>
      <c r="G14336" s="85"/>
    </row>
    <row r="14337">
      <c r="A14337" s="84"/>
      <c r="B14337" s="85"/>
      <c r="C14337" s="85"/>
      <c r="F14337" s="92"/>
      <c r="G14337" s="85"/>
    </row>
    <row r="14338">
      <c r="A14338" s="84"/>
      <c r="B14338" s="85"/>
      <c r="C14338" s="85"/>
      <c r="F14338" s="92"/>
      <c r="G14338" s="85"/>
    </row>
    <row r="14339">
      <c r="A14339" s="84"/>
      <c r="B14339" s="85"/>
      <c r="C14339" s="85"/>
      <c r="F14339" s="92"/>
      <c r="G14339" s="85"/>
    </row>
    <row r="14340">
      <c r="A14340" s="84"/>
      <c r="B14340" s="85"/>
      <c r="C14340" s="85"/>
      <c r="F14340" s="92"/>
      <c r="G14340" s="85"/>
    </row>
    <row r="14341">
      <c r="A14341" s="84"/>
      <c r="B14341" s="85"/>
      <c r="C14341" s="85"/>
      <c r="F14341" s="92"/>
      <c r="G14341" s="85"/>
    </row>
    <row r="14342">
      <c r="A14342" s="84"/>
      <c r="B14342" s="85"/>
      <c r="C14342" s="85"/>
      <c r="F14342" s="92"/>
      <c r="G14342" s="85"/>
    </row>
    <row r="14343">
      <c r="A14343" s="84"/>
      <c r="B14343" s="85"/>
      <c r="C14343" s="85"/>
      <c r="F14343" s="92"/>
      <c r="G14343" s="85"/>
    </row>
    <row r="14344">
      <c r="A14344" s="84"/>
      <c r="B14344" s="85"/>
      <c r="C14344" s="85"/>
      <c r="F14344" s="92"/>
      <c r="G14344" s="85"/>
    </row>
    <row r="14345">
      <c r="A14345" s="84"/>
      <c r="B14345" s="85"/>
      <c r="C14345" s="85"/>
      <c r="F14345" s="92"/>
      <c r="G14345" s="85"/>
    </row>
    <row r="14346">
      <c r="A14346" s="84"/>
      <c r="B14346" s="85"/>
      <c r="C14346" s="85"/>
      <c r="F14346" s="92"/>
      <c r="G14346" s="85"/>
    </row>
    <row r="14347">
      <c r="A14347" s="84"/>
      <c r="B14347" s="85"/>
      <c r="C14347" s="85"/>
      <c r="F14347" s="92"/>
      <c r="G14347" s="85"/>
    </row>
    <row r="14348">
      <c r="A14348" s="84"/>
      <c r="B14348" s="85"/>
      <c r="C14348" s="85"/>
      <c r="F14348" s="92"/>
      <c r="G14348" s="85"/>
    </row>
    <row r="14349">
      <c r="A14349" s="84"/>
      <c r="B14349" s="85"/>
      <c r="C14349" s="85"/>
      <c r="F14349" s="92"/>
      <c r="G14349" s="85"/>
    </row>
    <row r="14350">
      <c r="A14350" s="84"/>
      <c r="B14350" s="85"/>
      <c r="C14350" s="85"/>
      <c r="F14350" s="92"/>
      <c r="G14350" s="85"/>
    </row>
    <row r="14351">
      <c r="A14351" s="84"/>
      <c r="B14351" s="85"/>
      <c r="C14351" s="85"/>
      <c r="F14351" s="92"/>
      <c r="G14351" s="85"/>
    </row>
    <row r="14352">
      <c r="A14352" s="84"/>
      <c r="B14352" s="85"/>
      <c r="C14352" s="85"/>
      <c r="F14352" s="92"/>
      <c r="G14352" s="85"/>
    </row>
    <row r="14353">
      <c r="A14353" s="84"/>
      <c r="B14353" s="85"/>
      <c r="C14353" s="85"/>
      <c r="F14353" s="92"/>
      <c r="G14353" s="85"/>
    </row>
    <row r="14354">
      <c r="A14354" s="84"/>
      <c r="B14354" s="85"/>
      <c r="C14354" s="85"/>
      <c r="F14354" s="92"/>
      <c r="G14354" s="85"/>
    </row>
    <row r="14355">
      <c r="A14355" s="84"/>
      <c r="B14355" s="85"/>
      <c r="C14355" s="85"/>
      <c r="F14355" s="92"/>
      <c r="G14355" s="85"/>
    </row>
    <row r="14356">
      <c r="A14356" s="84"/>
      <c r="B14356" s="85"/>
      <c r="C14356" s="85"/>
      <c r="F14356" s="92"/>
      <c r="G14356" s="85"/>
    </row>
    <row r="14357">
      <c r="A14357" s="84"/>
      <c r="B14357" s="85"/>
      <c r="C14357" s="85"/>
      <c r="F14357" s="92"/>
      <c r="G14357" s="85"/>
    </row>
    <row r="14358">
      <c r="A14358" s="84"/>
      <c r="B14358" s="85"/>
      <c r="C14358" s="85"/>
      <c r="F14358" s="92"/>
      <c r="G14358" s="85"/>
    </row>
    <row r="14359">
      <c r="A14359" s="84"/>
      <c r="B14359" s="85"/>
      <c r="C14359" s="85"/>
      <c r="F14359" s="92"/>
      <c r="G14359" s="85"/>
    </row>
    <row r="14360">
      <c r="A14360" s="84"/>
      <c r="B14360" s="85"/>
      <c r="C14360" s="85"/>
      <c r="F14360" s="92"/>
      <c r="G14360" s="85"/>
    </row>
    <row r="14361">
      <c r="A14361" s="84"/>
      <c r="B14361" s="85"/>
      <c r="C14361" s="85"/>
      <c r="F14361" s="92"/>
      <c r="G14361" s="85"/>
    </row>
    <row r="14362">
      <c r="A14362" s="84"/>
      <c r="B14362" s="85"/>
      <c r="C14362" s="85"/>
      <c r="F14362" s="92"/>
      <c r="G14362" s="85"/>
    </row>
    <row r="14363">
      <c r="A14363" s="84"/>
      <c r="B14363" s="85"/>
      <c r="C14363" s="85"/>
      <c r="F14363" s="92"/>
      <c r="G14363" s="85"/>
    </row>
    <row r="14364">
      <c r="A14364" s="84"/>
      <c r="B14364" s="85"/>
      <c r="C14364" s="85"/>
      <c r="F14364" s="92"/>
      <c r="G14364" s="85"/>
    </row>
    <row r="14365">
      <c r="A14365" s="84"/>
      <c r="B14365" s="85"/>
      <c r="C14365" s="85"/>
      <c r="F14365" s="92"/>
      <c r="G14365" s="85"/>
    </row>
    <row r="14366">
      <c r="A14366" s="84"/>
      <c r="B14366" s="85"/>
      <c r="C14366" s="85"/>
      <c r="F14366" s="92"/>
      <c r="G14366" s="85"/>
    </row>
    <row r="14367">
      <c r="A14367" s="84"/>
      <c r="B14367" s="85"/>
      <c r="C14367" s="85"/>
      <c r="F14367" s="92"/>
      <c r="G14367" s="85"/>
    </row>
    <row r="14368">
      <c r="A14368" s="84"/>
      <c r="B14368" s="85"/>
      <c r="C14368" s="85"/>
      <c r="F14368" s="92"/>
      <c r="G14368" s="85"/>
    </row>
    <row r="14369">
      <c r="A14369" s="84"/>
      <c r="B14369" s="85"/>
      <c r="C14369" s="85"/>
      <c r="F14369" s="92"/>
      <c r="G14369" s="85"/>
    </row>
    <row r="14370">
      <c r="A14370" s="84"/>
      <c r="B14370" s="85"/>
      <c r="C14370" s="85"/>
      <c r="F14370" s="92"/>
      <c r="G14370" s="85"/>
    </row>
    <row r="14371">
      <c r="A14371" s="84"/>
      <c r="B14371" s="85"/>
      <c r="C14371" s="85"/>
      <c r="F14371" s="92"/>
      <c r="G14371" s="85"/>
    </row>
    <row r="14372">
      <c r="A14372" s="84"/>
      <c r="B14372" s="85"/>
      <c r="C14372" s="85"/>
      <c r="F14372" s="92"/>
      <c r="G14372" s="85"/>
    </row>
    <row r="14373">
      <c r="A14373" s="84"/>
      <c r="B14373" s="85"/>
      <c r="C14373" s="85"/>
      <c r="F14373" s="92"/>
      <c r="G14373" s="85"/>
    </row>
    <row r="14374">
      <c r="A14374" s="84"/>
      <c r="B14374" s="85"/>
      <c r="C14374" s="85"/>
      <c r="F14374" s="92"/>
      <c r="G14374" s="85"/>
    </row>
    <row r="14375">
      <c r="A14375" s="84"/>
      <c r="B14375" s="85"/>
      <c r="C14375" s="85"/>
      <c r="F14375" s="92"/>
      <c r="G14375" s="85"/>
    </row>
    <row r="14376">
      <c r="A14376" s="84"/>
      <c r="B14376" s="85"/>
      <c r="C14376" s="85"/>
      <c r="F14376" s="92"/>
      <c r="G14376" s="85"/>
    </row>
    <row r="14377">
      <c r="A14377" s="84"/>
      <c r="B14377" s="85"/>
      <c r="C14377" s="85"/>
      <c r="F14377" s="92"/>
      <c r="G14377" s="85"/>
    </row>
    <row r="14378">
      <c r="A14378" s="84"/>
      <c r="B14378" s="85"/>
      <c r="C14378" s="85"/>
      <c r="F14378" s="92"/>
      <c r="G14378" s="85"/>
    </row>
    <row r="14379">
      <c r="A14379" s="84"/>
      <c r="B14379" s="85"/>
      <c r="C14379" s="85"/>
      <c r="F14379" s="92"/>
      <c r="G14379" s="85"/>
    </row>
    <row r="14380">
      <c r="A14380" s="84"/>
      <c r="B14380" s="85"/>
      <c r="C14380" s="85"/>
      <c r="F14380" s="92"/>
      <c r="G14380" s="85"/>
    </row>
    <row r="14381">
      <c r="A14381" s="84"/>
      <c r="B14381" s="85"/>
      <c r="C14381" s="85"/>
      <c r="F14381" s="92"/>
      <c r="G14381" s="85"/>
    </row>
    <row r="14382">
      <c r="A14382" s="84"/>
      <c r="B14382" s="85"/>
      <c r="C14382" s="85"/>
      <c r="F14382" s="92"/>
      <c r="G14382" s="85"/>
    </row>
    <row r="14383">
      <c r="A14383" s="84"/>
      <c r="B14383" s="85"/>
      <c r="C14383" s="85"/>
      <c r="F14383" s="92"/>
      <c r="G14383" s="85"/>
    </row>
    <row r="14384">
      <c r="A14384" s="84"/>
      <c r="B14384" s="85"/>
      <c r="C14384" s="85"/>
      <c r="F14384" s="92"/>
      <c r="G14384" s="85"/>
    </row>
    <row r="14385">
      <c r="A14385" s="84"/>
      <c r="B14385" s="85"/>
      <c r="C14385" s="85"/>
      <c r="F14385" s="92"/>
      <c r="G14385" s="85"/>
    </row>
    <row r="14386">
      <c r="A14386" s="84"/>
      <c r="B14386" s="85"/>
      <c r="C14386" s="85"/>
      <c r="F14386" s="92"/>
      <c r="G14386" s="85"/>
    </row>
    <row r="14387">
      <c r="A14387" s="84"/>
      <c r="B14387" s="85"/>
      <c r="C14387" s="85"/>
      <c r="F14387" s="92"/>
      <c r="G14387" s="85"/>
    </row>
    <row r="14388">
      <c r="A14388" s="84"/>
      <c r="B14388" s="85"/>
      <c r="C14388" s="85"/>
      <c r="F14388" s="92"/>
      <c r="G14388" s="85"/>
    </row>
    <row r="14389">
      <c r="A14389" s="84"/>
      <c r="B14389" s="85"/>
      <c r="C14389" s="85"/>
      <c r="F14389" s="92"/>
      <c r="G14389" s="85"/>
    </row>
    <row r="14390">
      <c r="A14390" s="84"/>
      <c r="B14390" s="85"/>
      <c r="C14390" s="85"/>
      <c r="F14390" s="92"/>
      <c r="G14390" s="85"/>
    </row>
    <row r="14391">
      <c r="A14391" s="84"/>
      <c r="B14391" s="85"/>
      <c r="C14391" s="85"/>
      <c r="F14391" s="92"/>
      <c r="G14391" s="85"/>
    </row>
    <row r="14392">
      <c r="A14392" s="84"/>
      <c r="B14392" s="85"/>
      <c r="C14392" s="85"/>
      <c r="F14392" s="92"/>
      <c r="G14392" s="85"/>
    </row>
    <row r="14393">
      <c r="A14393" s="84"/>
      <c r="B14393" s="85"/>
      <c r="C14393" s="85"/>
      <c r="F14393" s="92"/>
      <c r="G14393" s="85"/>
    </row>
    <row r="14394">
      <c r="A14394" s="84"/>
      <c r="B14394" s="85"/>
      <c r="C14394" s="85"/>
      <c r="F14394" s="92"/>
      <c r="G14394" s="85"/>
    </row>
    <row r="14395">
      <c r="A14395" s="84"/>
      <c r="B14395" s="85"/>
      <c r="C14395" s="85"/>
      <c r="F14395" s="92"/>
      <c r="G14395" s="85"/>
    </row>
    <row r="14396">
      <c r="A14396" s="84"/>
      <c r="B14396" s="85"/>
      <c r="C14396" s="85"/>
      <c r="F14396" s="92"/>
      <c r="G14396" s="85"/>
    </row>
    <row r="14397">
      <c r="A14397" s="84"/>
      <c r="B14397" s="85"/>
      <c r="C14397" s="85"/>
      <c r="F14397" s="92"/>
      <c r="G14397" s="85"/>
    </row>
    <row r="14398">
      <c r="A14398" s="84"/>
      <c r="B14398" s="85"/>
      <c r="C14398" s="85"/>
      <c r="F14398" s="92"/>
      <c r="G14398" s="85"/>
    </row>
    <row r="14399">
      <c r="A14399" s="84"/>
      <c r="B14399" s="85"/>
      <c r="C14399" s="85"/>
      <c r="F14399" s="92"/>
      <c r="G14399" s="85"/>
    </row>
    <row r="14400">
      <c r="A14400" s="84"/>
      <c r="B14400" s="85"/>
      <c r="C14400" s="85"/>
      <c r="F14400" s="92"/>
      <c r="G14400" s="85"/>
    </row>
    <row r="14401">
      <c r="A14401" s="84"/>
      <c r="B14401" s="85"/>
      <c r="C14401" s="85"/>
      <c r="F14401" s="92"/>
      <c r="G14401" s="85"/>
    </row>
    <row r="14402">
      <c r="A14402" s="84"/>
      <c r="B14402" s="85"/>
      <c r="C14402" s="85"/>
      <c r="F14402" s="92"/>
      <c r="G14402" s="85"/>
    </row>
    <row r="14403">
      <c r="A14403" s="84"/>
      <c r="B14403" s="85"/>
      <c r="C14403" s="85"/>
      <c r="F14403" s="92"/>
      <c r="G14403" s="85"/>
    </row>
    <row r="14404">
      <c r="A14404" s="84"/>
      <c r="B14404" s="85"/>
      <c r="C14404" s="85"/>
      <c r="F14404" s="92"/>
      <c r="G14404" s="85"/>
    </row>
    <row r="14405">
      <c r="A14405" s="84"/>
      <c r="B14405" s="85"/>
      <c r="C14405" s="85"/>
      <c r="F14405" s="92"/>
      <c r="G14405" s="85"/>
    </row>
    <row r="14406">
      <c r="A14406" s="84"/>
      <c r="B14406" s="85"/>
      <c r="C14406" s="85"/>
      <c r="F14406" s="92"/>
      <c r="G14406" s="85"/>
    </row>
    <row r="14407">
      <c r="A14407" s="84"/>
      <c r="B14407" s="85"/>
      <c r="C14407" s="85"/>
      <c r="F14407" s="92"/>
      <c r="G14407" s="85"/>
    </row>
    <row r="14408">
      <c r="A14408" s="84"/>
      <c r="B14408" s="85"/>
      <c r="C14408" s="85"/>
      <c r="F14408" s="92"/>
      <c r="G14408" s="85"/>
    </row>
    <row r="14409">
      <c r="A14409" s="84"/>
      <c r="B14409" s="85"/>
      <c r="C14409" s="85"/>
      <c r="F14409" s="92"/>
      <c r="G14409" s="85"/>
    </row>
    <row r="14410">
      <c r="A14410" s="84"/>
      <c r="B14410" s="85"/>
      <c r="C14410" s="85"/>
      <c r="F14410" s="92"/>
      <c r="G14410" s="85"/>
    </row>
    <row r="14411">
      <c r="A14411" s="84"/>
      <c r="B14411" s="85"/>
      <c r="C14411" s="85"/>
      <c r="F14411" s="92"/>
      <c r="G14411" s="85"/>
    </row>
    <row r="14412">
      <c r="A14412" s="84"/>
      <c r="B14412" s="85"/>
      <c r="C14412" s="85"/>
      <c r="F14412" s="92"/>
      <c r="G14412" s="85"/>
    </row>
    <row r="14413">
      <c r="A14413" s="84"/>
      <c r="B14413" s="85"/>
      <c r="C14413" s="85"/>
      <c r="F14413" s="92"/>
      <c r="G14413" s="85"/>
    </row>
    <row r="14414">
      <c r="A14414" s="84"/>
      <c r="B14414" s="85"/>
      <c r="C14414" s="85"/>
      <c r="F14414" s="92"/>
      <c r="G14414" s="85"/>
    </row>
    <row r="14415">
      <c r="A14415" s="84"/>
      <c r="B14415" s="85"/>
      <c r="C14415" s="85"/>
      <c r="F14415" s="92"/>
      <c r="G14415" s="85"/>
    </row>
    <row r="14416">
      <c r="A14416" s="84"/>
      <c r="B14416" s="85"/>
      <c r="C14416" s="85"/>
      <c r="F14416" s="92"/>
      <c r="G14416" s="85"/>
    </row>
    <row r="14417">
      <c r="A14417" s="84"/>
      <c r="B14417" s="85"/>
      <c r="C14417" s="85"/>
      <c r="F14417" s="92"/>
      <c r="G14417" s="85"/>
    </row>
    <row r="14418">
      <c r="A14418" s="84"/>
      <c r="B14418" s="85"/>
      <c r="C14418" s="85"/>
      <c r="F14418" s="92"/>
      <c r="G14418" s="85"/>
    </row>
    <row r="14419">
      <c r="A14419" s="84"/>
      <c r="B14419" s="85"/>
      <c r="C14419" s="85"/>
      <c r="F14419" s="92"/>
      <c r="G14419" s="85"/>
    </row>
    <row r="14420">
      <c r="A14420" s="84"/>
      <c r="B14420" s="85"/>
      <c r="C14420" s="85"/>
      <c r="F14420" s="92"/>
      <c r="G14420" s="85"/>
    </row>
    <row r="14421">
      <c r="A14421" s="84"/>
      <c r="B14421" s="85"/>
      <c r="C14421" s="85"/>
      <c r="F14421" s="92"/>
      <c r="G14421" s="85"/>
    </row>
    <row r="14422">
      <c r="A14422" s="84"/>
      <c r="B14422" s="85"/>
      <c r="C14422" s="85"/>
      <c r="F14422" s="92"/>
      <c r="G14422" s="85"/>
    </row>
    <row r="14423">
      <c r="A14423" s="84"/>
      <c r="B14423" s="85"/>
      <c r="C14423" s="85"/>
      <c r="F14423" s="92"/>
      <c r="G14423" s="85"/>
    </row>
    <row r="14424">
      <c r="A14424" s="84"/>
      <c r="B14424" s="85"/>
      <c r="C14424" s="85"/>
      <c r="F14424" s="92"/>
      <c r="G14424" s="85"/>
    </row>
    <row r="14425">
      <c r="A14425" s="84"/>
      <c r="B14425" s="85"/>
      <c r="C14425" s="85"/>
      <c r="F14425" s="92"/>
      <c r="G14425" s="85"/>
    </row>
    <row r="14426">
      <c r="A14426" s="84"/>
      <c r="B14426" s="85"/>
      <c r="C14426" s="85"/>
      <c r="F14426" s="92"/>
      <c r="G14426" s="85"/>
    </row>
    <row r="14427">
      <c r="A14427" s="84"/>
      <c r="B14427" s="85"/>
      <c r="C14427" s="85"/>
      <c r="F14427" s="92"/>
      <c r="G14427" s="85"/>
    </row>
    <row r="14428">
      <c r="A14428" s="84"/>
      <c r="B14428" s="85"/>
      <c r="C14428" s="85"/>
      <c r="F14428" s="92"/>
      <c r="G14428" s="85"/>
    </row>
    <row r="14429">
      <c r="A14429" s="84"/>
      <c r="B14429" s="85"/>
      <c r="C14429" s="85"/>
      <c r="F14429" s="92"/>
      <c r="G14429" s="85"/>
    </row>
    <row r="14430">
      <c r="A14430" s="84"/>
      <c r="B14430" s="85"/>
      <c r="C14430" s="85"/>
      <c r="F14430" s="92"/>
      <c r="G14430" s="85"/>
    </row>
    <row r="14431">
      <c r="A14431" s="84"/>
      <c r="B14431" s="85"/>
      <c r="C14431" s="85"/>
      <c r="F14431" s="92"/>
      <c r="G14431" s="85"/>
    </row>
    <row r="14432">
      <c r="A14432" s="84"/>
      <c r="B14432" s="85"/>
      <c r="C14432" s="85"/>
      <c r="F14432" s="92"/>
      <c r="G14432" s="85"/>
    </row>
    <row r="14433">
      <c r="A14433" s="84"/>
      <c r="B14433" s="85"/>
      <c r="C14433" s="85"/>
      <c r="F14433" s="92"/>
      <c r="G14433" s="85"/>
    </row>
    <row r="14434">
      <c r="A14434" s="84"/>
      <c r="B14434" s="85"/>
      <c r="C14434" s="85"/>
      <c r="F14434" s="92"/>
      <c r="G14434" s="85"/>
    </row>
    <row r="14435">
      <c r="A14435" s="84"/>
      <c r="B14435" s="85"/>
      <c r="C14435" s="85"/>
      <c r="F14435" s="92"/>
      <c r="G14435" s="85"/>
    </row>
    <row r="14436">
      <c r="A14436" s="84"/>
      <c r="B14436" s="85"/>
      <c r="C14436" s="85"/>
      <c r="F14436" s="92"/>
      <c r="G14436" s="85"/>
    </row>
    <row r="14437">
      <c r="A14437" s="84"/>
      <c r="B14437" s="85"/>
      <c r="C14437" s="85"/>
      <c r="F14437" s="92"/>
      <c r="G14437" s="85"/>
    </row>
    <row r="14438">
      <c r="A14438" s="84"/>
      <c r="B14438" s="85"/>
      <c r="C14438" s="85"/>
      <c r="F14438" s="92"/>
      <c r="G14438" s="85"/>
    </row>
    <row r="14439">
      <c r="A14439" s="84"/>
      <c r="B14439" s="85"/>
      <c r="C14439" s="85"/>
      <c r="F14439" s="92"/>
      <c r="G14439" s="85"/>
    </row>
    <row r="14440">
      <c r="A14440" s="84"/>
      <c r="B14440" s="85"/>
      <c r="C14440" s="85"/>
      <c r="F14440" s="92"/>
      <c r="G14440" s="85"/>
    </row>
    <row r="14441">
      <c r="A14441" s="84"/>
      <c r="B14441" s="85"/>
      <c r="C14441" s="85"/>
      <c r="F14441" s="92"/>
      <c r="G14441" s="85"/>
    </row>
    <row r="14442">
      <c r="A14442" s="84"/>
      <c r="B14442" s="85"/>
      <c r="C14442" s="85"/>
      <c r="F14442" s="92"/>
      <c r="G14442" s="85"/>
    </row>
    <row r="14443">
      <c r="A14443" s="84"/>
      <c r="B14443" s="85"/>
      <c r="C14443" s="85"/>
      <c r="F14443" s="92"/>
      <c r="G14443" s="85"/>
    </row>
    <row r="14444">
      <c r="A14444" s="84"/>
      <c r="B14444" s="85"/>
      <c r="C14444" s="85"/>
      <c r="F14444" s="92"/>
      <c r="G14444" s="85"/>
    </row>
    <row r="14445">
      <c r="A14445" s="84"/>
      <c r="B14445" s="85"/>
      <c r="C14445" s="85"/>
      <c r="F14445" s="92"/>
      <c r="G14445" s="85"/>
    </row>
    <row r="14446">
      <c r="A14446" s="84"/>
      <c r="B14446" s="85"/>
      <c r="C14446" s="85"/>
      <c r="F14446" s="92"/>
      <c r="G14446" s="85"/>
    </row>
    <row r="14447">
      <c r="A14447" s="84"/>
      <c r="B14447" s="85"/>
      <c r="C14447" s="85"/>
      <c r="F14447" s="92"/>
      <c r="G14447" s="85"/>
    </row>
    <row r="14448">
      <c r="A14448" s="84"/>
      <c r="B14448" s="85"/>
      <c r="C14448" s="85"/>
      <c r="F14448" s="92"/>
      <c r="G14448" s="85"/>
    </row>
    <row r="14449">
      <c r="A14449" s="84"/>
      <c r="B14449" s="85"/>
      <c r="C14449" s="85"/>
      <c r="F14449" s="92"/>
      <c r="G14449" s="85"/>
    </row>
    <row r="14450">
      <c r="A14450" s="84"/>
      <c r="B14450" s="85"/>
      <c r="C14450" s="85"/>
      <c r="F14450" s="92"/>
      <c r="G14450" s="85"/>
    </row>
    <row r="14451">
      <c r="A14451" s="84"/>
      <c r="B14451" s="85"/>
      <c r="C14451" s="85"/>
      <c r="F14451" s="92"/>
      <c r="G14451" s="85"/>
    </row>
    <row r="14452">
      <c r="A14452" s="84"/>
      <c r="B14452" s="85"/>
      <c r="C14452" s="85"/>
      <c r="F14452" s="92"/>
      <c r="G14452" s="85"/>
    </row>
    <row r="14453">
      <c r="A14453" s="84"/>
      <c r="B14453" s="85"/>
      <c r="C14453" s="85"/>
      <c r="F14453" s="92"/>
      <c r="G14453" s="85"/>
    </row>
    <row r="14454">
      <c r="A14454" s="84"/>
      <c r="B14454" s="85"/>
      <c r="C14454" s="85"/>
      <c r="F14454" s="92"/>
      <c r="G14454" s="85"/>
    </row>
    <row r="14455">
      <c r="A14455" s="84"/>
      <c r="B14455" s="85"/>
      <c r="C14455" s="85"/>
      <c r="F14455" s="92"/>
      <c r="G14455" s="85"/>
    </row>
    <row r="14456">
      <c r="A14456" s="84"/>
      <c r="B14456" s="85"/>
      <c r="C14456" s="85"/>
      <c r="F14456" s="92"/>
      <c r="G14456" s="85"/>
    </row>
    <row r="14457">
      <c r="A14457" s="84"/>
      <c r="B14457" s="85"/>
      <c r="C14457" s="85"/>
      <c r="F14457" s="92"/>
      <c r="G14457" s="85"/>
    </row>
    <row r="14458">
      <c r="A14458" s="84"/>
      <c r="B14458" s="85"/>
      <c r="C14458" s="85"/>
      <c r="F14458" s="92"/>
      <c r="G14458" s="85"/>
    </row>
    <row r="14459">
      <c r="A14459" s="84"/>
      <c r="B14459" s="85"/>
      <c r="C14459" s="85"/>
      <c r="F14459" s="92"/>
      <c r="G14459" s="85"/>
    </row>
    <row r="14460">
      <c r="A14460" s="84"/>
      <c r="B14460" s="85"/>
      <c r="C14460" s="85"/>
      <c r="F14460" s="92"/>
      <c r="G14460" s="85"/>
    </row>
    <row r="14461">
      <c r="A14461" s="84"/>
      <c r="B14461" s="85"/>
      <c r="C14461" s="85"/>
      <c r="F14461" s="92"/>
      <c r="G14461" s="85"/>
    </row>
    <row r="14462">
      <c r="A14462" s="84"/>
      <c r="B14462" s="85"/>
      <c r="C14462" s="85"/>
      <c r="F14462" s="92"/>
      <c r="G14462" s="85"/>
    </row>
    <row r="14463">
      <c r="A14463" s="84"/>
      <c r="B14463" s="85"/>
      <c r="C14463" s="85"/>
      <c r="F14463" s="92"/>
      <c r="G14463" s="85"/>
    </row>
    <row r="14464">
      <c r="A14464" s="84"/>
      <c r="B14464" s="85"/>
      <c r="C14464" s="85"/>
      <c r="F14464" s="92"/>
      <c r="G14464" s="85"/>
    </row>
    <row r="14465">
      <c r="A14465" s="84"/>
      <c r="B14465" s="85"/>
      <c r="C14465" s="85"/>
      <c r="F14465" s="92"/>
      <c r="G14465" s="85"/>
    </row>
    <row r="14466">
      <c r="A14466" s="84"/>
      <c r="B14466" s="85"/>
      <c r="C14466" s="85"/>
      <c r="F14466" s="92"/>
      <c r="G14466" s="85"/>
    </row>
    <row r="14467">
      <c r="A14467" s="84"/>
      <c r="B14467" s="85"/>
      <c r="C14467" s="85"/>
      <c r="F14467" s="92"/>
      <c r="G14467" s="85"/>
    </row>
    <row r="14468">
      <c r="A14468" s="84"/>
      <c r="B14468" s="85"/>
      <c r="C14468" s="85"/>
      <c r="F14468" s="92"/>
      <c r="G14468" s="85"/>
    </row>
    <row r="14469">
      <c r="A14469" s="84"/>
      <c r="B14469" s="85"/>
      <c r="C14469" s="85"/>
      <c r="F14469" s="92"/>
      <c r="G14469" s="85"/>
    </row>
    <row r="14470">
      <c r="A14470" s="84"/>
      <c r="B14470" s="85"/>
      <c r="C14470" s="85"/>
      <c r="F14470" s="92"/>
      <c r="G14470" s="85"/>
    </row>
    <row r="14471">
      <c r="A14471" s="84"/>
      <c r="B14471" s="85"/>
      <c r="C14471" s="85"/>
      <c r="F14471" s="92"/>
      <c r="G14471" s="85"/>
    </row>
    <row r="14472">
      <c r="A14472" s="84"/>
      <c r="B14472" s="85"/>
      <c r="C14472" s="85"/>
      <c r="F14472" s="92"/>
      <c r="G14472" s="85"/>
    </row>
    <row r="14473">
      <c r="A14473" s="84"/>
      <c r="B14473" s="85"/>
      <c r="C14473" s="85"/>
      <c r="F14473" s="92"/>
      <c r="G14473" s="85"/>
    </row>
    <row r="14474">
      <c r="A14474" s="84"/>
      <c r="B14474" s="85"/>
      <c r="C14474" s="85"/>
      <c r="F14474" s="92"/>
      <c r="G14474" s="85"/>
    </row>
    <row r="14475">
      <c r="A14475" s="84"/>
      <c r="B14475" s="85"/>
      <c r="C14475" s="85"/>
      <c r="F14475" s="92"/>
      <c r="G14475" s="85"/>
    </row>
    <row r="14476">
      <c r="A14476" s="84"/>
      <c r="B14476" s="85"/>
      <c r="C14476" s="85"/>
      <c r="F14476" s="92"/>
      <c r="G14476" s="85"/>
    </row>
    <row r="14477">
      <c r="A14477" s="84"/>
      <c r="B14477" s="85"/>
      <c r="C14477" s="85"/>
      <c r="F14477" s="92"/>
      <c r="G14477" s="85"/>
    </row>
    <row r="14478">
      <c r="A14478" s="84"/>
      <c r="B14478" s="85"/>
      <c r="C14478" s="85"/>
      <c r="F14478" s="92"/>
      <c r="G14478" s="85"/>
    </row>
    <row r="14479">
      <c r="A14479" s="84"/>
      <c r="B14479" s="85"/>
      <c r="C14479" s="85"/>
      <c r="F14479" s="92"/>
      <c r="G14479" s="85"/>
    </row>
    <row r="14480">
      <c r="A14480" s="84"/>
      <c r="B14480" s="85"/>
      <c r="C14480" s="85"/>
      <c r="F14480" s="92"/>
      <c r="G14480" s="85"/>
    </row>
    <row r="14481">
      <c r="A14481" s="84"/>
      <c r="B14481" s="85"/>
      <c r="C14481" s="85"/>
      <c r="F14481" s="92"/>
      <c r="G14481" s="85"/>
    </row>
    <row r="14482">
      <c r="A14482" s="84"/>
      <c r="B14482" s="85"/>
      <c r="C14482" s="85"/>
      <c r="F14482" s="92"/>
      <c r="G14482" s="85"/>
    </row>
    <row r="14483">
      <c r="A14483" s="84"/>
      <c r="B14483" s="85"/>
      <c r="C14483" s="85"/>
      <c r="F14483" s="92"/>
      <c r="G14483" s="85"/>
    </row>
    <row r="14484">
      <c r="A14484" s="84"/>
      <c r="B14484" s="85"/>
      <c r="C14484" s="85"/>
      <c r="F14484" s="92"/>
      <c r="G14484" s="85"/>
    </row>
    <row r="14485">
      <c r="A14485" s="84"/>
      <c r="B14485" s="85"/>
      <c r="C14485" s="85"/>
      <c r="F14485" s="92"/>
      <c r="G14485" s="85"/>
    </row>
    <row r="14486">
      <c r="A14486" s="84"/>
      <c r="B14486" s="85"/>
      <c r="C14486" s="85"/>
      <c r="F14486" s="92"/>
      <c r="G14486" s="85"/>
    </row>
    <row r="14487">
      <c r="A14487" s="84"/>
      <c r="B14487" s="85"/>
      <c r="C14487" s="85"/>
      <c r="F14487" s="92"/>
      <c r="G14487" s="85"/>
    </row>
    <row r="14488">
      <c r="A14488" s="84"/>
      <c r="B14488" s="85"/>
      <c r="C14488" s="85"/>
      <c r="F14488" s="92"/>
      <c r="G14488" s="85"/>
    </row>
    <row r="14489">
      <c r="A14489" s="84"/>
      <c r="B14489" s="85"/>
      <c r="C14489" s="85"/>
      <c r="F14489" s="92"/>
      <c r="G14489" s="85"/>
    </row>
    <row r="14490">
      <c r="A14490" s="84"/>
      <c r="B14490" s="85"/>
      <c r="C14490" s="85"/>
      <c r="F14490" s="92"/>
      <c r="G14490" s="85"/>
    </row>
    <row r="14491">
      <c r="A14491" s="84"/>
      <c r="B14491" s="85"/>
      <c r="C14491" s="85"/>
      <c r="F14491" s="92"/>
      <c r="G14491" s="85"/>
    </row>
    <row r="14492">
      <c r="A14492" s="84"/>
      <c r="B14492" s="85"/>
      <c r="C14492" s="85"/>
      <c r="F14492" s="92"/>
      <c r="G14492" s="85"/>
    </row>
    <row r="14493">
      <c r="A14493" s="84"/>
      <c r="B14493" s="85"/>
      <c r="C14493" s="85"/>
      <c r="F14493" s="92"/>
      <c r="G14493" s="85"/>
    </row>
    <row r="14494">
      <c r="A14494" s="84"/>
      <c r="B14494" s="85"/>
      <c r="C14494" s="85"/>
      <c r="F14494" s="92"/>
      <c r="G14494" s="85"/>
    </row>
    <row r="14495">
      <c r="A14495" s="84"/>
      <c r="B14495" s="85"/>
      <c r="C14495" s="85"/>
      <c r="F14495" s="92"/>
      <c r="G14495" s="85"/>
    </row>
    <row r="14496">
      <c r="A14496" s="84"/>
      <c r="B14496" s="85"/>
      <c r="C14496" s="85"/>
      <c r="F14496" s="92"/>
      <c r="G14496" s="85"/>
    </row>
    <row r="14497">
      <c r="A14497" s="84"/>
      <c r="B14497" s="85"/>
      <c r="C14497" s="85"/>
      <c r="F14497" s="92"/>
      <c r="G14497" s="85"/>
    </row>
    <row r="14498">
      <c r="A14498" s="84"/>
      <c r="B14498" s="85"/>
      <c r="C14498" s="85"/>
      <c r="F14498" s="92"/>
      <c r="G14498" s="85"/>
    </row>
    <row r="14499">
      <c r="A14499" s="84"/>
      <c r="B14499" s="85"/>
      <c r="C14499" s="85"/>
      <c r="F14499" s="92"/>
      <c r="G14499" s="85"/>
    </row>
    <row r="14500">
      <c r="A14500" s="84"/>
      <c r="B14500" s="85"/>
      <c r="C14500" s="85"/>
      <c r="F14500" s="92"/>
      <c r="G14500" s="85"/>
    </row>
    <row r="14501">
      <c r="A14501" s="84"/>
      <c r="B14501" s="85"/>
      <c r="C14501" s="85"/>
      <c r="F14501" s="92"/>
      <c r="G14501" s="85"/>
    </row>
    <row r="14502">
      <c r="A14502" s="84"/>
      <c r="B14502" s="85"/>
      <c r="C14502" s="85"/>
      <c r="F14502" s="92"/>
      <c r="G14502" s="85"/>
    </row>
    <row r="14503">
      <c r="A14503" s="84"/>
      <c r="B14503" s="85"/>
      <c r="C14503" s="85"/>
      <c r="F14503" s="92"/>
      <c r="G14503" s="85"/>
    </row>
    <row r="14504">
      <c r="A14504" s="84"/>
      <c r="B14504" s="85"/>
      <c r="C14504" s="85"/>
      <c r="F14504" s="92"/>
      <c r="G14504" s="85"/>
    </row>
    <row r="14505">
      <c r="A14505" s="84"/>
      <c r="B14505" s="85"/>
      <c r="C14505" s="85"/>
      <c r="F14505" s="92"/>
      <c r="G14505" s="85"/>
    </row>
    <row r="14506">
      <c r="A14506" s="84"/>
      <c r="B14506" s="85"/>
      <c r="C14506" s="85"/>
      <c r="F14506" s="92"/>
      <c r="G14506" s="85"/>
    </row>
    <row r="14507">
      <c r="A14507" s="84"/>
      <c r="B14507" s="85"/>
      <c r="C14507" s="85"/>
      <c r="F14507" s="92"/>
      <c r="G14507" s="85"/>
    </row>
    <row r="14508">
      <c r="A14508" s="84"/>
      <c r="B14508" s="85"/>
      <c r="C14508" s="85"/>
      <c r="F14508" s="92"/>
      <c r="G14508" s="85"/>
    </row>
    <row r="14509">
      <c r="A14509" s="84"/>
      <c r="B14509" s="85"/>
      <c r="C14509" s="85"/>
      <c r="F14509" s="92"/>
      <c r="G14509" s="85"/>
    </row>
    <row r="14510">
      <c r="A14510" s="84"/>
      <c r="B14510" s="85"/>
      <c r="C14510" s="85"/>
      <c r="F14510" s="92"/>
      <c r="G14510" s="85"/>
    </row>
    <row r="14511">
      <c r="A14511" s="84"/>
      <c r="B14511" s="85"/>
      <c r="C14511" s="85"/>
      <c r="F14511" s="92"/>
      <c r="G14511" s="85"/>
    </row>
    <row r="14512">
      <c r="A14512" s="84"/>
      <c r="B14512" s="85"/>
      <c r="C14512" s="85"/>
      <c r="F14512" s="92"/>
      <c r="G14512" s="85"/>
    </row>
    <row r="14513">
      <c r="A14513" s="84"/>
      <c r="B14513" s="85"/>
      <c r="C14513" s="85"/>
      <c r="F14513" s="92"/>
      <c r="G14513" s="85"/>
    </row>
    <row r="14514">
      <c r="A14514" s="84"/>
      <c r="B14514" s="85"/>
      <c r="C14514" s="85"/>
      <c r="F14514" s="92"/>
      <c r="G14514" s="85"/>
    </row>
    <row r="14515">
      <c r="A14515" s="84"/>
      <c r="B14515" s="85"/>
      <c r="C14515" s="85"/>
      <c r="F14515" s="92"/>
      <c r="G14515" s="85"/>
    </row>
    <row r="14516">
      <c r="A14516" s="84"/>
      <c r="B14516" s="85"/>
      <c r="C14516" s="85"/>
      <c r="F14516" s="92"/>
      <c r="G14516" s="85"/>
    </row>
    <row r="14517">
      <c r="A14517" s="84"/>
      <c r="B14517" s="85"/>
      <c r="C14517" s="85"/>
      <c r="F14517" s="92"/>
      <c r="G14517" s="85"/>
    </row>
    <row r="14518">
      <c r="A14518" s="84"/>
      <c r="B14518" s="85"/>
      <c r="C14518" s="85"/>
      <c r="F14518" s="92"/>
      <c r="G14518" s="85"/>
    </row>
    <row r="14519">
      <c r="A14519" s="84"/>
      <c r="B14519" s="85"/>
      <c r="C14519" s="85"/>
      <c r="F14519" s="92"/>
      <c r="G14519" s="85"/>
    </row>
    <row r="14520">
      <c r="A14520" s="84"/>
      <c r="B14520" s="85"/>
      <c r="C14520" s="85"/>
      <c r="F14520" s="92"/>
      <c r="G14520" s="85"/>
    </row>
    <row r="14521">
      <c r="A14521" s="84"/>
      <c r="B14521" s="85"/>
      <c r="C14521" s="85"/>
      <c r="F14521" s="92"/>
      <c r="G14521" s="85"/>
    </row>
    <row r="14522">
      <c r="A14522" s="84"/>
      <c r="B14522" s="85"/>
      <c r="C14522" s="85"/>
      <c r="F14522" s="92"/>
      <c r="G14522" s="85"/>
    </row>
    <row r="14523">
      <c r="A14523" s="84"/>
      <c r="B14523" s="85"/>
      <c r="C14523" s="85"/>
      <c r="F14523" s="92"/>
      <c r="G14523" s="85"/>
    </row>
    <row r="14524">
      <c r="A14524" s="84"/>
      <c r="B14524" s="85"/>
      <c r="C14524" s="85"/>
      <c r="F14524" s="92"/>
      <c r="G14524" s="85"/>
    </row>
    <row r="14525">
      <c r="A14525" s="84"/>
      <c r="B14525" s="85"/>
      <c r="C14525" s="85"/>
      <c r="F14525" s="92"/>
      <c r="G14525" s="85"/>
    </row>
    <row r="14526">
      <c r="A14526" s="84"/>
      <c r="B14526" s="85"/>
      <c r="C14526" s="85"/>
      <c r="F14526" s="92"/>
      <c r="G14526" s="85"/>
    </row>
    <row r="14527">
      <c r="A14527" s="84"/>
      <c r="B14527" s="85"/>
      <c r="C14527" s="85"/>
      <c r="F14527" s="92"/>
      <c r="G14527" s="85"/>
    </row>
    <row r="14528">
      <c r="A14528" s="84"/>
      <c r="B14528" s="85"/>
      <c r="C14528" s="85"/>
      <c r="F14528" s="92"/>
      <c r="G14528" s="85"/>
    </row>
    <row r="14529">
      <c r="A14529" s="84"/>
      <c r="B14529" s="85"/>
      <c r="C14529" s="85"/>
      <c r="F14529" s="92"/>
      <c r="G14529" s="85"/>
    </row>
    <row r="14530">
      <c r="A14530" s="84"/>
      <c r="B14530" s="85"/>
      <c r="C14530" s="85"/>
      <c r="F14530" s="92"/>
      <c r="G14530" s="85"/>
    </row>
    <row r="14531">
      <c r="A14531" s="84"/>
      <c r="B14531" s="85"/>
      <c r="C14531" s="85"/>
      <c r="F14531" s="92"/>
      <c r="G14531" s="85"/>
    </row>
    <row r="14532">
      <c r="A14532" s="84"/>
      <c r="B14532" s="85"/>
      <c r="C14532" s="85"/>
      <c r="F14532" s="92"/>
      <c r="G14532" s="85"/>
    </row>
    <row r="14533">
      <c r="A14533" s="84"/>
      <c r="B14533" s="85"/>
      <c r="C14533" s="85"/>
      <c r="F14533" s="92"/>
      <c r="G14533" s="85"/>
    </row>
    <row r="14534">
      <c r="A14534" s="84"/>
      <c r="B14534" s="85"/>
      <c r="C14534" s="85"/>
      <c r="F14534" s="92"/>
      <c r="G14534" s="85"/>
    </row>
    <row r="14535">
      <c r="A14535" s="84"/>
      <c r="B14535" s="85"/>
      <c r="C14535" s="85"/>
      <c r="F14535" s="92"/>
      <c r="G14535" s="85"/>
    </row>
    <row r="14536">
      <c r="A14536" s="84"/>
      <c r="B14536" s="85"/>
      <c r="C14536" s="85"/>
      <c r="F14536" s="92"/>
      <c r="G14536" s="85"/>
    </row>
    <row r="14537">
      <c r="A14537" s="84"/>
      <c r="B14537" s="85"/>
      <c r="C14537" s="85"/>
      <c r="F14537" s="92"/>
      <c r="G14537" s="85"/>
    </row>
    <row r="14538">
      <c r="A14538" s="84"/>
      <c r="B14538" s="85"/>
      <c r="C14538" s="85"/>
      <c r="F14538" s="92"/>
      <c r="G14538" s="85"/>
    </row>
    <row r="14539">
      <c r="A14539" s="84"/>
      <c r="B14539" s="85"/>
      <c r="C14539" s="85"/>
      <c r="F14539" s="92"/>
      <c r="G14539" s="85"/>
    </row>
    <row r="14540">
      <c r="A14540" s="84"/>
      <c r="B14540" s="85"/>
      <c r="C14540" s="85"/>
      <c r="F14540" s="92"/>
      <c r="G14540" s="85"/>
    </row>
    <row r="14541">
      <c r="A14541" s="84"/>
      <c r="B14541" s="85"/>
      <c r="C14541" s="85"/>
      <c r="F14541" s="92"/>
      <c r="G14541" s="85"/>
    </row>
    <row r="14542">
      <c r="A14542" s="84"/>
      <c r="B14542" s="85"/>
      <c r="C14542" s="85"/>
      <c r="F14542" s="92"/>
      <c r="G14542" s="85"/>
    </row>
    <row r="14543">
      <c r="A14543" s="84"/>
      <c r="B14543" s="85"/>
      <c r="C14543" s="85"/>
      <c r="F14543" s="92"/>
      <c r="G14543" s="85"/>
    </row>
    <row r="14544">
      <c r="A14544" s="84"/>
      <c r="B14544" s="85"/>
      <c r="C14544" s="85"/>
      <c r="F14544" s="92"/>
      <c r="G14544" s="85"/>
    </row>
    <row r="14545">
      <c r="A14545" s="84"/>
      <c r="B14545" s="85"/>
      <c r="C14545" s="85"/>
      <c r="F14545" s="92"/>
      <c r="G14545" s="85"/>
    </row>
    <row r="14546">
      <c r="A14546" s="84"/>
      <c r="B14546" s="85"/>
      <c r="C14546" s="85"/>
      <c r="F14546" s="92"/>
      <c r="G14546" s="85"/>
    </row>
    <row r="14547">
      <c r="A14547" s="84"/>
      <c r="B14547" s="85"/>
      <c r="C14547" s="85"/>
      <c r="F14547" s="92"/>
      <c r="G14547" s="85"/>
    </row>
    <row r="14548">
      <c r="A14548" s="84"/>
      <c r="B14548" s="85"/>
      <c r="C14548" s="85"/>
      <c r="F14548" s="92"/>
      <c r="G14548" s="85"/>
    </row>
    <row r="14549">
      <c r="A14549" s="84"/>
      <c r="B14549" s="85"/>
      <c r="C14549" s="85"/>
      <c r="F14549" s="92"/>
      <c r="G14549" s="85"/>
    </row>
    <row r="14550">
      <c r="A14550" s="84"/>
      <c r="B14550" s="85"/>
      <c r="C14550" s="85"/>
      <c r="F14550" s="92"/>
      <c r="G14550" s="85"/>
    </row>
    <row r="14551">
      <c r="A14551" s="84"/>
      <c r="B14551" s="85"/>
      <c r="C14551" s="85"/>
      <c r="F14551" s="92"/>
      <c r="G14551" s="85"/>
    </row>
    <row r="14552">
      <c r="A14552" s="84"/>
      <c r="B14552" s="85"/>
      <c r="C14552" s="85"/>
      <c r="F14552" s="92"/>
      <c r="G14552" s="85"/>
    </row>
    <row r="14553">
      <c r="A14553" s="84"/>
      <c r="B14553" s="85"/>
      <c r="C14553" s="85"/>
      <c r="F14553" s="92"/>
      <c r="G14553" s="85"/>
    </row>
    <row r="14554">
      <c r="A14554" s="84"/>
      <c r="B14554" s="85"/>
      <c r="C14554" s="85"/>
      <c r="F14554" s="92"/>
      <c r="G14554" s="85"/>
    </row>
    <row r="14555">
      <c r="A14555" s="84"/>
      <c r="B14555" s="85"/>
      <c r="C14555" s="85"/>
      <c r="F14555" s="92"/>
      <c r="G14555" s="85"/>
    </row>
    <row r="14556">
      <c r="A14556" s="84"/>
      <c r="B14556" s="85"/>
      <c r="C14556" s="85"/>
      <c r="F14556" s="92"/>
      <c r="G14556" s="85"/>
    </row>
    <row r="14557">
      <c r="A14557" s="84"/>
      <c r="B14557" s="85"/>
      <c r="C14557" s="85"/>
      <c r="F14557" s="92"/>
      <c r="G14557" s="85"/>
    </row>
    <row r="14558">
      <c r="A14558" s="84"/>
      <c r="B14558" s="85"/>
      <c r="C14558" s="85"/>
      <c r="F14558" s="92"/>
      <c r="G14558" s="85"/>
    </row>
    <row r="14559">
      <c r="A14559" s="84"/>
      <c r="B14559" s="85"/>
      <c r="C14559" s="85"/>
      <c r="F14559" s="92"/>
      <c r="G14559" s="85"/>
    </row>
    <row r="14560">
      <c r="A14560" s="84"/>
      <c r="B14560" s="85"/>
      <c r="C14560" s="85"/>
      <c r="F14560" s="92"/>
      <c r="G14560" s="85"/>
    </row>
    <row r="14561">
      <c r="A14561" s="84"/>
      <c r="B14561" s="85"/>
      <c r="C14561" s="85"/>
      <c r="F14561" s="92"/>
      <c r="G14561" s="85"/>
    </row>
    <row r="14562">
      <c r="A14562" s="84"/>
      <c r="B14562" s="85"/>
      <c r="C14562" s="85"/>
      <c r="F14562" s="92"/>
      <c r="G14562" s="85"/>
    </row>
    <row r="14563">
      <c r="A14563" s="84"/>
      <c r="B14563" s="85"/>
      <c r="C14563" s="85"/>
      <c r="F14563" s="92"/>
      <c r="G14563" s="85"/>
    </row>
    <row r="14564">
      <c r="A14564" s="84"/>
      <c r="B14564" s="85"/>
      <c r="C14564" s="85"/>
      <c r="F14564" s="92"/>
      <c r="G14564" s="85"/>
    </row>
    <row r="14565">
      <c r="A14565" s="84"/>
      <c r="B14565" s="85"/>
      <c r="C14565" s="85"/>
      <c r="F14565" s="92"/>
      <c r="G14565" s="85"/>
    </row>
    <row r="14566">
      <c r="A14566" s="84"/>
      <c r="B14566" s="85"/>
      <c r="C14566" s="85"/>
      <c r="F14566" s="92"/>
      <c r="G14566" s="85"/>
    </row>
    <row r="14567">
      <c r="A14567" s="84"/>
      <c r="B14567" s="85"/>
      <c r="C14567" s="85"/>
      <c r="F14567" s="92"/>
      <c r="G14567" s="85"/>
    </row>
    <row r="14568">
      <c r="A14568" s="84"/>
      <c r="B14568" s="85"/>
      <c r="C14568" s="85"/>
      <c r="F14568" s="92"/>
      <c r="G14568" s="85"/>
    </row>
    <row r="14569">
      <c r="A14569" s="84"/>
      <c r="B14569" s="85"/>
      <c r="C14569" s="85"/>
      <c r="F14569" s="92"/>
      <c r="G14569" s="85"/>
    </row>
    <row r="14570">
      <c r="A14570" s="84"/>
      <c r="B14570" s="85"/>
      <c r="C14570" s="85"/>
      <c r="F14570" s="92"/>
      <c r="G14570" s="85"/>
    </row>
    <row r="14571">
      <c r="A14571" s="84"/>
      <c r="B14571" s="85"/>
      <c r="C14571" s="85"/>
      <c r="F14571" s="92"/>
      <c r="G14571" s="85"/>
    </row>
    <row r="14572">
      <c r="A14572" s="84"/>
      <c r="B14572" s="85"/>
      <c r="C14572" s="85"/>
      <c r="F14572" s="92"/>
      <c r="G14572" s="85"/>
    </row>
    <row r="14573">
      <c r="A14573" s="84"/>
      <c r="B14573" s="85"/>
      <c r="C14573" s="85"/>
      <c r="F14573" s="92"/>
      <c r="G14573" s="85"/>
    </row>
    <row r="14574">
      <c r="A14574" s="84"/>
      <c r="B14574" s="85"/>
      <c r="C14574" s="85"/>
      <c r="F14574" s="92"/>
      <c r="G14574" s="85"/>
    </row>
    <row r="14575">
      <c r="A14575" s="84"/>
      <c r="B14575" s="85"/>
      <c r="C14575" s="85"/>
      <c r="F14575" s="92"/>
      <c r="G14575" s="85"/>
    </row>
    <row r="14576">
      <c r="A14576" s="84"/>
      <c r="B14576" s="85"/>
      <c r="C14576" s="85"/>
      <c r="F14576" s="92"/>
      <c r="G14576" s="85"/>
    </row>
    <row r="14577">
      <c r="A14577" s="84"/>
      <c r="B14577" s="85"/>
      <c r="C14577" s="85"/>
      <c r="F14577" s="92"/>
      <c r="G14577" s="85"/>
    </row>
    <row r="14578">
      <c r="A14578" s="84"/>
      <c r="B14578" s="85"/>
      <c r="C14578" s="85"/>
      <c r="F14578" s="92"/>
      <c r="G14578" s="85"/>
    </row>
    <row r="14579">
      <c r="A14579" s="84"/>
      <c r="B14579" s="85"/>
      <c r="C14579" s="85"/>
      <c r="F14579" s="92"/>
      <c r="G14579" s="85"/>
    </row>
    <row r="14580">
      <c r="A14580" s="84"/>
      <c r="B14580" s="85"/>
      <c r="C14580" s="85"/>
      <c r="F14580" s="92"/>
      <c r="G14580" s="85"/>
    </row>
    <row r="14581">
      <c r="A14581" s="84"/>
      <c r="B14581" s="85"/>
      <c r="C14581" s="85"/>
      <c r="F14581" s="92"/>
      <c r="G14581" s="85"/>
    </row>
    <row r="14582">
      <c r="A14582" s="84"/>
      <c r="B14582" s="85"/>
      <c r="C14582" s="85"/>
      <c r="F14582" s="92"/>
      <c r="G14582" s="85"/>
    </row>
    <row r="14583">
      <c r="A14583" s="84"/>
      <c r="B14583" s="85"/>
      <c r="C14583" s="85"/>
      <c r="F14583" s="92"/>
      <c r="G14583" s="85"/>
    </row>
    <row r="14584">
      <c r="A14584" s="84"/>
      <c r="B14584" s="85"/>
      <c r="C14584" s="85"/>
      <c r="F14584" s="92"/>
      <c r="G14584" s="85"/>
    </row>
    <row r="14585">
      <c r="A14585" s="84"/>
      <c r="B14585" s="85"/>
      <c r="C14585" s="85"/>
      <c r="F14585" s="92"/>
      <c r="G14585" s="85"/>
    </row>
    <row r="14586">
      <c r="A14586" s="84"/>
      <c r="B14586" s="85"/>
      <c r="C14586" s="85"/>
      <c r="F14586" s="92"/>
      <c r="G14586" s="85"/>
    </row>
    <row r="14587">
      <c r="A14587" s="84"/>
      <c r="B14587" s="85"/>
      <c r="C14587" s="85"/>
      <c r="F14587" s="92"/>
      <c r="G14587" s="85"/>
    </row>
    <row r="14588">
      <c r="A14588" s="84"/>
      <c r="B14588" s="85"/>
      <c r="C14588" s="85"/>
      <c r="F14588" s="92"/>
      <c r="G14588" s="85"/>
    </row>
    <row r="14589">
      <c r="A14589" s="84"/>
      <c r="B14589" s="85"/>
      <c r="C14589" s="85"/>
      <c r="F14589" s="92"/>
      <c r="G14589" s="85"/>
    </row>
    <row r="14590">
      <c r="A14590" s="84"/>
      <c r="B14590" s="85"/>
      <c r="C14590" s="85"/>
      <c r="F14590" s="92"/>
      <c r="G14590" s="85"/>
    </row>
    <row r="14591">
      <c r="A14591" s="84"/>
      <c r="B14591" s="85"/>
      <c r="C14591" s="85"/>
      <c r="F14591" s="92"/>
      <c r="G14591" s="85"/>
    </row>
    <row r="14592">
      <c r="A14592" s="84"/>
      <c r="B14592" s="85"/>
      <c r="C14592" s="85"/>
      <c r="F14592" s="92"/>
      <c r="G14592" s="85"/>
    </row>
    <row r="14593">
      <c r="A14593" s="84"/>
      <c r="B14593" s="85"/>
      <c r="C14593" s="85"/>
      <c r="F14593" s="92"/>
      <c r="G14593" s="85"/>
    </row>
    <row r="14594">
      <c r="A14594" s="84"/>
      <c r="B14594" s="85"/>
      <c r="C14594" s="85"/>
      <c r="F14594" s="92"/>
      <c r="G14594" s="85"/>
    </row>
    <row r="14595">
      <c r="A14595" s="84"/>
      <c r="B14595" s="85"/>
      <c r="C14595" s="85"/>
      <c r="F14595" s="92"/>
      <c r="G14595" s="85"/>
    </row>
    <row r="14596">
      <c r="A14596" s="84"/>
      <c r="B14596" s="85"/>
      <c r="C14596" s="85"/>
      <c r="F14596" s="92"/>
      <c r="G14596" s="85"/>
    </row>
    <row r="14597">
      <c r="A14597" s="84"/>
      <c r="B14597" s="85"/>
      <c r="C14597" s="85"/>
      <c r="F14597" s="92"/>
      <c r="G14597" s="85"/>
    </row>
    <row r="14598">
      <c r="A14598" s="84"/>
      <c r="B14598" s="85"/>
      <c r="C14598" s="85"/>
      <c r="F14598" s="92"/>
      <c r="G14598" s="85"/>
    </row>
    <row r="14599">
      <c r="A14599" s="84"/>
      <c r="B14599" s="85"/>
      <c r="C14599" s="85"/>
      <c r="F14599" s="92"/>
      <c r="G14599" s="85"/>
    </row>
    <row r="14600">
      <c r="A14600" s="84"/>
      <c r="B14600" s="85"/>
      <c r="C14600" s="85"/>
      <c r="F14600" s="92"/>
      <c r="G14600" s="85"/>
    </row>
    <row r="14601">
      <c r="A14601" s="84"/>
      <c r="B14601" s="85"/>
      <c r="C14601" s="85"/>
      <c r="F14601" s="92"/>
      <c r="G14601" s="85"/>
    </row>
    <row r="14602">
      <c r="A14602" s="84"/>
      <c r="B14602" s="85"/>
      <c r="C14602" s="85"/>
      <c r="F14602" s="92"/>
      <c r="G14602" s="85"/>
    </row>
    <row r="14603">
      <c r="A14603" s="84"/>
      <c r="B14603" s="85"/>
      <c r="C14603" s="85"/>
      <c r="F14603" s="92"/>
      <c r="G14603" s="85"/>
    </row>
    <row r="14604">
      <c r="A14604" s="84"/>
      <c r="B14604" s="85"/>
      <c r="C14604" s="85"/>
      <c r="F14604" s="92"/>
      <c r="G14604" s="85"/>
    </row>
    <row r="14605">
      <c r="A14605" s="84"/>
      <c r="B14605" s="85"/>
      <c r="C14605" s="85"/>
      <c r="F14605" s="92"/>
      <c r="G14605" s="85"/>
    </row>
    <row r="14606">
      <c r="A14606" s="84"/>
      <c r="B14606" s="85"/>
      <c r="C14606" s="85"/>
      <c r="F14606" s="92"/>
      <c r="G14606" s="85"/>
    </row>
    <row r="14607">
      <c r="A14607" s="84"/>
      <c r="B14607" s="85"/>
      <c r="C14607" s="85"/>
      <c r="F14607" s="92"/>
      <c r="G14607" s="85"/>
    </row>
    <row r="14608">
      <c r="A14608" s="84"/>
      <c r="B14608" s="85"/>
      <c r="C14608" s="85"/>
      <c r="F14608" s="92"/>
      <c r="G14608" s="85"/>
    </row>
    <row r="14609">
      <c r="A14609" s="84"/>
      <c r="B14609" s="85"/>
      <c r="C14609" s="85"/>
      <c r="F14609" s="92"/>
      <c r="G14609" s="85"/>
    </row>
    <row r="14610">
      <c r="A14610" s="84"/>
      <c r="B14610" s="85"/>
      <c r="C14610" s="85"/>
      <c r="F14610" s="92"/>
      <c r="G14610" s="85"/>
    </row>
    <row r="14611">
      <c r="A14611" s="84"/>
      <c r="B14611" s="85"/>
      <c r="C14611" s="85"/>
      <c r="F14611" s="92"/>
      <c r="G14611" s="85"/>
    </row>
    <row r="14612">
      <c r="A14612" s="84"/>
      <c r="B14612" s="85"/>
      <c r="C14612" s="85"/>
      <c r="F14612" s="92"/>
      <c r="G14612" s="85"/>
    </row>
    <row r="14613">
      <c r="A14613" s="84"/>
      <c r="B14613" s="85"/>
      <c r="C14613" s="85"/>
      <c r="F14613" s="92"/>
      <c r="G14613" s="85"/>
    </row>
    <row r="14614">
      <c r="A14614" s="84"/>
      <c r="B14614" s="85"/>
      <c r="C14614" s="85"/>
      <c r="F14614" s="92"/>
      <c r="G14614" s="85"/>
    </row>
    <row r="14615">
      <c r="A14615" s="84"/>
      <c r="B14615" s="85"/>
      <c r="C14615" s="85"/>
      <c r="F14615" s="92"/>
      <c r="G14615" s="85"/>
    </row>
    <row r="14616">
      <c r="A14616" s="84"/>
      <c r="B14616" s="85"/>
      <c r="C14616" s="85"/>
      <c r="F14616" s="92"/>
      <c r="G14616" s="85"/>
    </row>
    <row r="14617">
      <c r="A14617" s="84"/>
      <c r="B14617" s="85"/>
      <c r="C14617" s="85"/>
      <c r="F14617" s="92"/>
      <c r="G14617" s="85"/>
    </row>
    <row r="14618">
      <c r="A14618" s="84"/>
      <c r="B14618" s="85"/>
      <c r="C14618" s="85"/>
      <c r="F14618" s="92"/>
      <c r="G14618" s="85"/>
    </row>
    <row r="14619">
      <c r="A14619" s="84"/>
      <c r="B14619" s="85"/>
      <c r="C14619" s="85"/>
      <c r="F14619" s="92"/>
      <c r="G14619" s="85"/>
    </row>
    <row r="14620">
      <c r="A14620" s="84"/>
      <c r="B14620" s="85"/>
      <c r="C14620" s="85"/>
      <c r="F14620" s="92"/>
      <c r="G14620" s="85"/>
    </row>
    <row r="14621">
      <c r="A14621" s="84"/>
      <c r="B14621" s="85"/>
      <c r="C14621" s="85"/>
      <c r="F14621" s="92"/>
      <c r="G14621" s="85"/>
    </row>
    <row r="14622">
      <c r="A14622" s="84"/>
      <c r="B14622" s="85"/>
      <c r="C14622" s="85"/>
      <c r="F14622" s="92"/>
      <c r="G14622" s="85"/>
    </row>
    <row r="14623">
      <c r="A14623" s="84"/>
      <c r="B14623" s="85"/>
      <c r="C14623" s="85"/>
      <c r="F14623" s="92"/>
      <c r="G14623" s="85"/>
    </row>
    <row r="14624">
      <c r="A14624" s="84"/>
      <c r="B14624" s="85"/>
      <c r="C14624" s="85"/>
      <c r="F14624" s="92"/>
      <c r="G14624" s="85"/>
    </row>
    <row r="14625">
      <c r="A14625" s="84"/>
      <c r="B14625" s="85"/>
      <c r="C14625" s="85"/>
      <c r="F14625" s="92"/>
      <c r="G14625" s="85"/>
    </row>
    <row r="14626">
      <c r="A14626" s="84"/>
      <c r="B14626" s="85"/>
      <c r="C14626" s="85"/>
      <c r="F14626" s="92"/>
      <c r="G14626" s="85"/>
    </row>
    <row r="14627">
      <c r="A14627" s="84"/>
      <c r="B14627" s="85"/>
      <c r="C14627" s="85"/>
      <c r="F14627" s="92"/>
      <c r="G14627" s="85"/>
    </row>
    <row r="14628">
      <c r="A14628" s="84"/>
      <c r="B14628" s="85"/>
      <c r="C14628" s="85"/>
      <c r="F14628" s="92"/>
      <c r="G14628" s="85"/>
    </row>
    <row r="14629">
      <c r="A14629" s="84"/>
      <c r="B14629" s="85"/>
      <c r="C14629" s="85"/>
      <c r="F14629" s="92"/>
      <c r="G14629" s="85"/>
    </row>
    <row r="14630">
      <c r="A14630" s="84"/>
      <c r="B14630" s="85"/>
      <c r="C14630" s="85"/>
      <c r="F14630" s="92"/>
      <c r="G14630" s="85"/>
    </row>
    <row r="14631">
      <c r="A14631" s="84"/>
      <c r="B14631" s="85"/>
      <c r="C14631" s="85"/>
      <c r="F14631" s="92"/>
      <c r="G14631" s="85"/>
    </row>
    <row r="14632">
      <c r="A14632" s="84"/>
      <c r="B14632" s="85"/>
      <c r="C14632" s="85"/>
      <c r="F14632" s="92"/>
      <c r="G14632" s="85"/>
    </row>
    <row r="14633">
      <c r="A14633" s="84"/>
      <c r="B14633" s="85"/>
      <c r="C14633" s="85"/>
      <c r="F14633" s="92"/>
      <c r="G14633" s="85"/>
    </row>
    <row r="14634">
      <c r="A14634" s="84"/>
      <c r="B14634" s="85"/>
      <c r="C14634" s="85"/>
      <c r="F14634" s="92"/>
      <c r="G14634" s="85"/>
    </row>
    <row r="14635">
      <c r="A14635" s="84"/>
      <c r="B14635" s="85"/>
      <c r="C14635" s="85"/>
      <c r="F14635" s="92"/>
      <c r="G14635" s="85"/>
    </row>
    <row r="14636">
      <c r="A14636" s="84"/>
      <c r="B14636" s="85"/>
      <c r="C14636" s="85"/>
      <c r="F14636" s="92"/>
      <c r="G14636" s="85"/>
    </row>
    <row r="14637">
      <c r="A14637" s="84"/>
      <c r="B14637" s="85"/>
      <c r="C14637" s="85"/>
      <c r="F14637" s="92"/>
      <c r="G14637" s="85"/>
    </row>
    <row r="14638">
      <c r="A14638" s="84"/>
      <c r="B14638" s="85"/>
      <c r="C14638" s="85"/>
      <c r="F14638" s="92"/>
      <c r="G14638" s="85"/>
    </row>
    <row r="14639">
      <c r="A14639" s="84"/>
      <c r="B14639" s="85"/>
      <c r="C14639" s="85"/>
      <c r="F14639" s="92"/>
      <c r="G14639" s="85"/>
    </row>
    <row r="14640">
      <c r="A14640" s="84"/>
      <c r="B14640" s="85"/>
      <c r="C14640" s="85"/>
      <c r="F14640" s="92"/>
      <c r="G14640" s="85"/>
    </row>
    <row r="14641">
      <c r="A14641" s="84"/>
      <c r="B14641" s="85"/>
      <c r="C14641" s="85"/>
      <c r="F14641" s="92"/>
      <c r="G14641" s="85"/>
    </row>
    <row r="14642">
      <c r="A14642" s="84"/>
      <c r="B14642" s="85"/>
      <c r="C14642" s="85"/>
      <c r="F14642" s="92"/>
      <c r="G14642" s="85"/>
    </row>
    <row r="14643">
      <c r="A14643" s="84"/>
      <c r="B14643" s="85"/>
      <c r="C14643" s="85"/>
      <c r="F14643" s="92"/>
      <c r="G14643" s="85"/>
    </row>
    <row r="14644">
      <c r="A14644" s="84"/>
      <c r="B14644" s="85"/>
      <c r="C14644" s="85"/>
      <c r="F14644" s="92"/>
      <c r="G14644" s="85"/>
    </row>
    <row r="14645">
      <c r="A14645" s="84"/>
      <c r="B14645" s="85"/>
      <c r="C14645" s="85"/>
      <c r="F14645" s="92"/>
      <c r="G14645" s="85"/>
    </row>
    <row r="14646">
      <c r="A14646" s="84"/>
      <c r="B14646" s="85"/>
      <c r="C14646" s="85"/>
      <c r="F14646" s="92"/>
      <c r="G14646" s="85"/>
    </row>
    <row r="14647">
      <c r="A14647" s="84"/>
      <c r="B14647" s="85"/>
      <c r="C14647" s="85"/>
      <c r="F14647" s="92"/>
      <c r="G14647" s="85"/>
    </row>
    <row r="14648">
      <c r="A14648" s="84"/>
      <c r="B14648" s="85"/>
      <c r="C14648" s="85"/>
      <c r="F14648" s="92"/>
      <c r="G14648" s="85"/>
    </row>
    <row r="14649">
      <c r="A14649" s="84"/>
      <c r="B14649" s="85"/>
      <c r="C14649" s="85"/>
      <c r="F14649" s="92"/>
      <c r="G14649" s="85"/>
    </row>
    <row r="14650">
      <c r="A14650" s="84"/>
      <c r="B14650" s="85"/>
      <c r="C14650" s="85"/>
      <c r="F14650" s="92"/>
      <c r="G14650" s="85"/>
    </row>
    <row r="14651">
      <c r="A14651" s="84"/>
      <c r="B14651" s="85"/>
      <c r="C14651" s="85"/>
      <c r="F14651" s="92"/>
      <c r="G14651" s="85"/>
    </row>
    <row r="14652">
      <c r="A14652" s="84"/>
      <c r="B14652" s="85"/>
      <c r="C14652" s="85"/>
      <c r="F14652" s="92"/>
      <c r="G14652" s="85"/>
    </row>
    <row r="14653">
      <c r="A14653" s="84"/>
      <c r="B14653" s="85"/>
      <c r="C14653" s="85"/>
      <c r="F14653" s="92"/>
      <c r="G14653" s="85"/>
    </row>
    <row r="14654">
      <c r="A14654" s="84"/>
      <c r="B14654" s="85"/>
      <c r="C14654" s="85"/>
      <c r="F14654" s="92"/>
      <c r="G14654" s="85"/>
    </row>
    <row r="14655">
      <c r="A14655" s="84"/>
      <c r="B14655" s="85"/>
      <c r="C14655" s="85"/>
      <c r="F14655" s="92"/>
      <c r="G14655" s="85"/>
    </row>
    <row r="14656">
      <c r="A14656" s="84"/>
      <c r="B14656" s="85"/>
      <c r="C14656" s="85"/>
      <c r="F14656" s="92"/>
      <c r="G14656" s="85"/>
    </row>
    <row r="14657">
      <c r="A14657" s="84"/>
      <c r="B14657" s="85"/>
      <c r="C14657" s="85"/>
      <c r="F14657" s="92"/>
      <c r="G14657" s="85"/>
    </row>
    <row r="14658">
      <c r="A14658" s="84"/>
      <c r="B14658" s="85"/>
      <c r="C14658" s="85"/>
      <c r="F14658" s="92"/>
      <c r="G14658" s="85"/>
    </row>
    <row r="14659">
      <c r="A14659" s="84"/>
      <c r="B14659" s="85"/>
      <c r="C14659" s="85"/>
      <c r="F14659" s="92"/>
      <c r="G14659" s="85"/>
    </row>
    <row r="14660">
      <c r="A14660" s="84"/>
      <c r="B14660" s="85"/>
      <c r="C14660" s="85"/>
      <c r="F14660" s="92"/>
      <c r="G14660" s="85"/>
    </row>
    <row r="14661">
      <c r="A14661" s="84"/>
      <c r="B14661" s="85"/>
      <c r="C14661" s="85"/>
      <c r="F14661" s="92"/>
      <c r="G14661" s="85"/>
    </row>
    <row r="14662">
      <c r="A14662" s="84"/>
      <c r="B14662" s="85"/>
      <c r="C14662" s="85"/>
      <c r="F14662" s="92"/>
      <c r="G14662" s="85"/>
    </row>
    <row r="14663">
      <c r="A14663" s="84"/>
      <c r="B14663" s="85"/>
      <c r="C14663" s="85"/>
      <c r="F14663" s="92"/>
      <c r="G14663" s="85"/>
    </row>
    <row r="14664">
      <c r="A14664" s="84"/>
      <c r="B14664" s="85"/>
      <c r="C14664" s="85"/>
      <c r="F14664" s="92"/>
      <c r="G14664" s="85"/>
    </row>
    <row r="14665">
      <c r="A14665" s="84"/>
      <c r="B14665" s="85"/>
      <c r="C14665" s="85"/>
      <c r="F14665" s="92"/>
      <c r="G14665" s="85"/>
    </row>
    <row r="14666">
      <c r="A14666" s="84"/>
      <c r="B14666" s="85"/>
      <c r="C14666" s="85"/>
      <c r="F14666" s="92"/>
      <c r="G14666" s="85"/>
    </row>
    <row r="14667">
      <c r="A14667" s="84"/>
      <c r="B14667" s="85"/>
      <c r="C14667" s="85"/>
      <c r="F14667" s="92"/>
      <c r="G14667" s="85"/>
    </row>
    <row r="14668">
      <c r="A14668" s="84"/>
      <c r="B14668" s="85"/>
      <c r="C14668" s="85"/>
      <c r="F14668" s="92"/>
      <c r="G14668" s="85"/>
    </row>
    <row r="14669">
      <c r="A14669" s="84"/>
      <c r="B14669" s="85"/>
      <c r="C14669" s="85"/>
      <c r="F14669" s="92"/>
      <c r="G14669" s="85"/>
    </row>
    <row r="14670">
      <c r="A14670" s="84"/>
      <c r="B14670" s="85"/>
      <c r="C14670" s="85"/>
      <c r="F14670" s="92"/>
      <c r="G14670" s="85"/>
    </row>
    <row r="14671">
      <c r="A14671" s="84"/>
      <c r="B14671" s="85"/>
      <c r="C14671" s="85"/>
      <c r="F14671" s="92"/>
      <c r="G14671" s="85"/>
    </row>
    <row r="14672">
      <c r="A14672" s="84"/>
      <c r="B14672" s="85"/>
      <c r="C14672" s="85"/>
      <c r="F14672" s="92"/>
      <c r="G14672" s="85"/>
    </row>
    <row r="14673">
      <c r="A14673" s="84"/>
      <c r="B14673" s="85"/>
      <c r="C14673" s="85"/>
      <c r="F14673" s="92"/>
      <c r="G14673" s="85"/>
    </row>
    <row r="14674">
      <c r="A14674" s="84"/>
      <c r="B14674" s="85"/>
      <c r="C14674" s="85"/>
      <c r="F14674" s="92"/>
      <c r="G14674" s="85"/>
    </row>
    <row r="14675">
      <c r="A14675" s="84"/>
      <c r="B14675" s="85"/>
      <c r="C14675" s="85"/>
      <c r="F14675" s="92"/>
      <c r="G14675" s="85"/>
    </row>
    <row r="14676">
      <c r="A14676" s="84"/>
      <c r="B14676" s="85"/>
      <c r="C14676" s="85"/>
      <c r="F14676" s="92"/>
      <c r="G14676" s="85"/>
    </row>
    <row r="14677">
      <c r="A14677" s="84"/>
      <c r="B14677" s="85"/>
      <c r="C14677" s="85"/>
      <c r="F14677" s="92"/>
      <c r="G14677" s="85"/>
    </row>
    <row r="14678">
      <c r="A14678" s="84"/>
      <c r="B14678" s="85"/>
      <c r="C14678" s="85"/>
      <c r="F14678" s="92"/>
      <c r="G14678" s="85"/>
    </row>
    <row r="14679">
      <c r="A14679" s="84"/>
      <c r="B14679" s="85"/>
      <c r="C14679" s="85"/>
      <c r="F14679" s="92"/>
      <c r="G14679" s="85"/>
    </row>
    <row r="14680">
      <c r="A14680" s="84"/>
      <c r="B14680" s="85"/>
      <c r="C14680" s="85"/>
      <c r="F14680" s="92"/>
      <c r="G14680" s="85"/>
    </row>
    <row r="14681">
      <c r="A14681" s="84"/>
      <c r="B14681" s="85"/>
      <c r="C14681" s="85"/>
      <c r="F14681" s="92"/>
      <c r="G14681" s="85"/>
    </row>
    <row r="14682">
      <c r="A14682" s="84"/>
      <c r="B14682" s="85"/>
      <c r="C14682" s="85"/>
      <c r="F14682" s="92"/>
      <c r="G14682" s="85"/>
    </row>
    <row r="14683">
      <c r="A14683" s="84"/>
      <c r="B14683" s="85"/>
      <c r="C14683" s="85"/>
      <c r="F14683" s="92"/>
      <c r="G14683" s="85"/>
    </row>
    <row r="14684">
      <c r="A14684" s="84"/>
      <c r="B14684" s="85"/>
      <c r="C14684" s="85"/>
      <c r="F14684" s="92"/>
      <c r="G14684" s="85"/>
    </row>
    <row r="14685">
      <c r="A14685" s="84"/>
      <c r="B14685" s="85"/>
      <c r="C14685" s="85"/>
      <c r="F14685" s="92"/>
      <c r="G14685" s="85"/>
    </row>
    <row r="14686">
      <c r="A14686" s="84"/>
      <c r="B14686" s="85"/>
      <c r="C14686" s="85"/>
      <c r="F14686" s="92"/>
      <c r="G14686" s="85"/>
    </row>
    <row r="14687">
      <c r="A14687" s="84"/>
      <c r="B14687" s="85"/>
      <c r="C14687" s="85"/>
      <c r="F14687" s="92"/>
      <c r="G14687" s="85"/>
    </row>
    <row r="14688">
      <c r="A14688" s="84"/>
      <c r="B14688" s="85"/>
      <c r="C14688" s="85"/>
      <c r="F14688" s="92"/>
      <c r="G14688" s="85"/>
    </row>
    <row r="14689">
      <c r="A14689" s="84"/>
      <c r="B14689" s="85"/>
      <c r="C14689" s="85"/>
      <c r="F14689" s="92"/>
      <c r="G14689" s="85"/>
    </row>
    <row r="14690">
      <c r="A14690" s="84"/>
      <c r="B14690" s="85"/>
      <c r="C14690" s="85"/>
      <c r="F14690" s="92"/>
      <c r="G14690" s="85"/>
    </row>
    <row r="14691">
      <c r="A14691" s="84"/>
      <c r="B14691" s="85"/>
      <c r="C14691" s="85"/>
      <c r="F14691" s="92"/>
      <c r="G14691" s="85"/>
    </row>
    <row r="14692">
      <c r="A14692" s="84"/>
      <c r="B14692" s="85"/>
      <c r="C14692" s="85"/>
      <c r="F14692" s="92"/>
      <c r="G14692" s="85"/>
    </row>
    <row r="14693">
      <c r="A14693" s="84"/>
      <c r="B14693" s="85"/>
      <c r="C14693" s="85"/>
      <c r="F14693" s="92"/>
      <c r="G14693" s="85"/>
    </row>
    <row r="14694">
      <c r="A14694" s="84"/>
      <c r="B14694" s="85"/>
      <c r="C14694" s="85"/>
      <c r="F14694" s="92"/>
      <c r="G14694" s="85"/>
    </row>
    <row r="14695">
      <c r="A14695" s="84"/>
      <c r="B14695" s="85"/>
      <c r="C14695" s="85"/>
      <c r="F14695" s="92"/>
      <c r="G14695" s="85"/>
    </row>
    <row r="14696">
      <c r="A14696" s="84"/>
      <c r="B14696" s="85"/>
      <c r="C14696" s="85"/>
      <c r="F14696" s="92"/>
      <c r="G14696" s="85"/>
    </row>
    <row r="14697">
      <c r="A14697" s="84"/>
      <c r="B14697" s="85"/>
      <c r="C14697" s="85"/>
      <c r="F14697" s="92"/>
      <c r="G14697" s="85"/>
    </row>
    <row r="14698">
      <c r="A14698" s="84"/>
      <c r="B14698" s="85"/>
      <c r="C14698" s="85"/>
      <c r="F14698" s="92"/>
      <c r="G14698" s="85"/>
    </row>
    <row r="14699">
      <c r="A14699" s="84"/>
      <c r="B14699" s="85"/>
      <c r="C14699" s="85"/>
      <c r="F14699" s="92"/>
      <c r="G14699" s="85"/>
    </row>
    <row r="14700">
      <c r="A14700" s="84"/>
      <c r="B14700" s="85"/>
      <c r="C14700" s="85"/>
      <c r="F14700" s="92"/>
      <c r="G14700" s="85"/>
    </row>
    <row r="14701">
      <c r="A14701" s="84"/>
      <c r="B14701" s="85"/>
      <c r="C14701" s="85"/>
      <c r="F14701" s="92"/>
      <c r="G14701" s="85"/>
    </row>
    <row r="14702">
      <c r="A14702" s="84"/>
      <c r="B14702" s="85"/>
      <c r="C14702" s="85"/>
      <c r="F14702" s="92"/>
      <c r="G14702" s="85"/>
    </row>
    <row r="14703">
      <c r="A14703" s="84"/>
      <c r="B14703" s="85"/>
      <c r="C14703" s="85"/>
      <c r="F14703" s="92"/>
      <c r="G14703" s="85"/>
    </row>
    <row r="14704">
      <c r="A14704" s="84"/>
      <c r="B14704" s="85"/>
      <c r="C14704" s="85"/>
      <c r="F14704" s="92"/>
      <c r="G14704" s="85"/>
    </row>
    <row r="14705">
      <c r="A14705" s="84"/>
      <c r="B14705" s="85"/>
      <c r="C14705" s="85"/>
      <c r="F14705" s="92"/>
      <c r="G14705" s="85"/>
    </row>
    <row r="14706">
      <c r="A14706" s="84"/>
      <c r="B14706" s="85"/>
      <c r="C14706" s="85"/>
      <c r="F14706" s="92"/>
      <c r="G14706" s="85"/>
    </row>
    <row r="14707">
      <c r="A14707" s="84"/>
      <c r="B14707" s="85"/>
      <c r="C14707" s="85"/>
      <c r="F14707" s="92"/>
      <c r="G14707" s="85"/>
    </row>
    <row r="14708">
      <c r="A14708" s="84"/>
      <c r="B14708" s="85"/>
      <c r="C14708" s="85"/>
      <c r="F14708" s="92"/>
      <c r="G14708" s="85"/>
    </row>
    <row r="14709">
      <c r="A14709" s="84"/>
      <c r="B14709" s="85"/>
      <c r="C14709" s="85"/>
      <c r="F14709" s="92"/>
      <c r="G14709" s="85"/>
    </row>
    <row r="14710">
      <c r="A14710" s="84"/>
      <c r="B14710" s="85"/>
      <c r="C14710" s="85"/>
      <c r="F14710" s="92"/>
      <c r="G14710" s="85"/>
    </row>
    <row r="14711">
      <c r="A14711" s="84"/>
      <c r="B14711" s="85"/>
      <c r="C14711" s="85"/>
      <c r="F14711" s="92"/>
      <c r="G14711" s="85"/>
    </row>
    <row r="14712">
      <c r="A14712" s="84"/>
      <c r="B14712" s="85"/>
      <c r="C14712" s="85"/>
      <c r="F14712" s="92"/>
      <c r="G14712" s="85"/>
    </row>
    <row r="14713">
      <c r="A14713" s="84"/>
      <c r="B14713" s="85"/>
      <c r="C14713" s="85"/>
      <c r="F14713" s="92"/>
      <c r="G14713" s="85"/>
    </row>
    <row r="14714">
      <c r="A14714" s="84"/>
      <c r="B14714" s="85"/>
      <c r="C14714" s="85"/>
      <c r="F14714" s="92"/>
      <c r="G14714" s="85"/>
    </row>
    <row r="14715">
      <c r="A14715" s="84"/>
      <c r="B14715" s="85"/>
      <c r="C14715" s="85"/>
      <c r="F14715" s="92"/>
      <c r="G14715" s="85"/>
    </row>
    <row r="14716">
      <c r="A14716" s="84"/>
      <c r="B14716" s="85"/>
      <c r="C14716" s="85"/>
      <c r="F14716" s="92"/>
      <c r="G14716" s="85"/>
    </row>
    <row r="14717">
      <c r="A14717" s="84"/>
      <c r="B14717" s="85"/>
      <c r="C14717" s="85"/>
      <c r="F14717" s="92"/>
      <c r="G14717" s="85"/>
    </row>
    <row r="14718">
      <c r="A14718" s="84"/>
      <c r="B14718" s="85"/>
      <c r="C14718" s="85"/>
      <c r="F14718" s="92"/>
      <c r="G14718" s="85"/>
    </row>
    <row r="14719">
      <c r="A14719" s="84"/>
      <c r="B14719" s="85"/>
      <c r="C14719" s="85"/>
      <c r="F14719" s="92"/>
      <c r="G14719" s="85"/>
    </row>
    <row r="14720">
      <c r="A14720" s="84"/>
      <c r="B14720" s="85"/>
      <c r="C14720" s="85"/>
      <c r="F14720" s="92"/>
      <c r="G14720" s="85"/>
    </row>
    <row r="14721">
      <c r="A14721" s="84"/>
      <c r="B14721" s="85"/>
      <c r="C14721" s="85"/>
      <c r="F14721" s="92"/>
      <c r="G14721" s="85"/>
    </row>
    <row r="14722">
      <c r="A14722" s="84"/>
      <c r="B14722" s="85"/>
      <c r="C14722" s="85"/>
      <c r="F14722" s="92"/>
      <c r="G14722" s="85"/>
    </row>
    <row r="14723">
      <c r="A14723" s="84"/>
      <c r="B14723" s="85"/>
      <c r="C14723" s="85"/>
      <c r="F14723" s="92"/>
      <c r="G14723" s="85"/>
    </row>
    <row r="14724">
      <c r="A14724" s="84"/>
      <c r="B14724" s="85"/>
      <c r="C14724" s="85"/>
      <c r="F14724" s="92"/>
      <c r="G14724" s="85"/>
    </row>
    <row r="14725">
      <c r="A14725" s="84"/>
      <c r="B14725" s="85"/>
      <c r="C14725" s="85"/>
      <c r="F14725" s="92"/>
      <c r="G14725" s="85"/>
    </row>
    <row r="14726">
      <c r="A14726" s="84"/>
      <c r="B14726" s="85"/>
      <c r="C14726" s="85"/>
      <c r="F14726" s="92"/>
      <c r="G14726" s="85"/>
    </row>
    <row r="14727">
      <c r="A14727" s="84"/>
      <c r="B14727" s="85"/>
      <c r="C14727" s="85"/>
      <c r="F14727" s="92"/>
      <c r="G14727" s="85"/>
    </row>
    <row r="14728">
      <c r="A14728" s="84"/>
      <c r="B14728" s="85"/>
      <c r="C14728" s="85"/>
      <c r="F14728" s="92"/>
      <c r="G14728" s="85"/>
    </row>
    <row r="14729">
      <c r="A14729" s="84"/>
      <c r="B14729" s="85"/>
      <c r="C14729" s="85"/>
      <c r="F14729" s="92"/>
      <c r="G14729" s="85"/>
    </row>
    <row r="14730">
      <c r="A14730" s="84"/>
      <c r="B14730" s="85"/>
      <c r="C14730" s="85"/>
      <c r="F14730" s="92"/>
      <c r="G14730" s="85"/>
    </row>
    <row r="14731">
      <c r="A14731" s="84"/>
      <c r="B14731" s="85"/>
      <c r="C14731" s="85"/>
      <c r="F14731" s="92"/>
      <c r="G14731" s="85"/>
    </row>
    <row r="14732">
      <c r="A14732" s="84"/>
      <c r="B14732" s="85"/>
      <c r="C14732" s="85"/>
      <c r="F14732" s="92"/>
      <c r="G14732" s="85"/>
    </row>
    <row r="14733">
      <c r="A14733" s="84"/>
      <c r="B14733" s="85"/>
      <c r="C14733" s="85"/>
      <c r="F14733" s="92"/>
      <c r="G14733" s="85"/>
    </row>
    <row r="14734">
      <c r="A14734" s="84"/>
      <c r="B14734" s="85"/>
      <c r="C14734" s="85"/>
      <c r="F14734" s="92"/>
      <c r="G14734" s="85"/>
    </row>
    <row r="14735">
      <c r="A14735" s="84"/>
      <c r="B14735" s="85"/>
      <c r="C14735" s="85"/>
      <c r="F14735" s="92"/>
      <c r="G14735" s="85"/>
    </row>
    <row r="14736">
      <c r="A14736" s="84"/>
      <c r="B14736" s="85"/>
      <c r="C14736" s="85"/>
      <c r="F14736" s="92"/>
      <c r="G14736" s="85"/>
    </row>
    <row r="14737">
      <c r="A14737" s="84"/>
      <c r="B14737" s="85"/>
      <c r="C14737" s="85"/>
      <c r="F14737" s="92"/>
      <c r="G14737" s="85"/>
    </row>
    <row r="14738">
      <c r="A14738" s="84"/>
      <c r="B14738" s="85"/>
      <c r="C14738" s="85"/>
      <c r="F14738" s="92"/>
      <c r="G14738" s="85"/>
    </row>
    <row r="14739">
      <c r="A14739" s="84"/>
      <c r="B14739" s="85"/>
      <c r="C14739" s="85"/>
      <c r="F14739" s="92"/>
      <c r="G14739" s="85"/>
    </row>
    <row r="14740">
      <c r="A14740" s="84"/>
      <c r="B14740" s="85"/>
      <c r="C14740" s="85"/>
      <c r="F14740" s="92"/>
      <c r="G14740" s="85"/>
    </row>
    <row r="14741">
      <c r="A14741" s="84"/>
      <c r="B14741" s="85"/>
      <c r="C14741" s="85"/>
      <c r="F14741" s="92"/>
      <c r="G14741" s="85"/>
    </row>
    <row r="14742">
      <c r="A14742" s="84"/>
      <c r="B14742" s="85"/>
      <c r="C14742" s="85"/>
      <c r="F14742" s="92"/>
      <c r="G14742" s="85"/>
    </row>
    <row r="14743">
      <c r="A14743" s="84"/>
      <c r="B14743" s="85"/>
      <c r="C14743" s="85"/>
      <c r="F14743" s="92"/>
      <c r="G14743" s="85"/>
    </row>
    <row r="14744">
      <c r="A14744" s="84"/>
      <c r="B14744" s="85"/>
      <c r="C14744" s="85"/>
      <c r="F14744" s="92"/>
      <c r="G14744" s="85"/>
    </row>
    <row r="14745">
      <c r="A14745" s="84"/>
      <c r="B14745" s="85"/>
      <c r="C14745" s="85"/>
      <c r="F14745" s="92"/>
      <c r="G14745" s="85"/>
    </row>
    <row r="14746">
      <c r="A14746" s="84"/>
      <c r="B14746" s="85"/>
      <c r="C14746" s="85"/>
      <c r="F14746" s="92"/>
      <c r="G14746" s="85"/>
    </row>
    <row r="14747">
      <c r="A14747" s="84"/>
      <c r="B14747" s="85"/>
      <c r="C14747" s="85"/>
      <c r="F14747" s="92"/>
      <c r="G14747" s="85"/>
    </row>
    <row r="14748">
      <c r="A14748" s="84"/>
      <c r="B14748" s="85"/>
      <c r="C14748" s="85"/>
      <c r="F14748" s="92"/>
      <c r="G14748" s="85"/>
    </row>
    <row r="14749">
      <c r="A14749" s="84"/>
      <c r="B14749" s="85"/>
      <c r="C14749" s="85"/>
      <c r="F14749" s="92"/>
      <c r="G14749" s="85"/>
    </row>
    <row r="14750">
      <c r="A14750" s="84"/>
      <c r="B14750" s="85"/>
      <c r="C14750" s="85"/>
      <c r="F14750" s="92"/>
      <c r="G14750" s="85"/>
    </row>
    <row r="14751">
      <c r="A14751" s="84"/>
      <c r="B14751" s="85"/>
      <c r="C14751" s="85"/>
      <c r="F14751" s="92"/>
      <c r="G14751" s="85"/>
    </row>
    <row r="14752">
      <c r="A14752" s="84"/>
      <c r="B14752" s="85"/>
      <c r="C14752" s="85"/>
      <c r="F14752" s="92"/>
      <c r="G14752" s="85"/>
    </row>
    <row r="14753">
      <c r="A14753" s="84"/>
      <c r="B14753" s="85"/>
      <c r="C14753" s="85"/>
      <c r="F14753" s="92"/>
      <c r="G14753" s="85"/>
    </row>
    <row r="14754">
      <c r="A14754" s="84"/>
      <c r="B14754" s="85"/>
      <c r="C14754" s="85"/>
      <c r="F14754" s="92"/>
      <c r="G14754" s="85"/>
    </row>
    <row r="14755">
      <c r="A14755" s="84"/>
      <c r="B14755" s="85"/>
      <c r="C14755" s="85"/>
      <c r="F14755" s="92"/>
      <c r="G14755" s="85"/>
    </row>
    <row r="14756">
      <c r="A14756" s="84"/>
      <c r="B14756" s="85"/>
      <c r="C14756" s="85"/>
      <c r="F14756" s="92"/>
      <c r="G14756" s="85"/>
    </row>
    <row r="14757">
      <c r="A14757" s="84"/>
      <c r="B14757" s="85"/>
      <c r="C14757" s="85"/>
      <c r="F14757" s="92"/>
      <c r="G14757" s="85"/>
    </row>
    <row r="14758">
      <c r="A14758" s="84"/>
      <c r="B14758" s="85"/>
      <c r="C14758" s="85"/>
      <c r="F14758" s="92"/>
      <c r="G14758" s="85"/>
    </row>
    <row r="14759">
      <c r="A14759" s="84"/>
      <c r="B14759" s="85"/>
      <c r="C14759" s="85"/>
      <c r="F14759" s="92"/>
      <c r="G14759" s="85"/>
    </row>
    <row r="14760">
      <c r="A14760" s="84"/>
      <c r="B14760" s="85"/>
      <c r="C14760" s="85"/>
      <c r="F14760" s="92"/>
      <c r="G14760" s="85"/>
    </row>
    <row r="14761">
      <c r="A14761" s="84"/>
      <c r="B14761" s="85"/>
      <c r="C14761" s="85"/>
      <c r="F14761" s="92"/>
      <c r="G14761" s="85"/>
    </row>
    <row r="14762">
      <c r="A14762" s="84"/>
      <c r="B14762" s="85"/>
      <c r="C14762" s="85"/>
      <c r="F14762" s="92"/>
      <c r="G14762" s="85"/>
    </row>
    <row r="14763">
      <c r="A14763" s="84"/>
      <c r="B14763" s="85"/>
      <c r="C14763" s="85"/>
      <c r="F14763" s="92"/>
      <c r="G14763" s="85"/>
    </row>
    <row r="14764">
      <c r="A14764" s="84"/>
      <c r="B14764" s="85"/>
      <c r="C14764" s="85"/>
      <c r="F14764" s="92"/>
      <c r="G14764" s="85"/>
    </row>
    <row r="14765">
      <c r="A14765" s="84"/>
      <c r="B14765" s="85"/>
      <c r="C14765" s="85"/>
      <c r="F14765" s="92"/>
      <c r="G14765" s="85"/>
    </row>
    <row r="14766">
      <c r="A14766" s="84"/>
      <c r="B14766" s="85"/>
      <c r="C14766" s="85"/>
      <c r="F14766" s="92"/>
      <c r="G14766" s="85"/>
    </row>
    <row r="14767">
      <c r="A14767" s="84"/>
      <c r="B14767" s="85"/>
      <c r="C14767" s="85"/>
      <c r="F14767" s="92"/>
      <c r="G14767" s="85"/>
    </row>
    <row r="14768">
      <c r="A14768" s="84"/>
      <c r="B14768" s="85"/>
      <c r="C14768" s="85"/>
      <c r="F14768" s="92"/>
      <c r="G14768" s="85"/>
    </row>
    <row r="14769">
      <c r="A14769" s="84"/>
      <c r="B14769" s="85"/>
      <c r="C14769" s="85"/>
      <c r="F14769" s="92"/>
      <c r="G14769" s="85"/>
    </row>
    <row r="14770">
      <c r="A14770" s="84"/>
      <c r="B14770" s="85"/>
      <c r="C14770" s="85"/>
      <c r="F14770" s="92"/>
      <c r="G14770" s="85"/>
    </row>
    <row r="14771">
      <c r="A14771" s="84"/>
      <c r="B14771" s="85"/>
      <c r="C14771" s="85"/>
      <c r="F14771" s="92"/>
      <c r="G14771" s="85"/>
    </row>
    <row r="14772">
      <c r="A14772" s="84"/>
      <c r="B14772" s="85"/>
      <c r="C14772" s="85"/>
      <c r="F14772" s="92"/>
      <c r="G14772" s="85"/>
    </row>
    <row r="14773">
      <c r="A14773" s="84"/>
      <c r="B14773" s="85"/>
      <c r="C14773" s="85"/>
      <c r="F14773" s="92"/>
      <c r="G14773" s="85"/>
    </row>
    <row r="14774">
      <c r="A14774" s="84"/>
      <c r="B14774" s="85"/>
      <c r="C14774" s="85"/>
      <c r="F14774" s="92"/>
      <c r="G14774" s="85"/>
    </row>
    <row r="14775">
      <c r="A14775" s="84"/>
      <c r="B14775" s="85"/>
      <c r="C14775" s="85"/>
      <c r="F14775" s="92"/>
      <c r="G14775" s="85"/>
    </row>
    <row r="14776">
      <c r="A14776" s="84"/>
      <c r="B14776" s="85"/>
      <c r="C14776" s="85"/>
      <c r="F14776" s="92"/>
      <c r="G14776" s="85"/>
    </row>
    <row r="14777">
      <c r="A14777" s="84"/>
      <c r="B14777" s="85"/>
      <c r="C14777" s="85"/>
      <c r="F14777" s="92"/>
      <c r="G14777" s="85"/>
    </row>
    <row r="14778">
      <c r="A14778" s="84"/>
      <c r="B14778" s="85"/>
      <c r="C14778" s="85"/>
      <c r="F14778" s="92"/>
      <c r="G14778" s="85"/>
    </row>
    <row r="14779">
      <c r="A14779" s="84"/>
      <c r="B14779" s="85"/>
      <c r="C14779" s="85"/>
      <c r="F14779" s="92"/>
      <c r="G14779" s="85"/>
    </row>
    <row r="14780">
      <c r="A14780" s="84"/>
      <c r="B14780" s="85"/>
      <c r="C14780" s="85"/>
      <c r="F14780" s="92"/>
      <c r="G14780" s="85"/>
    </row>
    <row r="14781">
      <c r="A14781" s="84"/>
      <c r="B14781" s="85"/>
      <c r="C14781" s="85"/>
      <c r="F14781" s="92"/>
      <c r="G14781" s="85"/>
    </row>
    <row r="14782">
      <c r="A14782" s="84"/>
      <c r="B14782" s="85"/>
      <c r="C14782" s="85"/>
      <c r="F14782" s="92"/>
      <c r="G14782" s="85"/>
    </row>
    <row r="14783">
      <c r="A14783" s="84"/>
      <c r="B14783" s="85"/>
      <c r="C14783" s="85"/>
      <c r="F14783" s="92"/>
      <c r="G14783" s="85"/>
    </row>
    <row r="14784">
      <c r="A14784" s="84"/>
      <c r="B14784" s="85"/>
      <c r="C14784" s="85"/>
      <c r="F14784" s="92"/>
      <c r="G14784" s="85"/>
    </row>
    <row r="14785">
      <c r="A14785" s="84"/>
      <c r="B14785" s="85"/>
      <c r="C14785" s="85"/>
      <c r="F14785" s="92"/>
      <c r="G14785" s="85"/>
    </row>
    <row r="14786">
      <c r="A14786" s="84"/>
      <c r="B14786" s="85"/>
      <c r="C14786" s="85"/>
      <c r="F14786" s="92"/>
      <c r="G14786" s="85"/>
    </row>
    <row r="14787">
      <c r="A14787" s="84"/>
      <c r="B14787" s="85"/>
      <c r="C14787" s="85"/>
      <c r="F14787" s="92"/>
      <c r="G14787" s="85"/>
    </row>
    <row r="14788">
      <c r="A14788" s="84"/>
      <c r="B14788" s="85"/>
      <c r="C14788" s="85"/>
      <c r="F14788" s="92"/>
      <c r="G14788" s="85"/>
    </row>
    <row r="14789">
      <c r="A14789" s="84"/>
      <c r="B14789" s="85"/>
      <c r="C14789" s="85"/>
      <c r="F14789" s="92"/>
      <c r="G14789" s="85"/>
    </row>
    <row r="14790">
      <c r="A14790" s="84"/>
      <c r="B14790" s="85"/>
      <c r="C14790" s="85"/>
      <c r="F14790" s="92"/>
      <c r="G14790" s="85"/>
    </row>
    <row r="14791">
      <c r="A14791" s="84"/>
      <c r="B14791" s="85"/>
      <c r="C14791" s="85"/>
      <c r="F14791" s="92"/>
      <c r="G14791" s="85"/>
    </row>
    <row r="14792">
      <c r="A14792" s="84"/>
      <c r="B14792" s="85"/>
      <c r="C14792" s="85"/>
      <c r="F14792" s="92"/>
      <c r="G14792" s="85"/>
    </row>
    <row r="14793">
      <c r="A14793" s="84"/>
      <c r="B14793" s="85"/>
      <c r="C14793" s="85"/>
      <c r="F14793" s="92"/>
      <c r="G14793" s="85"/>
    </row>
    <row r="14794">
      <c r="A14794" s="84"/>
      <c r="B14794" s="85"/>
      <c r="C14794" s="85"/>
      <c r="F14794" s="92"/>
      <c r="G14794" s="85"/>
    </row>
    <row r="14795">
      <c r="A14795" s="84"/>
      <c r="B14795" s="85"/>
      <c r="C14795" s="85"/>
      <c r="F14795" s="92"/>
      <c r="G14795" s="85"/>
    </row>
    <row r="14796">
      <c r="A14796" s="84"/>
      <c r="B14796" s="85"/>
      <c r="C14796" s="85"/>
      <c r="F14796" s="92"/>
      <c r="G14796" s="85"/>
    </row>
    <row r="14797">
      <c r="A14797" s="84"/>
      <c r="B14797" s="85"/>
      <c r="C14797" s="85"/>
      <c r="F14797" s="92"/>
      <c r="G14797" s="85"/>
    </row>
    <row r="14798">
      <c r="A14798" s="84"/>
      <c r="B14798" s="85"/>
      <c r="C14798" s="85"/>
      <c r="F14798" s="92"/>
      <c r="G14798" s="85"/>
    </row>
    <row r="14799">
      <c r="A14799" s="84"/>
      <c r="B14799" s="85"/>
      <c r="C14799" s="85"/>
      <c r="F14799" s="92"/>
      <c r="G14799" s="85"/>
    </row>
    <row r="14800">
      <c r="A14800" s="84"/>
      <c r="B14800" s="85"/>
      <c r="C14800" s="85"/>
      <c r="F14800" s="92"/>
      <c r="G14800" s="85"/>
    </row>
    <row r="14801">
      <c r="A14801" s="84"/>
      <c r="B14801" s="85"/>
      <c r="C14801" s="85"/>
      <c r="F14801" s="92"/>
      <c r="G14801" s="85"/>
    </row>
    <row r="14802">
      <c r="A14802" s="84"/>
      <c r="B14802" s="85"/>
      <c r="C14802" s="85"/>
      <c r="F14802" s="92"/>
      <c r="G14802" s="85"/>
    </row>
    <row r="14803">
      <c r="A14803" s="84"/>
      <c r="B14803" s="85"/>
      <c r="C14803" s="85"/>
      <c r="F14803" s="92"/>
      <c r="G14803" s="85"/>
    </row>
    <row r="14804">
      <c r="A14804" s="84"/>
      <c r="B14804" s="85"/>
      <c r="C14804" s="85"/>
      <c r="F14804" s="92"/>
      <c r="G14804" s="85"/>
    </row>
    <row r="14805">
      <c r="A14805" s="84"/>
      <c r="B14805" s="85"/>
      <c r="C14805" s="85"/>
      <c r="F14805" s="92"/>
      <c r="G14805" s="85"/>
    </row>
    <row r="14806">
      <c r="A14806" s="84"/>
      <c r="B14806" s="85"/>
      <c r="C14806" s="85"/>
      <c r="F14806" s="92"/>
      <c r="G14806" s="85"/>
    </row>
    <row r="14807">
      <c r="A14807" s="84"/>
      <c r="B14807" s="85"/>
      <c r="C14807" s="85"/>
      <c r="F14807" s="92"/>
      <c r="G14807" s="85"/>
    </row>
    <row r="14808">
      <c r="A14808" s="84"/>
      <c r="B14808" s="85"/>
      <c r="C14808" s="85"/>
      <c r="F14808" s="92"/>
      <c r="G14808" s="85"/>
    </row>
    <row r="14809">
      <c r="A14809" s="84"/>
      <c r="B14809" s="85"/>
      <c r="C14809" s="85"/>
      <c r="F14809" s="92"/>
      <c r="G14809" s="85"/>
    </row>
    <row r="14810">
      <c r="A14810" s="84"/>
      <c r="B14810" s="85"/>
      <c r="C14810" s="85"/>
      <c r="F14810" s="92"/>
      <c r="G14810" s="85"/>
    </row>
    <row r="14811">
      <c r="A14811" s="84"/>
      <c r="B14811" s="85"/>
      <c r="C14811" s="85"/>
      <c r="F14811" s="92"/>
      <c r="G14811" s="85"/>
    </row>
    <row r="14812">
      <c r="A14812" s="84"/>
      <c r="B14812" s="85"/>
      <c r="C14812" s="85"/>
      <c r="F14812" s="92"/>
      <c r="G14812" s="85"/>
    </row>
    <row r="14813">
      <c r="A14813" s="84"/>
      <c r="B14813" s="85"/>
      <c r="C14813" s="85"/>
      <c r="F14813" s="92"/>
      <c r="G14813" s="85"/>
    </row>
    <row r="14814">
      <c r="A14814" s="84"/>
      <c r="B14814" s="85"/>
      <c r="C14814" s="85"/>
      <c r="F14814" s="92"/>
      <c r="G14814" s="85"/>
    </row>
    <row r="14815">
      <c r="A14815" s="84"/>
      <c r="B14815" s="85"/>
      <c r="C14815" s="85"/>
      <c r="F14815" s="92"/>
      <c r="G14815" s="85"/>
    </row>
    <row r="14816">
      <c r="A14816" s="84"/>
      <c r="B14816" s="85"/>
      <c r="C14816" s="85"/>
      <c r="F14816" s="92"/>
      <c r="G14816" s="85"/>
    </row>
    <row r="14817">
      <c r="A14817" s="84"/>
      <c r="B14817" s="85"/>
      <c r="C14817" s="85"/>
      <c r="F14817" s="92"/>
      <c r="G14817" s="85"/>
    </row>
    <row r="14818">
      <c r="A14818" s="84"/>
      <c r="B14818" s="85"/>
      <c r="C14818" s="85"/>
      <c r="F14818" s="92"/>
      <c r="G14818" s="85"/>
    </row>
    <row r="14819">
      <c r="A14819" s="84"/>
      <c r="B14819" s="85"/>
      <c r="C14819" s="85"/>
      <c r="F14819" s="92"/>
      <c r="G14819" s="85"/>
    </row>
    <row r="14820">
      <c r="A14820" s="84"/>
      <c r="B14820" s="85"/>
      <c r="C14820" s="85"/>
      <c r="F14820" s="92"/>
      <c r="G14820" s="85"/>
    </row>
    <row r="14821">
      <c r="A14821" s="84"/>
      <c r="B14821" s="85"/>
      <c r="C14821" s="85"/>
      <c r="F14821" s="92"/>
      <c r="G14821" s="85"/>
    </row>
    <row r="14822">
      <c r="A14822" s="84"/>
      <c r="B14822" s="85"/>
      <c r="C14822" s="85"/>
      <c r="F14822" s="92"/>
      <c r="G14822" s="85"/>
    </row>
    <row r="14823">
      <c r="A14823" s="84"/>
      <c r="B14823" s="85"/>
      <c r="C14823" s="85"/>
      <c r="F14823" s="92"/>
      <c r="G14823" s="85"/>
    </row>
    <row r="14824">
      <c r="A14824" s="84"/>
      <c r="B14824" s="85"/>
      <c r="C14824" s="85"/>
      <c r="F14824" s="92"/>
      <c r="G14824" s="85"/>
    </row>
    <row r="14825">
      <c r="A14825" s="84"/>
      <c r="B14825" s="85"/>
      <c r="C14825" s="85"/>
      <c r="F14825" s="92"/>
      <c r="G14825" s="85"/>
    </row>
    <row r="14826">
      <c r="A14826" s="84"/>
      <c r="B14826" s="85"/>
      <c r="C14826" s="85"/>
      <c r="F14826" s="92"/>
      <c r="G14826" s="85"/>
    </row>
    <row r="14827">
      <c r="A14827" s="84"/>
      <c r="B14827" s="85"/>
      <c r="C14827" s="85"/>
      <c r="F14827" s="92"/>
      <c r="G14827" s="85"/>
    </row>
    <row r="14828">
      <c r="A14828" s="84"/>
      <c r="B14828" s="85"/>
      <c r="C14828" s="85"/>
      <c r="F14828" s="92"/>
      <c r="G14828" s="85"/>
    </row>
    <row r="14829">
      <c r="A14829" s="84"/>
      <c r="B14829" s="85"/>
      <c r="C14829" s="85"/>
      <c r="F14829" s="92"/>
      <c r="G14829" s="85"/>
    </row>
    <row r="14830">
      <c r="A14830" s="84"/>
      <c r="B14830" s="85"/>
      <c r="C14830" s="85"/>
      <c r="F14830" s="92"/>
      <c r="G14830" s="85"/>
    </row>
    <row r="14831">
      <c r="A14831" s="84"/>
      <c r="B14831" s="85"/>
      <c r="C14831" s="85"/>
      <c r="F14831" s="92"/>
      <c r="G14831" s="85"/>
    </row>
    <row r="14832">
      <c r="A14832" s="84"/>
      <c r="B14832" s="85"/>
      <c r="C14832" s="85"/>
      <c r="F14832" s="92"/>
      <c r="G14832" s="85"/>
    </row>
    <row r="14833">
      <c r="A14833" s="84"/>
      <c r="B14833" s="85"/>
      <c r="C14833" s="85"/>
      <c r="F14833" s="92"/>
      <c r="G14833" s="85"/>
    </row>
    <row r="14834">
      <c r="A14834" s="84"/>
      <c r="B14834" s="85"/>
      <c r="C14834" s="85"/>
      <c r="F14834" s="92"/>
      <c r="G14834" s="85"/>
    </row>
    <row r="14835">
      <c r="A14835" s="84"/>
      <c r="B14835" s="85"/>
      <c r="C14835" s="85"/>
      <c r="F14835" s="92"/>
      <c r="G14835" s="85"/>
    </row>
    <row r="14836">
      <c r="A14836" s="84"/>
      <c r="B14836" s="85"/>
      <c r="C14836" s="85"/>
      <c r="F14836" s="92"/>
      <c r="G14836" s="85"/>
    </row>
    <row r="14837">
      <c r="A14837" s="84"/>
      <c r="B14837" s="85"/>
      <c r="C14837" s="85"/>
      <c r="F14837" s="92"/>
      <c r="G14837" s="85"/>
    </row>
    <row r="14838">
      <c r="A14838" s="84"/>
      <c r="B14838" s="85"/>
      <c r="C14838" s="85"/>
      <c r="F14838" s="92"/>
      <c r="G14838" s="85"/>
    </row>
    <row r="14839">
      <c r="A14839" s="84"/>
      <c r="B14839" s="85"/>
      <c r="C14839" s="85"/>
      <c r="F14839" s="92"/>
      <c r="G14839" s="85"/>
    </row>
    <row r="14840">
      <c r="A14840" s="84"/>
      <c r="B14840" s="85"/>
      <c r="C14840" s="85"/>
      <c r="F14840" s="92"/>
      <c r="G14840" s="85"/>
    </row>
    <row r="14841">
      <c r="A14841" s="84"/>
      <c r="B14841" s="85"/>
      <c r="C14841" s="85"/>
      <c r="F14841" s="92"/>
      <c r="G14841" s="85"/>
    </row>
    <row r="14842">
      <c r="A14842" s="84"/>
      <c r="B14842" s="85"/>
      <c r="C14842" s="85"/>
      <c r="F14842" s="92"/>
      <c r="G14842" s="85"/>
    </row>
    <row r="14843">
      <c r="A14843" s="84"/>
      <c r="B14843" s="85"/>
      <c r="C14843" s="85"/>
      <c r="F14843" s="92"/>
      <c r="G14843" s="85"/>
    </row>
    <row r="14844">
      <c r="A14844" s="84"/>
      <c r="B14844" s="85"/>
      <c r="C14844" s="85"/>
      <c r="F14844" s="92"/>
      <c r="G14844" s="85"/>
    </row>
    <row r="14845">
      <c r="A14845" s="84"/>
      <c r="B14845" s="85"/>
      <c r="C14845" s="85"/>
      <c r="F14845" s="92"/>
      <c r="G14845" s="85"/>
    </row>
    <row r="14846">
      <c r="A14846" s="84"/>
      <c r="B14846" s="85"/>
      <c r="C14846" s="85"/>
      <c r="F14846" s="92"/>
      <c r="G14846" s="85"/>
    </row>
    <row r="14847">
      <c r="A14847" s="84"/>
      <c r="B14847" s="85"/>
      <c r="C14847" s="85"/>
      <c r="F14847" s="92"/>
      <c r="G14847" s="85"/>
    </row>
    <row r="14848">
      <c r="A14848" s="84"/>
      <c r="B14848" s="85"/>
      <c r="C14848" s="85"/>
      <c r="F14848" s="92"/>
      <c r="G14848" s="85"/>
    </row>
    <row r="14849">
      <c r="A14849" s="84"/>
      <c r="B14849" s="85"/>
      <c r="C14849" s="85"/>
      <c r="F14849" s="92"/>
      <c r="G14849" s="85"/>
    </row>
    <row r="14850">
      <c r="A14850" s="84"/>
      <c r="B14850" s="85"/>
      <c r="C14850" s="85"/>
      <c r="F14850" s="92"/>
      <c r="G14850" s="85"/>
    </row>
    <row r="14851">
      <c r="A14851" s="84"/>
      <c r="B14851" s="85"/>
      <c r="C14851" s="85"/>
      <c r="F14851" s="92"/>
      <c r="G14851" s="85"/>
    </row>
    <row r="14852">
      <c r="A14852" s="84"/>
      <c r="B14852" s="85"/>
      <c r="C14852" s="85"/>
      <c r="F14852" s="92"/>
      <c r="G14852" s="85"/>
    </row>
    <row r="14853">
      <c r="A14853" s="84"/>
      <c r="B14853" s="85"/>
      <c r="C14853" s="85"/>
      <c r="F14853" s="92"/>
      <c r="G14853" s="85"/>
    </row>
    <row r="14854">
      <c r="A14854" s="84"/>
      <c r="B14854" s="85"/>
      <c r="C14854" s="85"/>
      <c r="F14854" s="92"/>
      <c r="G14854" s="85"/>
    </row>
    <row r="14855">
      <c r="A14855" s="84"/>
      <c r="B14855" s="85"/>
      <c r="C14855" s="85"/>
      <c r="F14855" s="92"/>
      <c r="G14855" s="85"/>
    </row>
    <row r="14856">
      <c r="A14856" s="84"/>
      <c r="B14856" s="85"/>
      <c r="C14856" s="85"/>
      <c r="F14856" s="92"/>
      <c r="G14856" s="85"/>
    </row>
    <row r="14857">
      <c r="A14857" s="84"/>
      <c r="B14857" s="85"/>
      <c r="C14857" s="85"/>
      <c r="F14857" s="92"/>
      <c r="G14857" s="85"/>
    </row>
    <row r="14858">
      <c r="A14858" s="84"/>
      <c r="B14858" s="85"/>
      <c r="C14858" s="85"/>
      <c r="F14858" s="92"/>
      <c r="G14858" s="85"/>
    </row>
    <row r="14859">
      <c r="A14859" s="84"/>
      <c r="B14859" s="85"/>
      <c r="C14859" s="85"/>
      <c r="F14859" s="92"/>
      <c r="G14859" s="85"/>
    </row>
    <row r="14860">
      <c r="A14860" s="84"/>
      <c r="B14860" s="85"/>
      <c r="C14860" s="85"/>
      <c r="F14860" s="92"/>
      <c r="G14860" s="85"/>
    </row>
    <row r="14861">
      <c r="A14861" s="84"/>
      <c r="B14861" s="85"/>
      <c r="C14861" s="85"/>
      <c r="F14861" s="92"/>
      <c r="G14861" s="85"/>
    </row>
    <row r="14862">
      <c r="A14862" s="84"/>
      <c r="B14862" s="85"/>
      <c r="C14862" s="85"/>
      <c r="F14862" s="92"/>
      <c r="G14862" s="85"/>
    </row>
    <row r="14863">
      <c r="A14863" s="84"/>
      <c r="B14863" s="85"/>
      <c r="C14863" s="85"/>
      <c r="F14863" s="92"/>
      <c r="G14863" s="85"/>
    </row>
    <row r="14864">
      <c r="A14864" s="84"/>
      <c r="B14864" s="85"/>
      <c r="C14864" s="85"/>
      <c r="F14864" s="92"/>
      <c r="G14864" s="85"/>
    </row>
    <row r="14865">
      <c r="A14865" s="84"/>
      <c r="B14865" s="85"/>
      <c r="C14865" s="85"/>
      <c r="F14865" s="92"/>
      <c r="G14865" s="85"/>
    </row>
    <row r="14866">
      <c r="A14866" s="84"/>
      <c r="B14866" s="85"/>
      <c r="C14866" s="85"/>
      <c r="F14866" s="92"/>
      <c r="G14866" s="85"/>
    </row>
    <row r="14867">
      <c r="A14867" s="84"/>
      <c r="B14867" s="85"/>
      <c r="C14867" s="85"/>
      <c r="F14867" s="92"/>
      <c r="G14867" s="85"/>
    </row>
    <row r="14868">
      <c r="A14868" s="84"/>
      <c r="B14868" s="85"/>
      <c r="C14868" s="85"/>
      <c r="F14868" s="92"/>
      <c r="G14868" s="85"/>
    </row>
    <row r="14869">
      <c r="A14869" s="84"/>
      <c r="B14869" s="85"/>
      <c r="C14869" s="85"/>
      <c r="F14869" s="92"/>
      <c r="G14869" s="85"/>
    </row>
    <row r="14870">
      <c r="A14870" s="84"/>
      <c r="B14870" s="85"/>
      <c r="C14870" s="85"/>
      <c r="F14870" s="92"/>
      <c r="G14870" s="85"/>
    </row>
    <row r="14871">
      <c r="A14871" s="84"/>
      <c r="B14871" s="85"/>
      <c r="C14871" s="85"/>
      <c r="F14871" s="92"/>
      <c r="G14871" s="85"/>
    </row>
    <row r="14872">
      <c r="A14872" s="84"/>
      <c r="B14872" s="85"/>
      <c r="C14872" s="85"/>
      <c r="F14872" s="92"/>
      <c r="G14872" s="85"/>
    </row>
    <row r="14873">
      <c r="A14873" s="84"/>
      <c r="B14873" s="85"/>
      <c r="C14873" s="85"/>
      <c r="F14873" s="92"/>
      <c r="G14873" s="85"/>
    </row>
    <row r="14874">
      <c r="A14874" s="84"/>
      <c r="B14874" s="85"/>
      <c r="C14874" s="85"/>
      <c r="F14874" s="92"/>
      <c r="G14874" s="85"/>
    </row>
    <row r="14875">
      <c r="A14875" s="84"/>
      <c r="B14875" s="85"/>
      <c r="C14875" s="85"/>
      <c r="F14875" s="92"/>
      <c r="G14875" s="85"/>
    </row>
    <row r="14876">
      <c r="A14876" s="84"/>
      <c r="B14876" s="85"/>
      <c r="C14876" s="85"/>
      <c r="F14876" s="92"/>
      <c r="G14876" s="85"/>
    </row>
    <row r="14877">
      <c r="A14877" s="84"/>
      <c r="B14877" s="85"/>
      <c r="C14877" s="85"/>
      <c r="F14877" s="92"/>
      <c r="G14877" s="85"/>
    </row>
    <row r="14878">
      <c r="A14878" s="84"/>
      <c r="B14878" s="85"/>
      <c r="C14878" s="85"/>
      <c r="F14878" s="92"/>
      <c r="G14878" s="85"/>
    </row>
    <row r="14879">
      <c r="A14879" s="84"/>
      <c r="B14879" s="85"/>
      <c r="C14879" s="85"/>
      <c r="F14879" s="92"/>
      <c r="G14879" s="85"/>
    </row>
    <row r="14880">
      <c r="A14880" s="84"/>
      <c r="B14880" s="85"/>
      <c r="C14880" s="85"/>
      <c r="F14880" s="92"/>
      <c r="G14880" s="85"/>
    </row>
    <row r="14881">
      <c r="A14881" s="84"/>
      <c r="B14881" s="85"/>
      <c r="C14881" s="85"/>
      <c r="F14881" s="92"/>
      <c r="G14881" s="85"/>
    </row>
    <row r="14882">
      <c r="A14882" s="84"/>
      <c r="B14882" s="85"/>
      <c r="C14882" s="85"/>
      <c r="F14882" s="92"/>
      <c r="G14882" s="85"/>
    </row>
    <row r="14883">
      <c r="A14883" s="84"/>
      <c r="B14883" s="85"/>
      <c r="C14883" s="85"/>
      <c r="F14883" s="92"/>
      <c r="G14883" s="85"/>
    </row>
    <row r="14884">
      <c r="A14884" s="84"/>
      <c r="B14884" s="85"/>
      <c r="C14884" s="85"/>
      <c r="F14884" s="92"/>
      <c r="G14884" s="85"/>
    </row>
    <row r="14885">
      <c r="A14885" s="84"/>
      <c r="B14885" s="85"/>
      <c r="C14885" s="85"/>
      <c r="F14885" s="92"/>
      <c r="G14885" s="85"/>
    </row>
    <row r="14886">
      <c r="A14886" s="84"/>
      <c r="B14886" s="85"/>
      <c r="C14886" s="85"/>
      <c r="F14886" s="92"/>
      <c r="G14886" s="85"/>
    </row>
    <row r="14887">
      <c r="A14887" s="84"/>
      <c r="B14887" s="85"/>
      <c r="C14887" s="85"/>
      <c r="F14887" s="92"/>
      <c r="G14887" s="85"/>
    </row>
    <row r="14888">
      <c r="A14888" s="84"/>
      <c r="B14888" s="85"/>
      <c r="C14888" s="85"/>
      <c r="F14888" s="92"/>
      <c r="G14888" s="85"/>
    </row>
    <row r="14889">
      <c r="A14889" s="84"/>
      <c r="B14889" s="85"/>
      <c r="C14889" s="85"/>
      <c r="F14889" s="92"/>
      <c r="G14889" s="85"/>
    </row>
    <row r="14890">
      <c r="A14890" s="84"/>
      <c r="B14890" s="85"/>
      <c r="C14890" s="85"/>
      <c r="F14890" s="92"/>
      <c r="G14890" s="85"/>
    </row>
    <row r="14891">
      <c r="A14891" s="84"/>
      <c r="B14891" s="85"/>
      <c r="C14891" s="85"/>
      <c r="F14891" s="92"/>
      <c r="G14891" s="85"/>
    </row>
    <row r="14892">
      <c r="A14892" s="84"/>
      <c r="B14892" s="85"/>
      <c r="C14892" s="85"/>
      <c r="F14892" s="92"/>
      <c r="G14892" s="85"/>
    </row>
    <row r="14893">
      <c r="A14893" s="84"/>
      <c r="B14893" s="85"/>
      <c r="C14893" s="85"/>
      <c r="F14893" s="92"/>
      <c r="G14893" s="85"/>
    </row>
    <row r="14894">
      <c r="A14894" s="84"/>
      <c r="B14894" s="85"/>
      <c r="C14894" s="85"/>
      <c r="F14894" s="92"/>
      <c r="G14894" s="85"/>
    </row>
    <row r="14895">
      <c r="A14895" s="84"/>
      <c r="B14895" s="85"/>
      <c r="C14895" s="85"/>
      <c r="F14895" s="92"/>
      <c r="G14895" s="85"/>
    </row>
    <row r="14896">
      <c r="A14896" s="84"/>
      <c r="B14896" s="85"/>
      <c r="C14896" s="85"/>
      <c r="F14896" s="92"/>
      <c r="G14896" s="85"/>
    </row>
    <row r="14897">
      <c r="A14897" s="84"/>
      <c r="B14897" s="85"/>
      <c r="C14897" s="85"/>
      <c r="F14897" s="92"/>
      <c r="G14897" s="85"/>
    </row>
    <row r="14898">
      <c r="A14898" s="84"/>
      <c r="B14898" s="85"/>
      <c r="C14898" s="85"/>
      <c r="F14898" s="92"/>
      <c r="G14898" s="85"/>
    </row>
    <row r="14899">
      <c r="A14899" s="84"/>
      <c r="B14899" s="85"/>
      <c r="C14899" s="85"/>
      <c r="F14899" s="92"/>
      <c r="G14899" s="85"/>
    </row>
    <row r="14900">
      <c r="A14900" s="84"/>
      <c r="B14900" s="85"/>
      <c r="C14900" s="85"/>
      <c r="F14900" s="92"/>
      <c r="G14900" s="85"/>
    </row>
    <row r="14901">
      <c r="A14901" s="84"/>
      <c r="B14901" s="85"/>
      <c r="C14901" s="85"/>
      <c r="F14901" s="92"/>
      <c r="G14901" s="85"/>
    </row>
    <row r="14902">
      <c r="A14902" s="84"/>
      <c r="B14902" s="85"/>
      <c r="C14902" s="85"/>
      <c r="F14902" s="92"/>
      <c r="G14902" s="85"/>
    </row>
    <row r="14903">
      <c r="A14903" s="84"/>
      <c r="B14903" s="85"/>
      <c r="C14903" s="85"/>
      <c r="F14903" s="92"/>
      <c r="G14903" s="85"/>
    </row>
    <row r="14904">
      <c r="A14904" s="84"/>
      <c r="B14904" s="85"/>
      <c r="C14904" s="85"/>
      <c r="F14904" s="92"/>
      <c r="G14904" s="85"/>
    </row>
    <row r="14905">
      <c r="A14905" s="84"/>
      <c r="B14905" s="85"/>
      <c r="C14905" s="85"/>
      <c r="F14905" s="92"/>
      <c r="G14905" s="85"/>
    </row>
    <row r="14906">
      <c r="A14906" s="84"/>
      <c r="B14906" s="85"/>
      <c r="C14906" s="85"/>
      <c r="F14906" s="92"/>
      <c r="G14906" s="85"/>
    </row>
    <row r="14907">
      <c r="A14907" s="84"/>
      <c r="B14907" s="85"/>
      <c r="C14907" s="85"/>
      <c r="F14907" s="92"/>
      <c r="G14907" s="85"/>
    </row>
    <row r="14908">
      <c r="A14908" s="84"/>
      <c r="B14908" s="85"/>
      <c r="C14908" s="85"/>
      <c r="F14908" s="92"/>
      <c r="G14908" s="85"/>
    </row>
    <row r="14909">
      <c r="A14909" s="84"/>
      <c r="B14909" s="85"/>
      <c r="C14909" s="85"/>
      <c r="F14909" s="92"/>
      <c r="G14909" s="85"/>
    </row>
    <row r="14910">
      <c r="A14910" s="84"/>
      <c r="B14910" s="85"/>
      <c r="C14910" s="85"/>
      <c r="F14910" s="92"/>
      <c r="G14910" s="85"/>
    </row>
    <row r="14911">
      <c r="A14911" s="84"/>
      <c r="B14911" s="85"/>
      <c r="C14911" s="85"/>
      <c r="F14911" s="92"/>
      <c r="G14911" s="85"/>
    </row>
    <row r="14912">
      <c r="A14912" s="84"/>
      <c r="B14912" s="85"/>
      <c r="C14912" s="85"/>
      <c r="F14912" s="92"/>
      <c r="G14912" s="85"/>
    </row>
    <row r="14913">
      <c r="A14913" s="84"/>
      <c r="B14913" s="85"/>
      <c r="C14913" s="85"/>
      <c r="F14913" s="92"/>
      <c r="G14913" s="85"/>
    </row>
    <row r="14914">
      <c r="A14914" s="84"/>
      <c r="B14914" s="85"/>
      <c r="C14914" s="85"/>
      <c r="F14914" s="92"/>
      <c r="G14914" s="85"/>
    </row>
    <row r="14915">
      <c r="A14915" s="84"/>
      <c r="B14915" s="85"/>
      <c r="C14915" s="85"/>
      <c r="F14915" s="92"/>
      <c r="G14915" s="85"/>
    </row>
    <row r="14916">
      <c r="A14916" s="84"/>
      <c r="B14916" s="85"/>
      <c r="C14916" s="85"/>
      <c r="F14916" s="92"/>
      <c r="G14916" s="85"/>
    </row>
    <row r="14917">
      <c r="A14917" s="84"/>
      <c r="B14917" s="85"/>
      <c r="C14917" s="85"/>
      <c r="F14917" s="92"/>
      <c r="G14917" s="85"/>
    </row>
    <row r="14918">
      <c r="A14918" s="84"/>
      <c r="B14918" s="85"/>
      <c r="C14918" s="85"/>
      <c r="F14918" s="92"/>
      <c r="G14918" s="85"/>
    </row>
    <row r="14919">
      <c r="A14919" s="84"/>
      <c r="B14919" s="85"/>
      <c r="C14919" s="85"/>
      <c r="F14919" s="92"/>
      <c r="G14919" s="85"/>
    </row>
    <row r="14920">
      <c r="A14920" s="84"/>
      <c r="B14920" s="85"/>
      <c r="C14920" s="85"/>
      <c r="F14920" s="92"/>
      <c r="G14920" s="85"/>
    </row>
    <row r="14921">
      <c r="A14921" s="84"/>
      <c r="B14921" s="85"/>
      <c r="C14921" s="85"/>
      <c r="F14921" s="92"/>
      <c r="G14921" s="85"/>
    </row>
    <row r="14922">
      <c r="A14922" s="84"/>
      <c r="B14922" s="85"/>
      <c r="C14922" s="85"/>
      <c r="F14922" s="92"/>
      <c r="G14922" s="85"/>
    </row>
    <row r="14923">
      <c r="A14923" s="84"/>
      <c r="B14923" s="85"/>
      <c r="C14923" s="85"/>
      <c r="F14923" s="92"/>
      <c r="G14923" s="85"/>
    </row>
    <row r="14924">
      <c r="A14924" s="84"/>
      <c r="B14924" s="85"/>
      <c r="C14924" s="85"/>
      <c r="F14924" s="92"/>
      <c r="G14924" s="85"/>
    </row>
    <row r="14925">
      <c r="A14925" s="84"/>
      <c r="B14925" s="85"/>
      <c r="C14925" s="85"/>
      <c r="F14925" s="92"/>
      <c r="G14925" s="85"/>
    </row>
    <row r="14926">
      <c r="A14926" s="84"/>
      <c r="B14926" s="85"/>
      <c r="C14926" s="85"/>
      <c r="F14926" s="92"/>
      <c r="G14926" s="85"/>
    </row>
    <row r="14927">
      <c r="A14927" s="84"/>
      <c r="B14927" s="85"/>
      <c r="C14927" s="85"/>
      <c r="F14927" s="92"/>
      <c r="G14927" s="85"/>
    </row>
    <row r="14928">
      <c r="A14928" s="84"/>
      <c r="B14928" s="85"/>
      <c r="C14928" s="85"/>
      <c r="F14928" s="92"/>
      <c r="G14928" s="85"/>
    </row>
    <row r="14929">
      <c r="A14929" s="84"/>
      <c r="B14929" s="85"/>
      <c r="C14929" s="85"/>
      <c r="F14929" s="92"/>
      <c r="G14929" s="85"/>
    </row>
    <row r="14930">
      <c r="A14930" s="84"/>
      <c r="B14930" s="85"/>
      <c r="C14930" s="85"/>
      <c r="F14930" s="92"/>
      <c r="G14930" s="85"/>
    </row>
    <row r="14931">
      <c r="A14931" s="84"/>
      <c r="B14931" s="85"/>
      <c r="C14931" s="85"/>
      <c r="F14931" s="92"/>
      <c r="G14931" s="85"/>
    </row>
    <row r="14932">
      <c r="A14932" s="84"/>
      <c r="B14932" s="85"/>
      <c r="C14932" s="85"/>
      <c r="F14932" s="92"/>
      <c r="G14932" s="85"/>
    </row>
    <row r="14933">
      <c r="A14933" s="84"/>
      <c r="B14933" s="85"/>
      <c r="C14933" s="85"/>
      <c r="F14933" s="92"/>
      <c r="G14933" s="85"/>
    </row>
    <row r="14934">
      <c r="A14934" s="84"/>
      <c r="B14934" s="85"/>
      <c r="C14934" s="85"/>
      <c r="F14934" s="92"/>
      <c r="G14934" s="85"/>
    </row>
    <row r="14935">
      <c r="A14935" s="84"/>
      <c r="B14935" s="85"/>
      <c r="C14935" s="85"/>
      <c r="F14935" s="92"/>
      <c r="G14935" s="85"/>
    </row>
    <row r="14936">
      <c r="A14936" s="84"/>
      <c r="B14936" s="85"/>
      <c r="C14936" s="85"/>
      <c r="F14936" s="92"/>
      <c r="G14936" s="85"/>
    </row>
    <row r="14937">
      <c r="A14937" s="84"/>
      <c r="B14937" s="85"/>
      <c r="C14937" s="85"/>
      <c r="F14937" s="92"/>
      <c r="G14937" s="85"/>
    </row>
    <row r="14938">
      <c r="A14938" s="84"/>
      <c r="B14938" s="85"/>
      <c r="C14938" s="85"/>
      <c r="F14938" s="92"/>
      <c r="G14938" s="85"/>
    </row>
    <row r="14939">
      <c r="A14939" s="84"/>
      <c r="B14939" s="85"/>
      <c r="C14939" s="85"/>
      <c r="F14939" s="92"/>
      <c r="G14939" s="85"/>
    </row>
    <row r="14940">
      <c r="A14940" s="84"/>
      <c r="B14940" s="85"/>
      <c r="C14940" s="85"/>
      <c r="F14940" s="92"/>
      <c r="G14940" s="85"/>
    </row>
    <row r="14941">
      <c r="A14941" s="84"/>
      <c r="B14941" s="85"/>
      <c r="C14941" s="85"/>
      <c r="F14941" s="92"/>
      <c r="G14941" s="85"/>
    </row>
    <row r="14942">
      <c r="A14942" s="84"/>
      <c r="B14942" s="85"/>
      <c r="C14942" s="85"/>
      <c r="F14942" s="92"/>
      <c r="G14942" s="85"/>
    </row>
    <row r="14943">
      <c r="A14943" s="84"/>
      <c r="B14943" s="85"/>
      <c r="C14943" s="85"/>
      <c r="F14943" s="92"/>
      <c r="G14943" s="85"/>
    </row>
    <row r="14944">
      <c r="A14944" s="84"/>
      <c r="B14944" s="85"/>
      <c r="C14944" s="85"/>
      <c r="F14944" s="92"/>
      <c r="G14944" s="85"/>
    </row>
    <row r="14945">
      <c r="A14945" s="84"/>
      <c r="B14945" s="85"/>
      <c r="C14945" s="85"/>
      <c r="F14945" s="92"/>
      <c r="G14945" s="85"/>
    </row>
    <row r="14946">
      <c r="A14946" s="84"/>
      <c r="B14946" s="85"/>
      <c r="C14946" s="85"/>
      <c r="F14946" s="92"/>
      <c r="G14946" s="85"/>
    </row>
    <row r="14947">
      <c r="A14947" s="84"/>
      <c r="B14947" s="85"/>
      <c r="C14947" s="85"/>
      <c r="F14947" s="92"/>
      <c r="G14947" s="85"/>
    </row>
    <row r="14948">
      <c r="A14948" s="84"/>
      <c r="B14948" s="85"/>
      <c r="C14948" s="85"/>
      <c r="F14948" s="92"/>
      <c r="G14948" s="85"/>
    </row>
    <row r="14949">
      <c r="A14949" s="84"/>
      <c r="B14949" s="85"/>
      <c r="C14949" s="85"/>
      <c r="F14949" s="92"/>
      <c r="G14949" s="85"/>
    </row>
    <row r="14950">
      <c r="A14950" s="84"/>
      <c r="B14950" s="85"/>
      <c r="C14950" s="85"/>
      <c r="F14950" s="92"/>
      <c r="G14950" s="85"/>
    </row>
    <row r="14951">
      <c r="A14951" s="84"/>
      <c r="B14951" s="85"/>
      <c r="C14951" s="85"/>
      <c r="F14951" s="92"/>
      <c r="G14951" s="85"/>
    </row>
    <row r="14952">
      <c r="A14952" s="84"/>
      <c r="B14952" s="85"/>
      <c r="C14952" s="85"/>
      <c r="F14952" s="92"/>
      <c r="G14952" s="85"/>
    </row>
    <row r="14953">
      <c r="A14953" s="84"/>
      <c r="B14953" s="85"/>
      <c r="C14953" s="85"/>
      <c r="F14953" s="92"/>
      <c r="G14953" s="85"/>
    </row>
    <row r="14954">
      <c r="A14954" s="84"/>
      <c r="B14954" s="85"/>
      <c r="C14954" s="85"/>
      <c r="F14954" s="92"/>
      <c r="G14954" s="85"/>
    </row>
    <row r="14955">
      <c r="A14955" s="84"/>
      <c r="B14955" s="85"/>
      <c r="C14955" s="85"/>
      <c r="F14955" s="92"/>
      <c r="G14955" s="85"/>
    </row>
    <row r="14956">
      <c r="A14956" s="84"/>
      <c r="B14956" s="85"/>
      <c r="C14956" s="85"/>
      <c r="F14956" s="92"/>
      <c r="G14956" s="85"/>
    </row>
    <row r="14957">
      <c r="A14957" s="84"/>
      <c r="B14957" s="85"/>
      <c r="C14957" s="85"/>
      <c r="F14957" s="92"/>
      <c r="G14957" s="85"/>
    </row>
    <row r="14958">
      <c r="A14958" s="84"/>
      <c r="B14958" s="85"/>
      <c r="C14958" s="85"/>
      <c r="F14958" s="92"/>
      <c r="G14958" s="85"/>
    </row>
    <row r="14959">
      <c r="A14959" s="84"/>
      <c r="B14959" s="85"/>
      <c r="C14959" s="85"/>
      <c r="F14959" s="92"/>
      <c r="G14959" s="85"/>
    </row>
    <row r="14960">
      <c r="A14960" s="84"/>
      <c r="B14960" s="85"/>
      <c r="C14960" s="85"/>
      <c r="F14960" s="92"/>
      <c r="G14960" s="85"/>
    </row>
    <row r="14961">
      <c r="A14961" s="84"/>
      <c r="B14961" s="85"/>
      <c r="C14961" s="85"/>
      <c r="F14961" s="92"/>
      <c r="G14961" s="85"/>
    </row>
    <row r="14962">
      <c r="A14962" s="84"/>
      <c r="B14962" s="85"/>
      <c r="C14962" s="85"/>
      <c r="F14962" s="92"/>
      <c r="G14962" s="85"/>
    </row>
    <row r="14963">
      <c r="A14963" s="84"/>
      <c r="B14963" s="85"/>
      <c r="C14963" s="85"/>
      <c r="F14963" s="92"/>
      <c r="G14963" s="85"/>
    </row>
    <row r="14964">
      <c r="A14964" s="84"/>
      <c r="B14964" s="85"/>
      <c r="C14964" s="85"/>
      <c r="F14964" s="92"/>
      <c r="G14964" s="85"/>
    </row>
    <row r="14965">
      <c r="A14965" s="84"/>
      <c r="B14965" s="85"/>
      <c r="C14965" s="85"/>
      <c r="F14965" s="92"/>
      <c r="G14965" s="85"/>
    </row>
    <row r="14966">
      <c r="A14966" s="84"/>
      <c r="B14966" s="85"/>
      <c r="C14966" s="85"/>
      <c r="F14966" s="92"/>
      <c r="G14966" s="85"/>
    </row>
    <row r="14967">
      <c r="A14967" s="84"/>
      <c r="B14967" s="85"/>
      <c r="C14967" s="85"/>
      <c r="F14967" s="92"/>
      <c r="G14967" s="85"/>
    </row>
    <row r="14968">
      <c r="A14968" s="84"/>
      <c r="B14968" s="85"/>
      <c r="C14968" s="85"/>
      <c r="F14968" s="92"/>
      <c r="G14968" s="85"/>
    </row>
    <row r="14969">
      <c r="A14969" s="84"/>
      <c r="B14969" s="85"/>
      <c r="C14969" s="85"/>
      <c r="F14969" s="92"/>
      <c r="G14969" s="85"/>
    </row>
    <row r="14970">
      <c r="A14970" s="84"/>
      <c r="B14970" s="85"/>
      <c r="C14970" s="85"/>
      <c r="F14970" s="92"/>
      <c r="G14970" s="85"/>
    </row>
    <row r="14971">
      <c r="A14971" s="84"/>
      <c r="B14971" s="85"/>
      <c r="C14971" s="85"/>
      <c r="F14971" s="92"/>
      <c r="G14971" s="85"/>
    </row>
    <row r="14972">
      <c r="A14972" s="84"/>
      <c r="B14972" s="85"/>
      <c r="C14972" s="85"/>
      <c r="F14972" s="92"/>
      <c r="G14972" s="85"/>
    </row>
    <row r="14973">
      <c r="A14973" s="84"/>
      <c r="B14973" s="85"/>
      <c r="C14973" s="85"/>
      <c r="F14973" s="92"/>
      <c r="G14973" s="85"/>
    </row>
    <row r="14974">
      <c r="A14974" s="84"/>
      <c r="B14974" s="85"/>
      <c r="C14974" s="85"/>
      <c r="F14974" s="92"/>
      <c r="G14974" s="85"/>
    </row>
    <row r="14975">
      <c r="A14975" s="84"/>
      <c r="B14975" s="85"/>
      <c r="C14975" s="85"/>
      <c r="F14975" s="92"/>
      <c r="G14975" s="85"/>
    </row>
    <row r="14976">
      <c r="A14976" s="84"/>
      <c r="B14976" s="85"/>
      <c r="C14976" s="85"/>
      <c r="F14976" s="92"/>
      <c r="G14976" s="85"/>
    </row>
    <row r="14977">
      <c r="A14977" s="84"/>
      <c r="B14977" s="85"/>
      <c r="C14977" s="85"/>
      <c r="F14977" s="92"/>
      <c r="G14977" s="85"/>
    </row>
    <row r="14978">
      <c r="A14978" s="84"/>
      <c r="B14978" s="85"/>
      <c r="C14978" s="85"/>
      <c r="F14978" s="92"/>
      <c r="G14978" s="85"/>
    </row>
    <row r="14979">
      <c r="A14979" s="84"/>
      <c r="B14979" s="85"/>
      <c r="C14979" s="85"/>
      <c r="F14979" s="92"/>
      <c r="G14979" s="85"/>
    </row>
    <row r="14980">
      <c r="A14980" s="84"/>
      <c r="B14980" s="85"/>
      <c r="C14980" s="85"/>
      <c r="F14980" s="92"/>
      <c r="G14980" s="85"/>
    </row>
    <row r="14981">
      <c r="A14981" s="84"/>
      <c r="B14981" s="85"/>
      <c r="C14981" s="85"/>
      <c r="F14981" s="92"/>
      <c r="G14981" s="85"/>
    </row>
    <row r="14982">
      <c r="A14982" s="84"/>
      <c r="B14982" s="85"/>
      <c r="C14982" s="85"/>
      <c r="F14982" s="92"/>
      <c r="G14982" s="85"/>
    </row>
    <row r="14983">
      <c r="A14983" s="84"/>
      <c r="B14983" s="85"/>
      <c r="C14983" s="85"/>
      <c r="F14983" s="92"/>
      <c r="G14983" s="85"/>
    </row>
    <row r="14984">
      <c r="A14984" s="84"/>
      <c r="B14984" s="85"/>
      <c r="C14984" s="85"/>
      <c r="F14984" s="92"/>
      <c r="G14984" s="85"/>
    </row>
    <row r="14985">
      <c r="A14985" s="84"/>
      <c r="B14985" s="85"/>
      <c r="C14985" s="85"/>
      <c r="F14985" s="92"/>
      <c r="G14985" s="85"/>
    </row>
    <row r="14986">
      <c r="A14986" s="84"/>
      <c r="B14986" s="85"/>
      <c r="C14986" s="85"/>
      <c r="F14986" s="92"/>
      <c r="G14986" s="85"/>
    </row>
    <row r="14987">
      <c r="A14987" s="84"/>
      <c r="B14987" s="85"/>
      <c r="C14987" s="85"/>
      <c r="F14987" s="92"/>
      <c r="G14987" s="85"/>
    </row>
    <row r="14988">
      <c r="A14988" s="84"/>
      <c r="B14988" s="85"/>
      <c r="C14988" s="85"/>
      <c r="F14988" s="92"/>
      <c r="G14988" s="85"/>
    </row>
    <row r="14989">
      <c r="A14989" s="84"/>
      <c r="B14989" s="85"/>
      <c r="C14989" s="85"/>
      <c r="F14989" s="92"/>
      <c r="G14989" s="85"/>
    </row>
    <row r="14990">
      <c r="A14990" s="84"/>
      <c r="B14990" s="85"/>
      <c r="C14990" s="85"/>
      <c r="F14990" s="92"/>
      <c r="G14990" s="85"/>
    </row>
    <row r="14991">
      <c r="A14991" s="84"/>
      <c r="B14991" s="85"/>
      <c r="C14991" s="85"/>
      <c r="F14991" s="92"/>
      <c r="G14991" s="85"/>
    </row>
    <row r="14992">
      <c r="A14992" s="84"/>
      <c r="B14992" s="85"/>
      <c r="C14992" s="85"/>
      <c r="F14992" s="92"/>
      <c r="G14992" s="85"/>
    </row>
    <row r="14993">
      <c r="A14993" s="84"/>
      <c r="B14993" s="85"/>
      <c r="C14993" s="85"/>
      <c r="F14993" s="92"/>
      <c r="G14993" s="85"/>
    </row>
    <row r="14994">
      <c r="A14994" s="84"/>
      <c r="B14994" s="85"/>
      <c r="C14994" s="85"/>
      <c r="F14994" s="92"/>
      <c r="G14994" s="85"/>
    </row>
    <row r="14995">
      <c r="A14995" s="84"/>
      <c r="B14995" s="85"/>
      <c r="C14995" s="85"/>
      <c r="F14995" s="92"/>
      <c r="G14995" s="85"/>
    </row>
    <row r="14996">
      <c r="A14996" s="84"/>
      <c r="B14996" s="85"/>
      <c r="C14996" s="85"/>
      <c r="F14996" s="92"/>
      <c r="G14996" s="85"/>
    </row>
    <row r="14997">
      <c r="A14997" s="84"/>
      <c r="B14997" s="85"/>
      <c r="C14997" s="85"/>
      <c r="F14997" s="92"/>
      <c r="G14997" s="85"/>
    </row>
    <row r="14998">
      <c r="A14998" s="84"/>
      <c r="B14998" s="85"/>
      <c r="C14998" s="85"/>
      <c r="F14998" s="92"/>
      <c r="G14998" s="85"/>
    </row>
    <row r="14999">
      <c r="A14999" s="84"/>
      <c r="B14999" s="85"/>
      <c r="C14999" s="85"/>
      <c r="F14999" s="92"/>
      <c r="G14999" s="85"/>
    </row>
    <row r="15000">
      <c r="A15000" s="84"/>
      <c r="B15000" s="85"/>
      <c r="C15000" s="85"/>
      <c r="F15000" s="92"/>
      <c r="G15000" s="85"/>
    </row>
    <row r="15001">
      <c r="A15001" s="84"/>
      <c r="B15001" s="85"/>
      <c r="C15001" s="85"/>
      <c r="F15001" s="92"/>
      <c r="G15001" s="85"/>
    </row>
    <row r="15002">
      <c r="A15002" s="84"/>
      <c r="B15002" s="85"/>
      <c r="C15002" s="85"/>
      <c r="F15002" s="92"/>
      <c r="G15002" s="85"/>
    </row>
    <row r="15003">
      <c r="A15003" s="84"/>
      <c r="B15003" s="85"/>
      <c r="C15003" s="85"/>
      <c r="F15003" s="92"/>
      <c r="G15003" s="85"/>
    </row>
    <row r="15004">
      <c r="A15004" s="84"/>
      <c r="B15004" s="85"/>
      <c r="C15004" s="85"/>
      <c r="F15004" s="92"/>
      <c r="G15004" s="85"/>
    </row>
    <row r="15005">
      <c r="A15005" s="84"/>
      <c r="B15005" s="85"/>
      <c r="C15005" s="85"/>
      <c r="F15005" s="92"/>
      <c r="G15005" s="85"/>
    </row>
    <row r="15006">
      <c r="A15006" s="84"/>
      <c r="B15006" s="85"/>
      <c r="C15006" s="85"/>
      <c r="F15006" s="92"/>
      <c r="G15006" s="85"/>
    </row>
    <row r="15007">
      <c r="A15007" s="84"/>
      <c r="B15007" s="85"/>
      <c r="C15007" s="85"/>
      <c r="F15007" s="92"/>
      <c r="G15007" s="85"/>
    </row>
    <row r="15008">
      <c r="A15008" s="84"/>
      <c r="B15008" s="85"/>
      <c r="C15008" s="85"/>
      <c r="F15008" s="92"/>
      <c r="G15008" s="85"/>
    </row>
    <row r="15009">
      <c r="A15009" s="84"/>
      <c r="B15009" s="85"/>
      <c r="C15009" s="85"/>
      <c r="F15009" s="92"/>
      <c r="G15009" s="85"/>
    </row>
    <row r="15010">
      <c r="A15010" s="84"/>
      <c r="B15010" s="85"/>
      <c r="C15010" s="85"/>
      <c r="F15010" s="92"/>
      <c r="G15010" s="85"/>
    </row>
    <row r="15011">
      <c r="A15011" s="84"/>
      <c r="B15011" s="85"/>
      <c r="C15011" s="85"/>
      <c r="F15011" s="92"/>
      <c r="G15011" s="85"/>
    </row>
    <row r="15012">
      <c r="A15012" s="84"/>
      <c r="B15012" s="85"/>
      <c r="C15012" s="85"/>
      <c r="F15012" s="92"/>
      <c r="G15012" s="85"/>
    </row>
    <row r="15013">
      <c r="A15013" s="84"/>
      <c r="B15013" s="85"/>
      <c r="C15013" s="85"/>
      <c r="F15013" s="92"/>
      <c r="G15013" s="85"/>
    </row>
    <row r="15014">
      <c r="A15014" s="84"/>
      <c r="B15014" s="85"/>
      <c r="C15014" s="85"/>
      <c r="F15014" s="92"/>
      <c r="G15014" s="85"/>
    </row>
    <row r="15015">
      <c r="A15015" s="84"/>
      <c r="B15015" s="85"/>
      <c r="C15015" s="85"/>
      <c r="F15015" s="92"/>
      <c r="G15015" s="85"/>
    </row>
    <row r="15016">
      <c r="A15016" s="84"/>
      <c r="B15016" s="85"/>
      <c r="C15016" s="85"/>
      <c r="F15016" s="92"/>
      <c r="G15016" s="85"/>
    </row>
    <row r="15017">
      <c r="A15017" s="84"/>
      <c r="B15017" s="85"/>
      <c r="C15017" s="85"/>
      <c r="F15017" s="92"/>
      <c r="G15017" s="85"/>
    </row>
    <row r="15018">
      <c r="A15018" s="84"/>
      <c r="B15018" s="85"/>
      <c r="C15018" s="85"/>
      <c r="F15018" s="92"/>
      <c r="G15018" s="85"/>
    </row>
    <row r="15019">
      <c r="A15019" s="84"/>
      <c r="B15019" s="85"/>
      <c r="C15019" s="85"/>
      <c r="F15019" s="92"/>
      <c r="G15019" s="85"/>
    </row>
    <row r="15020">
      <c r="A15020" s="84"/>
      <c r="B15020" s="85"/>
      <c r="C15020" s="85"/>
      <c r="F15020" s="92"/>
      <c r="G15020" s="85"/>
    </row>
    <row r="15021">
      <c r="A15021" s="84"/>
      <c r="B15021" s="85"/>
      <c r="C15021" s="85"/>
      <c r="F15021" s="92"/>
      <c r="G15021" s="85"/>
    </row>
    <row r="15022">
      <c r="A15022" s="84"/>
      <c r="B15022" s="85"/>
      <c r="C15022" s="85"/>
      <c r="F15022" s="92"/>
      <c r="G15022" s="85"/>
    </row>
    <row r="15023">
      <c r="A15023" s="84"/>
      <c r="B15023" s="85"/>
      <c r="C15023" s="85"/>
      <c r="F15023" s="92"/>
      <c r="G15023" s="85"/>
    </row>
    <row r="15024">
      <c r="A15024" s="84"/>
      <c r="B15024" s="85"/>
      <c r="C15024" s="85"/>
      <c r="F15024" s="92"/>
      <c r="G15024" s="85"/>
    </row>
    <row r="15025">
      <c r="A15025" s="84"/>
      <c r="B15025" s="85"/>
      <c r="C15025" s="85"/>
      <c r="F15025" s="92"/>
      <c r="G15025" s="85"/>
    </row>
    <row r="15026">
      <c r="A15026" s="84"/>
      <c r="B15026" s="85"/>
      <c r="C15026" s="85"/>
      <c r="F15026" s="92"/>
      <c r="G15026" s="85"/>
    </row>
    <row r="15027">
      <c r="A15027" s="84"/>
      <c r="B15027" s="85"/>
      <c r="C15027" s="85"/>
      <c r="F15027" s="92"/>
      <c r="G15027" s="85"/>
    </row>
    <row r="15028">
      <c r="A15028" s="84"/>
      <c r="B15028" s="85"/>
      <c r="C15028" s="85"/>
      <c r="F15028" s="92"/>
      <c r="G15028" s="85"/>
    </row>
    <row r="15029">
      <c r="A15029" s="84"/>
      <c r="B15029" s="85"/>
      <c r="C15029" s="85"/>
      <c r="F15029" s="92"/>
      <c r="G15029" s="85"/>
    </row>
    <row r="15030">
      <c r="A15030" s="84"/>
      <c r="B15030" s="85"/>
      <c r="C15030" s="85"/>
      <c r="F15030" s="92"/>
      <c r="G15030" s="85"/>
    </row>
    <row r="15031">
      <c r="A15031" s="84"/>
      <c r="B15031" s="85"/>
      <c r="C15031" s="85"/>
      <c r="F15031" s="92"/>
      <c r="G15031" s="85"/>
    </row>
    <row r="15032">
      <c r="A15032" s="84"/>
      <c r="B15032" s="85"/>
      <c r="C15032" s="85"/>
      <c r="F15032" s="92"/>
      <c r="G15032" s="85"/>
    </row>
    <row r="15033">
      <c r="A15033" s="84"/>
      <c r="B15033" s="85"/>
      <c r="C15033" s="85"/>
      <c r="F15033" s="92"/>
      <c r="G15033" s="85"/>
    </row>
    <row r="15034">
      <c r="A15034" s="84"/>
      <c r="B15034" s="85"/>
      <c r="C15034" s="85"/>
      <c r="F15034" s="92"/>
      <c r="G15034" s="85"/>
    </row>
    <row r="15035">
      <c r="A15035" s="84"/>
      <c r="B15035" s="85"/>
      <c r="C15035" s="85"/>
      <c r="F15035" s="92"/>
      <c r="G15035" s="85"/>
    </row>
    <row r="15036">
      <c r="A15036" s="84"/>
      <c r="B15036" s="85"/>
      <c r="C15036" s="85"/>
      <c r="F15036" s="92"/>
      <c r="G15036" s="85"/>
    </row>
    <row r="15037">
      <c r="A15037" s="84"/>
      <c r="B15037" s="85"/>
      <c r="C15037" s="85"/>
      <c r="F15037" s="92"/>
      <c r="G15037" s="85"/>
    </row>
    <row r="15038">
      <c r="A15038" s="84"/>
      <c r="B15038" s="85"/>
      <c r="C15038" s="85"/>
      <c r="F15038" s="92"/>
      <c r="G15038" s="85"/>
    </row>
    <row r="15039">
      <c r="A15039" s="84"/>
      <c r="B15039" s="85"/>
      <c r="C15039" s="85"/>
      <c r="F15039" s="92"/>
      <c r="G15039" s="85"/>
    </row>
    <row r="15040">
      <c r="A15040" s="84"/>
      <c r="B15040" s="85"/>
      <c r="C15040" s="85"/>
      <c r="F15040" s="92"/>
      <c r="G15040" s="85"/>
    </row>
    <row r="15041">
      <c r="A15041" s="84"/>
      <c r="B15041" s="85"/>
      <c r="C15041" s="85"/>
      <c r="F15041" s="92"/>
      <c r="G15041" s="85"/>
    </row>
    <row r="15042">
      <c r="A15042" s="84"/>
      <c r="B15042" s="85"/>
      <c r="C15042" s="85"/>
      <c r="F15042" s="92"/>
      <c r="G15042" s="85"/>
    </row>
    <row r="15043">
      <c r="A15043" s="84"/>
      <c r="B15043" s="85"/>
      <c r="C15043" s="85"/>
      <c r="F15043" s="92"/>
      <c r="G15043" s="85"/>
    </row>
    <row r="15044">
      <c r="A15044" s="84"/>
      <c r="B15044" s="85"/>
      <c r="C15044" s="85"/>
      <c r="F15044" s="92"/>
      <c r="G15044" s="85"/>
    </row>
    <row r="15045">
      <c r="A15045" s="84"/>
      <c r="B15045" s="85"/>
      <c r="C15045" s="85"/>
      <c r="F15045" s="92"/>
      <c r="G15045" s="85"/>
    </row>
    <row r="15046">
      <c r="A15046" s="84"/>
      <c r="B15046" s="85"/>
      <c r="C15046" s="85"/>
      <c r="F15046" s="92"/>
      <c r="G15046" s="85"/>
    </row>
    <row r="15047">
      <c r="A15047" s="84"/>
      <c r="B15047" s="85"/>
      <c r="C15047" s="85"/>
      <c r="F15047" s="92"/>
      <c r="G15047" s="85"/>
    </row>
    <row r="15048">
      <c r="A15048" s="84"/>
      <c r="B15048" s="85"/>
      <c r="C15048" s="85"/>
      <c r="F15048" s="92"/>
      <c r="G15048" s="85"/>
    </row>
    <row r="15049">
      <c r="A15049" s="84"/>
      <c r="B15049" s="85"/>
      <c r="C15049" s="85"/>
      <c r="F15049" s="92"/>
      <c r="G15049" s="85"/>
    </row>
    <row r="15050">
      <c r="A15050" s="84"/>
      <c r="B15050" s="85"/>
      <c r="C15050" s="85"/>
      <c r="F15050" s="92"/>
      <c r="G15050" s="85"/>
    </row>
    <row r="15051">
      <c r="A15051" s="84"/>
      <c r="B15051" s="85"/>
      <c r="C15051" s="85"/>
      <c r="F15051" s="92"/>
      <c r="G15051" s="85"/>
    </row>
    <row r="15052">
      <c r="A15052" s="84"/>
      <c r="B15052" s="85"/>
      <c r="C15052" s="85"/>
      <c r="F15052" s="92"/>
      <c r="G15052" s="85"/>
    </row>
    <row r="15053">
      <c r="A15053" s="84"/>
      <c r="B15053" s="85"/>
      <c r="C15053" s="85"/>
      <c r="F15053" s="92"/>
      <c r="G15053" s="85"/>
    </row>
    <row r="15054">
      <c r="A15054" s="84"/>
      <c r="B15054" s="85"/>
      <c r="C15054" s="85"/>
      <c r="F15054" s="92"/>
      <c r="G15054" s="85"/>
    </row>
    <row r="15055">
      <c r="A15055" s="84"/>
      <c r="B15055" s="85"/>
      <c r="C15055" s="85"/>
      <c r="F15055" s="92"/>
      <c r="G15055" s="85"/>
    </row>
    <row r="15056">
      <c r="A15056" s="84"/>
      <c r="B15056" s="85"/>
      <c r="C15056" s="85"/>
      <c r="F15056" s="92"/>
      <c r="G15056" s="85"/>
    </row>
    <row r="15057">
      <c r="A15057" s="84"/>
      <c r="B15057" s="85"/>
      <c r="C15057" s="85"/>
      <c r="F15057" s="92"/>
      <c r="G15057" s="85"/>
    </row>
    <row r="15058">
      <c r="A15058" s="84"/>
      <c r="B15058" s="85"/>
      <c r="C15058" s="85"/>
      <c r="F15058" s="92"/>
      <c r="G15058" s="85"/>
    </row>
    <row r="15059">
      <c r="A15059" s="84"/>
      <c r="B15059" s="85"/>
      <c r="C15059" s="85"/>
      <c r="F15059" s="92"/>
      <c r="G15059" s="85"/>
    </row>
    <row r="15060">
      <c r="A15060" s="84"/>
      <c r="B15060" s="85"/>
      <c r="C15060" s="85"/>
      <c r="F15060" s="92"/>
      <c r="G15060" s="85"/>
    </row>
    <row r="15061">
      <c r="A15061" s="84"/>
      <c r="B15061" s="85"/>
      <c r="C15061" s="85"/>
      <c r="F15061" s="92"/>
      <c r="G15061" s="85"/>
    </row>
    <row r="15062">
      <c r="A15062" s="84"/>
      <c r="B15062" s="85"/>
      <c r="C15062" s="85"/>
      <c r="F15062" s="92"/>
      <c r="G15062" s="85"/>
    </row>
    <row r="15063">
      <c r="A15063" s="84"/>
      <c r="B15063" s="85"/>
      <c r="C15063" s="85"/>
      <c r="F15063" s="92"/>
      <c r="G15063" s="85"/>
    </row>
    <row r="15064">
      <c r="A15064" s="84"/>
      <c r="B15064" s="85"/>
      <c r="C15064" s="85"/>
      <c r="F15064" s="92"/>
      <c r="G15064" s="85"/>
    </row>
    <row r="15065">
      <c r="A15065" s="84"/>
      <c r="B15065" s="85"/>
      <c r="C15065" s="85"/>
      <c r="F15065" s="92"/>
      <c r="G15065" s="85"/>
    </row>
    <row r="15066">
      <c r="A15066" s="84"/>
      <c r="B15066" s="85"/>
      <c r="C15066" s="85"/>
      <c r="F15066" s="92"/>
      <c r="G15066" s="85"/>
    </row>
    <row r="15067">
      <c r="A15067" s="84"/>
      <c r="B15067" s="85"/>
      <c r="C15067" s="85"/>
      <c r="F15067" s="92"/>
      <c r="G15067" s="85"/>
    </row>
    <row r="15068">
      <c r="A15068" s="84"/>
      <c r="B15068" s="85"/>
      <c r="C15068" s="85"/>
      <c r="F15068" s="92"/>
      <c r="G15068" s="85"/>
    </row>
    <row r="15069">
      <c r="A15069" s="84"/>
      <c r="B15069" s="85"/>
      <c r="C15069" s="85"/>
      <c r="F15069" s="92"/>
      <c r="G15069" s="85"/>
    </row>
    <row r="15070">
      <c r="A15070" s="84"/>
      <c r="B15070" s="85"/>
      <c r="C15070" s="85"/>
      <c r="F15070" s="92"/>
      <c r="G15070" s="85"/>
    </row>
    <row r="15071">
      <c r="A15071" s="84"/>
      <c r="B15071" s="85"/>
      <c r="C15071" s="85"/>
      <c r="F15071" s="92"/>
      <c r="G15071" s="85"/>
    </row>
    <row r="15072">
      <c r="A15072" s="84"/>
      <c r="B15072" s="85"/>
      <c r="C15072" s="85"/>
      <c r="F15072" s="92"/>
      <c r="G15072" s="85"/>
    </row>
    <row r="15073">
      <c r="A15073" s="84"/>
      <c r="B15073" s="85"/>
      <c r="C15073" s="85"/>
      <c r="F15073" s="92"/>
      <c r="G15073" s="85"/>
    </row>
    <row r="15074">
      <c r="A15074" s="84"/>
      <c r="B15074" s="85"/>
      <c r="C15074" s="85"/>
      <c r="F15074" s="92"/>
      <c r="G15074" s="85"/>
    </row>
    <row r="15075">
      <c r="A15075" s="84"/>
      <c r="B15075" s="85"/>
      <c r="C15075" s="85"/>
      <c r="F15075" s="92"/>
      <c r="G15075" s="85"/>
    </row>
    <row r="15076">
      <c r="A15076" s="84"/>
      <c r="B15076" s="85"/>
      <c r="C15076" s="85"/>
      <c r="F15076" s="92"/>
      <c r="G15076" s="85"/>
    </row>
    <row r="15077">
      <c r="A15077" s="84"/>
      <c r="B15077" s="85"/>
      <c r="C15077" s="85"/>
      <c r="F15077" s="92"/>
      <c r="G15077" s="85"/>
    </row>
    <row r="15078">
      <c r="A15078" s="84"/>
      <c r="B15078" s="85"/>
      <c r="C15078" s="85"/>
      <c r="F15078" s="92"/>
      <c r="G15078" s="85"/>
    </row>
    <row r="15079">
      <c r="A15079" s="84"/>
      <c r="B15079" s="85"/>
      <c r="C15079" s="85"/>
      <c r="F15079" s="92"/>
      <c r="G15079" s="85"/>
    </row>
    <row r="15080">
      <c r="A15080" s="84"/>
      <c r="B15080" s="85"/>
      <c r="C15080" s="85"/>
      <c r="F15080" s="92"/>
      <c r="G15080" s="85"/>
    </row>
    <row r="15081">
      <c r="A15081" s="84"/>
      <c r="B15081" s="85"/>
      <c r="C15081" s="85"/>
      <c r="F15081" s="92"/>
      <c r="G15081" s="85"/>
    </row>
    <row r="15082">
      <c r="A15082" s="84"/>
      <c r="B15082" s="85"/>
      <c r="C15082" s="85"/>
      <c r="F15082" s="92"/>
      <c r="G15082" s="85"/>
    </row>
    <row r="15083">
      <c r="A15083" s="84"/>
      <c r="B15083" s="85"/>
      <c r="C15083" s="85"/>
      <c r="F15083" s="92"/>
      <c r="G15083" s="85"/>
    </row>
    <row r="15084">
      <c r="A15084" s="84"/>
      <c r="B15084" s="85"/>
      <c r="C15084" s="85"/>
      <c r="F15084" s="92"/>
      <c r="G15084" s="85"/>
    </row>
    <row r="15085">
      <c r="A15085" s="84"/>
      <c r="B15085" s="85"/>
      <c r="C15085" s="85"/>
      <c r="F15085" s="92"/>
      <c r="G15085" s="85"/>
    </row>
    <row r="15086">
      <c r="A15086" s="84"/>
      <c r="B15086" s="85"/>
      <c r="C15086" s="85"/>
      <c r="F15086" s="92"/>
      <c r="G15086" s="85"/>
    </row>
    <row r="15087">
      <c r="A15087" s="84"/>
      <c r="B15087" s="85"/>
      <c r="C15087" s="85"/>
      <c r="F15087" s="92"/>
      <c r="G15087" s="85"/>
    </row>
    <row r="15088">
      <c r="A15088" s="84"/>
      <c r="B15088" s="85"/>
      <c r="C15088" s="85"/>
      <c r="F15088" s="92"/>
      <c r="G15088" s="85"/>
    </row>
    <row r="15089">
      <c r="A15089" s="84"/>
      <c r="B15089" s="85"/>
      <c r="C15089" s="85"/>
      <c r="F15089" s="92"/>
      <c r="G15089" s="85"/>
    </row>
    <row r="15090">
      <c r="A15090" s="84"/>
      <c r="B15090" s="85"/>
      <c r="C15090" s="85"/>
      <c r="F15090" s="92"/>
      <c r="G15090" s="85"/>
    </row>
    <row r="15091">
      <c r="A15091" s="84"/>
      <c r="B15091" s="85"/>
      <c r="C15091" s="85"/>
      <c r="F15091" s="92"/>
      <c r="G15091" s="85"/>
    </row>
    <row r="15092">
      <c r="A15092" s="84"/>
      <c r="B15092" s="85"/>
      <c r="C15092" s="85"/>
      <c r="F15092" s="92"/>
      <c r="G15092" s="85"/>
    </row>
    <row r="15093">
      <c r="A15093" s="84"/>
      <c r="B15093" s="85"/>
      <c r="C15093" s="85"/>
      <c r="F15093" s="92"/>
      <c r="G15093" s="85"/>
    </row>
    <row r="15094">
      <c r="A15094" s="84"/>
      <c r="B15094" s="85"/>
      <c r="C15094" s="85"/>
      <c r="F15094" s="92"/>
      <c r="G15094" s="85"/>
    </row>
    <row r="15095">
      <c r="A15095" s="84"/>
      <c r="B15095" s="85"/>
      <c r="C15095" s="85"/>
      <c r="F15095" s="92"/>
      <c r="G15095" s="85"/>
    </row>
    <row r="15096">
      <c r="A15096" s="84"/>
      <c r="B15096" s="85"/>
      <c r="C15096" s="85"/>
      <c r="F15096" s="92"/>
      <c r="G15096" s="85"/>
    </row>
    <row r="15097">
      <c r="A15097" s="84"/>
      <c r="B15097" s="85"/>
      <c r="C15097" s="85"/>
      <c r="F15097" s="92"/>
      <c r="G15097" s="85"/>
    </row>
    <row r="15098">
      <c r="A15098" s="84"/>
      <c r="B15098" s="85"/>
      <c r="C15098" s="85"/>
      <c r="F15098" s="92"/>
      <c r="G15098" s="85"/>
    </row>
    <row r="15099">
      <c r="A15099" s="84"/>
      <c r="B15099" s="85"/>
      <c r="C15099" s="85"/>
      <c r="F15099" s="92"/>
      <c r="G15099" s="85"/>
    </row>
    <row r="15100">
      <c r="A15100" s="84"/>
      <c r="B15100" s="85"/>
      <c r="C15100" s="85"/>
      <c r="F15100" s="92"/>
      <c r="G15100" s="85"/>
    </row>
    <row r="15101">
      <c r="A15101" s="84"/>
      <c r="B15101" s="85"/>
      <c r="C15101" s="85"/>
      <c r="F15101" s="92"/>
      <c r="G15101" s="85"/>
    </row>
    <row r="15102">
      <c r="A15102" s="84"/>
      <c r="B15102" s="85"/>
      <c r="C15102" s="85"/>
      <c r="F15102" s="92"/>
      <c r="G15102" s="85"/>
    </row>
    <row r="15103">
      <c r="A15103" s="84"/>
      <c r="B15103" s="85"/>
      <c r="C15103" s="85"/>
      <c r="F15103" s="92"/>
      <c r="G15103" s="85"/>
    </row>
    <row r="15104">
      <c r="A15104" s="84"/>
      <c r="B15104" s="85"/>
      <c r="C15104" s="85"/>
      <c r="F15104" s="92"/>
      <c r="G15104" s="85"/>
    </row>
    <row r="15105">
      <c r="A15105" s="84"/>
      <c r="B15105" s="85"/>
      <c r="C15105" s="85"/>
      <c r="F15105" s="92"/>
      <c r="G15105" s="85"/>
    </row>
    <row r="15106">
      <c r="A15106" s="84"/>
      <c r="B15106" s="85"/>
      <c r="C15106" s="85"/>
      <c r="F15106" s="92"/>
      <c r="G15106" s="85"/>
    </row>
    <row r="15107">
      <c r="A15107" s="84"/>
      <c r="B15107" s="85"/>
      <c r="C15107" s="85"/>
      <c r="F15107" s="92"/>
      <c r="G15107" s="85"/>
    </row>
    <row r="15108">
      <c r="A15108" s="84"/>
      <c r="B15108" s="85"/>
      <c r="C15108" s="85"/>
      <c r="F15108" s="92"/>
      <c r="G15108" s="85"/>
    </row>
    <row r="15109">
      <c r="A15109" s="84"/>
      <c r="B15109" s="85"/>
      <c r="C15109" s="85"/>
      <c r="F15109" s="92"/>
      <c r="G15109" s="85"/>
    </row>
    <row r="15110">
      <c r="A15110" s="84"/>
      <c r="B15110" s="85"/>
      <c r="C15110" s="85"/>
      <c r="F15110" s="92"/>
      <c r="G15110" s="85"/>
    </row>
    <row r="15111">
      <c r="A15111" s="84"/>
      <c r="B15111" s="85"/>
      <c r="C15111" s="85"/>
      <c r="F15111" s="92"/>
      <c r="G15111" s="85"/>
    </row>
    <row r="15112">
      <c r="A15112" s="84"/>
      <c r="B15112" s="85"/>
      <c r="C15112" s="85"/>
      <c r="F15112" s="92"/>
      <c r="G15112" s="85"/>
    </row>
    <row r="15113">
      <c r="A15113" s="84"/>
      <c r="B15113" s="85"/>
      <c r="C15113" s="85"/>
      <c r="F15113" s="92"/>
      <c r="G15113" s="85"/>
    </row>
    <row r="15114">
      <c r="A15114" s="84"/>
      <c r="B15114" s="85"/>
      <c r="C15114" s="85"/>
      <c r="F15114" s="92"/>
      <c r="G15114" s="85"/>
    </row>
    <row r="15115">
      <c r="A15115" s="84"/>
      <c r="B15115" s="85"/>
      <c r="C15115" s="85"/>
      <c r="F15115" s="92"/>
      <c r="G15115" s="85"/>
    </row>
    <row r="15116">
      <c r="A15116" s="84"/>
      <c r="B15116" s="85"/>
      <c r="C15116" s="85"/>
      <c r="F15116" s="92"/>
      <c r="G15116" s="85"/>
    </row>
    <row r="15117">
      <c r="A15117" s="84"/>
      <c r="B15117" s="85"/>
      <c r="C15117" s="85"/>
      <c r="F15117" s="92"/>
      <c r="G15117" s="85"/>
    </row>
    <row r="15118">
      <c r="A15118" s="84"/>
      <c r="B15118" s="85"/>
      <c r="C15118" s="85"/>
      <c r="F15118" s="92"/>
      <c r="G15118" s="85"/>
    </row>
    <row r="15119">
      <c r="A15119" s="84"/>
      <c r="B15119" s="85"/>
      <c r="C15119" s="85"/>
      <c r="F15119" s="92"/>
      <c r="G15119" s="85"/>
    </row>
    <row r="15120">
      <c r="A15120" s="84"/>
      <c r="B15120" s="85"/>
      <c r="C15120" s="85"/>
      <c r="F15120" s="92"/>
      <c r="G15120" s="85"/>
    </row>
    <row r="15121">
      <c r="A15121" s="84"/>
      <c r="B15121" s="85"/>
      <c r="C15121" s="85"/>
      <c r="F15121" s="92"/>
      <c r="G15121" s="85"/>
    </row>
    <row r="15122">
      <c r="A15122" s="84"/>
      <c r="B15122" s="85"/>
      <c r="C15122" s="85"/>
      <c r="F15122" s="92"/>
      <c r="G15122" s="85"/>
    </row>
    <row r="15123">
      <c r="A15123" s="84"/>
      <c r="B15123" s="85"/>
      <c r="C15123" s="85"/>
      <c r="F15123" s="92"/>
      <c r="G15123" s="85"/>
    </row>
    <row r="15124">
      <c r="A15124" s="84"/>
      <c r="B15124" s="85"/>
      <c r="C15124" s="85"/>
      <c r="F15124" s="92"/>
      <c r="G15124" s="85"/>
    </row>
    <row r="15125">
      <c r="A15125" s="84"/>
      <c r="B15125" s="85"/>
      <c r="C15125" s="85"/>
      <c r="F15125" s="92"/>
      <c r="G15125" s="85"/>
    </row>
    <row r="15126">
      <c r="A15126" s="84"/>
      <c r="B15126" s="85"/>
      <c r="C15126" s="85"/>
      <c r="F15126" s="92"/>
      <c r="G15126" s="85"/>
    </row>
    <row r="15127">
      <c r="A15127" s="84"/>
      <c r="B15127" s="85"/>
      <c r="C15127" s="85"/>
      <c r="F15127" s="92"/>
      <c r="G15127" s="85"/>
    </row>
    <row r="15128">
      <c r="A15128" s="84"/>
      <c r="B15128" s="85"/>
      <c r="C15128" s="85"/>
      <c r="F15128" s="92"/>
      <c r="G15128" s="85"/>
    </row>
    <row r="15129">
      <c r="A15129" s="84"/>
      <c r="B15129" s="85"/>
      <c r="C15129" s="85"/>
      <c r="F15129" s="92"/>
      <c r="G15129" s="85"/>
    </row>
    <row r="15130">
      <c r="A15130" s="84"/>
      <c r="B15130" s="85"/>
      <c r="C15130" s="85"/>
      <c r="F15130" s="92"/>
      <c r="G15130" s="85"/>
    </row>
    <row r="15131">
      <c r="A15131" s="84"/>
      <c r="B15131" s="85"/>
      <c r="C15131" s="85"/>
      <c r="F15131" s="92"/>
      <c r="G15131" s="85"/>
    </row>
    <row r="15132">
      <c r="A15132" s="84"/>
      <c r="B15132" s="85"/>
      <c r="C15132" s="85"/>
      <c r="F15132" s="92"/>
      <c r="G15132" s="85"/>
    </row>
    <row r="15133">
      <c r="A15133" s="84"/>
      <c r="B15133" s="85"/>
      <c r="C15133" s="85"/>
      <c r="F15133" s="92"/>
      <c r="G15133" s="85"/>
    </row>
    <row r="15134">
      <c r="A15134" s="84"/>
      <c r="B15134" s="85"/>
      <c r="C15134" s="85"/>
      <c r="F15134" s="92"/>
      <c r="G15134" s="85"/>
    </row>
    <row r="15135">
      <c r="A15135" s="84"/>
      <c r="B15135" s="85"/>
      <c r="C15135" s="85"/>
      <c r="F15135" s="92"/>
      <c r="G15135" s="85"/>
    </row>
    <row r="15136">
      <c r="A15136" s="84"/>
      <c r="B15136" s="85"/>
      <c r="C15136" s="85"/>
      <c r="F15136" s="92"/>
      <c r="G15136" s="85"/>
    </row>
    <row r="15137">
      <c r="A15137" s="84"/>
      <c r="B15137" s="85"/>
      <c r="C15137" s="85"/>
      <c r="F15137" s="92"/>
      <c r="G15137" s="85"/>
    </row>
    <row r="15138">
      <c r="A15138" s="84"/>
      <c r="B15138" s="85"/>
      <c r="C15138" s="85"/>
      <c r="F15138" s="92"/>
      <c r="G15138" s="85"/>
    </row>
    <row r="15139">
      <c r="A15139" s="84"/>
      <c r="B15139" s="85"/>
      <c r="C15139" s="85"/>
      <c r="F15139" s="92"/>
      <c r="G15139" s="85"/>
    </row>
    <row r="15140">
      <c r="A15140" s="84"/>
      <c r="B15140" s="85"/>
      <c r="C15140" s="85"/>
      <c r="F15140" s="92"/>
      <c r="G15140" s="85"/>
    </row>
    <row r="15141">
      <c r="A15141" s="84"/>
      <c r="B15141" s="85"/>
      <c r="C15141" s="85"/>
      <c r="F15141" s="92"/>
      <c r="G15141" s="85"/>
    </row>
    <row r="15142">
      <c r="A15142" s="84"/>
      <c r="B15142" s="85"/>
      <c r="C15142" s="85"/>
      <c r="F15142" s="92"/>
      <c r="G15142" s="85"/>
    </row>
    <row r="15143">
      <c r="A15143" s="84"/>
      <c r="B15143" s="85"/>
      <c r="C15143" s="85"/>
      <c r="F15143" s="92"/>
      <c r="G15143" s="85"/>
    </row>
    <row r="15144">
      <c r="A15144" s="84"/>
      <c r="B15144" s="85"/>
      <c r="C15144" s="85"/>
      <c r="F15144" s="92"/>
      <c r="G15144" s="85"/>
    </row>
    <row r="15145">
      <c r="A15145" s="84"/>
      <c r="B15145" s="85"/>
      <c r="C15145" s="85"/>
      <c r="F15145" s="92"/>
      <c r="G15145" s="85"/>
    </row>
    <row r="15146">
      <c r="A15146" s="84"/>
      <c r="B15146" s="85"/>
      <c r="C15146" s="85"/>
      <c r="F15146" s="92"/>
      <c r="G15146" s="85"/>
    </row>
    <row r="15147">
      <c r="A15147" s="84"/>
      <c r="B15147" s="85"/>
      <c r="C15147" s="85"/>
      <c r="F15147" s="92"/>
      <c r="G15147" s="85"/>
    </row>
    <row r="15148">
      <c r="A15148" s="84"/>
      <c r="B15148" s="85"/>
      <c r="C15148" s="85"/>
      <c r="F15148" s="92"/>
      <c r="G15148" s="85"/>
    </row>
    <row r="15149">
      <c r="A15149" s="84"/>
      <c r="B15149" s="85"/>
      <c r="C15149" s="85"/>
      <c r="F15149" s="92"/>
      <c r="G15149" s="85"/>
    </row>
    <row r="15150">
      <c r="A15150" s="84"/>
      <c r="B15150" s="85"/>
      <c r="C15150" s="85"/>
      <c r="F15150" s="92"/>
      <c r="G15150" s="85"/>
    </row>
    <row r="15151">
      <c r="A15151" s="84"/>
      <c r="B15151" s="85"/>
      <c r="C15151" s="85"/>
      <c r="F15151" s="92"/>
      <c r="G15151" s="85"/>
    </row>
    <row r="15152">
      <c r="A15152" s="84"/>
      <c r="B15152" s="85"/>
      <c r="C15152" s="85"/>
      <c r="F15152" s="92"/>
      <c r="G15152" s="85"/>
    </row>
    <row r="15153">
      <c r="A15153" s="84"/>
      <c r="B15153" s="85"/>
      <c r="C15153" s="85"/>
      <c r="F15153" s="92"/>
      <c r="G15153" s="85"/>
    </row>
    <row r="15154">
      <c r="A15154" s="84"/>
      <c r="B15154" s="85"/>
      <c r="C15154" s="85"/>
      <c r="F15154" s="92"/>
      <c r="G15154" s="85"/>
    </row>
    <row r="15155">
      <c r="A15155" s="84"/>
      <c r="B15155" s="85"/>
      <c r="C15155" s="85"/>
      <c r="F15155" s="92"/>
      <c r="G15155" s="85"/>
    </row>
    <row r="15156">
      <c r="A15156" s="84"/>
      <c r="B15156" s="85"/>
      <c r="C15156" s="85"/>
      <c r="F15156" s="92"/>
      <c r="G15156" s="85"/>
    </row>
    <row r="15157">
      <c r="A15157" s="84"/>
      <c r="B15157" s="85"/>
      <c r="C15157" s="85"/>
      <c r="F15157" s="92"/>
      <c r="G15157" s="85"/>
    </row>
    <row r="15158">
      <c r="A15158" s="84"/>
      <c r="B15158" s="85"/>
      <c r="C15158" s="85"/>
      <c r="F15158" s="92"/>
      <c r="G15158" s="85"/>
    </row>
    <row r="15159">
      <c r="A15159" s="84"/>
      <c r="B15159" s="85"/>
      <c r="C15159" s="85"/>
      <c r="F15159" s="92"/>
      <c r="G15159" s="85"/>
    </row>
    <row r="15160">
      <c r="A15160" s="84"/>
      <c r="B15160" s="85"/>
      <c r="C15160" s="85"/>
      <c r="F15160" s="92"/>
      <c r="G15160" s="85"/>
    </row>
    <row r="15161">
      <c r="A15161" s="84"/>
      <c r="B15161" s="85"/>
      <c r="C15161" s="85"/>
      <c r="F15161" s="92"/>
      <c r="G15161" s="85"/>
    </row>
    <row r="15162">
      <c r="A15162" s="84"/>
      <c r="B15162" s="85"/>
      <c r="C15162" s="85"/>
      <c r="F15162" s="92"/>
      <c r="G15162" s="85"/>
    </row>
    <row r="15163">
      <c r="A15163" s="84"/>
      <c r="B15163" s="85"/>
      <c r="C15163" s="85"/>
      <c r="F15163" s="92"/>
      <c r="G15163" s="85"/>
    </row>
    <row r="15164">
      <c r="A15164" s="84"/>
      <c r="B15164" s="85"/>
      <c r="C15164" s="85"/>
      <c r="F15164" s="92"/>
      <c r="G15164" s="85"/>
    </row>
    <row r="15165">
      <c r="A15165" s="84"/>
      <c r="B15165" s="85"/>
      <c r="C15165" s="85"/>
      <c r="F15165" s="92"/>
      <c r="G15165" s="85"/>
    </row>
    <row r="15166">
      <c r="A15166" s="84"/>
      <c r="B15166" s="85"/>
      <c r="C15166" s="85"/>
      <c r="F15166" s="92"/>
      <c r="G15166" s="85"/>
    </row>
    <row r="15167">
      <c r="A15167" s="84"/>
      <c r="B15167" s="85"/>
      <c r="C15167" s="85"/>
      <c r="F15167" s="92"/>
      <c r="G15167" s="85"/>
    </row>
    <row r="15168">
      <c r="A15168" s="84"/>
      <c r="B15168" s="85"/>
      <c r="C15168" s="85"/>
      <c r="F15168" s="92"/>
      <c r="G15168" s="85"/>
    </row>
    <row r="15169">
      <c r="A15169" s="84"/>
      <c r="B15169" s="85"/>
      <c r="C15169" s="85"/>
      <c r="F15169" s="92"/>
      <c r="G15169" s="85"/>
    </row>
    <row r="15170">
      <c r="A15170" s="84"/>
      <c r="B15170" s="85"/>
      <c r="C15170" s="85"/>
      <c r="F15170" s="92"/>
      <c r="G15170" s="85"/>
    </row>
    <row r="15171">
      <c r="A15171" s="84"/>
      <c r="B15171" s="85"/>
      <c r="C15171" s="85"/>
      <c r="F15171" s="92"/>
      <c r="G15171" s="85"/>
    </row>
    <row r="15172">
      <c r="A15172" s="84"/>
      <c r="B15172" s="85"/>
      <c r="C15172" s="85"/>
      <c r="F15172" s="92"/>
      <c r="G15172" s="85"/>
    </row>
    <row r="15173">
      <c r="A15173" s="84"/>
      <c r="B15173" s="85"/>
      <c r="C15173" s="85"/>
      <c r="F15173" s="92"/>
      <c r="G15173" s="85"/>
    </row>
    <row r="15174">
      <c r="A15174" s="84"/>
      <c r="B15174" s="85"/>
      <c r="C15174" s="85"/>
      <c r="F15174" s="92"/>
      <c r="G15174" s="85"/>
    </row>
    <row r="15175">
      <c r="A15175" s="84"/>
      <c r="B15175" s="85"/>
      <c r="C15175" s="85"/>
      <c r="F15175" s="92"/>
      <c r="G15175" s="85"/>
    </row>
    <row r="15176">
      <c r="A15176" s="84"/>
      <c r="B15176" s="85"/>
      <c r="C15176" s="85"/>
      <c r="F15176" s="92"/>
      <c r="G15176" s="85"/>
    </row>
    <row r="15177">
      <c r="A15177" s="84"/>
      <c r="B15177" s="85"/>
      <c r="C15177" s="85"/>
      <c r="F15177" s="92"/>
      <c r="G15177" s="85"/>
    </row>
    <row r="15178">
      <c r="A15178" s="84"/>
      <c r="B15178" s="85"/>
      <c r="C15178" s="85"/>
      <c r="F15178" s="92"/>
      <c r="G15178" s="85"/>
    </row>
    <row r="15179">
      <c r="A15179" s="84"/>
      <c r="B15179" s="85"/>
      <c r="C15179" s="85"/>
      <c r="F15179" s="92"/>
      <c r="G15179" s="85"/>
    </row>
    <row r="15180">
      <c r="A15180" s="84"/>
      <c r="B15180" s="85"/>
      <c r="C15180" s="85"/>
      <c r="F15180" s="92"/>
      <c r="G15180" s="85"/>
    </row>
    <row r="15181">
      <c r="A15181" s="84"/>
      <c r="B15181" s="85"/>
      <c r="C15181" s="85"/>
      <c r="F15181" s="92"/>
      <c r="G15181" s="85"/>
    </row>
    <row r="15182">
      <c r="A15182" s="84"/>
      <c r="B15182" s="85"/>
      <c r="C15182" s="85"/>
      <c r="F15182" s="92"/>
      <c r="G15182" s="85"/>
    </row>
    <row r="15183">
      <c r="A15183" s="84"/>
      <c r="B15183" s="85"/>
      <c r="C15183" s="85"/>
      <c r="F15183" s="92"/>
      <c r="G15183" s="85"/>
    </row>
    <row r="15184">
      <c r="A15184" s="84"/>
      <c r="B15184" s="85"/>
      <c r="C15184" s="85"/>
      <c r="F15184" s="92"/>
      <c r="G15184" s="85"/>
    </row>
    <row r="15185">
      <c r="A15185" s="84"/>
      <c r="B15185" s="85"/>
      <c r="C15185" s="85"/>
      <c r="F15185" s="92"/>
      <c r="G15185" s="85"/>
    </row>
    <row r="15186">
      <c r="A15186" s="84"/>
      <c r="B15186" s="85"/>
      <c r="C15186" s="85"/>
      <c r="F15186" s="92"/>
      <c r="G15186" s="85"/>
    </row>
    <row r="15187">
      <c r="A15187" s="84"/>
      <c r="B15187" s="85"/>
      <c r="C15187" s="85"/>
      <c r="F15187" s="92"/>
      <c r="G15187" s="85"/>
    </row>
    <row r="15188">
      <c r="A15188" s="84"/>
      <c r="B15188" s="85"/>
      <c r="C15188" s="85"/>
      <c r="F15188" s="92"/>
      <c r="G15188" s="85"/>
    </row>
    <row r="15189">
      <c r="A15189" s="84"/>
      <c r="B15189" s="85"/>
      <c r="C15189" s="85"/>
      <c r="F15189" s="92"/>
      <c r="G15189" s="85"/>
    </row>
    <row r="15190">
      <c r="A15190" s="84"/>
      <c r="B15190" s="85"/>
      <c r="C15190" s="85"/>
      <c r="F15190" s="92"/>
      <c r="G15190" s="85"/>
    </row>
    <row r="15191">
      <c r="A15191" s="84"/>
      <c r="B15191" s="85"/>
      <c r="C15191" s="85"/>
      <c r="F15191" s="92"/>
      <c r="G15191" s="85"/>
    </row>
    <row r="15192">
      <c r="A15192" s="84"/>
      <c r="B15192" s="85"/>
      <c r="C15192" s="85"/>
      <c r="F15192" s="92"/>
      <c r="G15192" s="85"/>
    </row>
    <row r="15193">
      <c r="A15193" s="84"/>
      <c r="B15193" s="85"/>
      <c r="C15193" s="85"/>
      <c r="F15193" s="92"/>
      <c r="G15193" s="85"/>
    </row>
    <row r="15194">
      <c r="A15194" s="84"/>
      <c r="B15194" s="85"/>
      <c r="C15194" s="85"/>
      <c r="F15194" s="92"/>
      <c r="G15194" s="85"/>
    </row>
    <row r="15195">
      <c r="A15195" s="84"/>
      <c r="B15195" s="85"/>
      <c r="C15195" s="85"/>
      <c r="F15195" s="92"/>
      <c r="G15195" s="85"/>
    </row>
    <row r="15196">
      <c r="A15196" s="84"/>
      <c r="B15196" s="85"/>
      <c r="C15196" s="85"/>
      <c r="F15196" s="92"/>
      <c r="G15196" s="85"/>
    </row>
    <row r="15197">
      <c r="A15197" s="84"/>
      <c r="B15197" s="85"/>
      <c r="C15197" s="85"/>
      <c r="F15197" s="92"/>
      <c r="G15197" s="85"/>
    </row>
    <row r="15198">
      <c r="A15198" s="84"/>
      <c r="B15198" s="85"/>
      <c r="C15198" s="85"/>
      <c r="F15198" s="92"/>
      <c r="G15198" s="85"/>
    </row>
    <row r="15199">
      <c r="A15199" s="84"/>
      <c r="B15199" s="85"/>
      <c r="C15199" s="85"/>
      <c r="F15199" s="92"/>
      <c r="G15199" s="85"/>
    </row>
    <row r="15200">
      <c r="A15200" s="84"/>
      <c r="B15200" s="85"/>
      <c r="C15200" s="85"/>
      <c r="F15200" s="92"/>
      <c r="G15200" s="85"/>
    </row>
    <row r="15201">
      <c r="A15201" s="84"/>
      <c r="B15201" s="85"/>
      <c r="C15201" s="85"/>
      <c r="F15201" s="92"/>
      <c r="G15201" s="85"/>
    </row>
    <row r="15202">
      <c r="A15202" s="84"/>
      <c r="B15202" s="85"/>
      <c r="C15202" s="85"/>
      <c r="F15202" s="92"/>
      <c r="G15202" s="85"/>
    </row>
    <row r="15203">
      <c r="A15203" s="84"/>
      <c r="B15203" s="85"/>
      <c r="C15203" s="85"/>
      <c r="F15203" s="92"/>
      <c r="G15203" s="85"/>
    </row>
    <row r="15204">
      <c r="A15204" s="84"/>
      <c r="B15204" s="85"/>
      <c r="C15204" s="85"/>
      <c r="F15204" s="92"/>
      <c r="G15204" s="85"/>
    </row>
    <row r="15205">
      <c r="A15205" s="84"/>
      <c r="B15205" s="85"/>
      <c r="C15205" s="85"/>
      <c r="F15205" s="92"/>
      <c r="G15205" s="85"/>
    </row>
    <row r="15206">
      <c r="A15206" s="84"/>
      <c r="B15206" s="85"/>
      <c r="C15206" s="85"/>
      <c r="F15206" s="92"/>
      <c r="G15206" s="85"/>
    </row>
    <row r="15207">
      <c r="A15207" s="84"/>
      <c r="B15207" s="85"/>
      <c r="C15207" s="85"/>
      <c r="F15207" s="92"/>
      <c r="G15207" s="85"/>
    </row>
    <row r="15208">
      <c r="A15208" s="84"/>
      <c r="B15208" s="85"/>
      <c r="C15208" s="85"/>
      <c r="F15208" s="92"/>
      <c r="G15208" s="85"/>
    </row>
    <row r="15209">
      <c r="A15209" s="84"/>
      <c r="B15209" s="85"/>
      <c r="C15209" s="85"/>
      <c r="F15209" s="92"/>
      <c r="G15209" s="85"/>
    </row>
    <row r="15210">
      <c r="A15210" s="84"/>
      <c r="B15210" s="85"/>
      <c r="C15210" s="85"/>
      <c r="F15210" s="92"/>
      <c r="G15210" s="85"/>
    </row>
    <row r="15211">
      <c r="A15211" s="84"/>
      <c r="B15211" s="85"/>
      <c r="C15211" s="85"/>
      <c r="F15211" s="92"/>
      <c r="G15211" s="85"/>
    </row>
    <row r="15212">
      <c r="A15212" s="84"/>
      <c r="B15212" s="85"/>
      <c r="C15212" s="85"/>
      <c r="F15212" s="92"/>
      <c r="G15212" s="85"/>
    </row>
    <row r="15213">
      <c r="A15213" s="84"/>
      <c r="B15213" s="85"/>
      <c r="C15213" s="85"/>
      <c r="F15213" s="92"/>
      <c r="G15213" s="85"/>
    </row>
    <row r="15214">
      <c r="A15214" s="84"/>
      <c r="B15214" s="85"/>
      <c r="C15214" s="85"/>
      <c r="F15214" s="92"/>
      <c r="G15214" s="85"/>
    </row>
    <row r="15215">
      <c r="A15215" s="84"/>
      <c r="B15215" s="85"/>
      <c r="C15215" s="85"/>
      <c r="F15215" s="92"/>
      <c r="G15215" s="85"/>
    </row>
    <row r="15216">
      <c r="A15216" s="84"/>
      <c r="B15216" s="85"/>
      <c r="C15216" s="85"/>
      <c r="F15216" s="92"/>
      <c r="G15216" s="85"/>
    </row>
    <row r="15217">
      <c r="A15217" s="84"/>
      <c r="B15217" s="85"/>
      <c r="C15217" s="85"/>
      <c r="F15217" s="92"/>
      <c r="G15217" s="85"/>
    </row>
    <row r="15218">
      <c r="A15218" s="84"/>
      <c r="B15218" s="85"/>
      <c r="C15218" s="85"/>
      <c r="F15218" s="92"/>
      <c r="G15218" s="85"/>
    </row>
    <row r="15219">
      <c r="A15219" s="84"/>
      <c r="B15219" s="85"/>
      <c r="C15219" s="85"/>
      <c r="F15219" s="92"/>
      <c r="G15219" s="85"/>
    </row>
    <row r="15220">
      <c r="A15220" s="84"/>
      <c r="B15220" s="85"/>
      <c r="C15220" s="85"/>
      <c r="F15220" s="92"/>
      <c r="G15220" s="85"/>
    </row>
    <row r="15221">
      <c r="A15221" s="84"/>
      <c r="B15221" s="85"/>
      <c r="C15221" s="85"/>
      <c r="F15221" s="92"/>
      <c r="G15221" s="85"/>
    </row>
    <row r="15222">
      <c r="A15222" s="84"/>
      <c r="B15222" s="85"/>
      <c r="C15222" s="85"/>
      <c r="F15222" s="92"/>
      <c r="G15222" s="85"/>
    </row>
    <row r="15223">
      <c r="A15223" s="84"/>
      <c r="B15223" s="85"/>
      <c r="C15223" s="85"/>
      <c r="F15223" s="92"/>
      <c r="G15223" s="85"/>
    </row>
    <row r="15224">
      <c r="A15224" s="84"/>
      <c r="B15224" s="85"/>
      <c r="C15224" s="85"/>
      <c r="F15224" s="92"/>
      <c r="G15224" s="85"/>
    </row>
    <row r="15225">
      <c r="A15225" s="84"/>
      <c r="B15225" s="85"/>
      <c r="C15225" s="85"/>
      <c r="F15225" s="92"/>
      <c r="G15225" s="85"/>
    </row>
    <row r="15226">
      <c r="A15226" s="84"/>
      <c r="B15226" s="85"/>
      <c r="C15226" s="85"/>
      <c r="F15226" s="92"/>
      <c r="G15226" s="85"/>
    </row>
    <row r="15227">
      <c r="A15227" s="84"/>
      <c r="B15227" s="85"/>
      <c r="C15227" s="85"/>
      <c r="F15227" s="92"/>
      <c r="G15227" s="85"/>
    </row>
    <row r="15228">
      <c r="A15228" s="84"/>
      <c r="B15228" s="85"/>
      <c r="C15228" s="85"/>
      <c r="F15228" s="92"/>
      <c r="G15228" s="85"/>
    </row>
    <row r="15229">
      <c r="A15229" s="84"/>
      <c r="B15229" s="85"/>
      <c r="C15229" s="85"/>
      <c r="F15229" s="92"/>
      <c r="G15229" s="85"/>
    </row>
    <row r="15230">
      <c r="A15230" s="84"/>
      <c r="B15230" s="85"/>
      <c r="C15230" s="85"/>
      <c r="F15230" s="92"/>
      <c r="G15230" s="85"/>
    </row>
    <row r="15231">
      <c r="A15231" s="84"/>
      <c r="B15231" s="85"/>
      <c r="C15231" s="85"/>
      <c r="F15231" s="92"/>
      <c r="G15231" s="85"/>
    </row>
    <row r="15232">
      <c r="A15232" s="84"/>
      <c r="B15232" s="85"/>
      <c r="C15232" s="85"/>
      <c r="F15232" s="92"/>
      <c r="G15232" s="85"/>
    </row>
    <row r="15233">
      <c r="A15233" s="84"/>
      <c r="B15233" s="85"/>
      <c r="C15233" s="85"/>
      <c r="F15233" s="92"/>
      <c r="G15233" s="85"/>
    </row>
    <row r="15234">
      <c r="A15234" s="84"/>
      <c r="B15234" s="85"/>
      <c r="C15234" s="85"/>
      <c r="F15234" s="92"/>
      <c r="G15234" s="85"/>
    </row>
    <row r="15235">
      <c r="A15235" s="84"/>
      <c r="B15235" s="85"/>
      <c r="C15235" s="85"/>
      <c r="F15235" s="92"/>
      <c r="G15235" s="85"/>
    </row>
    <row r="15236">
      <c r="A15236" s="84"/>
      <c r="B15236" s="85"/>
      <c r="C15236" s="85"/>
      <c r="F15236" s="92"/>
      <c r="G15236" s="85"/>
    </row>
    <row r="15237">
      <c r="A15237" s="84"/>
      <c r="B15237" s="85"/>
      <c r="C15237" s="85"/>
      <c r="F15237" s="92"/>
      <c r="G15237" s="85"/>
    </row>
    <row r="15238">
      <c r="A15238" s="84"/>
      <c r="B15238" s="85"/>
      <c r="C15238" s="85"/>
      <c r="F15238" s="92"/>
      <c r="G15238" s="85"/>
    </row>
    <row r="15239">
      <c r="A15239" s="84"/>
      <c r="B15239" s="85"/>
      <c r="C15239" s="85"/>
      <c r="F15239" s="92"/>
      <c r="G15239" s="85"/>
    </row>
    <row r="15240">
      <c r="A15240" s="84"/>
      <c r="B15240" s="85"/>
      <c r="C15240" s="85"/>
      <c r="F15240" s="92"/>
      <c r="G15240" s="85"/>
    </row>
    <row r="15241">
      <c r="A15241" s="84"/>
      <c r="B15241" s="85"/>
      <c r="C15241" s="85"/>
      <c r="F15241" s="92"/>
      <c r="G15241" s="85"/>
    </row>
    <row r="15242">
      <c r="A15242" s="84"/>
      <c r="B15242" s="85"/>
      <c r="C15242" s="85"/>
      <c r="F15242" s="92"/>
      <c r="G15242" s="85"/>
    </row>
    <row r="15243">
      <c r="A15243" s="84"/>
      <c r="B15243" s="85"/>
      <c r="C15243" s="85"/>
      <c r="F15243" s="92"/>
      <c r="G15243" s="85"/>
    </row>
    <row r="15244">
      <c r="A15244" s="84"/>
      <c r="B15244" s="85"/>
      <c r="C15244" s="85"/>
      <c r="F15244" s="92"/>
      <c r="G15244" s="85"/>
    </row>
    <row r="15245">
      <c r="A15245" s="84"/>
      <c r="B15245" s="85"/>
      <c r="C15245" s="85"/>
      <c r="F15245" s="92"/>
      <c r="G15245" s="85"/>
    </row>
    <row r="15246">
      <c r="A15246" s="84"/>
      <c r="B15246" s="85"/>
      <c r="C15246" s="85"/>
      <c r="F15246" s="92"/>
      <c r="G15246" s="85"/>
    </row>
    <row r="15247">
      <c r="A15247" s="84"/>
      <c r="B15247" s="85"/>
      <c r="C15247" s="85"/>
      <c r="F15247" s="92"/>
      <c r="G15247" s="85"/>
    </row>
    <row r="15248">
      <c r="A15248" s="84"/>
      <c r="B15248" s="85"/>
      <c r="C15248" s="85"/>
      <c r="F15248" s="92"/>
      <c r="G15248" s="85"/>
    </row>
    <row r="15249">
      <c r="A15249" s="84"/>
      <c r="B15249" s="85"/>
      <c r="C15249" s="85"/>
      <c r="F15249" s="92"/>
      <c r="G15249" s="85"/>
    </row>
    <row r="15250">
      <c r="A15250" s="84"/>
      <c r="B15250" s="85"/>
      <c r="C15250" s="85"/>
      <c r="F15250" s="92"/>
      <c r="G15250" s="85"/>
    </row>
    <row r="15251">
      <c r="A15251" s="84"/>
      <c r="B15251" s="85"/>
      <c r="C15251" s="85"/>
      <c r="F15251" s="92"/>
      <c r="G15251" s="85"/>
    </row>
    <row r="15252">
      <c r="A15252" s="84"/>
      <c r="B15252" s="85"/>
      <c r="C15252" s="85"/>
      <c r="F15252" s="92"/>
      <c r="G15252" s="85"/>
    </row>
    <row r="15253">
      <c r="A15253" s="84"/>
      <c r="B15253" s="85"/>
      <c r="C15253" s="85"/>
      <c r="F15253" s="92"/>
      <c r="G15253" s="85"/>
    </row>
    <row r="15254">
      <c r="A15254" s="84"/>
      <c r="B15254" s="85"/>
      <c r="C15254" s="85"/>
      <c r="F15254" s="92"/>
      <c r="G15254" s="85"/>
    </row>
    <row r="15255">
      <c r="A15255" s="84"/>
      <c r="B15255" s="85"/>
      <c r="C15255" s="85"/>
      <c r="F15255" s="92"/>
      <c r="G15255" s="85"/>
    </row>
    <row r="15256">
      <c r="A15256" s="84"/>
      <c r="B15256" s="85"/>
      <c r="C15256" s="85"/>
      <c r="F15256" s="92"/>
      <c r="G15256" s="85"/>
    </row>
    <row r="15257">
      <c r="A15257" s="84"/>
      <c r="B15257" s="85"/>
      <c r="C15257" s="85"/>
      <c r="F15257" s="92"/>
      <c r="G15257" s="85"/>
    </row>
    <row r="15258">
      <c r="A15258" s="84"/>
      <c r="B15258" s="85"/>
      <c r="C15258" s="85"/>
      <c r="F15258" s="92"/>
      <c r="G15258" s="85"/>
    </row>
    <row r="15259">
      <c r="A15259" s="84"/>
      <c r="B15259" s="85"/>
      <c r="C15259" s="85"/>
      <c r="F15259" s="92"/>
      <c r="G15259" s="85"/>
    </row>
    <row r="15260">
      <c r="A15260" s="84"/>
      <c r="B15260" s="85"/>
      <c r="C15260" s="85"/>
      <c r="F15260" s="92"/>
      <c r="G15260" s="85"/>
    </row>
    <row r="15261">
      <c r="A15261" s="84"/>
      <c r="B15261" s="85"/>
      <c r="C15261" s="85"/>
      <c r="F15261" s="92"/>
      <c r="G15261" s="85"/>
    </row>
    <row r="15262">
      <c r="A15262" s="84"/>
      <c r="B15262" s="85"/>
      <c r="C15262" s="85"/>
      <c r="F15262" s="92"/>
      <c r="G15262" s="85"/>
    </row>
    <row r="15263">
      <c r="A15263" s="84"/>
      <c r="B15263" s="85"/>
      <c r="C15263" s="85"/>
      <c r="F15263" s="92"/>
      <c r="G15263" s="85"/>
    </row>
    <row r="15264">
      <c r="A15264" s="84"/>
      <c r="B15264" s="85"/>
      <c r="C15264" s="85"/>
      <c r="F15264" s="92"/>
      <c r="G15264" s="85"/>
    </row>
    <row r="15265">
      <c r="A15265" s="84"/>
      <c r="B15265" s="85"/>
      <c r="C15265" s="85"/>
      <c r="F15265" s="92"/>
      <c r="G15265" s="85"/>
    </row>
    <row r="15266">
      <c r="A15266" s="84"/>
      <c r="B15266" s="85"/>
      <c r="C15266" s="85"/>
      <c r="F15266" s="92"/>
      <c r="G15266" s="85"/>
    </row>
    <row r="15267">
      <c r="A15267" s="84"/>
      <c r="B15267" s="85"/>
      <c r="C15267" s="85"/>
      <c r="F15267" s="92"/>
      <c r="G15267" s="85"/>
    </row>
    <row r="15268">
      <c r="A15268" s="84"/>
      <c r="B15268" s="85"/>
      <c r="C15268" s="85"/>
      <c r="F15268" s="92"/>
      <c r="G15268" s="85"/>
    </row>
    <row r="15269">
      <c r="A15269" s="84"/>
      <c r="B15269" s="85"/>
      <c r="C15269" s="85"/>
      <c r="F15269" s="92"/>
      <c r="G15269" s="85"/>
    </row>
    <row r="15270">
      <c r="A15270" s="84"/>
      <c r="B15270" s="85"/>
      <c r="C15270" s="85"/>
      <c r="F15270" s="92"/>
      <c r="G15270" s="85"/>
    </row>
    <row r="15271">
      <c r="A15271" s="84"/>
      <c r="B15271" s="85"/>
      <c r="C15271" s="85"/>
      <c r="F15271" s="92"/>
      <c r="G15271" s="85"/>
    </row>
    <row r="15272">
      <c r="A15272" s="84"/>
      <c r="B15272" s="85"/>
      <c r="C15272" s="85"/>
      <c r="F15272" s="92"/>
      <c r="G15272" s="85"/>
    </row>
    <row r="15273">
      <c r="A15273" s="84"/>
      <c r="B15273" s="85"/>
      <c r="C15273" s="85"/>
      <c r="F15273" s="92"/>
      <c r="G15273" s="85"/>
    </row>
    <row r="15274">
      <c r="A15274" s="84"/>
      <c r="B15274" s="85"/>
      <c r="C15274" s="85"/>
      <c r="F15274" s="92"/>
      <c r="G15274" s="85"/>
    </row>
    <row r="15275">
      <c r="A15275" s="84"/>
      <c r="B15275" s="85"/>
      <c r="C15275" s="85"/>
      <c r="F15275" s="92"/>
      <c r="G15275" s="85"/>
    </row>
    <row r="15276">
      <c r="A15276" s="84"/>
      <c r="B15276" s="85"/>
      <c r="C15276" s="85"/>
      <c r="F15276" s="92"/>
      <c r="G15276" s="85"/>
    </row>
    <row r="15277">
      <c r="A15277" s="84"/>
      <c r="B15277" s="85"/>
      <c r="C15277" s="85"/>
      <c r="F15277" s="92"/>
      <c r="G15277" s="85"/>
    </row>
    <row r="15278">
      <c r="A15278" s="84"/>
      <c r="B15278" s="85"/>
      <c r="C15278" s="85"/>
      <c r="F15278" s="92"/>
      <c r="G15278" s="85"/>
    </row>
    <row r="15279">
      <c r="A15279" s="84"/>
      <c r="B15279" s="85"/>
      <c r="C15279" s="85"/>
      <c r="F15279" s="92"/>
      <c r="G15279" s="85"/>
    </row>
    <row r="15280">
      <c r="A15280" s="84"/>
      <c r="B15280" s="85"/>
      <c r="C15280" s="85"/>
      <c r="F15280" s="92"/>
      <c r="G15280" s="85"/>
    </row>
    <row r="15281">
      <c r="A15281" s="84"/>
      <c r="B15281" s="85"/>
      <c r="C15281" s="85"/>
      <c r="F15281" s="92"/>
      <c r="G15281" s="85"/>
    </row>
    <row r="15282">
      <c r="A15282" s="84"/>
      <c r="B15282" s="85"/>
      <c r="C15282" s="85"/>
      <c r="F15282" s="92"/>
      <c r="G15282" s="85"/>
    </row>
    <row r="15283">
      <c r="A15283" s="84"/>
      <c r="B15283" s="85"/>
      <c r="C15283" s="85"/>
      <c r="F15283" s="92"/>
      <c r="G15283" s="85"/>
    </row>
    <row r="15284">
      <c r="A15284" s="84"/>
      <c r="B15284" s="85"/>
      <c r="C15284" s="85"/>
      <c r="F15284" s="92"/>
      <c r="G15284" s="85"/>
    </row>
    <row r="15285">
      <c r="A15285" s="84"/>
      <c r="B15285" s="85"/>
      <c r="C15285" s="85"/>
      <c r="F15285" s="92"/>
      <c r="G15285" s="85"/>
    </row>
    <row r="15286">
      <c r="A15286" s="84"/>
      <c r="B15286" s="85"/>
      <c r="C15286" s="85"/>
      <c r="F15286" s="92"/>
      <c r="G15286" s="85"/>
    </row>
    <row r="15287">
      <c r="A15287" s="84"/>
      <c r="B15287" s="85"/>
      <c r="C15287" s="85"/>
      <c r="F15287" s="92"/>
      <c r="G15287" s="85"/>
    </row>
    <row r="15288">
      <c r="A15288" s="84"/>
      <c r="B15288" s="85"/>
      <c r="C15288" s="85"/>
      <c r="F15288" s="92"/>
      <c r="G15288" s="85"/>
    </row>
    <row r="15289">
      <c r="A15289" s="84"/>
      <c r="B15289" s="85"/>
      <c r="C15289" s="85"/>
      <c r="F15289" s="92"/>
      <c r="G15289" s="85"/>
    </row>
    <row r="15290">
      <c r="A15290" s="84"/>
      <c r="B15290" s="85"/>
      <c r="C15290" s="85"/>
      <c r="F15290" s="92"/>
      <c r="G15290" s="85"/>
    </row>
    <row r="15291">
      <c r="A15291" s="84"/>
      <c r="B15291" s="85"/>
      <c r="C15291" s="85"/>
      <c r="F15291" s="92"/>
      <c r="G15291" s="85"/>
    </row>
    <row r="15292">
      <c r="A15292" s="84"/>
      <c r="B15292" s="85"/>
      <c r="C15292" s="85"/>
      <c r="F15292" s="92"/>
      <c r="G15292" s="85"/>
    </row>
    <row r="15293">
      <c r="A15293" s="84"/>
      <c r="B15293" s="85"/>
      <c r="C15293" s="85"/>
      <c r="F15293" s="92"/>
      <c r="G15293" s="85"/>
    </row>
    <row r="15294">
      <c r="A15294" s="84"/>
      <c r="B15294" s="85"/>
      <c r="C15294" s="85"/>
      <c r="F15294" s="92"/>
      <c r="G15294" s="85"/>
    </row>
    <row r="15295">
      <c r="A15295" s="84"/>
      <c r="B15295" s="85"/>
      <c r="C15295" s="85"/>
      <c r="F15295" s="92"/>
      <c r="G15295" s="85"/>
    </row>
    <row r="15296">
      <c r="A15296" s="84"/>
      <c r="B15296" s="85"/>
      <c r="C15296" s="85"/>
      <c r="F15296" s="92"/>
      <c r="G15296" s="85"/>
    </row>
    <row r="15297">
      <c r="A15297" s="84"/>
      <c r="B15297" s="85"/>
      <c r="C15297" s="85"/>
      <c r="F15297" s="92"/>
      <c r="G15297" s="85"/>
    </row>
    <row r="15298">
      <c r="A15298" s="84"/>
      <c r="B15298" s="85"/>
      <c r="C15298" s="85"/>
      <c r="F15298" s="92"/>
      <c r="G15298" s="85"/>
    </row>
    <row r="15299">
      <c r="A15299" s="84"/>
      <c r="B15299" s="85"/>
      <c r="C15299" s="85"/>
      <c r="F15299" s="92"/>
      <c r="G15299" s="85"/>
    </row>
    <row r="15300">
      <c r="A15300" s="84"/>
      <c r="B15300" s="85"/>
      <c r="C15300" s="85"/>
      <c r="F15300" s="92"/>
      <c r="G15300" s="85"/>
    </row>
    <row r="15301">
      <c r="A15301" s="84"/>
      <c r="B15301" s="85"/>
      <c r="C15301" s="85"/>
      <c r="F15301" s="92"/>
      <c r="G15301" s="85"/>
    </row>
    <row r="15302">
      <c r="A15302" s="84"/>
      <c r="B15302" s="85"/>
      <c r="C15302" s="85"/>
      <c r="F15302" s="92"/>
      <c r="G15302" s="85"/>
    </row>
    <row r="15303">
      <c r="A15303" s="84"/>
      <c r="B15303" s="85"/>
      <c r="C15303" s="85"/>
      <c r="F15303" s="92"/>
      <c r="G15303" s="85"/>
    </row>
    <row r="15304">
      <c r="A15304" s="84"/>
      <c r="B15304" s="85"/>
      <c r="C15304" s="85"/>
      <c r="F15304" s="92"/>
      <c r="G15304" s="85"/>
    </row>
    <row r="15305">
      <c r="A15305" s="84"/>
      <c r="B15305" s="85"/>
      <c r="C15305" s="85"/>
      <c r="F15305" s="92"/>
      <c r="G15305" s="85"/>
    </row>
    <row r="15306">
      <c r="A15306" s="84"/>
      <c r="B15306" s="85"/>
      <c r="C15306" s="85"/>
      <c r="F15306" s="92"/>
      <c r="G15306" s="85"/>
    </row>
    <row r="15307">
      <c r="A15307" s="84"/>
      <c r="B15307" s="85"/>
      <c r="C15307" s="85"/>
      <c r="F15307" s="92"/>
      <c r="G15307" s="85"/>
    </row>
    <row r="15308">
      <c r="A15308" s="84"/>
      <c r="B15308" s="85"/>
      <c r="C15308" s="85"/>
      <c r="F15308" s="92"/>
      <c r="G15308" s="85"/>
    </row>
    <row r="15309">
      <c r="A15309" s="84"/>
      <c r="B15309" s="85"/>
      <c r="C15309" s="85"/>
      <c r="F15309" s="92"/>
      <c r="G15309" s="85"/>
    </row>
    <row r="15310">
      <c r="A15310" s="84"/>
      <c r="B15310" s="85"/>
      <c r="C15310" s="85"/>
      <c r="F15310" s="92"/>
      <c r="G15310" s="85"/>
    </row>
    <row r="15311">
      <c r="A15311" s="84"/>
      <c r="B15311" s="85"/>
      <c r="C15311" s="85"/>
      <c r="F15311" s="92"/>
      <c r="G15311" s="85"/>
    </row>
    <row r="15312">
      <c r="A15312" s="84"/>
      <c r="B15312" s="85"/>
      <c r="C15312" s="85"/>
      <c r="F15312" s="92"/>
      <c r="G15312" s="85"/>
    </row>
    <row r="15313">
      <c r="A15313" s="84"/>
      <c r="B15313" s="85"/>
      <c r="C15313" s="85"/>
      <c r="F15313" s="92"/>
      <c r="G15313" s="85"/>
    </row>
    <row r="15314">
      <c r="A15314" s="84"/>
      <c r="B15314" s="85"/>
      <c r="C15314" s="85"/>
      <c r="F15314" s="92"/>
      <c r="G15314" s="85"/>
    </row>
    <row r="15315">
      <c r="A15315" s="84"/>
      <c r="B15315" s="85"/>
      <c r="C15315" s="85"/>
      <c r="F15315" s="92"/>
      <c r="G15315" s="85"/>
    </row>
    <row r="15316">
      <c r="A15316" s="84"/>
      <c r="B15316" s="85"/>
      <c r="C15316" s="85"/>
      <c r="F15316" s="92"/>
      <c r="G15316" s="85"/>
    </row>
    <row r="15317">
      <c r="A15317" s="84"/>
      <c r="B15317" s="85"/>
      <c r="C15317" s="85"/>
      <c r="F15317" s="92"/>
      <c r="G15317" s="85"/>
    </row>
    <row r="15318">
      <c r="A15318" s="84"/>
      <c r="B15318" s="85"/>
      <c r="C15318" s="85"/>
      <c r="F15318" s="92"/>
      <c r="G15318" s="85"/>
    </row>
    <row r="15319">
      <c r="A15319" s="84"/>
      <c r="B15319" s="85"/>
      <c r="C15319" s="85"/>
      <c r="F15319" s="92"/>
      <c r="G15319" s="85"/>
    </row>
    <row r="15320">
      <c r="A15320" s="84"/>
      <c r="B15320" s="85"/>
      <c r="C15320" s="85"/>
      <c r="F15320" s="92"/>
      <c r="G15320" s="85"/>
    </row>
    <row r="15321">
      <c r="A15321" s="84"/>
      <c r="B15321" s="85"/>
      <c r="C15321" s="85"/>
      <c r="F15321" s="92"/>
      <c r="G15321" s="85"/>
    </row>
    <row r="15322">
      <c r="A15322" s="84"/>
      <c r="B15322" s="85"/>
      <c r="C15322" s="85"/>
      <c r="F15322" s="92"/>
      <c r="G15322" s="85"/>
    </row>
    <row r="15323">
      <c r="A15323" s="84"/>
      <c r="B15323" s="85"/>
      <c r="C15323" s="85"/>
      <c r="F15323" s="92"/>
      <c r="G15323" s="85"/>
    </row>
    <row r="15324">
      <c r="A15324" s="84"/>
      <c r="B15324" s="85"/>
      <c r="C15324" s="85"/>
      <c r="F15324" s="92"/>
      <c r="G15324" s="85"/>
    </row>
    <row r="15325">
      <c r="A15325" s="84"/>
      <c r="B15325" s="85"/>
      <c r="C15325" s="85"/>
      <c r="F15325" s="92"/>
      <c r="G15325" s="85"/>
    </row>
    <row r="15326">
      <c r="A15326" s="84"/>
      <c r="B15326" s="85"/>
      <c r="C15326" s="85"/>
      <c r="F15326" s="92"/>
      <c r="G15326" s="85"/>
    </row>
    <row r="15327">
      <c r="A15327" s="84"/>
      <c r="B15327" s="85"/>
      <c r="C15327" s="85"/>
      <c r="F15327" s="92"/>
      <c r="G15327" s="85"/>
    </row>
    <row r="15328">
      <c r="A15328" s="84"/>
      <c r="B15328" s="85"/>
      <c r="C15328" s="85"/>
      <c r="F15328" s="92"/>
      <c r="G15328" s="85"/>
    </row>
    <row r="15329">
      <c r="A15329" s="84"/>
      <c r="B15329" s="85"/>
      <c r="C15329" s="85"/>
      <c r="F15329" s="92"/>
      <c r="G15329" s="85"/>
    </row>
    <row r="15330">
      <c r="A15330" s="84"/>
      <c r="B15330" s="85"/>
      <c r="C15330" s="85"/>
      <c r="F15330" s="92"/>
      <c r="G15330" s="85"/>
    </row>
    <row r="15331">
      <c r="A15331" s="84"/>
      <c r="B15331" s="85"/>
      <c r="C15331" s="85"/>
      <c r="F15331" s="92"/>
      <c r="G15331" s="85"/>
    </row>
    <row r="15332">
      <c r="A15332" s="84"/>
      <c r="B15332" s="85"/>
      <c r="C15332" s="85"/>
      <c r="F15332" s="92"/>
      <c r="G15332" s="85"/>
    </row>
    <row r="15333">
      <c r="A15333" s="84"/>
      <c r="B15333" s="85"/>
      <c r="C15333" s="85"/>
      <c r="F15333" s="92"/>
      <c r="G15333" s="85"/>
    </row>
    <row r="15334">
      <c r="A15334" s="84"/>
      <c r="B15334" s="85"/>
      <c r="C15334" s="85"/>
      <c r="F15334" s="92"/>
      <c r="G15334" s="85"/>
    </row>
    <row r="15335">
      <c r="A15335" s="84"/>
      <c r="B15335" s="85"/>
      <c r="C15335" s="85"/>
      <c r="F15335" s="92"/>
      <c r="G15335" s="85"/>
    </row>
    <row r="15336">
      <c r="A15336" s="84"/>
      <c r="B15336" s="85"/>
      <c r="C15336" s="85"/>
      <c r="F15336" s="92"/>
      <c r="G15336" s="85"/>
    </row>
    <row r="15337">
      <c r="A15337" s="84"/>
      <c r="B15337" s="85"/>
      <c r="C15337" s="85"/>
      <c r="F15337" s="92"/>
      <c r="G15337" s="85"/>
    </row>
    <row r="15338">
      <c r="A15338" s="84"/>
      <c r="B15338" s="85"/>
      <c r="C15338" s="85"/>
      <c r="F15338" s="92"/>
      <c r="G15338" s="85"/>
    </row>
    <row r="15339">
      <c r="A15339" s="84"/>
      <c r="B15339" s="85"/>
      <c r="C15339" s="85"/>
      <c r="F15339" s="92"/>
      <c r="G15339" s="85"/>
    </row>
    <row r="15340">
      <c r="A15340" s="84"/>
      <c r="B15340" s="85"/>
      <c r="C15340" s="85"/>
      <c r="F15340" s="92"/>
      <c r="G15340" s="85"/>
    </row>
    <row r="15341">
      <c r="A15341" s="84"/>
      <c r="B15341" s="85"/>
      <c r="C15341" s="85"/>
      <c r="F15341" s="92"/>
      <c r="G15341" s="85"/>
    </row>
    <row r="15342">
      <c r="A15342" s="84"/>
      <c r="B15342" s="85"/>
      <c r="C15342" s="85"/>
      <c r="F15342" s="92"/>
      <c r="G15342" s="85"/>
    </row>
    <row r="15343">
      <c r="A15343" s="84"/>
      <c r="B15343" s="85"/>
      <c r="C15343" s="85"/>
      <c r="F15343" s="92"/>
      <c r="G15343" s="85"/>
    </row>
    <row r="15344">
      <c r="A15344" s="84"/>
      <c r="B15344" s="85"/>
      <c r="C15344" s="85"/>
      <c r="F15344" s="92"/>
      <c r="G15344" s="85"/>
    </row>
    <row r="15345">
      <c r="A15345" s="84"/>
      <c r="B15345" s="85"/>
      <c r="C15345" s="85"/>
      <c r="F15345" s="92"/>
      <c r="G15345" s="85"/>
    </row>
    <row r="15346">
      <c r="A15346" s="84"/>
      <c r="B15346" s="85"/>
      <c r="C15346" s="85"/>
      <c r="F15346" s="92"/>
      <c r="G15346" s="85"/>
    </row>
    <row r="15347">
      <c r="A15347" s="84"/>
      <c r="B15347" s="85"/>
      <c r="C15347" s="85"/>
      <c r="F15347" s="92"/>
      <c r="G15347" s="85"/>
    </row>
    <row r="15348">
      <c r="A15348" s="84"/>
      <c r="B15348" s="85"/>
      <c r="C15348" s="85"/>
      <c r="F15348" s="92"/>
      <c r="G15348" s="85"/>
    </row>
    <row r="15349">
      <c r="A15349" s="84"/>
      <c r="B15349" s="85"/>
      <c r="C15349" s="85"/>
      <c r="F15349" s="92"/>
      <c r="G15349" s="85"/>
    </row>
    <row r="15350">
      <c r="A15350" s="84"/>
      <c r="B15350" s="85"/>
      <c r="C15350" s="85"/>
      <c r="F15350" s="92"/>
      <c r="G15350" s="85"/>
    </row>
    <row r="15351">
      <c r="A15351" s="84"/>
      <c r="B15351" s="85"/>
      <c r="C15351" s="85"/>
      <c r="F15351" s="92"/>
      <c r="G15351" s="85"/>
    </row>
    <row r="15352">
      <c r="A15352" s="84"/>
      <c r="B15352" s="85"/>
      <c r="C15352" s="85"/>
      <c r="F15352" s="92"/>
      <c r="G15352" s="85"/>
    </row>
    <row r="15353">
      <c r="A15353" s="84"/>
      <c r="B15353" s="85"/>
      <c r="C15353" s="85"/>
      <c r="F15353" s="92"/>
      <c r="G15353" s="85"/>
    </row>
    <row r="15354">
      <c r="A15354" s="84"/>
      <c r="B15354" s="85"/>
      <c r="C15354" s="85"/>
      <c r="F15354" s="92"/>
      <c r="G15354" s="85"/>
    </row>
    <row r="15355">
      <c r="A15355" s="84"/>
      <c r="B15355" s="85"/>
      <c r="C15355" s="85"/>
      <c r="F15355" s="92"/>
      <c r="G15355" s="85"/>
    </row>
    <row r="15356">
      <c r="A15356" s="84"/>
      <c r="B15356" s="85"/>
      <c r="C15356" s="85"/>
      <c r="F15356" s="92"/>
      <c r="G15356" s="85"/>
    </row>
    <row r="15357">
      <c r="A15357" s="84"/>
      <c r="B15357" s="85"/>
      <c r="C15357" s="85"/>
      <c r="F15357" s="92"/>
      <c r="G15357" s="85"/>
    </row>
    <row r="15358">
      <c r="A15358" s="84"/>
      <c r="B15358" s="85"/>
      <c r="C15358" s="85"/>
      <c r="F15358" s="92"/>
      <c r="G15358" s="85"/>
    </row>
    <row r="15359">
      <c r="A15359" s="84"/>
      <c r="B15359" s="85"/>
      <c r="C15359" s="85"/>
      <c r="F15359" s="92"/>
      <c r="G15359" s="85"/>
    </row>
    <row r="15360">
      <c r="A15360" s="84"/>
      <c r="B15360" s="85"/>
      <c r="C15360" s="85"/>
      <c r="F15360" s="92"/>
      <c r="G15360" s="85"/>
    </row>
    <row r="15361">
      <c r="A15361" s="84"/>
      <c r="B15361" s="85"/>
      <c r="C15361" s="85"/>
      <c r="F15361" s="92"/>
      <c r="G15361" s="85"/>
    </row>
    <row r="15362">
      <c r="A15362" s="84"/>
      <c r="B15362" s="85"/>
      <c r="C15362" s="85"/>
      <c r="F15362" s="92"/>
      <c r="G15362" s="85"/>
    </row>
    <row r="15363">
      <c r="A15363" s="84"/>
      <c r="B15363" s="85"/>
      <c r="C15363" s="85"/>
      <c r="F15363" s="92"/>
      <c r="G15363" s="85"/>
    </row>
    <row r="15364">
      <c r="A15364" s="84"/>
      <c r="B15364" s="85"/>
      <c r="C15364" s="85"/>
      <c r="F15364" s="92"/>
      <c r="G15364" s="85"/>
    </row>
    <row r="15365">
      <c r="A15365" s="84"/>
      <c r="B15365" s="85"/>
      <c r="C15365" s="85"/>
      <c r="F15365" s="92"/>
      <c r="G15365" s="85"/>
    </row>
    <row r="15366">
      <c r="A15366" s="84"/>
      <c r="B15366" s="85"/>
      <c r="C15366" s="85"/>
      <c r="F15366" s="92"/>
      <c r="G15366" s="85"/>
    </row>
    <row r="15367">
      <c r="A15367" s="84"/>
      <c r="B15367" s="85"/>
      <c r="C15367" s="85"/>
      <c r="F15367" s="92"/>
      <c r="G15367" s="85"/>
    </row>
    <row r="15368">
      <c r="A15368" s="84"/>
      <c r="B15368" s="85"/>
      <c r="C15368" s="85"/>
      <c r="F15368" s="92"/>
      <c r="G15368" s="85"/>
    </row>
    <row r="15369">
      <c r="A15369" s="84"/>
      <c r="B15369" s="85"/>
      <c r="C15369" s="85"/>
      <c r="F15369" s="92"/>
      <c r="G15369" s="85"/>
    </row>
    <row r="15370">
      <c r="A15370" s="84"/>
      <c r="B15370" s="85"/>
      <c r="C15370" s="85"/>
      <c r="F15370" s="92"/>
      <c r="G15370" s="85"/>
    </row>
    <row r="15371">
      <c r="A15371" s="84"/>
      <c r="B15371" s="85"/>
      <c r="C15371" s="85"/>
      <c r="F15371" s="92"/>
      <c r="G15371" s="85"/>
    </row>
    <row r="15372">
      <c r="A15372" s="84"/>
      <c r="B15372" s="85"/>
      <c r="C15372" s="85"/>
      <c r="F15372" s="92"/>
      <c r="G15372" s="85"/>
    </row>
    <row r="15373">
      <c r="A15373" s="84"/>
      <c r="B15373" s="85"/>
      <c r="C15373" s="85"/>
      <c r="F15373" s="92"/>
      <c r="G15373" s="85"/>
    </row>
    <row r="15374">
      <c r="A15374" s="84"/>
      <c r="B15374" s="85"/>
      <c r="C15374" s="85"/>
      <c r="F15374" s="92"/>
      <c r="G15374" s="85"/>
    </row>
    <row r="15375">
      <c r="A15375" s="84"/>
      <c r="B15375" s="85"/>
      <c r="C15375" s="85"/>
      <c r="F15375" s="92"/>
      <c r="G15375" s="85"/>
    </row>
    <row r="15376">
      <c r="A15376" s="84"/>
      <c r="B15376" s="85"/>
      <c r="C15376" s="85"/>
      <c r="F15376" s="92"/>
      <c r="G15376" s="85"/>
    </row>
    <row r="15377">
      <c r="A15377" s="84"/>
      <c r="B15377" s="85"/>
      <c r="C15377" s="85"/>
      <c r="F15377" s="92"/>
      <c r="G15377" s="85"/>
    </row>
    <row r="15378">
      <c r="A15378" s="84"/>
      <c r="B15378" s="85"/>
      <c r="C15378" s="85"/>
      <c r="F15378" s="92"/>
      <c r="G15378" s="85"/>
    </row>
    <row r="15379">
      <c r="A15379" s="84"/>
      <c r="B15379" s="85"/>
      <c r="C15379" s="85"/>
      <c r="F15379" s="92"/>
      <c r="G15379" s="85"/>
    </row>
    <row r="15380">
      <c r="A15380" s="84"/>
      <c r="B15380" s="85"/>
      <c r="C15380" s="85"/>
      <c r="F15380" s="92"/>
      <c r="G15380" s="85"/>
    </row>
    <row r="15381">
      <c r="A15381" s="84"/>
      <c r="B15381" s="85"/>
      <c r="C15381" s="85"/>
      <c r="F15381" s="92"/>
      <c r="G15381" s="85"/>
    </row>
    <row r="15382">
      <c r="A15382" s="84"/>
      <c r="B15382" s="85"/>
      <c r="C15382" s="85"/>
      <c r="F15382" s="92"/>
      <c r="G15382" s="85"/>
    </row>
    <row r="15383">
      <c r="A15383" s="84"/>
      <c r="B15383" s="85"/>
      <c r="C15383" s="85"/>
      <c r="F15383" s="92"/>
      <c r="G15383" s="85"/>
    </row>
    <row r="15384">
      <c r="A15384" s="84"/>
      <c r="B15384" s="85"/>
      <c r="C15384" s="85"/>
      <c r="F15384" s="92"/>
      <c r="G15384" s="85"/>
    </row>
    <row r="15385">
      <c r="A15385" s="84"/>
      <c r="B15385" s="85"/>
      <c r="C15385" s="85"/>
      <c r="F15385" s="92"/>
      <c r="G15385" s="85"/>
    </row>
    <row r="15386">
      <c r="A15386" s="84"/>
      <c r="B15386" s="85"/>
      <c r="C15386" s="85"/>
      <c r="F15386" s="92"/>
      <c r="G15386" s="85"/>
    </row>
    <row r="15387">
      <c r="A15387" s="84"/>
      <c r="B15387" s="85"/>
      <c r="C15387" s="85"/>
      <c r="F15387" s="92"/>
      <c r="G15387" s="85"/>
    </row>
    <row r="15388">
      <c r="A15388" s="84"/>
      <c r="B15388" s="85"/>
      <c r="C15388" s="85"/>
      <c r="F15388" s="92"/>
      <c r="G15388" s="85"/>
    </row>
    <row r="15389">
      <c r="A15389" s="84"/>
      <c r="B15389" s="85"/>
      <c r="C15389" s="85"/>
      <c r="F15389" s="92"/>
      <c r="G15389" s="85"/>
    </row>
    <row r="15390">
      <c r="A15390" s="84"/>
      <c r="B15390" s="85"/>
      <c r="C15390" s="85"/>
      <c r="F15390" s="92"/>
      <c r="G15390" s="85"/>
    </row>
    <row r="15391">
      <c r="A15391" s="84"/>
      <c r="B15391" s="85"/>
      <c r="C15391" s="85"/>
      <c r="F15391" s="92"/>
      <c r="G15391" s="85"/>
    </row>
    <row r="15392">
      <c r="A15392" s="84"/>
      <c r="B15392" s="85"/>
      <c r="C15392" s="85"/>
      <c r="F15392" s="92"/>
      <c r="G15392" s="85"/>
    </row>
    <row r="15393">
      <c r="A15393" s="84"/>
      <c r="B15393" s="85"/>
      <c r="C15393" s="85"/>
      <c r="F15393" s="92"/>
      <c r="G15393" s="85"/>
    </row>
    <row r="15394">
      <c r="A15394" s="84"/>
      <c r="B15394" s="85"/>
      <c r="C15394" s="85"/>
      <c r="F15394" s="92"/>
      <c r="G15394" s="85"/>
    </row>
    <row r="15395">
      <c r="A15395" s="84"/>
      <c r="B15395" s="85"/>
      <c r="C15395" s="85"/>
      <c r="F15395" s="92"/>
      <c r="G15395" s="85"/>
    </row>
    <row r="15396">
      <c r="A15396" s="84"/>
      <c r="B15396" s="85"/>
      <c r="C15396" s="85"/>
      <c r="F15396" s="92"/>
      <c r="G15396" s="85"/>
    </row>
    <row r="15397">
      <c r="A15397" s="84"/>
      <c r="B15397" s="85"/>
      <c r="C15397" s="85"/>
      <c r="F15397" s="92"/>
      <c r="G15397" s="85"/>
    </row>
    <row r="15398">
      <c r="A15398" s="84"/>
      <c r="B15398" s="85"/>
      <c r="C15398" s="85"/>
      <c r="F15398" s="92"/>
      <c r="G15398" s="85"/>
    </row>
    <row r="15399">
      <c r="A15399" s="84"/>
      <c r="B15399" s="85"/>
      <c r="C15399" s="85"/>
      <c r="F15399" s="92"/>
      <c r="G15399" s="85"/>
    </row>
    <row r="15400">
      <c r="A15400" s="84"/>
      <c r="B15400" s="85"/>
      <c r="C15400" s="85"/>
      <c r="F15400" s="92"/>
      <c r="G15400" s="85"/>
    </row>
    <row r="15401">
      <c r="A15401" s="84"/>
      <c r="B15401" s="85"/>
      <c r="C15401" s="85"/>
      <c r="F15401" s="92"/>
      <c r="G15401" s="85"/>
    </row>
    <row r="15402">
      <c r="A15402" s="84"/>
      <c r="B15402" s="85"/>
      <c r="C15402" s="85"/>
      <c r="F15402" s="92"/>
      <c r="G15402" s="85"/>
    </row>
    <row r="15403">
      <c r="A15403" s="84"/>
      <c r="B15403" s="85"/>
      <c r="C15403" s="85"/>
      <c r="F15403" s="92"/>
      <c r="G15403" s="85"/>
    </row>
    <row r="15404">
      <c r="A15404" s="84"/>
      <c r="B15404" s="85"/>
      <c r="C15404" s="85"/>
      <c r="F15404" s="92"/>
      <c r="G15404" s="85"/>
    </row>
    <row r="15405">
      <c r="A15405" s="84"/>
      <c r="B15405" s="85"/>
      <c r="C15405" s="85"/>
      <c r="F15405" s="92"/>
      <c r="G15405" s="85"/>
    </row>
    <row r="15406">
      <c r="A15406" s="84"/>
      <c r="B15406" s="85"/>
      <c r="C15406" s="85"/>
      <c r="F15406" s="92"/>
      <c r="G15406" s="85"/>
    </row>
    <row r="15407">
      <c r="A15407" s="84"/>
      <c r="B15407" s="85"/>
      <c r="C15407" s="85"/>
      <c r="F15407" s="92"/>
      <c r="G15407" s="85"/>
    </row>
    <row r="15408">
      <c r="A15408" s="84"/>
      <c r="B15408" s="85"/>
      <c r="C15408" s="85"/>
      <c r="F15408" s="92"/>
      <c r="G15408" s="85"/>
    </row>
    <row r="15409">
      <c r="A15409" s="84"/>
      <c r="B15409" s="85"/>
      <c r="C15409" s="85"/>
      <c r="F15409" s="92"/>
      <c r="G15409" s="85"/>
    </row>
    <row r="15410">
      <c r="A15410" s="84"/>
      <c r="B15410" s="85"/>
      <c r="C15410" s="85"/>
      <c r="F15410" s="92"/>
      <c r="G15410" s="85"/>
    </row>
    <row r="15411">
      <c r="A15411" s="84"/>
      <c r="B15411" s="85"/>
      <c r="C15411" s="85"/>
      <c r="F15411" s="92"/>
      <c r="G15411" s="85"/>
    </row>
    <row r="15412">
      <c r="A15412" s="84"/>
      <c r="B15412" s="85"/>
      <c r="C15412" s="85"/>
      <c r="F15412" s="92"/>
      <c r="G15412" s="85"/>
    </row>
    <row r="15413">
      <c r="A15413" s="84"/>
      <c r="B15413" s="85"/>
      <c r="C15413" s="85"/>
      <c r="F15413" s="92"/>
      <c r="G15413" s="85"/>
    </row>
    <row r="15414">
      <c r="A15414" s="84"/>
      <c r="B15414" s="85"/>
      <c r="C15414" s="85"/>
      <c r="F15414" s="92"/>
      <c r="G15414" s="85"/>
    </row>
    <row r="15415">
      <c r="A15415" s="84"/>
      <c r="B15415" s="85"/>
      <c r="C15415" s="85"/>
      <c r="F15415" s="92"/>
      <c r="G15415" s="85"/>
    </row>
    <row r="15416">
      <c r="A15416" s="84"/>
      <c r="B15416" s="85"/>
      <c r="C15416" s="85"/>
      <c r="F15416" s="92"/>
      <c r="G15416" s="85"/>
    </row>
    <row r="15417">
      <c r="A15417" s="84"/>
      <c r="B15417" s="85"/>
      <c r="C15417" s="85"/>
      <c r="F15417" s="92"/>
      <c r="G15417" s="85"/>
    </row>
    <row r="15418">
      <c r="A15418" s="84"/>
      <c r="B15418" s="85"/>
      <c r="C15418" s="85"/>
      <c r="F15418" s="92"/>
      <c r="G15418" s="85"/>
    </row>
    <row r="15419">
      <c r="A15419" s="84"/>
      <c r="B15419" s="85"/>
      <c r="C15419" s="85"/>
      <c r="F15419" s="92"/>
      <c r="G15419" s="85"/>
    </row>
    <row r="15420">
      <c r="A15420" s="84"/>
      <c r="B15420" s="85"/>
      <c r="C15420" s="85"/>
      <c r="F15420" s="92"/>
      <c r="G15420" s="85"/>
    </row>
    <row r="15421">
      <c r="A15421" s="84"/>
      <c r="B15421" s="85"/>
      <c r="C15421" s="85"/>
      <c r="F15421" s="92"/>
      <c r="G15421" s="85"/>
    </row>
    <row r="15422">
      <c r="A15422" s="84"/>
      <c r="B15422" s="85"/>
      <c r="C15422" s="85"/>
      <c r="F15422" s="92"/>
      <c r="G15422" s="85"/>
    </row>
    <row r="15423">
      <c r="A15423" s="84"/>
      <c r="B15423" s="85"/>
      <c r="C15423" s="85"/>
      <c r="F15423" s="92"/>
      <c r="G15423" s="85"/>
    </row>
    <row r="15424">
      <c r="A15424" s="84"/>
      <c r="B15424" s="85"/>
      <c r="C15424" s="85"/>
      <c r="F15424" s="92"/>
      <c r="G15424" s="85"/>
    </row>
    <row r="15425">
      <c r="A15425" s="84"/>
      <c r="B15425" s="85"/>
      <c r="C15425" s="85"/>
      <c r="F15425" s="92"/>
      <c r="G15425" s="85"/>
    </row>
    <row r="15426">
      <c r="A15426" s="84"/>
      <c r="B15426" s="85"/>
      <c r="C15426" s="85"/>
      <c r="F15426" s="92"/>
      <c r="G15426" s="85"/>
    </row>
    <row r="15427">
      <c r="A15427" s="84"/>
      <c r="B15427" s="85"/>
      <c r="C15427" s="85"/>
      <c r="F15427" s="92"/>
      <c r="G15427" s="85"/>
    </row>
    <row r="15428">
      <c r="A15428" s="84"/>
      <c r="B15428" s="85"/>
      <c r="C15428" s="85"/>
      <c r="F15428" s="92"/>
      <c r="G15428" s="85"/>
    </row>
    <row r="15429">
      <c r="A15429" s="84"/>
      <c r="B15429" s="85"/>
      <c r="C15429" s="85"/>
      <c r="F15429" s="92"/>
      <c r="G15429" s="85"/>
    </row>
    <row r="15430">
      <c r="A15430" s="84"/>
      <c r="B15430" s="85"/>
      <c r="C15430" s="85"/>
      <c r="F15430" s="92"/>
      <c r="G15430" s="85"/>
    </row>
    <row r="15431">
      <c r="A15431" s="84"/>
      <c r="B15431" s="85"/>
      <c r="C15431" s="85"/>
      <c r="F15431" s="92"/>
      <c r="G15431" s="85"/>
    </row>
    <row r="15432">
      <c r="A15432" s="84"/>
      <c r="B15432" s="85"/>
      <c r="C15432" s="85"/>
      <c r="F15432" s="92"/>
      <c r="G15432" s="85"/>
    </row>
    <row r="15433">
      <c r="A15433" s="84"/>
      <c r="B15433" s="85"/>
      <c r="C15433" s="85"/>
      <c r="F15433" s="92"/>
      <c r="G15433" s="85"/>
    </row>
    <row r="15434">
      <c r="A15434" s="84"/>
      <c r="B15434" s="85"/>
      <c r="C15434" s="85"/>
      <c r="F15434" s="92"/>
      <c r="G15434" s="85"/>
    </row>
    <row r="15435">
      <c r="A15435" s="84"/>
      <c r="B15435" s="85"/>
      <c r="C15435" s="85"/>
      <c r="F15435" s="92"/>
      <c r="G15435" s="85"/>
    </row>
    <row r="15436">
      <c r="A15436" s="84"/>
      <c r="B15436" s="85"/>
      <c r="C15436" s="85"/>
      <c r="F15436" s="92"/>
      <c r="G15436" s="85"/>
    </row>
    <row r="15437">
      <c r="A15437" s="84"/>
      <c r="B15437" s="85"/>
      <c r="C15437" s="85"/>
      <c r="F15437" s="92"/>
      <c r="G15437" s="85"/>
    </row>
    <row r="15438">
      <c r="A15438" s="84"/>
      <c r="B15438" s="85"/>
      <c r="C15438" s="85"/>
      <c r="F15438" s="92"/>
      <c r="G15438" s="85"/>
    </row>
    <row r="15439">
      <c r="A15439" s="84"/>
      <c r="B15439" s="85"/>
      <c r="C15439" s="85"/>
      <c r="F15439" s="92"/>
      <c r="G15439" s="85"/>
    </row>
    <row r="15440">
      <c r="A15440" s="84"/>
      <c r="B15440" s="85"/>
      <c r="C15440" s="85"/>
      <c r="F15440" s="92"/>
      <c r="G15440" s="85"/>
    </row>
    <row r="15441">
      <c r="A15441" s="84"/>
      <c r="B15441" s="85"/>
      <c r="C15441" s="85"/>
      <c r="F15441" s="92"/>
      <c r="G15441" s="85"/>
    </row>
    <row r="15442">
      <c r="A15442" s="84"/>
      <c r="B15442" s="85"/>
      <c r="C15442" s="85"/>
      <c r="F15442" s="92"/>
      <c r="G15442" s="85"/>
    </row>
    <row r="15443">
      <c r="A15443" s="84"/>
      <c r="B15443" s="85"/>
      <c r="C15443" s="85"/>
      <c r="F15443" s="92"/>
      <c r="G15443" s="85"/>
    </row>
    <row r="15444">
      <c r="A15444" s="84"/>
      <c r="B15444" s="85"/>
      <c r="C15444" s="85"/>
      <c r="F15444" s="92"/>
      <c r="G15444" s="85"/>
    </row>
    <row r="15445">
      <c r="A15445" s="84"/>
      <c r="B15445" s="85"/>
      <c r="C15445" s="85"/>
      <c r="F15445" s="92"/>
      <c r="G15445" s="85"/>
    </row>
    <row r="15446">
      <c r="A15446" s="84"/>
      <c r="B15446" s="85"/>
      <c r="C15446" s="85"/>
      <c r="F15446" s="92"/>
      <c r="G15446" s="85"/>
    </row>
    <row r="15447">
      <c r="A15447" s="84"/>
      <c r="B15447" s="85"/>
      <c r="C15447" s="85"/>
      <c r="F15447" s="92"/>
      <c r="G15447" s="85"/>
    </row>
    <row r="15448">
      <c r="A15448" s="84"/>
      <c r="B15448" s="85"/>
      <c r="C15448" s="85"/>
      <c r="F15448" s="92"/>
      <c r="G15448" s="85"/>
    </row>
    <row r="15449">
      <c r="A15449" s="84"/>
      <c r="B15449" s="85"/>
      <c r="C15449" s="85"/>
      <c r="F15449" s="92"/>
      <c r="G15449" s="85"/>
    </row>
    <row r="15450">
      <c r="A15450" s="84"/>
      <c r="B15450" s="85"/>
      <c r="C15450" s="85"/>
      <c r="F15450" s="92"/>
      <c r="G15450" s="85"/>
    </row>
    <row r="15451">
      <c r="A15451" s="84"/>
      <c r="B15451" s="85"/>
      <c r="C15451" s="85"/>
      <c r="F15451" s="92"/>
      <c r="G15451" s="85"/>
    </row>
    <row r="15452">
      <c r="A15452" s="84"/>
      <c r="B15452" s="85"/>
      <c r="C15452" s="85"/>
      <c r="F15452" s="92"/>
      <c r="G15452" s="85"/>
    </row>
    <row r="15453">
      <c r="A15453" s="84"/>
      <c r="B15453" s="85"/>
      <c r="C15453" s="85"/>
      <c r="F15453" s="92"/>
      <c r="G15453" s="85"/>
    </row>
    <row r="15454">
      <c r="A15454" s="84"/>
      <c r="B15454" s="85"/>
      <c r="C15454" s="85"/>
      <c r="F15454" s="92"/>
      <c r="G15454" s="85"/>
    </row>
    <row r="15455">
      <c r="A15455" s="84"/>
      <c r="B15455" s="85"/>
      <c r="C15455" s="85"/>
      <c r="F15455" s="92"/>
      <c r="G15455" s="85"/>
    </row>
    <row r="15456">
      <c r="A15456" s="84"/>
      <c r="B15456" s="85"/>
      <c r="C15456" s="85"/>
      <c r="F15456" s="92"/>
      <c r="G15456" s="85"/>
    </row>
    <row r="15457">
      <c r="A15457" s="84"/>
      <c r="B15457" s="85"/>
      <c r="C15457" s="85"/>
      <c r="F15457" s="92"/>
      <c r="G15457" s="85"/>
    </row>
    <row r="15458">
      <c r="A15458" s="84"/>
      <c r="B15458" s="85"/>
      <c r="C15458" s="85"/>
      <c r="F15458" s="92"/>
      <c r="G15458" s="85"/>
    </row>
    <row r="15459">
      <c r="A15459" s="84"/>
      <c r="B15459" s="85"/>
      <c r="C15459" s="85"/>
      <c r="F15459" s="92"/>
      <c r="G15459" s="85"/>
    </row>
    <row r="15460">
      <c r="A15460" s="84"/>
      <c r="B15460" s="85"/>
      <c r="C15460" s="85"/>
      <c r="F15460" s="92"/>
      <c r="G15460" s="85"/>
    </row>
    <row r="15461">
      <c r="A15461" s="84"/>
      <c r="B15461" s="85"/>
      <c r="C15461" s="85"/>
      <c r="F15461" s="92"/>
      <c r="G15461" s="85"/>
    </row>
    <row r="15462">
      <c r="A15462" s="84"/>
      <c r="B15462" s="85"/>
      <c r="C15462" s="85"/>
      <c r="F15462" s="92"/>
      <c r="G15462" s="85"/>
    </row>
    <row r="15463">
      <c r="A15463" s="84"/>
      <c r="B15463" s="85"/>
      <c r="C15463" s="85"/>
      <c r="F15463" s="92"/>
      <c r="G15463" s="85"/>
    </row>
    <row r="15464">
      <c r="A15464" s="84"/>
      <c r="B15464" s="85"/>
      <c r="C15464" s="85"/>
      <c r="F15464" s="92"/>
      <c r="G15464" s="85"/>
    </row>
    <row r="15465">
      <c r="A15465" s="84"/>
      <c r="B15465" s="85"/>
      <c r="C15465" s="85"/>
      <c r="F15465" s="92"/>
      <c r="G15465" s="85"/>
    </row>
    <row r="15466">
      <c r="A15466" s="84"/>
      <c r="B15466" s="85"/>
      <c r="C15466" s="85"/>
      <c r="F15466" s="92"/>
      <c r="G15466" s="85"/>
    </row>
    <row r="15467">
      <c r="A15467" s="84"/>
      <c r="B15467" s="85"/>
      <c r="C15467" s="85"/>
      <c r="F15467" s="92"/>
      <c r="G15467" s="85"/>
    </row>
    <row r="15468">
      <c r="A15468" s="84"/>
      <c r="B15468" s="85"/>
      <c r="C15468" s="85"/>
      <c r="F15468" s="92"/>
      <c r="G15468" s="85"/>
    </row>
    <row r="15469">
      <c r="A15469" s="84"/>
      <c r="B15469" s="85"/>
      <c r="C15469" s="85"/>
      <c r="F15469" s="92"/>
      <c r="G15469" s="85"/>
    </row>
    <row r="15470">
      <c r="A15470" s="84"/>
      <c r="B15470" s="85"/>
      <c r="C15470" s="85"/>
      <c r="F15470" s="92"/>
      <c r="G15470" s="85"/>
    </row>
    <row r="15471">
      <c r="A15471" s="84"/>
      <c r="B15471" s="85"/>
      <c r="C15471" s="85"/>
      <c r="F15471" s="92"/>
      <c r="G15471" s="85"/>
    </row>
    <row r="15472">
      <c r="A15472" s="84"/>
      <c r="B15472" s="85"/>
      <c r="C15472" s="85"/>
      <c r="F15472" s="92"/>
      <c r="G15472" s="85"/>
    </row>
    <row r="15473">
      <c r="A15473" s="84"/>
      <c r="B15473" s="85"/>
      <c r="C15473" s="85"/>
      <c r="F15473" s="92"/>
      <c r="G15473" s="85"/>
    </row>
    <row r="15474">
      <c r="A15474" s="84"/>
      <c r="B15474" s="85"/>
      <c r="C15474" s="85"/>
      <c r="F15474" s="92"/>
      <c r="G15474" s="85"/>
    </row>
    <row r="15475">
      <c r="A15475" s="84"/>
      <c r="B15475" s="85"/>
      <c r="C15475" s="85"/>
      <c r="F15475" s="92"/>
      <c r="G15475" s="85"/>
    </row>
    <row r="15476">
      <c r="A15476" s="84"/>
      <c r="B15476" s="85"/>
      <c r="C15476" s="85"/>
      <c r="F15476" s="92"/>
      <c r="G15476" s="85"/>
    </row>
    <row r="15477">
      <c r="A15477" s="84"/>
      <c r="B15477" s="85"/>
      <c r="C15477" s="85"/>
      <c r="F15477" s="92"/>
      <c r="G15477" s="85"/>
    </row>
    <row r="15478">
      <c r="A15478" s="84"/>
      <c r="B15478" s="85"/>
      <c r="C15478" s="85"/>
      <c r="F15478" s="92"/>
      <c r="G15478" s="85"/>
    </row>
    <row r="15479">
      <c r="A15479" s="84"/>
      <c r="B15479" s="85"/>
      <c r="C15479" s="85"/>
      <c r="F15479" s="92"/>
      <c r="G15479" s="85"/>
    </row>
    <row r="15480">
      <c r="A15480" s="84"/>
      <c r="B15480" s="85"/>
      <c r="C15480" s="85"/>
      <c r="F15480" s="92"/>
      <c r="G15480" s="85"/>
    </row>
    <row r="15481">
      <c r="A15481" s="84"/>
      <c r="B15481" s="85"/>
      <c r="C15481" s="85"/>
      <c r="F15481" s="92"/>
      <c r="G15481" s="85"/>
    </row>
    <row r="15482">
      <c r="A15482" s="84"/>
      <c r="B15482" s="85"/>
      <c r="C15482" s="85"/>
      <c r="F15482" s="92"/>
      <c r="G15482" s="85"/>
    </row>
    <row r="15483">
      <c r="A15483" s="84"/>
      <c r="B15483" s="85"/>
      <c r="C15483" s="85"/>
      <c r="F15483" s="92"/>
      <c r="G15483" s="85"/>
    </row>
    <row r="15484">
      <c r="A15484" s="84"/>
      <c r="B15484" s="85"/>
      <c r="C15484" s="85"/>
      <c r="F15484" s="92"/>
      <c r="G15484" s="85"/>
    </row>
    <row r="15485">
      <c r="A15485" s="84"/>
      <c r="B15485" s="85"/>
      <c r="C15485" s="85"/>
      <c r="F15485" s="92"/>
      <c r="G15485" s="85"/>
    </row>
    <row r="15486">
      <c r="A15486" s="84"/>
      <c r="B15486" s="85"/>
      <c r="C15486" s="85"/>
      <c r="F15486" s="92"/>
      <c r="G15486" s="85"/>
    </row>
    <row r="15487">
      <c r="A15487" s="84"/>
      <c r="B15487" s="85"/>
      <c r="C15487" s="85"/>
      <c r="F15487" s="92"/>
      <c r="G15487" s="85"/>
    </row>
    <row r="15488">
      <c r="A15488" s="84"/>
      <c r="B15488" s="85"/>
      <c r="C15488" s="85"/>
      <c r="F15488" s="92"/>
      <c r="G15488" s="85"/>
    </row>
    <row r="15489">
      <c r="A15489" s="84"/>
      <c r="B15489" s="85"/>
      <c r="C15489" s="85"/>
      <c r="F15489" s="92"/>
      <c r="G15489" s="85"/>
    </row>
    <row r="15490">
      <c r="A15490" s="84"/>
      <c r="B15490" s="85"/>
      <c r="C15490" s="85"/>
      <c r="F15490" s="92"/>
      <c r="G15490" s="85"/>
    </row>
    <row r="15491">
      <c r="A15491" s="84"/>
      <c r="B15491" s="85"/>
      <c r="C15491" s="85"/>
      <c r="F15491" s="92"/>
      <c r="G15491" s="85"/>
    </row>
    <row r="15492">
      <c r="A15492" s="84"/>
      <c r="B15492" s="85"/>
      <c r="C15492" s="85"/>
      <c r="F15492" s="92"/>
      <c r="G15492" s="85"/>
    </row>
    <row r="15493">
      <c r="A15493" s="84"/>
      <c r="B15493" s="85"/>
      <c r="C15493" s="85"/>
      <c r="F15493" s="92"/>
      <c r="G15493" s="85"/>
    </row>
    <row r="15494">
      <c r="A15494" s="84"/>
      <c r="B15494" s="85"/>
      <c r="C15494" s="85"/>
      <c r="F15494" s="92"/>
      <c r="G15494" s="85"/>
    </row>
    <row r="15495">
      <c r="A15495" s="84"/>
      <c r="B15495" s="85"/>
      <c r="C15495" s="85"/>
      <c r="F15495" s="92"/>
      <c r="G15495" s="85"/>
    </row>
    <row r="15496">
      <c r="A15496" s="84"/>
      <c r="B15496" s="85"/>
      <c r="C15496" s="85"/>
      <c r="F15496" s="92"/>
      <c r="G15496" s="85"/>
    </row>
    <row r="15497">
      <c r="A15497" s="84"/>
      <c r="B15497" s="85"/>
      <c r="C15497" s="85"/>
      <c r="F15497" s="92"/>
      <c r="G15497" s="85"/>
    </row>
    <row r="15498">
      <c r="A15498" s="84"/>
      <c r="B15498" s="85"/>
      <c r="C15498" s="85"/>
      <c r="F15498" s="92"/>
      <c r="G15498" s="85"/>
    </row>
    <row r="15499">
      <c r="A15499" s="84"/>
      <c r="B15499" s="85"/>
      <c r="C15499" s="85"/>
      <c r="F15499" s="92"/>
      <c r="G15499" s="85"/>
    </row>
    <row r="15500">
      <c r="A15500" s="84"/>
      <c r="B15500" s="85"/>
      <c r="C15500" s="85"/>
      <c r="F15500" s="92"/>
      <c r="G15500" s="85"/>
    </row>
    <row r="15501">
      <c r="A15501" s="84"/>
      <c r="B15501" s="85"/>
      <c r="C15501" s="85"/>
      <c r="F15501" s="92"/>
      <c r="G15501" s="85"/>
    </row>
    <row r="15502">
      <c r="A15502" s="84"/>
      <c r="B15502" s="85"/>
      <c r="C15502" s="85"/>
      <c r="F15502" s="92"/>
      <c r="G15502" s="85"/>
    </row>
    <row r="15503">
      <c r="A15503" s="84"/>
      <c r="B15503" s="85"/>
      <c r="C15503" s="85"/>
      <c r="F15503" s="92"/>
      <c r="G15503" s="85"/>
    </row>
    <row r="15504">
      <c r="A15504" s="84"/>
      <c r="B15504" s="85"/>
      <c r="C15504" s="85"/>
      <c r="F15504" s="92"/>
      <c r="G15504" s="85"/>
    </row>
    <row r="15505">
      <c r="A15505" s="84"/>
      <c r="B15505" s="85"/>
      <c r="C15505" s="85"/>
      <c r="F15505" s="92"/>
      <c r="G15505" s="85"/>
    </row>
    <row r="15506">
      <c r="A15506" s="84"/>
      <c r="B15506" s="85"/>
      <c r="C15506" s="85"/>
      <c r="F15506" s="92"/>
      <c r="G15506" s="85"/>
    </row>
    <row r="15507">
      <c r="A15507" s="84"/>
      <c r="B15507" s="85"/>
      <c r="C15507" s="85"/>
      <c r="F15507" s="92"/>
      <c r="G15507" s="85"/>
    </row>
    <row r="15508">
      <c r="A15508" s="84"/>
      <c r="B15508" s="85"/>
      <c r="C15508" s="85"/>
      <c r="F15508" s="92"/>
      <c r="G15508" s="85"/>
    </row>
    <row r="15509">
      <c r="A15509" s="84"/>
      <c r="B15509" s="85"/>
      <c r="C15509" s="85"/>
      <c r="F15509" s="92"/>
      <c r="G15509" s="85"/>
    </row>
    <row r="15510">
      <c r="A15510" s="84"/>
      <c r="B15510" s="85"/>
      <c r="C15510" s="85"/>
      <c r="F15510" s="92"/>
      <c r="G15510" s="85"/>
    </row>
    <row r="15511">
      <c r="A15511" s="84"/>
      <c r="B15511" s="85"/>
      <c r="C15511" s="85"/>
      <c r="F15511" s="92"/>
      <c r="G15511" s="85"/>
    </row>
    <row r="15512">
      <c r="A15512" s="84"/>
      <c r="B15512" s="85"/>
      <c r="C15512" s="85"/>
      <c r="F15512" s="92"/>
      <c r="G15512" s="85"/>
    </row>
    <row r="15513">
      <c r="A15513" s="84"/>
      <c r="B15513" s="85"/>
      <c r="C15513" s="85"/>
      <c r="F15513" s="92"/>
      <c r="G15513" s="85"/>
    </row>
    <row r="15514">
      <c r="A15514" s="84"/>
      <c r="B15514" s="85"/>
      <c r="C15514" s="85"/>
      <c r="F15514" s="92"/>
      <c r="G15514" s="85"/>
    </row>
    <row r="15515">
      <c r="A15515" s="84"/>
      <c r="B15515" s="85"/>
      <c r="C15515" s="85"/>
      <c r="F15515" s="92"/>
      <c r="G15515" s="85"/>
    </row>
    <row r="15516">
      <c r="A15516" s="84"/>
      <c r="B15516" s="85"/>
      <c r="C15516" s="85"/>
      <c r="F15516" s="92"/>
      <c r="G15516" s="85"/>
    </row>
    <row r="15517">
      <c r="A15517" s="84"/>
      <c r="B15517" s="85"/>
      <c r="C15517" s="85"/>
      <c r="F15517" s="92"/>
      <c r="G15517" s="85"/>
    </row>
    <row r="15518">
      <c r="A15518" s="84"/>
      <c r="B15518" s="85"/>
      <c r="C15518" s="85"/>
      <c r="F15518" s="92"/>
      <c r="G15518" s="85"/>
    </row>
    <row r="15519">
      <c r="A15519" s="84"/>
      <c r="B15519" s="85"/>
      <c r="C15519" s="85"/>
      <c r="F15519" s="92"/>
      <c r="G15519" s="85"/>
    </row>
    <row r="15520">
      <c r="A15520" s="84"/>
      <c r="B15520" s="85"/>
      <c r="C15520" s="85"/>
      <c r="F15520" s="92"/>
      <c r="G15520" s="85"/>
    </row>
    <row r="15521">
      <c r="A15521" s="84"/>
      <c r="B15521" s="85"/>
      <c r="C15521" s="85"/>
      <c r="F15521" s="92"/>
      <c r="G15521" s="85"/>
    </row>
    <row r="15522">
      <c r="A15522" s="84"/>
      <c r="B15522" s="85"/>
      <c r="C15522" s="85"/>
      <c r="F15522" s="92"/>
      <c r="G15522" s="85"/>
    </row>
    <row r="15523">
      <c r="A15523" s="84"/>
      <c r="B15523" s="85"/>
      <c r="C15523" s="85"/>
      <c r="F15523" s="92"/>
      <c r="G15523" s="85"/>
    </row>
    <row r="15524">
      <c r="A15524" s="84"/>
      <c r="B15524" s="85"/>
      <c r="C15524" s="85"/>
      <c r="F15524" s="92"/>
      <c r="G15524" s="85"/>
    </row>
    <row r="15525">
      <c r="A15525" s="84"/>
      <c r="B15525" s="85"/>
      <c r="C15525" s="85"/>
      <c r="F15525" s="92"/>
      <c r="G15525" s="85"/>
    </row>
    <row r="15526">
      <c r="A15526" s="84"/>
      <c r="B15526" s="85"/>
      <c r="C15526" s="85"/>
      <c r="F15526" s="92"/>
      <c r="G15526" s="85"/>
    </row>
    <row r="15527">
      <c r="A15527" s="84"/>
      <c r="B15527" s="85"/>
      <c r="C15527" s="85"/>
      <c r="F15527" s="92"/>
      <c r="G15527" s="85"/>
    </row>
    <row r="15528">
      <c r="A15528" s="84"/>
      <c r="B15528" s="85"/>
      <c r="C15528" s="85"/>
      <c r="F15528" s="92"/>
      <c r="G15528" s="85"/>
    </row>
    <row r="15529">
      <c r="A15529" s="84"/>
      <c r="B15529" s="85"/>
      <c r="C15529" s="85"/>
      <c r="F15529" s="92"/>
      <c r="G15529" s="85"/>
    </row>
    <row r="15530">
      <c r="A15530" s="84"/>
      <c r="B15530" s="85"/>
      <c r="C15530" s="85"/>
      <c r="F15530" s="92"/>
      <c r="G15530" s="85"/>
    </row>
    <row r="15531">
      <c r="A15531" s="84"/>
      <c r="B15531" s="85"/>
      <c r="C15531" s="85"/>
      <c r="F15531" s="92"/>
      <c r="G15531" s="85"/>
    </row>
    <row r="15532">
      <c r="A15532" s="84"/>
      <c r="B15532" s="85"/>
      <c r="C15532" s="85"/>
      <c r="F15532" s="92"/>
      <c r="G15532" s="85"/>
    </row>
    <row r="15533">
      <c r="A15533" s="84"/>
      <c r="B15533" s="85"/>
      <c r="C15533" s="85"/>
      <c r="F15533" s="92"/>
      <c r="G15533" s="85"/>
    </row>
    <row r="15534">
      <c r="A15534" s="84"/>
      <c r="B15534" s="85"/>
      <c r="C15534" s="85"/>
      <c r="F15534" s="92"/>
      <c r="G15534" s="85"/>
    </row>
    <row r="15535">
      <c r="A15535" s="84"/>
      <c r="B15535" s="85"/>
      <c r="C15535" s="85"/>
      <c r="F15535" s="92"/>
      <c r="G15535" s="85"/>
    </row>
    <row r="15536">
      <c r="A15536" s="84"/>
      <c r="B15536" s="85"/>
      <c r="C15536" s="85"/>
      <c r="F15536" s="92"/>
      <c r="G15536" s="85"/>
    </row>
    <row r="15537">
      <c r="A15537" s="84"/>
      <c r="B15537" s="85"/>
      <c r="C15537" s="85"/>
      <c r="F15537" s="92"/>
      <c r="G15537" s="85"/>
    </row>
    <row r="15538">
      <c r="A15538" s="84"/>
      <c r="B15538" s="85"/>
      <c r="C15538" s="85"/>
      <c r="F15538" s="92"/>
      <c r="G15538" s="85"/>
    </row>
    <row r="15539">
      <c r="A15539" s="84"/>
      <c r="B15539" s="85"/>
      <c r="C15539" s="85"/>
      <c r="F15539" s="92"/>
      <c r="G15539" s="85"/>
    </row>
    <row r="15540">
      <c r="A15540" s="84"/>
      <c r="B15540" s="85"/>
      <c r="C15540" s="85"/>
      <c r="F15540" s="92"/>
      <c r="G15540" s="85"/>
    </row>
    <row r="15541">
      <c r="A15541" s="84"/>
      <c r="B15541" s="85"/>
      <c r="C15541" s="85"/>
      <c r="F15541" s="92"/>
      <c r="G15541" s="85"/>
    </row>
    <row r="15542">
      <c r="A15542" s="84"/>
      <c r="B15542" s="85"/>
      <c r="C15542" s="85"/>
      <c r="F15542" s="92"/>
      <c r="G15542" s="85"/>
    </row>
    <row r="15543">
      <c r="A15543" s="84"/>
      <c r="B15543" s="85"/>
      <c r="C15543" s="85"/>
      <c r="F15543" s="92"/>
      <c r="G15543" s="85"/>
    </row>
    <row r="15544">
      <c r="A15544" s="84"/>
      <c r="B15544" s="85"/>
      <c r="C15544" s="85"/>
      <c r="F15544" s="92"/>
      <c r="G15544" s="85"/>
    </row>
    <row r="15545">
      <c r="A15545" s="84"/>
      <c r="B15545" s="85"/>
      <c r="C15545" s="85"/>
      <c r="F15545" s="92"/>
      <c r="G15545" s="85"/>
    </row>
    <row r="15546">
      <c r="A15546" s="84"/>
      <c r="B15546" s="85"/>
      <c r="C15546" s="85"/>
      <c r="F15546" s="92"/>
      <c r="G15546" s="85"/>
    </row>
    <row r="15547">
      <c r="A15547" s="84"/>
      <c r="B15547" s="85"/>
      <c r="C15547" s="85"/>
      <c r="F15547" s="92"/>
      <c r="G15547" s="85"/>
    </row>
    <row r="15548">
      <c r="A15548" s="84"/>
      <c r="B15548" s="85"/>
      <c r="C15548" s="85"/>
      <c r="F15548" s="92"/>
      <c r="G15548" s="85"/>
    </row>
    <row r="15549">
      <c r="A15549" s="84"/>
      <c r="B15549" s="85"/>
      <c r="C15549" s="85"/>
      <c r="F15549" s="92"/>
      <c r="G15549" s="85"/>
    </row>
    <row r="15550">
      <c r="A15550" s="84"/>
      <c r="B15550" s="85"/>
      <c r="C15550" s="85"/>
      <c r="F15550" s="92"/>
      <c r="G15550" s="85"/>
    </row>
    <row r="15551">
      <c r="A15551" s="84"/>
      <c r="B15551" s="85"/>
      <c r="C15551" s="85"/>
      <c r="F15551" s="92"/>
      <c r="G15551" s="85"/>
    </row>
    <row r="15552">
      <c r="A15552" s="84"/>
      <c r="B15552" s="85"/>
      <c r="C15552" s="85"/>
      <c r="F15552" s="92"/>
      <c r="G15552" s="85"/>
    </row>
    <row r="15553">
      <c r="A15553" s="84"/>
      <c r="B15553" s="85"/>
      <c r="C15553" s="85"/>
      <c r="F15553" s="92"/>
      <c r="G15553" s="85"/>
    </row>
    <row r="15554">
      <c r="A15554" s="84"/>
      <c r="B15554" s="85"/>
      <c r="C15554" s="85"/>
      <c r="F15554" s="92"/>
      <c r="G15554" s="85"/>
    </row>
    <row r="15555">
      <c r="A15555" s="84"/>
      <c r="B15555" s="85"/>
      <c r="C15555" s="85"/>
      <c r="F15555" s="92"/>
      <c r="G15555" s="85"/>
    </row>
    <row r="15556">
      <c r="A15556" s="84"/>
      <c r="B15556" s="85"/>
      <c r="C15556" s="85"/>
      <c r="F15556" s="92"/>
      <c r="G15556" s="85"/>
    </row>
    <row r="15557">
      <c r="A15557" s="84"/>
      <c r="B15557" s="85"/>
      <c r="C15557" s="85"/>
      <c r="F15557" s="92"/>
      <c r="G15557" s="85"/>
    </row>
    <row r="15558">
      <c r="A15558" s="84"/>
      <c r="B15558" s="85"/>
      <c r="C15558" s="85"/>
      <c r="F15558" s="92"/>
      <c r="G15558" s="85"/>
    </row>
    <row r="15559">
      <c r="A15559" s="84"/>
      <c r="B15559" s="85"/>
      <c r="C15559" s="85"/>
      <c r="F15559" s="92"/>
      <c r="G15559" s="85"/>
    </row>
    <row r="15560">
      <c r="A15560" s="84"/>
      <c r="B15560" s="85"/>
      <c r="C15560" s="85"/>
      <c r="F15560" s="92"/>
      <c r="G15560" s="85"/>
    </row>
    <row r="15561">
      <c r="A15561" s="84"/>
      <c r="B15561" s="85"/>
      <c r="C15561" s="85"/>
      <c r="F15561" s="92"/>
      <c r="G15561" s="85"/>
    </row>
    <row r="15562">
      <c r="A15562" s="84"/>
      <c r="B15562" s="85"/>
      <c r="C15562" s="85"/>
      <c r="F15562" s="92"/>
      <c r="G15562" s="85"/>
    </row>
    <row r="15563">
      <c r="A15563" s="84"/>
      <c r="B15563" s="85"/>
      <c r="C15563" s="85"/>
      <c r="F15563" s="92"/>
      <c r="G15563" s="85"/>
    </row>
    <row r="15564">
      <c r="A15564" s="84"/>
      <c r="B15564" s="85"/>
      <c r="C15564" s="85"/>
      <c r="F15564" s="92"/>
      <c r="G15564" s="85"/>
    </row>
    <row r="15565">
      <c r="A15565" s="84"/>
      <c r="B15565" s="85"/>
      <c r="C15565" s="85"/>
      <c r="F15565" s="92"/>
      <c r="G15565" s="85"/>
    </row>
    <row r="15566">
      <c r="A15566" s="84"/>
      <c r="B15566" s="85"/>
      <c r="C15566" s="85"/>
      <c r="F15566" s="92"/>
      <c r="G15566" s="85"/>
    </row>
    <row r="15567">
      <c r="A15567" s="84"/>
      <c r="B15567" s="85"/>
      <c r="C15567" s="85"/>
      <c r="F15567" s="92"/>
      <c r="G15567" s="85"/>
    </row>
    <row r="15568">
      <c r="A15568" s="84"/>
      <c r="B15568" s="85"/>
      <c r="C15568" s="85"/>
      <c r="F15568" s="92"/>
      <c r="G15568" s="85"/>
    </row>
    <row r="15569">
      <c r="A15569" s="84"/>
      <c r="B15569" s="85"/>
      <c r="C15569" s="85"/>
      <c r="F15569" s="92"/>
      <c r="G15569" s="85"/>
    </row>
    <row r="15570">
      <c r="A15570" s="84"/>
      <c r="B15570" s="85"/>
      <c r="C15570" s="85"/>
      <c r="F15570" s="92"/>
      <c r="G15570" s="85"/>
    </row>
    <row r="15571">
      <c r="A15571" s="84"/>
      <c r="B15571" s="85"/>
      <c r="C15571" s="85"/>
      <c r="F15571" s="92"/>
      <c r="G15571" s="85"/>
    </row>
    <row r="15572">
      <c r="A15572" s="84"/>
      <c r="B15572" s="85"/>
      <c r="C15572" s="85"/>
      <c r="F15572" s="92"/>
      <c r="G15572" s="85"/>
    </row>
    <row r="15573">
      <c r="A15573" s="84"/>
      <c r="B15573" s="85"/>
      <c r="C15573" s="85"/>
      <c r="F15573" s="92"/>
      <c r="G15573" s="85"/>
    </row>
    <row r="15574">
      <c r="A15574" s="84"/>
      <c r="B15574" s="85"/>
      <c r="C15574" s="85"/>
      <c r="F15574" s="92"/>
      <c r="G15574" s="85"/>
    </row>
    <row r="15575">
      <c r="A15575" s="84"/>
      <c r="B15575" s="85"/>
      <c r="C15575" s="85"/>
      <c r="F15575" s="92"/>
      <c r="G15575" s="85"/>
    </row>
    <row r="15576">
      <c r="A15576" s="84"/>
      <c r="B15576" s="85"/>
      <c r="C15576" s="85"/>
      <c r="F15576" s="92"/>
      <c r="G15576" s="85"/>
    </row>
    <row r="15577">
      <c r="A15577" s="84"/>
      <c r="B15577" s="85"/>
      <c r="C15577" s="85"/>
      <c r="F15577" s="92"/>
      <c r="G15577" s="85"/>
    </row>
    <row r="15578">
      <c r="A15578" s="84"/>
      <c r="B15578" s="85"/>
      <c r="C15578" s="85"/>
      <c r="F15578" s="92"/>
      <c r="G15578" s="85"/>
    </row>
    <row r="15579">
      <c r="A15579" s="84"/>
      <c r="B15579" s="85"/>
      <c r="C15579" s="85"/>
      <c r="F15579" s="92"/>
      <c r="G15579" s="85"/>
    </row>
    <row r="15580">
      <c r="A15580" s="84"/>
      <c r="B15580" s="85"/>
      <c r="C15580" s="85"/>
      <c r="F15580" s="92"/>
      <c r="G15580" s="85"/>
    </row>
    <row r="15581">
      <c r="A15581" s="84"/>
      <c r="B15581" s="85"/>
      <c r="C15581" s="85"/>
      <c r="F15581" s="92"/>
      <c r="G15581" s="85"/>
    </row>
    <row r="15582">
      <c r="A15582" s="84"/>
      <c r="B15582" s="85"/>
      <c r="C15582" s="85"/>
      <c r="F15582" s="92"/>
      <c r="G15582" s="85"/>
    </row>
    <row r="15583">
      <c r="A15583" s="84"/>
      <c r="B15583" s="85"/>
      <c r="C15583" s="85"/>
      <c r="F15583" s="92"/>
      <c r="G15583" s="85"/>
    </row>
    <row r="15584">
      <c r="A15584" s="84"/>
      <c r="B15584" s="85"/>
      <c r="C15584" s="85"/>
      <c r="F15584" s="92"/>
      <c r="G15584" s="85"/>
    </row>
    <row r="15585">
      <c r="A15585" s="84"/>
      <c r="B15585" s="85"/>
      <c r="C15585" s="85"/>
      <c r="F15585" s="92"/>
      <c r="G15585" s="85"/>
    </row>
    <row r="15586">
      <c r="A15586" s="84"/>
      <c r="B15586" s="85"/>
      <c r="C15586" s="85"/>
      <c r="F15586" s="92"/>
      <c r="G15586" s="85"/>
    </row>
    <row r="15587">
      <c r="A15587" s="84"/>
      <c r="B15587" s="85"/>
      <c r="C15587" s="85"/>
      <c r="F15587" s="92"/>
      <c r="G15587" s="85"/>
    </row>
    <row r="15588">
      <c r="A15588" s="84"/>
      <c r="B15588" s="85"/>
      <c r="C15588" s="85"/>
      <c r="F15588" s="92"/>
      <c r="G15588" s="85"/>
    </row>
    <row r="15589">
      <c r="A15589" s="84"/>
      <c r="B15589" s="85"/>
      <c r="C15589" s="85"/>
      <c r="F15589" s="92"/>
      <c r="G15589" s="85"/>
    </row>
    <row r="15590">
      <c r="A15590" s="84"/>
      <c r="B15590" s="85"/>
      <c r="C15590" s="85"/>
      <c r="F15590" s="92"/>
      <c r="G15590" s="85"/>
    </row>
    <row r="15591">
      <c r="A15591" s="84"/>
      <c r="B15591" s="85"/>
      <c r="C15591" s="85"/>
      <c r="F15591" s="92"/>
      <c r="G15591" s="85"/>
    </row>
    <row r="15592">
      <c r="A15592" s="84"/>
      <c r="B15592" s="85"/>
      <c r="C15592" s="85"/>
      <c r="F15592" s="92"/>
      <c r="G15592" s="85"/>
    </row>
    <row r="15593">
      <c r="A15593" s="84"/>
      <c r="B15593" s="85"/>
      <c r="C15593" s="85"/>
      <c r="F15593" s="92"/>
      <c r="G15593" s="85"/>
    </row>
    <row r="15594">
      <c r="A15594" s="84"/>
      <c r="B15594" s="85"/>
      <c r="C15594" s="85"/>
      <c r="F15594" s="92"/>
      <c r="G15594" s="85"/>
    </row>
    <row r="15595">
      <c r="A15595" s="84"/>
      <c r="B15595" s="85"/>
      <c r="C15595" s="85"/>
      <c r="F15595" s="92"/>
      <c r="G15595" s="85"/>
    </row>
    <row r="15596">
      <c r="A15596" s="84"/>
      <c r="B15596" s="85"/>
      <c r="C15596" s="85"/>
      <c r="F15596" s="92"/>
      <c r="G15596" s="85"/>
    </row>
    <row r="15597">
      <c r="A15597" s="84"/>
      <c r="B15597" s="85"/>
      <c r="C15597" s="85"/>
      <c r="F15597" s="92"/>
      <c r="G15597" s="85"/>
    </row>
    <row r="15598">
      <c r="A15598" s="84"/>
      <c r="B15598" s="85"/>
      <c r="C15598" s="85"/>
      <c r="F15598" s="92"/>
      <c r="G15598" s="85"/>
    </row>
    <row r="15599">
      <c r="A15599" s="84"/>
      <c r="B15599" s="85"/>
      <c r="C15599" s="85"/>
      <c r="F15599" s="92"/>
      <c r="G15599" s="85"/>
    </row>
    <row r="15600">
      <c r="A15600" s="84"/>
      <c r="B15600" s="85"/>
      <c r="C15600" s="85"/>
      <c r="F15600" s="92"/>
      <c r="G15600" s="85"/>
    </row>
    <row r="15601">
      <c r="A15601" s="84"/>
      <c r="B15601" s="85"/>
      <c r="C15601" s="85"/>
      <c r="F15601" s="92"/>
      <c r="G15601" s="85"/>
    </row>
    <row r="15602">
      <c r="A15602" s="84"/>
      <c r="B15602" s="85"/>
      <c r="C15602" s="85"/>
      <c r="F15602" s="92"/>
      <c r="G15602" s="85"/>
    </row>
    <row r="15603">
      <c r="A15603" s="84"/>
      <c r="B15603" s="85"/>
      <c r="C15603" s="85"/>
      <c r="F15603" s="92"/>
      <c r="G15603" s="85"/>
    </row>
    <row r="15604">
      <c r="A15604" s="84"/>
      <c r="B15604" s="85"/>
      <c r="C15604" s="85"/>
      <c r="F15604" s="92"/>
      <c r="G15604" s="85"/>
    </row>
    <row r="15605">
      <c r="A15605" s="84"/>
      <c r="B15605" s="85"/>
      <c r="C15605" s="85"/>
      <c r="F15605" s="92"/>
      <c r="G15605" s="85"/>
    </row>
    <row r="15606">
      <c r="A15606" s="84"/>
      <c r="B15606" s="85"/>
      <c r="C15606" s="85"/>
      <c r="F15606" s="92"/>
      <c r="G15606" s="85"/>
    </row>
    <row r="15607">
      <c r="A15607" s="84"/>
      <c r="B15607" s="85"/>
      <c r="C15607" s="85"/>
      <c r="F15607" s="92"/>
      <c r="G15607" s="85"/>
    </row>
    <row r="15608">
      <c r="A15608" s="84"/>
      <c r="B15608" s="85"/>
      <c r="C15608" s="85"/>
      <c r="F15608" s="92"/>
      <c r="G15608" s="85"/>
    </row>
    <row r="15609">
      <c r="A15609" s="84"/>
      <c r="B15609" s="85"/>
      <c r="C15609" s="85"/>
      <c r="F15609" s="92"/>
      <c r="G15609" s="85"/>
    </row>
    <row r="15610">
      <c r="A15610" s="84"/>
      <c r="B15610" s="85"/>
      <c r="C15610" s="85"/>
      <c r="F15610" s="92"/>
      <c r="G15610" s="85"/>
    </row>
    <row r="15611">
      <c r="A15611" s="84"/>
      <c r="B15611" s="85"/>
      <c r="C15611" s="85"/>
      <c r="F15611" s="92"/>
      <c r="G15611" s="85"/>
    </row>
    <row r="15612">
      <c r="A15612" s="84"/>
      <c r="B15612" s="85"/>
      <c r="C15612" s="85"/>
      <c r="F15612" s="92"/>
      <c r="G15612" s="85"/>
    </row>
    <row r="15613">
      <c r="A15613" s="84"/>
      <c r="B15613" s="85"/>
      <c r="C15613" s="85"/>
      <c r="F15613" s="92"/>
      <c r="G15613" s="85"/>
    </row>
    <row r="15614">
      <c r="A15614" s="84"/>
      <c r="B15614" s="85"/>
      <c r="C15614" s="85"/>
      <c r="F15614" s="92"/>
      <c r="G15614" s="85"/>
    </row>
    <row r="15615">
      <c r="A15615" s="84"/>
      <c r="B15615" s="85"/>
      <c r="C15615" s="85"/>
      <c r="F15615" s="92"/>
      <c r="G15615" s="85"/>
    </row>
    <row r="15616">
      <c r="A15616" s="84"/>
      <c r="B15616" s="85"/>
      <c r="C15616" s="85"/>
      <c r="F15616" s="92"/>
      <c r="G15616" s="85"/>
    </row>
    <row r="15617">
      <c r="A15617" s="84"/>
      <c r="B15617" s="85"/>
      <c r="C15617" s="85"/>
      <c r="F15617" s="92"/>
      <c r="G15617" s="85"/>
    </row>
    <row r="15618">
      <c r="A15618" s="84"/>
      <c r="B15618" s="85"/>
      <c r="C15618" s="85"/>
      <c r="F15618" s="92"/>
      <c r="G15618" s="85"/>
    </row>
    <row r="15619">
      <c r="A15619" s="84"/>
      <c r="B15619" s="85"/>
      <c r="C15619" s="85"/>
      <c r="F15619" s="92"/>
      <c r="G15619" s="85"/>
    </row>
    <row r="15620">
      <c r="A15620" s="84"/>
      <c r="B15620" s="85"/>
      <c r="C15620" s="85"/>
      <c r="F15620" s="92"/>
      <c r="G15620" s="85"/>
    </row>
    <row r="15621">
      <c r="A15621" s="84"/>
      <c r="B15621" s="85"/>
      <c r="C15621" s="85"/>
      <c r="F15621" s="92"/>
      <c r="G15621" s="85"/>
    </row>
    <row r="15622">
      <c r="A15622" s="84"/>
      <c r="B15622" s="85"/>
      <c r="C15622" s="85"/>
      <c r="F15622" s="92"/>
      <c r="G15622" s="85"/>
    </row>
    <row r="15623">
      <c r="A15623" s="84"/>
      <c r="B15623" s="85"/>
      <c r="C15623" s="85"/>
      <c r="F15623" s="92"/>
      <c r="G15623" s="85"/>
    </row>
    <row r="15624">
      <c r="A15624" s="84"/>
      <c r="B15624" s="85"/>
      <c r="C15624" s="85"/>
      <c r="F15624" s="92"/>
      <c r="G15624" s="85"/>
    </row>
    <row r="15625">
      <c r="A15625" s="84"/>
      <c r="B15625" s="85"/>
      <c r="C15625" s="85"/>
      <c r="F15625" s="92"/>
      <c r="G15625" s="85"/>
    </row>
    <row r="15626">
      <c r="A15626" s="84"/>
      <c r="B15626" s="85"/>
      <c r="C15626" s="85"/>
      <c r="F15626" s="92"/>
      <c r="G15626" s="85"/>
    </row>
    <row r="15627">
      <c r="A15627" s="84"/>
      <c r="B15627" s="85"/>
      <c r="C15627" s="85"/>
      <c r="F15627" s="92"/>
      <c r="G15627" s="85"/>
    </row>
    <row r="15628">
      <c r="A15628" s="84"/>
      <c r="B15628" s="85"/>
      <c r="C15628" s="85"/>
      <c r="F15628" s="92"/>
      <c r="G15628" s="85"/>
    </row>
    <row r="15629">
      <c r="A15629" s="84"/>
      <c r="B15629" s="85"/>
      <c r="C15629" s="85"/>
      <c r="F15629" s="92"/>
      <c r="G15629" s="85"/>
    </row>
    <row r="15630">
      <c r="A15630" s="84"/>
      <c r="B15630" s="85"/>
      <c r="C15630" s="85"/>
      <c r="F15630" s="92"/>
      <c r="G15630" s="85"/>
    </row>
    <row r="15631">
      <c r="A15631" s="84"/>
      <c r="B15631" s="85"/>
      <c r="C15631" s="85"/>
      <c r="F15631" s="92"/>
      <c r="G15631" s="85"/>
    </row>
    <row r="15632">
      <c r="A15632" s="84"/>
      <c r="B15632" s="85"/>
      <c r="C15632" s="85"/>
      <c r="F15632" s="92"/>
      <c r="G15632" s="85"/>
    </row>
    <row r="15633">
      <c r="A15633" s="84"/>
      <c r="B15633" s="85"/>
      <c r="C15633" s="85"/>
      <c r="F15633" s="92"/>
      <c r="G15633" s="85"/>
    </row>
    <row r="15634">
      <c r="A15634" s="84"/>
      <c r="B15634" s="85"/>
      <c r="C15634" s="85"/>
      <c r="F15634" s="92"/>
      <c r="G15634" s="85"/>
    </row>
    <row r="15635">
      <c r="A15635" s="84"/>
      <c r="B15635" s="85"/>
      <c r="C15635" s="85"/>
      <c r="F15635" s="92"/>
      <c r="G15635" s="85"/>
    </row>
    <row r="15636">
      <c r="A15636" s="84"/>
      <c r="B15636" s="85"/>
      <c r="C15636" s="85"/>
      <c r="F15636" s="92"/>
      <c r="G15636" s="85"/>
    </row>
    <row r="15637">
      <c r="A15637" s="84"/>
      <c r="B15637" s="85"/>
      <c r="C15637" s="85"/>
      <c r="F15637" s="92"/>
      <c r="G15637" s="85"/>
    </row>
    <row r="15638">
      <c r="A15638" s="84"/>
      <c r="B15638" s="85"/>
      <c r="C15638" s="85"/>
      <c r="F15638" s="92"/>
      <c r="G15638" s="85"/>
    </row>
    <row r="15639">
      <c r="A15639" s="84"/>
      <c r="B15639" s="85"/>
      <c r="C15639" s="85"/>
      <c r="F15639" s="92"/>
      <c r="G15639" s="85"/>
    </row>
    <row r="15640">
      <c r="A15640" s="84"/>
      <c r="B15640" s="85"/>
      <c r="C15640" s="85"/>
      <c r="F15640" s="92"/>
      <c r="G15640" s="85"/>
    </row>
    <row r="15641">
      <c r="A15641" s="84"/>
      <c r="B15641" s="85"/>
      <c r="C15641" s="85"/>
      <c r="F15641" s="92"/>
      <c r="G15641" s="85"/>
    </row>
    <row r="15642">
      <c r="A15642" s="84"/>
      <c r="B15642" s="85"/>
      <c r="C15642" s="85"/>
      <c r="F15642" s="92"/>
      <c r="G15642" s="85"/>
    </row>
    <row r="15643">
      <c r="A15643" s="84"/>
      <c r="B15643" s="85"/>
      <c r="C15643" s="85"/>
      <c r="F15643" s="92"/>
      <c r="G15643" s="85"/>
    </row>
    <row r="15644">
      <c r="A15644" s="84"/>
      <c r="B15644" s="85"/>
      <c r="C15644" s="85"/>
      <c r="F15644" s="92"/>
      <c r="G15644" s="85"/>
    </row>
    <row r="15645">
      <c r="A15645" s="84"/>
      <c r="B15645" s="85"/>
      <c r="C15645" s="85"/>
      <c r="F15645" s="92"/>
      <c r="G15645" s="85"/>
    </row>
    <row r="15646">
      <c r="A15646" s="84"/>
      <c r="B15646" s="85"/>
      <c r="C15646" s="85"/>
      <c r="F15646" s="92"/>
      <c r="G15646" s="85"/>
    </row>
    <row r="15647">
      <c r="A15647" s="84"/>
      <c r="B15647" s="85"/>
      <c r="C15647" s="85"/>
      <c r="F15647" s="92"/>
      <c r="G15647" s="85"/>
    </row>
    <row r="15648">
      <c r="A15648" s="84"/>
      <c r="B15648" s="85"/>
      <c r="C15648" s="85"/>
      <c r="F15648" s="92"/>
      <c r="G15648" s="85"/>
    </row>
    <row r="15649">
      <c r="A15649" s="84"/>
      <c r="B15649" s="85"/>
      <c r="C15649" s="85"/>
      <c r="F15649" s="92"/>
      <c r="G15649" s="85"/>
    </row>
    <row r="15650">
      <c r="A15650" s="84"/>
      <c r="B15650" s="85"/>
      <c r="C15650" s="85"/>
      <c r="F15650" s="92"/>
      <c r="G15650" s="85"/>
    </row>
    <row r="15651">
      <c r="A15651" s="84"/>
      <c r="B15651" s="85"/>
      <c r="C15651" s="85"/>
      <c r="F15651" s="92"/>
      <c r="G15651" s="85"/>
    </row>
    <row r="15652">
      <c r="A15652" s="84"/>
      <c r="B15652" s="85"/>
      <c r="C15652" s="85"/>
      <c r="F15652" s="92"/>
      <c r="G15652" s="85"/>
    </row>
    <row r="15653">
      <c r="A15653" s="84"/>
      <c r="B15653" s="85"/>
      <c r="C15653" s="85"/>
      <c r="F15653" s="92"/>
      <c r="G15653" s="85"/>
    </row>
    <row r="15654">
      <c r="A15654" s="84"/>
      <c r="B15654" s="85"/>
      <c r="C15654" s="85"/>
      <c r="F15654" s="92"/>
      <c r="G15654" s="85"/>
    </row>
    <row r="15655">
      <c r="A15655" s="84"/>
      <c r="B15655" s="85"/>
      <c r="C15655" s="85"/>
      <c r="F15655" s="92"/>
      <c r="G15655" s="85"/>
    </row>
    <row r="15656">
      <c r="A15656" s="84"/>
      <c r="B15656" s="85"/>
      <c r="C15656" s="85"/>
      <c r="F15656" s="92"/>
      <c r="G15656" s="85"/>
    </row>
    <row r="15657">
      <c r="A15657" s="84"/>
      <c r="B15657" s="85"/>
      <c r="C15657" s="85"/>
      <c r="F15657" s="92"/>
      <c r="G15657" s="85"/>
    </row>
    <row r="15658">
      <c r="A15658" s="84"/>
      <c r="B15658" s="85"/>
      <c r="C15658" s="85"/>
      <c r="F15658" s="92"/>
      <c r="G15658" s="85"/>
    </row>
    <row r="15659">
      <c r="A15659" s="84"/>
      <c r="B15659" s="85"/>
      <c r="C15659" s="85"/>
      <c r="F15659" s="92"/>
      <c r="G15659" s="85"/>
    </row>
    <row r="15660">
      <c r="A15660" s="84"/>
      <c r="B15660" s="85"/>
      <c r="C15660" s="85"/>
      <c r="F15660" s="92"/>
      <c r="G15660" s="85"/>
    </row>
    <row r="15661">
      <c r="A15661" s="84"/>
      <c r="B15661" s="85"/>
      <c r="C15661" s="85"/>
      <c r="F15661" s="92"/>
      <c r="G15661" s="85"/>
    </row>
    <row r="15662">
      <c r="A15662" s="84"/>
      <c r="B15662" s="85"/>
      <c r="C15662" s="85"/>
      <c r="F15662" s="92"/>
      <c r="G15662" s="85"/>
    </row>
    <row r="15663">
      <c r="A15663" s="84"/>
      <c r="B15663" s="85"/>
      <c r="C15663" s="85"/>
      <c r="F15663" s="92"/>
      <c r="G15663" s="85"/>
    </row>
    <row r="15664">
      <c r="A15664" s="84"/>
      <c r="B15664" s="85"/>
      <c r="C15664" s="85"/>
      <c r="F15664" s="92"/>
      <c r="G15664" s="85"/>
    </row>
    <row r="15665">
      <c r="A15665" s="84"/>
      <c r="B15665" s="85"/>
      <c r="C15665" s="85"/>
      <c r="F15665" s="92"/>
      <c r="G15665" s="85"/>
    </row>
    <row r="15666">
      <c r="A15666" s="84"/>
      <c r="B15666" s="85"/>
      <c r="C15666" s="85"/>
      <c r="F15666" s="92"/>
      <c r="G15666" s="85"/>
    </row>
    <row r="15667">
      <c r="A15667" s="84"/>
      <c r="B15667" s="85"/>
      <c r="C15667" s="85"/>
      <c r="F15667" s="92"/>
      <c r="G15667" s="85"/>
    </row>
    <row r="15668">
      <c r="A15668" s="84"/>
      <c r="B15668" s="85"/>
      <c r="C15668" s="85"/>
      <c r="F15668" s="92"/>
      <c r="G15668" s="85"/>
    </row>
    <row r="15669">
      <c r="A15669" s="84"/>
      <c r="B15669" s="85"/>
      <c r="C15669" s="85"/>
      <c r="F15669" s="92"/>
      <c r="G15669" s="85"/>
    </row>
    <row r="15670">
      <c r="A15670" s="84"/>
      <c r="B15670" s="85"/>
      <c r="C15670" s="85"/>
      <c r="F15670" s="92"/>
      <c r="G15670" s="85"/>
    </row>
    <row r="15671">
      <c r="A15671" s="84"/>
      <c r="B15671" s="85"/>
      <c r="C15671" s="85"/>
      <c r="F15671" s="92"/>
      <c r="G15671" s="85"/>
    </row>
    <row r="15672">
      <c r="A15672" s="84"/>
      <c r="B15672" s="85"/>
      <c r="C15672" s="85"/>
      <c r="F15672" s="92"/>
      <c r="G15672" s="85"/>
    </row>
    <row r="15673">
      <c r="A15673" s="84"/>
      <c r="B15673" s="85"/>
      <c r="C15673" s="85"/>
      <c r="F15673" s="92"/>
      <c r="G15673" s="85"/>
    </row>
    <row r="15674">
      <c r="A15674" s="84"/>
      <c r="B15674" s="85"/>
      <c r="C15674" s="85"/>
      <c r="F15674" s="92"/>
      <c r="G15674" s="85"/>
    </row>
    <row r="15675">
      <c r="A15675" s="84"/>
      <c r="B15675" s="85"/>
      <c r="C15675" s="85"/>
      <c r="F15675" s="92"/>
      <c r="G15675" s="85"/>
    </row>
    <row r="15676">
      <c r="A15676" s="84"/>
      <c r="B15676" s="85"/>
      <c r="C15676" s="85"/>
      <c r="F15676" s="92"/>
      <c r="G15676" s="85"/>
    </row>
    <row r="15677">
      <c r="A15677" s="84"/>
      <c r="B15677" s="85"/>
      <c r="C15677" s="85"/>
      <c r="F15677" s="92"/>
      <c r="G15677" s="85"/>
    </row>
    <row r="15678">
      <c r="A15678" s="84"/>
      <c r="B15678" s="85"/>
      <c r="C15678" s="85"/>
      <c r="F15678" s="92"/>
      <c r="G15678" s="85"/>
    </row>
    <row r="15679">
      <c r="A15679" s="84"/>
      <c r="B15679" s="85"/>
      <c r="C15679" s="85"/>
      <c r="F15679" s="92"/>
      <c r="G15679" s="85"/>
    </row>
    <row r="15680">
      <c r="A15680" s="84"/>
      <c r="B15680" s="85"/>
      <c r="C15680" s="85"/>
      <c r="F15680" s="92"/>
      <c r="G15680" s="85"/>
    </row>
    <row r="15681">
      <c r="A15681" s="84"/>
      <c r="B15681" s="85"/>
      <c r="C15681" s="85"/>
      <c r="F15681" s="92"/>
      <c r="G15681" s="85"/>
    </row>
    <row r="15682">
      <c r="A15682" s="84"/>
      <c r="B15682" s="85"/>
      <c r="C15682" s="85"/>
      <c r="F15682" s="92"/>
      <c r="G15682" s="85"/>
    </row>
    <row r="15683">
      <c r="A15683" s="84"/>
      <c r="B15683" s="85"/>
      <c r="C15683" s="85"/>
      <c r="F15683" s="92"/>
      <c r="G15683" s="85"/>
    </row>
    <row r="15684">
      <c r="A15684" s="84"/>
      <c r="B15684" s="85"/>
      <c r="C15684" s="85"/>
      <c r="F15684" s="92"/>
      <c r="G15684" s="85"/>
    </row>
    <row r="15685">
      <c r="A15685" s="84"/>
      <c r="B15685" s="85"/>
      <c r="C15685" s="85"/>
      <c r="F15685" s="92"/>
      <c r="G15685" s="85"/>
    </row>
    <row r="15686">
      <c r="A15686" s="84"/>
      <c r="B15686" s="85"/>
      <c r="C15686" s="85"/>
      <c r="F15686" s="92"/>
      <c r="G15686" s="85"/>
    </row>
    <row r="15687">
      <c r="A15687" s="84"/>
      <c r="B15687" s="85"/>
      <c r="C15687" s="85"/>
      <c r="F15687" s="92"/>
      <c r="G15687" s="85"/>
    </row>
    <row r="15688">
      <c r="A15688" s="84"/>
      <c r="B15688" s="85"/>
      <c r="C15688" s="85"/>
      <c r="F15688" s="92"/>
      <c r="G15688" s="85"/>
    </row>
    <row r="15689">
      <c r="A15689" s="84"/>
      <c r="B15689" s="85"/>
      <c r="C15689" s="85"/>
      <c r="F15689" s="92"/>
      <c r="G15689" s="85"/>
    </row>
    <row r="15690">
      <c r="A15690" s="84"/>
      <c r="B15690" s="85"/>
      <c r="C15690" s="85"/>
      <c r="F15690" s="92"/>
      <c r="G15690" s="85"/>
    </row>
    <row r="15691">
      <c r="A15691" s="84"/>
      <c r="B15691" s="85"/>
      <c r="C15691" s="85"/>
      <c r="F15691" s="92"/>
      <c r="G15691" s="85"/>
    </row>
    <row r="15692">
      <c r="A15692" s="84"/>
      <c r="B15692" s="85"/>
      <c r="C15692" s="85"/>
      <c r="F15692" s="92"/>
      <c r="G15692" s="85"/>
    </row>
    <row r="15693">
      <c r="A15693" s="84"/>
      <c r="B15693" s="85"/>
      <c r="C15693" s="85"/>
      <c r="F15693" s="92"/>
      <c r="G15693" s="85"/>
    </row>
    <row r="15694">
      <c r="A15694" s="84"/>
      <c r="B15694" s="85"/>
      <c r="C15694" s="85"/>
      <c r="F15694" s="92"/>
      <c r="G15694" s="85"/>
    </row>
    <row r="15695">
      <c r="A15695" s="84"/>
      <c r="B15695" s="85"/>
      <c r="C15695" s="85"/>
      <c r="F15695" s="92"/>
      <c r="G15695" s="85"/>
    </row>
    <row r="15696">
      <c r="A15696" s="84"/>
      <c r="B15696" s="85"/>
      <c r="C15696" s="85"/>
      <c r="F15696" s="92"/>
      <c r="G15696" s="85"/>
    </row>
    <row r="15697">
      <c r="A15697" s="84"/>
      <c r="B15697" s="85"/>
      <c r="C15697" s="85"/>
      <c r="F15697" s="92"/>
      <c r="G15697" s="85"/>
    </row>
    <row r="15698">
      <c r="A15698" s="84"/>
      <c r="B15698" s="85"/>
      <c r="C15698" s="85"/>
      <c r="F15698" s="92"/>
      <c r="G15698" s="85"/>
    </row>
    <row r="15699">
      <c r="A15699" s="84"/>
      <c r="B15699" s="85"/>
      <c r="C15699" s="85"/>
      <c r="F15699" s="92"/>
      <c r="G15699" s="85"/>
    </row>
    <row r="15700">
      <c r="A15700" s="84"/>
      <c r="B15700" s="85"/>
      <c r="C15700" s="85"/>
      <c r="F15700" s="92"/>
      <c r="G15700" s="85"/>
    </row>
    <row r="15701">
      <c r="A15701" s="84"/>
      <c r="B15701" s="85"/>
      <c r="C15701" s="85"/>
      <c r="F15701" s="92"/>
      <c r="G15701" s="85"/>
    </row>
    <row r="15702">
      <c r="A15702" s="84"/>
      <c r="B15702" s="85"/>
      <c r="C15702" s="85"/>
      <c r="F15702" s="92"/>
      <c r="G15702" s="85"/>
    </row>
    <row r="15703">
      <c r="A15703" s="84"/>
      <c r="B15703" s="85"/>
      <c r="C15703" s="85"/>
      <c r="F15703" s="92"/>
      <c r="G15703" s="85"/>
    </row>
    <row r="15704">
      <c r="A15704" s="84"/>
      <c r="B15704" s="85"/>
      <c r="C15704" s="85"/>
      <c r="F15704" s="92"/>
      <c r="G15704" s="85"/>
    </row>
    <row r="15705">
      <c r="A15705" s="84"/>
      <c r="B15705" s="85"/>
      <c r="C15705" s="85"/>
      <c r="F15705" s="92"/>
      <c r="G15705" s="85"/>
    </row>
    <row r="15706">
      <c r="A15706" s="84"/>
      <c r="B15706" s="85"/>
      <c r="C15706" s="85"/>
      <c r="F15706" s="92"/>
      <c r="G15706" s="85"/>
    </row>
    <row r="15707">
      <c r="A15707" s="84"/>
      <c r="B15707" s="85"/>
      <c r="C15707" s="85"/>
      <c r="F15707" s="92"/>
      <c r="G15707" s="85"/>
    </row>
    <row r="15708">
      <c r="A15708" s="84"/>
      <c r="B15708" s="85"/>
      <c r="C15708" s="85"/>
      <c r="F15708" s="92"/>
      <c r="G15708" s="85"/>
    </row>
    <row r="15709">
      <c r="A15709" s="84"/>
      <c r="B15709" s="85"/>
      <c r="C15709" s="85"/>
      <c r="F15709" s="92"/>
      <c r="G15709" s="85"/>
    </row>
    <row r="15710">
      <c r="A15710" s="84"/>
      <c r="B15710" s="85"/>
      <c r="C15710" s="85"/>
      <c r="F15710" s="92"/>
      <c r="G15710" s="85"/>
    </row>
    <row r="15711">
      <c r="A15711" s="84"/>
      <c r="B15711" s="85"/>
      <c r="C15711" s="85"/>
      <c r="F15711" s="92"/>
      <c r="G15711" s="85"/>
    </row>
    <row r="15712">
      <c r="A15712" s="84"/>
      <c r="B15712" s="85"/>
      <c r="C15712" s="85"/>
      <c r="F15712" s="92"/>
      <c r="G15712" s="85"/>
    </row>
    <row r="15713">
      <c r="A15713" s="84"/>
      <c r="B15713" s="85"/>
      <c r="C15713" s="85"/>
      <c r="F15713" s="92"/>
      <c r="G15713" s="85"/>
    </row>
    <row r="15714">
      <c r="A15714" s="84"/>
      <c r="B15714" s="85"/>
      <c r="C15714" s="85"/>
      <c r="F15714" s="92"/>
      <c r="G15714" s="85"/>
    </row>
    <row r="15715">
      <c r="A15715" s="84"/>
      <c r="B15715" s="85"/>
      <c r="C15715" s="85"/>
      <c r="F15715" s="92"/>
      <c r="G15715" s="85"/>
    </row>
    <row r="15716">
      <c r="A15716" s="84"/>
      <c r="B15716" s="85"/>
      <c r="C15716" s="85"/>
      <c r="F15716" s="92"/>
      <c r="G15716" s="85"/>
    </row>
    <row r="15717">
      <c r="A15717" s="84"/>
      <c r="B15717" s="85"/>
      <c r="C15717" s="85"/>
      <c r="F15717" s="92"/>
      <c r="G15717" s="85"/>
    </row>
    <row r="15718">
      <c r="A15718" s="84"/>
      <c r="B15718" s="85"/>
      <c r="C15718" s="85"/>
      <c r="F15718" s="92"/>
      <c r="G15718" s="85"/>
    </row>
    <row r="15719">
      <c r="A15719" s="84"/>
      <c r="B15719" s="85"/>
      <c r="C15719" s="85"/>
      <c r="F15719" s="92"/>
      <c r="G15719" s="85"/>
    </row>
    <row r="15720">
      <c r="A15720" s="84"/>
      <c r="B15720" s="85"/>
      <c r="C15720" s="85"/>
      <c r="F15720" s="92"/>
      <c r="G15720" s="85"/>
    </row>
    <row r="15721">
      <c r="A15721" s="84"/>
      <c r="B15721" s="85"/>
      <c r="C15721" s="85"/>
      <c r="F15721" s="92"/>
      <c r="G15721" s="85"/>
    </row>
    <row r="15722">
      <c r="A15722" s="84"/>
      <c r="B15722" s="85"/>
      <c r="C15722" s="85"/>
      <c r="F15722" s="92"/>
      <c r="G15722" s="85"/>
    </row>
    <row r="15723">
      <c r="A15723" s="84"/>
      <c r="B15723" s="85"/>
      <c r="C15723" s="85"/>
      <c r="F15723" s="92"/>
      <c r="G15723" s="85"/>
    </row>
    <row r="15724">
      <c r="A15724" s="84"/>
      <c r="B15724" s="85"/>
      <c r="C15724" s="85"/>
      <c r="F15724" s="92"/>
      <c r="G15724" s="85"/>
    </row>
    <row r="15725">
      <c r="A15725" s="84"/>
      <c r="B15725" s="85"/>
      <c r="C15725" s="85"/>
      <c r="F15725" s="92"/>
      <c r="G15725" s="85"/>
    </row>
    <row r="15726">
      <c r="A15726" s="84"/>
      <c r="B15726" s="85"/>
      <c r="C15726" s="85"/>
      <c r="F15726" s="92"/>
      <c r="G15726" s="85"/>
    </row>
    <row r="15727">
      <c r="A15727" s="84"/>
      <c r="B15727" s="85"/>
      <c r="C15727" s="85"/>
      <c r="F15727" s="92"/>
      <c r="G15727" s="85"/>
    </row>
    <row r="15728">
      <c r="A15728" s="84"/>
      <c r="B15728" s="85"/>
      <c r="C15728" s="85"/>
      <c r="F15728" s="92"/>
      <c r="G15728" s="85"/>
    </row>
    <row r="15729">
      <c r="A15729" s="84"/>
      <c r="B15729" s="85"/>
      <c r="C15729" s="85"/>
      <c r="F15729" s="92"/>
      <c r="G15729" s="85"/>
    </row>
    <row r="15730">
      <c r="A15730" s="84"/>
      <c r="B15730" s="85"/>
      <c r="C15730" s="85"/>
      <c r="F15730" s="92"/>
      <c r="G15730" s="85"/>
    </row>
    <row r="15731">
      <c r="A15731" s="84"/>
      <c r="B15731" s="85"/>
      <c r="C15731" s="85"/>
      <c r="F15731" s="92"/>
      <c r="G15731" s="85"/>
    </row>
    <row r="15732">
      <c r="A15732" s="84"/>
      <c r="B15732" s="85"/>
      <c r="C15732" s="85"/>
      <c r="F15732" s="92"/>
      <c r="G15732" s="85"/>
    </row>
    <row r="15733">
      <c r="A15733" s="84"/>
      <c r="B15733" s="85"/>
      <c r="C15733" s="85"/>
      <c r="F15733" s="92"/>
      <c r="G15733" s="85"/>
    </row>
    <row r="15734">
      <c r="A15734" s="84"/>
      <c r="B15734" s="85"/>
      <c r="C15734" s="85"/>
      <c r="F15734" s="92"/>
      <c r="G15734" s="85"/>
    </row>
    <row r="15735">
      <c r="A15735" s="84"/>
      <c r="B15735" s="85"/>
      <c r="C15735" s="85"/>
      <c r="F15735" s="92"/>
      <c r="G15735" s="85"/>
    </row>
    <row r="15736">
      <c r="A15736" s="84"/>
      <c r="B15736" s="85"/>
      <c r="C15736" s="85"/>
      <c r="F15736" s="92"/>
      <c r="G15736" s="85"/>
    </row>
    <row r="15737">
      <c r="A15737" s="84"/>
      <c r="B15737" s="85"/>
      <c r="C15737" s="85"/>
      <c r="F15737" s="92"/>
      <c r="G15737" s="85"/>
    </row>
    <row r="15738">
      <c r="A15738" s="84"/>
      <c r="B15738" s="85"/>
      <c r="C15738" s="85"/>
      <c r="F15738" s="92"/>
      <c r="G15738" s="85"/>
    </row>
    <row r="15739">
      <c r="A15739" s="84"/>
      <c r="B15739" s="85"/>
      <c r="C15739" s="85"/>
      <c r="F15739" s="92"/>
      <c r="G15739" s="85"/>
    </row>
    <row r="15740">
      <c r="A15740" s="84"/>
      <c r="B15740" s="85"/>
      <c r="C15740" s="85"/>
      <c r="F15740" s="92"/>
      <c r="G15740" s="85"/>
    </row>
    <row r="15741">
      <c r="A15741" s="84"/>
      <c r="B15741" s="85"/>
      <c r="C15741" s="85"/>
      <c r="F15741" s="92"/>
      <c r="G15741" s="85"/>
    </row>
    <row r="15742">
      <c r="A15742" s="84"/>
      <c r="B15742" s="85"/>
      <c r="C15742" s="85"/>
      <c r="F15742" s="92"/>
      <c r="G15742" s="85"/>
    </row>
    <row r="15743">
      <c r="A15743" s="84"/>
      <c r="B15743" s="85"/>
      <c r="C15743" s="85"/>
      <c r="F15743" s="92"/>
      <c r="G15743" s="85"/>
    </row>
    <row r="15744">
      <c r="A15744" s="84"/>
      <c r="B15744" s="85"/>
      <c r="C15744" s="85"/>
      <c r="F15744" s="92"/>
      <c r="G15744" s="85"/>
    </row>
    <row r="15745">
      <c r="A15745" s="84"/>
      <c r="B15745" s="85"/>
      <c r="C15745" s="85"/>
      <c r="F15745" s="92"/>
      <c r="G15745" s="85"/>
    </row>
    <row r="15746">
      <c r="A15746" s="84"/>
      <c r="B15746" s="85"/>
      <c r="C15746" s="85"/>
      <c r="F15746" s="92"/>
      <c r="G15746" s="85"/>
    </row>
    <row r="15747">
      <c r="A15747" s="84"/>
      <c r="B15747" s="85"/>
      <c r="C15747" s="85"/>
      <c r="F15747" s="92"/>
      <c r="G15747" s="85"/>
    </row>
    <row r="15748">
      <c r="A15748" s="84"/>
      <c r="B15748" s="85"/>
      <c r="C15748" s="85"/>
      <c r="F15748" s="92"/>
      <c r="G15748" s="85"/>
    </row>
    <row r="15749">
      <c r="A15749" s="84"/>
      <c r="B15749" s="85"/>
      <c r="C15749" s="85"/>
      <c r="F15749" s="92"/>
      <c r="G15749" s="85"/>
    </row>
    <row r="15750">
      <c r="A15750" s="84"/>
      <c r="B15750" s="85"/>
      <c r="C15750" s="85"/>
      <c r="F15750" s="92"/>
      <c r="G15750" s="85"/>
    </row>
    <row r="15751">
      <c r="A15751" s="84"/>
      <c r="B15751" s="85"/>
      <c r="C15751" s="85"/>
      <c r="F15751" s="92"/>
      <c r="G15751" s="85"/>
    </row>
    <row r="15752">
      <c r="A15752" s="84"/>
      <c r="B15752" s="85"/>
      <c r="C15752" s="85"/>
      <c r="F15752" s="92"/>
      <c r="G15752" s="85"/>
    </row>
    <row r="15753">
      <c r="A15753" s="84"/>
      <c r="B15753" s="85"/>
      <c r="C15753" s="85"/>
      <c r="F15753" s="92"/>
      <c r="G15753" s="85"/>
    </row>
    <row r="15754">
      <c r="A15754" s="84"/>
      <c r="B15754" s="85"/>
      <c r="C15754" s="85"/>
      <c r="F15754" s="92"/>
      <c r="G15754" s="85"/>
    </row>
    <row r="15755">
      <c r="A15755" s="84"/>
      <c r="B15755" s="85"/>
      <c r="C15755" s="85"/>
      <c r="F15755" s="92"/>
      <c r="G15755" s="85"/>
    </row>
    <row r="15756">
      <c r="A15756" s="84"/>
      <c r="B15756" s="85"/>
      <c r="C15756" s="85"/>
      <c r="F15756" s="92"/>
      <c r="G15756" s="85"/>
    </row>
    <row r="15757">
      <c r="A15757" s="84"/>
      <c r="B15757" s="85"/>
      <c r="C15757" s="85"/>
      <c r="F15757" s="92"/>
      <c r="G15757" s="85"/>
    </row>
    <row r="15758">
      <c r="A15758" s="84"/>
      <c r="B15758" s="85"/>
      <c r="C15758" s="85"/>
      <c r="F15758" s="92"/>
      <c r="G15758" s="85"/>
    </row>
    <row r="15759">
      <c r="A15759" s="84"/>
      <c r="B15759" s="85"/>
      <c r="C15759" s="85"/>
      <c r="F15759" s="92"/>
      <c r="G15759" s="85"/>
    </row>
    <row r="15760">
      <c r="A15760" s="84"/>
      <c r="B15760" s="85"/>
      <c r="C15760" s="85"/>
      <c r="F15760" s="92"/>
      <c r="G15760" s="85"/>
    </row>
    <row r="15761">
      <c r="A15761" s="84"/>
      <c r="B15761" s="85"/>
      <c r="C15761" s="85"/>
      <c r="F15761" s="92"/>
      <c r="G15761" s="85"/>
    </row>
    <row r="15762">
      <c r="A15762" s="84"/>
      <c r="B15762" s="85"/>
      <c r="C15762" s="85"/>
      <c r="F15762" s="92"/>
      <c r="G15762" s="85"/>
    </row>
    <row r="15763">
      <c r="A15763" s="84"/>
      <c r="B15763" s="85"/>
      <c r="C15763" s="85"/>
      <c r="F15763" s="92"/>
      <c r="G15763" s="85"/>
    </row>
    <row r="15764">
      <c r="A15764" s="84"/>
      <c r="B15764" s="85"/>
      <c r="C15764" s="85"/>
      <c r="F15764" s="92"/>
      <c r="G15764" s="85"/>
    </row>
    <row r="15765">
      <c r="A15765" s="84"/>
      <c r="B15765" s="85"/>
      <c r="C15765" s="85"/>
      <c r="F15765" s="92"/>
      <c r="G15765" s="85"/>
    </row>
    <row r="15766">
      <c r="A15766" s="84"/>
      <c r="B15766" s="85"/>
      <c r="C15766" s="85"/>
      <c r="F15766" s="92"/>
      <c r="G15766" s="85"/>
    </row>
    <row r="15767">
      <c r="A15767" s="84"/>
      <c r="B15767" s="85"/>
      <c r="C15767" s="85"/>
      <c r="F15767" s="92"/>
      <c r="G15767" s="85"/>
    </row>
    <row r="15768">
      <c r="A15768" s="84"/>
      <c r="B15768" s="85"/>
      <c r="C15768" s="85"/>
      <c r="F15768" s="92"/>
      <c r="G15768" s="85"/>
    </row>
    <row r="15769">
      <c r="A15769" s="84"/>
      <c r="B15769" s="85"/>
      <c r="C15769" s="85"/>
      <c r="F15769" s="92"/>
      <c r="G15769" s="85"/>
    </row>
    <row r="15770">
      <c r="A15770" s="84"/>
      <c r="B15770" s="85"/>
      <c r="C15770" s="85"/>
      <c r="F15770" s="92"/>
      <c r="G15770" s="85"/>
    </row>
    <row r="15771">
      <c r="A15771" s="84"/>
      <c r="B15771" s="85"/>
      <c r="C15771" s="85"/>
      <c r="F15771" s="92"/>
      <c r="G15771" s="85"/>
    </row>
    <row r="15772">
      <c r="A15772" s="84"/>
      <c r="B15772" s="85"/>
      <c r="C15772" s="85"/>
      <c r="F15772" s="92"/>
      <c r="G15772" s="85"/>
    </row>
    <row r="15773">
      <c r="A15773" s="84"/>
      <c r="B15773" s="85"/>
      <c r="C15773" s="85"/>
      <c r="F15773" s="92"/>
      <c r="G15773" s="85"/>
    </row>
    <row r="15774">
      <c r="A15774" s="84"/>
      <c r="B15774" s="85"/>
      <c r="C15774" s="85"/>
      <c r="F15774" s="92"/>
      <c r="G15774" s="85"/>
    </row>
    <row r="15775">
      <c r="A15775" s="84"/>
      <c r="B15775" s="85"/>
      <c r="C15775" s="85"/>
      <c r="F15775" s="92"/>
      <c r="G15775" s="85"/>
    </row>
    <row r="15776">
      <c r="A15776" s="84"/>
      <c r="B15776" s="85"/>
      <c r="C15776" s="85"/>
      <c r="F15776" s="92"/>
      <c r="G15776" s="85"/>
    </row>
    <row r="15777">
      <c r="A15777" s="84"/>
      <c r="B15777" s="85"/>
      <c r="C15777" s="85"/>
      <c r="F15777" s="92"/>
      <c r="G15777" s="85"/>
    </row>
    <row r="15778">
      <c r="A15778" s="84"/>
      <c r="B15778" s="85"/>
      <c r="C15778" s="85"/>
      <c r="F15778" s="92"/>
      <c r="G15778" s="85"/>
    </row>
    <row r="15779">
      <c r="A15779" s="84"/>
      <c r="B15779" s="85"/>
      <c r="C15779" s="85"/>
      <c r="F15779" s="92"/>
      <c r="G15779" s="85"/>
    </row>
    <row r="15780">
      <c r="A15780" s="84"/>
      <c r="B15780" s="85"/>
      <c r="C15780" s="85"/>
      <c r="F15780" s="92"/>
      <c r="G15780" s="85"/>
    </row>
    <row r="15781">
      <c r="A15781" s="84"/>
      <c r="B15781" s="85"/>
      <c r="C15781" s="85"/>
      <c r="F15781" s="92"/>
      <c r="G15781" s="85"/>
    </row>
    <row r="15782">
      <c r="A15782" s="84"/>
      <c r="B15782" s="85"/>
      <c r="C15782" s="85"/>
      <c r="F15782" s="92"/>
      <c r="G15782" s="85"/>
    </row>
    <row r="15783">
      <c r="A15783" s="84"/>
      <c r="B15783" s="85"/>
      <c r="C15783" s="85"/>
      <c r="F15783" s="92"/>
      <c r="G15783" s="85"/>
    </row>
    <row r="15784">
      <c r="A15784" s="84"/>
      <c r="B15784" s="85"/>
      <c r="C15784" s="85"/>
      <c r="F15784" s="92"/>
      <c r="G15784" s="85"/>
    </row>
    <row r="15785">
      <c r="A15785" s="84"/>
      <c r="B15785" s="85"/>
      <c r="C15785" s="85"/>
      <c r="F15785" s="92"/>
      <c r="G15785" s="85"/>
    </row>
    <row r="15786">
      <c r="A15786" s="84"/>
      <c r="B15786" s="85"/>
      <c r="C15786" s="85"/>
      <c r="F15786" s="92"/>
      <c r="G15786" s="85"/>
    </row>
    <row r="15787">
      <c r="A15787" s="84"/>
      <c r="B15787" s="85"/>
      <c r="C15787" s="85"/>
      <c r="F15787" s="92"/>
      <c r="G15787" s="85"/>
    </row>
    <row r="15788">
      <c r="A15788" s="84"/>
      <c r="B15788" s="85"/>
      <c r="C15788" s="85"/>
      <c r="F15788" s="92"/>
      <c r="G15788" s="85"/>
    </row>
    <row r="15789">
      <c r="A15789" s="84"/>
      <c r="B15789" s="85"/>
      <c r="C15789" s="85"/>
      <c r="F15789" s="92"/>
      <c r="G15789" s="85"/>
    </row>
    <row r="15790">
      <c r="A15790" s="84"/>
      <c r="B15790" s="85"/>
      <c r="C15790" s="85"/>
      <c r="F15790" s="92"/>
      <c r="G15790" s="85"/>
    </row>
    <row r="15791">
      <c r="A15791" s="84"/>
      <c r="B15791" s="85"/>
      <c r="C15791" s="85"/>
      <c r="F15791" s="92"/>
      <c r="G15791" s="85"/>
    </row>
    <row r="15792">
      <c r="A15792" s="84"/>
      <c r="B15792" s="85"/>
      <c r="C15792" s="85"/>
      <c r="F15792" s="92"/>
      <c r="G15792" s="85"/>
    </row>
    <row r="15793">
      <c r="A15793" s="84"/>
      <c r="B15793" s="85"/>
      <c r="C15793" s="85"/>
      <c r="F15793" s="92"/>
      <c r="G15793" s="85"/>
    </row>
    <row r="15794">
      <c r="A15794" s="84"/>
      <c r="B15794" s="85"/>
      <c r="C15794" s="85"/>
      <c r="F15794" s="92"/>
      <c r="G15794" s="85"/>
    </row>
    <row r="15795">
      <c r="A15795" s="84"/>
      <c r="B15795" s="85"/>
      <c r="C15795" s="85"/>
      <c r="F15795" s="92"/>
      <c r="G15795" s="85"/>
    </row>
    <row r="15796">
      <c r="A15796" s="84"/>
      <c r="B15796" s="85"/>
      <c r="C15796" s="85"/>
      <c r="F15796" s="92"/>
      <c r="G15796" s="85"/>
    </row>
    <row r="15797">
      <c r="A15797" s="84"/>
      <c r="B15797" s="85"/>
      <c r="C15797" s="85"/>
      <c r="F15797" s="92"/>
      <c r="G15797" s="85"/>
    </row>
    <row r="15798">
      <c r="A15798" s="84"/>
      <c r="B15798" s="85"/>
      <c r="C15798" s="85"/>
      <c r="F15798" s="92"/>
      <c r="G15798" s="85"/>
    </row>
    <row r="15799">
      <c r="A15799" s="84"/>
      <c r="B15799" s="85"/>
      <c r="C15799" s="85"/>
      <c r="F15799" s="92"/>
      <c r="G15799" s="85"/>
    </row>
    <row r="15800">
      <c r="A15800" s="84"/>
      <c r="B15800" s="85"/>
      <c r="C15800" s="85"/>
      <c r="F15800" s="92"/>
      <c r="G15800" s="85"/>
    </row>
    <row r="15801">
      <c r="A15801" s="84"/>
      <c r="B15801" s="85"/>
      <c r="C15801" s="85"/>
      <c r="F15801" s="92"/>
      <c r="G15801" s="85"/>
    </row>
    <row r="15802">
      <c r="A15802" s="84"/>
      <c r="B15802" s="85"/>
      <c r="C15802" s="85"/>
      <c r="F15802" s="92"/>
      <c r="G15802" s="85"/>
    </row>
    <row r="15803">
      <c r="A15803" s="84"/>
      <c r="B15803" s="85"/>
      <c r="C15803" s="85"/>
      <c r="F15803" s="92"/>
      <c r="G15803" s="85"/>
    </row>
    <row r="15804">
      <c r="A15804" s="84"/>
      <c r="B15804" s="85"/>
      <c r="C15804" s="85"/>
      <c r="F15804" s="92"/>
      <c r="G15804" s="85"/>
    </row>
    <row r="15805">
      <c r="A15805" s="84"/>
      <c r="B15805" s="85"/>
      <c r="C15805" s="85"/>
      <c r="F15805" s="92"/>
      <c r="G15805" s="85"/>
    </row>
    <row r="15806">
      <c r="A15806" s="84"/>
      <c r="B15806" s="85"/>
      <c r="C15806" s="85"/>
      <c r="F15806" s="92"/>
      <c r="G15806" s="85"/>
    </row>
    <row r="15807">
      <c r="A15807" s="84"/>
      <c r="B15807" s="85"/>
      <c r="C15807" s="85"/>
      <c r="F15807" s="92"/>
      <c r="G15807" s="85"/>
    </row>
    <row r="15808">
      <c r="A15808" s="84"/>
      <c r="B15808" s="85"/>
      <c r="C15808" s="85"/>
      <c r="F15808" s="92"/>
      <c r="G15808" s="85"/>
    </row>
    <row r="15809">
      <c r="A15809" s="84"/>
      <c r="B15809" s="85"/>
      <c r="C15809" s="85"/>
      <c r="F15809" s="92"/>
      <c r="G15809" s="85"/>
    </row>
    <row r="15810">
      <c r="A15810" s="84"/>
      <c r="B15810" s="85"/>
      <c r="C15810" s="85"/>
      <c r="F15810" s="92"/>
      <c r="G15810" s="85"/>
    </row>
    <row r="15811">
      <c r="A15811" s="84"/>
      <c r="B15811" s="85"/>
      <c r="C15811" s="85"/>
      <c r="F15811" s="92"/>
      <c r="G15811" s="85"/>
    </row>
    <row r="15812">
      <c r="A15812" s="84"/>
      <c r="B15812" s="85"/>
      <c r="C15812" s="85"/>
      <c r="F15812" s="92"/>
      <c r="G15812" s="85"/>
    </row>
    <row r="15813">
      <c r="A15813" s="84"/>
      <c r="B15813" s="85"/>
      <c r="C15813" s="85"/>
      <c r="F15813" s="92"/>
      <c r="G15813" s="85"/>
    </row>
    <row r="15814">
      <c r="A15814" s="84"/>
      <c r="B15814" s="85"/>
      <c r="C15814" s="85"/>
      <c r="F15814" s="92"/>
      <c r="G15814" s="85"/>
    </row>
    <row r="15815">
      <c r="A15815" s="84"/>
      <c r="B15815" s="85"/>
      <c r="C15815" s="85"/>
      <c r="F15815" s="92"/>
      <c r="G15815" s="85"/>
    </row>
    <row r="15816">
      <c r="A15816" s="84"/>
      <c r="B15816" s="85"/>
      <c r="C15816" s="85"/>
      <c r="F15816" s="92"/>
      <c r="G15816" s="85"/>
    </row>
    <row r="15817">
      <c r="A15817" s="84"/>
      <c r="B15817" s="85"/>
      <c r="C15817" s="85"/>
      <c r="F15817" s="92"/>
      <c r="G15817" s="85"/>
    </row>
    <row r="15818">
      <c r="A15818" s="84"/>
      <c r="B15818" s="85"/>
      <c r="C15818" s="85"/>
      <c r="F15818" s="92"/>
      <c r="G15818" s="85"/>
    </row>
    <row r="15819">
      <c r="A15819" s="84"/>
      <c r="B15819" s="85"/>
      <c r="C15819" s="85"/>
      <c r="F15819" s="92"/>
      <c r="G15819" s="85"/>
    </row>
    <row r="15820">
      <c r="A15820" s="84"/>
      <c r="B15820" s="85"/>
      <c r="C15820" s="85"/>
      <c r="F15820" s="92"/>
      <c r="G15820" s="85"/>
    </row>
    <row r="15821">
      <c r="A15821" s="84"/>
      <c r="B15821" s="85"/>
      <c r="C15821" s="85"/>
      <c r="F15821" s="92"/>
      <c r="G15821" s="85"/>
    </row>
    <row r="15822">
      <c r="A15822" s="84"/>
      <c r="B15822" s="85"/>
      <c r="C15822" s="85"/>
      <c r="F15822" s="92"/>
      <c r="G15822" s="85"/>
    </row>
    <row r="15823">
      <c r="A15823" s="84"/>
      <c r="B15823" s="85"/>
      <c r="C15823" s="85"/>
      <c r="F15823" s="92"/>
      <c r="G15823" s="85"/>
    </row>
    <row r="15824">
      <c r="A15824" s="84"/>
      <c r="B15824" s="85"/>
      <c r="C15824" s="85"/>
      <c r="F15824" s="92"/>
      <c r="G15824" s="85"/>
    </row>
    <row r="15825">
      <c r="A15825" s="84"/>
      <c r="B15825" s="85"/>
      <c r="C15825" s="85"/>
      <c r="F15825" s="92"/>
      <c r="G15825" s="85"/>
    </row>
    <row r="15826">
      <c r="A15826" s="84"/>
      <c r="B15826" s="85"/>
      <c r="C15826" s="85"/>
      <c r="F15826" s="92"/>
      <c r="G15826" s="85"/>
    </row>
    <row r="15827">
      <c r="A15827" s="84"/>
      <c r="B15827" s="85"/>
      <c r="C15827" s="85"/>
      <c r="F15827" s="92"/>
      <c r="G15827" s="85"/>
    </row>
    <row r="15828">
      <c r="A15828" s="84"/>
      <c r="B15828" s="85"/>
      <c r="C15828" s="85"/>
      <c r="F15828" s="92"/>
      <c r="G15828" s="85"/>
    </row>
    <row r="15829">
      <c r="A15829" s="84"/>
      <c r="B15829" s="85"/>
      <c r="C15829" s="85"/>
      <c r="F15829" s="92"/>
      <c r="G15829" s="85"/>
    </row>
    <row r="15830">
      <c r="A15830" s="84"/>
      <c r="B15830" s="85"/>
      <c r="C15830" s="85"/>
      <c r="F15830" s="92"/>
      <c r="G15830" s="85"/>
    </row>
    <row r="15831">
      <c r="A15831" s="84"/>
      <c r="B15831" s="85"/>
      <c r="C15831" s="85"/>
      <c r="F15831" s="92"/>
      <c r="G15831" s="85"/>
    </row>
    <row r="15832">
      <c r="A15832" s="84"/>
      <c r="B15832" s="85"/>
      <c r="C15832" s="85"/>
      <c r="F15832" s="92"/>
      <c r="G15832" s="85"/>
    </row>
    <row r="15833">
      <c r="A15833" s="84"/>
      <c r="B15833" s="85"/>
      <c r="C15833" s="85"/>
      <c r="F15833" s="92"/>
      <c r="G15833" s="85"/>
    </row>
    <row r="15834">
      <c r="A15834" s="84"/>
      <c r="B15834" s="85"/>
      <c r="C15834" s="85"/>
      <c r="F15834" s="92"/>
      <c r="G15834" s="85"/>
    </row>
    <row r="15835">
      <c r="A15835" s="84"/>
      <c r="B15835" s="85"/>
      <c r="C15835" s="85"/>
      <c r="F15835" s="92"/>
      <c r="G15835" s="85"/>
    </row>
    <row r="15836">
      <c r="A15836" s="84"/>
      <c r="B15836" s="85"/>
      <c r="C15836" s="85"/>
      <c r="F15836" s="92"/>
      <c r="G15836" s="85"/>
    </row>
    <row r="15837">
      <c r="A15837" s="84"/>
      <c r="B15837" s="85"/>
      <c r="C15837" s="85"/>
      <c r="F15837" s="92"/>
      <c r="G15837" s="85"/>
    </row>
    <row r="15838">
      <c r="A15838" s="84"/>
      <c r="B15838" s="85"/>
      <c r="C15838" s="85"/>
      <c r="F15838" s="92"/>
      <c r="G15838" s="85"/>
    </row>
    <row r="15839">
      <c r="A15839" s="84"/>
      <c r="B15839" s="85"/>
      <c r="C15839" s="85"/>
      <c r="F15839" s="92"/>
      <c r="G15839" s="85"/>
    </row>
    <row r="15840">
      <c r="A15840" s="84"/>
      <c r="B15840" s="85"/>
      <c r="C15840" s="85"/>
      <c r="F15840" s="92"/>
      <c r="G15840" s="85"/>
    </row>
    <row r="15841">
      <c r="A15841" s="84"/>
      <c r="B15841" s="85"/>
      <c r="C15841" s="85"/>
      <c r="F15841" s="92"/>
      <c r="G15841" s="85"/>
    </row>
    <row r="15842">
      <c r="A15842" s="84"/>
      <c r="B15842" s="85"/>
      <c r="C15842" s="85"/>
      <c r="F15842" s="92"/>
      <c r="G15842" s="85"/>
    </row>
    <row r="15843">
      <c r="A15843" s="84"/>
      <c r="B15843" s="85"/>
      <c r="C15843" s="85"/>
      <c r="F15843" s="92"/>
      <c r="G15843" s="85"/>
    </row>
    <row r="15844">
      <c r="A15844" s="84"/>
      <c r="B15844" s="85"/>
      <c r="C15844" s="85"/>
      <c r="F15844" s="92"/>
      <c r="G15844" s="85"/>
    </row>
    <row r="15845">
      <c r="A15845" s="84"/>
      <c r="B15845" s="85"/>
      <c r="C15845" s="85"/>
      <c r="F15845" s="92"/>
      <c r="G15845" s="85"/>
    </row>
    <row r="15846">
      <c r="A15846" s="84"/>
      <c r="B15846" s="85"/>
      <c r="C15846" s="85"/>
      <c r="F15846" s="92"/>
      <c r="G15846" s="85"/>
    </row>
    <row r="15847">
      <c r="A15847" s="84"/>
      <c r="B15847" s="85"/>
      <c r="C15847" s="85"/>
      <c r="F15847" s="92"/>
      <c r="G15847" s="85"/>
    </row>
    <row r="15848">
      <c r="A15848" s="84"/>
      <c r="B15848" s="85"/>
      <c r="C15848" s="85"/>
      <c r="F15848" s="92"/>
      <c r="G15848" s="85"/>
    </row>
    <row r="15849">
      <c r="A15849" s="84"/>
      <c r="B15849" s="85"/>
      <c r="C15849" s="85"/>
      <c r="F15849" s="92"/>
      <c r="G15849" s="85"/>
    </row>
    <row r="15850">
      <c r="A15850" s="84"/>
      <c r="B15850" s="85"/>
      <c r="C15850" s="85"/>
      <c r="F15850" s="92"/>
      <c r="G15850" s="85"/>
    </row>
    <row r="15851">
      <c r="A15851" s="84"/>
      <c r="B15851" s="85"/>
      <c r="C15851" s="85"/>
      <c r="F15851" s="92"/>
      <c r="G15851" s="85"/>
    </row>
    <row r="15852">
      <c r="A15852" s="84"/>
      <c r="B15852" s="85"/>
      <c r="C15852" s="85"/>
      <c r="F15852" s="92"/>
      <c r="G15852" s="85"/>
    </row>
    <row r="15853">
      <c r="A15853" s="84"/>
      <c r="B15853" s="85"/>
      <c r="C15853" s="85"/>
      <c r="F15853" s="92"/>
      <c r="G15853" s="85"/>
    </row>
    <row r="15854">
      <c r="A15854" s="84"/>
      <c r="B15854" s="85"/>
      <c r="C15854" s="85"/>
      <c r="F15854" s="92"/>
      <c r="G15854" s="85"/>
    </row>
    <row r="15855">
      <c r="A15855" s="84"/>
      <c r="B15855" s="85"/>
      <c r="C15855" s="85"/>
      <c r="F15855" s="92"/>
      <c r="G15855" s="85"/>
    </row>
    <row r="15856">
      <c r="A15856" s="84"/>
      <c r="B15856" s="85"/>
      <c r="C15856" s="85"/>
      <c r="F15856" s="92"/>
      <c r="G15856" s="85"/>
    </row>
    <row r="15857">
      <c r="A15857" s="84"/>
      <c r="B15857" s="85"/>
      <c r="C15857" s="85"/>
      <c r="F15857" s="92"/>
      <c r="G15857" s="85"/>
    </row>
    <row r="15858">
      <c r="A15858" s="84"/>
      <c r="B15858" s="85"/>
      <c r="C15858" s="85"/>
      <c r="F15858" s="92"/>
      <c r="G15858" s="85"/>
    </row>
    <row r="15859">
      <c r="A15859" s="84"/>
      <c r="B15859" s="85"/>
      <c r="C15859" s="85"/>
      <c r="F15859" s="92"/>
      <c r="G15859" s="85"/>
    </row>
    <row r="15860">
      <c r="A15860" s="84"/>
      <c r="B15860" s="85"/>
      <c r="C15860" s="85"/>
      <c r="F15860" s="92"/>
      <c r="G15860" s="85"/>
    </row>
    <row r="15861">
      <c r="A15861" s="84"/>
      <c r="B15861" s="85"/>
      <c r="C15861" s="85"/>
      <c r="F15861" s="92"/>
      <c r="G15861" s="85"/>
    </row>
    <row r="15862">
      <c r="A15862" s="84"/>
      <c r="B15862" s="85"/>
      <c r="C15862" s="85"/>
      <c r="F15862" s="92"/>
      <c r="G15862" s="85"/>
    </row>
    <row r="15863">
      <c r="A15863" s="84"/>
      <c r="B15863" s="85"/>
      <c r="C15863" s="85"/>
      <c r="F15863" s="92"/>
      <c r="G15863" s="85"/>
    </row>
    <row r="15864">
      <c r="A15864" s="84"/>
      <c r="B15864" s="85"/>
      <c r="C15864" s="85"/>
      <c r="F15864" s="92"/>
      <c r="G15864" s="85"/>
    </row>
    <row r="15865">
      <c r="A15865" s="84"/>
      <c r="B15865" s="85"/>
      <c r="C15865" s="85"/>
      <c r="F15865" s="92"/>
      <c r="G15865" s="85"/>
    </row>
    <row r="15866">
      <c r="A15866" s="84"/>
      <c r="B15866" s="85"/>
      <c r="C15866" s="85"/>
      <c r="F15866" s="92"/>
      <c r="G15866" s="85"/>
    </row>
    <row r="15867">
      <c r="A15867" s="84"/>
      <c r="B15867" s="85"/>
      <c r="C15867" s="85"/>
      <c r="F15867" s="92"/>
      <c r="G15867" s="85"/>
    </row>
    <row r="15868">
      <c r="A15868" s="84"/>
      <c r="B15868" s="85"/>
      <c r="C15868" s="85"/>
      <c r="F15868" s="92"/>
      <c r="G15868" s="85"/>
    </row>
    <row r="15869">
      <c r="A15869" s="84"/>
      <c r="B15869" s="85"/>
      <c r="C15869" s="85"/>
      <c r="F15869" s="92"/>
      <c r="G15869" s="85"/>
    </row>
    <row r="15870">
      <c r="A15870" s="84"/>
      <c r="B15870" s="85"/>
      <c r="C15870" s="85"/>
      <c r="F15870" s="92"/>
      <c r="G15870" s="85"/>
    </row>
    <row r="15871">
      <c r="A15871" s="84"/>
      <c r="B15871" s="85"/>
      <c r="C15871" s="85"/>
      <c r="F15871" s="92"/>
      <c r="G15871" s="85"/>
    </row>
    <row r="15872">
      <c r="A15872" s="84"/>
      <c r="B15872" s="85"/>
      <c r="C15872" s="85"/>
      <c r="F15872" s="92"/>
      <c r="G15872" s="85"/>
    </row>
    <row r="15873">
      <c r="A15873" s="84"/>
      <c r="B15873" s="85"/>
      <c r="C15873" s="85"/>
      <c r="F15873" s="92"/>
      <c r="G15873" s="85"/>
    </row>
    <row r="15874">
      <c r="A15874" s="84"/>
      <c r="B15874" s="85"/>
      <c r="C15874" s="85"/>
      <c r="F15874" s="92"/>
      <c r="G15874" s="85"/>
    </row>
    <row r="15875">
      <c r="A15875" s="84"/>
      <c r="B15875" s="85"/>
      <c r="C15875" s="85"/>
      <c r="F15875" s="92"/>
      <c r="G15875" s="85"/>
    </row>
    <row r="15876">
      <c r="A15876" s="84"/>
      <c r="B15876" s="85"/>
      <c r="C15876" s="85"/>
      <c r="F15876" s="92"/>
      <c r="G15876" s="85"/>
    </row>
    <row r="15877">
      <c r="A15877" s="84"/>
      <c r="B15877" s="85"/>
      <c r="C15877" s="85"/>
      <c r="F15877" s="92"/>
      <c r="G15877" s="85"/>
    </row>
    <row r="15878">
      <c r="A15878" s="84"/>
      <c r="B15878" s="85"/>
      <c r="C15878" s="85"/>
      <c r="F15878" s="92"/>
      <c r="G15878" s="85"/>
    </row>
    <row r="15879">
      <c r="A15879" s="84"/>
      <c r="B15879" s="85"/>
      <c r="C15879" s="85"/>
      <c r="F15879" s="92"/>
      <c r="G15879" s="85"/>
    </row>
    <row r="15880">
      <c r="A15880" s="84"/>
      <c r="B15880" s="85"/>
      <c r="C15880" s="85"/>
      <c r="F15880" s="92"/>
      <c r="G15880" s="85"/>
    </row>
    <row r="15881">
      <c r="A15881" s="84"/>
      <c r="B15881" s="85"/>
      <c r="C15881" s="85"/>
      <c r="F15881" s="92"/>
      <c r="G15881" s="85"/>
    </row>
    <row r="15882">
      <c r="A15882" s="84"/>
      <c r="B15882" s="85"/>
      <c r="C15882" s="85"/>
      <c r="F15882" s="92"/>
      <c r="G15882" s="85"/>
    </row>
    <row r="15883">
      <c r="A15883" s="84"/>
      <c r="B15883" s="85"/>
      <c r="C15883" s="85"/>
      <c r="F15883" s="92"/>
      <c r="G15883" s="85"/>
    </row>
    <row r="15884">
      <c r="A15884" s="84"/>
      <c r="B15884" s="85"/>
      <c r="C15884" s="85"/>
      <c r="F15884" s="92"/>
      <c r="G15884" s="85"/>
    </row>
    <row r="15885">
      <c r="A15885" s="84"/>
      <c r="B15885" s="85"/>
      <c r="C15885" s="85"/>
      <c r="F15885" s="92"/>
      <c r="G15885" s="85"/>
    </row>
    <row r="15886">
      <c r="A15886" s="84"/>
      <c r="B15886" s="85"/>
      <c r="C15886" s="85"/>
      <c r="F15886" s="92"/>
      <c r="G15886" s="85"/>
    </row>
    <row r="15887">
      <c r="A15887" s="84"/>
      <c r="B15887" s="85"/>
      <c r="C15887" s="85"/>
      <c r="F15887" s="92"/>
      <c r="G15887" s="85"/>
    </row>
    <row r="15888">
      <c r="A15888" s="84"/>
      <c r="B15888" s="85"/>
      <c r="C15888" s="85"/>
      <c r="F15888" s="92"/>
      <c r="G15888" s="85"/>
    </row>
    <row r="15889">
      <c r="A15889" s="84"/>
      <c r="B15889" s="85"/>
      <c r="C15889" s="85"/>
      <c r="F15889" s="92"/>
      <c r="G15889" s="85"/>
    </row>
    <row r="15890">
      <c r="A15890" s="84"/>
      <c r="B15890" s="85"/>
      <c r="C15890" s="85"/>
      <c r="F15890" s="92"/>
      <c r="G15890" s="85"/>
    </row>
    <row r="15891">
      <c r="A15891" s="84"/>
      <c r="B15891" s="85"/>
      <c r="C15891" s="85"/>
      <c r="F15891" s="92"/>
      <c r="G15891" s="85"/>
    </row>
    <row r="15892">
      <c r="A15892" s="84"/>
      <c r="B15892" s="85"/>
      <c r="C15892" s="85"/>
      <c r="F15892" s="92"/>
      <c r="G15892" s="85"/>
    </row>
    <row r="15893">
      <c r="A15893" s="84"/>
      <c r="B15893" s="85"/>
      <c r="C15893" s="85"/>
      <c r="F15893" s="92"/>
      <c r="G15893" s="85"/>
    </row>
    <row r="15894">
      <c r="A15894" s="84"/>
      <c r="B15894" s="85"/>
      <c r="C15894" s="85"/>
      <c r="F15894" s="92"/>
      <c r="G15894" s="85"/>
    </row>
    <row r="15895">
      <c r="A15895" s="84"/>
      <c r="B15895" s="85"/>
      <c r="C15895" s="85"/>
      <c r="F15895" s="92"/>
      <c r="G15895" s="85"/>
    </row>
    <row r="15896">
      <c r="A15896" s="84"/>
      <c r="B15896" s="85"/>
      <c r="C15896" s="85"/>
      <c r="F15896" s="92"/>
      <c r="G15896" s="85"/>
    </row>
    <row r="15897">
      <c r="A15897" s="84"/>
      <c r="B15897" s="85"/>
      <c r="C15897" s="85"/>
      <c r="F15897" s="92"/>
      <c r="G15897" s="85"/>
    </row>
    <row r="15898">
      <c r="A15898" s="84"/>
      <c r="B15898" s="85"/>
      <c r="C15898" s="85"/>
      <c r="F15898" s="92"/>
      <c r="G15898" s="85"/>
    </row>
    <row r="15899">
      <c r="A15899" s="84"/>
      <c r="B15899" s="85"/>
      <c r="C15899" s="85"/>
      <c r="F15899" s="92"/>
      <c r="G15899" s="85"/>
    </row>
    <row r="15900">
      <c r="A15900" s="84"/>
      <c r="B15900" s="85"/>
      <c r="C15900" s="85"/>
      <c r="F15900" s="92"/>
      <c r="G15900" s="85"/>
    </row>
    <row r="15901">
      <c r="A15901" s="84"/>
      <c r="B15901" s="85"/>
      <c r="C15901" s="85"/>
      <c r="F15901" s="92"/>
      <c r="G15901" s="85"/>
    </row>
    <row r="15902">
      <c r="A15902" s="84"/>
      <c r="B15902" s="85"/>
      <c r="C15902" s="85"/>
      <c r="F15902" s="92"/>
      <c r="G15902" s="85"/>
    </row>
    <row r="15903">
      <c r="A15903" s="84"/>
      <c r="B15903" s="85"/>
      <c r="C15903" s="85"/>
      <c r="F15903" s="92"/>
      <c r="G15903" s="85"/>
    </row>
    <row r="15904">
      <c r="A15904" s="84"/>
      <c r="B15904" s="85"/>
      <c r="C15904" s="85"/>
      <c r="F15904" s="92"/>
      <c r="G15904" s="85"/>
    </row>
    <row r="15905">
      <c r="A15905" s="84"/>
      <c r="B15905" s="85"/>
      <c r="C15905" s="85"/>
      <c r="F15905" s="92"/>
      <c r="G15905" s="85"/>
    </row>
    <row r="15906">
      <c r="A15906" s="84"/>
      <c r="B15906" s="85"/>
      <c r="C15906" s="85"/>
      <c r="F15906" s="92"/>
      <c r="G15906" s="85"/>
    </row>
    <row r="15907">
      <c r="A15907" s="84"/>
      <c r="B15907" s="85"/>
      <c r="C15907" s="85"/>
      <c r="F15907" s="92"/>
      <c r="G15907" s="85"/>
    </row>
    <row r="15908">
      <c r="A15908" s="84"/>
      <c r="B15908" s="85"/>
      <c r="C15908" s="85"/>
      <c r="F15908" s="92"/>
      <c r="G15908" s="85"/>
    </row>
    <row r="15909">
      <c r="A15909" s="84"/>
      <c r="B15909" s="85"/>
      <c r="C15909" s="85"/>
      <c r="F15909" s="92"/>
      <c r="G15909" s="85"/>
    </row>
    <row r="15910">
      <c r="A15910" s="84"/>
      <c r="B15910" s="85"/>
      <c r="C15910" s="85"/>
      <c r="F15910" s="92"/>
      <c r="G15910" s="85"/>
    </row>
    <row r="15911">
      <c r="A15911" s="84"/>
      <c r="B15911" s="85"/>
      <c r="C15911" s="85"/>
      <c r="F15911" s="92"/>
      <c r="G15911" s="85"/>
    </row>
    <row r="15912">
      <c r="A15912" s="84"/>
      <c r="B15912" s="85"/>
      <c r="C15912" s="85"/>
      <c r="F15912" s="92"/>
      <c r="G15912" s="85"/>
    </row>
    <row r="15913">
      <c r="A15913" s="84"/>
      <c r="B15913" s="85"/>
      <c r="C15913" s="85"/>
      <c r="F15913" s="92"/>
      <c r="G15913" s="85"/>
    </row>
    <row r="15914">
      <c r="A15914" s="84"/>
      <c r="B15914" s="85"/>
      <c r="C15914" s="85"/>
      <c r="F15914" s="92"/>
      <c r="G15914" s="85"/>
    </row>
    <row r="15915">
      <c r="A15915" s="84"/>
      <c r="B15915" s="85"/>
      <c r="C15915" s="85"/>
      <c r="F15915" s="92"/>
      <c r="G15915" s="85"/>
    </row>
    <row r="15916">
      <c r="A15916" s="84"/>
      <c r="B15916" s="85"/>
      <c r="C15916" s="85"/>
      <c r="F15916" s="92"/>
      <c r="G15916" s="85"/>
    </row>
    <row r="15917">
      <c r="A15917" s="84"/>
      <c r="B15917" s="85"/>
      <c r="C15917" s="85"/>
      <c r="F15917" s="92"/>
      <c r="G15917" s="85"/>
    </row>
    <row r="15918">
      <c r="A15918" s="84"/>
      <c r="B15918" s="85"/>
      <c r="C15918" s="85"/>
      <c r="F15918" s="92"/>
      <c r="G15918" s="85"/>
    </row>
    <row r="15919">
      <c r="A15919" s="84"/>
      <c r="B15919" s="85"/>
      <c r="C15919" s="85"/>
      <c r="F15919" s="92"/>
      <c r="G15919" s="85"/>
    </row>
    <row r="15920">
      <c r="A15920" s="84"/>
      <c r="B15920" s="85"/>
      <c r="C15920" s="85"/>
      <c r="F15920" s="92"/>
      <c r="G15920" s="85"/>
    </row>
    <row r="15921">
      <c r="A15921" s="84"/>
      <c r="B15921" s="85"/>
      <c r="C15921" s="85"/>
      <c r="F15921" s="92"/>
      <c r="G15921" s="85"/>
    </row>
    <row r="15922">
      <c r="A15922" s="84"/>
      <c r="B15922" s="85"/>
      <c r="C15922" s="85"/>
      <c r="F15922" s="92"/>
      <c r="G15922" s="85"/>
    </row>
    <row r="15923">
      <c r="A15923" s="84"/>
      <c r="B15923" s="85"/>
      <c r="C15923" s="85"/>
      <c r="F15923" s="92"/>
      <c r="G15923" s="85"/>
    </row>
    <row r="15924">
      <c r="A15924" s="84"/>
      <c r="B15924" s="85"/>
      <c r="C15924" s="85"/>
      <c r="F15924" s="92"/>
      <c r="G15924" s="85"/>
    </row>
    <row r="15925">
      <c r="A15925" s="84"/>
      <c r="B15925" s="85"/>
      <c r="C15925" s="85"/>
      <c r="F15925" s="92"/>
      <c r="G15925" s="85"/>
    </row>
    <row r="15926">
      <c r="A15926" s="84"/>
      <c r="B15926" s="85"/>
      <c r="C15926" s="85"/>
      <c r="F15926" s="92"/>
      <c r="G15926" s="85"/>
    </row>
    <row r="15927">
      <c r="A15927" s="84"/>
      <c r="B15927" s="85"/>
      <c r="C15927" s="85"/>
      <c r="F15927" s="92"/>
      <c r="G15927" s="85"/>
    </row>
    <row r="15928">
      <c r="A15928" s="84"/>
      <c r="B15928" s="85"/>
      <c r="C15928" s="85"/>
      <c r="F15928" s="92"/>
      <c r="G15928" s="85"/>
    </row>
    <row r="15929">
      <c r="A15929" s="84"/>
      <c r="B15929" s="85"/>
      <c r="C15929" s="85"/>
      <c r="F15929" s="92"/>
      <c r="G15929" s="85"/>
    </row>
    <row r="15930">
      <c r="A15930" s="84"/>
      <c r="B15930" s="85"/>
      <c r="C15930" s="85"/>
      <c r="F15930" s="92"/>
      <c r="G15930" s="85"/>
    </row>
    <row r="15931">
      <c r="A15931" s="84"/>
      <c r="B15931" s="85"/>
      <c r="C15931" s="85"/>
      <c r="F15931" s="92"/>
      <c r="G15931" s="85"/>
    </row>
    <row r="15932">
      <c r="A15932" s="84"/>
      <c r="B15932" s="85"/>
      <c r="C15932" s="85"/>
      <c r="F15932" s="92"/>
      <c r="G15932" s="85"/>
    </row>
    <row r="15933">
      <c r="A15933" s="84"/>
      <c r="B15933" s="85"/>
      <c r="C15933" s="85"/>
      <c r="F15933" s="92"/>
      <c r="G15933" s="85"/>
    </row>
    <row r="15934">
      <c r="A15934" s="84"/>
      <c r="B15934" s="85"/>
      <c r="C15934" s="85"/>
      <c r="F15934" s="92"/>
      <c r="G15934" s="85"/>
    </row>
    <row r="15935">
      <c r="A15935" s="84"/>
      <c r="B15935" s="85"/>
      <c r="C15935" s="85"/>
      <c r="F15935" s="92"/>
      <c r="G15935" s="85"/>
    </row>
    <row r="15936">
      <c r="A15936" s="84"/>
      <c r="B15936" s="85"/>
      <c r="C15936" s="85"/>
      <c r="F15936" s="92"/>
      <c r="G15936" s="85"/>
    </row>
    <row r="15937">
      <c r="A15937" s="84"/>
      <c r="B15937" s="85"/>
      <c r="C15937" s="85"/>
      <c r="F15937" s="92"/>
      <c r="G15937" s="85"/>
    </row>
    <row r="15938">
      <c r="A15938" s="84"/>
      <c r="B15938" s="85"/>
      <c r="C15938" s="85"/>
      <c r="F15938" s="92"/>
      <c r="G15938" s="85"/>
    </row>
    <row r="15939">
      <c r="A15939" s="84"/>
      <c r="B15939" s="85"/>
      <c r="C15939" s="85"/>
      <c r="F15939" s="92"/>
      <c r="G15939" s="85"/>
    </row>
    <row r="15940">
      <c r="A15940" s="84"/>
      <c r="B15940" s="85"/>
      <c r="C15940" s="85"/>
      <c r="F15940" s="92"/>
      <c r="G15940" s="85"/>
    </row>
    <row r="15941">
      <c r="A15941" s="84"/>
      <c r="B15941" s="85"/>
      <c r="C15941" s="85"/>
      <c r="F15941" s="92"/>
      <c r="G15941" s="85"/>
    </row>
    <row r="15942">
      <c r="A15942" s="84"/>
      <c r="B15942" s="85"/>
      <c r="C15942" s="85"/>
      <c r="F15942" s="92"/>
      <c r="G15942" s="85"/>
    </row>
    <row r="15943">
      <c r="A15943" s="84"/>
      <c r="B15943" s="85"/>
      <c r="C15943" s="85"/>
      <c r="F15943" s="92"/>
      <c r="G15943" s="85"/>
    </row>
    <row r="15944">
      <c r="A15944" s="84"/>
      <c r="B15944" s="85"/>
      <c r="C15944" s="85"/>
      <c r="F15944" s="92"/>
      <c r="G15944" s="85"/>
    </row>
    <row r="15945">
      <c r="A15945" s="84"/>
      <c r="B15945" s="85"/>
      <c r="C15945" s="85"/>
      <c r="F15945" s="92"/>
      <c r="G15945" s="85"/>
    </row>
    <row r="15946">
      <c r="A15946" s="84"/>
      <c r="B15946" s="85"/>
      <c r="C15946" s="85"/>
      <c r="F15946" s="92"/>
      <c r="G15946" s="85"/>
    </row>
    <row r="15947">
      <c r="A15947" s="84"/>
      <c r="B15947" s="85"/>
      <c r="C15947" s="85"/>
      <c r="F15947" s="92"/>
      <c r="G15947" s="85"/>
    </row>
    <row r="15948">
      <c r="A15948" s="84"/>
      <c r="B15948" s="85"/>
      <c r="C15948" s="85"/>
      <c r="F15948" s="92"/>
      <c r="G15948" s="85"/>
    </row>
    <row r="15949">
      <c r="A15949" s="84"/>
      <c r="B15949" s="85"/>
      <c r="C15949" s="85"/>
      <c r="F15949" s="92"/>
      <c r="G15949" s="85"/>
    </row>
    <row r="15950">
      <c r="A15950" s="84"/>
      <c r="B15950" s="85"/>
      <c r="C15950" s="85"/>
      <c r="F15950" s="92"/>
      <c r="G15950" s="85"/>
    </row>
    <row r="15951">
      <c r="A15951" s="84"/>
      <c r="B15951" s="85"/>
      <c r="C15951" s="85"/>
      <c r="F15951" s="92"/>
      <c r="G15951" s="85"/>
    </row>
    <row r="15952">
      <c r="A15952" s="84"/>
      <c r="B15952" s="85"/>
      <c r="C15952" s="85"/>
      <c r="F15952" s="92"/>
      <c r="G15952" s="85"/>
    </row>
    <row r="15953">
      <c r="A15953" s="84"/>
      <c r="B15953" s="85"/>
      <c r="C15953" s="85"/>
      <c r="F15953" s="92"/>
      <c r="G15953" s="85"/>
    </row>
    <row r="15954">
      <c r="A15954" s="84"/>
      <c r="B15954" s="85"/>
      <c r="C15954" s="85"/>
      <c r="F15954" s="92"/>
      <c r="G15954" s="85"/>
    </row>
    <row r="15955">
      <c r="A15955" s="84"/>
      <c r="B15955" s="85"/>
      <c r="C15955" s="85"/>
      <c r="F15955" s="92"/>
      <c r="G15955" s="85"/>
    </row>
    <row r="15956">
      <c r="A15956" s="84"/>
      <c r="B15956" s="85"/>
      <c r="C15956" s="85"/>
      <c r="F15956" s="92"/>
      <c r="G15956" s="85"/>
    </row>
    <row r="15957">
      <c r="A15957" s="84"/>
      <c r="B15957" s="85"/>
      <c r="C15957" s="85"/>
      <c r="F15957" s="92"/>
      <c r="G15957" s="85"/>
    </row>
    <row r="15958">
      <c r="A15958" s="84"/>
      <c r="B15958" s="85"/>
      <c r="C15958" s="85"/>
      <c r="F15958" s="92"/>
      <c r="G15958" s="85"/>
    </row>
    <row r="15959">
      <c r="A15959" s="84"/>
      <c r="B15959" s="85"/>
      <c r="C15959" s="85"/>
      <c r="F15959" s="92"/>
      <c r="G15959" s="85"/>
    </row>
    <row r="15960">
      <c r="A15960" s="84"/>
      <c r="B15960" s="85"/>
      <c r="C15960" s="85"/>
      <c r="F15960" s="92"/>
      <c r="G15960" s="85"/>
    </row>
    <row r="15961">
      <c r="A15961" s="84"/>
      <c r="B15961" s="85"/>
      <c r="C15961" s="85"/>
      <c r="F15961" s="92"/>
      <c r="G15961" s="85"/>
    </row>
    <row r="15962">
      <c r="A15962" s="84"/>
      <c r="B15962" s="85"/>
      <c r="C15962" s="85"/>
      <c r="F15962" s="92"/>
      <c r="G15962" s="85"/>
    </row>
    <row r="15963">
      <c r="A15963" s="84"/>
      <c r="B15963" s="85"/>
      <c r="C15963" s="85"/>
      <c r="F15963" s="92"/>
      <c r="G15963" s="85"/>
    </row>
    <row r="15964">
      <c r="A15964" s="84"/>
      <c r="B15964" s="85"/>
      <c r="C15964" s="85"/>
      <c r="F15964" s="92"/>
      <c r="G15964" s="85"/>
    </row>
    <row r="15965">
      <c r="A15965" s="84"/>
      <c r="B15965" s="85"/>
      <c r="C15965" s="85"/>
      <c r="F15965" s="92"/>
      <c r="G15965" s="85"/>
    </row>
    <row r="15966">
      <c r="A15966" s="84"/>
      <c r="B15966" s="85"/>
      <c r="C15966" s="85"/>
      <c r="F15966" s="92"/>
      <c r="G15966" s="85"/>
    </row>
    <row r="15967">
      <c r="A15967" s="84"/>
      <c r="B15967" s="85"/>
      <c r="C15967" s="85"/>
      <c r="F15967" s="92"/>
      <c r="G15967" s="85"/>
    </row>
    <row r="15968">
      <c r="A15968" s="84"/>
      <c r="B15968" s="85"/>
      <c r="C15968" s="85"/>
      <c r="F15968" s="92"/>
      <c r="G15968" s="85"/>
    </row>
    <row r="15969">
      <c r="A15969" s="84"/>
      <c r="B15969" s="85"/>
      <c r="C15969" s="85"/>
      <c r="F15969" s="92"/>
      <c r="G15969" s="85"/>
    </row>
    <row r="15970">
      <c r="A15970" s="84"/>
      <c r="B15970" s="85"/>
      <c r="C15970" s="85"/>
      <c r="F15970" s="92"/>
      <c r="G15970" s="85"/>
    </row>
    <row r="15971">
      <c r="A15971" s="84"/>
      <c r="B15971" s="85"/>
      <c r="C15971" s="85"/>
      <c r="F15971" s="92"/>
      <c r="G15971" s="85"/>
    </row>
    <row r="15972">
      <c r="A15972" s="84"/>
      <c r="B15972" s="85"/>
      <c r="C15972" s="85"/>
      <c r="F15972" s="92"/>
      <c r="G15972" s="85"/>
    </row>
    <row r="15973">
      <c r="A15973" s="84"/>
      <c r="B15973" s="85"/>
      <c r="C15973" s="85"/>
      <c r="F15973" s="92"/>
      <c r="G15973" s="85"/>
    </row>
    <row r="15974">
      <c r="A15974" s="84"/>
      <c r="B15974" s="85"/>
      <c r="C15974" s="85"/>
      <c r="F15974" s="92"/>
      <c r="G15974" s="85"/>
    </row>
    <row r="15975">
      <c r="A15975" s="84"/>
      <c r="B15975" s="85"/>
      <c r="C15975" s="85"/>
      <c r="F15975" s="92"/>
      <c r="G15975" s="85"/>
    </row>
    <row r="15976">
      <c r="A15976" s="84"/>
      <c r="B15976" s="85"/>
      <c r="C15976" s="85"/>
      <c r="F15976" s="92"/>
      <c r="G15976" s="85"/>
    </row>
    <row r="15977">
      <c r="A15977" s="84"/>
      <c r="B15977" s="85"/>
      <c r="C15977" s="85"/>
      <c r="F15977" s="92"/>
      <c r="G15977" s="85"/>
    </row>
    <row r="15978">
      <c r="A15978" s="84"/>
      <c r="B15978" s="85"/>
      <c r="C15978" s="85"/>
      <c r="F15978" s="92"/>
      <c r="G15978" s="85"/>
    </row>
    <row r="15979">
      <c r="A15979" s="84"/>
      <c r="B15979" s="85"/>
      <c r="C15979" s="85"/>
      <c r="F15979" s="92"/>
      <c r="G15979" s="85"/>
    </row>
    <row r="15980">
      <c r="A15980" s="84"/>
      <c r="B15980" s="85"/>
      <c r="C15980" s="85"/>
      <c r="F15980" s="92"/>
      <c r="G15980" s="85"/>
    </row>
    <row r="15981">
      <c r="A15981" s="84"/>
      <c r="B15981" s="85"/>
      <c r="C15981" s="85"/>
      <c r="F15981" s="92"/>
      <c r="G15981" s="85"/>
    </row>
    <row r="15982">
      <c r="A15982" s="84"/>
      <c r="B15982" s="85"/>
      <c r="C15982" s="85"/>
      <c r="F15982" s="92"/>
      <c r="G15982" s="85"/>
    </row>
    <row r="15983">
      <c r="A15983" s="84"/>
      <c r="B15983" s="85"/>
      <c r="C15983" s="85"/>
      <c r="F15983" s="92"/>
      <c r="G15983" s="85"/>
    </row>
    <row r="15984">
      <c r="A15984" s="84"/>
      <c r="B15984" s="85"/>
      <c r="C15984" s="85"/>
      <c r="F15984" s="92"/>
      <c r="G15984" s="85"/>
    </row>
    <row r="15985">
      <c r="A15985" s="84"/>
      <c r="B15985" s="85"/>
      <c r="C15985" s="85"/>
      <c r="F15985" s="92"/>
      <c r="G15985" s="85"/>
    </row>
    <row r="15986">
      <c r="A15986" s="84"/>
      <c r="B15986" s="85"/>
      <c r="C15986" s="85"/>
      <c r="F15986" s="92"/>
      <c r="G15986" s="85"/>
    </row>
    <row r="15987">
      <c r="A15987" s="84"/>
      <c r="B15987" s="85"/>
      <c r="C15987" s="85"/>
      <c r="F15987" s="92"/>
      <c r="G15987" s="85"/>
    </row>
    <row r="15988">
      <c r="A15988" s="84"/>
      <c r="B15988" s="85"/>
      <c r="C15988" s="85"/>
      <c r="F15988" s="92"/>
      <c r="G15988" s="85"/>
    </row>
    <row r="15989">
      <c r="A15989" s="84"/>
      <c r="B15989" s="85"/>
      <c r="C15989" s="85"/>
      <c r="F15989" s="92"/>
      <c r="G15989" s="85"/>
    </row>
    <row r="15990">
      <c r="A15990" s="84"/>
      <c r="B15990" s="85"/>
      <c r="C15990" s="85"/>
      <c r="F15990" s="92"/>
      <c r="G15990" s="85"/>
    </row>
    <row r="15991">
      <c r="A15991" s="84"/>
      <c r="B15991" s="85"/>
      <c r="C15991" s="85"/>
      <c r="F15991" s="92"/>
      <c r="G15991" s="85"/>
    </row>
    <row r="15992">
      <c r="A15992" s="84"/>
      <c r="B15992" s="85"/>
      <c r="C15992" s="85"/>
      <c r="F15992" s="92"/>
      <c r="G15992" s="85"/>
    </row>
    <row r="15993">
      <c r="A15993" s="84"/>
      <c r="B15993" s="85"/>
      <c r="C15993" s="85"/>
      <c r="F15993" s="92"/>
      <c r="G15993" s="85"/>
    </row>
    <row r="15994">
      <c r="A15994" s="84"/>
      <c r="B15994" s="85"/>
      <c r="C15994" s="85"/>
      <c r="F15994" s="92"/>
      <c r="G15994" s="85"/>
    </row>
    <row r="15995">
      <c r="A15995" s="84"/>
      <c r="B15995" s="85"/>
      <c r="C15995" s="85"/>
      <c r="F15995" s="92"/>
      <c r="G15995" s="85"/>
    </row>
    <row r="15996">
      <c r="A15996" s="84"/>
      <c r="B15996" s="85"/>
      <c r="C15996" s="85"/>
      <c r="F15996" s="92"/>
      <c r="G15996" s="85"/>
    </row>
    <row r="15997">
      <c r="A15997" s="84"/>
      <c r="B15997" s="85"/>
      <c r="C15997" s="85"/>
      <c r="F15997" s="92"/>
      <c r="G15997" s="85"/>
    </row>
    <row r="15998">
      <c r="A15998" s="84"/>
      <c r="B15998" s="85"/>
      <c r="C15998" s="85"/>
      <c r="F15998" s="92"/>
      <c r="G15998" s="85"/>
    </row>
    <row r="15999">
      <c r="A15999" s="84"/>
      <c r="B15999" s="85"/>
      <c r="C15999" s="85"/>
      <c r="F15999" s="92"/>
      <c r="G15999" s="85"/>
    </row>
    <row r="16000">
      <c r="A16000" s="84"/>
      <c r="B16000" s="85"/>
      <c r="C16000" s="85"/>
      <c r="F16000" s="92"/>
      <c r="G16000" s="85"/>
    </row>
    <row r="16001">
      <c r="A16001" s="84"/>
      <c r="B16001" s="85"/>
      <c r="C16001" s="85"/>
      <c r="F16001" s="92"/>
      <c r="G16001" s="85"/>
    </row>
    <row r="16002">
      <c r="A16002" s="84"/>
      <c r="B16002" s="85"/>
      <c r="C16002" s="85"/>
      <c r="F16002" s="92"/>
      <c r="G16002" s="85"/>
    </row>
    <row r="16003">
      <c r="A16003" s="84"/>
      <c r="B16003" s="85"/>
      <c r="C16003" s="85"/>
      <c r="F16003" s="92"/>
      <c r="G16003" s="85"/>
    </row>
    <row r="16004">
      <c r="A16004" s="84"/>
      <c r="B16004" s="85"/>
      <c r="C16004" s="85"/>
      <c r="F16004" s="92"/>
      <c r="G16004" s="85"/>
    </row>
    <row r="16005">
      <c r="A16005" s="84"/>
      <c r="B16005" s="85"/>
      <c r="C16005" s="85"/>
      <c r="F16005" s="92"/>
      <c r="G16005" s="85"/>
    </row>
    <row r="16006">
      <c r="A16006" s="84"/>
      <c r="B16006" s="85"/>
      <c r="C16006" s="85"/>
      <c r="F16006" s="92"/>
      <c r="G16006" s="85"/>
    </row>
    <row r="16007">
      <c r="A16007" s="84"/>
      <c r="B16007" s="85"/>
      <c r="C16007" s="85"/>
      <c r="F16007" s="92"/>
      <c r="G16007" s="85"/>
    </row>
    <row r="16008">
      <c r="A16008" s="84"/>
      <c r="B16008" s="85"/>
      <c r="C16008" s="85"/>
      <c r="F16008" s="92"/>
      <c r="G16008" s="85"/>
    </row>
    <row r="16009">
      <c r="A16009" s="84"/>
      <c r="B16009" s="85"/>
      <c r="C16009" s="85"/>
      <c r="F16009" s="92"/>
      <c r="G16009" s="85"/>
    </row>
    <row r="16010">
      <c r="A16010" s="84"/>
      <c r="B16010" s="85"/>
      <c r="C16010" s="85"/>
      <c r="F16010" s="92"/>
      <c r="G16010" s="85"/>
    </row>
    <row r="16011">
      <c r="A16011" s="84"/>
      <c r="B16011" s="85"/>
      <c r="C16011" s="85"/>
      <c r="F16011" s="92"/>
      <c r="G16011" s="85"/>
    </row>
    <row r="16012">
      <c r="A16012" s="84"/>
      <c r="B16012" s="85"/>
      <c r="C16012" s="85"/>
      <c r="F16012" s="92"/>
      <c r="G16012" s="85"/>
    </row>
    <row r="16013">
      <c r="A16013" s="84"/>
      <c r="B16013" s="85"/>
      <c r="C16013" s="85"/>
      <c r="F16013" s="92"/>
      <c r="G16013" s="85"/>
    </row>
    <row r="16014">
      <c r="A16014" s="84"/>
      <c r="B16014" s="85"/>
      <c r="C16014" s="85"/>
      <c r="F16014" s="92"/>
      <c r="G16014" s="85"/>
    </row>
    <row r="16015">
      <c r="A16015" s="84"/>
      <c r="B16015" s="85"/>
      <c r="C16015" s="85"/>
      <c r="F16015" s="92"/>
      <c r="G16015" s="85"/>
    </row>
    <row r="16016">
      <c r="A16016" s="84"/>
      <c r="B16016" s="85"/>
      <c r="C16016" s="85"/>
      <c r="F16016" s="92"/>
      <c r="G16016" s="85"/>
    </row>
    <row r="16017">
      <c r="A16017" s="84"/>
      <c r="B16017" s="85"/>
      <c r="C16017" s="85"/>
      <c r="F16017" s="92"/>
      <c r="G16017" s="85"/>
    </row>
    <row r="16018">
      <c r="A16018" s="84"/>
      <c r="B16018" s="85"/>
      <c r="C16018" s="85"/>
      <c r="F16018" s="92"/>
      <c r="G16018" s="85"/>
    </row>
    <row r="16019">
      <c r="A16019" s="84"/>
      <c r="B16019" s="85"/>
      <c r="C16019" s="85"/>
      <c r="F16019" s="92"/>
      <c r="G16019" s="85"/>
    </row>
    <row r="16020">
      <c r="A16020" s="84"/>
      <c r="B16020" s="85"/>
      <c r="C16020" s="85"/>
      <c r="F16020" s="92"/>
      <c r="G16020" s="85"/>
    </row>
    <row r="16021">
      <c r="A16021" s="84"/>
      <c r="B16021" s="85"/>
      <c r="C16021" s="85"/>
      <c r="F16021" s="92"/>
      <c r="G16021" s="85"/>
    </row>
    <row r="16022">
      <c r="A16022" s="84"/>
      <c r="B16022" s="85"/>
      <c r="C16022" s="85"/>
      <c r="F16022" s="92"/>
      <c r="G16022" s="85"/>
    </row>
    <row r="16023">
      <c r="A16023" s="84"/>
      <c r="B16023" s="85"/>
      <c r="C16023" s="85"/>
      <c r="F16023" s="92"/>
      <c r="G16023" s="85"/>
    </row>
    <row r="16024">
      <c r="A16024" s="84"/>
      <c r="B16024" s="85"/>
      <c r="C16024" s="85"/>
      <c r="F16024" s="92"/>
      <c r="G16024" s="85"/>
    </row>
    <row r="16025">
      <c r="A16025" s="84"/>
      <c r="B16025" s="85"/>
      <c r="C16025" s="85"/>
      <c r="F16025" s="92"/>
      <c r="G16025" s="85"/>
    </row>
    <row r="16026">
      <c r="A16026" s="84"/>
      <c r="B16026" s="85"/>
      <c r="C16026" s="85"/>
      <c r="F16026" s="92"/>
      <c r="G16026" s="85"/>
    </row>
    <row r="16027">
      <c r="A16027" s="84"/>
      <c r="B16027" s="85"/>
      <c r="C16027" s="85"/>
      <c r="F16027" s="92"/>
      <c r="G16027" s="85"/>
    </row>
    <row r="16028">
      <c r="A16028" s="84"/>
      <c r="B16028" s="85"/>
      <c r="C16028" s="85"/>
      <c r="F16028" s="92"/>
      <c r="G16028" s="85"/>
    </row>
    <row r="16029">
      <c r="A16029" s="84"/>
      <c r="B16029" s="85"/>
      <c r="C16029" s="85"/>
      <c r="F16029" s="92"/>
      <c r="G16029" s="85"/>
    </row>
    <row r="16030">
      <c r="A16030" s="84"/>
      <c r="B16030" s="85"/>
      <c r="C16030" s="85"/>
      <c r="F16030" s="92"/>
      <c r="G16030" s="85"/>
    </row>
    <row r="16031">
      <c r="A16031" s="84"/>
      <c r="B16031" s="85"/>
      <c r="C16031" s="85"/>
      <c r="F16031" s="92"/>
      <c r="G16031" s="85"/>
    </row>
    <row r="16032">
      <c r="A16032" s="84"/>
      <c r="B16032" s="85"/>
      <c r="C16032" s="85"/>
      <c r="F16032" s="92"/>
      <c r="G16032" s="85"/>
    </row>
    <row r="16033">
      <c r="A16033" s="84"/>
      <c r="B16033" s="85"/>
      <c r="C16033" s="85"/>
      <c r="F16033" s="92"/>
      <c r="G16033" s="85"/>
    </row>
    <row r="16034">
      <c r="A16034" s="84"/>
      <c r="B16034" s="85"/>
      <c r="C16034" s="85"/>
      <c r="F16034" s="92"/>
      <c r="G16034" s="85"/>
    </row>
    <row r="16035">
      <c r="A16035" s="84"/>
      <c r="B16035" s="85"/>
      <c r="C16035" s="85"/>
      <c r="F16035" s="92"/>
      <c r="G16035" s="85"/>
    </row>
    <row r="16036">
      <c r="A16036" s="84"/>
      <c r="B16036" s="85"/>
      <c r="C16036" s="85"/>
      <c r="F16036" s="92"/>
      <c r="G16036" s="85"/>
    </row>
    <row r="16037">
      <c r="A16037" s="84"/>
      <c r="B16037" s="85"/>
      <c r="C16037" s="85"/>
      <c r="F16037" s="92"/>
      <c r="G16037" s="85"/>
    </row>
    <row r="16038">
      <c r="A16038" s="84"/>
      <c r="B16038" s="85"/>
      <c r="C16038" s="85"/>
      <c r="F16038" s="92"/>
      <c r="G16038" s="85"/>
    </row>
    <row r="16039">
      <c r="A16039" s="84"/>
      <c r="B16039" s="85"/>
      <c r="C16039" s="85"/>
      <c r="F16039" s="92"/>
      <c r="G16039" s="85"/>
    </row>
    <row r="16040">
      <c r="A16040" s="84"/>
      <c r="B16040" s="85"/>
      <c r="C16040" s="85"/>
      <c r="F16040" s="92"/>
      <c r="G16040" s="85"/>
    </row>
    <row r="16041">
      <c r="A16041" s="84"/>
      <c r="B16041" s="85"/>
      <c r="C16041" s="85"/>
      <c r="F16041" s="92"/>
      <c r="G16041" s="85"/>
    </row>
    <row r="16042">
      <c r="A16042" s="84"/>
      <c r="B16042" s="85"/>
      <c r="C16042" s="85"/>
      <c r="F16042" s="92"/>
      <c r="G16042" s="85"/>
    </row>
    <row r="16043">
      <c r="A16043" s="84"/>
      <c r="B16043" s="85"/>
      <c r="C16043" s="85"/>
      <c r="F16043" s="92"/>
      <c r="G16043" s="85"/>
    </row>
    <row r="16044">
      <c r="A16044" s="84"/>
      <c r="B16044" s="85"/>
      <c r="C16044" s="85"/>
      <c r="F16044" s="92"/>
      <c r="G16044" s="85"/>
    </row>
    <row r="16045">
      <c r="A16045" s="84"/>
      <c r="B16045" s="85"/>
      <c r="C16045" s="85"/>
      <c r="F16045" s="92"/>
      <c r="G16045" s="85"/>
    </row>
    <row r="16046">
      <c r="A16046" s="84"/>
      <c r="B16046" s="85"/>
      <c r="C16046" s="85"/>
      <c r="F16046" s="92"/>
      <c r="G16046" s="85"/>
    </row>
    <row r="16047">
      <c r="A16047" s="84"/>
      <c r="B16047" s="85"/>
      <c r="C16047" s="85"/>
      <c r="F16047" s="92"/>
      <c r="G16047" s="85"/>
    </row>
    <row r="16048">
      <c r="A16048" s="84"/>
      <c r="B16048" s="85"/>
      <c r="C16048" s="85"/>
      <c r="F16048" s="92"/>
      <c r="G16048" s="85"/>
    </row>
    <row r="16049">
      <c r="A16049" s="84"/>
      <c r="B16049" s="85"/>
      <c r="C16049" s="85"/>
      <c r="F16049" s="92"/>
      <c r="G16049" s="85"/>
    </row>
    <row r="16050">
      <c r="A16050" s="84"/>
      <c r="B16050" s="85"/>
      <c r="C16050" s="85"/>
      <c r="F16050" s="92"/>
      <c r="G16050" s="85"/>
    </row>
    <row r="16051">
      <c r="A16051" s="84"/>
      <c r="B16051" s="85"/>
      <c r="C16051" s="85"/>
      <c r="F16051" s="92"/>
      <c r="G16051" s="85"/>
    </row>
    <row r="16052">
      <c r="A16052" s="84"/>
      <c r="B16052" s="85"/>
      <c r="C16052" s="85"/>
      <c r="F16052" s="92"/>
      <c r="G16052" s="85"/>
    </row>
    <row r="16053">
      <c r="A16053" s="84"/>
      <c r="B16053" s="85"/>
      <c r="C16053" s="85"/>
      <c r="F16053" s="92"/>
      <c r="G16053" s="85"/>
    </row>
    <row r="16054">
      <c r="A16054" s="84"/>
      <c r="B16054" s="85"/>
      <c r="C16054" s="85"/>
      <c r="F16054" s="92"/>
      <c r="G16054" s="85"/>
    </row>
    <row r="16055">
      <c r="A16055" s="84"/>
      <c r="B16055" s="85"/>
      <c r="C16055" s="85"/>
      <c r="F16055" s="92"/>
      <c r="G16055" s="85"/>
    </row>
    <row r="16056">
      <c r="A16056" s="84"/>
      <c r="B16056" s="85"/>
      <c r="C16056" s="85"/>
      <c r="F16056" s="92"/>
      <c r="G16056" s="85"/>
    </row>
    <row r="16057">
      <c r="A16057" s="84"/>
      <c r="B16057" s="85"/>
      <c r="C16057" s="85"/>
      <c r="F16057" s="92"/>
      <c r="G16057" s="85"/>
    </row>
    <row r="16058">
      <c r="A16058" s="84"/>
      <c r="B16058" s="85"/>
      <c r="C16058" s="85"/>
      <c r="F16058" s="92"/>
      <c r="G16058" s="85"/>
    </row>
    <row r="16059">
      <c r="A16059" s="84"/>
      <c r="B16059" s="85"/>
      <c r="C16059" s="85"/>
      <c r="F16059" s="92"/>
      <c r="G16059" s="85"/>
    </row>
    <row r="16060">
      <c r="A16060" s="84"/>
      <c r="B16060" s="85"/>
      <c r="C16060" s="85"/>
      <c r="F16060" s="92"/>
      <c r="G16060" s="85"/>
    </row>
    <row r="16061">
      <c r="A16061" s="84"/>
      <c r="B16061" s="85"/>
      <c r="C16061" s="85"/>
      <c r="F16061" s="92"/>
      <c r="G16061" s="85"/>
    </row>
    <row r="16062">
      <c r="A16062" s="84"/>
      <c r="B16062" s="85"/>
      <c r="C16062" s="85"/>
      <c r="F16062" s="92"/>
      <c r="G16062" s="85"/>
    </row>
    <row r="16063">
      <c r="A16063" s="84"/>
      <c r="B16063" s="85"/>
      <c r="C16063" s="85"/>
      <c r="F16063" s="92"/>
      <c r="G16063" s="85"/>
    </row>
    <row r="16064">
      <c r="A16064" s="84"/>
      <c r="B16064" s="85"/>
      <c r="C16064" s="85"/>
      <c r="F16064" s="92"/>
      <c r="G16064" s="85"/>
    </row>
    <row r="16065">
      <c r="A16065" s="84"/>
      <c r="B16065" s="85"/>
      <c r="C16065" s="85"/>
      <c r="F16065" s="92"/>
      <c r="G16065" s="85"/>
    </row>
    <row r="16066">
      <c r="A16066" s="84"/>
      <c r="B16066" s="85"/>
      <c r="C16066" s="85"/>
      <c r="F16066" s="92"/>
      <c r="G16066" s="85"/>
    </row>
    <row r="16067">
      <c r="A16067" s="84"/>
      <c r="B16067" s="85"/>
      <c r="C16067" s="85"/>
      <c r="F16067" s="92"/>
      <c r="G16067" s="85"/>
    </row>
    <row r="16068">
      <c r="A16068" s="84"/>
      <c r="B16068" s="85"/>
      <c r="C16068" s="85"/>
      <c r="F16068" s="92"/>
      <c r="G16068" s="85"/>
    </row>
    <row r="16069">
      <c r="A16069" s="84"/>
      <c r="B16069" s="85"/>
      <c r="C16069" s="85"/>
      <c r="F16069" s="92"/>
      <c r="G16069" s="85"/>
    </row>
    <row r="16070">
      <c r="A16070" s="84"/>
      <c r="B16070" s="85"/>
      <c r="C16070" s="85"/>
      <c r="F16070" s="92"/>
      <c r="G16070" s="85"/>
    </row>
    <row r="16071">
      <c r="A16071" s="84"/>
      <c r="B16071" s="85"/>
      <c r="C16071" s="85"/>
      <c r="F16071" s="92"/>
      <c r="G16071" s="85"/>
    </row>
    <row r="16072">
      <c r="A16072" s="84"/>
      <c r="B16072" s="85"/>
      <c r="C16072" s="85"/>
      <c r="F16072" s="92"/>
      <c r="G16072" s="85"/>
    </row>
    <row r="16073">
      <c r="A16073" s="84"/>
      <c r="B16073" s="85"/>
      <c r="C16073" s="85"/>
      <c r="F16073" s="92"/>
      <c r="G16073" s="85"/>
    </row>
    <row r="16074">
      <c r="A16074" s="84"/>
      <c r="B16074" s="85"/>
      <c r="C16074" s="85"/>
      <c r="F16074" s="92"/>
      <c r="G16074" s="85"/>
    </row>
    <row r="16075">
      <c r="A16075" s="84"/>
      <c r="B16075" s="85"/>
      <c r="C16075" s="85"/>
      <c r="F16075" s="92"/>
      <c r="G16075" s="85"/>
    </row>
    <row r="16076">
      <c r="A16076" s="84"/>
      <c r="B16076" s="85"/>
      <c r="C16076" s="85"/>
      <c r="F16076" s="92"/>
      <c r="G16076" s="85"/>
    </row>
    <row r="16077">
      <c r="A16077" s="84"/>
      <c r="B16077" s="85"/>
      <c r="C16077" s="85"/>
      <c r="F16077" s="92"/>
      <c r="G16077" s="85"/>
    </row>
    <row r="16078">
      <c r="A16078" s="84"/>
      <c r="B16078" s="85"/>
      <c r="C16078" s="85"/>
      <c r="F16078" s="92"/>
      <c r="G16078" s="85"/>
    </row>
    <row r="16079">
      <c r="A16079" s="84"/>
      <c r="B16079" s="85"/>
      <c r="C16079" s="85"/>
      <c r="F16079" s="92"/>
      <c r="G16079" s="85"/>
    </row>
    <row r="16080">
      <c r="A16080" s="84"/>
      <c r="B16080" s="85"/>
      <c r="C16080" s="85"/>
      <c r="F16080" s="92"/>
      <c r="G16080" s="85"/>
    </row>
    <row r="16081">
      <c r="A16081" s="84"/>
      <c r="B16081" s="85"/>
      <c r="C16081" s="85"/>
      <c r="F16081" s="92"/>
      <c r="G16081" s="85"/>
    </row>
    <row r="16082">
      <c r="A16082" s="84"/>
      <c r="B16082" s="85"/>
      <c r="C16082" s="85"/>
      <c r="F16082" s="92"/>
      <c r="G16082" s="85"/>
    </row>
    <row r="16083">
      <c r="A16083" s="84"/>
      <c r="B16083" s="85"/>
      <c r="C16083" s="85"/>
      <c r="F16083" s="92"/>
      <c r="G16083" s="85"/>
    </row>
    <row r="16084">
      <c r="A16084" s="84"/>
      <c r="B16084" s="85"/>
      <c r="C16084" s="85"/>
      <c r="F16084" s="92"/>
      <c r="G16084" s="85"/>
    </row>
    <row r="16085">
      <c r="A16085" s="84"/>
      <c r="B16085" s="85"/>
      <c r="C16085" s="85"/>
      <c r="F16085" s="92"/>
      <c r="G16085" s="85"/>
    </row>
    <row r="16086">
      <c r="A16086" s="84"/>
      <c r="B16086" s="85"/>
      <c r="C16086" s="85"/>
      <c r="F16086" s="92"/>
      <c r="G16086" s="85"/>
    </row>
    <row r="16087">
      <c r="A16087" s="84"/>
      <c r="B16087" s="85"/>
      <c r="C16087" s="85"/>
      <c r="F16087" s="92"/>
      <c r="G16087" s="85"/>
    </row>
    <row r="16088">
      <c r="A16088" s="84"/>
      <c r="B16088" s="85"/>
      <c r="C16088" s="85"/>
      <c r="F16088" s="92"/>
      <c r="G16088" s="85"/>
    </row>
    <row r="16089">
      <c r="A16089" s="84"/>
      <c r="B16089" s="85"/>
      <c r="C16089" s="85"/>
      <c r="F16089" s="92"/>
      <c r="G16089" s="85"/>
    </row>
    <row r="16090">
      <c r="A16090" s="84"/>
      <c r="B16090" s="85"/>
      <c r="C16090" s="85"/>
      <c r="F16090" s="92"/>
      <c r="G16090" s="85"/>
    </row>
    <row r="16091">
      <c r="A16091" s="84"/>
      <c r="B16091" s="85"/>
      <c r="C16091" s="85"/>
      <c r="F16091" s="92"/>
      <c r="G16091" s="85"/>
    </row>
    <row r="16092">
      <c r="A16092" s="84"/>
      <c r="B16092" s="85"/>
      <c r="C16092" s="85"/>
      <c r="F16092" s="92"/>
      <c r="G16092" s="85"/>
    </row>
    <row r="16093">
      <c r="A16093" s="84"/>
      <c r="B16093" s="85"/>
      <c r="C16093" s="85"/>
      <c r="F16093" s="92"/>
      <c r="G16093" s="85"/>
    </row>
    <row r="16094">
      <c r="A16094" s="84"/>
      <c r="B16094" s="85"/>
      <c r="C16094" s="85"/>
      <c r="F16094" s="92"/>
      <c r="G16094" s="85"/>
    </row>
    <row r="16095">
      <c r="A16095" s="84"/>
      <c r="B16095" s="85"/>
      <c r="C16095" s="85"/>
      <c r="F16095" s="92"/>
      <c r="G16095" s="85"/>
    </row>
    <row r="16096">
      <c r="A16096" s="84"/>
      <c r="B16096" s="85"/>
      <c r="C16096" s="85"/>
      <c r="F16096" s="92"/>
      <c r="G16096" s="85"/>
    </row>
    <row r="16097">
      <c r="A16097" s="84"/>
      <c r="B16097" s="85"/>
      <c r="C16097" s="85"/>
      <c r="F16097" s="92"/>
      <c r="G16097" s="85"/>
    </row>
    <row r="16098">
      <c r="A16098" s="84"/>
      <c r="B16098" s="85"/>
      <c r="C16098" s="85"/>
      <c r="F16098" s="92"/>
      <c r="G16098" s="85"/>
    </row>
    <row r="16099">
      <c r="A16099" s="84"/>
      <c r="B16099" s="85"/>
      <c r="C16099" s="85"/>
      <c r="F16099" s="92"/>
      <c r="G16099" s="85"/>
    </row>
    <row r="16100">
      <c r="A16100" s="84"/>
      <c r="B16100" s="85"/>
      <c r="C16100" s="85"/>
      <c r="F16100" s="92"/>
      <c r="G16100" s="85"/>
    </row>
    <row r="16101">
      <c r="A16101" s="84"/>
      <c r="B16101" s="85"/>
      <c r="C16101" s="85"/>
      <c r="F16101" s="92"/>
      <c r="G16101" s="85"/>
    </row>
    <row r="16102">
      <c r="A16102" s="84"/>
      <c r="B16102" s="85"/>
      <c r="C16102" s="85"/>
      <c r="F16102" s="92"/>
      <c r="G16102" s="85"/>
    </row>
    <row r="16103">
      <c r="A16103" s="84"/>
      <c r="B16103" s="85"/>
      <c r="C16103" s="85"/>
      <c r="F16103" s="92"/>
      <c r="G16103" s="85"/>
    </row>
    <row r="16104">
      <c r="A16104" s="84"/>
      <c r="B16104" s="85"/>
      <c r="C16104" s="85"/>
      <c r="F16104" s="92"/>
      <c r="G16104" s="85"/>
    </row>
    <row r="16105">
      <c r="A16105" s="84"/>
      <c r="B16105" s="85"/>
      <c r="C16105" s="85"/>
      <c r="F16105" s="92"/>
      <c r="G16105" s="85"/>
    </row>
    <row r="16106">
      <c r="A16106" s="84"/>
      <c r="B16106" s="85"/>
      <c r="C16106" s="85"/>
      <c r="F16106" s="92"/>
      <c r="G16106" s="85"/>
    </row>
    <row r="16107">
      <c r="A16107" s="84"/>
      <c r="B16107" s="85"/>
      <c r="C16107" s="85"/>
      <c r="F16107" s="92"/>
      <c r="G16107" s="85"/>
    </row>
    <row r="16108">
      <c r="A16108" s="84"/>
      <c r="B16108" s="85"/>
      <c r="C16108" s="85"/>
      <c r="F16108" s="92"/>
      <c r="G16108" s="85"/>
    </row>
    <row r="16109">
      <c r="A16109" s="84"/>
      <c r="B16109" s="85"/>
      <c r="C16109" s="85"/>
      <c r="F16109" s="92"/>
      <c r="G16109" s="85"/>
    </row>
    <row r="16110">
      <c r="A16110" s="84"/>
      <c r="B16110" s="85"/>
      <c r="C16110" s="85"/>
      <c r="F16110" s="92"/>
      <c r="G16110" s="85"/>
    </row>
    <row r="16111">
      <c r="A16111" s="84"/>
      <c r="B16111" s="85"/>
      <c r="C16111" s="85"/>
      <c r="F16111" s="92"/>
      <c r="G16111" s="85"/>
    </row>
    <row r="16112">
      <c r="A16112" s="84"/>
      <c r="B16112" s="85"/>
      <c r="C16112" s="85"/>
      <c r="F16112" s="92"/>
      <c r="G16112" s="85"/>
    </row>
    <row r="16113">
      <c r="A16113" s="84"/>
      <c r="B16113" s="85"/>
      <c r="C16113" s="85"/>
      <c r="F16113" s="92"/>
      <c r="G16113" s="85"/>
    </row>
    <row r="16114">
      <c r="A16114" s="84"/>
      <c r="B16114" s="85"/>
      <c r="C16114" s="85"/>
      <c r="F16114" s="92"/>
      <c r="G16114" s="85"/>
    </row>
    <row r="16115">
      <c r="A16115" s="84"/>
      <c r="B16115" s="85"/>
      <c r="C16115" s="85"/>
      <c r="F16115" s="92"/>
      <c r="G16115" s="85"/>
    </row>
    <row r="16116">
      <c r="A16116" s="84"/>
      <c r="B16116" s="85"/>
      <c r="C16116" s="85"/>
      <c r="F16116" s="92"/>
      <c r="G16116" s="85"/>
    </row>
    <row r="16117">
      <c r="A16117" s="84"/>
      <c r="B16117" s="85"/>
      <c r="C16117" s="85"/>
      <c r="F16117" s="92"/>
      <c r="G16117" s="85"/>
    </row>
    <row r="16118">
      <c r="A16118" s="84"/>
      <c r="B16118" s="85"/>
      <c r="C16118" s="85"/>
      <c r="F16118" s="92"/>
      <c r="G16118" s="85"/>
    </row>
    <row r="16119">
      <c r="A16119" s="84"/>
      <c r="B16119" s="85"/>
      <c r="C16119" s="85"/>
      <c r="F16119" s="92"/>
      <c r="G16119" s="85"/>
    </row>
    <row r="16120">
      <c r="A16120" s="84"/>
      <c r="B16120" s="85"/>
      <c r="C16120" s="85"/>
      <c r="F16120" s="92"/>
      <c r="G16120" s="85"/>
    </row>
    <row r="16121">
      <c r="A16121" s="84"/>
      <c r="B16121" s="85"/>
      <c r="C16121" s="85"/>
      <c r="F16121" s="92"/>
      <c r="G16121" s="85"/>
    </row>
    <row r="16122">
      <c r="A16122" s="84"/>
      <c r="B16122" s="85"/>
      <c r="C16122" s="85"/>
      <c r="F16122" s="92"/>
      <c r="G16122" s="85"/>
    </row>
    <row r="16123">
      <c r="A16123" s="84"/>
      <c r="B16123" s="85"/>
      <c r="C16123" s="85"/>
      <c r="F16123" s="92"/>
      <c r="G16123" s="85"/>
    </row>
    <row r="16124">
      <c r="A16124" s="84"/>
      <c r="B16124" s="85"/>
      <c r="C16124" s="85"/>
      <c r="F16124" s="92"/>
      <c r="G16124" s="85"/>
    </row>
    <row r="16125">
      <c r="A16125" s="84"/>
      <c r="B16125" s="85"/>
      <c r="C16125" s="85"/>
      <c r="F16125" s="92"/>
      <c r="G16125" s="85"/>
    </row>
    <row r="16126">
      <c r="A16126" s="84"/>
      <c r="B16126" s="85"/>
      <c r="C16126" s="85"/>
      <c r="F16126" s="92"/>
      <c r="G16126" s="85"/>
    </row>
    <row r="16127">
      <c r="A16127" s="84"/>
      <c r="B16127" s="85"/>
      <c r="C16127" s="85"/>
      <c r="F16127" s="92"/>
      <c r="G16127" s="85"/>
    </row>
    <row r="16128">
      <c r="A16128" s="84"/>
      <c r="B16128" s="85"/>
      <c r="C16128" s="85"/>
      <c r="F16128" s="92"/>
      <c r="G16128" s="85"/>
    </row>
    <row r="16129">
      <c r="A16129" s="84"/>
      <c r="B16129" s="85"/>
      <c r="C16129" s="85"/>
      <c r="F16129" s="92"/>
      <c r="G16129" s="85"/>
    </row>
    <row r="16130">
      <c r="A16130" s="84"/>
      <c r="B16130" s="85"/>
      <c r="C16130" s="85"/>
      <c r="F16130" s="92"/>
      <c r="G16130" s="85"/>
    </row>
    <row r="16131">
      <c r="A16131" s="84"/>
      <c r="B16131" s="85"/>
      <c r="C16131" s="85"/>
      <c r="F16131" s="92"/>
      <c r="G16131" s="85"/>
    </row>
    <row r="16132">
      <c r="A16132" s="84"/>
      <c r="B16132" s="85"/>
      <c r="C16132" s="85"/>
      <c r="F16132" s="92"/>
      <c r="G16132" s="85"/>
    </row>
    <row r="16133">
      <c r="A16133" s="84"/>
      <c r="B16133" s="85"/>
      <c r="C16133" s="85"/>
      <c r="F16133" s="92"/>
      <c r="G16133" s="85"/>
    </row>
    <row r="16134">
      <c r="A16134" s="84"/>
      <c r="B16134" s="85"/>
      <c r="C16134" s="85"/>
      <c r="F16134" s="92"/>
      <c r="G16134" s="85"/>
    </row>
    <row r="16135">
      <c r="A16135" s="84"/>
      <c r="B16135" s="85"/>
      <c r="C16135" s="85"/>
      <c r="F16135" s="92"/>
      <c r="G16135" s="85"/>
    </row>
    <row r="16136">
      <c r="A16136" s="84"/>
      <c r="B16136" s="85"/>
      <c r="C16136" s="85"/>
      <c r="F16136" s="92"/>
      <c r="G16136" s="85"/>
    </row>
    <row r="16137">
      <c r="A16137" s="84"/>
      <c r="B16137" s="85"/>
      <c r="C16137" s="85"/>
      <c r="F16137" s="92"/>
      <c r="G16137" s="85"/>
    </row>
    <row r="16138">
      <c r="A16138" s="84"/>
      <c r="B16138" s="85"/>
      <c r="C16138" s="85"/>
      <c r="F16138" s="92"/>
      <c r="G16138" s="85"/>
    </row>
    <row r="16139">
      <c r="A16139" s="84"/>
      <c r="B16139" s="85"/>
      <c r="C16139" s="85"/>
      <c r="F16139" s="92"/>
      <c r="G16139" s="85"/>
    </row>
    <row r="16140">
      <c r="A16140" s="84"/>
      <c r="B16140" s="85"/>
      <c r="C16140" s="85"/>
      <c r="F16140" s="92"/>
      <c r="G16140" s="85"/>
    </row>
    <row r="16141">
      <c r="A16141" s="84"/>
      <c r="B16141" s="85"/>
      <c r="C16141" s="85"/>
      <c r="F16141" s="92"/>
      <c r="G16141" s="85"/>
    </row>
    <row r="16142">
      <c r="A16142" s="84"/>
      <c r="B16142" s="85"/>
      <c r="C16142" s="85"/>
      <c r="F16142" s="92"/>
      <c r="G16142" s="85"/>
    </row>
    <row r="16143">
      <c r="A16143" s="84"/>
      <c r="B16143" s="85"/>
      <c r="C16143" s="85"/>
      <c r="F16143" s="92"/>
      <c r="G16143" s="85"/>
    </row>
    <row r="16144">
      <c r="A16144" s="84"/>
      <c r="B16144" s="85"/>
      <c r="C16144" s="85"/>
      <c r="F16144" s="92"/>
      <c r="G16144" s="85"/>
    </row>
    <row r="16145">
      <c r="A16145" s="84"/>
      <c r="B16145" s="85"/>
      <c r="C16145" s="85"/>
      <c r="F16145" s="92"/>
      <c r="G16145" s="85"/>
    </row>
    <row r="16146">
      <c r="A16146" s="84"/>
      <c r="B16146" s="85"/>
      <c r="C16146" s="85"/>
      <c r="F16146" s="92"/>
      <c r="G16146" s="85"/>
    </row>
    <row r="16147">
      <c r="A16147" s="84"/>
      <c r="B16147" s="85"/>
      <c r="C16147" s="85"/>
      <c r="F16147" s="92"/>
      <c r="G16147" s="85"/>
    </row>
    <row r="16148">
      <c r="A16148" s="84"/>
      <c r="B16148" s="85"/>
      <c r="C16148" s="85"/>
      <c r="F16148" s="92"/>
      <c r="G16148" s="85"/>
    </row>
    <row r="16149">
      <c r="A16149" s="84"/>
      <c r="B16149" s="85"/>
      <c r="C16149" s="85"/>
      <c r="F16149" s="92"/>
      <c r="G16149" s="85"/>
    </row>
    <row r="16150">
      <c r="A16150" s="84"/>
      <c r="B16150" s="85"/>
      <c r="C16150" s="85"/>
      <c r="F16150" s="92"/>
      <c r="G16150" s="85"/>
    </row>
    <row r="16151">
      <c r="A16151" s="84"/>
      <c r="B16151" s="85"/>
      <c r="C16151" s="85"/>
      <c r="F16151" s="92"/>
      <c r="G16151" s="85"/>
    </row>
    <row r="16152">
      <c r="A16152" s="84"/>
      <c r="B16152" s="85"/>
      <c r="C16152" s="85"/>
      <c r="F16152" s="92"/>
      <c r="G16152" s="85"/>
    </row>
    <row r="16153">
      <c r="A16153" s="84"/>
      <c r="B16153" s="85"/>
      <c r="C16153" s="85"/>
      <c r="F16153" s="92"/>
      <c r="G16153" s="85"/>
    </row>
    <row r="16154">
      <c r="A16154" s="84"/>
      <c r="B16154" s="85"/>
      <c r="C16154" s="85"/>
      <c r="F16154" s="92"/>
      <c r="G16154" s="85"/>
    </row>
    <row r="16155">
      <c r="A16155" s="84"/>
      <c r="B16155" s="85"/>
      <c r="C16155" s="85"/>
      <c r="F16155" s="92"/>
      <c r="G16155" s="85"/>
    </row>
    <row r="16156">
      <c r="A16156" s="84"/>
      <c r="B16156" s="85"/>
      <c r="C16156" s="85"/>
      <c r="F16156" s="92"/>
      <c r="G16156" s="85"/>
    </row>
    <row r="16157">
      <c r="A16157" s="84"/>
      <c r="B16157" s="85"/>
      <c r="C16157" s="85"/>
      <c r="F16157" s="92"/>
      <c r="G16157" s="85"/>
    </row>
    <row r="16158">
      <c r="A16158" s="84"/>
      <c r="B16158" s="85"/>
      <c r="C16158" s="85"/>
      <c r="F16158" s="92"/>
      <c r="G16158" s="85"/>
    </row>
    <row r="16159">
      <c r="A16159" s="84"/>
      <c r="B16159" s="85"/>
      <c r="C16159" s="85"/>
      <c r="F16159" s="92"/>
      <c r="G16159" s="85"/>
    </row>
    <row r="16160">
      <c r="A16160" s="84"/>
      <c r="B16160" s="85"/>
      <c r="C16160" s="85"/>
      <c r="F16160" s="92"/>
      <c r="G16160" s="85"/>
    </row>
    <row r="16161">
      <c r="A16161" s="84"/>
      <c r="B16161" s="85"/>
      <c r="C16161" s="85"/>
      <c r="F16161" s="92"/>
      <c r="G16161" s="85"/>
    </row>
    <row r="16162">
      <c r="A16162" s="84"/>
      <c r="B16162" s="85"/>
      <c r="C16162" s="85"/>
      <c r="F16162" s="92"/>
      <c r="G16162" s="85"/>
    </row>
    <row r="16163">
      <c r="A16163" s="84"/>
      <c r="B16163" s="85"/>
      <c r="C16163" s="85"/>
      <c r="F16163" s="92"/>
      <c r="G16163" s="85"/>
    </row>
    <row r="16164">
      <c r="A16164" s="84"/>
      <c r="B16164" s="85"/>
      <c r="C16164" s="85"/>
      <c r="F16164" s="92"/>
      <c r="G16164" s="85"/>
    </row>
    <row r="16165">
      <c r="A16165" s="84"/>
      <c r="B16165" s="85"/>
      <c r="C16165" s="85"/>
      <c r="F16165" s="92"/>
      <c r="G16165" s="85"/>
    </row>
    <row r="16166">
      <c r="A16166" s="84"/>
      <c r="B16166" s="85"/>
      <c r="C16166" s="85"/>
      <c r="F16166" s="92"/>
      <c r="G16166" s="85"/>
    </row>
    <row r="16167">
      <c r="A16167" s="84"/>
      <c r="B16167" s="85"/>
      <c r="C16167" s="85"/>
      <c r="F16167" s="92"/>
      <c r="G16167" s="85"/>
    </row>
    <row r="16168">
      <c r="A16168" s="84"/>
      <c r="B16168" s="85"/>
      <c r="C16168" s="85"/>
      <c r="F16168" s="92"/>
      <c r="G16168" s="85"/>
    </row>
    <row r="16169">
      <c r="A16169" s="84"/>
      <c r="B16169" s="85"/>
      <c r="C16169" s="85"/>
      <c r="F16169" s="92"/>
      <c r="G16169" s="85"/>
    </row>
    <row r="16170">
      <c r="A16170" s="84"/>
      <c r="B16170" s="85"/>
      <c r="C16170" s="85"/>
      <c r="F16170" s="92"/>
      <c r="G16170" s="85"/>
    </row>
    <row r="16171">
      <c r="A16171" s="84"/>
      <c r="B16171" s="85"/>
      <c r="C16171" s="85"/>
      <c r="F16171" s="92"/>
      <c r="G16171" s="85"/>
    </row>
    <row r="16172">
      <c r="A16172" s="84"/>
      <c r="B16172" s="85"/>
      <c r="C16172" s="85"/>
      <c r="F16172" s="92"/>
      <c r="G16172" s="85"/>
    </row>
    <row r="16173">
      <c r="A16173" s="84"/>
      <c r="B16173" s="85"/>
      <c r="C16173" s="85"/>
      <c r="F16173" s="92"/>
      <c r="G16173" s="85"/>
    </row>
    <row r="16174">
      <c r="A16174" s="84"/>
      <c r="B16174" s="85"/>
      <c r="C16174" s="85"/>
      <c r="F16174" s="92"/>
      <c r="G16174" s="85"/>
    </row>
    <row r="16175">
      <c r="A16175" s="84"/>
      <c r="B16175" s="85"/>
      <c r="C16175" s="85"/>
      <c r="F16175" s="92"/>
      <c r="G16175" s="85"/>
    </row>
    <row r="16176">
      <c r="A16176" s="84"/>
      <c r="B16176" s="85"/>
      <c r="C16176" s="85"/>
      <c r="F16176" s="92"/>
      <c r="G16176" s="85"/>
    </row>
    <row r="16177">
      <c r="A16177" s="84"/>
      <c r="B16177" s="85"/>
      <c r="C16177" s="85"/>
      <c r="F16177" s="92"/>
      <c r="G16177" s="85"/>
    </row>
    <row r="16178">
      <c r="A16178" s="84"/>
      <c r="B16178" s="85"/>
      <c r="C16178" s="85"/>
      <c r="F16178" s="92"/>
      <c r="G16178" s="85"/>
    </row>
    <row r="16179">
      <c r="A16179" s="84"/>
      <c r="B16179" s="85"/>
      <c r="C16179" s="85"/>
      <c r="F16179" s="92"/>
      <c r="G16179" s="85"/>
    </row>
    <row r="16180">
      <c r="A16180" s="84"/>
      <c r="B16180" s="85"/>
      <c r="C16180" s="85"/>
      <c r="F16180" s="92"/>
      <c r="G16180" s="85"/>
    </row>
    <row r="16181">
      <c r="A16181" s="84"/>
      <c r="B16181" s="85"/>
      <c r="C16181" s="85"/>
      <c r="F16181" s="92"/>
      <c r="G16181" s="85"/>
    </row>
    <row r="16182">
      <c r="A16182" s="84"/>
      <c r="B16182" s="85"/>
      <c r="C16182" s="85"/>
      <c r="F16182" s="92"/>
      <c r="G16182" s="85"/>
    </row>
    <row r="16183">
      <c r="A16183" s="84"/>
      <c r="B16183" s="85"/>
      <c r="C16183" s="85"/>
      <c r="F16183" s="92"/>
      <c r="G16183" s="85"/>
    </row>
    <row r="16184">
      <c r="A16184" s="84"/>
      <c r="B16184" s="85"/>
      <c r="C16184" s="85"/>
      <c r="F16184" s="92"/>
      <c r="G16184" s="85"/>
    </row>
    <row r="16185">
      <c r="A16185" s="84"/>
      <c r="B16185" s="85"/>
      <c r="C16185" s="85"/>
      <c r="F16185" s="92"/>
      <c r="G16185" s="85"/>
    </row>
    <row r="16186">
      <c r="A16186" s="84"/>
      <c r="B16186" s="85"/>
      <c r="C16186" s="85"/>
      <c r="F16186" s="92"/>
      <c r="G16186" s="85"/>
    </row>
    <row r="16187">
      <c r="A16187" s="84"/>
      <c r="B16187" s="85"/>
      <c r="C16187" s="85"/>
      <c r="F16187" s="92"/>
      <c r="G16187" s="85"/>
    </row>
    <row r="16188">
      <c r="A16188" s="84"/>
      <c r="B16188" s="85"/>
      <c r="C16188" s="85"/>
      <c r="F16188" s="92"/>
      <c r="G16188" s="85"/>
    </row>
    <row r="16189">
      <c r="A16189" s="84"/>
      <c r="B16189" s="85"/>
      <c r="C16189" s="85"/>
      <c r="F16189" s="92"/>
      <c r="G16189" s="85"/>
    </row>
    <row r="16190">
      <c r="A16190" s="84"/>
      <c r="B16190" s="85"/>
      <c r="C16190" s="85"/>
      <c r="F16190" s="92"/>
      <c r="G16190" s="85"/>
    </row>
    <row r="16191">
      <c r="A16191" s="84"/>
      <c r="B16191" s="85"/>
      <c r="C16191" s="85"/>
      <c r="F16191" s="92"/>
      <c r="G16191" s="85"/>
    </row>
    <row r="16192">
      <c r="A16192" s="84"/>
      <c r="B16192" s="85"/>
      <c r="C16192" s="85"/>
      <c r="F16192" s="92"/>
      <c r="G16192" s="85"/>
    </row>
    <row r="16193">
      <c r="A16193" s="84"/>
      <c r="B16193" s="85"/>
      <c r="C16193" s="85"/>
      <c r="F16193" s="92"/>
      <c r="G16193" s="85"/>
    </row>
    <row r="16194">
      <c r="A16194" s="84"/>
      <c r="B16194" s="85"/>
      <c r="C16194" s="85"/>
      <c r="F16194" s="92"/>
      <c r="G16194" s="85"/>
    </row>
    <row r="16195">
      <c r="A16195" s="84"/>
      <c r="B16195" s="85"/>
      <c r="C16195" s="85"/>
      <c r="F16195" s="92"/>
      <c r="G16195" s="85"/>
    </row>
    <row r="16196">
      <c r="A16196" s="84"/>
      <c r="B16196" s="85"/>
      <c r="C16196" s="85"/>
      <c r="F16196" s="92"/>
      <c r="G16196" s="85"/>
    </row>
    <row r="16197">
      <c r="A16197" s="84"/>
      <c r="B16197" s="85"/>
      <c r="C16197" s="85"/>
      <c r="F16197" s="92"/>
      <c r="G16197" s="85"/>
    </row>
    <row r="16198">
      <c r="A16198" s="84"/>
      <c r="B16198" s="85"/>
      <c r="C16198" s="85"/>
      <c r="F16198" s="92"/>
      <c r="G16198" s="85"/>
    </row>
    <row r="16199">
      <c r="A16199" s="84"/>
      <c r="B16199" s="85"/>
      <c r="C16199" s="85"/>
      <c r="F16199" s="92"/>
      <c r="G16199" s="85"/>
    </row>
    <row r="16200">
      <c r="A16200" s="84"/>
      <c r="B16200" s="85"/>
      <c r="C16200" s="85"/>
      <c r="F16200" s="92"/>
      <c r="G16200" s="85"/>
    </row>
    <row r="16201">
      <c r="A16201" s="84"/>
      <c r="B16201" s="85"/>
      <c r="C16201" s="85"/>
      <c r="F16201" s="92"/>
      <c r="G16201" s="85"/>
    </row>
    <row r="16202">
      <c r="A16202" s="84"/>
      <c r="B16202" s="85"/>
      <c r="C16202" s="85"/>
      <c r="F16202" s="92"/>
      <c r="G16202" s="85"/>
    </row>
    <row r="16203">
      <c r="A16203" s="84"/>
      <c r="B16203" s="85"/>
      <c r="C16203" s="85"/>
      <c r="F16203" s="92"/>
      <c r="G16203" s="85"/>
    </row>
    <row r="16204">
      <c r="A16204" s="84"/>
      <c r="B16204" s="85"/>
      <c r="C16204" s="85"/>
      <c r="F16204" s="92"/>
      <c r="G16204" s="85"/>
    </row>
    <row r="16205">
      <c r="A16205" s="84"/>
      <c r="B16205" s="85"/>
      <c r="C16205" s="85"/>
      <c r="F16205" s="92"/>
      <c r="G16205" s="85"/>
    </row>
    <row r="16206">
      <c r="A16206" s="84"/>
      <c r="B16206" s="85"/>
      <c r="C16206" s="85"/>
      <c r="F16206" s="92"/>
      <c r="G16206" s="85"/>
    </row>
    <row r="16207">
      <c r="A16207" s="84"/>
      <c r="B16207" s="85"/>
      <c r="C16207" s="85"/>
      <c r="F16207" s="92"/>
      <c r="G16207" s="85"/>
    </row>
    <row r="16208">
      <c r="A16208" s="84"/>
      <c r="B16208" s="85"/>
      <c r="C16208" s="85"/>
      <c r="F16208" s="92"/>
      <c r="G16208" s="85"/>
    </row>
    <row r="16209">
      <c r="A16209" s="84"/>
      <c r="B16209" s="85"/>
      <c r="C16209" s="85"/>
      <c r="F16209" s="92"/>
      <c r="G16209" s="85"/>
    </row>
    <row r="16210">
      <c r="A16210" s="84"/>
      <c r="B16210" s="85"/>
      <c r="C16210" s="85"/>
      <c r="F16210" s="92"/>
      <c r="G16210" s="85"/>
    </row>
    <row r="16211">
      <c r="A16211" s="84"/>
      <c r="B16211" s="85"/>
      <c r="C16211" s="85"/>
      <c r="F16211" s="92"/>
      <c r="G16211" s="85"/>
    </row>
    <row r="16212">
      <c r="A16212" s="84"/>
      <c r="B16212" s="85"/>
      <c r="C16212" s="85"/>
      <c r="F16212" s="92"/>
      <c r="G16212" s="85"/>
    </row>
    <row r="16213">
      <c r="A16213" s="84"/>
      <c r="B16213" s="85"/>
      <c r="C16213" s="85"/>
      <c r="F16213" s="92"/>
      <c r="G16213" s="85"/>
    </row>
    <row r="16214">
      <c r="A16214" s="84"/>
      <c r="B16214" s="85"/>
      <c r="C16214" s="85"/>
      <c r="F16214" s="92"/>
      <c r="G16214" s="85"/>
    </row>
    <row r="16215">
      <c r="A16215" s="84"/>
      <c r="B16215" s="85"/>
      <c r="C16215" s="85"/>
      <c r="F16215" s="92"/>
      <c r="G16215" s="85"/>
    </row>
    <row r="16216">
      <c r="A16216" s="84"/>
      <c r="B16216" s="85"/>
      <c r="C16216" s="85"/>
      <c r="F16216" s="92"/>
      <c r="G16216" s="85"/>
    </row>
    <row r="16217">
      <c r="A16217" s="84"/>
      <c r="B16217" s="85"/>
      <c r="C16217" s="85"/>
      <c r="F16217" s="92"/>
      <c r="G16217" s="85"/>
    </row>
    <row r="16218">
      <c r="A16218" s="84"/>
      <c r="B16218" s="85"/>
      <c r="C16218" s="85"/>
      <c r="F16218" s="92"/>
      <c r="G16218" s="85"/>
    </row>
    <row r="16219">
      <c r="A16219" s="84"/>
      <c r="B16219" s="85"/>
      <c r="C16219" s="85"/>
      <c r="F16219" s="92"/>
      <c r="G16219" s="85"/>
    </row>
    <row r="16220">
      <c r="A16220" s="84"/>
      <c r="B16220" s="85"/>
      <c r="C16220" s="85"/>
      <c r="F16220" s="92"/>
      <c r="G16220" s="85"/>
    </row>
    <row r="16221">
      <c r="A16221" s="84"/>
      <c r="B16221" s="85"/>
      <c r="C16221" s="85"/>
      <c r="F16221" s="92"/>
      <c r="G16221" s="85"/>
    </row>
    <row r="16222">
      <c r="A16222" s="84"/>
      <c r="B16222" s="85"/>
      <c r="C16222" s="85"/>
      <c r="F16222" s="92"/>
      <c r="G16222" s="85"/>
    </row>
    <row r="16223">
      <c r="A16223" s="84"/>
      <c r="B16223" s="85"/>
      <c r="C16223" s="85"/>
      <c r="F16223" s="92"/>
      <c r="G16223" s="85"/>
    </row>
    <row r="16224">
      <c r="A16224" s="84"/>
      <c r="B16224" s="85"/>
      <c r="C16224" s="85"/>
      <c r="F16224" s="92"/>
      <c r="G16224" s="85"/>
    </row>
    <row r="16225">
      <c r="A16225" s="84"/>
      <c r="B16225" s="85"/>
      <c r="C16225" s="85"/>
      <c r="F16225" s="92"/>
      <c r="G16225" s="85"/>
    </row>
    <row r="16226">
      <c r="A16226" s="84"/>
      <c r="B16226" s="85"/>
      <c r="C16226" s="85"/>
      <c r="F16226" s="92"/>
      <c r="G16226" s="85"/>
    </row>
    <row r="16227">
      <c r="A16227" s="84"/>
      <c r="B16227" s="85"/>
      <c r="C16227" s="85"/>
      <c r="F16227" s="92"/>
      <c r="G16227" s="85"/>
    </row>
    <row r="16228">
      <c r="A16228" s="84"/>
      <c r="B16228" s="85"/>
      <c r="C16228" s="85"/>
      <c r="F16228" s="92"/>
      <c r="G16228" s="85"/>
    </row>
    <row r="16229">
      <c r="A16229" s="84"/>
      <c r="B16229" s="85"/>
      <c r="C16229" s="85"/>
      <c r="F16229" s="92"/>
      <c r="G16229" s="85"/>
    </row>
    <row r="16230">
      <c r="A16230" s="84"/>
      <c r="B16230" s="85"/>
      <c r="C16230" s="85"/>
      <c r="F16230" s="92"/>
      <c r="G16230" s="85"/>
    </row>
    <row r="16231">
      <c r="A16231" s="84"/>
      <c r="B16231" s="85"/>
      <c r="C16231" s="85"/>
      <c r="F16231" s="92"/>
      <c r="G16231" s="85"/>
    </row>
    <row r="16232">
      <c r="A16232" s="84"/>
      <c r="B16232" s="85"/>
      <c r="C16232" s="85"/>
      <c r="F16232" s="92"/>
      <c r="G16232" s="85"/>
    </row>
    <row r="16233">
      <c r="A16233" s="84"/>
      <c r="B16233" s="85"/>
      <c r="C16233" s="85"/>
      <c r="F16233" s="92"/>
      <c r="G16233" s="85"/>
    </row>
    <row r="16234">
      <c r="A16234" s="84"/>
      <c r="B16234" s="85"/>
      <c r="C16234" s="85"/>
      <c r="F16234" s="92"/>
      <c r="G16234" s="85"/>
    </row>
    <row r="16235">
      <c r="A16235" s="84"/>
      <c r="B16235" s="85"/>
      <c r="C16235" s="85"/>
      <c r="F16235" s="92"/>
      <c r="G16235" s="85"/>
    </row>
    <row r="16236">
      <c r="A16236" s="84"/>
      <c r="B16236" s="85"/>
      <c r="C16236" s="85"/>
      <c r="F16236" s="92"/>
      <c r="G16236" s="85"/>
    </row>
    <row r="16237">
      <c r="A16237" s="84"/>
      <c r="B16237" s="85"/>
      <c r="C16237" s="85"/>
      <c r="F16237" s="92"/>
      <c r="G16237" s="85"/>
    </row>
    <row r="16238">
      <c r="A16238" s="84"/>
      <c r="B16238" s="85"/>
      <c r="C16238" s="85"/>
      <c r="F16238" s="92"/>
      <c r="G16238" s="85"/>
    </row>
    <row r="16239">
      <c r="A16239" s="84"/>
      <c r="B16239" s="85"/>
      <c r="C16239" s="85"/>
      <c r="F16239" s="92"/>
      <c r="G16239" s="85"/>
    </row>
    <row r="16240">
      <c r="A16240" s="84"/>
      <c r="B16240" s="85"/>
      <c r="C16240" s="85"/>
      <c r="F16240" s="92"/>
      <c r="G16240" s="85"/>
    </row>
    <row r="16241">
      <c r="A16241" s="84"/>
      <c r="B16241" s="85"/>
      <c r="C16241" s="85"/>
      <c r="F16241" s="92"/>
      <c r="G16241" s="85"/>
    </row>
    <row r="16242">
      <c r="A16242" s="84"/>
      <c r="B16242" s="85"/>
      <c r="C16242" s="85"/>
      <c r="F16242" s="92"/>
      <c r="G16242" s="85"/>
    </row>
    <row r="16243">
      <c r="A16243" s="84"/>
      <c r="B16243" s="85"/>
      <c r="C16243" s="85"/>
      <c r="F16243" s="92"/>
      <c r="G16243" s="85"/>
    </row>
    <row r="16244">
      <c r="A16244" s="84"/>
      <c r="B16244" s="85"/>
      <c r="C16244" s="85"/>
      <c r="F16244" s="92"/>
      <c r="G16244" s="85"/>
    </row>
    <row r="16245">
      <c r="A16245" s="84"/>
      <c r="B16245" s="85"/>
      <c r="C16245" s="85"/>
      <c r="F16245" s="92"/>
      <c r="G16245" s="85"/>
    </row>
    <row r="16246">
      <c r="A16246" s="84"/>
      <c r="B16246" s="85"/>
      <c r="C16246" s="85"/>
      <c r="F16246" s="92"/>
      <c r="G16246" s="85"/>
    </row>
    <row r="16247">
      <c r="A16247" s="84"/>
      <c r="B16247" s="85"/>
      <c r="C16247" s="85"/>
      <c r="F16247" s="92"/>
      <c r="G16247" s="85"/>
    </row>
    <row r="16248">
      <c r="A16248" s="84"/>
      <c r="B16248" s="85"/>
      <c r="C16248" s="85"/>
      <c r="F16248" s="92"/>
      <c r="G16248" s="85"/>
    </row>
    <row r="16249">
      <c r="A16249" s="84"/>
      <c r="B16249" s="85"/>
      <c r="C16249" s="85"/>
      <c r="F16249" s="92"/>
      <c r="G16249" s="85"/>
    </row>
    <row r="16250">
      <c r="A16250" s="84"/>
      <c r="B16250" s="85"/>
      <c r="C16250" s="85"/>
      <c r="F16250" s="92"/>
      <c r="G16250" s="85"/>
    </row>
    <row r="16251">
      <c r="A16251" s="84"/>
      <c r="B16251" s="85"/>
      <c r="C16251" s="85"/>
      <c r="F16251" s="92"/>
      <c r="G16251" s="85"/>
    </row>
    <row r="16252">
      <c r="A16252" s="84"/>
      <c r="B16252" s="85"/>
      <c r="C16252" s="85"/>
      <c r="F16252" s="92"/>
      <c r="G16252" s="85"/>
    </row>
    <row r="16253">
      <c r="A16253" s="84"/>
      <c r="B16253" s="85"/>
      <c r="C16253" s="85"/>
      <c r="F16253" s="92"/>
      <c r="G16253" s="85"/>
    </row>
    <row r="16254">
      <c r="A16254" s="84"/>
      <c r="B16254" s="85"/>
      <c r="C16254" s="85"/>
      <c r="F16254" s="92"/>
      <c r="G16254" s="85"/>
    </row>
    <row r="16255">
      <c r="A16255" s="84"/>
      <c r="B16255" s="85"/>
      <c r="C16255" s="85"/>
      <c r="F16255" s="92"/>
      <c r="G16255" s="85"/>
    </row>
    <row r="16256">
      <c r="A16256" s="84"/>
      <c r="B16256" s="85"/>
      <c r="C16256" s="85"/>
      <c r="F16256" s="92"/>
      <c r="G16256" s="85"/>
    </row>
    <row r="16257">
      <c r="A16257" s="84"/>
      <c r="B16257" s="85"/>
      <c r="C16257" s="85"/>
      <c r="F16257" s="92"/>
      <c r="G16257" s="85"/>
    </row>
    <row r="16258">
      <c r="A16258" s="84"/>
      <c r="B16258" s="85"/>
      <c r="C16258" s="85"/>
      <c r="F16258" s="92"/>
      <c r="G16258" s="85"/>
    </row>
    <row r="16259">
      <c r="A16259" s="84"/>
      <c r="B16259" s="85"/>
      <c r="C16259" s="85"/>
      <c r="F16259" s="92"/>
      <c r="G16259" s="85"/>
    </row>
    <row r="16260">
      <c r="A16260" s="84"/>
      <c r="B16260" s="85"/>
      <c r="C16260" s="85"/>
      <c r="F16260" s="92"/>
      <c r="G16260" s="85"/>
    </row>
    <row r="16261">
      <c r="A16261" s="84"/>
      <c r="B16261" s="85"/>
      <c r="C16261" s="85"/>
      <c r="F16261" s="92"/>
      <c r="G16261" s="85"/>
    </row>
    <row r="16262">
      <c r="A16262" s="84"/>
      <c r="B16262" s="85"/>
      <c r="C16262" s="85"/>
      <c r="F16262" s="92"/>
      <c r="G16262" s="85"/>
    </row>
    <row r="16263">
      <c r="A16263" s="84"/>
      <c r="B16263" s="85"/>
      <c r="C16263" s="85"/>
      <c r="F16263" s="92"/>
      <c r="G16263" s="85"/>
    </row>
    <row r="16264">
      <c r="A16264" s="84"/>
      <c r="B16264" s="85"/>
      <c r="C16264" s="85"/>
      <c r="F16264" s="92"/>
      <c r="G16264" s="85"/>
    </row>
    <row r="16265">
      <c r="A16265" s="84"/>
      <c r="B16265" s="85"/>
      <c r="C16265" s="85"/>
      <c r="F16265" s="92"/>
      <c r="G16265" s="85"/>
    </row>
    <row r="16266">
      <c r="A16266" s="84"/>
      <c r="B16266" s="85"/>
      <c r="C16266" s="85"/>
      <c r="F16266" s="92"/>
      <c r="G16266" s="85"/>
    </row>
    <row r="16267">
      <c r="A16267" s="84"/>
      <c r="B16267" s="85"/>
      <c r="C16267" s="85"/>
      <c r="F16267" s="92"/>
      <c r="G16267" s="85"/>
    </row>
    <row r="16268">
      <c r="A16268" s="84"/>
      <c r="B16268" s="85"/>
      <c r="C16268" s="85"/>
      <c r="F16268" s="92"/>
      <c r="G16268" s="85"/>
    </row>
    <row r="16269">
      <c r="A16269" s="84"/>
      <c r="B16269" s="85"/>
      <c r="C16269" s="85"/>
      <c r="F16269" s="92"/>
      <c r="G16269" s="85"/>
    </row>
    <row r="16270">
      <c r="A16270" s="84"/>
      <c r="B16270" s="85"/>
      <c r="C16270" s="85"/>
      <c r="F16270" s="92"/>
      <c r="G16270" s="85"/>
    </row>
    <row r="16271">
      <c r="A16271" s="84"/>
      <c r="B16271" s="85"/>
      <c r="C16271" s="85"/>
      <c r="F16271" s="92"/>
      <c r="G16271" s="85"/>
    </row>
    <row r="16272">
      <c r="A16272" s="84"/>
      <c r="B16272" s="85"/>
      <c r="C16272" s="85"/>
      <c r="F16272" s="92"/>
      <c r="G16272" s="85"/>
    </row>
    <row r="16273">
      <c r="A16273" s="84"/>
      <c r="B16273" s="85"/>
      <c r="C16273" s="85"/>
      <c r="F16273" s="92"/>
      <c r="G16273" s="85"/>
    </row>
    <row r="16274">
      <c r="A16274" s="84"/>
      <c r="B16274" s="85"/>
      <c r="C16274" s="85"/>
      <c r="F16274" s="92"/>
      <c r="G16274" s="85"/>
    </row>
    <row r="16275">
      <c r="A16275" s="84"/>
      <c r="B16275" s="85"/>
      <c r="C16275" s="85"/>
      <c r="F16275" s="92"/>
      <c r="G16275" s="85"/>
    </row>
    <row r="16276">
      <c r="A16276" s="84"/>
      <c r="B16276" s="85"/>
      <c r="C16276" s="85"/>
      <c r="F16276" s="92"/>
      <c r="G16276" s="85"/>
    </row>
    <row r="16277">
      <c r="A16277" s="84"/>
      <c r="B16277" s="85"/>
      <c r="C16277" s="85"/>
      <c r="F16277" s="92"/>
      <c r="G16277" s="85"/>
    </row>
    <row r="16278">
      <c r="A16278" s="84"/>
      <c r="B16278" s="85"/>
      <c r="C16278" s="85"/>
      <c r="F16278" s="92"/>
      <c r="G16278" s="85"/>
    </row>
    <row r="16279">
      <c r="A16279" s="84"/>
      <c r="B16279" s="85"/>
      <c r="C16279" s="85"/>
      <c r="F16279" s="92"/>
      <c r="G16279" s="85"/>
    </row>
    <row r="16280">
      <c r="A16280" s="84"/>
      <c r="B16280" s="85"/>
      <c r="C16280" s="85"/>
      <c r="F16280" s="92"/>
      <c r="G16280" s="85"/>
    </row>
    <row r="16281">
      <c r="A16281" s="84"/>
      <c r="B16281" s="85"/>
      <c r="C16281" s="85"/>
      <c r="F16281" s="92"/>
      <c r="G16281" s="85"/>
    </row>
    <row r="16282">
      <c r="A16282" s="84"/>
      <c r="B16282" s="85"/>
      <c r="C16282" s="85"/>
      <c r="F16282" s="92"/>
      <c r="G16282" s="85"/>
    </row>
    <row r="16283">
      <c r="A16283" s="84"/>
      <c r="B16283" s="85"/>
      <c r="C16283" s="85"/>
      <c r="F16283" s="92"/>
      <c r="G16283" s="85"/>
    </row>
    <row r="16284">
      <c r="A16284" s="84"/>
      <c r="B16284" s="85"/>
      <c r="C16284" s="85"/>
      <c r="F16284" s="92"/>
      <c r="G16284" s="85"/>
    </row>
    <row r="16285">
      <c r="A16285" s="84"/>
      <c r="B16285" s="85"/>
      <c r="C16285" s="85"/>
      <c r="F16285" s="92"/>
      <c r="G16285" s="85"/>
    </row>
    <row r="16286">
      <c r="A16286" s="84"/>
      <c r="B16286" s="85"/>
      <c r="C16286" s="85"/>
      <c r="F16286" s="92"/>
      <c r="G16286" s="85"/>
    </row>
    <row r="16287">
      <c r="A16287" s="84"/>
      <c r="B16287" s="85"/>
      <c r="C16287" s="85"/>
      <c r="F16287" s="92"/>
      <c r="G16287" s="85"/>
    </row>
    <row r="16288">
      <c r="A16288" s="84"/>
      <c r="B16288" s="85"/>
      <c r="C16288" s="85"/>
      <c r="F16288" s="92"/>
      <c r="G16288" s="85"/>
    </row>
    <row r="16289">
      <c r="A16289" s="84"/>
      <c r="B16289" s="85"/>
      <c r="C16289" s="85"/>
      <c r="F16289" s="92"/>
      <c r="G16289" s="85"/>
    </row>
    <row r="16290">
      <c r="A16290" s="84"/>
      <c r="B16290" s="85"/>
      <c r="C16290" s="85"/>
      <c r="F16290" s="92"/>
      <c r="G16290" s="85"/>
    </row>
    <row r="16291">
      <c r="A16291" s="84"/>
      <c r="B16291" s="85"/>
      <c r="C16291" s="85"/>
      <c r="F16291" s="92"/>
      <c r="G16291" s="85"/>
    </row>
    <row r="16292">
      <c r="A16292" s="84"/>
      <c r="B16292" s="85"/>
      <c r="C16292" s="85"/>
      <c r="F16292" s="92"/>
      <c r="G16292" s="85"/>
    </row>
    <row r="16293">
      <c r="A16293" s="84"/>
      <c r="B16293" s="85"/>
      <c r="C16293" s="85"/>
      <c r="F16293" s="92"/>
      <c r="G16293" s="85"/>
    </row>
    <row r="16294">
      <c r="A16294" s="84"/>
      <c r="B16294" s="85"/>
      <c r="C16294" s="85"/>
      <c r="F16294" s="92"/>
      <c r="G16294" s="85"/>
    </row>
    <row r="16295">
      <c r="A16295" s="84"/>
      <c r="B16295" s="85"/>
      <c r="C16295" s="85"/>
      <c r="F16295" s="92"/>
      <c r="G16295" s="85"/>
    </row>
    <row r="16296">
      <c r="A16296" s="84"/>
      <c r="B16296" s="85"/>
      <c r="C16296" s="85"/>
      <c r="F16296" s="92"/>
      <c r="G16296" s="85"/>
    </row>
    <row r="16297">
      <c r="A16297" s="84"/>
      <c r="B16297" s="85"/>
      <c r="C16297" s="85"/>
      <c r="F16297" s="92"/>
      <c r="G16297" s="85"/>
    </row>
    <row r="16298">
      <c r="A16298" s="84"/>
      <c r="B16298" s="85"/>
      <c r="C16298" s="85"/>
      <c r="F16298" s="92"/>
      <c r="G16298" s="85"/>
    </row>
    <row r="16299">
      <c r="A16299" s="84"/>
      <c r="B16299" s="85"/>
      <c r="C16299" s="85"/>
      <c r="F16299" s="92"/>
      <c r="G16299" s="85"/>
    </row>
    <row r="16300">
      <c r="A16300" s="84"/>
      <c r="B16300" s="85"/>
      <c r="C16300" s="85"/>
      <c r="F16300" s="92"/>
      <c r="G16300" s="85"/>
    </row>
    <row r="16301">
      <c r="A16301" s="84"/>
      <c r="B16301" s="85"/>
      <c r="C16301" s="85"/>
      <c r="F16301" s="92"/>
      <c r="G16301" s="85"/>
    </row>
    <row r="16302">
      <c r="A16302" s="84"/>
      <c r="B16302" s="85"/>
      <c r="C16302" s="85"/>
      <c r="F16302" s="92"/>
      <c r="G16302" s="85"/>
    </row>
    <row r="16303">
      <c r="A16303" s="84"/>
      <c r="B16303" s="85"/>
      <c r="C16303" s="85"/>
      <c r="F16303" s="92"/>
      <c r="G16303" s="85"/>
    </row>
    <row r="16304">
      <c r="A16304" s="84"/>
      <c r="B16304" s="85"/>
      <c r="C16304" s="85"/>
      <c r="F16304" s="92"/>
      <c r="G16304" s="85"/>
    </row>
    <row r="16305">
      <c r="A16305" s="84"/>
      <c r="B16305" s="85"/>
      <c r="C16305" s="85"/>
      <c r="F16305" s="92"/>
      <c r="G16305" s="85"/>
    </row>
    <row r="16306">
      <c r="A16306" s="84"/>
      <c r="B16306" s="85"/>
      <c r="C16306" s="85"/>
      <c r="F16306" s="92"/>
      <c r="G16306" s="85"/>
    </row>
    <row r="16307">
      <c r="A16307" s="84"/>
      <c r="B16307" s="85"/>
      <c r="C16307" s="85"/>
      <c r="F16307" s="92"/>
      <c r="G16307" s="85"/>
    </row>
    <row r="16308">
      <c r="A16308" s="84"/>
      <c r="B16308" s="85"/>
      <c r="C16308" s="85"/>
      <c r="F16308" s="92"/>
      <c r="G16308" s="85"/>
    </row>
    <row r="16309">
      <c r="A16309" s="84"/>
      <c r="B16309" s="85"/>
      <c r="C16309" s="85"/>
      <c r="F16309" s="92"/>
      <c r="G16309" s="85"/>
    </row>
    <row r="16310">
      <c r="A16310" s="84"/>
      <c r="B16310" s="85"/>
      <c r="C16310" s="85"/>
      <c r="F16310" s="92"/>
      <c r="G16310" s="85"/>
    </row>
    <row r="16311">
      <c r="A16311" s="84"/>
      <c r="B16311" s="85"/>
      <c r="C16311" s="85"/>
      <c r="F16311" s="92"/>
      <c r="G16311" s="85"/>
    </row>
    <row r="16312">
      <c r="A16312" s="84"/>
      <c r="B16312" s="85"/>
      <c r="C16312" s="85"/>
      <c r="F16312" s="92"/>
      <c r="G16312" s="85"/>
    </row>
    <row r="16313">
      <c r="A16313" s="84"/>
      <c r="B16313" s="85"/>
      <c r="C16313" s="85"/>
      <c r="F16313" s="92"/>
      <c r="G16313" s="85"/>
    </row>
    <row r="16314">
      <c r="A16314" s="84"/>
      <c r="B16314" s="85"/>
      <c r="C16314" s="85"/>
      <c r="F16314" s="92"/>
      <c r="G16314" s="85"/>
    </row>
    <row r="16315">
      <c r="A16315" s="84"/>
      <c r="B16315" s="85"/>
      <c r="C16315" s="85"/>
      <c r="F16315" s="92"/>
      <c r="G16315" s="85"/>
    </row>
    <row r="16316">
      <c r="A16316" s="84"/>
      <c r="B16316" s="85"/>
      <c r="C16316" s="85"/>
      <c r="F16316" s="92"/>
      <c r="G16316" s="85"/>
    </row>
    <row r="16317">
      <c r="A16317" s="84"/>
      <c r="B16317" s="85"/>
      <c r="C16317" s="85"/>
      <c r="F16317" s="92"/>
      <c r="G16317" s="85"/>
    </row>
    <row r="16318">
      <c r="A16318" s="84"/>
      <c r="B16318" s="85"/>
      <c r="C16318" s="85"/>
      <c r="F16318" s="92"/>
      <c r="G16318" s="85"/>
    </row>
    <row r="16319">
      <c r="A16319" s="84"/>
      <c r="B16319" s="85"/>
      <c r="C16319" s="85"/>
      <c r="F16319" s="92"/>
      <c r="G16319" s="85"/>
    </row>
    <row r="16320">
      <c r="A16320" s="84"/>
      <c r="B16320" s="85"/>
      <c r="C16320" s="85"/>
      <c r="F16320" s="92"/>
      <c r="G16320" s="85"/>
    </row>
    <row r="16321">
      <c r="A16321" s="84"/>
      <c r="B16321" s="85"/>
      <c r="C16321" s="85"/>
      <c r="F16321" s="92"/>
      <c r="G16321" s="85"/>
    </row>
    <row r="16322">
      <c r="A16322" s="84"/>
      <c r="B16322" s="85"/>
      <c r="C16322" s="85"/>
      <c r="F16322" s="92"/>
      <c r="G16322" s="85"/>
    </row>
    <row r="16323">
      <c r="A16323" s="84"/>
      <c r="B16323" s="85"/>
      <c r="C16323" s="85"/>
      <c r="F16323" s="92"/>
      <c r="G16323" s="85"/>
    </row>
    <row r="16324">
      <c r="A16324" s="84"/>
      <c r="B16324" s="85"/>
      <c r="C16324" s="85"/>
      <c r="F16324" s="92"/>
      <c r="G16324" s="85"/>
    </row>
    <row r="16325">
      <c r="A16325" s="84"/>
      <c r="B16325" s="85"/>
      <c r="C16325" s="85"/>
      <c r="F16325" s="92"/>
      <c r="G16325" s="85"/>
    </row>
    <row r="16326">
      <c r="A16326" s="84"/>
      <c r="B16326" s="85"/>
      <c r="C16326" s="85"/>
      <c r="F16326" s="92"/>
      <c r="G16326" s="85"/>
    </row>
    <row r="16327">
      <c r="A16327" s="84"/>
      <c r="B16327" s="85"/>
      <c r="C16327" s="85"/>
      <c r="F16327" s="92"/>
      <c r="G16327" s="85"/>
    </row>
    <row r="16328">
      <c r="A16328" s="84"/>
      <c r="B16328" s="85"/>
      <c r="C16328" s="85"/>
      <c r="F16328" s="92"/>
      <c r="G16328" s="85"/>
    </row>
    <row r="16329">
      <c r="A16329" s="84"/>
      <c r="B16329" s="85"/>
      <c r="C16329" s="85"/>
      <c r="F16329" s="92"/>
      <c r="G16329" s="85"/>
    </row>
    <row r="16330">
      <c r="A16330" s="84"/>
      <c r="B16330" s="85"/>
      <c r="C16330" s="85"/>
      <c r="F16330" s="92"/>
      <c r="G16330" s="85"/>
    </row>
    <row r="16331">
      <c r="A16331" s="84"/>
      <c r="B16331" s="85"/>
      <c r="C16331" s="85"/>
      <c r="F16331" s="92"/>
      <c r="G16331" s="85"/>
    </row>
    <row r="16332">
      <c r="A16332" s="84"/>
      <c r="B16332" s="85"/>
      <c r="C16332" s="85"/>
      <c r="F16332" s="92"/>
      <c r="G16332" s="85"/>
    </row>
    <row r="16333">
      <c r="A16333" s="84"/>
      <c r="B16333" s="85"/>
      <c r="C16333" s="85"/>
      <c r="F16333" s="92"/>
      <c r="G16333" s="85"/>
    </row>
    <row r="16334">
      <c r="A16334" s="84"/>
      <c r="B16334" s="85"/>
      <c r="C16334" s="85"/>
      <c r="F16334" s="92"/>
      <c r="G16334" s="85"/>
    </row>
    <row r="16335">
      <c r="A16335" s="84"/>
      <c r="B16335" s="85"/>
      <c r="C16335" s="85"/>
      <c r="F16335" s="92"/>
      <c r="G16335" s="85"/>
    </row>
    <row r="16336">
      <c r="A16336" s="84"/>
      <c r="B16336" s="85"/>
      <c r="C16336" s="85"/>
      <c r="F16336" s="92"/>
      <c r="G16336" s="85"/>
    </row>
    <row r="16337">
      <c r="A16337" s="84"/>
      <c r="B16337" s="85"/>
      <c r="C16337" s="85"/>
      <c r="F16337" s="92"/>
      <c r="G16337" s="85"/>
    </row>
    <row r="16338">
      <c r="A16338" s="84"/>
      <c r="B16338" s="85"/>
      <c r="C16338" s="85"/>
      <c r="F16338" s="92"/>
      <c r="G16338" s="85"/>
    </row>
    <row r="16339">
      <c r="A16339" s="84"/>
      <c r="B16339" s="85"/>
      <c r="C16339" s="85"/>
      <c r="F16339" s="92"/>
      <c r="G16339" s="85"/>
    </row>
    <row r="16340">
      <c r="A16340" s="84"/>
      <c r="B16340" s="85"/>
      <c r="C16340" s="85"/>
      <c r="F16340" s="92"/>
      <c r="G16340" s="85"/>
    </row>
    <row r="16341">
      <c r="A16341" s="84"/>
      <c r="B16341" s="85"/>
      <c r="C16341" s="85"/>
      <c r="F16341" s="92"/>
      <c r="G16341" s="85"/>
    </row>
    <row r="16342">
      <c r="A16342" s="84"/>
      <c r="B16342" s="85"/>
      <c r="C16342" s="85"/>
      <c r="F16342" s="92"/>
      <c r="G16342" s="85"/>
    </row>
    <row r="16343">
      <c r="A16343" s="84"/>
      <c r="B16343" s="85"/>
      <c r="C16343" s="85"/>
      <c r="F16343" s="92"/>
      <c r="G16343" s="85"/>
    </row>
    <row r="16344">
      <c r="A16344" s="84"/>
      <c r="B16344" s="85"/>
      <c r="C16344" s="85"/>
      <c r="F16344" s="92"/>
      <c r="G16344" s="85"/>
    </row>
    <row r="16345">
      <c r="A16345" s="84"/>
      <c r="B16345" s="85"/>
      <c r="C16345" s="85"/>
      <c r="F16345" s="92"/>
      <c r="G16345" s="85"/>
    </row>
    <row r="16346">
      <c r="A16346" s="84"/>
      <c r="B16346" s="85"/>
      <c r="C16346" s="85"/>
      <c r="F16346" s="92"/>
      <c r="G16346" s="85"/>
    </row>
    <row r="16347">
      <c r="A16347" s="84"/>
      <c r="B16347" s="85"/>
      <c r="C16347" s="85"/>
      <c r="F16347" s="92"/>
      <c r="G16347" s="85"/>
    </row>
    <row r="16348">
      <c r="A16348" s="84"/>
      <c r="B16348" s="85"/>
      <c r="C16348" s="85"/>
      <c r="F16348" s="92"/>
      <c r="G16348" s="85"/>
    </row>
    <row r="16349">
      <c r="A16349" s="84"/>
      <c r="B16349" s="85"/>
      <c r="C16349" s="85"/>
      <c r="F16349" s="92"/>
      <c r="G16349" s="85"/>
    </row>
    <row r="16350">
      <c r="A16350" s="84"/>
      <c r="B16350" s="85"/>
      <c r="C16350" s="85"/>
      <c r="F16350" s="92"/>
      <c r="G16350" s="85"/>
    </row>
    <row r="16351">
      <c r="A16351" s="84"/>
      <c r="B16351" s="85"/>
      <c r="C16351" s="85"/>
      <c r="F16351" s="92"/>
      <c r="G16351" s="85"/>
    </row>
    <row r="16352">
      <c r="A16352" s="84"/>
      <c r="B16352" s="85"/>
      <c r="C16352" s="85"/>
      <c r="F16352" s="92"/>
      <c r="G16352" s="85"/>
    </row>
    <row r="16353">
      <c r="A16353" s="84"/>
      <c r="B16353" s="85"/>
      <c r="C16353" s="85"/>
      <c r="F16353" s="92"/>
      <c r="G16353" s="85"/>
    </row>
    <row r="16354">
      <c r="A16354" s="84"/>
      <c r="B16354" s="85"/>
      <c r="C16354" s="85"/>
      <c r="F16354" s="92"/>
      <c r="G16354" s="85"/>
    </row>
    <row r="16355">
      <c r="A16355" s="84"/>
      <c r="B16355" s="85"/>
      <c r="C16355" s="85"/>
      <c r="F16355" s="92"/>
      <c r="G16355" s="85"/>
    </row>
    <row r="16356">
      <c r="A16356" s="84"/>
      <c r="B16356" s="85"/>
      <c r="C16356" s="85"/>
      <c r="F16356" s="92"/>
      <c r="G16356" s="85"/>
    </row>
    <row r="16357">
      <c r="A16357" s="84"/>
      <c r="B16357" s="85"/>
      <c r="C16357" s="85"/>
      <c r="F16357" s="92"/>
      <c r="G16357" s="85"/>
    </row>
    <row r="16358">
      <c r="A16358" s="84"/>
      <c r="B16358" s="85"/>
      <c r="C16358" s="85"/>
      <c r="F16358" s="92"/>
      <c r="G16358" s="85"/>
    </row>
    <row r="16359">
      <c r="A16359" s="84"/>
      <c r="B16359" s="85"/>
      <c r="C16359" s="85"/>
      <c r="F16359" s="92"/>
      <c r="G16359" s="85"/>
    </row>
    <row r="16360">
      <c r="A16360" s="84"/>
      <c r="B16360" s="85"/>
      <c r="C16360" s="85"/>
      <c r="F16360" s="92"/>
      <c r="G16360" s="85"/>
    </row>
    <row r="16361">
      <c r="A16361" s="84"/>
      <c r="B16361" s="85"/>
      <c r="C16361" s="85"/>
      <c r="F16361" s="92"/>
      <c r="G16361" s="85"/>
    </row>
    <row r="16362">
      <c r="A16362" s="84"/>
      <c r="B16362" s="85"/>
      <c r="C16362" s="85"/>
      <c r="F16362" s="92"/>
      <c r="G16362" s="85"/>
    </row>
    <row r="16363">
      <c r="A16363" s="84"/>
      <c r="B16363" s="85"/>
      <c r="C16363" s="85"/>
      <c r="F16363" s="92"/>
      <c r="G16363" s="85"/>
    </row>
    <row r="16364">
      <c r="A16364" s="84"/>
      <c r="B16364" s="85"/>
      <c r="C16364" s="85"/>
      <c r="F16364" s="92"/>
      <c r="G16364" s="85"/>
    </row>
    <row r="16365">
      <c r="A16365" s="84"/>
      <c r="B16365" s="85"/>
      <c r="C16365" s="85"/>
      <c r="F16365" s="92"/>
      <c r="G16365" s="85"/>
    </row>
    <row r="16366">
      <c r="A16366" s="84"/>
      <c r="B16366" s="85"/>
      <c r="C16366" s="85"/>
      <c r="F16366" s="92"/>
      <c r="G16366" s="85"/>
    </row>
    <row r="16367">
      <c r="A16367" s="84"/>
      <c r="B16367" s="85"/>
      <c r="C16367" s="85"/>
      <c r="F16367" s="92"/>
      <c r="G16367" s="85"/>
    </row>
    <row r="16368">
      <c r="A16368" s="84"/>
      <c r="B16368" s="85"/>
      <c r="C16368" s="85"/>
      <c r="F16368" s="92"/>
      <c r="G16368" s="85"/>
    </row>
    <row r="16369">
      <c r="A16369" s="84"/>
      <c r="B16369" s="85"/>
      <c r="C16369" s="85"/>
      <c r="F16369" s="92"/>
      <c r="G16369" s="85"/>
    </row>
    <row r="16370">
      <c r="A16370" s="84"/>
      <c r="B16370" s="85"/>
      <c r="C16370" s="85"/>
      <c r="F16370" s="92"/>
      <c r="G16370" s="85"/>
    </row>
    <row r="16371">
      <c r="A16371" s="84"/>
      <c r="B16371" s="85"/>
      <c r="C16371" s="85"/>
      <c r="F16371" s="92"/>
      <c r="G16371" s="85"/>
    </row>
    <row r="16372">
      <c r="A16372" s="84"/>
      <c r="B16372" s="85"/>
      <c r="C16372" s="85"/>
      <c r="F16372" s="92"/>
      <c r="G16372" s="85"/>
    </row>
    <row r="16373">
      <c r="A16373" s="84"/>
      <c r="B16373" s="85"/>
      <c r="C16373" s="85"/>
      <c r="F16373" s="92"/>
      <c r="G16373" s="85"/>
    </row>
    <row r="16374">
      <c r="A16374" s="84"/>
      <c r="B16374" s="85"/>
      <c r="C16374" s="85"/>
      <c r="F16374" s="92"/>
      <c r="G16374" s="85"/>
    </row>
    <row r="16375">
      <c r="A16375" s="84"/>
      <c r="B16375" s="85"/>
      <c r="C16375" s="85"/>
      <c r="F16375" s="92"/>
      <c r="G16375" s="85"/>
    </row>
    <row r="16376">
      <c r="A16376" s="84"/>
      <c r="B16376" s="85"/>
      <c r="C16376" s="85"/>
      <c r="F16376" s="92"/>
      <c r="G16376" s="85"/>
    </row>
    <row r="16377">
      <c r="A16377" s="84"/>
      <c r="B16377" s="85"/>
      <c r="C16377" s="85"/>
      <c r="F16377" s="92"/>
      <c r="G16377" s="85"/>
    </row>
    <row r="16378">
      <c r="A16378" s="84"/>
      <c r="B16378" s="85"/>
      <c r="C16378" s="85"/>
      <c r="F16378" s="92"/>
      <c r="G16378" s="85"/>
    </row>
    <row r="16379">
      <c r="A16379" s="84"/>
      <c r="B16379" s="85"/>
      <c r="C16379" s="85"/>
      <c r="F16379" s="92"/>
      <c r="G16379" s="85"/>
    </row>
    <row r="16380">
      <c r="A16380" s="84"/>
      <c r="B16380" s="85"/>
      <c r="C16380" s="85"/>
      <c r="F16380" s="92"/>
      <c r="G16380" s="85"/>
    </row>
    <row r="16381">
      <c r="A16381" s="84"/>
      <c r="B16381" s="85"/>
      <c r="C16381" s="85"/>
      <c r="F16381" s="92"/>
      <c r="G16381" s="85"/>
    </row>
    <row r="16382">
      <c r="A16382" s="84"/>
      <c r="B16382" s="85"/>
      <c r="C16382" s="85"/>
      <c r="F16382" s="92"/>
      <c r="G16382" s="85"/>
    </row>
    <row r="16383">
      <c r="A16383" s="84"/>
      <c r="B16383" s="85"/>
      <c r="C16383" s="85"/>
      <c r="F16383" s="92"/>
      <c r="G16383" s="85"/>
    </row>
    <row r="16384">
      <c r="A16384" s="84"/>
      <c r="B16384" s="85"/>
      <c r="C16384" s="85"/>
      <c r="F16384" s="92"/>
      <c r="G16384" s="85"/>
    </row>
    <row r="16385">
      <c r="A16385" s="84"/>
      <c r="B16385" s="85"/>
      <c r="C16385" s="85"/>
      <c r="F16385" s="92"/>
      <c r="G16385" s="85"/>
    </row>
    <row r="16386">
      <c r="A16386" s="84"/>
      <c r="B16386" s="85"/>
      <c r="C16386" s="85"/>
      <c r="F16386" s="92"/>
      <c r="G16386" s="85"/>
    </row>
    <row r="16387">
      <c r="A16387" s="84"/>
      <c r="B16387" s="85"/>
      <c r="C16387" s="85"/>
      <c r="F16387" s="92"/>
      <c r="G16387" s="85"/>
    </row>
    <row r="16388">
      <c r="A16388" s="84"/>
      <c r="B16388" s="85"/>
      <c r="C16388" s="85"/>
      <c r="F16388" s="92"/>
      <c r="G16388" s="85"/>
    </row>
    <row r="16389">
      <c r="A16389" s="84"/>
      <c r="B16389" s="85"/>
      <c r="C16389" s="85"/>
      <c r="F16389" s="92"/>
      <c r="G16389" s="85"/>
    </row>
    <row r="16390">
      <c r="A16390" s="84"/>
      <c r="B16390" s="85"/>
      <c r="C16390" s="85"/>
      <c r="F16390" s="92"/>
      <c r="G16390" s="85"/>
    </row>
    <row r="16391">
      <c r="A16391" s="84"/>
      <c r="B16391" s="85"/>
      <c r="C16391" s="85"/>
      <c r="F16391" s="92"/>
      <c r="G16391" s="85"/>
    </row>
    <row r="16392">
      <c r="A16392" s="84"/>
      <c r="B16392" s="85"/>
      <c r="C16392" s="85"/>
      <c r="F16392" s="92"/>
      <c r="G16392" s="85"/>
    </row>
    <row r="16393">
      <c r="A16393" s="84"/>
      <c r="B16393" s="85"/>
      <c r="C16393" s="85"/>
      <c r="F16393" s="92"/>
      <c r="G16393" s="85"/>
    </row>
    <row r="16394">
      <c r="A16394" s="84"/>
      <c r="B16394" s="85"/>
      <c r="C16394" s="85"/>
      <c r="F16394" s="92"/>
      <c r="G16394" s="85"/>
    </row>
    <row r="16395">
      <c r="A16395" s="84"/>
      <c r="B16395" s="85"/>
      <c r="C16395" s="85"/>
      <c r="F16395" s="92"/>
      <c r="G16395" s="85"/>
    </row>
    <row r="16396">
      <c r="A16396" s="84"/>
      <c r="B16396" s="85"/>
      <c r="C16396" s="85"/>
      <c r="F16396" s="92"/>
      <c r="G16396" s="85"/>
    </row>
    <row r="16397">
      <c r="A16397" s="84"/>
      <c r="B16397" s="85"/>
      <c r="C16397" s="85"/>
      <c r="F16397" s="92"/>
      <c r="G16397" s="85"/>
    </row>
    <row r="16398">
      <c r="A16398" s="84"/>
      <c r="B16398" s="85"/>
      <c r="C16398" s="85"/>
      <c r="F16398" s="92"/>
      <c r="G16398" s="85"/>
    </row>
    <row r="16399">
      <c r="A16399" s="84"/>
      <c r="B16399" s="85"/>
      <c r="C16399" s="85"/>
      <c r="F16399" s="92"/>
      <c r="G16399" s="85"/>
    </row>
    <row r="16400">
      <c r="A16400" s="84"/>
      <c r="B16400" s="85"/>
      <c r="C16400" s="85"/>
      <c r="F16400" s="92"/>
      <c r="G16400" s="85"/>
    </row>
    <row r="16401">
      <c r="A16401" s="84"/>
      <c r="B16401" s="85"/>
      <c r="C16401" s="85"/>
      <c r="F16401" s="92"/>
      <c r="G16401" s="85"/>
    </row>
    <row r="16402">
      <c r="A16402" s="84"/>
      <c r="B16402" s="85"/>
      <c r="C16402" s="85"/>
      <c r="F16402" s="92"/>
      <c r="G16402" s="85"/>
    </row>
    <row r="16403">
      <c r="A16403" s="84"/>
      <c r="B16403" s="85"/>
      <c r="C16403" s="85"/>
      <c r="F16403" s="92"/>
      <c r="G16403" s="85"/>
    </row>
    <row r="16404">
      <c r="A16404" s="84"/>
      <c r="B16404" s="85"/>
      <c r="C16404" s="85"/>
      <c r="F16404" s="92"/>
      <c r="G16404" s="85"/>
    </row>
    <row r="16405">
      <c r="A16405" s="84"/>
      <c r="B16405" s="85"/>
      <c r="C16405" s="85"/>
      <c r="F16405" s="92"/>
      <c r="G16405" s="85"/>
    </row>
    <row r="16406">
      <c r="A16406" s="84"/>
      <c r="B16406" s="85"/>
      <c r="C16406" s="85"/>
      <c r="F16406" s="92"/>
      <c r="G16406" s="85"/>
    </row>
    <row r="16407">
      <c r="A16407" s="84"/>
      <c r="B16407" s="85"/>
      <c r="C16407" s="85"/>
      <c r="F16407" s="92"/>
      <c r="G16407" s="85"/>
    </row>
    <row r="16408">
      <c r="A16408" s="84"/>
      <c r="B16408" s="85"/>
      <c r="C16408" s="85"/>
      <c r="F16408" s="92"/>
      <c r="G16408" s="85"/>
    </row>
    <row r="16409">
      <c r="A16409" s="84"/>
      <c r="B16409" s="85"/>
      <c r="C16409" s="85"/>
      <c r="F16409" s="92"/>
      <c r="G16409" s="85"/>
    </row>
    <row r="16410">
      <c r="A16410" s="84"/>
      <c r="B16410" s="85"/>
      <c r="C16410" s="85"/>
      <c r="F16410" s="92"/>
      <c r="G16410" s="85"/>
    </row>
    <row r="16411">
      <c r="A16411" s="84"/>
      <c r="B16411" s="85"/>
      <c r="C16411" s="85"/>
      <c r="F16411" s="92"/>
      <c r="G16411" s="85"/>
    </row>
    <row r="16412">
      <c r="A16412" s="84"/>
      <c r="B16412" s="85"/>
      <c r="C16412" s="85"/>
      <c r="F16412" s="92"/>
      <c r="G16412" s="85"/>
    </row>
    <row r="16413">
      <c r="A16413" s="84"/>
      <c r="B16413" s="85"/>
      <c r="C16413" s="85"/>
      <c r="F16413" s="92"/>
      <c r="G16413" s="85"/>
    </row>
    <row r="16414">
      <c r="A16414" s="84"/>
      <c r="B16414" s="85"/>
      <c r="C16414" s="85"/>
      <c r="F16414" s="92"/>
      <c r="G16414" s="85"/>
    </row>
    <row r="16415">
      <c r="A16415" s="84"/>
      <c r="B16415" s="85"/>
      <c r="C16415" s="85"/>
      <c r="F16415" s="92"/>
      <c r="G16415" s="85"/>
    </row>
    <row r="16416">
      <c r="A16416" s="84"/>
      <c r="B16416" s="85"/>
      <c r="C16416" s="85"/>
      <c r="F16416" s="92"/>
      <c r="G16416" s="85"/>
    </row>
    <row r="16417">
      <c r="A16417" s="84"/>
      <c r="B16417" s="85"/>
      <c r="C16417" s="85"/>
      <c r="F16417" s="92"/>
      <c r="G16417" s="85"/>
    </row>
    <row r="16418">
      <c r="A16418" s="84"/>
      <c r="B16418" s="85"/>
      <c r="C16418" s="85"/>
      <c r="F16418" s="92"/>
      <c r="G16418" s="85"/>
    </row>
    <row r="16419">
      <c r="A16419" s="84"/>
      <c r="B16419" s="85"/>
      <c r="C16419" s="85"/>
      <c r="F16419" s="92"/>
      <c r="G16419" s="85"/>
    </row>
    <row r="16420">
      <c r="A16420" s="84"/>
      <c r="B16420" s="85"/>
      <c r="C16420" s="85"/>
      <c r="F16420" s="92"/>
      <c r="G16420" s="85"/>
    </row>
    <row r="16421">
      <c r="A16421" s="84"/>
      <c r="B16421" s="85"/>
      <c r="C16421" s="85"/>
      <c r="F16421" s="92"/>
      <c r="G16421" s="85"/>
    </row>
    <row r="16422">
      <c r="A16422" s="84"/>
      <c r="B16422" s="85"/>
      <c r="C16422" s="85"/>
      <c r="F16422" s="92"/>
      <c r="G16422" s="85"/>
    </row>
    <row r="16423">
      <c r="A16423" s="84"/>
      <c r="B16423" s="85"/>
      <c r="C16423" s="85"/>
      <c r="F16423" s="92"/>
      <c r="G16423" s="85"/>
    </row>
    <row r="16424">
      <c r="A16424" s="84"/>
      <c r="B16424" s="85"/>
      <c r="C16424" s="85"/>
      <c r="F16424" s="92"/>
      <c r="G16424" s="85"/>
    </row>
    <row r="16425">
      <c r="A16425" s="84"/>
      <c r="B16425" s="85"/>
      <c r="C16425" s="85"/>
      <c r="F16425" s="92"/>
      <c r="G16425" s="85"/>
    </row>
    <row r="16426">
      <c r="A16426" s="84"/>
      <c r="B16426" s="85"/>
      <c r="C16426" s="85"/>
      <c r="F16426" s="92"/>
      <c r="G16426" s="85"/>
    </row>
    <row r="16427">
      <c r="A16427" s="84"/>
      <c r="B16427" s="85"/>
      <c r="C16427" s="85"/>
      <c r="F16427" s="92"/>
      <c r="G16427" s="85"/>
    </row>
    <row r="16428">
      <c r="A16428" s="84"/>
      <c r="B16428" s="85"/>
      <c r="C16428" s="85"/>
      <c r="F16428" s="92"/>
      <c r="G16428" s="85"/>
    </row>
    <row r="16429">
      <c r="A16429" s="84"/>
      <c r="B16429" s="85"/>
      <c r="C16429" s="85"/>
      <c r="F16429" s="92"/>
      <c r="G16429" s="85"/>
    </row>
    <row r="16430">
      <c r="A16430" s="84"/>
      <c r="B16430" s="85"/>
      <c r="C16430" s="85"/>
      <c r="F16430" s="92"/>
      <c r="G16430" s="85"/>
    </row>
    <row r="16431">
      <c r="A16431" s="84"/>
      <c r="B16431" s="85"/>
      <c r="C16431" s="85"/>
      <c r="F16431" s="92"/>
      <c r="G16431" s="85"/>
    </row>
    <row r="16432">
      <c r="A16432" s="84"/>
      <c r="B16432" s="85"/>
      <c r="C16432" s="85"/>
      <c r="F16432" s="92"/>
      <c r="G16432" s="85"/>
    </row>
    <row r="16433">
      <c r="A16433" s="84"/>
      <c r="B16433" s="85"/>
      <c r="C16433" s="85"/>
      <c r="F16433" s="92"/>
      <c r="G16433" s="85"/>
    </row>
    <row r="16434">
      <c r="A16434" s="84"/>
      <c r="B16434" s="85"/>
      <c r="C16434" s="85"/>
      <c r="F16434" s="92"/>
      <c r="G16434" s="85"/>
    </row>
    <row r="16435">
      <c r="A16435" s="84"/>
      <c r="B16435" s="85"/>
      <c r="C16435" s="85"/>
      <c r="F16435" s="92"/>
      <c r="G16435" s="85"/>
    </row>
    <row r="16436">
      <c r="A16436" s="84"/>
      <c r="B16436" s="85"/>
      <c r="C16436" s="85"/>
      <c r="F16436" s="92"/>
      <c r="G16436" s="85"/>
    </row>
    <row r="16437">
      <c r="A16437" s="84"/>
      <c r="B16437" s="85"/>
      <c r="C16437" s="85"/>
      <c r="F16437" s="92"/>
      <c r="G16437" s="85"/>
    </row>
    <row r="16438">
      <c r="A16438" s="84"/>
      <c r="B16438" s="85"/>
      <c r="C16438" s="85"/>
      <c r="F16438" s="92"/>
      <c r="G16438" s="85"/>
    </row>
    <row r="16439">
      <c r="A16439" s="84"/>
      <c r="B16439" s="85"/>
      <c r="C16439" s="85"/>
      <c r="F16439" s="92"/>
      <c r="G16439" s="85"/>
    </row>
    <row r="16440">
      <c r="A16440" s="84"/>
      <c r="B16440" s="85"/>
      <c r="C16440" s="85"/>
      <c r="F16440" s="92"/>
      <c r="G16440" s="85"/>
    </row>
    <row r="16441">
      <c r="A16441" s="84"/>
      <c r="B16441" s="85"/>
      <c r="C16441" s="85"/>
      <c r="F16441" s="92"/>
      <c r="G16441" s="85"/>
    </row>
    <row r="16442">
      <c r="A16442" s="84"/>
      <c r="B16442" s="85"/>
      <c r="C16442" s="85"/>
      <c r="F16442" s="92"/>
      <c r="G16442" s="85"/>
    </row>
    <row r="16443">
      <c r="A16443" s="84"/>
      <c r="B16443" s="85"/>
      <c r="C16443" s="85"/>
      <c r="F16443" s="92"/>
      <c r="G16443" s="85"/>
    </row>
    <row r="16444">
      <c r="A16444" s="84"/>
      <c r="B16444" s="85"/>
      <c r="C16444" s="85"/>
      <c r="F16444" s="92"/>
      <c r="G16444" s="85"/>
    </row>
    <row r="16445">
      <c r="A16445" s="84"/>
      <c r="B16445" s="85"/>
      <c r="C16445" s="85"/>
      <c r="F16445" s="92"/>
      <c r="G16445" s="85"/>
    </row>
    <row r="16446">
      <c r="A16446" s="84"/>
      <c r="B16446" s="85"/>
      <c r="C16446" s="85"/>
      <c r="F16446" s="92"/>
      <c r="G16446" s="85"/>
    </row>
    <row r="16447">
      <c r="A16447" s="84"/>
      <c r="B16447" s="85"/>
      <c r="C16447" s="85"/>
      <c r="F16447" s="92"/>
      <c r="G16447" s="85"/>
    </row>
    <row r="16448">
      <c r="A16448" s="84"/>
      <c r="B16448" s="85"/>
      <c r="C16448" s="85"/>
      <c r="F16448" s="92"/>
      <c r="G16448" s="85"/>
    </row>
    <row r="16449">
      <c r="A16449" s="84"/>
      <c r="B16449" s="85"/>
      <c r="C16449" s="85"/>
      <c r="F16449" s="92"/>
      <c r="G16449" s="85"/>
    </row>
    <row r="16450">
      <c r="A16450" s="84"/>
      <c r="B16450" s="85"/>
      <c r="C16450" s="85"/>
      <c r="F16450" s="92"/>
      <c r="G16450" s="85"/>
    </row>
    <row r="16451">
      <c r="A16451" s="84"/>
      <c r="B16451" s="85"/>
      <c r="C16451" s="85"/>
      <c r="F16451" s="92"/>
      <c r="G16451" s="85"/>
    </row>
    <row r="16452">
      <c r="A16452" s="84"/>
      <c r="B16452" s="85"/>
      <c r="C16452" s="85"/>
      <c r="F16452" s="92"/>
      <c r="G16452" s="85"/>
    </row>
    <row r="16453">
      <c r="A16453" s="84"/>
      <c r="B16453" s="85"/>
      <c r="C16453" s="85"/>
      <c r="F16453" s="92"/>
      <c r="G16453" s="85"/>
    </row>
    <row r="16454">
      <c r="A16454" s="84"/>
      <c r="B16454" s="85"/>
      <c r="C16454" s="85"/>
      <c r="F16454" s="92"/>
      <c r="G16454" s="85"/>
    </row>
    <row r="16455">
      <c r="A16455" s="84"/>
      <c r="B16455" s="85"/>
      <c r="C16455" s="85"/>
      <c r="F16455" s="92"/>
      <c r="G16455" s="85"/>
    </row>
    <row r="16456">
      <c r="A16456" s="84"/>
      <c r="B16456" s="85"/>
      <c r="C16456" s="85"/>
      <c r="F16456" s="92"/>
      <c r="G16456" s="85"/>
    </row>
    <row r="16457">
      <c r="A16457" s="84"/>
      <c r="B16457" s="85"/>
      <c r="C16457" s="85"/>
      <c r="F16457" s="92"/>
      <c r="G16457" s="85"/>
    </row>
    <row r="16458">
      <c r="A16458" s="84"/>
      <c r="B16458" s="85"/>
      <c r="C16458" s="85"/>
      <c r="F16458" s="92"/>
      <c r="G16458" s="85"/>
    </row>
    <row r="16459">
      <c r="A16459" s="84"/>
      <c r="B16459" s="85"/>
      <c r="C16459" s="85"/>
      <c r="F16459" s="92"/>
      <c r="G16459" s="85"/>
    </row>
    <row r="16460">
      <c r="A16460" s="84"/>
      <c r="B16460" s="85"/>
      <c r="C16460" s="85"/>
      <c r="F16460" s="92"/>
      <c r="G16460" s="85"/>
    </row>
    <row r="16461">
      <c r="A16461" s="84"/>
      <c r="B16461" s="85"/>
      <c r="C16461" s="85"/>
      <c r="F16461" s="92"/>
      <c r="G16461" s="85"/>
    </row>
    <row r="16462">
      <c r="A16462" s="84"/>
      <c r="B16462" s="85"/>
      <c r="C16462" s="85"/>
      <c r="F16462" s="92"/>
      <c r="G16462" s="85"/>
    </row>
    <row r="16463">
      <c r="A16463" s="84"/>
      <c r="B16463" s="85"/>
      <c r="C16463" s="85"/>
      <c r="F16463" s="92"/>
      <c r="G16463" s="85"/>
    </row>
    <row r="16464">
      <c r="A16464" s="84"/>
      <c r="B16464" s="85"/>
      <c r="C16464" s="85"/>
      <c r="F16464" s="92"/>
      <c r="G16464" s="85"/>
    </row>
    <row r="16465">
      <c r="A16465" s="84"/>
      <c r="B16465" s="85"/>
      <c r="C16465" s="85"/>
      <c r="F16465" s="92"/>
      <c r="G16465" s="85"/>
    </row>
    <row r="16466">
      <c r="A16466" s="84"/>
      <c r="B16466" s="85"/>
      <c r="C16466" s="85"/>
      <c r="F16466" s="92"/>
      <c r="G16466" s="85"/>
    </row>
    <row r="16467">
      <c r="A16467" s="84"/>
      <c r="B16467" s="85"/>
      <c r="C16467" s="85"/>
      <c r="F16467" s="92"/>
      <c r="G16467" s="85"/>
    </row>
    <row r="16468">
      <c r="A16468" s="84"/>
      <c r="B16468" s="85"/>
      <c r="C16468" s="85"/>
      <c r="F16468" s="92"/>
      <c r="G16468" s="85"/>
    </row>
    <row r="16469">
      <c r="A16469" s="84"/>
      <c r="B16469" s="85"/>
      <c r="C16469" s="85"/>
      <c r="F16469" s="92"/>
      <c r="G16469" s="85"/>
    </row>
    <row r="16470">
      <c r="A16470" s="84"/>
      <c r="B16470" s="85"/>
      <c r="C16470" s="85"/>
      <c r="F16470" s="92"/>
      <c r="G16470" s="85"/>
    </row>
    <row r="16471">
      <c r="A16471" s="84"/>
      <c r="B16471" s="85"/>
      <c r="C16471" s="85"/>
      <c r="F16471" s="92"/>
      <c r="G16471" s="85"/>
    </row>
    <row r="16472">
      <c r="A16472" s="84"/>
      <c r="B16472" s="85"/>
      <c r="C16472" s="85"/>
      <c r="F16472" s="92"/>
      <c r="G16472" s="85"/>
    </row>
    <row r="16473">
      <c r="A16473" s="84"/>
      <c r="B16473" s="85"/>
      <c r="C16473" s="85"/>
      <c r="F16473" s="92"/>
      <c r="G16473" s="85"/>
    </row>
    <row r="16474">
      <c r="A16474" s="84"/>
      <c r="B16474" s="85"/>
      <c r="C16474" s="85"/>
      <c r="F16474" s="92"/>
      <c r="G16474" s="85"/>
    </row>
    <row r="16475">
      <c r="A16475" s="84"/>
      <c r="B16475" s="85"/>
      <c r="C16475" s="85"/>
      <c r="F16475" s="92"/>
      <c r="G16475" s="85"/>
    </row>
    <row r="16476">
      <c r="A16476" s="84"/>
      <c r="B16476" s="85"/>
      <c r="C16476" s="85"/>
      <c r="F16476" s="92"/>
      <c r="G16476" s="85"/>
    </row>
    <row r="16477">
      <c r="A16477" s="84"/>
      <c r="B16477" s="85"/>
      <c r="C16477" s="85"/>
      <c r="F16477" s="92"/>
      <c r="G16477" s="85"/>
    </row>
    <row r="16478">
      <c r="A16478" s="84"/>
      <c r="B16478" s="85"/>
      <c r="C16478" s="85"/>
      <c r="F16478" s="92"/>
      <c r="G16478" s="85"/>
    </row>
    <row r="16479">
      <c r="A16479" s="84"/>
      <c r="B16479" s="85"/>
      <c r="C16479" s="85"/>
      <c r="F16479" s="92"/>
      <c r="G16479" s="85"/>
    </row>
    <row r="16480">
      <c r="A16480" s="84"/>
      <c r="B16480" s="85"/>
      <c r="C16480" s="85"/>
      <c r="F16480" s="92"/>
      <c r="G16480" s="85"/>
    </row>
    <row r="16481">
      <c r="A16481" s="84"/>
      <c r="B16481" s="85"/>
      <c r="C16481" s="85"/>
      <c r="F16481" s="92"/>
      <c r="G16481" s="85"/>
    </row>
    <row r="16482">
      <c r="A16482" s="84"/>
      <c r="B16482" s="85"/>
      <c r="C16482" s="85"/>
      <c r="F16482" s="92"/>
      <c r="G16482" s="85"/>
    </row>
    <row r="16483">
      <c r="A16483" s="84"/>
      <c r="B16483" s="85"/>
      <c r="C16483" s="85"/>
      <c r="F16483" s="92"/>
      <c r="G16483" s="85"/>
    </row>
    <row r="16484">
      <c r="A16484" s="84"/>
      <c r="B16484" s="85"/>
      <c r="C16484" s="85"/>
      <c r="F16484" s="92"/>
      <c r="G16484" s="85"/>
    </row>
    <row r="16485">
      <c r="A16485" s="84"/>
      <c r="B16485" s="85"/>
      <c r="C16485" s="85"/>
      <c r="F16485" s="92"/>
      <c r="G16485" s="85"/>
    </row>
    <row r="16486">
      <c r="A16486" s="84"/>
      <c r="B16486" s="85"/>
      <c r="C16486" s="85"/>
      <c r="F16486" s="92"/>
      <c r="G16486" s="85"/>
    </row>
    <row r="16487">
      <c r="A16487" s="84"/>
      <c r="B16487" s="85"/>
      <c r="C16487" s="85"/>
      <c r="F16487" s="92"/>
      <c r="G16487" s="85"/>
    </row>
    <row r="16488">
      <c r="A16488" s="84"/>
      <c r="B16488" s="85"/>
      <c r="C16488" s="85"/>
      <c r="F16488" s="92"/>
      <c r="G16488" s="85"/>
    </row>
    <row r="16489">
      <c r="A16489" s="84"/>
      <c r="B16489" s="85"/>
      <c r="C16489" s="85"/>
      <c r="F16489" s="92"/>
      <c r="G16489" s="85"/>
    </row>
    <row r="16490">
      <c r="A16490" s="84"/>
      <c r="B16490" s="85"/>
      <c r="C16490" s="85"/>
      <c r="F16490" s="92"/>
      <c r="G16490" s="85"/>
    </row>
    <row r="16491">
      <c r="A16491" s="84"/>
      <c r="B16491" s="85"/>
      <c r="C16491" s="85"/>
      <c r="F16491" s="92"/>
      <c r="G16491" s="85"/>
    </row>
    <row r="16492">
      <c r="A16492" s="84"/>
      <c r="B16492" s="85"/>
      <c r="C16492" s="85"/>
      <c r="F16492" s="92"/>
      <c r="G16492" s="85"/>
    </row>
    <row r="16493">
      <c r="A16493" s="84"/>
      <c r="B16493" s="85"/>
      <c r="C16493" s="85"/>
      <c r="F16493" s="92"/>
      <c r="G16493" s="85"/>
    </row>
    <row r="16494">
      <c r="A16494" s="84"/>
      <c r="B16494" s="85"/>
      <c r="C16494" s="85"/>
      <c r="F16494" s="92"/>
      <c r="G16494" s="85"/>
    </row>
    <row r="16495">
      <c r="A16495" s="84"/>
      <c r="B16495" s="85"/>
      <c r="C16495" s="85"/>
      <c r="F16495" s="92"/>
      <c r="G16495" s="85"/>
    </row>
    <row r="16496">
      <c r="A16496" s="84"/>
      <c r="B16496" s="85"/>
      <c r="C16496" s="85"/>
      <c r="F16496" s="92"/>
      <c r="G16496" s="85"/>
    </row>
    <row r="16497">
      <c r="A16497" s="84"/>
      <c r="B16497" s="85"/>
      <c r="C16497" s="85"/>
      <c r="F16497" s="92"/>
      <c r="G16497" s="85"/>
    </row>
    <row r="16498">
      <c r="A16498" s="84"/>
      <c r="B16498" s="85"/>
      <c r="C16498" s="85"/>
      <c r="F16498" s="92"/>
      <c r="G16498" s="85"/>
    </row>
    <row r="16499">
      <c r="A16499" s="84"/>
      <c r="B16499" s="85"/>
      <c r="C16499" s="85"/>
      <c r="F16499" s="92"/>
      <c r="G16499" s="85"/>
    </row>
    <row r="16500">
      <c r="A16500" s="84"/>
      <c r="B16500" s="85"/>
      <c r="C16500" s="85"/>
      <c r="F16500" s="92"/>
      <c r="G16500" s="85"/>
    </row>
    <row r="16501">
      <c r="A16501" s="84"/>
      <c r="B16501" s="85"/>
      <c r="C16501" s="85"/>
      <c r="F16501" s="92"/>
      <c r="G16501" s="85"/>
    </row>
    <row r="16502">
      <c r="A16502" s="84"/>
      <c r="B16502" s="85"/>
      <c r="C16502" s="85"/>
      <c r="F16502" s="92"/>
      <c r="G16502" s="85"/>
    </row>
    <row r="16503">
      <c r="A16503" s="84"/>
      <c r="B16503" s="85"/>
      <c r="C16503" s="85"/>
      <c r="F16503" s="92"/>
      <c r="G16503" s="85"/>
    </row>
    <row r="16504">
      <c r="A16504" s="84"/>
      <c r="B16504" s="85"/>
      <c r="C16504" s="85"/>
      <c r="F16504" s="92"/>
      <c r="G16504" s="85"/>
    </row>
    <row r="16505">
      <c r="A16505" s="84"/>
      <c r="B16505" s="85"/>
      <c r="C16505" s="85"/>
      <c r="F16505" s="92"/>
      <c r="G16505" s="85"/>
    </row>
    <row r="16506">
      <c r="A16506" s="84"/>
      <c r="B16506" s="85"/>
      <c r="C16506" s="85"/>
      <c r="F16506" s="92"/>
      <c r="G16506" s="85"/>
    </row>
    <row r="16507">
      <c r="A16507" s="84"/>
      <c r="B16507" s="85"/>
      <c r="C16507" s="85"/>
      <c r="F16507" s="92"/>
      <c r="G16507" s="85"/>
    </row>
    <row r="16508">
      <c r="A16508" s="84"/>
      <c r="B16508" s="85"/>
      <c r="C16508" s="85"/>
      <c r="F16508" s="92"/>
      <c r="G16508" s="85"/>
    </row>
    <row r="16509">
      <c r="A16509" s="84"/>
      <c r="B16509" s="85"/>
      <c r="C16509" s="85"/>
      <c r="F16509" s="92"/>
      <c r="G16509" s="85"/>
    </row>
    <row r="16510">
      <c r="A16510" s="84"/>
      <c r="B16510" s="85"/>
      <c r="C16510" s="85"/>
      <c r="F16510" s="92"/>
      <c r="G16510" s="85"/>
    </row>
    <row r="16511">
      <c r="A16511" s="84"/>
      <c r="B16511" s="85"/>
      <c r="C16511" s="85"/>
      <c r="F16511" s="92"/>
      <c r="G16511" s="85"/>
    </row>
    <row r="16512">
      <c r="A16512" s="84"/>
      <c r="B16512" s="85"/>
      <c r="C16512" s="85"/>
      <c r="F16512" s="92"/>
      <c r="G16512" s="85"/>
    </row>
    <row r="16513">
      <c r="A16513" s="84"/>
      <c r="B16513" s="85"/>
      <c r="C16513" s="85"/>
      <c r="F16513" s="92"/>
      <c r="G16513" s="85"/>
    </row>
    <row r="16514">
      <c r="A16514" s="84"/>
      <c r="B16514" s="85"/>
      <c r="C16514" s="85"/>
      <c r="F16514" s="92"/>
      <c r="G16514" s="85"/>
    </row>
    <row r="16515">
      <c r="A16515" s="84"/>
      <c r="B16515" s="85"/>
      <c r="C16515" s="85"/>
      <c r="F16515" s="92"/>
      <c r="G16515" s="85"/>
    </row>
    <row r="16516">
      <c r="A16516" s="84"/>
      <c r="B16516" s="85"/>
      <c r="C16516" s="85"/>
      <c r="F16516" s="92"/>
      <c r="G16516" s="85"/>
    </row>
    <row r="16517">
      <c r="A16517" s="84"/>
      <c r="B16517" s="85"/>
      <c r="C16517" s="85"/>
      <c r="F16517" s="92"/>
      <c r="G16517" s="85"/>
    </row>
    <row r="16518">
      <c r="A16518" s="84"/>
      <c r="B16518" s="85"/>
      <c r="C16518" s="85"/>
      <c r="F16518" s="92"/>
      <c r="G16518" s="85"/>
    </row>
    <row r="16519">
      <c r="A16519" s="84"/>
      <c r="B16519" s="85"/>
      <c r="C16519" s="85"/>
      <c r="F16519" s="92"/>
      <c r="G16519" s="85"/>
    </row>
    <row r="16520">
      <c r="A16520" s="84"/>
      <c r="B16520" s="85"/>
      <c r="C16520" s="85"/>
      <c r="F16520" s="92"/>
      <c r="G16520" s="85"/>
    </row>
    <row r="16521">
      <c r="A16521" s="84"/>
      <c r="B16521" s="85"/>
      <c r="C16521" s="85"/>
      <c r="F16521" s="92"/>
      <c r="G16521" s="85"/>
    </row>
    <row r="16522">
      <c r="A16522" s="84"/>
      <c r="B16522" s="85"/>
      <c r="C16522" s="85"/>
      <c r="F16522" s="92"/>
      <c r="G16522" s="85"/>
    </row>
    <row r="16523">
      <c r="A16523" s="84"/>
      <c r="B16523" s="85"/>
      <c r="C16523" s="85"/>
      <c r="F16523" s="92"/>
      <c r="G16523" s="85"/>
    </row>
    <row r="16524">
      <c r="A16524" s="84"/>
      <c r="B16524" s="85"/>
      <c r="C16524" s="85"/>
      <c r="F16524" s="92"/>
      <c r="G16524" s="85"/>
    </row>
    <row r="16525">
      <c r="A16525" s="84"/>
      <c r="B16525" s="85"/>
      <c r="C16525" s="85"/>
      <c r="F16525" s="92"/>
      <c r="G16525" s="85"/>
    </row>
    <row r="16526">
      <c r="A16526" s="84"/>
      <c r="B16526" s="85"/>
      <c r="C16526" s="85"/>
      <c r="F16526" s="92"/>
      <c r="G16526" s="85"/>
    </row>
    <row r="16527">
      <c r="A16527" s="84"/>
      <c r="B16527" s="85"/>
      <c r="C16527" s="85"/>
      <c r="F16527" s="92"/>
      <c r="G16527" s="85"/>
    </row>
    <row r="16528">
      <c r="A16528" s="84"/>
      <c r="B16528" s="85"/>
      <c r="C16528" s="85"/>
      <c r="F16528" s="92"/>
      <c r="G16528" s="85"/>
    </row>
    <row r="16529">
      <c r="A16529" s="84"/>
      <c r="B16529" s="85"/>
      <c r="C16529" s="85"/>
      <c r="F16529" s="92"/>
      <c r="G16529" s="85"/>
    </row>
    <row r="16530">
      <c r="A16530" s="84"/>
      <c r="B16530" s="85"/>
      <c r="C16530" s="85"/>
      <c r="F16530" s="92"/>
      <c r="G16530" s="85"/>
    </row>
    <row r="16531">
      <c r="A16531" s="84"/>
      <c r="B16531" s="85"/>
      <c r="C16531" s="85"/>
      <c r="F16531" s="92"/>
      <c r="G16531" s="85"/>
    </row>
    <row r="16532">
      <c r="A16532" s="84"/>
      <c r="B16532" s="85"/>
      <c r="C16532" s="85"/>
      <c r="F16532" s="92"/>
      <c r="G16532" s="85"/>
    </row>
    <row r="16533">
      <c r="A16533" s="84"/>
      <c r="B16533" s="85"/>
      <c r="C16533" s="85"/>
      <c r="F16533" s="92"/>
      <c r="G16533" s="85"/>
    </row>
    <row r="16534">
      <c r="A16534" s="84"/>
      <c r="B16534" s="85"/>
      <c r="C16534" s="85"/>
      <c r="F16534" s="92"/>
      <c r="G16534" s="85"/>
    </row>
    <row r="16535">
      <c r="A16535" s="84"/>
      <c r="B16535" s="85"/>
      <c r="C16535" s="85"/>
      <c r="F16535" s="92"/>
      <c r="G16535" s="85"/>
    </row>
    <row r="16536">
      <c r="A16536" s="84"/>
      <c r="B16536" s="85"/>
      <c r="C16536" s="85"/>
      <c r="F16536" s="92"/>
      <c r="G16536" s="85"/>
    </row>
    <row r="16537">
      <c r="A16537" s="84"/>
      <c r="B16537" s="85"/>
      <c r="C16537" s="85"/>
      <c r="F16537" s="92"/>
      <c r="G16537" s="85"/>
    </row>
    <row r="16538">
      <c r="A16538" s="84"/>
      <c r="B16538" s="85"/>
      <c r="C16538" s="85"/>
      <c r="F16538" s="92"/>
      <c r="G16538" s="85"/>
    </row>
    <row r="16539">
      <c r="A16539" s="84"/>
      <c r="B16539" s="85"/>
      <c r="C16539" s="85"/>
      <c r="F16539" s="92"/>
      <c r="G16539" s="85"/>
    </row>
    <row r="16540">
      <c r="A16540" s="84"/>
      <c r="B16540" s="85"/>
      <c r="C16540" s="85"/>
      <c r="F16540" s="92"/>
      <c r="G16540" s="85"/>
    </row>
    <row r="16541">
      <c r="A16541" s="84"/>
      <c r="B16541" s="85"/>
      <c r="C16541" s="85"/>
      <c r="F16541" s="92"/>
      <c r="G16541" s="85"/>
    </row>
    <row r="16542">
      <c r="A16542" s="84"/>
      <c r="B16542" s="85"/>
      <c r="C16542" s="85"/>
      <c r="F16542" s="92"/>
      <c r="G16542" s="85"/>
    </row>
    <row r="16543">
      <c r="A16543" s="84"/>
      <c r="B16543" s="85"/>
      <c r="C16543" s="85"/>
      <c r="F16543" s="92"/>
      <c r="G16543" s="85"/>
    </row>
    <row r="16544">
      <c r="A16544" s="84"/>
      <c r="B16544" s="85"/>
      <c r="C16544" s="85"/>
      <c r="F16544" s="92"/>
      <c r="G16544" s="85"/>
    </row>
    <row r="16545">
      <c r="A16545" s="84"/>
      <c r="B16545" s="85"/>
      <c r="C16545" s="85"/>
      <c r="F16545" s="92"/>
      <c r="G16545" s="85"/>
    </row>
    <row r="16546">
      <c r="A16546" s="84"/>
      <c r="B16546" s="85"/>
      <c r="C16546" s="85"/>
      <c r="F16546" s="92"/>
      <c r="G16546" s="85"/>
    </row>
    <row r="16547">
      <c r="A16547" s="84"/>
      <c r="B16547" s="85"/>
      <c r="C16547" s="85"/>
      <c r="F16547" s="92"/>
      <c r="G16547" s="85"/>
    </row>
    <row r="16548">
      <c r="A16548" s="84"/>
      <c r="B16548" s="85"/>
      <c r="C16548" s="85"/>
      <c r="F16548" s="92"/>
      <c r="G16548" s="85"/>
    </row>
    <row r="16549">
      <c r="A16549" s="84"/>
      <c r="B16549" s="85"/>
      <c r="C16549" s="85"/>
      <c r="F16549" s="92"/>
      <c r="G16549" s="85"/>
    </row>
    <row r="16550">
      <c r="A16550" s="84"/>
      <c r="B16550" s="85"/>
      <c r="C16550" s="85"/>
      <c r="F16550" s="92"/>
      <c r="G16550" s="85"/>
    </row>
    <row r="16551">
      <c r="A16551" s="84"/>
      <c r="B16551" s="85"/>
      <c r="C16551" s="85"/>
      <c r="F16551" s="92"/>
      <c r="G16551" s="85"/>
    </row>
    <row r="16552">
      <c r="A16552" s="84"/>
      <c r="B16552" s="85"/>
      <c r="C16552" s="85"/>
      <c r="F16552" s="92"/>
      <c r="G16552" s="85"/>
    </row>
    <row r="16553">
      <c r="A16553" s="84"/>
      <c r="B16553" s="85"/>
      <c r="C16553" s="85"/>
      <c r="F16553" s="92"/>
      <c r="G16553" s="85"/>
    </row>
    <row r="16554">
      <c r="A16554" s="84"/>
      <c r="B16554" s="85"/>
      <c r="C16554" s="85"/>
      <c r="F16554" s="92"/>
      <c r="G16554" s="85"/>
    </row>
    <row r="16555">
      <c r="A16555" s="84"/>
      <c r="B16555" s="85"/>
      <c r="C16555" s="85"/>
      <c r="F16555" s="92"/>
      <c r="G16555" s="85"/>
    </row>
    <row r="16556">
      <c r="A16556" s="84"/>
      <c r="B16556" s="85"/>
      <c r="C16556" s="85"/>
      <c r="F16556" s="92"/>
      <c r="G16556" s="85"/>
    </row>
    <row r="16557">
      <c r="A16557" s="84"/>
      <c r="B16557" s="85"/>
      <c r="C16557" s="85"/>
      <c r="F16557" s="92"/>
      <c r="G16557" s="85"/>
    </row>
    <row r="16558">
      <c r="A16558" s="84"/>
      <c r="B16558" s="85"/>
      <c r="C16558" s="85"/>
      <c r="F16558" s="92"/>
      <c r="G16558" s="85"/>
    </row>
    <row r="16559">
      <c r="A16559" s="84"/>
      <c r="B16559" s="85"/>
      <c r="C16559" s="85"/>
      <c r="F16559" s="92"/>
      <c r="G16559" s="85"/>
    </row>
    <row r="16560">
      <c r="A16560" s="84"/>
      <c r="B16560" s="85"/>
      <c r="C16560" s="85"/>
      <c r="F16560" s="92"/>
      <c r="G16560" s="85"/>
    </row>
    <row r="16561">
      <c r="A16561" s="84"/>
      <c r="B16561" s="85"/>
      <c r="C16561" s="85"/>
      <c r="F16561" s="92"/>
      <c r="G16561" s="85"/>
    </row>
    <row r="16562">
      <c r="A16562" s="84"/>
      <c r="B16562" s="85"/>
      <c r="C16562" s="85"/>
      <c r="F16562" s="92"/>
      <c r="G16562" s="85"/>
    </row>
    <row r="16563">
      <c r="A16563" s="84"/>
      <c r="B16563" s="85"/>
      <c r="C16563" s="85"/>
      <c r="F16563" s="92"/>
      <c r="G16563" s="85"/>
    </row>
    <row r="16564">
      <c r="A16564" s="84"/>
      <c r="B16564" s="85"/>
      <c r="C16564" s="85"/>
      <c r="F16564" s="92"/>
      <c r="G16564" s="85"/>
    </row>
    <row r="16565">
      <c r="A16565" s="84"/>
      <c r="B16565" s="85"/>
      <c r="C16565" s="85"/>
      <c r="F16565" s="92"/>
      <c r="G16565" s="85"/>
    </row>
    <row r="16566">
      <c r="A16566" s="84"/>
      <c r="B16566" s="85"/>
      <c r="C16566" s="85"/>
      <c r="F16566" s="92"/>
      <c r="G16566" s="85"/>
    </row>
    <row r="16567">
      <c r="A16567" s="84"/>
      <c r="B16567" s="85"/>
      <c r="C16567" s="85"/>
      <c r="F16567" s="92"/>
      <c r="G16567" s="85"/>
    </row>
    <row r="16568">
      <c r="A16568" s="84"/>
      <c r="B16568" s="85"/>
      <c r="C16568" s="85"/>
      <c r="F16568" s="92"/>
      <c r="G16568" s="85"/>
    </row>
    <row r="16569">
      <c r="A16569" s="84"/>
      <c r="B16569" s="85"/>
      <c r="C16569" s="85"/>
      <c r="F16569" s="92"/>
      <c r="G16569" s="85"/>
    </row>
    <row r="16570">
      <c r="A16570" s="84"/>
      <c r="B16570" s="85"/>
      <c r="C16570" s="85"/>
      <c r="F16570" s="92"/>
      <c r="G16570" s="85"/>
    </row>
    <row r="16571">
      <c r="A16571" s="84"/>
      <c r="B16571" s="85"/>
      <c r="C16571" s="85"/>
      <c r="F16571" s="92"/>
      <c r="G16571" s="85"/>
    </row>
    <row r="16572">
      <c r="A16572" s="84"/>
      <c r="B16572" s="85"/>
      <c r="C16572" s="85"/>
      <c r="F16572" s="92"/>
      <c r="G16572" s="85"/>
    </row>
    <row r="16573">
      <c r="A16573" s="84"/>
      <c r="B16573" s="85"/>
      <c r="C16573" s="85"/>
      <c r="F16573" s="92"/>
      <c r="G16573" s="85"/>
    </row>
    <row r="16574">
      <c r="A16574" s="84"/>
      <c r="B16574" s="85"/>
      <c r="C16574" s="85"/>
      <c r="F16574" s="92"/>
      <c r="G16574" s="85"/>
    </row>
    <row r="16575">
      <c r="A16575" s="84"/>
      <c r="B16575" s="85"/>
      <c r="C16575" s="85"/>
      <c r="F16575" s="92"/>
      <c r="G16575" s="85"/>
    </row>
    <row r="16576">
      <c r="A16576" s="84"/>
      <c r="B16576" s="85"/>
      <c r="C16576" s="85"/>
      <c r="F16576" s="92"/>
      <c r="G16576" s="85"/>
    </row>
    <row r="16577">
      <c r="A16577" s="84"/>
      <c r="B16577" s="85"/>
      <c r="C16577" s="85"/>
      <c r="F16577" s="92"/>
      <c r="G16577" s="85"/>
    </row>
    <row r="16578">
      <c r="A16578" s="84"/>
      <c r="B16578" s="85"/>
      <c r="C16578" s="85"/>
      <c r="F16578" s="92"/>
      <c r="G16578" s="85"/>
    </row>
    <row r="16579">
      <c r="A16579" s="84"/>
      <c r="B16579" s="85"/>
      <c r="C16579" s="85"/>
      <c r="F16579" s="92"/>
      <c r="G16579" s="85"/>
    </row>
    <row r="16580">
      <c r="A16580" s="84"/>
      <c r="B16580" s="85"/>
      <c r="C16580" s="85"/>
      <c r="F16580" s="92"/>
      <c r="G16580" s="85"/>
    </row>
    <row r="16581">
      <c r="A16581" s="84"/>
      <c r="B16581" s="85"/>
      <c r="C16581" s="85"/>
      <c r="F16581" s="92"/>
      <c r="G16581" s="85"/>
    </row>
    <row r="16582">
      <c r="A16582" s="84"/>
      <c r="B16582" s="85"/>
      <c r="C16582" s="85"/>
      <c r="F16582" s="92"/>
      <c r="G16582" s="85"/>
    </row>
    <row r="16583">
      <c r="A16583" s="84"/>
      <c r="B16583" s="85"/>
      <c r="C16583" s="85"/>
      <c r="F16583" s="92"/>
      <c r="G16583" s="85"/>
    </row>
    <row r="16584">
      <c r="A16584" s="84"/>
      <c r="B16584" s="85"/>
      <c r="C16584" s="85"/>
      <c r="F16584" s="92"/>
      <c r="G16584" s="85"/>
    </row>
    <row r="16585">
      <c r="A16585" s="84"/>
      <c r="B16585" s="85"/>
      <c r="C16585" s="85"/>
      <c r="F16585" s="92"/>
      <c r="G16585" s="85"/>
    </row>
    <row r="16586">
      <c r="A16586" s="84"/>
      <c r="B16586" s="85"/>
      <c r="C16586" s="85"/>
      <c r="F16586" s="92"/>
      <c r="G16586" s="85"/>
    </row>
    <row r="16587">
      <c r="A16587" s="84"/>
      <c r="B16587" s="85"/>
      <c r="C16587" s="85"/>
      <c r="F16587" s="92"/>
      <c r="G16587" s="85"/>
    </row>
    <row r="16588">
      <c r="A16588" s="84"/>
      <c r="B16588" s="85"/>
      <c r="C16588" s="85"/>
      <c r="F16588" s="92"/>
      <c r="G16588" s="85"/>
    </row>
    <row r="16589">
      <c r="A16589" s="84"/>
      <c r="B16589" s="85"/>
      <c r="C16589" s="85"/>
      <c r="F16589" s="92"/>
      <c r="G16589" s="85"/>
    </row>
    <row r="16590">
      <c r="A16590" s="84"/>
      <c r="B16590" s="85"/>
      <c r="C16590" s="85"/>
      <c r="F16590" s="92"/>
      <c r="G16590" s="85"/>
    </row>
    <row r="16591">
      <c r="A16591" s="84"/>
      <c r="B16591" s="85"/>
      <c r="C16591" s="85"/>
      <c r="F16591" s="92"/>
      <c r="G16591" s="85"/>
    </row>
    <row r="16592">
      <c r="A16592" s="84"/>
      <c r="B16592" s="85"/>
      <c r="C16592" s="85"/>
      <c r="F16592" s="92"/>
      <c r="G16592" s="85"/>
    </row>
    <row r="16593">
      <c r="A16593" s="84"/>
      <c r="B16593" s="85"/>
      <c r="C16593" s="85"/>
      <c r="F16593" s="92"/>
      <c r="G16593" s="85"/>
    </row>
    <row r="16594">
      <c r="A16594" s="84"/>
      <c r="B16594" s="85"/>
      <c r="C16594" s="85"/>
      <c r="F16594" s="92"/>
      <c r="G16594" s="85"/>
    </row>
    <row r="16595">
      <c r="A16595" s="84"/>
      <c r="B16595" s="85"/>
      <c r="C16595" s="85"/>
      <c r="F16595" s="92"/>
      <c r="G16595" s="85"/>
    </row>
    <row r="16596">
      <c r="A16596" s="84"/>
      <c r="B16596" s="85"/>
      <c r="C16596" s="85"/>
      <c r="F16596" s="92"/>
      <c r="G16596" s="85"/>
    </row>
    <row r="16597">
      <c r="A16597" s="84"/>
      <c r="B16597" s="85"/>
      <c r="C16597" s="85"/>
      <c r="F16597" s="92"/>
      <c r="G16597" s="85"/>
    </row>
    <row r="16598">
      <c r="A16598" s="84"/>
      <c r="B16598" s="85"/>
      <c r="C16598" s="85"/>
      <c r="F16598" s="92"/>
      <c r="G16598" s="85"/>
    </row>
    <row r="16599">
      <c r="A16599" s="84"/>
      <c r="B16599" s="85"/>
      <c r="C16599" s="85"/>
      <c r="F16599" s="92"/>
      <c r="G16599" s="85"/>
    </row>
    <row r="16600">
      <c r="A16600" s="84"/>
      <c r="B16600" s="85"/>
      <c r="C16600" s="85"/>
      <c r="F16600" s="92"/>
      <c r="G16600" s="85"/>
    </row>
    <row r="16601">
      <c r="A16601" s="84"/>
      <c r="B16601" s="85"/>
      <c r="C16601" s="85"/>
      <c r="F16601" s="92"/>
      <c r="G16601" s="85"/>
    </row>
    <row r="16602">
      <c r="A16602" s="84"/>
      <c r="B16602" s="85"/>
      <c r="C16602" s="85"/>
      <c r="F16602" s="92"/>
      <c r="G16602" s="85"/>
    </row>
    <row r="16603">
      <c r="A16603" s="84"/>
      <c r="B16603" s="85"/>
      <c r="C16603" s="85"/>
      <c r="F16603" s="92"/>
      <c r="G16603" s="85"/>
    </row>
    <row r="16604">
      <c r="A16604" s="84"/>
      <c r="B16604" s="85"/>
      <c r="C16604" s="85"/>
      <c r="F16604" s="92"/>
      <c r="G16604" s="85"/>
    </row>
    <row r="16605">
      <c r="A16605" s="84"/>
      <c r="B16605" s="85"/>
      <c r="C16605" s="85"/>
      <c r="F16605" s="92"/>
      <c r="G16605" s="85"/>
    </row>
    <row r="16606">
      <c r="A16606" s="84"/>
      <c r="B16606" s="85"/>
      <c r="C16606" s="85"/>
      <c r="F16606" s="92"/>
      <c r="G16606" s="85"/>
    </row>
    <row r="16607">
      <c r="A16607" s="84"/>
      <c r="B16607" s="85"/>
      <c r="C16607" s="85"/>
      <c r="F16607" s="92"/>
      <c r="G16607" s="85"/>
    </row>
    <row r="16608">
      <c r="A16608" s="84"/>
      <c r="B16608" s="85"/>
      <c r="C16608" s="85"/>
      <c r="F16608" s="92"/>
      <c r="G16608" s="85"/>
    </row>
    <row r="16609">
      <c r="A16609" s="84"/>
      <c r="B16609" s="85"/>
      <c r="C16609" s="85"/>
      <c r="F16609" s="92"/>
      <c r="G16609" s="85"/>
    </row>
    <row r="16610">
      <c r="A16610" s="84"/>
      <c r="B16610" s="85"/>
      <c r="C16610" s="85"/>
      <c r="F16610" s="92"/>
      <c r="G16610" s="85"/>
    </row>
    <row r="16611">
      <c r="A16611" s="84"/>
      <c r="B16611" s="85"/>
      <c r="C16611" s="85"/>
      <c r="F16611" s="92"/>
      <c r="G16611" s="85"/>
    </row>
    <row r="16612">
      <c r="A16612" s="84"/>
      <c r="B16612" s="85"/>
      <c r="C16612" s="85"/>
      <c r="F16612" s="92"/>
      <c r="G16612" s="85"/>
    </row>
    <row r="16613">
      <c r="A16613" s="84"/>
      <c r="B16613" s="85"/>
      <c r="C16613" s="85"/>
      <c r="F16613" s="92"/>
      <c r="G16613" s="85"/>
    </row>
    <row r="16614">
      <c r="A16614" s="84"/>
      <c r="B16614" s="85"/>
      <c r="C16614" s="85"/>
      <c r="F16614" s="92"/>
      <c r="G16614" s="85"/>
    </row>
    <row r="16615">
      <c r="A16615" s="84"/>
      <c r="B16615" s="85"/>
      <c r="C16615" s="85"/>
      <c r="F16615" s="92"/>
      <c r="G16615" s="85"/>
    </row>
    <row r="16616">
      <c r="A16616" s="84"/>
      <c r="B16616" s="85"/>
      <c r="C16616" s="85"/>
      <c r="F16616" s="92"/>
      <c r="G16616" s="85"/>
    </row>
    <row r="16617">
      <c r="A16617" s="84"/>
      <c r="B16617" s="85"/>
      <c r="C16617" s="85"/>
      <c r="F16617" s="92"/>
      <c r="G16617" s="85"/>
    </row>
    <row r="16618">
      <c r="A16618" s="84"/>
      <c r="B16618" s="85"/>
      <c r="C16618" s="85"/>
      <c r="F16618" s="92"/>
      <c r="G16618" s="85"/>
    </row>
    <row r="16619">
      <c r="A16619" s="84"/>
      <c r="B16619" s="85"/>
      <c r="C16619" s="85"/>
      <c r="F16619" s="92"/>
      <c r="G16619" s="85"/>
    </row>
    <row r="16620">
      <c r="A16620" s="84"/>
      <c r="B16620" s="85"/>
      <c r="C16620" s="85"/>
      <c r="F16620" s="92"/>
      <c r="G16620" s="85"/>
    </row>
    <row r="16621">
      <c r="A16621" s="84"/>
      <c r="B16621" s="85"/>
      <c r="C16621" s="85"/>
      <c r="F16621" s="92"/>
      <c r="G16621" s="85"/>
    </row>
    <row r="16622">
      <c r="A16622" s="84"/>
      <c r="B16622" s="85"/>
      <c r="C16622" s="85"/>
      <c r="F16622" s="92"/>
      <c r="G16622" s="85"/>
    </row>
    <row r="16623">
      <c r="A16623" s="84"/>
      <c r="B16623" s="85"/>
      <c r="C16623" s="85"/>
      <c r="F16623" s="92"/>
      <c r="G16623" s="85"/>
    </row>
    <row r="16624">
      <c r="A16624" s="84"/>
      <c r="B16624" s="85"/>
      <c r="C16624" s="85"/>
      <c r="F16624" s="92"/>
      <c r="G16624" s="85"/>
    </row>
    <row r="16625">
      <c r="A16625" s="84"/>
      <c r="B16625" s="85"/>
      <c r="C16625" s="85"/>
      <c r="F16625" s="92"/>
      <c r="G16625" s="85"/>
    </row>
    <row r="16626">
      <c r="A16626" s="84"/>
      <c r="B16626" s="85"/>
      <c r="C16626" s="85"/>
      <c r="F16626" s="92"/>
      <c r="G16626" s="85"/>
    </row>
    <row r="16627">
      <c r="A16627" s="84"/>
      <c r="B16627" s="85"/>
      <c r="C16627" s="85"/>
      <c r="F16627" s="92"/>
      <c r="G16627" s="85"/>
    </row>
    <row r="16628">
      <c r="A16628" s="84"/>
      <c r="B16628" s="85"/>
      <c r="C16628" s="85"/>
      <c r="F16628" s="92"/>
      <c r="G16628" s="85"/>
    </row>
    <row r="16629">
      <c r="A16629" s="84"/>
      <c r="B16629" s="85"/>
      <c r="C16629" s="85"/>
      <c r="F16629" s="92"/>
      <c r="G16629" s="85"/>
    </row>
    <row r="16630">
      <c r="A16630" s="84"/>
      <c r="B16630" s="85"/>
      <c r="C16630" s="85"/>
      <c r="F16630" s="92"/>
      <c r="G16630" s="85"/>
    </row>
    <row r="16631">
      <c r="A16631" s="84"/>
      <c r="B16631" s="85"/>
      <c r="C16631" s="85"/>
      <c r="F16631" s="92"/>
      <c r="G16631" s="85"/>
    </row>
    <row r="16632">
      <c r="A16632" s="84"/>
      <c r="B16632" s="85"/>
      <c r="C16632" s="85"/>
      <c r="F16632" s="92"/>
      <c r="G16632" s="85"/>
    </row>
    <row r="16633">
      <c r="A16633" s="84"/>
      <c r="B16633" s="85"/>
      <c r="C16633" s="85"/>
      <c r="F16633" s="92"/>
      <c r="G16633" s="85"/>
    </row>
    <row r="16634">
      <c r="A16634" s="84"/>
      <c r="B16634" s="85"/>
      <c r="C16634" s="85"/>
      <c r="F16634" s="92"/>
      <c r="G16634" s="85"/>
    </row>
    <row r="16635">
      <c r="A16635" s="84"/>
      <c r="B16635" s="85"/>
      <c r="C16635" s="85"/>
      <c r="F16635" s="92"/>
      <c r="G16635" s="85"/>
    </row>
    <row r="16636">
      <c r="A16636" s="84"/>
      <c r="B16636" s="85"/>
      <c r="C16636" s="85"/>
      <c r="F16636" s="92"/>
      <c r="G16636" s="85"/>
    </row>
    <row r="16637">
      <c r="A16637" s="84"/>
      <c r="B16637" s="85"/>
      <c r="C16637" s="85"/>
      <c r="F16637" s="92"/>
      <c r="G16637" s="85"/>
    </row>
    <row r="16638">
      <c r="A16638" s="84"/>
      <c r="B16638" s="85"/>
      <c r="C16638" s="85"/>
      <c r="F16638" s="92"/>
      <c r="G16638" s="85"/>
    </row>
    <row r="16639">
      <c r="A16639" s="84"/>
      <c r="B16639" s="85"/>
      <c r="C16639" s="85"/>
      <c r="F16639" s="92"/>
      <c r="G16639" s="85"/>
    </row>
    <row r="16640">
      <c r="A16640" s="84"/>
      <c r="B16640" s="85"/>
      <c r="C16640" s="85"/>
      <c r="F16640" s="92"/>
      <c r="G16640" s="85"/>
    </row>
    <row r="16641">
      <c r="A16641" s="84"/>
      <c r="B16641" s="85"/>
      <c r="C16641" s="85"/>
      <c r="F16641" s="92"/>
      <c r="G16641" s="85"/>
    </row>
    <row r="16642">
      <c r="A16642" s="84"/>
      <c r="B16642" s="85"/>
      <c r="C16642" s="85"/>
      <c r="F16642" s="92"/>
      <c r="G16642" s="85"/>
    </row>
    <row r="16643">
      <c r="A16643" s="84"/>
      <c r="B16643" s="85"/>
      <c r="C16643" s="85"/>
      <c r="F16643" s="92"/>
      <c r="G16643" s="85"/>
    </row>
    <row r="16644">
      <c r="A16644" s="84"/>
      <c r="B16644" s="85"/>
      <c r="C16644" s="85"/>
      <c r="F16644" s="92"/>
      <c r="G16644" s="85"/>
    </row>
    <row r="16645">
      <c r="A16645" s="84"/>
      <c r="B16645" s="85"/>
      <c r="C16645" s="85"/>
      <c r="F16645" s="92"/>
      <c r="G16645" s="85"/>
    </row>
    <row r="16646">
      <c r="A16646" s="84"/>
      <c r="B16646" s="85"/>
      <c r="C16646" s="85"/>
      <c r="F16646" s="92"/>
      <c r="G16646" s="85"/>
    </row>
    <row r="16647">
      <c r="A16647" s="84"/>
      <c r="B16647" s="85"/>
      <c r="C16647" s="85"/>
      <c r="F16647" s="92"/>
      <c r="G16647" s="85"/>
    </row>
    <row r="16648">
      <c r="A16648" s="84"/>
      <c r="B16648" s="85"/>
      <c r="C16648" s="85"/>
      <c r="F16648" s="92"/>
      <c r="G16648" s="85"/>
    </row>
    <row r="16649">
      <c r="A16649" s="84"/>
      <c r="B16649" s="85"/>
      <c r="C16649" s="85"/>
      <c r="F16649" s="92"/>
      <c r="G16649" s="85"/>
    </row>
    <row r="16650">
      <c r="A16650" s="84"/>
      <c r="B16650" s="85"/>
      <c r="C16650" s="85"/>
      <c r="F16650" s="92"/>
      <c r="G16650" s="85"/>
    </row>
    <row r="16651">
      <c r="A16651" s="84"/>
      <c r="B16651" s="85"/>
      <c r="C16651" s="85"/>
      <c r="F16651" s="92"/>
      <c r="G16651" s="85"/>
    </row>
    <row r="16652">
      <c r="A16652" s="84"/>
      <c r="B16652" s="85"/>
      <c r="C16652" s="85"/>
      <c r="F16652" s="92"/>
      <c r="G16652" s="85"/>
    </row>
    <row r="16653">
      <c r="A16653" s="84"/>
      <c r="B16653" s="85"/>
      <c r="C16653" s="85"/>
      <c r="F16653" s="92"/>
      <c r="G16653" s="85"/>
    </row>
    <row r="16654">
      <c r="A16654" s="84"/>
      <c r="B16654" s="85"/>
      <c r="C16654" s="85"/>
      <c r="F16654" s="92"/>
      <c r="G16654" s="85"/>
    </row>
    <row r="16655">
      <c r="A16655" s="84"/>
      <c r="B16655" s="85"/>
      <c r="C16655" s="85"/>
      <c r="F16655" s="92"/>
      <c r="G16655" s="85"/>
    </row>
    <row r="16656">
      <c r="A16656" s="84"/>
      <c r="B16656" s="85"/>
      <c r="C16656" s="85"/>
      <c r="F16656" s="92"/>
      <c r="G16656" s="85"/>
    </row>
    <row r="16657">
      <c r="A16657" s="84"/>
      <c r="B16657" s="85"/>
      <c r="C16657" s="85"/>
      <c r="F16657" s="92"/>
      <c r="G16657" s="85"/>
    </row>
    <row r="16658">
      <c r="A16658" s="84"/>
      <c r="B16658" s="85"/>
      <c r="C16658" s="85"/>
      <c r="F16658" s="92"/>
      <c r="G16658" s="85"/>
    </row>
    <row r="16659">
      <c r="A16659" s="84"/>
      <c r="B16659" s="85"/>
      <c r="C16659" s="85"/>
      <c r="F16659" s="92"/>
      <c r="G16659" s="85"/>
    </row>
    <row r="16660">
      <c r="A16660" s="84"/>
      <c r="B16660" s="85"/>
      <c r="C16660" s="85"/>
      <c r="F16660" s="92"/>
      <c r="G16660" s="85"/>
    </row>
    <row r="16661">
      <c r="A16661" s="84"/>
      <c r="B16661" s="85"/>
      <c r="C16661" s="85"/>
      <c r="F16661" s="92"/>
      <c r="G16661" s="85"/>
    </row>
    <row r="16662">
      <c r="A16662" s="84"/>
      <c r="B16662" s="85"/>
      <c r="C16662" s="85"/>
      <c r="F16662" s="92"/>
      <c r="G16662" s="85"/>
    </row>
    <row r="16663">
      <c r="A16663" s="84"/>
      <c r="B16663" s="85"/>
      <c r="C16663" s="85"/>
      <c r="F16663" s="92"/>
      <c r="G16663" s="85"/>
    </row>
    <row r="16664">
      <c r="A16664" s="84"/>
      <c r="B16664" s="85"/>
      <c r="C16664" s="85"/>
      <c r="F16664" s="92"/>
      <c r="G16664" s="85"/>
    </row>
    <row r="16665">
      <c r="A16665" s="84"/>
      <c r="B16665" s="85"/>
      <c r="C16665" s="85"/>
      <c r="F16665" s="92"/>
      <c r="G16665" s="85"/>
    </row>
    <row r="16666">
      <c r="A16666" s="84"/>
      <c r="B16666" s="85"/>
      <c r="C16666" s="85"/>
      <c r="F16666" s="92"/>
      <c r="G16666" s="85"/>
    </row>
    <row r="16667">
      <c r="A16667" s="84"/>
      <c r="B16667" s="85"/>
      <c r="C16667" s="85"/>
      <c r="F16667" s="92"/>
      <c r="G16667" s="85"/>
    </row>
    <row r="16668">
      <c r="A16668" s="84"/>
      <c r="B16668" s="85"/>
      <c r="C16668" s="85"/>
      <c r="F16668" s="92"/>
      <c r="G16668" s="85"/>
    </row>
    <row r="16669">
      <c r="A16669" s="84"/>
      <c r="B16669" s="85"/>
      <c r="C16669" s="85"/>
      <c r="F16669" s="92"/>
      <c r="G16669" s="85"/>
    </row>
    <row r="16670">
      <c r="A16670" s="84"/>
      <c r="B16670" s="85"/>
      <c r="C16670" s="85"/>
      <c r="F16670" s="92"/>
      <c r="G16670" s="85"/>
    </row>
    <row r="16671">
      <c r="A16671" s="84"/>
      <c r="B16671" s="85"/>
      <c r="C16671" s="85"/>
      <c r="F16671" s="92"/>
      <c r="G16671" s="85"/>
    </row>
    <row r="16672">
      <c r="A16672" s="84"/>
      <c r="B16672" s="85"/>
      <c r="C16672" s="85"/>
      <c r="F16672" s="92"/>
      <c r="G16672" s="85"/>
    </row>
    <row r="16673">
      <c r="A16673" s="84"/>
      <c r="B16673" s="85"/>
      <c r="C16673" s="85"/>
      <c r="F16673" s="92"/>
      <c r="G16673" s="85"/>
    </row>
    <row r="16674">
      <c r="A16674" s="84"/>
      <c r="B16674" s="85"/>
      <c r="C16674" s="85"/>
      <c r="F16674" s="92"/>
      <c r="G16674" s="85"/>
    </row>
    <row r="16675">
      <c r="A16675" s="84"/>
      <c r="B16675" s="85"/>
      <c r="C16675" s="85"/>
      <c r="F16675" s="92"/>
      <c r="G16675" s="85"/>
    </row>
    <row r="16676">
      <c r="A16676" s="84"/>
      <c r="B16676" s="85"/>
      <c r="C16676" s="85"/>
      <c r="F16676" s="92"/>
      <c r="G16676" s="85"/>
    </row>
    <row r="16677">
      <c r="A16677" s="84"/>
      <c r="B16677" s="85"/>
      <c r="C16677" s="85"/>
      <c r="F16677" s="92"/>
      <c r="G16677" s="85"/>
    </row>
    <row r="16678">
      <c r="A16678" s="84"/>
      <c r="B16678" s="85"/>
      <c r="C16678" s="85"/>
      <c r="F16678" s="92"/>
      <c r="G16678" s="85"/>
    </row>
    <row r="16679">
      <c r="A16679" s="84"/>
      <c r="B16679" s="85"/>
      <c r="C16679" s="85"/>
      <c r="F16679" s="92"/>
      <c r="G16679" s="85"/>
    </row>
    <row r="16680">
      <c r="A16680" s="84"/>
      <c r="B16680" s="85"/>
      <c r="C16680" s="85"/>
      <c r="F16680" s="92"/>
      <c r="G16680" s="85"/>
    </row>
    <row r="16681">
      <c r="A16681" s="84"/>
      <c r="B16681" s="85"/>
      <c r="C16681" s="85"/>
      <c r="F16681" s="92"/>
      <c r="G16681" s="85"/>
    </row>
    <row r="16682">
      <c r="A16682" s="84"/>
      <c r="B16682" s="85"/>
      <c r="C16682" s="85"/>
      <c r="F16682" s="92"/>
      <c r="G16682" s="85"/>
    </row>
    <row r="16683">
      <c r="A16683" s="84"/>
      <c r="B16683" s="85"/>
      <c r="C16683" s="85"/>
      <c r="F16683" s="92"/>
      <c r="G16683" s="85"/>
    </row>
    <row r="16684">
      <c r="A16684" s="84"/>
      <c r="B16684" s="85"/>
      <c r="C16684" s="85"/>
      <c r="F16684" s="92"/>
      <c r="G16684" s="85"/>
    </row>
    <row r="16685">
      <c r="A16685" s="84"/>
      <c r="B16685" s="85"/>
      <c r="C16685" s="85"/>
      <c r="F16685" s="92"/>
      <c r="G16685" s="85"/>
    </row>
    <row r="16686">
      <c r="A16686" s="84"/>
      <c r="B16686" s="85"/>
      <c r="C16686" s="85"/>
      <c r="F16686" s="92"/>
      <c r="G16686" s="85"/>
    </row>
    <row r="16687">
      <c r="A16687" s="84"/>
      <c r="B16687" s="85"/>
      <c r="C16687" s="85"/>
      <c r="F16687" s="92"/>
      <c r="G16687" s="85"/>
    </row>
    <row r="16688">
      <c r="A16688" s="84"/>
      <c r="B16688" s="85"/>
      <c r="C16688" s="85"/>
      <c r="F16688" s="92"/>
      <c r="G16688" s="85"/>
    </row>
    <row r="16689">
      <c r="A16689" s="84"/>
      <c r="B16689" s="85"/>
      <c r="C16689" s="85"/>
      <c r="F16689" s="92"/>
      <c r="G16689" s="85"/>
    </row>
    <row r="16690">
      <c r="A16690" s="84"/>
      <c r="B16690" s="85"/>
      <c r="C16690" s="85"/>
      <c r="F16690" s="92"/>
      <c r="G16690" s="85"/>
    </row>
    <row r="16691">
      <c r="A16691" s="84"/>
      <c r="B16691" s="85"/>
      <c r="C16691" s="85"/>
      <c r="F16691" s="92"/>
      <c r="G16691" s="85"/>
    </row>
    <row r="16692">
      <c r="A16692" s="84"/>
      <c r="B16692" s="85"/>
      <c r="C16692" s="85"/>
      <c r="F16692" s="92"/>
      <c r="G16692" s="85"/>
    </row>
    <row r="16693">
      <c r="A16693" s="84"/>
      <c r="B16693" s="85"/>
      <c r="C16693" s="85"/>
      <c r="F16693" s="92"/>
      <c r="G16693" s="85"/>
    </row>
    <row r="16694">
      <c r="A16694" s="84"/>
      <c r="B16694" s="85"/>
      <c r="C16694" s="85"/>
      <c r="F16694" s="92"/>
      <c r="G16694" s="85"/>
    </row>
    <row r="16695">
      <c r="A16695" s="84"/>
      <c r="B16695" s="85"/>
      <c r="C16695" s="85"/>
      <c r="F16695" s="92"/>
      <c r="G16695" s="85"/>
    </row>
    <row r="16696">
      <c r="A16696" s="84"/>
      <c r="B16696" s="85"/>
      <c r="C16696" s="85"/>
      <c r="F16696" s="92"/>
      <c r="G16696" s="85"/>
    </row>
    <row r="16697">
      <c r="A16697" s="84"/>
      <c r="B16697" s="85"/>
      <c r="C16697" s="85"/>
      <c r="F16697" s="92"/>
      <c r="G16697" s="85"/>
    </row>
    <row r="16698">
      <c r="A16698" s="84"/>
      <c r="B16698" s="85"/>
      <c r="C16698" s="85"/>
      <c r="F16698" s="92"/>
      <c r="G16698" s="85"/>
    </row>
    <row r="16699">
      <c r="A16699" s="84"/>
      <c r="B16699" s="85"/>
      <c r="C16699" s="85"/>
      <c r="F16699" s="92"/>
      <c r="G16699" s="85"/>
    </row>
    <row r="16700">
      <c r="A16700" s="84"/>
      <c r="B16700" s="85"/>
      <c r="C16700" s="85"/>
      <c r="F16700" s="92"/>
      <c r="G16700" s="85"/>
    </row>
    <row r="16701">
      <c r="A16701" s="84"/>
      <c r="B16701" s="85"/>
      <c r="C16701" s="85"/>
      <c r="F16701" s="92"/>
      <c r="G16701" s="85"/>
    </row>
    <row r="16702">
      <c r="A16702" s="84"/>
      <c r="B16702" s="85"/>
      <c r="C16702" s="85"/>
      <c r="F16702" s="92"/>
      <c r="G16702" s="85"/>
    </row>
    <row r="16703">
      <c r="A16703" s="84"/>
      <c r="B16703" s="85"/>
      <c r="C16703" s="85"/>
      <c r="F16703" s="92"/>
      <c r="G16703" s="85"/>
    </row>
    <row r="16704">
      <c r="A16704" s="84"/>
      <c r="B16704" s="85"/>
      <c r="C16704" s="85"/>
      <c r="F16704" s="92"/>
      <c r="G16704" s="85"/>
    </row>
    <row r="16705">
      <c r="A16705" s="84"/>
      <c r="B16705" s="85"/>
      <c r="C16705" s="85"/>
      <c r="F16705" s="92"/>
      <c r="G16705" s="85"/>
    </row>
    <row r="16706">
      <c r="A16706" s="84"/>
      <c r="B16706" s="85"/>
      <c r="C16706" s="85"/>
      <c r="F16706" s="92"/>
      <c r="G16706" s="85"/>
    </row>
    <row r="16707">
      <c r="A16707" s="84"/>
      <c r="B16707" s="85"/>
      <c r="C16707" s="85"/>
      <c r="F16707" s="92"/>
      <c r="G16707" s="85"/>
    </row>
    <row r="16708">
      <c r="A16708" s="84"/>
      <c r="B16708" s="85"/>
      <c r="C16708" s="85"/>
      <c r="F16708" s="92"/>
      <c r="G16708" s="85"/>
    </row>
    <row r="16709">
      <c r="A16709" s="84"/>
      <c r="B16709" s="85"/>
      <c r="C16709" s="85"/>
      <c r="F16709" s="92"/>
      <c r="G16709" s="85"/>
    </row>
    <row r="16710">
      <c r="A16710" s="84"/>
      <c r="B16710" s="85"/>
      <c r="C16710" s="85"/>
      <c r="F16710" s="92"/>
      <c r="G16710" s="85"/>
    </row>
    <row r="16711">
      <c r="A16711" s="84"/>
      <c r="B16711" s="85"/>
      <c r="C16711" s="85"/>
      <c r="F16711" s="92"/>
      <c r="G16711" s="85"/>
    </row>
    <row r="16712">
      <c r="A16712" s="84"/>
      <c r="B16712" s="85"/>
      <c r="C16712" s="85"/>
      <c r="F16712" s="92"/>
      <c r="G16712" s="85"/>
    </row>
    <row r="16713">
      <c r="A16713" s="84"/>
      <c r="B16713" s="85"/>
      <c r="C16713" s="85"/>
      <c r="F16713" s="92"/>
      <c r="G16713" s="85"/>
    </row>
    <row r="16714">
      <c r="A16714" s="84"/>
      <c r="B16714" s="85"/>
      <c r="C16714" s="85"/>
      <c r="F16714" s="92"/>
      <c r="G16714" s="85"/>
    </row>
    <row r="16715">
      <c r="A16715" s="84"/>
      <c r="B16715" s="85"/>
      <c r="C16715" s="85"/>
      <c r="F16715" s="92"/>
      <c r="G16715" s="85"/>
    </row>
    <row r="16716">
      <c r="A16716" s="84"/>
      <c r="B16716" s="85"/>
      <c r="C16716" s="85"/>
      <c r="F16716" s="92"/>
      <c r="G16716" s="85"/>
    </row>
    <row r="16717">
      <c r="A16717" s="84"/>
      <c r="B16717" s="85"/>
      <c r="C16717" s="85"/>
      <c r="F16717" s="92"/>
      <c r="G16717" s="85"/>
    </row>
    <row r="16718">
      <c r="A16718" s="84"/>
      <c r="B16718" s="85"/>
      <c r="C16718" s="85"/>
      <c r="F16718" s="92"/>
      <c r="G16718" s="85"/>
    </row>
    <row r="16719">
      <c r="A16719" s="84"/>
      <c r="B16719" s="85"/>
      <c r="C16719" s="85"/>
      <c r="F16719" s="92"/>
      <c r="G16719" s="85"/>
    </row>
    <row r="16720">
      <c r="A16720" s="84"/>
      <c r="B16720" s="85"/>
      <c r="C16720" s="85"/>
      <c r="F16720" s="92"/>
      <c r="G16720" s="85"/>
    </row>
    <row r="16721">
      <c r="A16721" s="84"/>
      <c r="B16721" s="85"/>
      <c r="C16721" s="85"/>
      <c r="F16721" s="92"/>
      <c r="G16721" s="85"/>
    </row>
    <row r="16722">
      <c r="A16722" s="84"/>
      <c r="B16722" s="85"/>
      <c r="C16722" s="85"/>
      <c r="F16722" s="92"/>
      <c r="G16722" s="85"/>
    </row>
    <row r="16723">
      <c r="A16723" s="84"/>
      <c r="B16723" s="85"/>
      <c r="C16723" s="85"/>
      <c r="F16723" s="92"/>
      <c r="G16723" s="85"/>
    </row>
    <row r="16724">
      <c r="A16724" s="84"/>
      <c r="B16724" s="85"/>
      <c r="C16724" s="85"/>
      <c r="F16724" s="92"/>
      <c r="G16724" s="85"/>
    </row>
    <row r="16725">
      <c r="A16725" s="84"/>
      <c r="B16725" s="85"/>
      <c r="C16725" s="85"/>
      <c r="F16725" s="92"/>
      <c r="G16725" s="85"/>
    </row>
    <row r="16726">
      <c r="A16726" s="84"/>
      <c r="B16726" s="85"/>
      <c r="C16726" s="85"/>
      <c r="F16726" s="92"/>
      <c r="G16726" s="85"/>
    </row>
    <row r="16727">
      <c r="A16727" s="84"/>
      <c r="B16727" s="85"/>
      <c r="C16727" s="85"/>
      <c r="F16727" s="92"/>
      <c r="G16727" s="85"/>
    </row>
    <row r="16728">
      <c r="A16728" s="84"/>
      <c r="B16728" s="85"/>
      <c r="C16728" s="85"/>
      <c r="F16728" s="92"/>
      <c r="G16728" s="85"/>
    </row>
    <row r="16729">
      <c r="A16729" s="84"/>
      <c r="B16729" s="85"/>
      <c r="C16729" s="85"/>
      <c r="F16729" s="92"/>
      <c r="G16729" s="85"/>
    </row>
    <row r="16730">
      <c r="A16730" s="84"/>
      <c r="B16730" s="85"/>
      <c r="C16730" s="85"/>
      <c r="F16730" s="92"/>
      <c r="G16730" s="85"/>
    </row>
    <row r="16731">
      <c r="A16731" s="84"/>
      <c r="B16731" s="85"/>
      <c r="C16731" s="85"/>
      <c r="F16731" s="92"/>
      <c r="G16731" s="85"/>
    </row>
    <row r="16732">
      <c r="A16732" s="84"/>
      <c r="B16732" s="85"/>
      <c r="C16732" s="85"/>
      <c r="F16732" s="92"/>
      <c r="G16732" s="85"/>
    </row>
    <row r="16733">
      <c r="A16733" s="84"/>
      <c r="B16733" s="85"/>
      <c r="C16733" s="85"/>
      <c r="F16733" s="92"/>
      <c r="G16733" s="85"/>
    </row>
    <row r="16734">
      <c r="A16734" s="84"/>
      <c r="B16734" s="85"/>
      <c r="C16734" s="85"/>
      <c r="F16734" s="92"/>
      <c r="G16734" s="85"/>
    </row>
    <row r="16735">
      <c r="A16735" s="84"/>
      <c r="B16735" s="85"/>
      <c r="C16735" s="85"/>
      <c r="F16735" s="92"/>
      <c r="G16735" s="85"/>
    </row>
    <row r="16736">
      <c r="A16736" s="84"/>
      <c r="B16736" s="85"/>
      <c r="C16736" s="85"/>
      <c r="F16736" s="92"/>
      <c r="G16736" s="85"/>
    </row>
    <row r="16737">
      <c r="A16737" s="84"/>
      <c r="B16737" s="85"/>
      <c r="C16737" s="85"/>
      <c r="F16737" s="92"/>
      <c r="G16737" s="85"/>
    </row>
    <row r="16738">
      <c r="A16738" s="84"/>
      <c r="B16738" s="85"/>
      <c r="C16738" s="85"/>
      <c r="F16738" s="92"/>
      <c r="G16738" s="85"/>
    </row>
    <row r="16739">
      <c r="A16739" s="84"/>
      <c r="B16739" s="85"/>
      <c r="C16739" s="85"/>
      <c r="F16739" s="92"/>
      <c r="G16739" s="85"/>
    </row>
    <row r="16740">
      <c r="A16740" s="84"/>
      <c r="B16740" s="85"/>
      <c r="C16740" s="85"/>
      <c r="F16740" s="92"/>
      <c r="G16740" s="85"/>
    </row>
    <row r="16741">
      <c r="A16741" s="84"/>
      <c r="B16741" s="85"/>
      <c r="C16741" s="85"/>
      <c r="F16741" s="92"/>
      <c r="G16741" s="85"/>
    </row>
    <row r="16742">
      <c r="A16742" s="84"/>
      <c r="B16742" s="85"/>
      <c r="C16742" s="85"/>
      <c r="F16742" s="92"/>
      <c r="G16742" s="85"/>
    </row>
    <row r="16743">
      <c r="A16743" s="84"/>
      <c r="B16743" s="85"/>
      <c r="C16743" s="85"/>
      <c r="F16743" s="92"/>
      <c r="G16743" s="85"/>
    </row>
    <row r="16744">
      <c r="A16744" s="84"/>
      <c r="B16744" s="85"/>
      <c r="C16744" s="85"/>
      <c r="F16744" s="92"/>
      <c r="G16744" s="85"/>
    </row>
    <row r="16745">
      <c r="A16745" s="84"/>
      <c r="B16745" s="85"/>
      <c r="C16745" s="85"/>
      <c r="F16745" s="92"/>
      <c r="G16745" s="85"/>
    </row>
    <row r="16746">
      <c r="A16746" s="84"/>
      <c r="B16746" s="85"/>
      <c r="C16746" s="85"/>
      <c r="F16746" s="92"/>
      <c r="G16746" s="85"/>
    </row>
    <row r="16747">
      <c r="A16747" s="84"/>
      <c r="B16747" s="85"/>
      <c r="C16747" s="85"/>
      <c r="F16747" s="92"/>
      <c r="G16747" s="85"/>
    </row>
    <row r="16748">
      <c r="A16748" s="84"/>
      <c r="B16748" s="85"/>
      <c r="C16748" s="85"/>
      <c r="F16748" s="92"/>
      <c r="G16748" s="85"/>
    </row>
    <row r="16749">
      <c r="A16749" s="84"/>
      <c r="B16749" s="85"/>
      <c r="C16749" s="85"/>
      <c r="F16749" s="92"/>
      <c r="G16749" s="85"/>
    </row>
    <row r="16750">
      <c r="A16750" s="84"/>
      <c r="B16750" s="85"/>
      <c r="C16750" s="85"/>
      <c r="F16750" s="92"/>
      <c r="G16750" s="85"/>
    </row>
    <row r="16751">
      <c r="A16751" s="84"/>
      <c r="B16751" s="85"/>
      <c r="C16751" s="85"/>
      <c r="F16751" s="92"/>
      <c r="G16751" s="85"/>
    </row>
    <row r="16752">
      <c r="A16752" s="84"/>
      <c r="B16752" s="85"/>
      <c r="C16752" s="85"/>
      <c r="F16752" s="92"/>
      <c r="G16752" s="85"/>
    </row>
    <row r="16753">
      <c r="A16753" s="84"/>
      <c r="B16753" s="85"/>
      <c r="C16753" s="85"/>
      <c r="F16753" s="92"/>
      <c r="G16753" s="85"/>
    </row>
    <row r="16754">
      <c r="A16754" s="84"/>
      <c r="B16754" s="85"/>
      <c r="C16754" s="85"/>
      <c r="F16754" s="92"/>
      <c r="G16754" s="85"/>
    </row>
    <row r="16755">
      <c r="A16755" s="84"/>
      <c r="B16755" s="85"/>
      <c r="C16755" s="85"/>
      <c r="F16755" s="92"/>
      <c r="G16755" s="85"/>
    </row>
    <row r="16756">
      <c r="A16756" s="84"/>
      <c r="B16756" s="85"/>
      <c r="C16756" s="85"/>
      <c r="F16756" s="92"/>
      <c r="G16756" s="85"/>
    </row>
    <row r="16757">
      <c r="A16757" s="84"/>
      <c r="B16757" s="85"/>
      <c r="C16757" s="85"/>
      <c r="F16757" s="92"/>
      <c r="G16757" s="85"/>
    </row>
    <row r="16758">
      <c r="A16758" s="84"/>
      <c r="B16758" s="85"/>
      <c r="C16758" s="85"/>
      <c r="F16758" s="92"/>
      <c r="G16758" s="85"/>
    </row>
    <row r="16759">
      <c r="A16759" s="84"/>
      <c r="B16759" s="85"/>
      <c r="C16759" s="85"/>
      <c r="F16759" s="92"/>
      <c r="G16759" s="85"/>
    </row>
    <row r="16760">
      <c r="A16760" s="84"/>
      <c r="B16760" s="85"/>
      <c r="C16760" s="85"/>
      <c r="F16760" s="92"/>
      <c r="G16760" s="85"/>
    </row>
    <row r="16761">
      <c r="A16761" s="84"/>
      <c r="B16761" s="85"/>
      <c r="C16761" s="85"/>
      <c r="F16761" s="92"/>
      <c r="G16761" s="85"/>
    </row>
    <row r="16762">
      <c r="A16762" s="84"/>
      <c r="B16762" s="85"/>
      <c r="C16762" s="85"/>
      <c r="F16762" s="92"/>
      <c r="G16762" s="85"/>
    </row>
    <row r="16763">
      <c r="A16763" s="84"/>
      <c r="B16763" s="85"/>
      <c r="C16763" s="85"/>
      <c r="F16763" s="92"/>
      <c r="G16763" s="85"/>
    </row>
    <row r="16764">
      <c r="A16764" s="84"/>
      <c r="B16764" s="85"/>
      <c r="C16764" s="85"/>
      <c r="F16764" s="92"/>
      <c r="G16764" s="85"/>
    </row>
    <row r="16765">
      <c r="A16765" s="84"/>
      <c r="B16765" s="85"/>
      <c r="C16765" s="85"/>
      <c r="F16765" s="92"/>
      <c r="G16765" s="85"/>
    </row>
    <row r="16766">
      <c r="A16766" s="84"/>
      <c r="B16766" s="85"/>
      <c r="C16766" s="85"/>
      <c r="F16766" s="92"/>
      <c r="G16766" s="85"/>
    </row>
    <row r="16767">
      <c r="A16767" s="84"/>
      <c r="B16767" s="85"/>
      <c r="C16767" s="85"/>
      <c r="F16767" s="92"/>
      <c r="G16767" s="85"/>
    </row>
    <row r="16768">
      <c r="A16768" s="84"/>
      <c r="B16768" s="85"/>
      <c r="C16768" s="85"/>
      <c r="F16768" s="92"/>
      <c r="G16768" s="85"/>
    </row>
    <row r="16769">
      <c r="A16769" s="84"/>
      <c r="B16769" s="85"/>
      <c r="C16769" s="85"/>
      <c r="F16769" s="92"/>
      <c r="G16769" s="85"/>
    </row>
    <row r="16770">
      <c r="A16770" s="84"/>
      <c r="B16770" s="85"/>
      <c r="C16770" s="85"/>
      <c r="F16770" s="92"/>
      <c r="G16770" s="85"/>
    </row>
    <row r="16771">
      <c r="A16771" s="84"/>
      <c r="B16771" s="85"/>
      <c r="C16771" s="85"/>
      <c r="F16771" s="92"/>
      <c r="G16771" s="85"/>
    </row>
    <row r="16772">
      <c r="A16772" s="84"/>
      <c r="B16772" s="85"/>
      <c r="C16772" s="85"/>
      <c r="F16772" s="92"/>
      <c r="G16772" s="85"/>
    </row>
    <row r="16773">
      <c r="A16773" s="84"/>
      <c r="B16773" s="85"/>
      <c r="C16773" s="85"/>
      <c r="F16773" s="92"/>
      <c r="G16773" s="85"/>
    </row>
    <row r="16774">
      <c r="A16774" s="84"/>
      <c r="B16774" s="85"/>
      <c r="C16774" s="85"/>
      <c r="F16774" s="92"/>
      <c r="G16774" s="85"/>
    </row>
    <row r="16775">
      <c r="A16775" s="84"/>
      <c r="B16775" s="85"/>
      <c r="C16775" s="85"/>
      <c r="F16775" s="92"/>
      <c r="G16775" s="85"/>
    </row>
    <row r="16776">
      <c r="A16776" s="84"/>
      <c r="B16776" s="85"/>
      <c r="C16776" s="85"/>
      <c r="F16776" s="92"/>
      <c r="G16776" s="85"/>
    </row>
    <row r="16777">
      <c r="A16777" s="84"/>
      <c r="B16777" s="85"/>
      <c r="C16777" s="85"/>
      <c r="F16777" s="92"/>
      <c r="G16777" s="85"/>
    </row>
    <row r="16778">
      <c r="A16778" s="84"/>
      <c r="B16778" s="85"/>
      <c r="C16778" s="85"/>
      <c r="F16778" s="92"/>
      <c r="G16778" s="85"/>
    </row>
    <row r="16779">
      <c r="A16779" s="84"/>
      <c r="B16779" s="85"/>
      <c r="C16779" s="85"/>
      <c r="F16779" s="92"/>
      <c r="G16779" s="85"/>
    </row>
    <row r="16780">
      <c r="A16780" s="84"/>
      <c r="B16780" s="85"/>
      <c r="C16780" s="85"/>
      <c r="F16780" s="92"/>
      <c r="G16780" s="85"/>
    </row>
    <row r="16781">
      <c r="A16781" s="84"/>
      <c r="B16781" s="85"/>
      <c r="C16781" s="85"/>
      <c r="F16781" s="92"/>
      <c r="G16781" s="85"/>
    </row>
    <row r="16782">
      <c r="A16782" s="84"/>
      <c r="B16782" s="85"/>
      <c r="C16782" s="85"/>
      <c r="F16782" s="92"/>
      <c r="G16782" s="85"/>
    </row>
    <row r="16783">
      <c r="A16783" s="84"/>
      <c r="B16783" s="85"/>
      <c r="C16783" s="85"/>
      <c r="F16783" s="92"/>
      <c r="G16783" s="85"/>
    </row>
    <row r="16784">
      <c r="A16784" s="84"/>
      <c r="B16784" s="85"/>
      <c r="C16784" s="85"/>
      <c r="F16784" s="92"/>
      <c r="G16784" s="85"/>
    </row>
    <row r="16785">
      <c r="A16785" s="84"/>
      <c r="B16785" s="85"/>
      <c r="C16785" s="85"/>
      <c r="F16785" s="92"/>
      <c r="G16785" s="85"/>
    </row>
    <row r="16786">
      <c r="A16786" s="84"/>
      <c r="B16786" s="85"/>
      <c r="C16786" s="85"/>
      <c r="F16786" s="92"/>
      <c r="G16786" s="85"/>
    </row>
    <row r="16787">
      <c r="A16787" s="84"/>
      <c r="B16787" s="85"/>
      <c r="C16787" s="85"/>
      <c r="F16787" s="92"/>
      <c r="G16787" s="85"/>
    </row>
    <row r="16788">
      <c r="A16788" s="84"/>
      <c r="B16788" s="85"/>
      <c r="C16788" s="85"/>
      <c r="F16788" s="92"/>
      <c r="G16788" s="85"/>
    </row>
    <row r="16789">
      <c r="A16789" s="84"/>
      <c r="B16789" s="85"/>
      <c r="C16789" s="85"/>
      <c r="F16789" s="92"/>
      <c r="G16789" s="85"/>
    </row>
    <row r="16790">
      <c r="A16790" s="84"/>
      <c r="B16790" s="85"/>
      <c r="C16790" s="85"/>
      <c r="F16790" s="92"/>
      <c r="G16790" s="85"/>
    </row>
    <row r="16791">
      <c r="A16791" s="84"/>
      <c r="B16791" s="85"/>
      <c r="C16791" s="85"/>
      <c r="F16791" s="92"/>
      <c r="G16791" s="85"/>
    </row>
    <row r="16792">
      <c r="A16792" s="84"/>
      <c r="B16792" s="85"/>
      <c r="C16792" s="85"/>
      <c r="F16792" s="92"/>
      <c r="G16792" s="85"/>
    </row>
    <row r="16793">
      <c r="A16793" s="84"/>
      <c r="B16793" s="85"/>
      <c r="C16793" s="85"/>
      <c r="F16793" s="92"/>
      <c r="G16793" s="85"/>
    </row>
    <row r="16794">
      <c r="A16794" s="84"/>
      <c r="B16794" s="85"/>
      <c r="C16794" s="85"/>
      <c r="F16794" s="92"/>
      <c r="G16794" s="85"/>
    </row>
    <row r="16795">
      <c r="A16795" s="84"/>
      <c r="B16795" s="85"/>
      <c r="C16795" s="85"/>
      <c r="F16795" s="92"/>
      <c r="G16795" s="85"/>
    </row>
    <row r="16796">
      <c r="A16796" s="84"/>
      <c r="B16796" s="85"/>
      <c r="C16796" s="85"/>
      <c r="F16796" s="92"/>
      <c r="G16796" s="85"/>
    </row>
    <row r="16797">
      <c r="A16797" s="84"/>
      <c r="B16797" s="85"/>
      <c r="C16797" s="85"/>
      <c r="F16797" s="92"/>
      <c r="G16797" s="85"/>
    </row>
    <row r="16798">
      <c r="A16798" s="84"/>
      <c r="B16798" s="85"/>
      <c r="C16798" s="85"/>
      <c r="F16798" s="92"/>
      <c r="G16798" s="85"/>
    </row>
    <row r="16799">
      <c r="A16799" s="84"/>
      <c r="B16799" s="85"/>
      <c r="C16799" s="85"/>
      <c r="F16799" s="92"/>
      <c r="G16799" s="85"/>
    </row>
    <row r="16800">
      <c r="A16800" s="84"/>
      <c r="B16800" s="85"/>
      <c r="C16800" s="85"/>
      <c r="F16800" s="92"/>
      <c r="G16800" s="85"/>
    </row>
    <row r="16801">
      <c r="A16801" s="84"/>
      <c r="B16801" s="85"/>
      <c r="C16801" s="85"/>
      <c r="F16801" s="92"/>
      <c r="G16801" s="85"/>
    </row>
    <row r="16802">
      <c r="A16802" s="84"/>
      <c r="B16802" s="85"/>
      <c r="C16802" s="85"/>
      <c r="F16802" s="92"/>
      <c r="G16802" s="85"/>
    </row>
    <row r="16803">
      <c r="A16803" s="84"/>
      <c r="B16803" s="85"/>
      <c r="C16803" s="85"/>
      <c r="F16803" s="92"/>
      <c r="G16803" s="85"/>
    </row>
    <row r="16804">
      <c r="A16804" s="84"/>
      <c r="B16804" s="85"/>
      <c r="C16804" s="85"/>
      <c r="F16804" s="92"/>
      <c r="G16804" s="85"/>
    </row>
    <row r="16805">
      <c r="A16805" s="84"/>
      <c r="B16805" s="85"/>
      <c r="C16805" s="85"/>
      <c r="F16805" s="92"/>
      <c r="G16805" s="85"/>
    </row>
    <row r="16806">
      <c r="A16806" s="84"/>
      <c r="B16806" s="85"/>
      <c r="C16806" s="85"/>
      <c r="F16806" s="92"/>
      <c r="G16806" s="85"/>
    </row>
    <row r="16807">
      <c r="A16807" s="84"/>
      <c r="B16807" s="85"/>
      <c r="C16807" s="85"/>
      <c r="F16807" s="92"/>
      <c r="G16807" s="85"/>
    </row>
    <row r="16808">
      <c r="A16808" s="84"/>
      <c r="B16808" s="85"/>
      <c r="C16808" s="85"/>
      <c r="F16808" s="92"/>
      <c r="G16808" s="85"/>
    </row>
    <row r="16809">
      <c r="A16809" s="84"/>
      <c r="B16809" s="85"/>
      <c r="C16809" s="85"/>
      <c r="F16809" s="92"/>
      <c r="G16809" s="85"/>
    </row>
    <row r="16810">
      <c r="A16810" s="84"/>
      <c r="B16810" s="85"/>
      <c r="C16810" s="85"/>
      <c r="F16810" s="92"/>
      <c r="G16810" s="85"/>
    </row>
    <row r="16811">
      <c r="A16811" s="84"/>
      <c r="B16811" s="85"/>
      <c r="C16811" s="85"/>
      <c r="F16811" s="92"/>
      <c r="G16811" s="85"/>
    </row>
    <row r="16812">
      <c r="A16812" s="84"/>
      <c r="B16812" s="85"/>
      <c r="C16812" s="85"/>
      <c r="F16812" s="92"/>
      <c r="G16812" s="85"/>
    </row>
    <row r="16813">
      <c r="A16813" s="84"/>
      <c r="B16813" s="85"/>
      <c r="C16813" s="85"/>
      <c r="F16813" s="92"/>
      <c r="G16813" s="85"/>
    </row>
    <row r="16814">
      <c r="A16814" s="84"/>
      <c r="B16814" s="85"/>
      <c r="C16814" s="85"/>
      <c r="F16814" s="92"/>
      <c r="G16814" s="85"/>
    </row>
    <row r="16815">
      <c r="A16815" s="84"/>
      <c r="B16815" s="85"/>
      <c r="C16815" s="85"/>
      <c r="F16815" s="92"/>
      <c r="G16815" s="85"/>
    </row>
    <row r="16816">
      <c r="A16816" s="84"/>
      <c r="B16816" s="85"/>
      <c r="C16816" s="85"/>
      <c r="F16816" s="92"/>
      <c r="G16816" s="85"/>
    </row>
    <row r="16817">
      <c r="A16817" s="84"/>
      <c r="B16817" s="85"/>
      <c r="C16817" s="85"/>
      <c r="F16817" s="92"/>
      <c r="G16817" s="85"/>
    </row>
    <row r="16818">
      <c r="A16818" s="84"/>
      <c r="B16818" s="85"/>
      <c r="C16818" s="85"/>
      <c r="F16818" s="92"/>
      <c r="G16818" s="85"/>
    </row>
    <row r="16819">
      <c r="A16819" s="84"/>
      <c r="B16819" s="85"/>
      <c r="C16819" s="85"/>
      <c r="F16819" s="92"/>
      <c r="G16819" s="85"/>
    </row>
    <row r="16820">
      <c r="A16820" s="84"/>
      <c r="B16820" s="85"/>
      <c r="C16820" s="85"/>
      <c r="F16820" s="92"/>
      <c r="G16820" s="85"/>
    </row>
    <row r="16821">
      <c r="A16821" s="84"/>
      <c r="B16821" s="85"/>
      <c r="C16821" s="85"/>
      <c r="F16821" s="92"/>
      <c r="G16821" s="85"/>
    </row>
    <row r="16822">
      <c r="A16822" s="84"/>
      <c r="B16822" s="85"/>
      <c r="C16822" s="85"/>
      <c r="F16822" s="92"/>
      <c r="G16822" s="85"/>
    </row>
    <row r="16823">
      <c r="A16823" s="84"/>
      <c r="B16823" s="85"/>
      <c r="C16823" s="85"/>
      <c r="F16823" s="92"/>
      <c r="G16823" s="85"/>
    </row>
    <row r="16824">
      <c r="A16824" s="84"/>
      <c r="B16824" s="85"/>
      <c r="C16824" s="85"/>
      <c r="F16824" s="92"/>
      <c r="G16824" s="85"/>
    </row>
    <row r="16825">
      <c r="A16825" s="84"/>
      <c r="B16825" s="85"/>
      <c r="C16825" s="85"/>
      <c r="F16825" s="92"/>
      <c r="G16825" s="85"/>
    </row>
    <row r="16826">
      <c r="A16826" s="84"/>
      <c r="B16826" s="85"/>
      <c r="C16826" s="85"/>
      <c r="F16826" s="92"/>
      <c r="G16826" s="85"/>
    </row>
    <row r="16827">
      <c r="A16827" s="84"/>
      <c r="B16827" s="85"/>
      <c r="C16827" s="85"/>
      <c r="F16827" s="92"/>
      <c r="G16827" s="85"/>
    </row>
    <row r="16828">
      <c r="A16828" s="84"/>
      <c r="B16828" s="85"/>
      <c r="C16828" s="85"/>
      <c r="F16828" s="92"/>
      <c r="G16828" s="85"/>
    </row>
    <row r="16829">
      <c r="A16829" s="84"/>
      <c r="B16829" s="85"/>
      <c r="C16829" s="85"/>
      <c r="F16829" s="92"/>
      <c r="G16829" s="85"/>
    </row>
    <row r="16830">
      <c r="A16830" s="84"/>
      <c r="B16830" s="85"/>
      <c r="C16830" s="85"/>
      <c r="F16830" s="92"/>
      <c r="G16830" s="85"/>
    </row>
    <row r="16831">
      <c r="A16831" s="84"/>
      <c r="B16831" s="85"/>
      <c r="C16831" s="85"/>
      <c r="F16831" s="92"/>
      <c r="G16831" s="85"/>
    </row>
    <row r="16832">
      <c r="A16832" s="84"/>
      <c r="B16832" s="85"/>
      <c r="C16832" s="85"/>
      <c r="F16832" s="92"/>
      <c r="G16832" s="85"/>
    </row>
    <row r="16833">
      <c r="A16833" s="84"/>
      <c r="B16833" s="85"/>
      <c r="C16833" s="85"/>
      <c r="F16833" s="92"/>
      <c r="G16833" s="85"/>
    </row>
    <row r="16834">
      <c r="A16834" s="84"/>
      <c r="B16834" s="85"/>
      <c r="C16834" s="85"/>
      <c r="F16834" s="92"/>
      <c r="G16834" s="85"/>
    </row>
    <row r="16835">
      <c r="A16835" s="84"/>
      <c r="B16835" s="85"/>
      <c r="C16835" s="85"/>
      <c r="F16835" s="92"/>
      <c r="G16835" s="85"/>
    </row>
    <row r="16836">
      <c r="A16836" s="84"/>
      <c r="B16836" s="85"/>
      <c r="C16836" s="85"/>
      <c r="F16836" s="92"/>
      <c r="G16836" s="85"/>
    </row>
    <row r="16837">
      <c r="A16837" s="84"/>
      <c r="B16837" s="85"/>
      <c r="C16837" s="85"/>
      <c r="F16837" s="92"/>
      <c r="G16837" s="85"/>
    </row>
    <row r="16838">
      <c r="A16838" s="84"/>
      <c r="B16838" s="85"/>
      <c r="C16838" s="85"/>
      <c r="F16838" s="92"/>
      <c r="G16838" s="85"/>
    </row>
    <row r="16839">
      <c r="A16839" s="84"/>
      <c r="B16839" s="85"/>
      <c r="C16839" s="85"/>
      <c r="F16839" s="92"/>
      <c r="G16839" s="85"/>
    </row>
    <row r="16840">
      <c r="A16840" s="84"/>
      <c r="B16840" s="85"/>
      <c r="C16840" s="85"/>
      <c r="F16840" s="92"/>
      <c r="G16840" s="85"/>
    </row>
    <row r="16841">
      <c r="A16841" s="84"/>
      <c r="B16841" s="85"/>
      <c r="C16841" s="85"/>
      <c r="F16841" s="92"/>
      <c r="G16841" s="85"/>
    </row>
    <row r="16842">
      <c r="A16842" s="84"/>
      <c r="B16842" s="85"/>
      <c r="C16842" s="85"/>
      <c r="F16842" s="92"/>
      <c r="G16842" s="85"/>
    </row>
    <row r="16843">
      <c r="A16843" s="84"/>
      <c r="B16843" s="85"/>
      <c r="C16843" s="85"/>
      <c r="F16843" s="92"/>
      <c r="G16843" s="85"/>
    </row>
    <row r="16844">
      <c r="A16844" s="84"/>
      <c r="B16844" s="85"/>
      <c r="C16844" s="85"/>
      <c r="F16844" s="92"/>
      <c r="G16844" s="85"/>
    </row>
    <row r="16845">
      <c r="A16845" s="84"/>
      <c r="B16845" s="85"/>
      <c r="C16845" s="85"/>
      <c r="F16845" s="92"/>
      <c r="G16845" s="85"/>
    </row>
    <row r="16846">
      <c r="A16846" s="84"/>
      <c r="B16846" s="85"/>
      <c r="C16846" s="85"/>
      <c r="F16846" s="92"/>
      <c r="G16846" s="85"/>
    </row>
    <row r="16847">
      <c r="A16847" s="84"/>
      <c r="B16847" s="85"/>
      <c r="C16847" s="85"/>
      <c r="F16847" s="92"/>
      <c r="G16847" s="85"/>
    </row>
    <row r="16848">
      <c r="A16848" s="84"/>
      <c r="B16848" s="85"/>
      <c r="C16848" s="85"/>
      <c r="F16848" s="92"/>
      <c r="G16848" s="85"/>
    </row>
    <row r="16849">
      <c r="A16849" s="84"/>
      <c r="B16849" s="85"/>
      <c r="C16849" s="85"/>
      <c r="F16849" s="92"/>
      <c r="G16849" s="85"/>
    </row>
    <row r="16850">
      <c r="A16850" s="84"/>
      <c r="B16850" s="85"/>
      <c r="C16850" s="85"/>
      <c r="F16850" s="92"/>
      <c r="G16850" s="85"/>
    </row>
    <row r="16851">
      <c r="A16851" s="84"/>
      <c r="B16851" s="85"/>
      <c r="C16851" s="85"/>
      <c r="F16851" s="92"/>
      <c r="G16851" s="85"/>
    </row>
    <row r="16852">
      <c r="A16852" s="84"/>
      <c r="B16852" s="85"/>
      <c r="C16852" s="85"/>
      <c r="F16852" s="92"/>
      <c r="G16852" s="85"/>
    </row>
    <row r="16853">
      <c r="A16853" s="84"/>
      <c r="B16853" s="85"/>
      <c r="C16853" s="85"/>
      <c r="F16853" s="92"/>
      <c r="G16853" s="85"/>
    </row>
    <row r="16854">
      <c r="A16854" s="84"/>
      <c r="B16854" s="85"/>
      <c r="C16854" s="85"/>
      <c r="F16854" s="92"/>
      <c r="G16854" s="85"/>
    </row>
    <row r="16855">
      <c r="A16855" s="84"/>
      <c r="B16855" s="85"/>
      <c r="C16855" s="85"/>
      <c r="F16855" s="92"/>
      <c r="G16855" s="85"/>
    </row>
    <row r="16856">
      <c r="A16856" s="84"/>
      <c r="B16856" s="85"/>
      <c r="C16856" s="85"/>
      <c r="F16856" s="92"/>
      <c r="G16856" s="85"/>
    </row>
    <row r="16857">
      <c r="A16857" s="84"/>
      <c r="B16857" s="85"/>
      <c r="C16857" s="85"/>
      <c r="F16857" s="92"/>
      <c r="G16857" s="85"/>
    </row>
    <row r="16858">
      <c r="A16858" s="84"/>
      <c r="B16858" s="85"/>
      <c r="C16858" s="85"/>
      <c r="F16858" s="92"/>
      <c r="G16858" s="85"/>
    </row>
    <row r="16859">
      <c r="A16859" s="84"/>
      <c r="B16859" s="85"/>
      <c r="C16859" s="85"/>
      <c r="F16859" s="92"/>
      <c r="G16859" s="85"/>
    </row>
    <row r="16860">
      <c r="A16860" s="84"/>
      <c r="B16860" s="85"/>
      <c r="C16860" s="85"/>
      <c r="F16860" s="92"/>
      <c r="G16860" s="85"/>
    </row>
    <row r="16861">
      <c r="A16861" s="84"/>
      <c r="B16861" s="85"/>
      <c r="C16861" s="85"/>
      <c r="F16861" s="92"/>
      <c r="G16861" s="85"/>
    </row>
    <row r="16862">
      <c r="A16862" s="84"/>
      <c r="B16862" s="85"/>
      <c r="C16862" s="85"/>
      <c r="F16862" s="92"/>
      <c r="G16862" s="85"/>
    </row>
    <row r="16863">
      <c r="A16863" s="84"/>
      <c r="B16863" s="85"/>
      <c r="C16863" s="85"/>
      <c r="F16863" s="92"/>
      <c r="G16863" s="85"/>
    </row>
    <row r="16864">
      <c r="A16864" s="84"/>
      <c r="B16864" s="85"/>
      <c r="C16864" s="85"/>
      <c r="F16864" s="92"/>
      <c r="G16864" s="85"/>
    </row>
    <row r="16865">
      <c r="A16865" s="84"/>
      <c r="B16865" s="85"/>
      <c r="C16865" s="85"/>
      <c r="F16865" s="92"/>
      <c r="G16865" s="85"/>
    </row>
    <row r="16866">
      <c r="A16866" s="84"/>
      <c r="B16866" s="85"/>
      <c r="C16866" s="85"/>
      <c r="F16866" s="92"/>
      <c r="G16866" s="85"/>
    </row>
    <row r="16867">
      <c r="A16867" s="84"/>
      <c r="B16867" s="85"/>
      <c r="C16867" s="85"/>
      <c r="F16867" s="92"/>
      <c r="G16867" s="85"/>
    </row>
    <row r="16868">
      <c r="A16868" s="84"/>
      <c r="B16868" s="85"/>
      <c r="C16868" s="85"/>
      <c r="F16868" s="92"/>
      <c r="G16868" s="85"/>
    </row>
    <row r="16869">
      <c r="A16869" s="84"/>
      <c r="B16869" s="85"/>
      <c r="C16869" s="85"/>
      <c r="F16869" s="92"/>
      <c r="G16869" s="85"/>
    </row>
    <row r="16870">
      <c r="A16870" s="84"/>
      <c r="B16870" s="85"/>
      <c r="C16870" s="85"/>
      <c r="F16870" s="92"/>
      <c r="G16870" s="85"/>
    </row>
    <row r="16871">
      <c r="A16871" s="84"/>
      <c r="B16871" s="85"/>
      <c r="C16871" s="85"/>
      <c r="F16871" s="92"/>
      <c r="G16871" s="85"/>
    </row>
    <row r="16872">
      <c r="A16872" s="84"/>
      <c r="B16872" s="85"/>
      <c r="C16872" s="85"/>
      <c r="F16872" s="92"/>
      <c r="G16872" s="85"/>
    </row>
    <row r="16873">
      <c r="A16873" s="84"/>
      <c r="B16873" s="85"/>
      <c r="C16873" s="85"/>
      <c r="F16873" s="92"/>
      <c r="G16873" s="85"/>
    </row>
    <row r="16874">
      <c r="A16874" s="84"/>
      <c r="B16874" s="85"/>
      <c r="C16874" s="85"/>
      <c r="F16874" s="92"/>
      <c r="G16874" s="85"/>
    </row>
    <row r="16875">
      <c r="A16875" s="84"/>
      <c r="B16875" s="85"/>
      <c r="C16875" s="85"/>
      <c r="F16875" s="92"/>
      <c r="G16875" s="85"/>
    </row>
    <row r="16876">
      <c r="A16876" s="84"/>
      <c r="B16876" s="85"/>
      <c r="C16876" s="85"/>
      <c r="F16876" s="92"/>
      <c r="G16876" s="85"/>
    </row>
    <row r="16877">
      <c r="A16877" s="84"/>
      <c r="B16877" s="85"/>
      <c r="C16877" s="85"/>
      <c r="F16877" s="92"/>
      <c r="G16877" s="85"/>
    </row>
    <row r="16878">
      <c r="A16878" s="84"/>
      <c r="B16878" s="85"/>
      <c r="C16878" s="85"/>
      <c r="F16878" s="92"/>
      <c r="G16878" s="85"/>
    </row>
    <row r="16879">
      <c r="A16879" s="84"/>
      <c r="B16879" s="85"/>
      <c r="C16879" s="85"/>
      <c r="F16879" s="92"/>
      <c r="G16879" s="85"/>
    </row>
    <row r="16880">
      <c r="A16880" s="84"/>
      <c r="B16880" s="85"/>
      <c r="C16880" s="85"/>
      <c r="F16880" s="92"/>
      <c r="G16880" s="85"/>
    </row>
    <row r="16881">
      <c r="A16881" s="84"/>
      <c r="B16881" s="85"/>
      <c r="C16881" s="85"/>
      <c r="F16881" s="92"/>
      <c r="G16881" s="85"/>
    </row>
    <row r="16882">
      <c r="A16882" s="84"/>
      <c r="B16882" s="85"/>
      <c r="C16882" s="85"/>
      <c r="F16882" s="92"/>
      <c r="G16882" s="85"/>
    </row>
    <row r="16883">
      <c r="A16883" s="84"/>
      <c r="B16883" s="85"/>
      <c r="C16883" s="85"/>
      <c r="F16883" s="92"/>
      <c r="G16883" s="85"/>
    </row>
    <row r="16884">
      <c r="A16884" s="84"/>
      <c r="B16884" s="85"/>
      <c r="C16884" s="85"/>
      <c r="F16884" s="92"/>
      <c r="G16884" s="85"/>
    </row>
    <row r="16885">
      <c r="A16885" s="84"/>
      <c r="B16885" s="85"/>
      <c r="C16885" s="85"/>
      <c r="F16885" s="92"/>
      <c r="G16885" s="85"/>
    </row>
    <row r="16886">
      <c r="A16886" s="84"/>
      <c r="B16886" s="85"/>
      <c r="C16886" s="85"/>
      <c r="F16886" s="92"/>
      <c r="G16886" s="85"/>
    </row>
    <row r="16887">
      <c r="A16887" s="84"/>
      <c r="B16887" s="85"/>
      <c r="C16887" s="85"/>
      <c r="F16887" s="92"/>
      <c r="G16887" s="85"/>
    </row>
    <row r="16888">
      <c r="A16888" s="84"/>
      <c r="B16888" s="85"/>
      <c r="C16888" s="85"/>
      <c r="F16888" s="92"/>
      <c r="G16888" s="85"/>
    </row>
    <row r="16889">
      <c r="A16889" s="84"/>
      <c r="B16889" s="85"/>
      <c r="C16889" s="85"/>
      <c r="F16889" s="92"/>
      <c r="G16889" s="85"/>
    </row>
    <row r="16890">
      <c r="A16890" s="84"/>
      <c r="B16890" s="85"/>
      <c r="C16890" s="85"/>
      <c r="F16890" s="92"/>
      <c r="G16890" s="85"/>
    </row>
    <row r="16891">
      <c r="A16891" s="84"/>
      <c r="B16891" s="85"/>
      <c r="C16891" s="85"/>
      <c r="F16891" s="92"/>
      <c r="G16891" s="85"/>
    </row>
    <row r="16892">
      <c r="A16892" s="84"/>
      <c r="B16892" s="85"/>
      <c r="C16892" s="85"/>
      <c r="F16892" s="92"/>
      <c r="G16892" s="85"/>
    </row>
    <row r="16893">
      <c r="A16893" s="84"/>
      <c r="B16893" s="85"/>
      <c r="C16893" s="85"/>
      <c r="F16893" s="92"/>
      <c r="G16893" s="85"/>
    </row>
    <row r="16894">
      <c r="A16894" s="84"/>
      <c r="B16894" s="85"/>
      <c r="C16894" s="85"/>
      <c r="F16894" s="92"/>
      <c r="G16894" s="85"/>
    </row>
    <row r="16895">
      <c r="A16895" s="84"/>
      <c r="B16895" s="85"/>
      <c r="C16895" s="85"/>
      <c r="F16895" s="92"/>
      <c r="G16895" s="85"/>
    </row>
    <row r="16896">
      <c r="A16896" s="84"/>
      <c r="B16896" s="85"/>
      <c r="C16896" s="85"/>
      <c r="F16896" s="92"/>
      <c r="G16896" s="85"/>
    </row>
    <row r="16897">
      <c r="A16897" s="84"/>
      <c r="B16897" s="85"/>
      <c r="C16897" s="85"/>
      <c r="F16897" s="92"/>
      <c r="G16897" s="85"/>
    </row>
    <row r="16898">
      <c r="A16898" s="84"/>
      <c r="B16898" s="85"/>
      <c r="C16898" s="85"/>
      <c r="F16898" s="92"/>
      <c r="G16898" s="85"/>
    </row>
    <row r="16899">
      <c r="A16899" s="84"/>
      <c r="B16899" s="85"/>
      <c r="C16899" s="85"/>
      <c r="F16899" s="92"/>
      <c r="G16899" s="85"/>
    </row>
    <row r="16900">
      <c r="A16900" s="84"/>
      <c r="B16900" s="85"/>
      <c r="C16900" s="85"/>
      <c r="F16900" s="92"/>
      <c r="G16900" s="85"/>
    </row>
    <row r="16901">
      <c r="A16901" s="84"/>
      <c r="B16901" s="85"/>
      <c r="C16901" s="85"/>
      <c r="F16901" s="92"/>
      <c r="G16901" s="85"/>
    </row>
    <row r="16902">
      <c r="A16902" s="84"/>
      <c r="B16902" s="85"/>
      <c r="C16902" s="85"/>
      <c r="F16902" s="92"/>
      <c r="G16902" s="85"/>
    </row>
    <row r="16903">
      <c r="A16903" s="84"/>
      <c r="B16903" s="85"/>
      <c r="C16903" s="85"/>
      <c r="F16903" s="92"/>
      <c r="G16903" s="85"/>
    </row>
    <row r="16904">
      <c r="A16904" s="84"/>
      <c r="B16904" s="85"/>
      <c r="C16904" s="85"/>
      <c r="F16904" s="92"/>
      <c r="G16904" s="85"/>
    </row>
    <row r="16905">
      <c r="A16905" s="84"/>
      <c r="B16905" s="85"/>
      <c r="C16905" s="85"/>
      <c r="F16905" s="92"/>
      <c r="G16905" s="85"/>
    </row>
    <row r="16906">
      <c r="A16906" s="84"/>
      <c r="B16906" s="85"/>
      <c r="C16906" s="85"/>
      <c r="F16906" s="92"/>
      <c r="G16906" s="85"/>
    </row>
    <row r="16907">
      <c r="A16907" s="84"/>
      <c r="B16907" s="85"/>
      <c r="C16907" s="85"/>
      <c r="F16907" s="92"/>
      <c r="G16907" s="85"/>
    </row>
    <row r="16908">
      <c r="A16908" s="84"/>
      <c r="B16908" s="85"/>
      <c r="C16908" s="85"/>
      <c r="F16908" s="92"/>
      <c r="G16908" s="85"/>
    </row>
    <row r="16909">
      <c r="A16909" s="84"/>
      <c r="B16909" s="85"/>
      <c r="C16909" s="85"/>
      <c r="F16909" s="92"/>
      <c r="G16909" s="85"/>
    </row>
    <row r="16910">
      <c r="A16910" s="84"/>
      <c r="B16910" s="85"/>
      <c r="C16910" s="85"/>
      <c r="F16910" s="92"/>
      <c r="G16910" s="85"/>
    </row>
    <row r="16911">
      <c r="A16911" s="84"/>
      <c r="B16911" s="85"/>
      <c r="C16911" s="85"/>
      <c r="F16911" s="92"/>
      <c r="G16911" s="85"/>
    </row>
    <row r="16912">
      <c r="A16912" s="84"/>
      <c r="B16912" s="85"/>
      <c r="C16912" s="85"/>
      <c r="F16912" s="92"/>
      <c r="G16912" s="85"/>
    </row>
    <row r="16913">
      <c r="A16913" s="84"/>
      <c r="B16913" s="85"/>
      <c r="C16913" s="85"/>
      <c r="F16913" s="92"/>
      <c r="G16913" s="85"/>
    </row>
    <row r="16914">
      <c r="A16914" s="84"/>
      <c r="B16914" s="85"/>
      <c r="C16914" s="85"/>
      <c r="F16914" s="92"/>
      <c r="G16914" s="85"/>
    </row>
    <row r="16915">
      <c r="A16915" s="84"/>
      <c r="B16915" s="85"/>
      <c r="C16915" s="85"/>
      <c r="F16915" s="92"/>
      <c r="G16915" s="85"/>
    </row>
    <row r="16916">
      <c r="A16916" s="84"/>
      <c r="B16916" s="85"/>
      <c r="C16916" s="85"/>
      <c r="F16916" s="92"/>
      <c r="G16916" s="85"/>
    </row>
    <row r="16917">
      <c r="A16917" s="84"/>
      <c r="B16917" s="85"/>
      <c r="C16917" s="85"/>
      <c r="F16917" s="92"/>
      <c r="G16917" s="85"/>
    </row>
    <row r="16918">
      <c r="A16918" s="84"/>
      <c r="B16918" s="85"/>
      <c r="C16918" s="85"/>
      <c r="F16918" s="92"/>
      <c r="G16918" s="85"/>
    </row>
    <row r="16919">
      <c r="A16919" s="84"/>
      <c r="B16919" s="85"/>
      <c r="C16919" s="85"/>
      <c r="F16919" s="92"/>
      <c r="G16919" s="85"/>
    </row>
    <row r="16920">
      <c r="A16920" s="84"/>
      <c r="B16920" s="85"/>
      <c r="C16920" s="85"/>
      <c r="F16920" s="92"/>
      <c r="G16920" s="85"/>
    </row>
    <row r="16921">
      <c r="A16921" s="84"/>
      <c r="B16921" s="85"/>
      <c r="C16921" s="85"/>
      <c r="F16921" s="92"/>
      <c r="G16921" s="85"/>
    </row>
    <row r="16922">
      <c r="A16922" s="84"/>
      <c r="B16922" s="85"/>
      <c r="C16922" s="85"/>
      <c r="F16922" s="92"/>
      <c r="G16922" s="85"/>
    </row>
    <row r="16923">
      <c r="A16923" s="84"/>
      <c r="B16923" s="85"/>
      <c r="C16923" s="85"/>
      <c r="F16923" s="92"/>
      <c r="G16923" s="85"/>
    </row>
    <row r="16924">
      <c r="A16924" s="84"/>
      <c r="B16924" s="85"/>
      <c r="C16924" s="85"/>
      <c r="F16924" s="92"/>
      <c r="G16924" s="85"/>
    </row>
    <row r="16925">
      <c r="A16925" s="84"/>
      <c r="B16925" s="85"/>
      <c r="C16925" s="85"/>
      <c r="F16925" s="92"/>
      <c r="G16925" s="85"/>
    </row>
    <row r="16926">
      <c r="A16926" s="84"/>
      <c r="B16926" s="85"/>
      <c r="C16926" s="85"/>
      <c r="F16926" s="92"/>
      <c r="G16926" s="85"/>
    </row>
    <row r="16927">
      <c r="A16927" s="84"/>
      <c r="B16927" s="85"/>
      <c r="C16927" s="85"/>
      <c r="F16927" s="92"/>
      <c r="G16927" s="85"/>
    </row>
    <row r="16928">
      <c r="A16928" s="84"/>
      <c r="B16928" s="85"/>
      <c r="C16928" s="85"/>
      <c r="F16928" s="92"/>
      <c r="G16928" s="85"/>
    </row>
    <row r="16929">
      <c r="A16929" s="84"/>
      <c r="B16929" s="85"/>
      <c r="C16929" s="85"/>
      <c r="F16929" s="92"/>
      <c r="G16929" s="85"/>
    </row>
    <row r="16930">
      <c r="A16930" s="84"/>
      <c r="B16930" s="85"/>
      <c r="C16930" s="85"/>
      <c r="F16930" s="92"/>
      <c r="G16930" s="85"/>
    </row>
    <row r="16931">
      <c r="A16931" s="84"/>
      <c r="B16931" s="85"/>
      <c r="C16931" s="85"/>
      <c r="F16931" s="92"/>
      <c r="G16931" s="85"/>
    </row>
    <row r="16932">
      <c r="A16932" s="84"/>
      <c r="B16932" s="85"/>
      <c r="C16932" s="85"/>
      <c r="F16932" s="92"/>
      <c r="G16932" s="85"/>
    </row>
    <row r="16933">
      <c r="A16933" s="84"/>
      <c r="B16933" s="85"/>
      <c r="C16933" s="85"/>
      <c r="F16933" s="92"/>
      <c r="G16933" s="85"/>
    </row>
    <row r="16934">
      <c r="A16934" s="84"/>
      <c r="B16934" s="85"/>
      <c r="C16934" s="85"/>
      <c r="F16934" s="92"/>
      <c r="G16934" s="85"/>
    </row>
    <row r="16935">
      <c r="A16935" s="84"/>
      <c r="B16935" s="85"/>
      <c r="C16935" s="85"/>
      <c r="F16935" s="92"/>
      <c r="G16935" s="85"/>
    </row>
    <row r="16936">
      <c r="A16936" s="84"/>
      <c r="B16936" s="85"/>
      <c r="C16936" s="85"/>
      <c r="F16936" s="92"/>
      <c r="G16936" s="85"/>
    </row>
    <row r="16937">
      <c r="A16937" s="84"/>
      <c r="B16937" s="85"/>
      <c r="C16937" s="85"/>
      <c r="F16937" s="92"/>
      <c r="G16937" s="85"/>
    </row>
    <row r="16938">
      <c r="A16938" s="84"/>
      <c r="B16938" s="85"/>
      <c r="C16938" s="85"/>
      <c r="F16938" s="92"/>
      <c r="G16938" s="85"/>
    </row>
    <row r="16939">
      <c r="A16939" s="84"/>
      <c r="B16939" s="85"/>
      <c r="C16939" s="85"/>
      <c r="F16939" s="92"/>
      <c r="G16939" s="85"/>
    </row>
    <row r="16940">
      <c r="A16940" s="84"/>
      <c r="B16940" s="85"/>
      <c r="C16940" s="85"/>
      <c r="F16940" s="92"/>
      <c r="G16940" s="85"/>
    </row>
    <row r="16941">
      <c r="A16941" s="84"/>
      <c r="B16941" s="85"/>
      <c r="C16941" s="85"/>
      <c r="F16941" s="92"/>
      <c r="G16941" s="85"/>
    </row>
    <row r="16942">
      <c r="A16942" s="84"/>
      <c r="B16942" s="85"/>
      <c r="C16942" s="85"/>
      <c r="F16942" s="92"/>
      <c r="G16942" s="85"/>
    </row>
    <row r="16943">
      <c r="A16943" s="84"/>
      <c r="B16943" s="85"/>
      <c r="C16943" s="85"/>
      <c r="F16943" s="92"/>
      <c r="G16943" s="85"/>
    </row>
    <row r="16944">
      <c r="A16944" s="84"/>
      <c r="B16944" s="85"/>
      <c r="C16944" s="85"/>
      <c r="F16944" s="92"/>
      <c r="G16944" s="85"/>
    </row>
    <row r="16945">
      <c r="A16945" s="84"/>
      <c r="B16945" s="85"/>
      <c r="C16945" s="85"/>
      <c r="F16945" s="92"/>
      <c r="G16945" s="85"/>
    </row>
    <row r="16946">
      <c r="A16946" s="84"/>
      <c r="B16946" s="85"/>
      <c r="C16946" s="85"/>
      <c r="F16946" s="92"/>
      <c r="G16946" s="85"/>
    </row>
    <row r="16947">
      <c r="A16947" s="84"/>
      <c r="B16947" s="85"/>
      <c r="C16947" s="85"/>
      <c r="F16947" s="92"/>
      <c r="G16947" s="85"/>
    </row>
    <row r="16948">
      <c r="A16948" s="84"/>
      <c r="B16948" s="85"/>
      <c r="C16948" s="85"/>
      <c r="F16948" s="92"/>
      <c r="G16948" s="85"/>
    </row>
    <row r="16949">
      <c r="A16949" s="84"/>
      <c r="B16949" s="85"/>
      <c r="C16949" s="85"/>
      <c r="F16949" s="92"/>
      <c r="G16949" s="85"/>
    </row>
    <row r="16950">
      <c r="A16950" s="84"/>
      <c r="B16950" s="85"/>
      <c r="C16950" s="85"/>
      <c r="F16950" s="92"/>
      <c r="G16950" s="85"/>
    </row>
    <row r="16951">
      <c r="A16951" s="84"/>
      <c r="B16951" s="85"/>
      <c r="C16951" s="85"/>
      <c r="F16951" s="92"/>
      <c r="G16951" s="85"/>
    </row>
    <row r="16952">
      <c r="A16952" s="84"/>
      <c r="B16952" s="85"/>
      <c r="C16952" s="85"/>
      <c r="F16952" s="92"/>
      <c r="G16952" s="85"/>
    </row>
    <row r="16953">
      <c r="A16953" s="84"/>
      <c r="B16953" s="85"/>
      <c r="C16953" s="85"/>
      <c r="F16953" s="92"/>
      <c r="G16953" s="85"/>
    </row>
    <row r="16954">
      <c r="A16954" s="84"/>
      <c r="B16954" s="85"/>
      <c r="C16954" s="85"/>
      <c r="F16954" s="92"/>
      <c r="G16954" s="85"/>
    </row>
    <row r="16955">
      <c r="A16955" s="84"/>
      <c r="B16955" s="85"/>
      <c r="C16955" s="85"/>
      <c r="F16955" s="92"/>
      <c r="G16955" s="85"/>
    </row>
    <row r="16956">
      <c r="A16956" s="84"/>
      <c r="B16956" s="85"/>
      <c r="C16956" s="85"/>
      <c r="F16956" s="92"/>
      <c r="G16956" s="85"/>
    </row>
    <row r="16957">
      <c r="A16957" s="84"/>
      <c r="B16957" s="85"/>
      <c r="C16957" s="85"/>
      <c r="F16957" s="92"/>
      <c r="G16957" s="85"/>
    </row>
    <row r="16958">
      <c r="A16958" s="84"/>
      <c r="B16958" s="85"/>
      <c r="C16958" s="85"/>
      <c r="F16958" s="92"/>
      <c r="G16958" s="85"/>
    </row>
    <row r="16959">
      <c r="A16959" s="84"/>
      <c r="B16959" s="85"/>
      <c r="C16959" s="85"/>
      <c r="F16959" s="92"/>
      <c r="G16959" s="85"/>
    </row>
    <row r="16960">
      <c r="A16960" s="84"/>
      <c r="B16960" s="85"/>
      <c r="C16960" s="85"/>
      <c r="F16960" s="92"/>
      <c r="G16960" s="85"/>
    </row>
    <row r="16961">
      <c r="A16961" s="84"/>
      <c r="B16961" s="85"/>
      <c r="C16961" s="85"/>
      <c r="F16961" s="92"/>
      <c r="G16961" s="85"/>
    </row>
    <row r="16962">
      <c r="A16962" s="84"/>
      <c r="B16962" s="85"/>
      <c r="C16962" s="85"/>
      <c r="F16962" s="92"/>
      <c r="G16962" s="85"/>
    </row>
    <row r="16963">
      <c r="A16963" s="84"/>
      <c r="B16963" s="85"/>
      <c r="C16963" s="85"/>
      <c r="F16963" s="92"/>
      <c r="G16963" s="85"/>
    </row>
    <row r="16964">
      <c r="A16964" s="84"/>
      <c r="B16964" s="85"/>
      <c r="C16964" s="85"/>
      <c r="F16964" s="92"/>
      <c r="G16964" s="85"/>
    </row>
    <row r="16965">
      <c r="A16965" s="84"/>
      <c r="B16965" s="85"/>
      <c r="C16965" s="85"/>
      <c r="F16965" s="92"/>
      <c r="G16965" s="85"/>
    </row>
    <row r="16966">
      <c r="A16966" s="84"/>
      <c r="B16966" s="85"/>
      <c r="C16966" s="85"/>
      <c r="F16966" s="92"/>
      <c r="G16966" s="85"/>
    </row>
    <row r="16967">
      <c r="A16967" s="84"/>
      <c r="B16967" s="85"/>
      <c r="C16967" s="85"/>
      <c r="F16967" s="92"/>
      <c r="G16967" s="85"/>
    </row>
    <row r="16968">
      <c r="A16968" s="84"/>
      <c r="B16968" s="85"/>
      <c r="C16968" s="85"/>
      <c r="F16968" s="92"/>
      <c r="G16968" s="85"/>
    </row>
    <row r="16969">
      <c r="A16969" s="84"/>
      <c r="B16969" s="85"/>
      <c r="C16969" s="85"/>
      <c r="F16969" s="92"/>
      <c r="G16969" s="85"/>
    </row>
    <row r="16970">
      <c r="A16970" s="84"/>
      <c r="B16970" s="85"/>
      <c r="C16970" s="85"/>
      <c r="F16970" s="92"/>
      <c r="G16970" s="85"/>
    </row>
    <row r="16971">
      <c r="A16971" s="84"/>
      <c r="B16971" s="85"/>
      <c r="C16971" s="85"/>
      <c r="F16971" s="92"/>
      <c r="G16971" s="85"/>
    </row>
    <row r="16972">
      <c r="A16972" s="84"/>
      <c r="B16972" s="85"/>
      <c r="C16972" s="85"/>
      <c r="F16972" s="92"/>
      <c r="G16972" s="85"/>
    </row>
    <row r="16973">
      <c r="A16973" s="84"/>
      <c r="B16973" s="85"/>
      <c r="C16973" s="85"/>
      <c r="F16973" s="92"/>
      <c r="G16973" s="85"/>
    </row>
    <row r="16974">
      <c r="A16974" s="84"/>
      <c r="B16974" s="85"/>
      <c r="C16974" s="85"/>
      <c r="F16974" s="92"/>
      <c r="G16974" s="85"/>
    </row>
    <row r="16975">
      <c r="A16975" s="84"/>
      <c r="B16975" s="85"/>
      <c r="C16975" s="85"/>
      <c r="F16975" s="92"/>
      <c r="G16975" s="85"/>
    </row>
    <row r="16976">
      <c r="A16976" s="84"/>
      <c r="B16976" s="85"/>
      <c r="C16976" s="85"/>
      <c r="F16976" s="92"/>
      <c r="G16976" s="85"/>
    </row>
    <row r="16977">
      <c r="A16977" s="84"/>
      <c r="B16977" s="85"/>
      <c r="C16977" s="85"/>
      <c r="F16977" s="92"/>
      <c r="G16977" s="85"/>
    </row>
    <row r="16978">
      <c r="A16978" s="84"/>
      <c r="B16978" s="85"/>
      <c r="C16978" s="85"/>
      <c r="F16978" s="92"/>
      <c r="G16978" s="85"/>
    </row>
    <row r="16979">
      <c r="A16979" s="84"/>
      <c r="B16979" s="85"/>
      <c r="C16979" s="85"/>
      <c r="F16979" s="92"/>
      <c r="G16979" s="85"/>
    </row>
    <row r="16980">
      <c r="A16980" s="84"/>
      <c r="B16980" s="85"/>
      <c r="C16980" s="85"/>
      <c r="F16980" s="92"/>
      <c r="G16980" s="85"/>
    </row>
    <row r="16981">
      <c r="A16981" s="84"/>
      <c r="B16981" s="85"/>
      <c r="C16981" s="85"/>
      <c r="F16981" s="92"/>
      <c r="G16981" s="85"/>
    </row>
    <row r="16982">
      <c r="A16982" s="84"/>
      <c r="B16982" s="85"/>
      <c r="C16982" s="85"/>
      <c r="F16982" s="92"/>
      <c r="G16982" s="85"/>
    </row>
    <row r="16983">
      <c r="A16983" s="84"/>
      <c r="B16983" s="85"/>
      <c r="C16983" s="85"/>
      <c r="F16983" s="92"/>
      <c r="G16983" s="85"/>
    </row>
    <row r="16984">
      <c r="A16984" s="84"/>
      <c r="B16984" s="85"/>
      <c r="C16984" s="85"/>
      <c r="F16984" s="92"/>
      <c r="G16984" s="85"/>
    </row>
    <row r="16985">
      <c r="A16985" s="84"/>
      <c r="B16985" s="85"/>
      <c r="C16985" s="85"/>
      <c r="F16985" s="92"/>
      <c r="G16985" s="85"/>
    </row>
    <row r="16986">
      <c r="A16986" s="84"/>
      <c r="B16986" s="85"/>
      <c r="C16986" s="85"/>
      <c r="F16986" s="92"/>
      <c r="G16986" s="85"/>
    </row>
    <row r="16987">
      <c r="A16987" s="84"/>
      <c r="B16987" s="85"/>
      <c r="C16987" s="85"/>
      <c r="F16987" s="92"/>
      <c r="G16987" s="85"/>
    </row>
    <row r="16988">
      <c r="A16988" s="84"/>
      <c r="B16988" s="85"/>
      <c r="C16988" s="85"/>
      <c r="F16988" s="92"/>
      <c r="G16988" s="85"/>
    </row>
    <row r="16989">
      <c r="A16989" s="84"/>
      <c r="B16989" s="85"/>
      <c r="C16989" s="85"/>
      <c r="F16989" s="92"/>
      <c r="G16989" s="85"/>
    </row>
    <row r="16990">
      <c r="A16990" s="84"/>
      <c r="B16990" s="85"/>
      <c r="C16990" s="85"/>
      <c r="F16990" s="92"/>
      <c r="G16990" s="85"/>
    </row>
    <row r="16991">
      <c r="A16991" s="84"/>
      <c r="B16991" s="85"/>
      <c r="C16991" s="85"/>
      <c r="F16991" s="92"/>
      <c r="G16991" s="85"/>
    </row>
    <row r="16992">
      <c r="A16992" s="84"/>
      <c r="B16992" s="85"/>
      <c r="C16992" s="85"/>
      <c r="F16992" s="92"/>
      <c r="G16992" s="85"/>
    </row>
    <row r="16993">
      <c r="A16993" s="84"/>
      <c r="B16993" s="85"/>
      <c r="C16993" s="85"/>
      <c r="F16993" s="92"/>
      <c r="G16993" s="85"/>
    </row>
    <row r="16994">
      <c r="A16994" s="84"/>
      <c r="B16994" s="85"/>
      <c r="C16994" s="85"/>
      <c r="F16994" s="92"/>
      <c r="G16994" s="85"/>
    </row>
    <row r="16995">
      <c r="A16995" s="84"/>
      <c r="B16995" s="85"/>
      <c r="C16995" s="85"/>
      <c r="F16995" s="92"/>
      <c r="G16995" s="85"/>
    </row>
    <row r="16996">
      <c r="A16996" s="84"/>
      <c r="B16996" s="85"/>
      <c r="C16996" s="85"/>
      <c r="F16996" s="92"/>
      <c r="G16996" s="85"/>
    </row>
    <row r="16997">
      <c r="A16997" s="84"/>
      <c r="B16997" s="85"/>
      <c r="C16997" s="85"/>
      <c r="F16997" s="92"/>
      <c r="G16997" s="85"/>
    </row>
    <row r="16998">
      <c r="A16998" s="84"/>
      <c r="B16998" s="85"/>
      <c r="C16998" s="85"/>
      <c r="F16998" s="92"/>
      <c r="G16998" s="85"/>
    </row>
    <row r="16999">
      <c r="A16999" s="84"/>
      <c r="B16999" s="85"/>
      <c r="C16999" s="85"/>
      <c r="F16999" s="92"/>
      <c r="G16999" s="85"/>
    </row>
    <row r="17000">
      <c r="A17000" s="84"/>
      <c r="B17000" s="85"/>
      <c r="C17000" s="85"/>
      <c r="F17000" s="92"/>
      <c r="G17000" s="85"/>
    </row>
    <row r="17001">
      <c r="A17001" s="84"/>
      <c r="B17001" s="85"/>
      <c r="C17001" s="85"/>
      <c r="F17001" s="92"/>
      <c r="G17001" s="85"/>
    </row>
    <row r="17002">
      <c r="A17002" s="84"/>
      <c r="B17002" s="85"/>
      <c r="C17002" s="85"/>
      <c r="F17002" s="92"/>
      <c r="G17002" s="85"/>
    </row>
    <row r="17003">
      <c r="A17003" s="84"/>
      <c r="B17003" s="85"/>
      <c r="C17003" s="85"/>
      <c r="F17003" s="92"/>
      <c r="G17003" s="85"/>
    </row>
    <row r="17004">
      <c r="A17004" s="84"/>
      <c r="B17004" s="85"/>
      <c r="C17004" s="85"/>
      <c r="F17004" s="92"/>
      <c r="G17004" s="85"/>
    </row>
    <row r="17005">
      <c r="A17005" s="84"/>
      <c r="B17005" s="85"/>
      <c r="C17005" s="85"/>
      <c r="F17005" s="92"/>
      <c r="G17005" s="85"/>
    </row>
    <row r="17006">
      <c r="A17006" s="84"/>
      <c r="B17006" s="85"/>
      <c r="C17006" s="85"/>
      <c r="F17006" s="92"/>
      <c r="G17006" s="85"/>
    </row>
    <row r="17007">
      <c r="A17007" s="84"/>
      <c r="B17007" s="85"/>
      <c r="C17007" s="85"/>
      <c r="F17007" s="92"/>
      <c r="G17007" s="85"/>
    </row>
    <row r="17008">
      <c r="A17008" s="84"/>
      <c r="B17008" s="85"/>
      <c r="C17008" s="85"/>
      <c r="F17008" s="92"/>
      <c r="G17008" s="85"/>
    </row>
    <row r="17009">
      <c r="A17009" s="84"/>
      <c r="B17009" s="85"/>
      <c r="C17009" s="85"/>
      <c r="F17009" s="92"/>
      <c r="G17009" s="85"/>
    </row>
    <row r="17010">
      <c r="A17010" s="84"/>
      <c r="B17010" s="85"/>
      <c r="C17010" s="85"/>
      <c r="F17010" s="92"/>
      <c r="G17010" s="85"/>
    </row>
    <row r="17011">
      <c r="A17011" s="84"/>
      <c r="B17011" s="85"/>
      <c r="C17011" s="85"/>
      <c r="F17011" s="92"/>
      <c r="G17011" s="85"/>
    </row>
    <row r="17012">
      <c r="A17012" s="84"/>
      <c r="B17012" s="85"/>
      <c r="C17012" s="85"/>
      <c r="F17012" s="92"/>
      <c r="G17012" s="85"/>
    </row>
    <row r="17013">
      <c r="A17013" s="84"/>
      <c r="B17013" s="85"/>
      <c r="C17013" s="85"/>
      <c r="F17013" s="92"/>
      <c r="G17013" s="85"/>
    </row>
    <row r="17014">
      <c r="A17014" s="84"/>
      <c r="B17014" s="85"/>
      <c r="C17014" s="85"/>
      <c r="F17014" s="92"/>
      <c r="G17014" s="85"/>
    </row>
    <row r="17015">
      <c r="A17015" s="84"/>
      <c r="B17015" s="85"/>
      <c r="C17015" s="85"/>
      <c r="F17015" s="92"/>
      <c r="G17015" s="85"/>
    </row>
    <row r="17016">
      <c r="A17016" s="84"/>
      <c r="B17016" s="85"/>
      <c r="C17016" s="85"/>
      <c r="F17016" s="92"/>
      <c r="G17016" s="85"/>
    </row>
    <row r="17017">
      <c r="A17017" s="84"/>
      <c r="B17017" s="85"/>
      <c r="C17017" s="85"/>
      <c r="F17017" s="92"/>
      <c r="G17017" s="85"/>
    </row>
    <row r="17018">
      <c r="A17018" s="84"/>
      <c r="B17018" s="85"/>
      <c r="C17018" s="85"/>
      <c r="F17018" s="92"/>
      <c r="G17018" s="85"/>
    </row>
    <row r="17019">
      <c r="A17019" s="84"/>
      <c r="B17019" s="85"/>
      <c r="C17019" s="85"/>
      <c r="F17019" s="92"/>
      <c r="G17019" s="85"/>
    </row>
    <row r="17020">
      <c r="A17020" s="84"/>
      <c r="B17020" s="85"/>
      <c r="C17020" s="85"/>
      <c r="F17020" s="92"/>
      <c r="G17020" s="85"/>
    </row>
    <row r="17021">
      <c r="A17021" s="84"/>
      <c r="B17021" s="85"/>
      <c r="C17021" s="85"/>
      <c r="F17021" s="92"/>
      <c r="G17021" s="85"/>
    </row>
    <row r="17022">
      <c r="A17022" s="84"/>
      <c r="B17022" s="85"/>
      <c r="C17022" s="85"/>
      <c r="F17022" s="92"/>
      <c r="G17022" s="85"/>
    </row>
    <row r="17023">
      <c r="A17023" s="84"/>
      <c r="B17023" s="85"/>
      <c r="C17023" s="85"/>
      <c r="F17023" s="92"/>
      <c r="G17023" s="85"/>
    </row>
    <row r="17024">
      <c r="A17024" s="84"/>
      <c r="B17024" s="85"/>
      <c r="C17024" s="85"/>
      <c r="F17024" s="92"/>
      <c r="G17024" s="85"/>
    </row>
    <row r="17025">
      <c r="A17025" s="84"/>
      <c r="B17025" s="85"/>
      <c r="C17025" s="85"/>
      <c r="F17025" s="92"/>
      <c r="G17025" s="85"/>
    </row>
    <row r="17026">
      <c r="A17026" s="84"/>
      <c r="B17026" s="85"/>
      <c r="C17026" s="85"/>
      <c r="F17026" s="92"/>
      <c r="G17026" s="85"/>
    </row>
    <row r="17027">
      <c r="A17027" s="84"/>
      <c r="B17027" s="85"/>
      <c r="C17027" s="85"/>
      <c r="F17027" s="92"/>
      <c r="G17027" s="85"/>
    </row>
    <row r="17028">
      <c r="A17028" s="84"/>
      <c r="B17028" s="85"/>
      <c r="C17028" s="85"/>
      <c r="F17028" s="92"/>
      <c r="G17028" s="85"/>
    </row>
    <row r="17029">
      <c r="A17029" s="84"/>
      <c r="B17029" s="85"/>
      <c r="C17029" s="85"/>
      <c r="F17029" s="92"/>
      <c r="G17029" s="85"/>
    </row>
    <row r="17030">
      <c r="A17030" s="84"/>
      <c r="B17030" s="85"/>
      <c r="C17030" s="85"/>
      <c r="F17030" s="92"/>
      <c r="G17030" s="85"/>
    </row>
    <row r="17031">
      <c r="A17031" s="84"/>
      <c r="B17031" s="85"/>
      <c r="C17031" s="85"/>
      <c r="F17031" s="92"/>
      <c r="G17031" s="85"/>
    </row>
    <row r="17032">
      <c r="A17032" s="84"/>
      <c r="B17032" s="85"/>
      <c r="C17032" s="85"/>
      <c r="F17032" s="92"/>
      <c r="G17032" s="85"/>
    </row>
    <row r="17033">
      <c r="A17033" s="84"/>
      <c r="B17033" s="85"/>
      <c r="C17033" s="85"/>
      <c r="F17033" s="92"/>
      <c r="G17033" s="85"/>
    </row>
    <row r="17034">
      <c r="A17034" s="84"/>
      <c r="B17034" s="85"/>
      <c r="C17034" s="85"/>
      <c r="F17034" s="92"/>
      <c r="G17034" s="85"/>
    </row>
    <row r="17035">
      <c r="A17035" s="84"/>
      <c r="B17035" s="85"/>
      <c r="C17035" s="85"/>
      <c r="F17035" s="92"/>
      <c r="G17035" s="85"/>
    </row>
    <row r="17036">
      <c r="A17036" s="84"/>
      <c r="B17036" s="85"/>
      <c r="C17036" s="85"/>
      <c r="F17036" s="92"/>
      <c r="G17036" s="85"/>
    </row>
    <row r="17037">
      <c r="A17037" s="84"/>
      <c r="B17037" s="85"/>
      <c r="C17037" s="85"/>
      <c r="F17037" s="92"/>
      <c r="G17037" s="85"/>
    </row>
    <row r="17038">
      <c r="A17038" s="84"/>
      <c r="B17038" s="85"/>
      <c r="C17038" s="85"/>
      <c r="F17038" s="92"/>
      <c r="G17038" s="85"/>
    </row>
    <row r="17039">
      <c r="A17039" s="84"/>
      <c r="B17039" s="85"/>
      <c r="C17039" s="85"/>
      <c r="F17039" s="92"/>
      <c r="G17039" s="85"/>
    </row>
    <row r="17040">
      <c r="A17040" s="84"/>
      <c r="B17040" s="85"/>
      <c r="C17040" s="85"/>
      <c r="F17040" s="92"/>
      <c r="G17040" s="85"/>
    </row>
    <row r="17041">
      <c r="A17041" s="84"/>
      <c r="B17041" s="85"/>
      <c r="C17041" s="85"/>
      <c r="F17041" s="92"/>
      <c r="G17041" s="85"/>
    </row>
    <row r="17042">
      <c r="A17042" s="84"/>
      <c r="B17042" s="85"/>
      <c r="C17042" s="85"/>
      <c r="F17042" s="92"/>
      <c r="G17042" s="85"/>
    </row>
    <row r="17043">
      <c r="A17043" s="84"/>
      <c r="B17043" s="85"/>
      <c r="C17043" s="85"/>
      <c r="F17043" s="92"/>
      <c r="G17043" s="85"/>
    </row>
    <row r="17044">
      <c r="A17044" s="84"/>
      <c r="B17044" s="85"/>
      <c r="C17044" s="85"/>
      <c r="F17044" s="92"/>
      <c r="G17044" s="85"/>
    </row>
    <row r="17045">
      <c r="A17045" s="84"/>
      <c r="B17045" s="85"/>
      <c r="C17045" s="85"/>
      <c r="F17045" s="92"/>
      <c r="G17045" s="85"/>
    </row>
    <row r="17046">
      <c r="A17046" s="84"/>
      <c r="B17046" s="85"/>
      <c r="C17046" s="85"/>
      <c r="F17046" s="92"/>
      <c r="G17046" s="85"/>
    </row>
    <row r="17047">
      <c r="A17047" s="84"/>
      <c r="B17047" s="85"/>
      <c r="C17047" s="85"/>
      <c r="F17047" s="92"/>
      <c r="G17047" s="85"/>
    </row>
    <row r="17048">
      <c r="A17048" s="84"/>
      <c r="B17048" s="85"/>
      <c r="C17048" s="85"/>
      <c r="F17048" s="92"/>
      <c r="G17048" s="85"/>
    </row>
    <row r="17049">
      <c r="A17049" s="84"/>
      <c r="B17049" s="85"/>
      <c r="C17049" s="85"/>
      <c r="F17049" s="92"/>
      <c r="G17049" s="85"/>
    </row>
    <row r="17050">
      <c r="A17050" s="84"/>
      <c r="B17050" s="85"/>
      <c r="C17050" s="85"/>
      <c r="F17050" s="92"/>
      <c r="G17050" s="85"/>
    </row>
    <row r="17051">
      <c r="A17051" s="84"/>
      <c r="B17051" s="85"/>
      <c r="C17051" s="85"/>
      <c r="F17051" s="92"/>
      <c r="G17051" s="85"/>
    </row>
    <row r="17052">
      <c r="A17052" s="84"/>
      <c r="B17052" s="85"/>
      <c r="C17052" s="85"/>
      <c r="F17052" s="92"/>
      <c r="G17052" s="85"/>
    </row>
    <row r="17053">
      <c r="A17053" s="84"/>
      <c r="B17053" s="85"/>
      <c r="C17053" s="85"/>
      <c r="F17053" s="92"/>
      <c r="G17053" s="85"/>
    </row>
    <row r="17054">
      <c r="A17054" s="84"/>
      <c r="B17054" s="85"/>
      <c r="C17054" s="85"/>
      <c r="F17054" s="92"/>
      <c r="G17054" s="85"/>
    </row>
    <row r="17055">
      <c r="A17055" s="84"/>
      <c r="B17055" s="85"/>
      <c r="C17055" s="85"/>
      <c r="F17055" s="92"/>
      <c r="G17055" s="85"/>
    </row>
    <row r="17056">
      <c r="A17056" s="84"/>
      <c r="B17056" s="85"/>
      <c r="C17056" s="85"/>
      <c r="F17056" s="92"/>
      <c r="G17056" s="85"/>
    </row>
    <row r="17057">
      <c r="A17057" s="84"/>
      <c r="B17057" s="85"/>
      <c r="C17057" s="85"/>
      <c r="F17057" s="92"/>
      <c r="G17057" s="85"/>
    </row>
    <row r="17058">
      <c r="A17058" s="84"/>
      <c r="B17058" s="85"/>
      <c r="C17058" s="85"/>
      <c r="F17058" s="92"/>
      <c r="G17058" s="85"/>
    </row>
    <row r="17059">
      <c r="A17059" s="84"/>
      <c r="B17059" s="85"/>
      <c r="C17059" s="85"/>
      <c r="F17059" s="92"/>
      <c r="G17059" s="85"/>
    </row>
    <row r="17060">
      <c r="A17060" s="84"/>
      <c r="B17060" s="85"/>
      <c r="C17060" s="85"/>
      <c r="F17060" s="92"/>
      <c r="G17060" s="85"/>
    </row>
    <row r="17061">
      <c r="A17061" s="84"/>
      <c r="B17061" s="85"/>
      <c r="C17061" s="85"/>
      <c r="F17061" s="92"/>
      <c r="G17061" s="85"/>
    </row>
    <row r="17062">
      <c r="A17062" s="84"/>
      <c r="B17062" s="85"/>
      <c r="C17062" s="85"/>
      <c r="F17062" s="92"/>
      <c r="G17062" s="85"/>
    </row>
    <row r="17063">
      <c r="A17063" s="84"/>
      <c r="B17063" s="85"/>
      <c r="C17063" s="85"/>
      <c r="F17063" s="92"/>
      <c r="G17063" s="85"/>
    </row>
    <row r="17064">
      <c r="A17064" s="84"/>
      <c r="B17064" s="85"/>
      <c r="C17064" s="85"/>
      <c r="F17064" s="92"/>
      <c r="G17064" s="85"/>
    </row>
    <row r="17065">
      <c r="A17065" s="84"/>
      <c r="B17065" s="85"/>
      <c r="C17065" s="85"/>
      <c r="F17065" s="92"/>
      <c r="G17065" s="85"/>
    </row>
    <row r="17066">
      <c r="A17066" s="84"/>
      <c r="B17066" s="85"/>
      <c r="C17066" s="85"/>
      <c r="F17066" s="92"/>
      <c r="G17066" s="85"/>
    </row>
    <row r="17067">
      <c r="A17067" s="84"/>
      <c r="B17067" s="85"/>
      <c r="C17067" s="85"/>
      <c r="F17067" s="92"/>
      <c r="G17067" s="85"/>
    </row>
    <row r="17068">
      <c r="A17068" s="84"/>
      <c r="B17068" s="85"/>
      <c r="C17068" s="85"/>
      <c r="F17068" s="92"/>
      <c r="G17068" s="85"/>
    </row>
    <row r="17069">
      <c r="A17069" s="84"/>
      <c r="B17069" s="85"/>
      <c r="C17069" s="85"/>
      <c r="F17069" s="92"/>
      <c r="G17069" s="85"/>
    </row>
    <row r="17070">
      <c r="A17070" s="84"/>
      <c r="B17070" s="85"/>
      <c r="C17070" s="85"/>
      <c r="F17070" s="92"/>
      <c r="G17070" s="85"/>
    </row>
    <row r="17071">
      <c r="A17071" s="84"/>
      <c r="B17071" s="85"/>
      <c r="C17071" s="85"/>
      <c r="F17071" s="92"/>
      <c r="G17071" s="85"/>
    </row>
    <row r="17072">
      <c r="A17072" s="84"/>
      <c r="B17072" s="85"/>
      <c r="C17072" s="85"/>
      <c r="F17072" s="92"/>
      <c r="G17072" s="85"/>
    </row>
    <row r="17073">
      <c r="A17073" s="84"/>
      <c r="B17073" s="85"/>
      <c r="C17073" s="85"/>
      <c r="F17073" s="92"/>
      <c r="G17073" s="85"/>
    </row>
    <row r="17074">
      <c r="A17074" s="84"/>
      <c r="B17074" s="85"/>
      <c r="C17074" s="85"/>
      <c r="F17074" s="92"/>
      <c r="G17074" s="85"/>
    </row>
    <row r="17075">
      <c r="A17075" s="84"/>
      <c r="B17075" s="85"/>
      <c r="C17075" s="85"/>
      <c r="F17075" s="92"/>
      <c r="G17075" s="85"/>
    </row>
    <row r="17076">
      <c r="A17076" s="84"/>
      <c r="B17076" s="85"/>
      <c r="C17076" s="85"/>
      <c r="F17076" s="92"/>
      <c r="G17076" s="85"/>
    </row>
    <row r="17077">
      <c r="A17077" s="84"/>
      <c r="B17077" s="85"/>
      <c r="C17077" s="85"/>
      <c r="F17077" s="92"/>
      <c r="G17077" s="85"/>
    </row>
    <row r="17078">
      <c r="A17078" s="84"/>
      <c r="B17078" s="85"/>
      <c r="C17078" s="85"/>
      <c r="F17078" s="92"/>
      <c r="G17078" s="85"/>
    </row>
    <row r="17079">
      <c r="A17079" s="84"/>
      <c r="B17079" s="85"/>
      <c r="C17079" s="85"/>
      <c r="F17079" s="92"/>
      <c r="G17079" s="85"/>
    </row>
    <row r="17080">
      <c r="A17080" s="84"/>
      <c r="B17080" s="85"/>
      <c r="C17080" s="85"/>
      <c r="F17080" s="92"/>
      <c r="G17080" s="85"/>
    </row>
    <row r="17081">
      <c r="A17081" s="84"/>
      <c r="B17081" s="85"/>
      <c r="C17081" s="85"/>
      <c r="F17081" s="92"/>
      <c r="G17081" s="85"/>
    </row>
    <row r="17082">
      <c r="A17082" s="84"/>
      <c r="B17082" s="85"/>
      <c r="C17082" s="85"/>
      <c r="F17082" s="92"/>
      <c r="G17082" s="85"/>
    </row>
    <row r="17083">
      <c r="A17083" s="84"/>
      <c r="B17083" s="85"/>
      <c r="C17083" s="85"/>
      <c r="F17083" s="92"/>
      <c r="G17083" s="85"/>
    </row>
    <row r="17084">
      <c r="A17084" s="84"/>
      <c r="B17084" s="85"/>
      <c r="C17084" s="85"/>
      <c r="F17084" s="92"/>
      <c r="G17084" s="85"/>
    </row>
    <row r="17085">
      <c r="A17085" s="84"/>
      <c r="B17085" s="85"/>
      <c r="C17085" s="85"/>
      <c r="F17085" s="92"/>
      <c r="G17085" s="85"/>
    </row>
    <row r="17086">
      <c r="A17086" s="84"/>
      <c r="B17086" s="85"/>
      <c r="C17086" s="85"/>
      <c r="F17086" s="92"/>
      <c r="G17086" s="85"/>
    </row>
    <row r="17087">
      <c r="A17087" s="84"/>
      <c r="B17087" s="85"/>
      <c r="C17087" s="85"/>
      <c r="F17087" s="92"/>
      <c r="G17087" s="85"/>
    </row>
    <row r="17088">
      <c r="A17088" s="84"/>
      <c r="B17088" s="85"/>
      <c r="C17088" s="85"/>
      <c r="F17088" s="92"/>
      <c r="G17088" s="85"/>
    </row>
    <row r="17089">
      <c r="A17089" s="84"/>
      <c r="B17089" s="85"/>
      <c r="C17089" s="85"/>
      <c r="F17089" s="92"/>
      <c r="G17089" s="85"/>
    </row>
    <row r="17090">
      <c r="A17090" s="84"/>
      <c r="B17090" s="85"/>
      <c r="C17090" s="85"/>
      <c r="F17090" s="92"/>
      <c r="G17090" s="85"/>
    </row>
    <row r="17091">
      <c r="A17091" s="84"/>
      <c r="B17091" s="85"/>
      <c r="C17091" s="85"/>
      <c r="F17091" s="92"/>
      <c r="G17091" s="85"/>
    </row>
    <row r="17092">
      <c r="A17092" s="84"/>
      <c r="B17092" s="85"/>
      <c r="C17092" s="85"/>
      <c r="F17092" s="92"/>
      <c r="G17092" s="85"/>
    </row>
    <row r="17093">
      <c r="A17093" s="84"/>
      <c r="B17093" s="85"/>
      <c r="C17093" s="85"/>
      <c r="F17093" s="92"/>
      <c r="G17093" s="85"/>
    </row>
    <row r="17094">
      <c r="A17094" s="84"/>
      <c r="B17094" s="85"/>
      <c r="C17094" s="85"/>
      <c r="F17094" s="92"/>
      <c r="G17094" s="85"/>
    </row>
    <row r="17095">
      <c r="A17095" s="84"/>
      <c r="B17095" s="85"/>
      <c r="C17095" s="85"/>
      <c r="F17095" s="92"/>
      <c r="G17095" s="85"/>
    </row>
    <row r="17096">
      <c r="A17096" s="84"/>
      <c r="B17096" s="85"/>
      <c r="C17096" s="85"/>
      <c r="F17096" s="92"/>
      <c r="G17096" s="85"/>
    </row>
    <row r="17097">
      <c r="A17097" s="84"/>
      <c r="B17097" s="85"/>
      <c r="C17097" s="85"/>
      <c r="F17097" s="92"/>
      <c r="G17097" s="85"/>
    </row>
    <row r="17098">
      <c r="A17098" s="84"/>
      <c r="B17098" s="85"/>
      <c r="C17098" s="85"/>
      <c r="F17098" s="92"/>
      <c r="G17098" s="85"/>
    </row>
    <row r="17099">
      <c r="A17099" s="84"/>
      <c r="B17099" s="85"/>
      <c r="C17099" s="85"/>
      <c r="F17099" s="92"/>
      <c r="G17099" s="85"/>
    </row>
    <row r="17100">
      <c r="A17100" s="84"/>
      <c r="B17100" s="85"/>
      <c r="C17100" s="85"/>
      <c r="F17100" s="92"/>
      <c r="G17100" s="85"/>
    </row>
    <row r="17101">
      <c r="A17101" s="84"/>
      <c r="B17101" s="85"/>
      <c r="C17101" s="85"/>
      <c r="F17101" s="92"/>
      <c r="G17101" s="85"/>
    </row>
    <row r="17102">
      <c r="A17102" s="84"/>
      <c r="B17102" s="85"/>
      <c r="C17102" s="85"/>
      <c r="F17102" s="92"/>
      <c r="G17102" s="85"/>
    </row>
    <row r="17103">
      <c r="A17103" s="84"/>
      <c r="B17103" s="85"/>
      <c r="C17103" s="85"/>
      <c r="F17103" s="92"/>
      <c r="G17103" s="85"/>
    </row>
    <row r="17104">
      <c r="A17104" s="84"/>
      <c r="B17104" s="85"/>
      <c r="C17104" s="85"/>
      <c r="F17104" s="92"/>
      <c r="G17104" s="85"/>
    </row>
    <row r="17105">
      <c r="A17105" s="84"/>
      <c r="B17105" s="85"/>
      <c r="C17105" s="85"/>
      <c r="F17105" s="92"/>
      <c r="G17105" s="85"/>
    </row>
    <row r="17106">
      <c r="A17106" s="84"/>
      <c r="B17106" s="85"/>
      <c r="C17106" s="85"/>
      <c r="F17106" s="92"/>
      <c r="G17106" s="85"/>
    </row>
    <row r="17107">
      <c r="A17107" s="84"/>
      <c r="B17107" s="85"/>
      <c r="C17107" s="85"/>
      <c r="F17107" s="92"/>
      <c r="G17107" s="85"/>
    </row>
    <row r="17108">
      <c r="A17108" s="84"/>
      <c r="B17108" s="85"/>
      <c r="C17108" s="85"/>
      <c r="F17108" s="92"/>
      <c r="G17108" s="85"/>
    </row>
    <row r="17109">
      <c r="A17109" s="84"/>
      <c r="B17109" s="85"/>
      <c r="C17109" s="85"/>
      <c r="F17109" s="92"/>
      <c r="G17109" s="85"/>
    </row>
    <row r="17110">
      <c r="A17110" s="84"/>
      <c r="B17110" s="85"/>
      <c r="C17110" s="85"/>
      <c r="F17110" s="92"/>
      <c r="G17110" s="85"/>
    </row>
    <row r="17111">
      <c r="A17111" s="84"/>
      <c r="B17111" s="85"/>
      <c r="C17111" s="85"/>
      <c r="F17111" s="92"/>
      <c r="G17111" s="85"/>
    </row>
    <row r="17112">
      <c r="A17112" s="84"/>
      <c r="B17112" s="85"/>
      <c r="C17112" s="85"/>
      <c r="F17112" s="92"/>
      <c r="G17112" s="85"/>
    </row>
    <row r="17113">
      <c r="A17113" s="84"/>
      <c r="B17113" s="85"/>
      <c r="C17113" s="85"/>
      <c r="F17113" s="92"/>
      <c r="G17113" s="85"/>
    </row>
    <row r="17114">
      <c r="A17114" s="84"/>
      <c r="B17114" s="85"/>
      <c r="C17114" s="85"/>
      <c r="F17114" s="92"/>
      <c r="G17114" s="85"/>
    </row>
    <row r="17115">
      <c r="A17115" s="84"/>
      <c r="B17115" s="85"/>
      <c r="C17115" s="85"/>
      <c r="F17115" s="92"/>
      <c r="G17115" s="85"/>
    </row>
    <row r="17116">
      <c r="A17116" s="84"/>
      <c r="B17116" s="85"/>
      <c r="C17116" s="85"/>
      <c r="F17116" s="92"/>
      <c r="G17116" s="85"/>
    </row>
    <row r="17117">
      <c r="A17117" s="84"/>
      <c r="B17117" s="85"/>
      <c r="C17117" s="85"/>
      <c r="F17117" s="92"/>
      <c r="G17117" s="85"/>
    </row>
    <row r="17118">
      <c r="A17118" s="84"/>
      <c r="B17118" s="85"/>
      <c r="C17118" s="85"/>
      <c r="F17118" s="92"/>
      <c r="G17118" s="85"/>
    </row>
    <row r="17119">
      <c r="A17119" s="84"/>
      <c r="B17119" s="85"/>
      <c r="C17119" s="85"/>
      <c r="F17119" s="92"/>
      <c r="G17119" s="85"/>
    </row>
    <row r="17120">
      <c r="A17120" s="84"/>
      <c r="B17120" s="85"/>
      <c r="C17120" s="85"/>
      <c r="F17120" s="92"/>
      <c r="G17120" s="85"/>
    </row>
    <row r="17121">
      <c r="A17121" s="84"/>
      <c r="B17121" s="85"/>
      <c r="C17121" s="85"/>
      <c r="F17121" s="92"/>
      <c r="G17121" s="85"/>
    </row>
    <row r="17122">
      <c r="A17122" s="84"/>
      <c r="B17122" s="85"/>
      <c r="C17122" s="85"/>
      <c r="F17122" s="92"/>
      <c r="G17122" s="85"/>
    </row>
    <row r="17123">
      <c r="A17123" s="84"/>
      <c r="B17123" s="85"/>
      <c r="C17123" s="85"/>
      <c r="F17123" s="92"/>
      <c r="G17123" s="85"/>
    </row>
    <row r="17124">
      <c r="A17124" s="84"/>
      <c r="B17124" s="85"/>
      <c r="C17124" s="85"/>
      <c r="F17124" s="92"/>
      <c r="G17124" s="85"/>
    </row>
    <row r="17125">
      <c r="A17125" s="84"/>
      <c r="B17125" s="85"/>
      <c r="C17125" s="85"/>
      <c r="F17125" s="92"/>
      <c r="G17125" s="85"/>
    </row>
    <row r="17126">
      <c r="A17126" s="84"/>
      <c r="B17126" s="85"/>
      <c r="C17126" s="85"/>
      <c r="F17126" s="92"/>
      <c r="G17126" s="85"/>
    </row>
    <row r="17127">
      <c r="A17127" s="84"/>
      <c r="B17127" s="85"/>
      <c r="C17127" s="85"/>
      <c r="F17127" s="92"/>
      <c r="G17127" s="85"/>
    </row>
    <row r="17128">
      <c r="A17128" s="84"/>
      <c r="B17128" s="85"/>
      <c r="C17128" s="85"/>
      <c r="F17128" s="92"/>
      <c r="G17128" s="85"/>
    </row>
    <row r="17129">
      <c r="A17129" s="84"/>
      <c r="B17129" s="85"/>
      <c r="C17129" s="85"/>
      <c r="F17129" s="92"/>
      <c r="G17129" s="85"/>
    </row>
    <row r="17130">
      <c r="A17130" s="84"/>
      <c r="B17130" s="85"/>
      <c r="C17130" s="85"/>
      <c r="F17130" s="92"/>
      <c r="G17130" s="85"/>
    </row>
    <row r="17131">
      <c r="A17131" s="84"/>
      <c r="B17131" s="85"/>
      <c r="C17131" s="85"/>
      <c r="F17131" s="92"/>
      <c r="G17131" s="85"/>
    </row>
    <row r="17132">
      <c r="A17132" s="84"/>
      <c r="B17132" s="85"/>
      <c r="C17132" s="85"/>
      <c r="F17132" s="92"/>
      <c r="G17132" s="85"/>
    </row>
    <row r="17133">
      <c r="A17133" s="84"/>
      <c r="B17133" s="85"/>
      <c r="C17133" s="85"/>
      <c r="F17133" s="92"/>
      <c r="G17133" s="85"/>
    </row>
    <row r="17134">
      <c r="A17134" s="84"/>
      <c r="B17134" s="85"/>
      <c r="C17134" s="85"/>
      <c r="F17134" s="92"/>
      <c r="G17134" s="85"/>
    </row>
    <row r="17135">
      <c r="A17135" s="84"/>
      <c r="B17135" s="85"/>
      <c r="C17135" s="85"/>
      <c r="F17135" s="92"/>
      <c r="G17135" s="85"/>
    </row>
    <row r="17136">
      <c r="A17136" s="84"/>
      <c r="B17136" s="85"/>
      <c r="C17136" s="85"/>
      <c r="F17136" s="92"/>
      <c r="G17136" s="85"/>
    </row>
    <row r="17137">
      <c r="A17137" s="84"/>
      <c r="B17137" s="85"/>
      <c r="C17137" s="85"/>
      <c r="F17137" s="92"/>
      <c r="G17137" s="85"/>
    </row>
    <row r="17138">
      <c r="A17138" s="84"/>
      <c r="B17138" s="85"/>
      <c r="C17138" s="85"/>
      <c r="F17138" s="92"/>
      <c r="G17138" s="85"/>
    </row>
    <row r="17139">
      <c r="A17139" s="84"/>
      <c r="B17139" s="85"/>
      <c r="C17139" s="85"/>
      <c r="F17139" s="92"/>
      <c r="G17139" s="85"/>
    </row>
    <row r="17140">
      <c r="A17140" s="84"/>
      <c r="B17140" s="85"/>
      <c r="C17140" s="85"/>
      <c r="F17140" s="92"/>
      <c r="G17140" s="85"/>
    </row>
    <row r="17141">
      <c r="A17141" s="84"/>
      <c r="B17141" s="85"/>
      <c r="C17141" s="85"/>
      <c r="F17141" s="92"/>
      <c r="G17141" s="85"/>
    </row>
    <row r="17142">
      <c r="A17142" s="84"/>
      <c r="B17142" s="85"/>
      <c r="C17142" s="85"/>
      <c r="F17142" s="92"/>
      <c r="G17142" s="85"/>
    </row>
    <row r="17143">
      <c r="A17143" s="84"/>
      <c r="B17143" s="85"/>
      <c r="C17143" s="85"/>
      <c r="F17143" s="92"/>
      <c r="G17143" s="85"/>
    </row>
    <row r="17144">
      <c r="A17144" s="84"/>
      <c r="B17144" s="85"/>
      <c r="C17144" s="85"/>
      <c r="F17144" s="92"/>
      <c r="G17144" s="85"/>
    </row>
    <row r="17145">
      <c r="A17145" s="84"/>
      <c r="B17145" s="85"/>
      <c r="C17145" s="85"/>
      <c r="F17145" s="92"/>
      <c r="G17145" s="85"/>
    </row>
    <row r="17146">
      <c r="A17146" s="84"/>
      <c r="B17146" s="85"/>
      <c r="C17146" s="85"/>
      <c r="F17146" s="92"/>
      <c r="G17146" s="85"/>
    </row>
    <row r="17147">
      <c r="A17147" s="84"/>
      <c r="B17147" s="85"/>
      <c r="C17147" s="85"/>
      <c r="F17147" s="92"/>
      <c r="G17147" s="85"/>
    </row>
    <row r="17148">
      <c r="A17148" s="84"/>
      <c r="B17148" s="85"/>
      <c r="C17148" s="85"/>
      <c r="F17148" s="92"/>
      <c r="G17148" s="85"/>
    </row>
    <row r="17149">
      <c r="A17149" s="84"/>
      <c r="B17149" s="85"/>
      <c r="C17149" s="85"/>
      <c r="F17149" s="92"/>
      <c r="G17149" s="85"/>
    </row>
    <row r="17150">
      <c r="A17150" s="84"/>
      <c r="B17150" s="85"/>
      <c r="C17150" s="85"/>
      <c r="F17150" s="92"/>
      <c r="G17150" s="85"/>
    </row>
    <row r="17151">
      <c r="A17151" s="84"/>
      <c r="B17151" s="85"/>
      <c r="C17151" s="85"/>
      <c r="F17151" s="92"/>
      <c r="G17151" s="85"/>
    </row>
    <row r="17152">
      <c r="A17152" s="84"/>
      <c r="B17152" s="85"/>
      <c r="C17152" s="85"/>
      <c r="F17152" s="92"/>
      <c r="G17152" s="85"/>
    </row>
    <row r="17153">
      <c r="A17153" s="84"/>
      <c r="B17153" s="85"/>
      <c r="C17153" s="85"/>
      <c r="F17153" s="92"/>
      <c r="G17153" s="85"/>
    </row>
    <row r="17154">
      <c r="A17154" s="84"/>
      <c r="B17154" s="85"/>
      <c r="C17154" s="85"/>
      <c r="F17154" s="92"/>
      <c r="G17154" s="85"/>
    </row>
    <row r="17155">
      <c r="A17155" s="84"/>
      <c r="B17155" s="85"/>
      <c r="C17155" s="85"/>
      <c r="F17155" s="92"/>
      <c r="G17155" s="85"/>
    </row>
    <row r="17156">
      <c r="A17156" s="84"/>
      <c r="B17156" s="85"/>
      <c r="C17156" s="85"/>
      <c r="F17156" s="92"/>
      <c r="G17156" s="85"/>
    </row>
    <row r="17157">
      <c r="A17157" s="84"/>
      <c r="B17157" s="85"/>
      <c r="C17157" s="85"/>
      <c r="F17157" s="92"/>
      <c r="G17157" s="85"/>
    </row>
    <row r="17158">
      <c r="A17158" s="84"/>
      <c r="B17158" s="85"/>
      <c r="C17158" s="85"/>
      <c r="F17158" s="92"/>
      <c r="G17158" s="85"/>
    </row>
    <row r="17159">
      <c r="A17159" s="84"/>
      <c r="B17159" s="85"/>
      <c r="C17159" s="85"/>
      <c r="F17159" s="92"/>
      <c r="G17159" s="85"/>
    </row>
    <row r="17160">
      <c r="A17160" s="84"/>
      <c r="B17160" s="85"/>
      <c r="C17160" s="85"/>
      <c r="F17160" s="92"/>
      <c r="G17160" s="85"/>
    </row>
    <row r="17161">
      <c r="A17161" s="84"/>
      <c r="B17161" s="85"/>
      <c r="C17161" s="85"/>
      <c r="F17161" s="92"/>
      <c r="G17161" s="85"/>
    </row>
    <row r="17162">
      <c r="A17162" s="84"/>
      <c r="B17162" s="85"/>
      <c r="C17162" s="85"/>
      <c r="F17162" s="92"/>
      <c r="G17162" s="85"/>
    </row>
    <row r="17163">
      <c r="A17163" s="84"/>
      <c r="B17163" s="85"/>
      <c r="C17163" s="85"/>
      <c r="F17163" s="92"/>
      <c r="G17163" s="85"/>
    </row>
    <row r="17164">
      <c r="A17164" s="84"/>
      <c r="B17164" s="85"/>
      <c r="C17164" s="85"/>
      <c r="F17164" s="92"/>
      <c r="G17164" s="85"/>
    </row>
    <row r="17165">
      <c r="A17165" s="84"/>
      <c r="B17165" s="85"/>
      <c r="C17165" s="85"/>
      <c r="F17165" s="92"/>
      <c r="G17165" s="85"/>
    </row>
    <row r="17166">
      <c r="A17166" s="84"/>
      <c r="B17166" s="85"/>
      <c r="C17166" s="85"/>
      <c r="F17166" s="92"/>
      <c r="G17166" s="85"/>
    </row>
    <row r="17167">
      <c r="A17167" s="84"/>
      <c r="B17167" s="85"/>
      <c r="C17167" s="85"/>
      <c r="F17167" s="92"/>
      <c r="G17167" s="85"/>
    </row>
    <row r="17168">
      <c r="A17168" s="84"/>
      <c r="B17168" s="85"/>
      <c r="C17168" s="85"/>
      <c r="F17168" s="92"/>
      <c r="G17168" s="85"/>
    </row>
    <row r="17169">
      <c r="A17169" s="84"/>
      <c r="B17169" s="85"/>
      <c r="C17169" s="85"/>
      <c r="F17169" s="92"/>
      <c r="G17169" s="85"/>
    </row>
    <row r="17170">
      <c r="A17170" s="84"/>
      <c r="B17170" s="85"/>
      <c r="C17170" s="85"/>
      <c r="F17170" s="92"/>
      <c r="G17170" s="85"/>
    </row>
    <row r="17171">
      <c r="A17171" s="84"/>
      <c r="B17171" s="85"/>
      <c r="C17171" s="85"/>
      <c r="F17171" s="92"/>
      <c r="G17171" s="85"/>
    </row>
    <row r="17172">
      <c r="A17172" s="84"/>
      <c r="B17172" s="85"/>
      <c r="C17172" s="85"/>
      <c r="F17172" s="92"/>
      <c r="G17172" s="85"/>
    </row>
    <row r="17173">
      <c r="A17173" s="84"/>
      <c r="B17173" s="85"/>
      <c r="C17173" s="85"/>
      <c r="F17173" s="92"/>
      <c r="G17173" s="85"/>
    </row>
    <row r="17174">
      <c r="A17174" s="84"/>
      <c r="B17174" s="85"/>
      <c r="C17174" s="85"/>
      <c r="F17174" s="92"/>
      <c r="G17174" s="85"/>
    </row>
    <row r="17175">
      <c r="A17175" s="84"/>
      <c r="B17175" s="85"/>
      <c r="C17175" s="85"/>
      <c r="F17175" s="92"/>
      <c r="G17175" s="85"/>
    </row>
    <row r="17176">
      <c r="A17176" s="84"/>
      <c r="B17176" s="85"/>
      <c r="C17176" s="85"/>
      <c r="F17176" s="92"/>
      <c r="G17176" s="85"/>
    </row>
    <row r="17177">
      <c r="A17177" s="84"/>
      <c r="B17177" s="85"/>
      <c r="C17177" s="85"/>
      <c r="F17177" s="92"/>
      <c r="G17177" s="85"/>
    </row>
    <row r="17178">
      <c r="A17178" s="84"/>
      <c r="B17178" s="85"/>
      <c r="C17178" s="85"/>
      <c r="F17178" s="92"/>
      <c r="G17178" s="85"/>
    </row>
    <row r="17179">
      <c r="A17179" s="84"/>
      <c r="B17179" s="85"/>
      <c r="C17179" s="85"/>
      <c r="F17179" s="92"/>
      <c r="G17179" s="85"/>
    </row>
    <row r="17180">
      <c r="A17180" s="84"/>
      <c r="B17180" s="85"/>
      <c r="C17180" s="85"/>
      <c r="F17180" s="92"/>
      <c r="G17180" s="85"/>
    </row>
    <row r="17181">
      <c r="A17181" s="84"/>
      <c r="B17181" s="85"/>
      <c r="C17181" s="85"/>
      <c r="F17181" s="92"/>
      <c r="G17181" s="85"/>
    </row>
    <row r="17182">
      <c r="A17182" s="84"/>
      <c r="B17182" s="85"/>
      <c r="C17182" s="85"/>
      <c r="F17182" s="92"/>
      <c r="G17182" s="85"/>
    </row>
    <row r="17183">
      <c r="A17183" s="84"/>
      <c r="B17183" s="85"/>
      <c r="C17183" s="85"/>
      <c r="F17183" s="92"/>
      <c r="G17183" s="85"/>
    </row>
    <row r="17184">
      <c r="A17184" s="84"/>
      <c r="B17184" s="85"/>
      <c r="C17184" s="85"/>
      <c r="F17184" s="92"/>
      <c r="G17184" s="85"/>
    </row>
    <row r="17185">
      <c r="A17185" s="84"/>
      <c r="B17185" s="85"/>
      <c r="C17185" s="85"/>
      <c r="F17185" s="92"/>
      <c r="G17185" s="85"/>
    </row>
    <row r="17186">
      <c r="A17186" s="84"/>
      <c r="B17186" s="85"/>
      <c r="C17186" s="85"/>
      <c r="F17186" s="92"/>
      <c r="G17186" s="85"/>
    </row>
    <row r="17187">
      <c r="A17187" s="84"/>
      <c r="B17187" s="85"/>
      <c r="C17187" s="85"/>
      <c r="F17187" s="92"/>
      <c r="G17187" s="85"/>
    </row>
    <row r="17188">
      <c r="A17188" s="84"/>
      <c r="B17188" s="85"/>
      <c r="C17188" s="85"/>
      <c r="F17188" s="92"/>
      <c r="G17188" s="85"/>
    </row>
    <row r="17189">
      <c r="A17189" s="84"/>
      <c r="B17189" s="85"/>
      <c r="C17189" s="85"/>
      <c r="F17189" s="92"/>
      <c r="G17189" s="85"/>
    </row>
    <row r="17190">
      <c r="A17190" s="84"/>
      <c r="B17190" s="85"/>
      <c r="C17190" s="85"/>
      <c r="F17190" s="92"/>
      <c r="G17190" s="85"/>
    </row>
    <row r="17191">
      <c r="A17191" s="84"/>
      <c r="B17191" s="85"/>
      <c r="C17191" s="85"/>
      <c r="F17191" s="92"/>
      <c r="G17191" s="85"/>
    </row>
    <row r="17192">
      <c r="A17192" s="84"/>
      <c r="B17192" s="85"/>
      <c r="C17192" s="85"/>
      <c r="F17192" s="92"/>
      <c r="G17192" s="85"/>
    </row>
    <row r="17193">
      <c r="A17193" s="84"/>
      <c r="B17193" s="85"/>
      <c r="C17193" s="85"/>
      <c r="F17193" s="92"/>
      <c r="G17193" s="85"/>
    </row>
    <row r="17194">
      <c r="A17194" s="84"/>
      <c r="B17194" s="85"/>
      <c r="C17194" s="85"/>
      <c r="F17194" s="92"/>
      <c r="G17194" s="85"/>
    </row>
    <row r="17195">
      <c r="A17195" s="84"/>
      <c r="B17195" s="85"/>
      <c r="C17195" s="85"/>
      <c r="F17195" s="92"/>
      <c r="G17195" s="85"/>
    </row>
    <row r="17196">
      <c r="A17196" s="84"/>
      <c r="B17196" s="85"/>
      <c r="C17196" s="85"/>
      <c r="F17196" s="92"/>
      <c r="G17196" s="85"/>
    </row>
    <row r="17197">
      <c r="A17197" s="84"/>
      <c r="B17197" s="85"/>
      <c r="C17197" s="85"/>
      <c r="F17197" s="92"/>
      <c r="G17197" s="85"/>
    </row>
    <row r="17198">
      <c r="A17198" s="84"/>
      <c r="B17198" s="85"/>
      <c r="C17198" s="85"/>
      <c r="F17198" s="92"/>
      <c r="G17198" s="85"/>
    </row>
    <row r="17199">
      <c r="A17199" s="84"/>
      <c r="B17199" s="85"/>
      <c r="C17199" s="85"/>
      <c r="F17199" s="92"/>
      <c r="G17199" s="85"/>
    </row>
    <row r="17200">
      <c r="A17200" s="84"/>
      <c r="B17200" s="85"/>
      <c r="C17200" s="85"/>
      <c r="F17200" s="92"/>
      <c r="G17200" s="85"/>
    </row>
    <row r="17201">
      <c r="A17201" s="84"/>
      <c r="B17201" s="85"/>
      <c r="C17201" s="85"/>
      <c r="F17201" s="92"/>
      <c r="G17201" s="85"/>
    </row>
    <row r="17202">
      <c r="A17202" s="84"/>
      <c r="B17202" s="85"/>
      <c r="C17202" s="85"/>
      <c r="F17202" s="92"/>
      <c r="G17202" s="85"/>
    </row>
    <row r="17203">
      <c r="A17203" s="84"/>
      <c r="B17203" s="85"/>
      <c r="C17203" s="85"/>
      <c r="F17203" s="92"/>
      <c r="G17203" s="85"/>
    </row>
    <row r="17204">
      <c r="A17204" s="84"/>
      <c r="B17204" s="85"/>
      <c r="C17204" s="85"/>
      <c r="F17204" s="92"/>
      <c r="G17204" s="85"/>
    </row>
    <row r="17205">
      <c r="A17205" s="84"/>
      <c r="B17205" s="85"/>
      <c r="C17205" s="85"/>
      <c r="F17205" s="92"/>
      <c r="G17205" s="85"/>
    </row>
    <row r="17206">
      <c r="A17206" s="84"/>
      <c r="B17206" s="85"/>
      <c r="C17206" s="85"/>
      <c r="F17206" s="92"/>
      <c r="G17206" s="85"/>
    </row>
    <row r="17207">
      <c r="A17207" s="84"/>
      <c r="B17207" s="85"/>
      <c r="C17207" s="85"/>
      <c r="F17207" s="92"/>
      <c r="G17207" s="85"/>
    </row>
    <row r="17208">
      <c r="A17208" s="84"/>
      <c r="B17208" s="85"/>
      <c r="C17208" s="85"/>
      <c r="F17208" s="92"/>
      <c r="G17208" s="85"/>
    </row>
    <row r="17209">
      <c r="A17209" s="84"/>
      <c r="B17209" s="85"/>
      <c r="C17209" s="85"/>
      <c r="F17209" s="92"/>
      <c r="G17209" s="85"/>
    </row>
    <row r="17210">
      <c r="A17210" s="84"/>
      <c r="B17210" s="85"/>
      <c r="C17210" s="85"/>
      <c r="F17210" s="92"/>
      <c r="G17210" s="85"/>
    </row>
    <row r="17211">
      <c r="A17211" s="84"/>
      <c r="B17211" s="85"/>
      <c r="C17211" s="85"/>
      <c r="F17211" s="92"/>
      <c r="G17211" s="85"/>
    </row>
    <row r="17212">
      <c r="A17212" s="84"/>
      <c r="B17212" s="85"/>
      <c r="C17212" s="85"/>
      <c r="F17212" s="92"/>
      <c r="G17212" s="85"/>
    </row>
    <row r="17213">
      <c r="A17213" s="84"/>
      <c r="B17213" s="85"/>
      <c r="C17213" s="85"/>
      <c r="F17213" s="92"/>
      <c r="G17213" s="85"/>
    </row>
    <row r="17214">
      <c r="A17214" s="84"/>
      <c r="B17214" s="85"/>
      <c r="C17214" s="85"/>
      <c r="F17214" s="92"/>
      <c r="G17214" s="85"/>
    </row>
    <row r="17215">
      <c r="A17215" s="84"/>
      <c r="B17215" s="85"/>
      <c r="C17215" s="85"/>
      <c r="F17215" s="92"/>
      <c r="G17215" s="85"/>
    </row>
    <row r="17216">
      <c r="A17216" s="84"/>
      <c r="B17216" s="85"/>
      <c r="C17216" s="85"/>
      <c r="F17216" s="92"/>
      <c r="G17216" s="85"/>
    </row>
    <row r="17217">
      <c r="A17217" s="84"/>
      <c r="B17217" s="85"/>
      <c r="C17217" s="85"/>
      <c r="F17217" s="92"/>
      <c r="G17217" s="85"/>
    </row>
    <row r="17218">
      <c r="A17218" s="84"/>
      <c r="B17218" s="85"/>
      <c r="C17218" s="85"/>
      <c r="F17218" s="92"/>
      <c r="G17218" s="85"/>
    </row>
    <row r="17219">
      <c r="A17219" s="84"/>
      <c r="B17219" s="85"/>
      <c r="C17219" s="85"/>
      <c r="F17219" s="92"/>
      <c r="G17219" s="85"/>
    </row>
    <row r="17220">
      <c r="A17220" s="84"/>
      <c r="B17220" s="85"/>
      <c r="C17220" s="85"/>
      <c r="F17220" s="92"/>
      <c r="G17220" s="85"/>
    </row>
    <row r="17221">
      <c r="A17221" s="84"/>
      <c r="B17221" s="85"/>
      <c r="C17221" s="85"/>
      <c r="F17221" s="92"/>
      <c r="G17221" s="85"/>
    </row>
    <row r="17222">
      <c r="A17222" s="84"/>
      <c r="B17222" s="85"/>
      <c r="C17222" s="85"/>
      <c r="F17222" s="92"/>
      <c r="G17222" s="85"/>
    </row>
    <row r="17223">
      <c r="A17223" s="84"/>
      <c r="B17223" s="85"/>
      <c r="C17223" s="85"/>
      <c r="F17223" s="92"/>
      <c r="G17223" s="85"/>
    </row>
    <row r="17224">
      <c r="A17224" s="84"/>
      <c r="B17224" s="85"/>
      <c r="C17224" s="85"/>
      <c r="F17224" s="92"/>
      <c r="G17224" s="85"/>
    </row>
    <row r="17225">
      <c r="A17225" s="84"/>
      <c r="B17225" s="85"/>
      <c r="C17225" s="85"/>
      <c r="F17225" s="92"/>
      <c r="G17225" s="85"/>
    </row>
    <row r="17226">
      <c r="A17226" s="84"/>
      <c r="B17226" s="85"/>
      <c r="C17226" s="85"/>
      <c r="F17226" s="92"/>
      <c r="G17226" s="85"/>
    </row>
    <row r="17227">
      <c r="A17227" s="84"/>
      <c r="B17227" s="85"/>
      <c r="C17227" s="85"/>
      <c r="F17227" s="92"/>
      <c r="G17227" s="85"/>
    </row>
    <row r="17228">
      <c r="A17228" s="84"/>
      <c r="B17228" s="85"/>
      <c r="C17228" s="85"/>
      <c r="F17228" s="92"/>
      <c r="G17228" s="85"/>
    </row>
    <row r="17229">
      <c r="A17229" s="84"/>
      <c r="B17229" s="85"/>
      <c r="C17229" s="85"/>
      <c r="F17229" s="92"/>
      <c r="G17229" s="85"/>
    </row>
    <row r="17230">
      <c r="A17230" s="84"/>
      <c r="B17230" s="85"/>
      <c r="C17230" s="85"/>
      <c r="F17230" s="92"/>
      <c r="G17230" s="85"/>
    </row>
    <row r="17231">
      <c r="A17231" s="84"/>
      <c r="B17231" s="85"/>
      <c r="C17231" s="85"/>
      <c r="F17231" s="92"/>
      <c r="G17231" s="85"/>
    </row>
    <row r="17232">
      <c r="A17232" s="84"/>
      <c r="B17232" s="85"/>
      <c r="C17232" s="85"/>
      <c r="F17232" s="92"/>
      <c r="G17232" s="85"/>
    </row>
    <row r="17233">
      <c r="A17233" s="84"/>
      <c r="B17233" s="85"/>
      <c r="C17233" s="85"/>
      <c r="F17233" s="92"/>
      <c r="G17233" s="85"/>
    </row>
    <row r="17234">
      <c r="A17234" s="84"/>
      <c r="B17234" s="85"/>
      <c r="C17234" s="85"/>
      <c r="F17234" s="92"/>
      <c r="G17234" s="85"/>
    </row>
    <row r="17235">
      <c r="A17235" s="84"/>
      <c r="B17235" s="85"/>
      <c r="C17235" s="85"/>
      <c r="F17235" s="92"/>
      <c r="G17235" s="85"/>
    </row>
    <row r="17236">
      <c r="A17236" s="84"/>
      <c r="B17236" s="85"/>
      <c r="C17236" s="85"/>
      <c r="F17236" s="92"/>
      <c r="G17236" s="85"/>
    </row>
    <row r="17237">
      <c r="A17237" s="84"/>
      <c r="B17237" s="85"/>
      <c r="C17237" s="85"/>
      <c r="F17237" s="92"/>
      <c r="G17237" s="85"/>
    </row>
    <row r="17238">
      <c r="A17238" s="84"/>
      <c r="B17238" s="85"/>
      <c r="C17238" s="85"/>
      <c r="F17238" s="92"/>
      <c r="G17238" s="85"/>
    </row>
    <row r="17239">
      <c r="A17239" s="84"/>
      <c r="B17239" s="85"/>
      <c r="C17239" s="85"/>
      <c r="F17239" s="92"/>
      <c r="G17239" s="85"/>
    </row>
    <row r="17240">
      <c r="A17240" s="84"/>
      <c r="B17240" s="85"/>
      <c r="C17240" s="85"/>
      <c r="F17240" s="92"/>
      <c r="G17240" s="85"/>
    </row>
    <row r="17241">
      <c r="A17241" s="84"/>
      <c r="B17241" s="85"/>
      <c r="C17241" s="85"/>
      <c r="F17241" s="92"/>
      <c r="G17241" s="85"/>
    </row>
    <row r="17242">
      <c r="A17242" s="84"/>
      <c r="B17242" s="85"/>
      <c r="C17242" s="85"/>
      <c r="F17242" s="92"/>
      <c r="G17242" s="85"/>
    </row>
    <row r="17243">
      <c r="A17243" s="84"/>
      <c r="B17243" s="85"/>
      <c r="C17243" s="85"/>
      <c r="F17243" s="92"/>
      <c r="G17243" s="85"/>
    </row>
    <row r="17244">
      <c r="A17244" s="84"/>
      <c r="B17244" s="85"/>
      <c r="C17244" s="85"/>
      <c r="F17244" s="92"/>
      <c r="G17244" s="85"/>
    </row>
    <row r="17245">
      <c r="A17245" s="84"/>
      <c r="B17245" s="85"/>
      <c r="C17245" s="85"/>
      <c r="F17245" s="92"/>
      <c r="G17245" s="85"/>
    </row>
    <row r="17246">
      <c r="A17246" s="84"/>
      <c r="B17246" s="85"/>
      <c r="C17246" s="85"/>
      <c r="F17246" s="92"/>
      <c r="G17246" s="85"/>
    </row>
    <row r="17247">
      <c r="A17247" s="84"/>
      <c r="B17247" s="85"/>
      <c r="C17247" s="85"/>
      <c r="F17247" s="92"/>
      <c r="G17247" s="85"/>
    </row>
    <row r="17248">
      <c r="A17248" s="84"/>
      <c r="B17248" s="85"/>
      <c r="C17248" s="85"/>
      <c r="F17248" s="92"/>
      <c r="G17248" s="85"/>
    </row>
    <row r="17249">
      <c r="A17249" s="84"/>
      <c r="B17249" s="85"/>
      <c r="C17249" s="85"/>
      <c r="F17249" s="92"/>
      <c r="G17249" s="85"/>
    </row>
    <row r="17250">
      <c r="A17250" s="84"/>
      <c r="B17250" s="85"/>
      <c r="C17250" s="85"/>
      <c r="F17250" s="92"/>
      <c r="G17250" s="85"/>
    </row>
    <row r="17251">
      <c r="A17251" s="84"/>
      <c r="B17251" s="85"/>
      <c r="C17251" s="85"/>
      <c r="F17251" s="92"/>
      <c r="G17251" s="85"/>
    </row>
    <row r="17252">
      <c r="A17252" s="84"/>
      <c r="B17252" s="85"/>
      <c r="C17252" s="85"/>
      <c r="F17252" s="92"/>
      <c r="G17252" s="85"/>
    </row>
    <row r="17253">
      <c r="A17253" s="84"/>
      <c r="B17253" s="85"/>
      <c r="C17253" s="85"/>
      <c r="F17253" s="92"/>
      <c r="G17253" s="85"/>
    </row>
    <row r="17254">
      <c r="A17254" s="84"/>
      <c r="B17254" s="85"/>
      <c r="C17254" s="85"/>
      <c r="F17254" s="92"/>
      <c r="G17254" s="85"/>
    </row>
    <row r="17255">
      <c r="A17255" s="84"/>
      <c r="B17255" s="85"/>
      <c r="C17255" s="85"/>
      <c r="F17255" s="92"/>
      <c r="G17255" s="85"/>
    </row>
    <row r="17256">
      <c r="A17256" s="84"/>
      <c r="B17256" s="85"/>
      <c r="C17256" s="85"/>
      <c r="F17256" s="92"/>
      <c r="G17256" s="85"/>
    </row>
    <row r="17257">
      <c r="A17257" s="84"/>
      <c r="B17257" s="85"/>
      <c r="C17257" s="85"/>
      <c r="F17257" s="92"/>
      <c r="G17257" s="85"/>
    </row>
    <row r="17258">
      <c r="A17258" s="84"/>
      <c r="B17258" s="85"/>
      <c r="C17258" s="85"/>
      <c r="F17258" s="92"/>
      <c r="G17258" s="85"/>
    </row>
    <row r="17259">
      <c r="A17259" s="84"/>
      <c r="B17259" s="85"/>
      <c r="C17259" s="85"/>
      <c r="F17259" s="92"/>
      <c r="G17259" s="85"/>
    </row>
    <row r="17260">
      <c r="A17260" s="84"/>
      <c r="B17260" s="85"/>
      <c r="C17260" s="85"/>
      <c r="F17260" s="92"/>
      <c r="G17260" s="85"/>
    </row>
    <row r="17261">
      <c r="A17261" s="84"/>
      <c r="B17261" s="85"/>
      <c r="C17261" s="85"/>
      <c r="F17261" s="92"/>
      <c r="G17261" s="85"/>
    </row>
    <row r="17262">
      <c r="A17262" s="84"/>
      <c r="B17262" s="85"/>
      <c r="C17262" s="85"/>
      <c r="F17262" s="92"/>
      <c r="G17262" s="85"/>
    </row>
    <row r="17263">
      <c r="A17263" s="84"/>
      <c r="B17263" s="85"/>
      <c r="C17263" s="85"/>
      <c r="F17263" s="92"/>
      <c r="G17263" s="85"/>
    </row>
    <row r="17264">
      <c r="A17264" s="84"/>
      <c r="B17264" s="85"/>
      <c r="C17264" s="85"/>
      <c r="F17264" s="92"/>
      <c r="G17264" s="85"/>
    </row>
    <row r="17265">
      <c r="A17265" s="84"/>
      <c r="B17265" s="85"/>
      <c r="C17265" s="85"/>
      <c r="F17265" s="92"/>
      <c r="G17265" s="85"/>
    </row>
    <row r="17266">
      <c r="A17266" s="84"/>
      <c r="B17266" s="85"/>
      <c r="C17266" s="85"/>
      <c r="F17266" s="92"/>
      <c r="G17266" s="85"/>
    </row>
    <row r="17267">
      <c r="A17267" s="84"/>
      <c r="B17267" s="85"/>
      <c r="C17267" s="85"/>
      <c r="F17267" s="92"/>
      <c r="G17267" s="85"/>
    </row>
    <row r="17268">
      <c r="A17268" s="84"/>
      <c r="B17268" s="85"/>
      <c r="C17268" s="85"/>
      <c r="F17268" s="92"/>
      <c r="G17268" s="85"/>
    </row>
    <row r="17269">
      <c r="A17269" s="84"/>
      <c r="B17269" s="85"/>
      <c r="C17269" s="85"/>
      <c r="F17269" s="92"/>
      <c r="G17269" s="85"/>
    </row>
    <row r="17270">
      <c r="A17270" s="84"/>
      <c r="B17270" s="85"/>
      <c r="C17270" s="85"/>
      <c r="F17270" s="92"/>
      <c r="G17270" s="85"/>
    </row>
    <row r="17271">
      <c r="A17271" s="84"/>
      <c r="B17271" s="85"/>
      <c r="C17271" s="85"/>
      <c r="F17271" s="92"/>
      <c r="G17271" s="85"/>
    </row>
    <row r="17272">
      <c r="A17272" s="84"/>
      <c r="B17272" s="85"/>
      <c r="C17272" s="85"/>
      <c r="F17272" s="92"/>
      <c r="G17272" s="85"/>
    </row>
    <row r="17273">
      <c r="A17273" s="84"/>
      <c r="B17273" s="85"/>
      <c r="C17273" s="85"/>
      <c r="F17273" s="92"/>
      <c r="G17273" s="85"/>
    </row>
    <row r="17274">
      <c r="A17274" s="84"/>
      <c r="B17274" s="85"/>
      <c r="C17274" s="85"/>
      <c r="F17274" s="92"/>
      <c r="G17274" s="85"/>
    </row>
    <row r="17275">
      <c r="A17275" s="84"/>
      <c r="B17275" s="85"/>
      <c r="C17275" s="85"/>
      <c r="F17275" s="92"/>
      <c r="G17275" s="85"/>
    </row>
    <row r="17276">
      <c r="A17276" s="84"/>
      <c r="B17276" s="85"/>
      <c r="C17276" s="85"/>
      <c r="F17276" s="92"/>
      <c r="G17276" s="85"/>
    </row>
    <row r="17277">
      <c r="A17277" s="84"/>
      <c r="B17277" s="85"/>
      <c r="C17277" s="85"/>
      <c r="F17277" s="92"/>
      <c r="G17277" s="85"/>
    </row>
    <row r="17278">
      <c r="A17278" s="84"/>
      <c r="B17278" s="85"/>
      <c r="C17278" s="85"/>
      <c r="F17278" s="92"/>
      <c r="G17278" s="85"/>
    </row>
    <row r="17279">
      <c r="A17279" s="84"/>
      <c r="B17279" s="85"/>
      <c r="C17279" s="85"/>
      <c r="F17279" s="92"/>
      <c r="G17279" s="85"/>
    </row>
    <row r="17280">
      <c r="A17280" s="84"/>
      <c r="B17280" s="85"/>
      <c r="C17280" s="85"/>
      <c r="F17280" s="92"/>
      <c r="G17280" s="85"/>
    </row>
    <row r="17281">
      <c r="A17281" s="84"/>
      <c r="B17281" s="85"/>
      <c r="C17281" s="85"/>
      <c r="F17281" s="92"/>
      <c r="G17281" s="85"/>
    </row>
    <row r="17282">
      <c r="A17282" s="84"/>
      <c r="B17282" s="85"/>
      <c r="C17282" s="85"/>
      <c r="F17282" s="92"/>
      <c r="G17282" s="85"/>
    </row>
    <row r="17283">
      <c r="A17283" s="84"/>
      <c r="B17283" s="85"/>
      <c r="C17283" s="85"/>
      <c r="F17283" s="92"/>
      <c r="G17283" s="85"/>
    </row>
    <row r="17284">
      <c r="A17284" s="84"/>
      <c r="B17284" s="85"/>
      <c r="C17284" s="85"/>
      <c r="F17284" s="92"/>
      <c r="G17284" s="85"/>
    </row>
    <row r="17285">
      <c r="A17285" s="84"/>
      <c r="B17285" s="85"/>
      <c r="C17285" s="85"/>
      <c r="F17285" s="92"/>
      <c r="G17285" s="85"/>
    </row>
    <row r="17286">
      <c r="A17286" s="84"/>
      <c r="B17286" s="85"/>
      <c r="C17286" s="85"/>
      <c r="F17286" s="92"/>
      <c r="G17286" s="85"/>
    </row>
    <row r="17287">
      <c r="A17287" s="84"/>
      <c r="B17287" s="85"/>
      <c r="C17287" s="85"/>
      <c r="F17287" s="92"/>
      <c r="G17287" s="85"/>
    </row>
    <row r="17288">
      <c r="A17288" s="84"/>
      <c r="B17288" s="85"/>
      <c r="C17288" s="85"/>
      <c r="F17288" s="92"/>
      <c r="G17288" s="85"/>
    </row>
    <row r="17289">
      <c r="A17289" s="84"/>
      <c r="B17289" s="85"/>
      <c r="C17289" s="85"/>
      <c r="F17289" s="92"/>
      <c r="G17289" s="85"/>
    </row>
    <row r="17290">
      <c r="A17290" s="84"/>
      <c r="B17290" s="85"/>
      <c r="C17290" s="85"/>
      <c r="F17290" s="92"/>
      <c r="G17290" s="85"/>
    </row>
    <row r="17291">
      <c r="A17291" s="84"/>
      <c r="B17291" s="85"/>
      <c r="C17291" s="85"/>
      <c r="F17291" s="92"/>
      <c r="G17291" s="85"/>
    </row>
    <row r="17292">
      <c r="A17292" s="84"/>
      <c r="B17292" s="85"/>
      <c r="C17292" s="85"/>
      <c r="F17292" s="92"/>
      <c r="G17292" s="85"/>
    </row>
    <row r="17293">
      <c r="A17293" s="84"/>
      <c r="B17293" s="85"/>
      <c r="C17293" s="85"/>
      <c r="F17293" s="92"/>
      <c r="G17293" s="85"/>
    </row>
    <row r="17294">
      <c r="A17294" s="84"/>
      <c r="B17294" s="85"/>
      <c r="C17294" s="85"/>
      <c r="F17294" s="92"/>
      <c r="G17294" s="85"/>
    </row>
    <row r="17295">
      <c r="A17295" s="84"/>
      <c r="B17295" s="85"/>
      <c r="C17295" s="85"/>
      <c r="F17295" s="92"/>
      <c r="G17295" s="85"/>
    </row>
    <row r="17296">
      <c r="A17296" s="84"/>
      <c r="B17296" s="85"/>
      <c r="C17296" s="85"/>
      <c r="F17296" s="92"/>
      <c r="G17296" s="85"/>
    </row>
    <row r="17297">
      <c r="A17297" s="84"/>
      <c r="B17297" s="85"/>
      <c r="C17297" s="85"/>
      <c r="F17297" s="92"/>
      <c r="G17297" s="85"/>
    </row>
    <row r="17298">
      <c r="A17298" s="84"/>
      <c r="B17298" s="85"/>
      <c r="C17298" s="85"/>
      <c r="F17298" s="92"/>
      <c r="G17298" s="85"/>
    </row>
    <row r="17299">
      <c r="A17299" s="84"/>
      <c r="B17299" s="85"/>
      <c r="C17299" s="85"/>
      <c r="F17299" s="92"/>
      <c r="G17299" s="85"/>
    </row>
    <row r="17300">
      <c r="A17300" s="84"/>
      <c r="B17300" s="85"/>
      <c r="C17300" s="85"/>
      <c r="F17300" s="92"/>
      <c r="G17300" s="85"/>
    </row>
    <row r="17301">
      <c r="A17301" s="84"/>
      <c r="B17301" s="85"/>
      <c r="C17301" s="85"/>
      <c r="F17301" s="92"/>
      <c r="G17301" s="85"/>
    </row>
    <row r="17302">
      <c r="A17302" s="84"/>
      <c r="B17302" s="85"/>
      <c r="C17302" s="85"/>
      <c r="F17302" s="92"/>
      <c r="G17302" s="85"/>
    </row>
    <row r="17303">
      <c r="A17303" s="84"/>
      <c r="B17303" s="85"/>
      <c r="C17303" s="85"/>
      <c r="F17303" s="92"/>
      <c r="G17303" s="85"/>
    </row>
    <row r="17304">
      <c r="A17304" s="84"/>
      <c r="B17304" s="85"/>
      <c r="C17304" s="85"/>
      <c r="F17304" s="92"/>
      <c r="G17304" s="85"/>
    </row>
    <row r="17305">
      <c r="A17305" s="84"/>
      <c r="B17305" s="85"/>
      <c r="C17305" s="85"/>
      <c r="F17305" s="92"/>
      <c r="G17305" s="85"/>
    </row>
    <row r="17306">
      <c r="A17306" s="84"/>
      <c r="B17306" s="85"/>
      <c r="C17306" s="85"/>
      <c r="F17306" s="92"/>
      <c r="G17306" s="85"/>
    </row>
    <row r="17307">
      <c r="A17307" s="84"/>
      <c r="B17307" s="85"/>
      <c r="C17307" s="85"/>
      <c r="F17307" s="92"/>
      <c r="G17307" s="85"/>
    </row>
    <row r="17308">
      <c r="A17308" s="84"/>
      <c r="B17308" s="85"/>
      <c r="C17308" s="85"/>
      <c r="F17308" s="92"/>
      <c r="G17308" s="85"/>
    </row>
    <row r="17309">
      <c r="A17309" s="84"/>
      <c r="B17309" s="85"/>
      <c r="C17309" s="85"/>
      <c r="F17309" s="92"/>
      <c r="G17309" s="85"/>
    </row>
    <row r="17310">
      <c r="A17310" s="84"/>
      <c r="B17310" s="85"/>
      <c r="C17310" s="85"/>
      <c r="F17310" s="92"/>
      <c r="G17310" s="85"/>
    </row>
    <row r="17311">
      <c r="A17311" s="84"/>
      <c r="B17311" s="85"/>
      <c r="C17311" s="85"/>
      <c r="F17311" s="92"/>
      <c r="G17311" s="85"/>
    </row>
    <row r="17312">
      <c r="A17312" s="84"/>
      <c r="B17312" s="85"/>
      <c r="C17312" s="85"/>
      <c r="F17312" s="92"/>
      <c r="G17312" s="85"/>
    </row>
    <row r="17313">
      <c r="A17313" s="84"/>
      <c r="B17313" s="85"/>
      <c r="C17313" s="85"/>
      <c r="F17313" s="92"/>
      <c r="G17313" s="85"/>
    </row>
    <row r="17314">
      <c r="A17314" s="84"/>
      <c r="B17314" s="85"/>
      <c r="C17314" s="85"/>
      <c r="F17314" s="92"/>
      <c r="G17314" s="85"/>
    </row>
    <row r="17315">
      <c r="A17315" s="84"/>
      <c r="B17315" s="85"/>
      <c r="C17315" s="85"/>
      <c r="F17315" s="92"/>
      <c r="G17315" s="85"/>
    </row>
    <row r="17316">
      <c r="A17316" s="84"/>
      <c r="B17316" s="85"/>
      <c r="C17316" s="85"/>
      <c r="F17316" s="92"/>
      <c r="G17316" s="85"/>
    </row>
    <row r="17317">
      <c r="A17317" s="84"/>
      <c r="B17317" s="85"/>
      <c r="C17317" s="85"/>
      <c r="F17317" s="92"/>
      <c r="G17317" s="85"/>
    </row>
    <row r="17318">
      <c r="A17318" s="84"/>
      <c r="B17318" s="85"/>
      <c r="C17318" s="85"/>
      <c r="F17318" s="92"/>
      <c r="G17318" s="85"/>
    </row>
    <row r="17319">
      <c r="A17319" s="84"/>
      <c r="B17319" s="85"/>
      <c r="C17319" s="85"/>
      <c r="F17319" s="92"/>
      <c r="G17319" s="85"/>
    </row>
    <row r="17320">
      <c r="A17320" s="84"/>
      <c r="B17320" s="85"/>
      <c r="C17320" s="85"/>
      <c r="F17320" s="92"/>
      <c r="G17320" s="85"/>
    </row>
    <row r="17321">
      <c r="A17321" s="84"/>
      <c r="B17321" s="85"/>
      <c r="C17321" s="85"/>
      <c r="F17321" s="92"/>
      <c r="G17321" s="85"/>
    </row>
    <row r="17322">
      <c r="A17322" s="84"/>
      <c r="B17322" s="85"/>
      <c r="C17322" s="85"/>
      <c r="F17322" s="92"/>
      <c r="G17322" s="85"/>
    </row>
    <row r="17323">
      <c r="A17323" s="84"/>
      <c r="B17323" s="85"/>
      <c r="C17323" s="85"/>
      <c r="F17323" s="92"/>
      <c r="G17323" s="85"/>
    </row>
    <row r="17324">
      <c r="A17324" s="84"/>
      <c r="B17324" s="85"/>
      <c r="C17324" s="85"/>
      <c r="F17324" s="92"/>
      <c r="G17324" s="85"/>
    </row>
    <row r="17325">
      <c r="A17325" s="84"/>
      <c r="B17325" s="85"/>
      <c r="C17325" s="85"/>
      <c r="F17325" s="92"/>
      <c r="G17325" s="85"/>
    </row>
    <row r="17326">
      <c r="A17326" s="84"/>
      <c r="B17326" s="85"/>
      <c r="C17326" s="85"/>
      <c r="F17326" s="92"/>
      <c r="G17326" s="85"/>
    </row>
    <row r="17327">
      <c r="A17327" s="84"/>
      <c r="B17327" s="85"/>
      <c r="C17327" s="85"/>
      <c r="F17327" s="92"/>
      <c r="G17327" s="85"/>
    </row>
    <row r="17328">
      <c r="A17328" s="84"/>
      <c r="B17328" s="85"/>
      <c r="C17328" s="85"/>
      <c r="F17328" s="92"/>
      <c r="G17328" s="85"/>
    </row>
    <row r="17329">
      <c r="A17329" s="84"/>
      <c r="B17329" s="85"/>
      <c r="C17329" s="85"/>
      <c r="F17329" s="92"/>
      <c r="G17329" s="85"/>
    </row>
    <row r="17330">
      <c r="A17330" s="84"/>
      <c r="B17330" s="85"/>
      <c r="C17330" s="85"/>
      <c r="F17330" s="92"/>
      <c r="G17330" s="85"/>
    </row>
    <row r="17331">
      <c r="A17331" s="84"/>
      <c r="B17331" s="85"/>
      <c r="C17331" s="85"/>
      <c r="F17331" s="92"/>
      <c r="G17331" s="85"/>
    </row>
    <row r="17332">
      <c r="A17332" s="84"/>
      <c r="B17332" s="85"/>
      <c r="C17332" s="85"/>
      <c r="F17332" s="92"/>
      <c r="G17332" s="85"/>
    </row>
    <row r="17333">
      <c r="A17333" s="84"/>
      <c r="B17333" s="85"/>
      <c r="C17333" s="85"/>
      <c r="F17333" s="92"/>
      <c r="G17333" s="85"/>
    </row>
    <row r="17334">
      <c r="A17334" s="84"/>
      <c r="B17334" s="85"/>
      <c r="C17334" s="85"/>
      <c r="F17334" s="92"/>
      <c r="G17334" s="85"/>
    </row>
    <row r="17335">
      <c r="A17335" s="84"/>
      <c r="B17335" s="85"/>
      <c r="C17335" s="85"/>
      <c r="F17335" s="92"/>
      <c r="G17335" s="85"/>
    </row>
    <row r="17336">
      <c r="A17336" s="84"/>
      <c r="B17336" s="85"/>
      <c r="C17336" s="85"/>
      <c r="F17336" s="92"/>
      <c r="G17336" s="85"/>
    </row>
    <row r="17337">
      <c r="A17337" s="84"/>
      <c r="B17337" s="85"/>
      <c r="C17337" s="85"/>
      <c r="F17337" s="92"/>
      <c r="G17337" s="85"/>
    </row>
    <row r="17338">
      <c r="A17338" s="84"/>
      <c r="B17338" s="85"/>
      <c r="C17338" s="85"/>
      <c r="F17338" s="92"/>
      <c r="G17338" s="85"/>
    </row>
    <row r="17339">
      <c r="A17339" s="84"/>
      <c r="B17339" s="85"/>
      <c r="C17339" s="85"/>
      <c r="F17339" s="92"/>
      <c r="G17339" s="85"/>
    </row>
    <row r="17340">
      <c r="A17340" s="84"/>
      <c r="B17340" s="85"/>
      <c r="C17340" s="85"/>
      <c r="F17340" s="92"/>
      <c r="G17340" s="85"/>
    </row>
    <row r="17341">
      <c r="A17341" s="84"/>
      <c r="B17341" s="85"/>
      <c r="C17341" s="85"/>
      <c r="F17341" s="92"/>
      <c r="G17341" s="85"/>
    </row>
    <row r="17342">
      <c r="A17342" s="84"/>
      <c r="B17342" s="85"/>
      <c r="C17342" s="85"/>
      <c r="F17342" s="92"/>
      <c r="G17342" s="85"/>
    </row>
    <row r="17343">
      <c r="A17343" s="84"/>
      <c r="B17343" s="85"/>
      <c r="C17343" s="85"/>
      <c r="F17343" s="92"/>
      <c r="G17343" s="85"/>
    </row>
    <row r="17344">
      <c r="A17344" s="84"/>
      <c r="B17344" s="85"/>
      <c r="C17344" s="85"/>
      <c r="F17344" s="92"/>
      <c r="G17344" s="85"/>
    </row>
    <row r="17345">
      <c r="A17345" s="84"/>
      <c r="B17345" s="85"/>
      <c r="C17345" s="85"/>
      <c r="F17345" s="92"/>
      <c r="G17345" s="85"/>
    </row>
    <row r="17346">
      <c r="A17346" s="84"/>
      <c r="B17346" s="85"/>
      <c r="C17346" s="85"/>
      <c r="F17346" s="92"/>
      <c r="G17346" s="85"/>
    </row>
    <row r="17347">
      <c r="A17347" s="84"/>
      <c r="B17347" s="85"/>
      <c r="C17347" s="85"/>
      <c r="F17347" s="92"/>
      <c r="G17347" s="85"/>
    </row>
    <row r="17348">
      <c r="A17348" s="84"/>
      <c r="B17348" s="85"/>
      <c r="C17348" s="85"/>
      <c r="F17348" s="92"/>
      <c r="G17348" s="85"/>
    </row>
    <row r="17349">
      <c r="A17349" s="84"/>
      <c r="B17349" s="85"/>
      <c r="C17349" s="85"/>
      <c r="F17349" s="92"/>
      <c r="G17349" s="85"/>
    </row>
    <row r="17350">
      <c r="A17350" s="84"/>
      <c r="B17350" s="85"/>
      <c r="C17350" s="85"/>
      <c r="F17350" s="92"/>
      <c r="G17350" s="85"/>
    </row>
    <row r="17351">
      <c r="A17351" s="84"/>
      <c r="B17351" s="85"/>
      <c r="C17351" s="85"/>
      <c r="F17351" s="92"/>
      <c r="G17351" s="85"/>
    </row>
    <row r="17352">
      <c r="A17352" s="84"/>
      <c r="B17352" s="85"/>
      <c r="C17352" s="85"/>
      <c r="F17352" s="92"/>
      <c r="G17352" s="85"/>
    </row>
    <row r="17353">
      <c r="A17353" s="84"/>
      <c r="B17353" s="85"/>
      <c r="C17353" s="85"/>
      <c r="F17353" s="92"/>
      <c r="G17353" s="85"/>
    </row>
    <row r="17354">
      <c r="A17354" s="84"/>
      <c r="B17354" s="85"/>
      <c r="C17354" s="85"/>
      <c r="F17354" s="92"/>
      <c r="G17354" s="85"/>
    </row>
    <row r="17355">
      <c r="A17355" s="84"/>
      <c r="B17355" s="85"/>
      <c r="C17355" s="85"/>
      <c r="F17355" s="92"/>
      <c r="G17355" s="85"/>
    </row>
    <row r="17356">
      <c r="A17356" s="84"/>
      <c r="B17356" s="85"/>
      <c r="C17356" s="85"/>
      <c r="F17356" s="92"/>
      <c r="G17356" s="85"/>
    </row>
    <row r="17357">
      <c r="A17357" s="84"/>
      <c r="B17357" s="85"/>
      <c r="C17357" s="85"/>
      <c r="F17357" s="92"/>
      <c r="G17357" s="85"/>
    </row>
    <row r="17358">
      <c r="A17358" s="84"/>
      <c r="B17358" s="85"/>
      <c r="C17358" s="85"/>
      <c r="F17358" s="92"/>
      <c r="G17358" s="85"/>
    </row>
    <row r="17359">
      <c r="A17359" s="84"/>
      <c r="B17359" s="85"/>
      <c r="C17359" s="85"/>
      <c r="F17359" s="92"/>
      <c r="G17359" s="85"/>
    </row>
    <row r="17360">
      <c r="A17360" s="84"/>
      <c r="B17360" s="85"/>
      <c r="C17360" s="85"/>
      <c r="F17360" s="92"/>
      <c r="G17360" s="85"/>
    </row>
    <row r="17361">
      <c r="A17361" s="84"/>
      <c r="B17361" s="85"/>
      <c r="C17361" s="85"/>
      <c r="F17361" s="92"/>
      <c r="G17361" s="85"/>
    </row>
    <row r="17362">
      <c r="A17362" s="84"/>
      <c r="B17362" s="85"/>
      <c r="C17362" s="85"/>
      <c r="F17362" s="92"/>
      <c r="G17362" s="85"/>
    </row>
    <row r="17363">
      <c r="A17363" s="84"/>
      <c r="B17363" s="85"/>
      <c r="C17363" s="85"/>
      <c r="F17363" s="92"/>
      <c r="G17363" s="85"/>
    </row>
    <row r="17364">
      <c r="A17364" s="84"/>
      <c r="B17364" s="85"/>
      <c r="C17364" s="85"/>
      <c r="F17364" s="92"/>
      <c r="G17364" s="85"/>
    </row>
    <row r="17365">
      <c r="A17365" s="84"/>
      <c r="B17365" s="85"/>
      <c r="C17365" s="85"/>
      <c r="F17365" s="92"/>
      <c r="G17365" s="85"/>
    </row>
    <row r="17366">
      <c r="A17366" s="84"/>
      <c r="B17366" s="85"/>
      <c r="C17366" s="85"/>
      <c r="F17366" s="92"/>
      <c r="G17366" s="85"/>
    </row>
    <row r="17367">
      <c r="A17367" s="84"/>
      <c r="B17367" s="85"/>
      <c r="C17367" s="85"/>
      <c r="F17367" s="92"/>
      <c r="G17367" s="85"/>
    </row>
    <row r="17368">
      <c r="A17368" s="84"/>
      <c r="B17368" s="85"/>
      <c r="C17368" s="85"/>
      <c r="F17368" s="92"/>
      <c r="G17368" s="85"/>
    </row>
    <row r="17369">
      <c r="A17369" s="84"/>
      <c r="B17369" s="85"/>
      <c r="C17369" s="85"/>
      <c r="F17369" s="92"/>
      <c r="G17369" s="85"/>
    </row>
    <row r="17370">
      <c r="A17370" s="84"/>
      <c r="B17370" s="85"/>
      <c r="C17370" s="85"/>
      <c r="F17370" s="92"/>
      <c r="G17370" s="85"/>
    </row>
    <row r="17371">
      <c r="A17371" s="84"/>
      <c r="B17371" s="85"/>
      <c r="C17371" s="85"/>
      <c r="F17371" s="92"/>
      <c r="G17371" s="85"/>
    </row>
    <row r="17372">
      <c r="A17372" s="84"/>
      <c r="B17372" s="85"/>
      <c r="C17372" s="85"/>
      <c r="F17372" s="92"/>
      <c r="G17372" s="85"/>
    </row>
    <row r="17373">
      <c r="A17373" s="84"/>
      <c r="B17373" s="85"/>
      <c r="C17373" s="85"/>
      <c r="F17373" s="92"/>
      <c r="G17373" s="85"/>
    </row>
    <row r="17374">
      <c r="A17374" s="84"/>
      <c r="B17374" s="85"/>
      <c r="C17374" s="85"/>
      <c r="F17374" s="92"/>
      <c r="G17374" s="85"/>
    </row>
    <row r="17375">
      <c r="A17375" s="84"/>
      <c r="B17375" s="85"/>
      <c r="C17375" s="85"/>
      <c r="F17375" s="92"/>
      <c r="G17375" s="85"/>
    </row>
    <row r="17376">
      <c r="A17376" s="84"/>
      <c r="B17376" s="85"/>
      <c r="C17376" s="85"/>
      <c r="F17376" s="92"/>
      <c r="G17376" s="85"/>
    </row>
    <row r="17377">
      <c r="A17377" s="84"/>
      <c r="B17377" s="85"/>
      <c r="C17377" s="85"/>
      <c r="F17377" s="92"/>
      <c r="G17377" s="85"/>
    </row>
    <row r="17378">
      <c r="A17378" s="84"/>
      <c r="B17378" s="85"/>
      <c r="C17378" s="85"/>
      <c r="F17378" s="92"/>
      <c r="G17378" s="85"/>
    </row>
    <row r="17379">
      <c r="A17379" s="84"/>
      <c r="B17379" s="85"/>
      <c r="C17379" s="85"/>
      <c r="F17379" s="92"/>
      <c r="G17379" s="85"/>
    </row>
    <row r="17380">
      <c r="A17380" s="84"/>
      <c r="B17380" s="85"/>
      <c r="C17380" s="85"/>
      <c r="F17380" s="92"/>
      <c r="G17380" s="85"/>
    </row>
    <row r="17381">
      <c r="A17381" s="84"/>
      <c r="B17381" s="85"/>
      <c r="C17381" s="85"/>
      <c r="F17381" s="92"/>
      <c r="G17381" s="85"/>
    </row>
    <row r="17382">
      <c r="A17382" s="84"/>
      <c r="B17382" s="85"/>
      <c r="C17382" s="85"/>
      <c r="F17382" s="92"/>
      <c r="G17382" s="85"/>
    </row>
    <row r="17383">
      <c r="A17383" s="84"/>
      <c r="B17383" s="85"/>
      <c r="C17383" s="85"/>
      <c r="F17383" s="92"/>
      <c r="G17383" s="85"/>
    </row>
    <row r="17384">
      <c r="A17384" s="84"/>
      <c r="B17384" s="85"/>
      <c r="C17384" s="85"/>
      <c r="F17384" s="92"/>
      <c r="G17384" s="85"/>
    </row>
    <row r="17385">
      <c r="A17385" s="84"/>
      <c r="B17385" s="85"/>
      <c r="C17385" s="85"/>
      <c r="F17385" s="92"/>
      <c r="G17385" s="85"/>
    </row>
    <row r="17386">
      <c r="A17386" s="84"/>
      <c r="B17386" s="85"/>
      <c r="C17386" s="85"/>
      <c r="F17386" s="92"/>
      <c r="G17386" s="85"/>
    </row>
    <row r="17387">
      <c r="A17387" s="84"/>
      <c r="B17387" s="85"/>
      <c r="C17387" s="85"/>
      <c r="F17387" s="92"/>
      <c r="G17387" s="85"/>
    </row>
    <row r="17388">
      <c r="A17388" s="84"/>
      <c r="B17388" s="85"/>
      <c r="C17388" s="85"/>
      <c r="F17388" s="92"/>
      <c r="G17388" s="85"/>
    </row>
    <row r="17389">
      <c r="A17389" s="84"/>
      <c r="B17389" s="85"/>
      <c r="C17389" s="85"/>
      <c r="F17389" s="92"/>
      <c r="G17389" s="85"/>
    </row>
    <row r="17390">
      <c r="A17390" s="84"/>
      <c r="B17390" s="85"/>
      <c r="C17390" s="85"/>
      <c r="F17390" s="92"/>
      <c r="G17390" s="85"/>
    </row>
    <row r="17391">
      <c r="A17391" s="84"/>
      <c r="B17391" s="85"/>
      <c r="C17391" s="85"/>
      <c r="F17391" s="92"/>
      <c r="G17391" s="85"/>
    </row>
    <row r="17392">
      <c r="A17392" s="84"/>
      <c r="B17392" s="85"/>
      <c r="C17392" s="85"/>
      <c r="F17392" s="92"/>
      <c r="G17392" s="85"/>
    </row>
    <row r="17393">
      <c r="A17393" s="84"/>
      <c r="B17393" s="85"/>
      <c r="C17393" s="85"/>
      <c r="F17393" s="92"/>
      <c r="G17393" s="85"/>
    </row>
    <row r="17394">
      <c r="A17394" s="84"/>
      <c r="B17394" s="85"/>
      <c r="C17394" s="85"/>
      <c r="F17394" s="92"/>
      <c r="G17394" s="85"/>
    </row>
    <row r="17395">
      <c r="A17395" s="84"/>
      <c r="B17395" s="85"/>
      <c r="C17395" s="85"/>
      <c r="F17395" s="92"/>
      <c r="G17395" s="85"/>
    </row>
    <row r="17396">
      <c r="A17396" s="84"/>
      <c r="B17396" s="85"/>
      <c r="C17396" s="85"/>
      <c r="F17396" s="92"/>
      <c r="G17396" s="85"/>
    </row>
    <row r="17397">
      <c r="A17397" s="84"/>
      <c r="B17397" s="85"/>
      <c r="C17397" s="85"/>
      <c r="F17397" s="92"/>
      <c r="G17397" s="85"/>
    </row>
    <row r="17398">
      <c r="A17398" s="84"/>
      <c r="B17398" s="85"/>
      <c r="C17398" s="85"/>
      <c r="F17398" s="92"/>
      <c r="G17398" s="85"/>
    </row>
    <row r="17399">
      <c r="A17399" s="84"/>
      <c r="B17399" s="85"/>
      <c r="C17399" s="85"/>
      <c r="F17399" s="92"/>
      <c r="G17399" s="85"/>
    </row>
    <row r="17400">
      <c r="A17400" s="84"/>
      <c r="B17400" s="85"/>
      <c r="C17400" s="85"/>
      <c r="F17400" s="92"/>
      <c r="G17400" s="85"/>
    </row>
    <row r="17401">
      <c r="A17401" s="84"/>
      <c r="B17401" s="85"/>
      <c r="C17401" s="85"/>
      <c r="F17401" s="92"/>
      <c r="G17401" s="85"/>
    </row>
    <row r="17402">
      <c r="A17402" s="84"/>
      <c r="B17402" s="85"/>
      <c r="C17402" s="85"/>
      <c r="F17402" s="92"/>
      <c r="G17402" s="85"/>
    </row>
    <row r="17403">
      <c r="A17403" s="84"/>
      <c r="B17403" s="85"/>
      <c r="C17403" s="85"/>
      <c r="F17403" s="92"/>
      <c r="G17403" s="85"/>
    </row>
    <row r="17404">
      <c r="A17404" s="84"/>
      <c r="B17404" s="85"/>
      <c r="C17404" s="85"/>
      <c r="F17404" s="92"/>
      <c r="G17404" s="85"/>
    </row>
    <row r="17405">
      <c r="A17405" s="84"/>
      <c r="B17405" s="85"/>
      <c r="C17405" s="85"/>
      <c r="F17405" s="92"/>
      <c r="G17405" s="85"/>
    </row>
    <row r="17406">
      <c r="A17406" s="84"/>
      <c r="B17406" s="85"/>
      <c r="C17406" s="85"/>
      <c r="F17406" s="92"/>
      <c r="G17406" s="85"/>
    </row>
    <row r="17407">
      <c r="A17407" s="84"/>
      <c r="B17407" s="85"/>
      <c r="C17407" s="85"/>
      <c r="F17407" s="92"/>
      <c r="G17407" s="85"/>
    </row>
    <row r="17408">
      <c r="A17408" s="84"/>
      <c r="B17408" s="85"/>
      <c r="C17408" s="85"/>
      <c r="F17408" s="92"/>
      <c r="G17408" s="85"/>
    </row>
    <row r="17409">
      <c r="A17409" s="84"/>
      <c r="B17409" s="85"/>
      <c r="C17409" s="85"/>
      <c r="F17409" s="92"/>
      <c r="G17409" s="85"/>
    </row>
    <row r="17410">
      <c r="A17410" s="84"/>
      <c r="B17410" s="85"/>
      <c r="C17410" s="85"/>
      <c r="F17410" s="92"/>
      <c r="G17410" s="85"/>
    </row>
    <row r="17411">
      <c r="A17411" s="84"/>
      <c r="B17411" s="85"/>
      <c r="C17411" s="85"/>
      <c r="F17411" s="92"/>
      <c r="G17411" s="85"/>
    </row>
    <row r="17412">
      <c r="A17412" s="84"/>
      <c r="B17412" s="85"/>
      <c r="C17412" s="85"/>
      <c r="F17412" s="92"/>
      <c r="G17412" s="85"/>
    </row>
    <row r="17413">
      <c r="A17413" s="84"/>
      <c r="B17413" s="85"/>
      <c r="C17413" s="85"/>
      <c r="F17413" s="92"/>
      <c r="G17413" s="85"/>
    </row>
    <row r="17414">
      <c r="A17414" s="84"/>
      <c r="B17414" s="85"/>
      <c r="C17414" s="85"/>
      <c r="F17414" s="92"/>
      <c r="G17414" s="85"/>
    </row>
    <row r="17415">
      <c r="A17415" s="84"/>
      <c r="B17415" s="85"/>
      <c r="C17415" s="85"/>
      <c r="F17415" s="92"/>
      <c r="G17415" s="85"/>
    </row>
    <row r="17416">
      <c r="A17416" s="84"/>
      <c r="B17416" s="85"/>
      <c r="C17416" s="85"/>
      <c r="F17416" s="92"/>
      <c r="G17416" s="85"/>
    </row>
    <row r="17417">
      <c r="A17417" s="84"/>
      <c r="B17417" s="85"/>
      <c r="C17417" s="85"/>
      <c r="F17417" s="92"/>
      <c r="G17417" s="85"/>
    </row>
    <row r="17418">
      <c r="A17418" s="84"/>
      <c r="B17418" s="85"/>
      <c r="C17418" s="85"/>
      <c r="F17418" s="92"/>
      <c r="G17418" s="85"/>
    </row>
    <row r="17419">
      <c r="A17419" s="84"/>
      <c r="B17419" s="85"/>
      <c r="C17419" s="85"/>
      <c r="F17419" s="92"/>
      <c r="G17419" s="85"/>
    </row>
    <row r="17420">
      <c r="A17420" s="84"/>
      <c r="B17420" s="85"/>
      <c r="C17420" s="85"/>
      <c r="F17420" s="92"/>
      <c r="G17420" s="85"/>
    </row>
    <row r="17421">
      <c r="A17421" s="84"/>
      <c r="B17421" s="85"/>
      <c r="C17421" s="85"/>
      <c r="F17421" s="92"/>
      <c r="G17421" s="85"/>
    </row>
    <row r="17422">
      <c r="A17422" s="84"/>
      <c r="B17422" s="85"/>
      <c r="C17422" s="85"/>
      <c r="F17422" s="92"/>
      <c r="G17422" s="85"/>
    </row>
    <row r="17423">
      <c r="A17423" s="84"/>
      <c r="B17423" s="85"/>
      <c r="C17423" s="85"/>
      <c r="F17423" s="92"/>
      <c r="G17423" s="85"/>
    </row>
    <row r="17424">
      <c r="A17424" s="84"/>
      <c r="B17424" s="85"/>
      <c r="C17424" s="85"/>
      <c r="F17424" s="92"/>
      <c r="G17424" s="85"/>
    </row>
    <row r="17425">
      <c r="A17425" s="84"/>
      <c r="B17425" s="85"/>
      <c r="C17425" s="85"/>
      <c r="F17425" s="92"/>
      <c r="G17425" s="85"/>
    </row>
    <row r="17426">
      <c r="A17426" s="84"/>
      <c r="B17426" s="85"/>
      <c r="C17426" s="85"/>
      <c r="F17426" s="92"/>
      <c r="G17426" s="85"/>
    </row>
    <row r="17427">
      <c r="A17427" s="84"/>
      <c r="B17427" s="85"/>
      <c r="C17427" s="85"/>
      <c r="F17427" s="92"/>
      <c r="G17427" s="85"/>
    </row>
    <row r="17428">
      <c r="A17428" s="84"/>
      <c r="B17428" s="85"/>
      <c r="C17428" s="85"/>
      <c r="F17428" s="92"/>
      <c r="G17428" s="85"/>
    </row>
    <row r="17429">
      <c r="A17429" s="84"/>
      <c r="B17429" s="85"/>
      <c r="C17429" s="85"/>
      <c r="F17429" s="92"/>
      <c r="G17429" s="85"/>
    </row>
    <row r="17430">
      <c r="A17430" s="84"/>
      <c r="B17430" s="85"/>
      <c r="C17430" s="85"/>
      <c r="F17430" s="92"/>
      <c r="G17430" s="85"/>
    </row>
    <row r="17431">
      <c r="A17431" s="84"/>
      <c r="B17431" s="85"/>
      <c r="C17431" s="85"/>
      <c r="F17431" s="92"/>
      <c r="G17431" s="85"/>
    </row>
    <row r="17432">
      <c r="A17432" s="84"/>
      <c r="B17432" s="85"/>
      <c r="C17432" s="85"/>
      <c r="F17432" s="92"/>
      <c r="G17432" s="85"/>
    </row>
    <row r="17433">
      <c r="A17433" s="84"/>
      <c r="B17433" s="85"/>
      <c r="C17433" s="85"/>
      <c r="F17433" s="92"/>
      <c r="G17433" s="85"/>
    </row>
    <row r="17434">
      <c r="A17434" s="84"/>
      <c r="B17434" s="85"/>
      <c r="C17434" s="85"/>
      <c r="F17434" s="92"/>
      <c r="G17434" s="85"/>
    </row>
    <row r="17435">
      <c r="A17435" s="84"/>
      <c r="B17435" s="85"/>
      <c r="C17435" s="85"/>
      <c r="F17435" s="92"/>
      <c r="G17435" s="85"/>
    </row>
    <row r="17436">
      <c r="A17436" s="84"/>
      <c r="B17436" s="85"/>
      <c r="C17436" s="85"/>
      <c r="F17436" s="92"/>
      <c r="G17436" s="85"/>
    </row>
    <row r="17437">
      <c r="A17437" s="84"/>
      <c r="B17437" s="85"/>
      <c r="C17437" s="85"/>
      <c r="F17437" s="92"/>
      <c r="G17437" s="85"/>
    </row>
    <row r="17438">
      <c r="A17438" s="84"/>
      <c r="B17438" s="85"/>
      <c r="C17438" s="85"/>
      <c r="F17438" s="92"/>
      <c r="G17438" s="85"/>
    </row>
    <row r="17439">
      <c r="A17439" s="84"/>
      <c r="B17439" s="85"/>
      <c r="C17439" s="85"/>
      <c r="F17439" s="92"/>
      <c r="G17439" s="85"/>
    </row>
    <row r="17440">
      <c r="A17440" s="84"/>
      <c r="B17440" s="85"/>
      <c r="C17440" s="85"/>
      <c r="F17440" s="92"/>
      <c r="G17440" s="85"/>
    </row>
    <row r="17441">
      <c r="A17441" s="84"/>
      <c r="B17441" s="85"/>
      <c r="C17441" s="85"/>
      <c r="F17441" s="92"/>
      <c r="G17441" s="85"/>
    </row>
    <row r="17442">
      <c r="A17442" s="84"/>
      <c r="B17442" s="85"/>
      <c r="C17442" s="85"/>
      <c r="F17442" s="92"/>
      <c r="G17442" s="85"/>
    </row>
    <row r="17443">
      <c r="A17443" s="84"/>
      <c r="B17443" s="85"/>
      <c r="C17443" s="85"/>
      <c r="F17443" s="92"/>
      <c r="G17443" s="85"/>
    </row>
    <row r="17444">
      <c r="A17444" s="84"/>
      <c r="B17444" s="85"/>
      <c r="C17444" s="85"/>
      <c r="F17444" s="92"/>
      <c r="G17444" s="85"/>
    </row>
    <row r="17445">
      <c r="A17445" s="84"/>
      <c r="B17445" s="85"/>
      <c r="C17445" s="85"/>
      <c r="F17445" s="92"/>
      <c r="G17445" s="85"/>
    </row>
    <row r="17446">
      <c r="A17446" s="84"/>
      <c r="B17446" s="85"/>
      <c r="C17446" s="85"/>
      <c r="F17446" s="92"/>
      <c r="G17446" s="85"/>
    </row>
    <row r="17447">
      <c r="A17447" s="84"/>
      <c r="B17447" s="85"/>
      <c r="C17447" s="85"/>
      <c r="F17447" s="92"/>
      <c r="G17447" s="85"/>
    </row>
    <row r="17448">
      <c r="A17448" s="84"/>
      <c r="B17448" s="85"/>
      <c r="C17448" s="85"/>
      <c r="F17448" s="92"/>
      <c r="G17448" s="85"/>
    </row>
    <row r="17449">
      <c r="A17449" s="84"/>
      <c r="B17449" s="85"/>
      <c r="C17449" s="85"/>
      <c r="F17449" s="92"/>
      <c r="G17449" s="85"/>
    </row>
    <row r="17450">
      <c r="A17450" s="84"/>
      <c r="B17450" s="85"/>
      <c r="C17450" s="85"/>
      <c r="F17450" s="92"/>
      <c r="G17450" s="85"/>
    </row>
    <row r="17451">
      <c r="A17451" s="84"/>
      <c r="B17451" s="85"/>
      <c r="C17451" s="85"/>
      <c r="F17451" s="92"/>
      <c r="G17451" s="85"/>
    </row>
    <row r="17452">
      <c r="A17452" s="84"/>
      <c r="B17452" s="85"/>
      <c r="C17452" s="85"/>
      <c r="F17452" s="92"/>
      <c r="G17452" s="85"/>
    </row>
    <row r="17453">
      <c r="A17453" s="84"/>
      <c r="B17453" s="85"/>
      <c r="C17453" s="85"/>
      <c r="F17453" s="92"/>
      <c r="G17453" s="85"/>
    </row>
    <row r="17454">
      <c r="A17454" s="84"/>
      <c r="B17454" s="85"/>
      <c r="C17454" s="85"/>
      <c r="F17454" s="92"/>
      <c r="G17454" s="85"/>
    </row>
    <row r="17455">
      <c r="A17455" s="84"/>
      <c r="B17455" s="85"/>
      <c r="C17455" s="85"/>
      <c r="F17455" s="92"/>
      <c r="G17455" s="85"/>
    </row>
    <row r="17456">
      <c r="A17456" s="84"/>
      <c r="B17456" s="85"/>
      <c r="C17456" s="85"/>
      <c r="F17456" s="92"/>
      <c r="G17456" s="85"/>
    </row>
    <row r="17457">
      <c r="A17457" s="84"/>
      <c r="B17457" s="85"/>
      <c r="C17457" s="85"/>
      <c r="F17457" s="92"/>
      <c r="G17457" s="85"/>
    </row>
    <row r="17458">
      <c r="A17458" s="84"/>
      <c r="B17458" s="85"/>
      <c r="C17458" s="85"/>
      <c r="F17458" s="92"/>
      <c r="G17458" s="85"/>
    </row>
    <row r="17459">
      <c r="A17459" s="84"/>
      <c r="B17459" s="85"/>
      <c r="C17459" s="85"/>
      <c r="F17459" s="92"/>
      <c r="G17459" s="85"/>
    </row>
    <row r="17460">
      <c r="A17460" s="84"/>
      <c r="B17460" s="85"/>
      <c r="C17460" s="85"/>
      <c r="F17460" s="92"/>
      <c r="G17460" s="85"/>
    </row>
    <row r="17461">
      <c r="A17461" s="84"/>
      <c r="B17461" s="85"/>
      <c r="C17461" s="85"/>
      <c r="F17461" s="92"/>
      <c r="G17461" s="85"/>
    </row>
    <row r="17462">
      <c r="A17462" s="84"/>
      <c r="B17462" s="85"/>
      <c r="C17462" s="85"/>
      <c r="F17462" s="92"/>
      <c r="G17462" s="85"/>
    </row>
    <row r="17463">
      <c r="A17463" s="84"/>
      <c r="B17463" s="85"/>
      <c r="C17463" s="85"/>
      <c r="F17463" s="92"/>
      <c r="G17463" s="85"/>
    </row>
    <row r="17464">
      <c r="A17464" s="84"/>
      <c r="B17464" s="85"/>
      <c r="C17464" s="85"/>
      <c r="F17464" s="92"/>
      <c r="G17464" s="85"/>
    </row>
    <row r="17465">
      <c r="A17465" s="84"/>
      <c r="B17465" s="85"/>
      <c r="C17465" s="85"/>
      <c r="F17465" s="92"/>
      <c r="G17465" s="85"/>
    </row>
    <row r="17466">
      <c r="A17466" s="84"/>
      <c r="B17466" s="85"/>
      <c r="C17466" s="85"/>
      <c r="F17466" s="92"/>
      <c r="G17466" s="85"/>
    </row>
    <row r="17467">
      <c r="A17467" s="84"/>
      <c r="B17467" s="85"/>
      <c r="C17467" s="85"/>
      <c r="F17467" s="92"/>
      <c r="G17467" s="85"/>
    </row>
    <row r="17468">
      <c r="A17468" s="84"/>
      <c r="B17468" s="85"/>
      <c r="C17468" s="85"/>
      <c r="F17468" s="92"/>
      <c r="G17468" s="85"/>
    </row>
    <row r="17469">
      <c r="A17469" s="84"/>
      <c r="B17469" s="85"/>
      <c r="C17469" s="85"/>
      <c r="F17469" s="92"/>
      <c r="G17469" s="85"/>
    </row>
    <row r="17470">
      <c r="A17470" s="84"/>
      <c r="B17470" s="85"/>
      <c r="C17470" s="85"/>
      <c r="F17470" s="92"/>
      <c r="G17470" s="85"/>
    </row>
    <row r="17471">
      <c r="A17471" s="84"/>
      <c r="B17471" s="85"/>
      <c r="C17471" s="85"/>
      <c r="F17471" s="92"/>
      <c r="G17471" s="85"/>
    </row>
    <row r="17472">
      <c r="A17472" s="84"/>
      <c r="B17472" s="85"/>
      <c r="C17472" s="85"/>
      <c r="F17472" s="92"/>
      <c r="G17472" s="85"/>
    </row>
    <row r="17473">
      <c r="A17473" s="84"/>
      <c r="B17473" s="85"/>
      <c r="C17473" s="85"/>
      <c r="F17473" s="92"/>
      <c r="G17473" s="85"/>
    </row>
    <row r="17474">
      <c r="A17474" s="84"/>
      <c r="B17474" s="85"/>
      <c r="C17474" s="85"/>
      <c r="F17474" s="92"/>
      <c r="G17474" s="85"/>
    </row>
    <row r="17475">
      <c r="A17475" s="84"/>
      <c r="B17475" s="85"/>
      <c r="C17475" s="85"/>
      <c r="F17475" s="92"/>
      <c r="G17475" s="85"/>
    </row>
    <row r="17476">
      <c r="A17476" s="84"/>
      <c r="B17476" s="85"/>
      <c r="C17476" s="85"/>
      <c r="F17476" s="92"/>
      <c r="G17476" s="85"/>
    </row>
    <row r="17477">
      <c r="A17477" s="84"/>
      <c r="B17477" s="85"/>
      <c r="C17477" s="85"/>
      <c r="F17477" s="92"/>
      <c r="G17477" s="85"/>
    </row>
    <row r="17478">
      <c r="A17478" s="84"/>
      <c r="B17478" s="85"/>
      <c r="C17478" s="85"/>
      <c r="F17478" s="92"/>
      <c r="G17478" s="85"/>
    </row>
    <row r="17479">
      <c r="A17479" s="84"/>
      <c r="B17479" s="85"/>
      <c r="C17479" s="85"/>
      <c r="F17479" s="92"/>
      <c r="G17479" s="85"/>
    </row>
    <row r="17480">
      <c r="A17480" s="84"/>
      <c r="B17480" s="85"/>
      <c r="C17480" s="85"/>
      <c r="F17480" s="92"/>
      <c r="G17480" s="85"/>
    </row>
    <row r="17481">
      <c r="A17481" s="84"/>
      <c r="B17481" s="85"/>
      <c r="C17481" s="85"/>
      <c r="F17481" s="92"/>
      <c r="G17481" s="85"/>
    </row>
    <row r="17482">
      <c r="A17482" s="84"/>
      <c r="B17482" s="85"/>
      <c r="C17482" s="85"/>
      <c r="F17482" s="92"/>
      <c r="G17482" s="85"/>
    </row>
    <row r="17483">
      <c r="A17483" s="84"/>
      <c r="B17483" s="85"/>
      <c r="C17483" s="85"/>
      <c r="F17483" s="92"/>
      <c r="G17483" s="85"/>
    </row>
    <row r="17484">
      <c r="A17484" s="84"/>
      <c r="B17484" s="85"/>
      <c r="C17484" s="85"/>
      <c r="F17484" s="92"/>
      <c r="G17484" s="85"/>
    </row>
    <row r="17485">
      <c r="A17485" s="84"/>
      <c r="B17485" s="85"/>
      <c r="C17485" s="85"/>
      <c r="F17485" s="92"/>
      <c r="G17485" s="85"/>
    </row>
    <row r="17486">
      <c r="A17486" s="84"/>
      <c r="B17486" s="85"/>
      <c r="C17486" s="85"/>
      <c r="F17486" s="92"/>
      <c r="G17486" s="85"/>
    </row>
    <row r="17487">
      <c r="A17487" s="84"/>
      <c r="B17487" s="85"/>
      <c r="C17487" s="85"/>
      <c r="F17487" s="92"/>
      <c r="G17487" s="85"/>
    </row>
    <row r="17488">
      <c r="A17488" s="84"/>
      <c r="B17488" s="85"/>
      <c r="C17488" s="85"/>
      <c r="F17488" s="92"/>
      <c r="G17488" s="85"/>
    </row>
    <row r="17489">
      <c r="A17489" s="84"/>
      <c r="B17489" s="85"/>
      <c r="C17489" s="85"/>
      <c r="F17489" s="92"/>
      <c r="G17489" s="85"/>
    </row>
    <row r="17490">
      <c r="A17490" s="84"/>
      <c r="B17490" s="85"/>
      <c r="C17490" s="85"/>
      <c r="F17490" s="92"/>
      <c r="G17490" s="85"/>
    </row>
    <row r="17491">
      <c r="A17491" s="84"/>
      <c r="B17491" s="85"/>
      <c r="C17491" s="85"/>
      <c r="F17491" s="92"/>
      <c r="G17491" s="85"/>
    </row>
    <row r="17492">
      <c r="A17492" s="84"/>
      <c r="B17492" s="85"/>
      <c r="C17492" s="85"/>
      <c r="F17492" s="92"/>
      <c r="G17492" s="85"/>
    </row>
    <row r="17493">
      <c r="A17493" s="84"/>
      <c r="B17493" s="85"/>
      <c r="C17493" s="85"/>
      <c r="F17493" s="92"/>
      <c r="G17493" s="85"/>
    </row>
    <row r="17494">
      <c r="A17494" s="84"/>
      <c r="B17494" s="85"/>
      <c r="C17494" s="85"/>
      <c r="F17494" s="92"/>
      <c r="G17494" s="85"/>
    </row>
    <row r="17495">
      <c r="A17495" s="84"/>
      <c r="B17495" s="85"/>
      <c r="C17495" s="85"/>
      <c r="F17495" s="92"/>
      <c r="G17495" s="85"/>
    </row>
    <row r="17496">
      <c r="A17496" s="84"/>
      <c r="B17496" s="85"/>
      <c r="C17496" s="85"/>
      <c r="F17496" s="92"/>
      <c r="G17496" s="85"/>
    </row>
    <row r="17497">
      <c r="A17497" s="84"/>
      <c r="B17497" s="85"/>
      <c r="C17497" s="85"/>
      <c r="F17497" s="92"/>
      <c r="G17497" s="85"/>
    </row>
    <row r="17498">
      <c r="A17498" s="84"/>
      <c r="B17498" s="85"/>
      <c r="C17498" s="85"/>
      <c r="F17498" s="92"/>
      <c r="G17498" s="85"/>
    </row>
    <row r="17499">
      <c r="A17499" s="84"/>
      <c r="B17499" s="85"/>
      <c r="C17499" s="85"/>
      <c r="F17499" s="92"/>
      <c r="G17499" s="85"/>
    </row>
    <row r="17500">
      <c r="A17500" s="84"/>
      <c r="B17500" s="85"/>
      <c r="C17500" s="85"/>
      <c r="F17500" s="92"/>
      <c r="G17500" s="85"/>
    </row>
    <row r="17501">
      <c r="A17501" s="84"/>
      <c r="B17501" s="85"/>
      <c r="C17501" s="85"/>
      <c r="F17501" s="92"/>
      <c r="G17501" s="85"/>
    </row>
    <row r="17502">
      <c r="A17502" s="84"/>
      <c r="B17502" s="85"/>
      <c r="C17502" s="85"/>
      <c r="F17502" s="92"/>
      <c r="G17502" s="85"/>
    </row>
    <row r="17503">
      <c r="A17503" s="84"/>
      <c r="B17503" s="85"/>
      <c r="C17503" s="85"/>
      <c r="F17503" s="92"/>
      <c r="G17503" s="85"/>
    </row>
    <row r="17504">
      <c r="A17504" s="84"/>
      <c r="B17504" s="85"/>
      <c r="C17504" s="85"/>
      <c r="F17504" s="92"/>
      <c r="G17504" s="85"/>
    </row>
    <row r="17505">
      <c r="A17505" s="84"/>
      <c r="B17505" s="85"/>
      <c r="C17505" s="85"/>
      <c r="F17505" s="92"/>
      <c r="G17505" s="85"/>
    </row>
    <row r="17506">
      <c r="A17506" s="84"/>
      <c r="B17506" s="85"/>
      <c r="C17506" s="85"/>
      <c r="F17506" s="92"/>
      <c r="G17506" s="85"/>
    </row>
    <row r="17507">
      <c r="A17507" s="84"/>
      <c r="B17507" s="85"/>
      <c r="C17507" s="85"/>
      <c r="F17507" s="92"/>
      <c r="G17507" s="85"/>
    </row>
    <row r="17508">
      <c r="A17508" s="84"/>
      <c r="B17508" s="85"/>
      <c r="C17508" s="85"/>
      <c r="F17508" s="92"/>
      <c r="G17508" s="85"/>
    </row>
    <row r="17509">
      <c r="A17509" s="84"/>
      <c r="B17509" s="85"/>
      <c r="C17509" s="85"/>
      <c r="F17509" s="92"/>
      <c r="G17509" s="85"/>
    </row>
    <row r="17510">
      <c r="A17510" s="84"/>
      <c r="B17510" s="85"/>
      <c r="C17510" s="85"/>
      <c r="F17510" s="92"/>
      <c r="G17510" s="85"/>
    </row>
    <row r="17511">
      <c r="A17511" s="84"/>
      <c r="B17511" s="85"/>
      <c r="C17511" s="85"/>
      <c r="F17511" s="92"/>
      <c r="G17511" s="85"/>
    </row>
    <row r="17512">
      <c r="A17512" s="84"/>
      <c r="B17512" s="85"/>
      <c r="C17512" s="85"/>
      <c r="F17512" s="92"/>
      <c r="G17512" s="85"/>
    </row>
    <row r="17513">
      <c r="A17513" s="84"/>
      <c r="B17513" s="85"/>
      <c r="C17513" s="85"/>
      <c r="F17513" s="92"/>
      <c r="G17513" s="85"/>
    </row>
    <row r="17514">
      <c r="A17514" s="84"/>
      <c r="B17514" s="85"/>
      <c r="C17514" s="85"/>
      <c r="F17514" s="92"/>
      <c r="G17514" s="85"/>
    </row>
    <row r="17515">
      <c r="A17515" s="84"/>
      <c r="B17515" s="85"/>
      <c r="C17515" s="85"/>
      <c r="F17515" s="92"/>
      <c r="G17515" s="85"/>
    </row>
    <row r="17516">
      <c r="A17516" s="84"/>
      <c r="B17516" s="85"/>
      <c r="C17516" s="85"/>
      <c r="F17516" s="92"/>
      <c r="G17516" s="85"/>
    </row>
    <row r="17517">
      <c r="A17517" s="84"/>
      <c r="B17517" s="85"/>
      <c r="C17517" s="85"/>
      <c r="F17517" s="92"/>
      <c r="G17517" s="85"/>
    </row>
    <row r="17518">
      <c r="A17518" s="84"/>
      <c r="B17518" s="85"/>
      <c r="C17518" s="85"/>
      <c r="F17518" s="92"/>
      <c r="G17518" s="85"/>
    </row>
    <row r="17519">
      <c r="A17519" s="84"/>
      <c r="B17519" s="85"/>
      <c r="C17519" s="85"/>
      <c r="F17519" s="92"/>
      <c r="G17519" s="85"/>
    </row>
    <row r="17520">
      <c r="A17520" s="84"/>
      <c r="B17520" s="85"/>
      <c r="C17520" s="85"/>
      <c r="F17520" s="92"/>
      <c r="G17520" s="85"/>
    </row>
    <row r="17521">
      <c r="A17521" s="84"/>
      <c r="B17521" s="85"/>
      <c r="C17521" s="85"/>
      <c r="F17521" s="92"/>
      <c r="G17521" s="85"/>
    </row>
    <row r="17522">
      <c r="A17522" s="84"/>
      <c r="B17522" s="85"/>
      <c r="C17522" s="85"/>
      <c r="F17522" s="92"/>
      <c r="G17522" s="85"/>
    </row>
    <row r="17523">
      <c r="A17523" s="84"/>
      <c r="B17523" s="85"/>
      <c r="C17523" s="85"/>
      <c r="F17523" s="92"/>
      <c r="G17523" s="85"/>
    </row>
    <row r="17524">
      <c r="A17524" s="84"/>
      <c r="B17524" s="85"/>
      <c r="C17524" s="85"/>
      <c r="F17524" s="92"/>
      <c r="G17524" s="85"/>
    </row>
    <row r="17525">
      <c r="A17525" s="84"/>
      <c r="B17525" s="85"/>
      <c r="C17525" s="85"/>
      <c r="F17525" s="92"/>
      <c r="G17525" s="85"/>
    </row>
    <row r="17526">
      <c r="A17526" s="84"/>
      <c r="B17526" s="85"/>
      <c r="C17526" s="85"/>
      <c r="F17526" s="92"/>
      <c r="G17526" s="85"/>
    </row>
    <row r="17527">
      <c r="A17527" s="84"/>
      <c r="B17527" s="85"/>
      <c r="C17527" s="85"/>
      <c r="F17527" s="92"/>
      <c r="G17527" s="85"/>
    </row>
    <row r="17528">
      <c r="A17528" s="84"/>
      <c r="B17528" s="85"/>
      <c r="C17528" s="85"/>
      <c r="F17528" s="92"/>
      <c r="G17528" s="85"/>
    </row>
    <row r="17529">
      <c r="A17529" s="84"/>
      <c r="B17529" s="85"/>
      <c r="C17529" s="85"/>
      <c r="F17529" s="92"/>
      <c r="G17529" s="85"/>
    </row>
    <row r="17530">
      <c r="A17530" s="84"/>
      <c r="B17530" s="85"/>
      <c r="C17530" s="85"/>
      <c r="F17530" s="92"/>
      <c r="G17530" s="85"/>
    </row>
    <row r="17531">
      <c r="A17531" s="84"/>
      <c r="B17531" s="85"/>
      <c r="C17531" s="85"/>
      <c r="F17531" s="92"/>
      <c r="G17531" s="85"/>
    </row>
    <row r="17532">
      <c r="A17532" s="84"/>
      <c r="B17532" s="85"/>
      <c r="C17532" s="85"/>
      <c r="F17532" s="92"/>
      <c r="G17532" s="85"/>
    </row>
    <row r="17533">
      <c r="A17533" s="84"/>
      <c r="B17533" s="85"/>
      <c r="C17533" s="85"/>
      <c r="F17533" s="92"/>
      <c r="G17533" s="85"/>
    </row>
    <row r="17534">
      <c r="A17534" s="84"/>
      <c r="B17534" s="85"/>
      <c r="C17534" s="85"/>
      <c r="F17534" s="92"/>
      <c r="G17534" s="85"/>
    </row>
    <row r="17535">
      <c r="A17535" s="84"/>
      <c r="B17535" s="85"/>
      <c r="C17535" s="85"/>
      <c r="F17535" s="92"/>
      <c r="G17535" s="85"/>
    </row>
    <row r="17536">
      <c r="A17536" s="84"/>
      <c r="B17536" s="85"/>
      <c r="C17536" s="85"/>
      <c r="F17536" s="92"/>
      <c r="G17536" s="85"/>
    </row>
    <row r="17537">
      <c r="A17537" s="84"/>
      <c r="B17537" s="85"/>
      <c r="C17537" s="85"/>
      <c r="F17537" s="92"/>
      <c r="G17537" s="85"/>
    </row>
    <row r="17538">
      <c r="A17538" s="84"/>
      <c r="B17538" s="85"/>
      <c r="C17538" s="85"/>
      <c r="F17538" s="92"/>
      <c r="G17538" s="85"/>
    </row>
    <row r="17539">
      <c r="A17539" s="84"/>
      <c r="B17539" s="85"/>
      <c r="C17539" s="85"/>
      <c r="F17539" s="92"/>
      <c r="G17539" s="85"/>
    </row>
    <row r="17540">
      <c r="A17540" s="84"/>
      <c r="B17540" s="85"/>
      <c r="C17540" s="85"/>
      <c r="F17540" s="92"/>
      <c r="G17540" s="85"/>
    </row>
    <row r="17541">
      <c r="A17541" s="84"/>
      <c r="B17541" s="85"/>
      <c r="C17541" s="85"/>
      <c r="F17541" s="92"/>
      <c r="G17541" s="85"/>
    </row>
    <row r="17542">
      <c r="A17542" s="84"/>
      <c r="B17542" s="85"/>
      <c r="C17542" s="85"/>
      <c r="F17542" s="92"/>
      <c r="G17542" s="85"/>
    </row>
    <row r="17543">
      <c r="A17543" s="84"/>
      <c r="B17543" s="85"/>
      <c r="C17543" s="85"/>
      <c r="F17543" s="92"/>
      <c r="G17543" s="85"/>
    </row>
    <row r="17544">
      <c r="A17544" s="84"/>
      <c r="B17544" s="85"/>
      <c r="C17544" s="85"/>
      <c r="F17544" s="92"/>
      <c r="G17544" s="85"/>
    </row>
    <row r="17545">
      <c r="A17545" s="84"/>
      <c r="B17545" s="85"/>
      <c r="C17545" s="85"/>
      <c r="F17545" s="92"/>
      <c r="G17545" s="85"/>
    </row>
    <row r="17546">
      <c r="A17546" s="84"/>
      <c r="B17546" s="85"/>
      <c r="C17546" s="85"/>
      <c r="F17546" s="92"/>
      <c r="G17546" s="85"/>
    </row>
    <row r="17547">
      <c r="A17547" s="84"/>
      <c r="B17547" s="85"/>
      <c r="C17547" s="85"/>
      <c r="F17547" s="92"/>
      <c r="G17547" s="85"/>
    </row>
    <row r="17548">
      <c r="A17548" s="84"/>
      <c r="B17548" s="85"/>
      <c r="C17548" s="85"/>
      <c r="F17548" s="92"/>
      <c r="G17548" s="85"/>
    </row>
    <row r="17549">
      <c r="A17549" s="84"/>
      <c r="B17549" s="85"/>
      <c r="C17549" s="85"/>
      <c r="F17549" s="92"/>
      <c r="G17549" s="85"/>
    </row>
    <row r="17550">
      <c r="A17550" s="84"/>
      <c r="B17550" s="85"/>
      <c r="C17550" s="85"/>
      <c r="F17550" s="92"/>
      <c r="G17550" s="85"/>
    </row>
    <row r="17551">
      <c r="A17551" s="84"/>
      <c r="B17551" s="85"/>
      <c r="C17551" s="85"/>
      <c r="F17551" s="92"/>
      <c r="G17551" s="85"/>
    </row>
    <row r="17552">
      <c r="A17552" s="84"/>
      <c r="B17552" s="85"/>
      <c r="C17552" s="85"/>
      <c r="F17552" s="92"/>
      <c r="G17552" s="85"/>
    </row>
    <row r="17553">
      <c r="A17553" s="84"/>
      <c r="B17553" s="85"/>
      <c r="C17553" s="85"/>
      <c r="F17553" s="92"/>
      <c r="G17553" s="85"/>
    </row>
    <row r="17554">
      <c r="A17554" s="84"/>
      <c r="B17554" s="85"/>
      <c r="C17554" s="85"/>
      <c r="F17554" s="92"/>
      <c r="G17554" s="85"/>
    </row>
    <row r="17555">
      <c r="A17555" s="84"/>
      <c r="B17555" s="85"/>
      <c r="C17555" s="85"/>
      <c r="F17555" s="92"/>
      <c r="G17555" s="85"/>
    </row>
    <row r="17556">
      <c r="A17556" s="84"/>
      <c r="B17556" s="85"/>
      <c r="C17556" s="85"/>
      <c r="F17556" s="92"/>
      <c r="G17556" s="85"/>
    </row>
    <row r="17557">
      <c r="A17557" s="84"/>
      <c r="B17557" s="85"/>
      <c r="C17557" s="85"/>
      <c r="F17557" s="92"/>
      <c r="G17557" s="85"/>
    </row>
    <row r="17558">
      <c r="A17558" s="84"/>
      <c r="B17558" s="85"/>
      <c r="C17558" s="85"/>
      <c r="F17558" s="92"/>
      <c r="G17558" s="85"/>
    </row>
    <row r="17559">
      <c r="A17559" s="84"/>
      <c r="B17559" s="85"/>
      <c r="C17559" s="85"/>
      <c r="F17559" s="92"/>
      <c r="G17559" s="85"/>
    </row>
    <row r="17560">
      <c r="A17560" s="84"/>
      <c r="B17560" s="85"/>
      <c r="C17560" s="85"/>
      <c r="F17560" s="92"/>
      <c r="G17560" s="85"/>
    </row>
    <row r="17561">
      <c r="A17561" s="84"/>
      <c r="B17561" s="85"/>
      <c r="C17561" s="85"/>
      <c r="F17561" s="92"/>
      <c r="G17561" s="85"/>
    </row>
    <row r="17562">
      <c r="A17562" s="84"/>
      <c r="B17562" s="85"/>
      <c r="C17562" s="85"/>
      <c r="F17562" s="92"/>
      <c r="G17562" s="85"/>
    </row>
    <row r="17563">
      <c r="A17563" s="84"/>
      <c r="B17563" s="85"/>
      <c r="C17563" s="85"/>
      <c r="F17563" s="92"/>
      <c r="G17563" s="85"/>
    </row>
    <row r="17564">
      <c r="A17564" s="84"/>
      <c r="B17564" s="85"/>
      <c r="C17564" s="85"/>
      <c r="F17564" s="92"/>
      <c r="G17564" s="85"/>
    </row>
    <row r="17565">
      <c r="A17565" s="84"/>
      <c r="B17565" s="85"/>
      <c r="C17565" s="85"/>
      <c r="F17565" s="92"/>
      <c r="G17565" s="85"/>
    </row>
    <row r="17566">
      <c r="A17566" s="84"/>
      <c r="B17566" s="85"/>
      <c r="C17566" s="85"/>
      <c r="F17566" s="92"/>
      <c r="G17566" s="85"/>
    </row>
    <row r="17567">
      <c r="A17567" s="84"/>
      <c r="B17567" s="85"/>
      <c r="C17567" s="85"/>
      <c r="F17567" s="92"/>
      <c r="G17567" s="85"/>
    </row>
    <row r="17568">
      <c r="A17568" s="84"/>
      <c r="B17568" s="85"/>
      <c r="C17568" s="85"/>
      <c r="F17568" s="92"/>
      <c r="G17568" s="85"/>
    </row>
    <row r="17569">
      <c r="A17569" s="84"/>
      <c r="B17569" s="85"/>
      <c r="C17569" s="85"/>
      <c r="F17569" s="92"/>
      <c r="G17569" s="85"/>
    </row>
    <row r="17570">
      <c r="A17570" s="84"/>
      <c r="B17570" s="85"/>
      <c r="C17570" s="85"/>
      <c r="F17570" s="92"/>
      <c r="G17570" s="85"/>
    </row>
    <row r="17571">
      <c r="A17571" s="84"/>
      <c r="B17571" s="85"/>
      <c r="C17571" s="85"/>
      <c r="F17571" s="92"/>
      <c r="G17571" s="85"/>
    </row>
    <row r="17572">
      <c r="A17572" s="84"/>
      <c r="B17572" s="85"/>
      <c r="C17572" s="85"/>
      <c r="F17572" s="92"/>
      <c r="G17572" s="85"/>
    </row>
    <row r="17573">
      <c r="A17573" s="84"/>
      <c r="B17573" s="85"/>
      <c r="C17573" s="85"/>
      <c r="F17573" s="92"/>
      <c r="G17573" s="85"/>
    </row>
    <row r="17574">
      <c r="A17574" s="84"/>
      <c r="B17574" s="85"/>
      <c r="C17574" s="85"/>
      <c r="F17574" s="92"/>
      <c r="G17574" s="85"/>
    </row>
    <row r="17575">
      <c r="A17575" s="84"/>
      <c r="B17575" s="85"/>
      <c r="C17575" s="85"/>
      <c r="F17575" s="92"/>
      <c r="G17575" s="85"/>
    </row>
    <row r="17576">
      <c r="A17576" s="84"/>
      <c r="B17576" s="85"/>
      <c r="C17576" s="85"/>
      <c r="F17576" s="92"/>
      <c r="G17576" s="85"/>
    </row>
    <row r="17577">
      <c r="A17577" s="84"/>
      <c r="B17577" s="85"/>
      <c r="C17577" s="85"/>
      <c r="F17577" s="92"/>
      <c r="G17577" s="85"/>
    </row>
    <row r="17578">
      <c r="A17578" s="84"/>
      <c r="B17578" s="85"/>
      <c r="C17578" s="85"/>
      <c r="F17578" s="92"/>
      <c r="G17578" s="85"/>
    </row>
    <row r="17579">
      <c r="A17579" s="84"/>
      <c r="B17579" s="85"/>
      <c r="C17579" s="85"/>
      <c r="F17579" s="92"/>
      <c r="G17579" s="85"/>
    </row>
    <row r="17580">
      <c r="A17580" s="84"/>
      <c r="B17580" s="85"/>
      <c r="C17580" s="85"/>
      <c r="F17580" s="92"/>
      <c r="G17580" s="85"/>
    </row>
    <row r="17581">
      <c r="A17581" s="84"/>
      <c r="B17581" s="85"/>
      <c r="C17581" s="85"/>
      <c r="F17581" s="92"/>
      <c r="G17581" s="85"/>
    </row>
    <row r="17582">
      <c r="A17582" s="84"/>
      <c r="B17582" s="85"/>
      <c r="C17582" s="85"/>
      <c r="F17582" s="92"/>
      <c r="G17582" s="85"/>
    </row>
    <row r="17583">
      <c r="A17583" s="84"/>
      <c r="B17583" s="85"/>
      <c r="C17583" s="85"/>
      <c r="F17583" s="92"/>
      <c r="G17583" s="85"/>
    </row>
    <row r="17584">
      <c r="A17584" s="84"/>
      <c r="B17584" s="85"/>
      <c r="C17584" s="85"/>
      <c r="F17584" s="92"/>
      <c r="G17584" s="85"/>
    </row>
    <row r="17585">
      <c r="A17585" s="84"/>
      <c r="B17585" s="85"/>
      <c r="C17585" s="85"/>
      <c r="F17585" s="92"/>
      <c r="G17585" s="85"/>
    </row>
    <row r="17586">
      <c r="A17586" s="84"/>
      <c r="B17586" s="85"/>
      <c r="C17586" s="85"/>
      <c r="F17586" s="92"/>
      <c r="G17586" s="85"/>
    </row>
    <row r="17587">
      <c r="A17587" s="84"/>
      <c r="B17587" s="85"/>
      <c r="C17587" s="85"/>
      <c r="F17587" s="92"/>
      <c r="G17587" s="85"/>
    </row>
    <row r="17588">
      <c r="A17588" s="84"/>
      <c r="B17588" s="85"/>
      <c r="C17588" s="85"/>
      <c r="F17588" s="92"/>
      <c r="G17588" s="85"/>
    </row>
    <row r="17589">
      <c r="A17589" s="84"/>
      <c r="B17589" s="85"/>
      <c r="C17589" s="85"/>
      <c r="F17589" s="92"/>
      <c r="G17589" s="85"/>
    </row>
    <row r="17590">
      <c r="A17590" s="84"/>
      <c r="B17590" s="85"/>
      <c r="C17590" s="85"/>
      <c r="F17590" s="92"/>
      <c r="G17590" s="85"/>
    </row>
    <row r="17591">
      <c r="A17591" s="84"/>
      <c r="B17591" s="85"/>
      <c r="C17591" s="85"/>
      <c r="F17591" s="92"/>
      <c r="G17591" s="85"/>
    </row>
    <row r="17592">
      <c r="A17592" s="84"/>
      <c r="B17592" s="85"/>
      <c r="C17592" s="85"/>
      <c r="F17592" s="92"/>
      <c r="G17592" s="85"/>
    </row>
    <row r="17593">
      <c r="A17593" s="84"/>
      <c r="B17593" s="85"/>
      <c r="C17593" s="85"/>
      <c r="F17593" s="92"/>
      <c r="G17593" s="85"/>
    </row>
    <row r="17594">
      <c r="A17594" s="84"/>
      <c r="B17594" s="85"/>
      <c r="C17594" s="85"/>
      <c r="F17594" s="92"/>
      <c r="G17594" s="85"/>
    </row>
    <row r="17595">
      <c r="A17595" s="84"/>
      <c r="B17595" s="85"/>
      <c r="C17595" s="85"/>
      <c r="F17595" s="92"/>
      <c r="G17595" s="85"/>
    </row>
    <row r="17596">
      <c r="A17596" s="84"/>
      <c r="B17596" s="85"/>
      <c r="C17596" s="85"/>
      <c r="F17596" s="92"/>
      <c r="G17596" s="85"/>
    </row>
    <row r="17597">
      <c r="A17597" s="84"/>
      <c r="B17597" s="85"/>
      <c r="C17597" s="85"/>
      <c r="F17597" s="92"/>
      <c r="G17597" s="85"/>
    </row>
    <row r="17598">
      <c r="A17598" s="84"/>
      <c r="B17598" s="85"/>
      <c r="C17598" s="85"/>
      <c r="F17598" s="92"/>
      <c r="G17598" s="85"/>
    </row>
    <row r="17599">
      <c r="A17599" s="84"/>
      <c r="B17599" s="85"/>
      <c r="C17599" s="85"/>
      <c r="F17599" s="92"/>
      <c r="G17599" s="85"/>
    </row>
    <row r="17600">
      <c r="A17600" s="84"/>
      <c r="B17600" s="85"/>
      <c r="C17600" s="85"/>
      <c r="F17600" s="92"/>
      <c r="G17600" s="85"/>
    </row>
    <row r="17601">
      <c r="A17601" s="84"/>
      <c r="B17601" s="85"/>
      <c r="C17601" s="85"/>
      <c r="F17601" s="92"/>
      <c r="G17601" s="85"/>
    </row>
    <row r="17602">
      <c r="A17602" s="84"/>
      <c r="B17602" s="85"/>
      <c r="C17602" s="85"/>
      <c r="F17602" s="92"/>
      <c r="G17602" s="85"/>
    </row>
    <row r="17603">
      <c r="A17603" s="84"/>
      <c r="B17603" s="85"/>
      <c r="C17603" s="85"/>
      <c r="F17603" s="92"/>
      <c r="G17603" s="85"/>
    </row>
    <row r="17604">
      <c r="A17604" s="84"/>
      <c r="B17604" s="85"/>
      <c r="C17604" s="85"/>
      <c r="F17604" s="92"/>
      <c r="G17604" s="85"/>
    </row>
    <row r="17605">
      <c r="A17605" s="84"/>
      <c r="B17605" s="85"/>
      <c r="C17605" s="85"/>
      <c r="F17605" s="92"/>
      <c r="G17605" s="85"/>
    </row>
    <row r="17606">
      <c r="A17606" s="84"/>
      <c r="B17606" s="85"/>
      <c r="C17606" s="85"/>
      <c r="F17606" s="92"/>
      <c r="G17606" s="85"/>
    </row>
    <row r="17607">
      <c r="A17607" s="84"/>
      <c r="B17607" s="85"/>
      <c r="C17607" s="85"/>
      <c r="F17607" s="92"/>
      <c r="G17607" s="85"/>
    </row>
    <row r="17608">
      <c r="A17608" s="84"/>
      <c r="B17608" s="85"/>
      <c r="C17608" s="85"/>
      <c r="F17608" s="92"/>
      <c r="G17608" s="85"/>
    </row>
    <row r="17609">
      <c r="A17609" s="84"/>
      <c r="B17609" s="85"/>
      <c r="C17609" s="85"/>
      <c r="F17609" s="92"/>
      <c r="G17609" s="85"/>
    </row>
    <row r="17610">
      <c r="A17610" s="84"/>
      <c r="B17610" s="85"/>
      <c r="C17610" s="85"/>
      <c r="F17610" s="92"/>
      <c r="G17610" s="85"/>
    </row>
    <row r="17611">
      <c r="A17611" s="84"/>
      <c r="B17611" s="85"/>
      <c r="C17611" s="85"/>
      <c r="F17611" s="92"/>
      <c r="G17611" s="85"/>
    </row>
    <row r="17612">
      <c r="A17612" s="84"/>
      <c r="B17612" s="85"/>
      <c r="C17612" s="85"/>
      <c r="F17612" s="92"/>
      <c r="G17612" s="85"/>
    </row>
    <row r="17613">
      <c r="A17613" s="84"/>
      <c r="B17613" s="85"/>
      <c r="C17613" s="85"/>
      <c r="F17613" s="92"/>
      <c r="G17613" s="85"/>
    </row>
    <row r="17614">
      <c r="A17614" s="84"/>
      <c r="B17614" s="85"/>
      <c r="C17614" s="85"/>
      <c r="F17614" s="92"/>
      <c r="G17614" s="85"/>
    </row>
    <row r="17615">
      <c r="A17615" s="84"/>
      <c r="B17615" s="85"/>
      <c r="C17615" s="85"/>
      <c r="F17615" s="92"/>
      <c r="G17615" s="85"/>
    </row>
    <row r="17616">
      <c r="A17616" s="84"/>
      <c r="B17616" s="85"/>
      <c r="C17616" s="85"/>
      <c r="F17616" s="92"/>
      <c r="G17616" s="85"/>
    </row>
    <row r="17617">
      <c r="A17617" s="84"/>
      <c r="B17617" s="85"/>
      <c r="C17617" s="85"/>
      <c r="F17617" s="92"/>
      <c r="G17617" s="85"/>
    </row>
    <row r="17618">
      <c r="A17618" s="84"/>
      <c r="B17618" s="85"/>
      <c r="C17618" s="85"/>
      <c r="F17618" s="92"/>
      <c r="G17618" s="85"/>
    </row>
    <row r="17619">
      <c r="A17619" s="84"/>
      <c r="B17619" s="85"/>
      <c r="C17619" s="85"/>
      <c r="F17619" s="92"/>
      <c r="G17619" s="85"/>
    </row>
    <row r="17620">
      <c r="A17620" s="84"/>
      <c r="B17620" s="85"/>
      <c r="C17620" s="85"/>
      <c r="F17620" s="92"/>
      <c r="G17620" s="85"/>
    </row>
    <row r="17621">
      <c r="A17621" s="84"/>
      <c r="B17621" s="85"/>
      <c r="C17621" s="85"/>
      <c r="F17621" s="92"/>
      <c r="G17621" s="85"/>
    </row>
    <row r="17622">
      <c r="A17622" s="84"/>
      <c r="B17622" s="85"/>
      <c r="C17622" s="85"/>
      <c r="F17622" s="92"/>
      <c r="G17622" s="85"/>
    </row>
    <row r="17623">
      <c r="A17623" s="84"/>
      <c r="B17623" s="85"/>
      <c r="C17623" s="85"/>
      <c r="F17623" s="92"/>
      <c r="G17623" s="85"/>
    </row>
    <row r="17624">
      <c r="A17624" s="84"/>
      <c r="B17624" s="85"/>
      <c r="C17624" s="85"/>
      <c r="F17624" s="92"/>
      <c r="G17624" s="85"/>
    </row>
    <row r="17625">
      <c r="A17625" s="84"/>
      <c r="B17625" s="85"/>
      <c r="C17625" s="85"/>
      <c r="F17625" s="92"/>
      <c r="G17625" s="85"/>
    </row>
    <row r="17626">
      <c r="A17626" s="84"/>
      <c r="B17626" s="85"/>
      <c r="C17626" s="85"/>
      <c r="F17626" s="92"/>
      <c r="G17626" s="85"/>
    </row>
    <row r="17627">
      <c r="A17627" s="84"/>
      <c r="B17627" s="85"/>
      <c r="C17627" s="85"/>
      <c r="F17627" s="92"/>
      <c r="G17627" s="85"/>
    </row>
    <row r="17628">
      <c r="A17628" s="84"/>
      <c r="B17628" s="85"/>
      <c r="C17628" s="85"/>
      <c r="F17628" s="92"/>
      <c r="G17628" s="85"/>
    </row>
    <row r="17629">
      <c r="A17629" s="84"/>
      <c r="B17629" s="85"/>
      <c r="C17629" s="85"/>
      <c r="F17629" s="92"/>
      <c r="G17629" s="85"/>
    </row>
    <row r="17630">
      <c r="A17630" s="84"/>
      <c r="B17630" s="85"/>
      <c r="C17630" s="85"/>
      <c r="F17630" s="92"/>
      <c r="G17630" s="85"/>
    </row>
    <row r="17631">
      <c r="A17631" s="84"/>
      <c r="B17631" s="85"/>
      <c r="C17631" s="85"/>
      <c r="F17631" s="92"/>
      <c r="G17631" s="85"/>
    </row>
    <row r="17632">
      <c r="A17632" s="84"/>
      <c r="B17632" s="85"/>
      <c r="C17632" s="85"/>
      <c r="F17632" s="92"/>
      <c r="G17632" s="85"/>
    </row>
    <row r="17633">
      <c r="A17633" s="84"/>
      <c r="B17633" s="85"/>
      <c r="C17633" s="85"/>
      <c r="F17633" s="92"/>
      <c r="G17633" s="85"/>
    </row>
    <row r="17634">
      <c r="A17634" s="84"/>
      <c r="B17634" s="85"/>
      <c r="C17634" s="85"/>
      <c r="F17634" s="92"/>
      <c r="G17634" s="85"/>
    </row>
    <row r="17635">
      <c r="A17635" s="84"/>
      <c r="B17635" s="85"/>
      <c r="C17635" s="85"/>
      <c r="F17635" s="92"/>
      <c r="G17635" s="85"/>
    </row>
    <row r="17636">
      <c r="A17636" s="84"/>
      <c r="B17636" s="85"/>
      <c r="C17636" s="85"/>
      <c r="F17636" s="92"/>
      <c r="G17636" s="85"/>
    </row>
    <row r="17637">
      <c r="A17637" s="84"/>
      <c r="B17637" s="85"/>
      <c r="C17637" s="85"/>
      <c r="F17637" s="92"/>
      <c r="G17637" s="85"/>
    </row>
    <row r="17638">
      <c r="A17638" s="84"/>
      <c r="B17638" s="85"/>
      <c r="C17638" s="85"/>
      <c r="F17638" s="92"/>
      <c r="G17638" s="85"/>
    </row>
    <row r="17639">
      <c r="A17639" s="84"/>
      <c r="B17639" s="85"/>
      <c r="C17639" s="85"/>
      <c r="F17639" s="92"/>
      <c r="G17639" s="85"/>
    </row>
    <row r="17640">
      <c r="A17640" s="84"/>
      <c r="B17640" s="85"/>
      <c r="C17640" s="85"/>
      <c r="F17640" s="92"/>
      <c r="G17640" s="85"/>
    </row>
    <row r="17641">
      <c r="A17641" s="84"/>
      <c r="B17641" s="85"/>
      <c r="C17641" s="85"/>
      <c r="F17641" s="92"/>
      <c r="G17641" s="85"/>
    </row>
    <row r="17642">
      <c r="A17642" s="84"/>
      <c r="B17642" s="85"/>
      <c r="C17642" s="85"/>
      <c r="F17642" s="92"/>
      <c r="G17642" s="85"/>
    </row>
    <row r="17643">
      <c r="A17643" s="84"/>
      <c r="B17643" s="85"/>
      <c r="C17643" s="85"/>
      <c r="F17643" s="92"/>
      <c r="G17643" s="85"/>
    </row>
    <row r="17644">
      <c r="A17644" s="84"/>
      <c r="B17644" s="85"/>
      <c r="C17644" s="85"/>
      <c r="F17644" s="92"/>
      <c r="G17644" s="85"/>
    </row>
    <row r="17645">
      <c r="A17645" s="84"/>
      <c r="B17645" s="85"/>
      <c r="C17645" s="85"/>
      <c r="F17645" s="92"/>
      <c r="G17645" s="85"/>
    </row>
    <row r="17646">
      <c r="A17646" s="84"/>
      <c r="B17646" s="85"/>
      <c r="C17646" s="85"/>
      <c r="F17646" s="92"/>
      <c r="G17646" s="85"/>
    </row>
    <row r="17647">
      <c r="A17647" s="84"/>
      <c r="B17647" s="85"/>
      <c r="C17647" s="85"/>
      <c r="F17647" s="92"/>
      <c r="G17647" s="85"/>
    </row>
    <row r="17648">
      <c r="A17648" s="84"/>
      <c r="B17648" s="85"/>
      <c r="C17648" s="85"/>
      <c r="F17648" s="92"/>
      <c r="G17648" s="85"/>
    </row>
    <row r="17649">
      <c r="A17649" s="84"/>
      <c r="B17649" s="85"/>
      <c r="C17649" s="85"/>
      <c r="F17649" s="92"/>
      <c r="G17649" s="85"/>
    </row>
    <row r="17650">
      <c r="A17650" s="84"/>
      <c r="B17650" s="85"/>
      <c r="C17650" s="85"/>
      <c r="F17650" s="92"/>
      <c r="G17650" s="85"/>
    </row>
    <row r="17651">
      <c r="A17651" s="84"/>
      <c r="B17651" s="85"/>
      <c r="C17651" s="85"/>
      <c r="F17651" s="92"/>
      <c r="G17651" s="85"/>
    </row>
    <row r="17652">
      <c r="A17652" s="84"/>
      <c r="B17652" s="85"/>
      <c r="C17652" s="85"/>
      <c r="F17652" s="92"/>
      <c r="G17652" s="85"/>
    </row>
    <row r="17653">
      <c r="A17653" s="84"/>
      <c r="B17653" s="85"/>
      <c r="C17653" s="85"/>
      <c r="F17653" s="92"/>
      <c r="G17653" s="85"/>
    </row>
    <row r="17654">
      <c r="A17654" s="84"/>
      <c r="B17654" s="85"/>
      <c r="C17654" s="85"/>
      <c r="F17654" s="92"/>
      <c r="G17654" s="85"/>
    </row>
    <row r="17655">
      <c r="A17655" s="84"/>
      <c r="B17655" s="85"/>
      <c r="C17655" s="85"/>
      <c r="F17655" s="92"/>
      <c r="G17655" s="85"/>
    </row>
    <row r="17656">
      <c r="A17656" s="84"/>
      <c r="B17656" s="85"/>
      <c r="C17656" s="85"/>
      <c r="F17656" s="92"/>
      <c r="G17656" s="85"/>
    </row>
    <row r="17657">
      <c r="A17657" s="84"/>
      <c r="B17657" s="85"/>
      <c r="C17657" s="85"/>
      <c r="F17657" s="92"/>
      <c r="G17657" s="85"/>
    </row>
    <row r="17658">
      <c r="A17658" s="84"/>
      <c r="B17658" s="85"/>
      <c r="C17658" s="85"/>
      <c r="F17658" s="92"/>
      <c r="G17658" s="85"/>
    </row>
    <row r="17659">
      <c r="A17659" s="84"/>
      <c r="B17659" s="85"/>
      <c r="C17659" s="85"/>
      <c r="F17659" s="92"/>
      <c r="G17659" s="85"/>
    </row>
    <row r="17660">
      <c r="A17660" s="84"/>
      <c r="B17660" s="85"/>
      <c r="C17660" s="85"/>
      <c r="F17660" s="92"/>
      <c r="G17660" s="85"/>
    </row>
    <row r="17661">
      <c r="A17661" s="84"/>
      <c r="B17661" s="85"/>
      <c r="C17661" s="85"/>
      <c r="F17661" s="92"/>
      <c r="G17661" s="85"/>
    </row>
    <row r="17662">
      <c r="A17662" s="84"/>
      <c r="B17662" s="85"/>
      <c r="C17662" s="85"/>
      <c r="F17662" s="92"/>
      <c r="G17662" s="85"/>
    </row>
    <row r="17663">
      <c r="A17663" s="84"/>
      <c r="B17663" s="85"/>
      <c r="C17663" s="85"/>
      <c r="F17663" s="92"/>
      <c r="G17663" s="85"/>
    </row>
    <row r="17664">
      <c r="A17664" s="84"/>
      <c r="B17664" s="85"/>
      <c r="C17664" s="85"/>
      <c r="F17664" s="92"/>
      <c r="G17664" s="85"/>
    </row>
    <row r="17665">
      <c r="A17665" s="84"/>
      <c r="B17665" s="85"/>
      <c r="C17665" s="85"/>
      <c r="F17665" s="92"/>
      <c r="G17665" s="85"/>
    </row>
    <row r="17666">
      <c r="A17666" s="84"/>
      <c r="B17666" s="85"/>
      <c r="C17666" s="85"/>
      <c r="F17666" s="92"/>
      <c r="G17666" s="85"/>
    </row>
    <row r="17667">
      <c r="A17667" s="84"/>
      <c r="B17667" s="85"/>
      <c r="C17667" s="85"/>
      <c r="F17667" s="92"/>
      <c r="G17667" s="85"/>
    </row>
    <row r="17668">
      <c r="A17668" s="84"/>
      <c r="B17668" s="85"/>
      <c r="C17668" s="85"/>
      <c r="F17668" s="92"/>
      <c r="G17668" s="85"/>
    </row>
    <row r="17669">
      <c r="A17669" s="84"/>
      <c r="B17669" s="85"/>
      <c r="C17669" s="85"/>
      <c r="F17669" s="92"/>
      <c r="G17669" s="85"/>
    </row>
    <row r="17670">
      <c r="A17670" s="84"/>
      <c r="B17670" s="85"/>
      <c r="C17670" s="85"/>
      <c r="F17670" s="92"/>
      <c r="G17670" s="85"/>
    </row>
    <row r="17671">
      <c r="A17671" s="84"/>
      <c r="B17671" s="85"/>
      <c r="C17671" s="85"/>
      <c r="F17671" s="92"/>
      <c r="G17671" s="85"/>
    </row>
    <row r="17672">
      <c r="A17672" s="84"/>
      <c r="B17672" s="85"/>
      <c r="C17672" s="85"/>
      <c r="F17672" s="92"/>
      <c r="G17672" s="85"/>
    </row>
    <row r="17673">
      <c r="A17673" s="84"/>
      <c r="B17673" s="85"/>
      <c r="C17673" s="85"/>
      <c r="F17673" s="92"/>
      <c r="G17673" s="85"/>
    </row>
    <row r="17674">
      <c r="A17674" s="84"/>
      <c r="B17674" s="85"/>
      <c r="C17674" s="85"/>
      <c r="F17674" s="92"/>
      <c r="G17674" s="85"/>
    </row>
    <row r="17675">
      <c r="A17675" s="84"/>
      <c r="B17675" s="85"/>
      <c r="C17675" s="85"/>
      <c r="F17675" s="92"/>
      <c r="G17675" s="85"/>
    </row>
    <row r="17676">
      <c r="A17676" s="84"/>
      <c r="B17676" s="85"/>
      <c r="C17676" s="85"/>
      <c r="F17676" s="92"/>
      <c r="G17676" s="85"/>
    </row>
    <row r="17677">
      <c r="A17677" s="84"/>
      <c r="B17677" s="85"/>
      <c r="C17677" s="85"/>
      <c r="F17677" s="92"/>
      <c r="G17677" s="85"/>
    </row>
    <row r="17678">
      <c r="A17678" s="84"/>
      <c r="B17678" s="85"/>
      <c r="C17678" s="85"/>
      <c r="F17678" s="92"/>
      <c r="G17678" s="85"/>
    </row>
    <row r="17679">
      <c r="A17679" s="84"/>
      <c r="B17679" s="85"/>
      <c r="C17679" s="85"/>
      <c r="F17679" s="92"/>
      <c r="G17679" s="85"/>
    </row>
    <row r="17680">
      <c r="A17680" s="84"/>
      <c r="B17680" s="85"/>
      <c r="C17680" s="85"/>
      <c r="F17680" s="92"/>
      <c r="G17680" s="85"/>
    </row>
    <row r="17681">
      <c r="A17681" s="84"/>
      <c r="B17681" s="85"/>
      <c r="C17681" s="85"/>
      <c r="F17681" s="92"/>
      <c r="G17681" s="85"/>
    </row>
    <row r="17682">
      <c r="A17682" s="84"/>
      <c r="B17682" s="85"/>
      <c r="C17682" s="85"/>
      <c r="F17682" s="92"/>
      <c r="G17682" s="85"/>
    </row>
    <row r="17683">
      <c r="A17683" s="84"/>
      <c r="B17683" s="85"/>
      <c r="C17683" s="85"/>
      <c r="F17683" s="92"/>
      <c r="G17683" s="85"/>
    </row>
    <row r="17684">
      <c r="A17684" s="84"/>
      <c r="B17684" s="85"/>
      <c r="C17684" s="85"/>
      <c r="F17684" s="92"/>
      <c r="G17684" s="85"/>
    </row>
    <row r="17685">
      <c r="A17685" s="84"/>
      <c r="B17685" s="85"/>
      <c r="C17685" s="85"/>
      <c r="F17685" s="92"/>
      <c r="G17685" s="85"/>
    </row>
    <row r="17686">
      <c r="A17686" s="84"/>
      <c r="B17686" s="85"/>
      <c r="C17686" s="85"/>
      <c r="F17686" s="92"/>
      <c r="G17686" s="85"/>
    </row>
    <row r="17687">
      <c r="A17687" s="84"/>
      <c r="B17687" s="85"/>
      <c r="C17687" s="85"/>
      <c r="F17687" s="92"/>
      <c r="G17687" s="85"/>
    </row>
    <row r="17688">
      <c r="A17688" s="84"/>
      <c r="B17688" s="85"/>
      <c r="C17688" s="85"/>
      <c r="F17688" s="92"/>
      <c r="G17688" s="85"/>
    </row>
    <row r="17689">
      <c r="A17689" s="84"/>
      <c r="B17689" s="85"/>
      <c r="C17689" s="85"/>
      <c r="F17689" s="92"/>
      <c r="G17689" s="85"/>
    </row>
    <row r="17690">
      <c r="A17690" s="84"/>
      <c r="B17690" s="85"/>
      <c r="C17690" s="85"/>
      <c r="F17690" s="92"/>
      <c r="G17690" s="85"/>
    </row>
    <row r="17691">
      <c r="A17691" s="84"/>
      <c r="B17691" s="85"/>
      <c r="C17691" s="85"/>
      <c r="F17691" s="92"/>
      <c r="G17691" s="85"/>
    </row>
    <row r="17692">
      <c r="A17692" s="84"/>
      <c r="B17692" s="85"/>
      <c r="C17692" s="85"/>
      <c r="F17692" s="92"/>
      <c r="G17692" s="85"/>
    </row>
    <row r="17693">
      <c r="A17693" s="84"/>
      <c r="B17693" s="85"/>
      <c r="C17693" s="85"/>
      <c r="F17693" s="92"/>
      <c r="G17693" s="85"/>
    </row>
    <row r="17694">
      <c r="A17694" s="84"/>
      <c r="B17694" s="85"/>
      <c r="C17694" s="85"/>
      <c r="F17694" s="92"/>
      <c r="G17694" s="85"/>
    </row>
    <row r="17695">
      <c r="A17695" s="84"/>
      <c r="B17695" s="85"/>
      <c r="C17695" s="85"/>
      <c r="F17695" s="92"/>
      <c r="G17695" s="85"/>
    </row>
    <row r="17696">
      <c r="A17696" s="84"/>
      <c r="B17696" s="85"/>
      <c r="C17696" s="85"/>
      <c r="F17696" s="92"/>
      <c r="G17696" s="85"/>
    </row>
    <row r="17697">
      <c r="A17697" s="84"/>
      <c r="B17697" s="85"/>
      <c r="C17697" s="85"/>
      <c r="F17697" s="92"/>
      <c r="G17697" s="85"/>
    </row>
    <row r="17698">
      <c r="A17698" s="84"/>
      <c r="B17698" s="85"/>
      <c r="C17698" s="85"/>
      <c r="F17698" s="92"/>
      <c r="G17698" s="85"/>
    </row>
    <row r="17699">
      <c r="A17699" s="84"/>
      <c r="B17699" s="85"/>
      <c r="C17699" s="85"/>
      <c r="F17699" s="92"/>
      <c r="G17699" s="85"/>
    </row>
    <row r="17700">
      <c r="A17700" s="84"/>
      <c r="B17700" s="85"/>
      <c r="C17700" s="85"/>
      <c r="F17700" s="92"/>
      <c r="G17700" s="85"/>
    </row>
    <row r="17701">
      <c r="A17701" s="84"/>
      <c r="B17701" s="85"/>
      <c r="C17701" s="85"/>
      <c r="F17701" s="92"/>
      <c r="G17701" s="85"/>
    </row>
    <row r="17702">
      <c r="A17702" s="84"/>
      <c r="B17702" s="85"/>
      <c r="C17702" s="85"/>
      <c r="F17702" s="92"/>
      <c r="G17702" s="85"/>
    </row>
    <row r="17703">
      <c r="A17703" s="84"/>
      <c r="B17703" s="85"/>
      <c r="C17703" s="85"/>
      <c r="F17703" s="92"/>
      <c r="G17703" s="85"/>
    </row>
    <row r="17704">
      <c r="A17704" s="84"/>
      <c r="B17704" s="85"/>
      <c r="C17704" s="85"/>
      <c r="F17704" s="92"/>
      <c r="G17704" s="85"/>
    </row>
    <row r="17705">
      <c r="A17705" s="84"/>
      <c r="B17705" s="85"/>
      <c r="C17705" s="85"/>
      <c r="F17705" s="92"/>
      <c r="G17705" s="85"/>
    </row>
    <row r="17706">
      <c r="A17706" s="84"/>
      <c r="B17706" s="85"/>
      <c r="C17706" s="85"/>
      <c r="F17706" s="92"/>
      <c r="G17706" s="85"/>
    </row>
    <row r="17707">
      <c r="A17707" s="84"/>
      <c r="B17707" s="85"/>
      <c r="C17707" s="85"/>
      <c r="F17707" s="92"/>
      <c r="G17707" s="85"/>
    </row>
    <row r="17708">
      <c r="A17708" s="84"/>
      <c r="B17708" s="85"/>
      <c r="C17708" s="85"/>
      <c r="F17708" s="92"/>
      <c r="G17708" s="85"/>
    </row>
    <row r="17709">
      <c r="A17709" s="84"/>
      <c r="B17709" s="85"/>
      <c r="C17709" s="85"/>
      <c r="F17709" s="92"/>
      <c r="G17709" s="85"/>
    </row>
    <row r="17710">
      <c r="A17710" s="84"/>
      <c r="B17710" s="85"/>
      <c r="C17710" s="85"/>
      <c r="F17710" s="92"/>
      <c r="G17710" s="85"/>
    </row>
    <row r="17711">
      <c r="A17711" s="84"/>
      <c r="B17711" s="85"/>
      <c r="C17711" s="85"/>
      <c r="F17711" s="92"/>
      <c r="G17711" s="85"/>
    </row>
    <row r="17712">
      <c r="A17712" s="84"/>
      <c r="B17712" s="85"/>
      <c r="C17712" s="85"/>
      <c r="F17712" s="92"/>
      <c r="G17712" s="85"/>
    </row>
    <row r="17713">
      <c r="A17713" s="84"/>
      <c r="B17713" s="85"/>
      <c r="C17713" s="85"/>
      <c r="F17713" s="92"/>
      <c r="G17713" s="85"/>
    </row>
    <row r="17714">
      <c r="A17714" s="84"/>
      <c r="B17714" s="85"/>
      <c r="C17714" s="85"/>
      <c r="F17714" s="92"/>
      <c r="G17714" s="85"/>
    </row>
    <row r="17715">
      <c r="A17715" s="84"/>
      <c r="B17715" s="85"/>
      <c r="C17715" s="85"/>
      <c r="F17715" s="92"/>
      <c r="G17715" s="85"/>
    </row>
    <row r="17716">
      <c r="A17716" s="84"/>
      <c r="B17716" s="85"/>
      <c r="C17716" s="85"/>
      <c r="F17716" s="92"/>
      <c r="G17716" s="85"/>
    </row>
    <row r="17717">
      <c r="A17717" s="84"/>
      <c r="B17717" s="85"/>
      <c r="C17717" s="85"/>
      <c r="F17717" s="92"/>
      <c r="G17717" s="85"/>
    </row>
    <row r="17718">
      <c r="A17718" s="84"/>
      <c r="B17718" s="85"/>
      <c r="C17718" s="85"/>
      <c r="F17718" s="92"/>
      <c r="G17718" s="85"/>
    </row>
    <row r="17719">
      <c r="A17719" s="84"/>
      <c r="B17719" s="85"/>
      <c r="C17719" s="85"/>
      <c r="F17719" s="92"/>
      <c r="G17719" s="85"/>
    </row>
    <row r="17720">
      <c r="A17720" s="84"/>
      <c r="B17720" s="85"/>
      <c r="C17720" s="85"/>
      <c r="F17720" s="92"/>
      <c r="G17720" s="85"/>
    </row>
    <row r="17721">
      <c r="A17721" s="84"/>
      <c r="B17721" s="85"/>
      <c r="C17721" s="85"/>
      <c r="F17721" s="92"/>
      <c r="G17721" s="85"/>
    </row>
    <row r="17722">
      <c r="A17722" s="84"/>
      <c r="B17722" s="85"/>
      <c r="C17722" s="85"/>
      <c r="F17722" s="92"/>
      <c r="G17722" s="85"/>
    </row>
    <row r="17723">
      <c r="A17723" s="84"/>
      <c r="B17723" s="85"/>
      <c r="C17723" s="85"/>
      <c r="F17723" s="92"/>
      <c r="G17723" s="85"/>
    </row>
    <row r="17724">
      <c r="A17724" s="84"/>
      <c r="B17724" s="85"/>
      <c r="C17724" s="85"/>
      <c r="F17724" s="92"/>
      <c r="G17724" s="85"/>
    </row>
    <row r="17725">
      <c r="A17725" s="84"/>
      <c r="B17725" s="85"/>
      <c r="C17725" s="85"/>
      <c r="F17725" s="92"/>
      <c r="G17725" s="85"/>
    </row>
    <row r="17726">
      <c r="A17726" s="84"/>
      <c r="B17726" s="85"/>
      <c r="C17726" s="85"/>
      <c r="F17726" s="92"/>
      <c r="G17726" s="85"/>
    </row>
    <row r="17727">
      <c r="A17727" s="84"/>
      <c r="B17727" s="85"/>
      <c r="C17727" s="85"/>
      <c r="F17727" s="92"/>
      <c r="G17727" s="85"/>
    </row>
    <row r="17728">
      <c r="A17728" s="84"/>
      <c r="B17728" s="85"/>
      <c r="C17728" s="85"/>
      <c r="F17728" s="92"/>
      <c r="G17728" s="85"/>
    </row>
    <row r="17729">
      <c r="A17729" s="84"/>
      <c r="B17729" s="85"/>
      <c r="C17729" s="85"/>
      <c r="F17729" s="92"/>
      <c r="G17729" s="85"/>
    </row>
    <row r="17730">
      <c r="A17730" s="84"/>
      <c r="B17730" s="85"/>
      <c r="C17730" s="85"/>
      <c r="F17730" s="92"/>
      <c r="G17730" s="85"/>
    </row>
    <row r="17731">
      <c r="A17731" s="84"/>
      <c r="B17731" s="85"/>
      <c r="C17731" s="85"/>
      <c r="F17731" s="92"/>
      <c r="G17731" s="85"/>
    </row>
    <row r="17732">
      <c r="A17732" s="84"/>
      <c r="B17732" s="85"/>
      <c r="C17732" s="85"/>
      <c r="F17732" s="92"/>
      <c r="G17732" s="85"/>
    </row>
    <row r="17733">
      <c r="A17733" s="84"/>
      <c r="B17733" s="85"/>
      <c r="C17733" s="85"/>
      <c r="F17733" s="92"/>
      <c r="G17733" s="85"/>
    </row>
    <row r="17734">
      <c r="A17734" s="84"/>
      <c r="B17734" s="85"/>
      <c r="C17734" s="85"/>
      <c r="F17734" s="92"/>
      <c r="G17734" s="85"/>
    </row>
    <row r="17735">
      <c r="A17735" s="84"/>
      <c r="B17735" s="85"/>
      <c r="C17735" s="85"/>
      <c r="F17735" s="92"/>
      <c r="G17735" s="85"/>
    </row>
    <row r="17736">
      <c r="A17736" s="84"/>
      <c r="B17736" s="85"/>
      <c r="C17736" s="85"/>
      <c r="F17736" s="92"/>
      <c r="G17736" s="85"/>
    </row>
    <row r="17737">
      <c r="A17737" s="84"/>
      <c r="B17737" s="85"/>
      <c r="C17737" s="85"/>
      <c r="F17737" s="92"/>
      <c r="G17737" s="85"/>
    </row>
    <row r="17738">
      <c r="A17738" s="84"/>
      <c r="B17738" s="85"/>
      <c r="C17738" s="85"/>
      <c r="F17738" s="92"/>
      <c r="G17738" s="85"/>
    </row>
    <row r="17739">
      <c r="A17739" s="84"/>
      <c r="B17739" s="85"/>
      <c r="C17739" s="85"/>
      <c r="F17739" s="92"/>
      <c r="G17739" s="85"/>
    </row>
    <row r="17740">
      <c r="A17740" s="84"/>
      <c r="B17740" s="85"/>
      <c r="C17740" s="85"/>
      <c r="F17740" s="92"/>
      <c r="G17740" s="85"/>
    </row>
    <row r="17741">
      <c r="A17741" s="84"/>
      <c r="B17741" s="85"/>
      <c r="C17741" s="85"/>
      <c r="F17741" s="92"/>
      <c r="G17741" s="85"/>
    </row>
    <row r="17742">
      <c r="A17742" s="84"/>
      <c r="B17742" s="85"/>
      <c r="C17742" s="85"/>
      <c r="F17742" s="92"/>
      <c r="G17742" s="85"/>
    </row>
    <row r="17743">
      <c r="A17743" s="84"/>
      <c r="B17743" s="85"/>
      <c r="C17743" s="85"/>
      <c r="F17743" s="92"/>
      <c r="G17743" s="85"/>
    </row>
    <row r="17744">
      <c r="A17744" s="84"/>
      <c r="B17744" s="85"/>
      <c r="C17744" s="85"/>
      <c r="F17744" s="92"/>
      <c r="G17744" s="85"/>
    </row>
    <row r="17745">
      <c r="A17745" s="84"/>
      <c r="B17745" s="85"/>
      <c r="C17745" s="85"/>
      <c r="F17745" s="92"/>
      <c r="G17745" s="85"/>
    </row>
    <row r="17746">
      <c r="A17746" s="84"/>
      <c r="B17746" s="85"/>
      <c r="C17746" s="85"/>
      <c r="F17746" s="92"/>
      <c r="G17746" s="85"/>
    </row>
    <row r="17747">
      <c r="A17747" s="84"/>
      <c r="B17747" s="85"/>
      <c r="C17747" s="85"/>
      <c r="F17747" s="92"/>
      <c r="G17747" s="85"/>
    </row>
    <row r="17748">
      <c r="A17748" s="84"/>
      <c r="B17748" s="85"/>
      <c r="C17748" s="85"/>
      <c r="F17748" s="92"/>
      <c r="G17748" s="85"/>
    </row>
    <row r="17749">
      <c r="A17749" s="84"/>
      <c r="B17749" s="85"/>
      <c r="C17749" s="85"/>
      <c r="F17749" s="92"/>
      <c r="G17749" s="85"/>
    </row>
    <row r="17750">
      <c r="A17750" s="84"/>
      <c r="B17750" s="85"/>
      <c r="C17750" s="85"/>
      <c r="F17750" s="92"/>
      <c r="G17750" s="85"/>
    </row>
    <row r="17751">
      <c r="A17751" s="84"/>
      <c r="B17751" s="85"/>
      <c r="C17751" s="85"/>
      <c r="F17751" s="92"/>
      <c r="G17751" s="85"/>
    </row>
    <row r="17752">
      <c r="A17752" s="84"/>
      <c r="B17752" s="85"/>
      <c r="C17752" s="85"/>
      <c r="F17752" s="92"/>
      <c r="G17752" s="85"/>
    </row>
    <row r="17753">
      <c r="A17753" s="84"/>
      <c r="B17753" s="85"/>
      <c r="C17753" s="85"/>
      <c r="F17753" s="92"/>
      <c r="G17753" s="85"/>
    </row>
    <row r="17754">
      <c r="A17754" s="84"/>
      <c r="B17754" s="85"/>
      <c r="C17754" s="85"/>
      <c r="F17754" s="92"/>
      <c r="G17754" s="85"/>
    </row>
    <row r="17755">
      <c r="A17755" s="84"/>
      <c r="B17755" s="85"/>
      <c r="C17755" s="85"/>
      <c r="F17755" s="92"/>
      <c r="G17755" s="85"/>
    </row>
    <row r="17756">
      <c r="A17756" s="84"/>
      <c r="B17756" s="85"/>
      <c r="C17756" s="85"/>
      <c r="F17756" s="92"/>
      <c r="G17756" s="85"/>
    </row>
    <row r="17757">
      <c r="A17757" s="84"/>
      <c r="B17757" s="85"/>
      <c r="C17757" s="85"/>
      <c r="F17757" s="92"/>
      <c r="G17757" s="85"/>
    </row>
    <row r="17758">
      <c r="A17758" s="84"/>
      <c r="B17758" s="85"/>
      <c r="C17758" s="85"/>
      <c r="F17758" s="92"/>
      <c r="G17758" s="85"/>
    </row>
    <row r="17759">
      <c r="A17759" s="84"/>
      <c r="B17759" s="85"/>
      <c r="C17759" s="85"/>
      <c r="F17759" s="92"/>
      <c r="G17759" s="85"/>
    </row>
    <row r="17760">
      <c r="A17760" s="84"/>
      <c r="B17760" s="85"/>
      <c r="C17760" s="85"/>
      <c r="F17760" s="92"/>
      <c r="G17760" s="85"/>
    </row>
    <row r="17761">
      <c r="A17761" s="84"/>
      <c r="B17761" s="85"/>
      <c r="C17761" s="85"/>
      <c r="F17761" s="92"/>
      <c r="G17761" s="85"/>
    </row>
    <row r="17762">
      <c r="A17762" s="84"/>
      <c r="B17762" s="85"/>
      <c r="C17762" s="85"/>
      <c r="F17762" s="92"/>
      <c r="G17762" s="85"/>
    </row>
    <row r="17763">
      <c r="A17763" s="84"/>
      <c r="B17763" s="85"/>
      <c r="C17763" s="85"/>
      <c r="F17763" s="92"/>
      <c r="G17763" s="85"/>
    </row>
    <row r="17764">
      <c r="A17764" s="84"/>
      <c r="B17764" s="85"/>
      <c r="C17764" s="85"/>
      <c r="F17764" s="92"/>
      <c r="G17764" s="85"/>
    </row>
    <row r="17765">
      <c r="A17765" s="84"/>
      <c r="B17765" s="85"/>
      <c r="C17765" s="85"/>
      <c r="F17765" s="92"/>
      <c r="G17765" s="85"/>
    </row>
    <row r="17766">
      <c r="A17766" s="84"/>
      <c r="B17766" s="85"/>
      <c r="C17766" s="85"/>
      <c r="F17766" s="92"/>
      <c r="G17766" s="85"/>
    </row>
    <row r="17767">
      <c r="A17767" s="84"/>
      <c r="B17767" s="85"/>
      <c r="C17767" s="85"/>
      <c r="F17767" s="92"/>
      <c r="G17767" s="85"/>
    </row>
    <row r="17768">
      <c r="A17768" s="84"/>
      <c r="B17768" s="85"/>
      <c r="C17768" s="85"/>
      <c r="F17768" s="92"/>
      <c r="G17768" s="85"/>
    </row>
    <row r="17769">
      <c r="A17769" s="84"/>
      <c r="B17769" s="85"/>
      <c r="C17769" s="85"/>
      <c r="F17769" s="92"/>
      <c r="G17769" s="85"/>
    </row>
    <row r="17770">
      <c r="A17770" s="84"/>
      <c r="B17770" s="85"/>
      <c r="C17770" s="85"/>
      <c r="F17770" s="92"/>
      <c r="G17770" s="85"/>
    </row>
    <row r="17771">
      <c r="A17771" s="84"/>
      <c r="B17771" s="85"/>
      <c r="C17771" s="85"/>
      <c r="F17771" s="92"/>
      <c r="G17771" s="85"/>
    </row>
    <row r="17772">
      <c r="A17772" s="84"/>
      <c r="B17772" s="85"/>
      <c r="C17772" s="85"/>
      <c r="F17772" s="92"/>
      <c r="G17772" s="85"/>
    </row>
    <row r="17773">
      <c r="A17773" s="84"/>
      <c r="B17773" s="85"/>
      <c r="C17773" s="85"/>
      <c r="F17773" s="92"/>
      <c r="G17773" s="85"/>
    </row>
    <row r="17774">
      <c r="A17774" s="84"/>
      <c r="B17774" s="85"/>
      <c r="C17774" s="85"/>
      <c r="F17774" s="92"/>
      <c r="G17774" s="85"/>
    </row>
    <row r="17775">
      <c r="A17775" s="84"/>
      <c r="B17775" s="85"/>
      <c r="C17775" s="85"/>
      <c r="F17775" s="92"/>
      <c r="G17775" s="85"/>
    </row>
    <row r="17776">
      <c r="A17776" s="84"/>
      <c r="B17776" s="85"/>
      <c r="C17776" s="85"/>
      <c r="F17776" s="92"/>
      <c r="G17776" s="85"/>
    </row>
    <row r="17777">
      <c r="A17777" s="84"/>
      <c r="B17777" s="85"/>
      <c r="C17777" s="85"/>
      <c r="F17777" s="92"/>
      <c r="G17777" s="85"/>
    </row>
    <row r="17778">
      <c r="A17778" s="84"/>
      <c r="B17778" s="85"/>
      <c r="C17778" s="85"/>
      <c r="F17778" s="92"/>
      <c r="G17778" s="85"/>
    </row>
    <row r="17779">
      <c r="A17779" s="84"/>
      <c r="B17779" s="85"/>
      <c r="C17779" s="85"/>
      <c r="F17779" s="92"/>
      <c r="G17779" s="85"/>
    </row>
    <row r="17780">
      <c r="A17780" s="84"/>
      <c r="B17780" s="85"/>
      <c r="C17780" s="85"/>
      <c r="F17780" s="92"/>
      <c r="G17780" s="85"/>
    </row>
    <row r="17781">
      <c r="A17781" s="84"/>
      <c r="B17781" s="85"/>
      <c r="C17781" s="85"/>
      <c r="F17781" s="92"/>
      <c r="G17781" s="85"/>
    </row>
    <row r="17782">
      <c r="A17782" s="84"/>
      <c r="B17782" s="85"/>
      <c r="C17782" s="85"/>
      <c r="F17782" s="92"/>
      <c r="G17782" s="85"/>
    </row>
    <row r="17783">
      <c r="A17783" s="84"/>
      <c r="B17783" s="85"/>
      <c r="C17783" s="85"/>
      <c r="F17783" s="92"/>
      <c r="G17783" s="85"/>
    </row>
    <row r="17784">
      <c r="A17784" s="84"/>
      <c r="B17784" s="85"/>
      <c r="C17784" s="85"/>
      <c r="F17784" s="92"/>
      <c r="G17784" s="85"/>
    </row>
    <row r="17785">
      <c r="A17785" s="84"/>
      <c r="B17785" s="85"/>
      <c r="C17785" s="85"/>
      <c r="F17785" s="92"/>
      <c r="G17785" s="85"/>
    </row>
    <row r="17786">
      <c r="A17786" s="84"/>
      <c r="B17786" s="85"/>
      <c r="C17786" s="85"/>
      <c r="F17786" s="92"/>
      <c r="G17786" s="85"/>
    </row>
    <row r="17787">
      <c r="A17787" s="84"/>
      <c r="B17787" s="85"/>
      <c r="C17787" s="85"/>
      <c r="F17787" s="92"/>
      <c r="G17787" s="85"/>
    </row>
    <row r="17788">
      <c r="A17788" s="84"/>
      <c r="B17788" s="85"/>
      <c r="C17788" s="85"/>
      <c r="F17788" s="92"/>
      <c r="G17788" s="85"/>
    </row>
    <row r="17789">
      <c r="A17789" s="84"/>
      <c r="B17789" s="85"/>
      <c r="C17789" s="85"/>
      <c r="F17789" s="92"/>
      <c r="G17789" s="85"/>
    </row>
    <row r="17790">
      <c r="A17790" s="84"/>
      <c r="B17790" s="85"/>
      <c r="C17790" s="85"/>
      <c r="F17790" s="92"/>
      <c r="G17790" s="85"/>
    </row>
    <row r="17791">
      <c r="A17791" s="84"/>
      <c r="B17791" s="85"/>
      <c r="C17791" s="85"/>
      <c r="F17791" s="92"/>
      <c r="G17791" s="85"/>
    </row>
    <row r="17792">
      <c r="A17792" s="84"/>
      <c r="B17792" s="85"/>
      <c r="C17792" s="85"/>
      <c r="F17792" s="92"/>
      <c r="G17792" s="85"/>
    </row>
    <row r="17793">
      <c r="A17793" s="84"/>
      <c r="B17793" s="85"/>
      <c r="C17793" s="85"/>
      <c r="F17793" s="92"/>
      <c r="G17793" s="85"/>
    </row>
    <row r="17794">
      <c r="A17794" s="84"/>
      <c r="B17794" s="85"/>
      <c r="C17794" s="85"/>
      <c r="F17794" s="92"/>
      <c r="G17794" s="85"/>
    </row>
    <row r="17795">
      <c r="A17795" s="84"/>
      <c r="B17795" s="85"/>
      <c r="C17795" s="85"/>
      <c r="F17795" s="92"/>
      <c r="G17795" s="85"/>
    </row>
    <row r="17796">
      <c r="A17796" s="84"/>
      <c r="B17796" s="85"/>
      <c r="C17796" s="85"/>
      <c r="F17796" s="92"/>
      <c r="G17796" s="85"/>
    </row>
    <row r="17797">
      <c r="A17797" s="84"/>
      <c r="B17797" s="85"/>
      <c r="C17797" s="85"/>
      <c r="F17797" s="92"/>
      <c r="G17797" s="85"/>
    </row>
    <row r="17798">
      <c r="A17798" s="84"/>
      <c r="B17798" s="85"/>
      <c r="C17798" s="85"/>
      <c r="F17798" s="92"/>
      <c r="G17798" s="85"/>
    </row>
    <row r="17799">
      <c r="A17799" s="84"/>
      <c r="B17799" s="85"/>
      <c r="C17799" s="85"/>
      <c r="F17799" s="92"/>
      <c r="G17799" s="85"/>
    </row>
    <row r="17800">
      <c r="A17800" s="84"/>
      <c r="B17800" s="85"/>
      <c r="C17800" s="85"/>
      <c r="F17800" s="92"/>
      <c r="G17800" s="85"/>
    </row>
    <row r="17801">
      <c r="A17801" s="84"/>
      <c r="B17801" s="85"/>
      <c r="C17801" s="85"/>
      <c r="F17801" s="92"/>
      <c r="G17801" s="85"/>
    </row>
    <row r="17802">
      <c r="A17802" s="84"/>
      <c r="B17802" s="85"/>
      <c r="C17802" s="85"/>
      <c r="F17802" s="92"/>
      <c r="G17802" s="85"/>
    </row>
    <row r="17803">
      <c r="A17803" s="84"/>
      <c r="B17803" s="85"/>
      <c r="C17803" s="85"/>
      <c r="F17803" s="92"/>
      <c r="G17803" s="85"/>
    </row>
    <row r="17804">
      <c r="A17804" s="84"/>
      <c r="B17804" s="85"/>
      <c r="C17804" s="85"/>
      <c r="F17804" s="92"/>
      <c r="G17804" s="85"/>
    </row>
    <row r="17805">
      <c r="A17805" s="84"/>
      <c r="B17805" s="85"/>
      <c r="C17805" s="85"/>
      <c r="F17805" s="92"/>
      <c r="G17805" s="85"/>
    </row>
    <row r="17806">
      <c r="A17806" s="84"/>
      <c r="B17806" s="85"/>
      <c r="C17806" s="85"/>
      <c r="F17806" s="92"/>
      <c r="G17806" s="85"/>
    </row>
    <row r="17807">
      <c r="A17807" s="84"/>
      <c r="B17807" s="85"/>
      <c r="C17807" s="85"/>
      <c r="F17807" s="92"/>
      <c r="G17807" s="85"/>
    </row>
    <row r="17808">
      <c r="A17808" s="84"/>
      <c r="B17808" s="85"/>
      <c r="C17808" s="85"/>
      <c r="F17808" s="92"/>
      <c r="G17808" s="85"/>
    </row>
    <row r="17809">
      <c r="A17809" s="84"/>
      <c r="B17809" s="85"/>
      <c r="C17809" s="85"/>
      <c r="F17809" s="92"/>
      <c r="G17809" s="85"/>
    </row>
    <row r="17810">
      <c r="A17810" s="84"/>
      <c r="B17810" s="85"/>
      <c r="C17810" s="85"/>
      <c r="F17810" s="92"/>
      <c r="G17810" s="85"/>
    </row>
    <row r="17811">
      <c r="A17811" s="84"/>
      <c r="B17811" s="85"/>
      <c r="C17811" s="85"/>
      <c r="F17811" s="92"/>
      <c r="G17811" s="85"/>
    </row>
    <row r="17812">
      <c r="A17812" s="84"/>
      <c r="B17812" s="85"/>
      <c r="C17812" s="85"/>
      <c r="F17812" s="92"/>
      <c r="G17812" s="85"/>
    </row>
    <row r="17813">
      <c r="A17813" s="84"/>
      <c r="B17813" s="85"/>
      <c r="C17813" s="85"/>
      <c r="F17813" s="92"/>
      <c r="G17813" s="85"/>
    </row>
    <row r="17814">
      <c r="A17814" s="84"/>
      <c r="B17814" s="85"/>
      <c r="C17814" s="85"/>
      <c r="F17814" s="92"/>
      <c r="G17814" s="85"/>
    </row>
    <row r="17815">
      <c r="A17815" s="84"/>
      <c r="B17815" s="85"/>
      <c r="C17815" s="85"/>
      <c r="F17815" s="92"/>
      <c r="G17815" s="85"/>
    </row>
    <row r="17816">
      <c r="A17816" s="84"/>
      <c r="B17816" s="85"/>
      <c r="C17816" s="85"/>
      <c r="F17816" s="92"/>
      <c r="G17816" s="85"/>
    </row>
    <row r="17817">
      <c r="A17817" s="84"/>
      <c r="B17817" s="85"/>
      <c r="C17817" s="85"/>
      <c r="F17817" s="92"/>
      <c r="G17817" s="85"/>
    </row>
    <row r="17818">
      <c r="A17818" s="84"/>
      <c r="B17818" s="85"/>
      <c r="C17818" s="85"/>
      <c r="F17818" s="92"/>
      <c r="G17818" s="85"/>
    </row>
    <row r="17819">
      <c r="A17819" s="84"/>
      <c r="B17819" s="85"/>
      <c r="C17819" s="85"/>
      <c r="F17819" s="92"/>
      <c r="G17819" s="85"/>
    </row>
    <row r="17820">
      <c r="A17820" s="84"/>
      <c r="B17820" s="85"/>
      <c r="C17820" s="85"/>
      <c r="F17820" s="92"/>
      <c r="G17820" s="85"/>
    </row>
    <row r="17821">
      <c r="A17821" s="84"/>
      <c r="B17821" s="85"/>
      <c r="C17821" s="85"/>
      <c r="F17821" s="92"/>
      <c r="G17821" s="85"/>
    </row>
    <row r="17822">
      <c r="A17822" s="84"/>
      <c r="B17822" s="85"/>
      <c r="C17822" s="85"/>
      <c r="F17822" s="92"/>
      <c r="G17822" s="85"/>
    </row>
    <row r="17823">
      <c r="A17823" s="84"/>
      <c r="B17823" s="85"/>
      <c r="C17823" s="85"/>
      <c r="F17823" s="92"/>
      <c r="G17823" s="85"/>
    </row>
    <row r="17824">
      <c r="A17824" s="84"/>
      <c r="B17824" s="85"/>
      <c r="C17824" s="85"/>
      <c r="F17824" s="92"/>
      <c r="G17824" s="85"/>
    </row>
    <row r="17825">
      <c r="A17825" s="84"/>
      <c r="B17825" s="85"/>
      <c r="C17825" s="85"/>
      <c r="F17825" s="92"/>
      <c r="G17825" s="85"/>
    </row>
    <row r="17826">
      <c r="A17826" s="84"/>
      <c r="B17826" s="85"/>
      <c r="C17826" s="85"/>
      <c r="F17826" s="92"/>
      <c r="G17826" s="85"/>
    </row>
    <row r="17827">
      <c r="A17827" s="84"/>
      <c r="B17827" s="85"/>
      <c r="C17827" s="85"/>
      <c r="F17827" s="92"/>
      <c r="G17827" s="85"/>
    </row>
    <row r="17828">
      <c r="A17828" s="84"/>
      <c r="B17828" s="85"/>
      <c r="C17828" s="85"/>
      <c r="F17828" s="92"/>
      <c r="G17828" s="85"/>
    </row>
    <row r="17829">
      <c r="A17829" s="84"/>
      <c r="B17829" s="85"/>
      <c r="C17829" s="85"/>
      <c r="F17829" s="92"/>
      <c r="G17829" s="85"/>
    </row>
    <row r="17830">
      <c r="A17830" s="84"/>
      <c r="B17830" s="85"/>
      <c r="C17830" s="85"/>
      <c r="F17830" s="92"/>
      <c r="G17830" s="85"/>
    </row>
    <row r="17831">
      <c r="A17831" s="84"/>
      <c r="B17831" s="85"/>
      <c r="C17831" s="85"/>
      <c r="F17831" s="92"/>
      <c r="G17831" s="85"/>
    </row>
    <row r="17832">
      <c r="A17832" s="84"/>
      <c r="B17832" s="85"/>
      <c r="C17832" s="85"/>
      <c r="F17832" s="92"/>
      <c r="G17832" s="85"/>
    </row>
    <row r="17833">
      <c r="A17833" s="84"/>
      <c r="B17833" s="85"/>
      <c r="C17833" s="85"/>
      <c r="F17833" s="92"/>
      <c r="G17833" s="85"/>
    </row>
    <row r="17834">
      <c r="A17834" s="84"/>
      <c r="B17834" s="85"/>
      <c r="C17834" s="85"/>
      <c r="F17834" s="92"/>
      <c r="G17834" s="85"/>
    </row>
    <row r="17835">
      <c r="A17835" s="84"/>
      <c r="B17835" s="85"/>
      <c r="C17835" s="85"/>
      <c r="F17835" s="92"/>
      <c r="G17835" s="85"/>
    </row>
    <row r="17836">
      <c r="A17836" s="84"/>
      <c r="B17836" s="85"/>
      <c r="C17836" s="85"/>
      <c r="F17836" s="92"/>
      <c r="G17836" s="85"/>
    </row>
    <row r="17837">
      <c r="A17837" s="84"/>
      <c r="B17837" s="85"/>
      <c r="C17837" s="85"/>
      <c r="F17837" s="92"/>
      <c r="G17837" s="85"/>
    </row>
    <row r="17838">
      <c r="A17838" s="84"/>
      <c r="B17838" s="85"/>
      <c r="C17838" s="85"/>
      <c r="F17838" s="92"/>
      <c r="G17838" s="85"/>
    </row>
    <row r="17839">
      <c r="A17839" s="84"/>
      <c r="B17839" s="85"/>
      <c r="C17839" s="85"/>
      <c r="F17839" s="92"/>
      <c r="G17839" s="85"/>
    </row>
    <row r="17840">
      <c r="A17840" s="84"/>
      <c r="B17840" s="85"/>
      <c r="C17840" s="85"/>
      <c r="F17840" s="92"/>
      <c r="G17840" s="85"/>
    </row>
    <row r="17841">
      <c r="A17841" s="84"/>
      <c r="B17841" s="85"/>
      <c r="C17841" s="85"/>
      <c r="F17841" s="92"/>
      <c r="G17841" s="85"/>
    </row>
    <row r="17842">
      <c r="A17842" s="84"/>
      <c r="B17842" s="85"/>
      <c r="C17842" s="85"/>
      <c r="F17842" s="92"/>
      <c r="G17842" s="85"/>
    </row>
    <row r="17843">
      <c r="A17843" s="84"/>
      <c r="B17843" s="85"/>
      <c r="C17843" s="85"/>
      <c r="F17843" s="92"/>
      <c r="G17843" s="85"/>
    </row>
    <row r="17844">
      <c r="A17844" s="84"/>
      <c r="B17844" s="85"/>
      <c r="C17844" s="85"/>
      <c r="F17844" s="92"/>
      <c r="G17844" s="85"/>
    </row>
    <row r="17845">
      <c r="A17845" s="84"/>
      <c r="B17845" s="85"/>
      <c r="C17845" s="85"/>
      <c r="F17845" s="92"/>
      <c r="G17845" s="85"/>
    </row>
    <row r="17846">
      <c r="A17846" s="84"/>
      <c r="B17846" s="85"/>
      <c r="C17846" s="85"/>
      <c r="F17846" s="92"/>
      <c r="G17846" s="85"/>
    </row>
    <row r="17847">
      <c r="A17847" s="84"/>
      <c r="B17847" s="85"/>
      <c r="C17847" s="85"/>
      <c r="F17847" s="92"/>
      <c r="G17847" s="85"/>
    </row>
    <row r="17848">
      <c r="A17848" s="84"/>
      <c r="B17848" s="85"/>
      <c r="C17848" s="85"/>
      <c r="F17848" s="92"/>
      <c r="G17848" s="85"/>
    </row>
    <row r="17849">
      <c r="A17849" s="84"/>
      <c r="B17849" s="85"/>
      <c r="C17849" s="85"/>
      <c r="F17849" s="92"/>
      <c r="G17849" s="85"/>
    </row>
    <row r="17850">
      <c r="A17850" s="84"/>
      <c r="B17850" s="85"/>
      <c r="C17850" s="85"/>
      <c r="F17850" s="92"/>
      <c r="G17850" s="85"/>
    </row>
    <row r="17851">
      <c r="A17851" s="84"/>
      <c r="B17851" s="85"/>
      <c r="C17851" s="85"/>
      <c r="F17851" s="92"/>
      <c r="G17851" s="85"/>
    </row>
    <row r="17852">
      <c r="A17852" s="84"/>
      <c r="B17852" s="85"/>
      <c r="C17852" s="85"/>
      <c r="F17852" s="92"/>
      <c r="G17852" s="85"/>
    </row>
    <row r="17853">
      <c r="A17853" s="84"/>
      <c r="B17853" s="85"/>
      <c r="C17853" s="85"/>
      <c r="F17853" s="92"/>
      <c r="G17853" s="85"/>
    </row>
    <row r="17854">
      <c r="A17854" s="84"/>
      <c r="B17854" s="85"/>
      <c r="C17854" s="85"/>
      <c r="F17854" s="92"/>
      <c r="G17854" s="85"/>
    </row>
    <row r="17855">
      <c r="A17855" s="84"/>
      <c r="B17855" s="85"/>
      <c r="C17855" s="85"/>
      <c r="F17855" s="92"/>
      <c r="G17855" s="85"/>
    </row>
    <row r="17856">
      <c r="A17856" s="84"/>
      <c r="B17856" s="85"/>
      <c r="C17856" s="85"/>
      <c r="F17856" s="92"/>
      <c r="G17856" s="85"/>
    </row>
    <row r="17857">
      <c r="A17857" s="84"/>
      <c r="B17857" s="85"/>
      <c r="C17857" s="85"/>
      <c r="F17857" s="92"/>
      <c r="G17857" s="85"/>
    </row>
    <row r="17858">
      <c r="A17858" s="84"/>
      <c r="B17858" s="85"/>
      <c r="C17858" s="85"/>
      <c r="F17858" s="92"/>
      <c r="G17858" s="85"/>
    </row>
    <row r="17859">
      <c r="A17859" s="84"/>
      <c r="B17859" s="85"/>
      <c r="C17859" s="85"/>
      <c r="F17859" s="92"/>
      <c r="G17859" s="85"/>
    </row>
    <row r="17860">
      <c r="A17860" s="84"/>
      <c r="B17860" s="85"/>
      <c r="C17860" s="85"/>
      <c r="F17860" s="92"/>
      <c r="G17860" s="85"/>
    </row>
    <row r="17861">
      <c r="A17861" s="84"/>
      <c r="B17861" s="85"/>
      <c r="C17861" s="85"/>
      <c r="F17861" s="92"/>
      <c r="G17861" s="85"/>
    </row>
    <row r="17862">
      <c r="A17862" s="84"/>
      <c r="B17862" s="85"/>
      <c r="C17862" s="85"/>
      <c r="F17862" s="92"/>
      <c r="G17862" s="85"/>
    </row>
    <row r="17863">
      <c r="A17863" s="84"/>
      <c r="B17863" s="85"/>
      <c r="C17863" s="85"/>
      <c r="F17863" s="92"/>
      <c r="G17863" s="85"/>
    </row>
    <row r="17864">
      <c r="A17864" s="84"/>
      <c r="B17864" s="85"/>
      <c r="C17864" s="85"/>
      <c r="F17864" s="92"/>
      <c r="G17864" s="85"/>
    </row>
    <row r="17865">
      <c r="A17865" s="84"/>
      <c r="B17865" s="85"/>
      <c r="C17865" s="85"/>
      <c r="F17865" s="92"/>
      <c r="G17865" s="85"/>
    </row>
    <row r="17866">
      <c r="A17866" s="84"/>
      <c r="B17866" s="85"/>
      <c r="C17866" s="85"/>
      <c r="F17866" s="92"/>
      <c r="G17866" s="85"/>
    </row>
    <row r="17867">
      <c r="A17867" s="84"/>
      <c r="B17867" s="85"/>
      <c r="C17867" s="85"/>
      <c r="F17867" s="92"/>
      <c r="G17867" s="85"/>
    </row>
    <row r="17868">
      <c r="A17868" s="84"/>
      <c r="B17868" s="85"/>
      <c r="C17868" s="85"/>
      <c r="F17868" s="92"/>
      <c r="G17868" s="85"/>
    </row>
    <row r="17869">
      <c r="A17869" s="84"/>
      <c r="B17869" s="85"/>
      <c r="C17869" s="85"/>
      <c r="F17869" s="92"/>
      <c r="G17869" s="85"/>
    </row>
    <row r="17870">
      <c r="A17870" s="84"/>
      <c r="B17870" s="85"/>
      <c r="C17870" s="85"/>
      <c r="F17870" s="92"/>
      <c r="G17870" s="85"/>
    </row>
    <row r="17871">
      <c r="A17871" s="84"/>
      <c r="B17871" s="85"/>
      <c r="C17871" s="85"/>
      <c r="F17871" s="92"/>
      <c r="G17871" s="85"/>
    </row>
    <row r="17872">
      <c r="A17872" s="84"/>
      <c r="B17872" s="85"/>
      <c r="C17872" s="85"/>
      <c r="F17872" s="92"/>
      <c r="G17872" s="85"/>
    </row>
    <row r="17873">
      <c r="A17873" s="84"/>
      <c r="B17873" s="85"/>
      <c r="C17873" s="85"/>
      <c r="F17873" s="92"/>
      <c r="G17873" s="85"/>
    </row>
    <row r="17874">
      <c r="A17874" s="84"/>
      <c r="B17874" s="85"/>
      <c r="C17874" s="85"/>
      <c r="F17874" s="92"/>
      <c r="G17874" s="85"/>
    </row>
    <row r="17875">
      <c r="A17875" s="84"/>
      <c r="B17875" s="85"/>
      <c r="C17875" s="85"/>
      <c r="F17875" s="92"/>
      <c r="G17875" s="85"/>
    </row>
    <row r="17876">
      <c r="A17876" s="84"/>
      <c r="B17876" s="85"/>
      <c r="C17876" s="85"/>
      <c r="F17876" s="92"/>
      <c r="G17876" s="85"/>
    </row>
    <row r="17877">
      <c r="A17877" s="84"/>
      <c r="B17877" s="85"/>
      <c r="C17877" s="85"/>
      <c r="F17877" s="92"/>
      <c r="G17877" s="85"/>
    </row>
    <row r="17878">
      <c r="A17878" s="84"/>
      <c r="B17878" s="85"/>
      <c r="C17878" s="85"/>
      <c r="F17878" s="92"/>
      <c r="G17878" s="85"/>
    </row>
    <row r="17879">
      <c r="A17879" s="84"/>
      <c r="B17879" s="85"/>
      <c r="C17879" s="85"/>
      <c r="F17879" s="92"/>
      <c r="G17879" s="85"/>
    </row>
    <row r="17880">
      <c r="A17880" s="84"/>
      <c r="B17880" s="85"/>
      <c r="C17880" s="85"/>
      <c r="F17880" s="92"/>
      <c r="G17880" s="85"/>
    </row>
    <row r="17881">
      <c r="A17881" s="84"/>
      <c r="B17881" s="85"/>
      <c r="C17881" s="85"/>
      <c r="F17881" s="92"/>
      <c r="G17881" s="85"/>
    </row>
    <row r="17882">
      <c r="A17882" s="84"/>
      <c r="B17882" s="85"/>
      <c r="C17882" s="85"/>
      <c r="F17882" s="92"/>
      <c r="G17882" s="85"/>
    </row>
    <row r="17883">
      <c r="A17883" s="84"/>
      <c r="B17883" s="85"/>
      <c r="C17883" s="85"/>
      <c r="F17883" s="92"/>
      <c r="G17883" s="85"/>
    </row>
    <row r="17884">
      <c r="A17884" s="84"/>
      <c r="B17884" s="85"/>
      <c r="C17884" s="85"/>
      <c r="F17884" s="92"/>
      <c r="G17884" s="85"/>
    </row>
    <row r="17885">
      <c r="A17885" s="84"/>
      <c r="B17885" s="85"/>
      <c r="C17885" s="85"/>
      <c r="F17885" s="92"/>
      <c r="G17885" s="85"/>
    </row>
    <row r="17886">
      <c r="A17886" s="84"/>
      <c r="B17886" s="85"/>
      <c r="C17886" s="85"/>
      <c r="F17886" s="92"/>
      <c r="G17886" s="85"/>
    </row>
    <row r="17887">
      <c r="A17887" s="84"/>
      <c r="B17887" s="85"/>
      <c r="C17887" s="85"/>
      <c r="F17887" s="92"/>
      <c r="G17887" s="85"/>
    </row>
    <row r="17888">
      <c r="A17888" s="84"/>
      <c r="B17888" s="85"/>
      <c r="C17888" s="85"/>
      <c r="F17888" s="92"/>
      <c r="G17888" s="85"/>
    </row>
    <row r="17889">
      <c r="A17889" s="84"/>
      <c r="B17889" s="85"/>
      <c r="C17889" s="85"/>
      <c r="F17889" s="92"/>
      <c r="G17889" s="85"/>
    </row>
    <row r="17890">
      <c r="A17890" s="84"/>
      <c r="B17890" s="85"/>
      <c r="C17890" s="85"/>
      <c r="F17890" s="92"/>
      <c r="G17890" s="85"/>
    </row>
    <row r="17891">
      <c r="A17891" s="84"/>
      <c r="B17891" s="85"/>
      <c r="C17891" s="85"/>
      <c r="F17891" s="92"/>
      <c r="G17891" s="85"/>
    </row>
    <row r="17892">
      <c r="A17892" s="84"/>
      <c r="B17892" s="85"/>
      <c r="C17892" s="85"/>
      <c r="F17892" s="92"/>
      <c r="G17892" s="85"/>
    </row>
    <row r="17893">
      <c r="A17893" s="84"/>
      <c r="B17893" s="85"/>
      <c r="C17893" s="85"/>
      <c r="F17893" s="92"/>
      <c r="G17893" s="85"/>
    </row>
    <row r="17894">
      <c r="A17894" s="84"/>
      <c r="B17894" s="85"/>
      <c r="C17894" s="85"/>
      <c r="F17894" s="92"/>
      <c r="G17894" s="85"/>
    </row>
    <row r="17895">
      <c r="A17895" s="84"/>
      <c r="B17895" s="85"/>
      <c r="C17895" s="85"/>
      <c r="F17895" s="92"/>
      <c r="G17895" s="85"/>
    </row>
    <row r="17896">
      <c r="A17896" s="84"/>
      <c r="B17896" s="85"/>
      <c r="C17896" s="85"/>
      <c r="F17896" s="92"/>
      <c r="G17896" s="85"/>
    </row>
    <row r="17897">
      <c r="A17897" s="84"/>
      <c r="B17897" s="85"/>
      <c r="C17897" s="85"/>
      <c r="F17897" s="92"/>
      <c r="G17897" s="85"/>
    </row>
    <row r="17898">
      <c r="A17898" s="84"/>
      <c r="B17898" s="85"/>
      <c r="C17898" s="85"/>
      <c r="F17898" s="92"/>
      <c r="G17898" s="85"/>
    </row>
    <row r="17899">
      <c r="A17899" s="84"/>
      <c r="B17899" s="85"/>
      <c r="C17899" s="85"/>
      <c r="F17899" s="92"/>
      <c r="G17899" s="85"/>
    </row>
    <row r="17900">
      <c r="A17900" s="84"/>
      <c r="B17900" s="85"/>
      <c r="C17900" s="85"/>
      <c r="F17900" s="92"/>
      <c r="G17900" s="85"/>
    </row>
    <row r="17901">
      <c r="A17901" s="84"/>
      <c r="B17901" s="85"/>
      <c r="C17901" s="85"/>
      <c r="F17901" s="92"/>
      <c r="G17901" s="85"/>
    </row>
    <row r="17902">
      <c r="A17902" s="84"/>
      <c r="B17902" s="85"/>
      <c r="C17902" s="85"/>
      <c r="F17902" s="92"/>
      <c r="G17902" s="85"/>
    </row>
    <row r="17903">
      <c r="A17903" s="84"/>
      <c r="B17903" s="85"/>
      <c r="C17903" s="85"/>
      <c r="F17903" s="92"/>
      <c r="G17903" s="85"/>
    </row>
    <row r="17904">
      <c r="A17904" s="84"/>
      <c r="B17904" s="85"/>
      <c r="C17904" s="85"/>
      <c r="F17904" s="92"/>
      <c r="G17904" s="85"/>
    </row>
    <row r="17905">
      <c r="A17905" s="84"/>
      <c r="B17905" s="85"/>
      <c r="C17905" s="85"/>
      <c r="F17905" s="92"/>
      <c r="G17905" s="85"/>
    </row>
    <row r="17906">
      <c r="A17906" s="84"/>
      <c r="B17906" s="85"/>
      <c r="C17906" s="85"/>
      <c r="F17906" s="92"/>
      <c r="G17906" s="85"/>
    </row>
    <row r="17907">
      <c r="A17907" s="84"/>
      <c r="B17907" s="85"/>
      <c r="C17907" s="85"/>
      <c r="F17907" s="92"/>
      <c r="G17907" s="85"/>
    </row>
    <row r="17908">
      <c r="A17908" s="84"/>
      <c r="B17908" s="85"/>
      <c r="C17908" s="85"/>
      <c r="F17908" s="92"/>
      <c r="G17908" s="85"/>
    </row>
    <row r="17909">
      <c r="A17909" s="84"/>
      <c r="B17909" s="85"/>
      <c r="C17909" s="85"/>
      <c r="F17909" s="92"/>
      <c r="G17909" s="85"/>
    </row>
    <row r="17910">
      <c r="A17910" s="84"/>
      <c r="B17910" s="85"/>
      <c r="C17910" s="85"/>
      <c r="F17910" s="92"/>
      <c r="G17910" s="85"/>
    </row>
    <row r="17911">
      <c r="A17911" s="84"/>
      <c r="B17911" s="85"/>
      <c r="C17911" s="85"/>
      <c r="F17911" s="92"/>
      <c r="G17911" s="85"/>
    </row>
    <row r="17912">
      <c r="A17912" s="84"/>
      <c r="B17912" s="85"/>
      <c r="C17912" s="85"/>
      <c r="F17912" s="92"/>
      <c r="G17912" s="85"/>
    </row>
    <row r="17913">
      <c r="A17913" s="84"/>
      <c r="B17913" s="85"/>
      <c r="C17913" s="85"/>
      <c r="F17913" s="92"/>
      <c r="G17913" s="85"/>
    </row>
    <row r="17914">
      <c r="A17914" s="84"/>
      <c r="B17914" s="85"/>
      <c r="C17914" s="85"/>
      <c r="F17914" s="92"/>
      <c r="G17914" s="85"/>
    </row>
    <row r="17915">
      <c r="A17915" s="84"/>
      <c r="B17915" s="85"/>
      <c r="C17915" s="85"/>
      <c r="F17915" s="92"/>
      <c r="G17915" s="85"/>
    </row>
    <row r="17916">
      <c r="A17916" s="84"/>
      <c r="B17916" s="85"/>
      <c r="C17916" s="85"/>
      <c r="F17916" s="92"/>
      <c r="G17916" s="85"/>
    </row>
    <row r="17917">
      <c r="A17917" s="84"/>
      <c r="B17917" s="85"/>
      <c r="C17917" s="85"/>
      <c r="F17917" s="92"/>
      <c r="G17917" s="85"/>
    </row>
    <row r="17918">
      <c r="A17918" s="84"/>
      <c r="B17918" s="85"/>
      <c r="C17918" s="85"/>
      <c r="F17918" s="92"/>
      <c r="G17918" s="85"/>
    </row>
    <row r="17919">
      <c r="A17919" s="84"/>
      <c r="B17919" s="85"/>
      <c r="C17919" s="85"/>
      <c r="F17919" s="92"/>
      <c r="G17919" s="85"/>
    </row>
    <row r="17920">
      <c r="A17920" s="84"/>
      <c r="B17920" s="85"/>
      <c r="C17920" s="85"/>
      <c r="F17920" s="92"/>
      <c r="G17920" s="85"/>
    </row>
    <row r="17921">
      <c r="A17921" s="84"/>
      <c r="B17921" s="85"/>
      <c r="C17921" s="85"/>
      <c r="F17921" s="92"/>
      <c r="G17921" s="85"/>
    </row>
    <row r="17922">
      <c r="A17922" s="84"/>
      <c r="B17922" s="85"/>
      <c r="C17922" s="85"/>
      <c r="F17922" s="92"/>
      <c r="G17922" s="85"/>
    </row>
    <row r="17923">
      <c r="A17923" s="84"/>
      <c r="B17923" s="85"/>
      <c r="C17923" s="85"/>
      <c r="F17923" s="92"/>
      <c r="G17923" s="85"/>
    </row>
    <row r="17924">
      <c r="A17924" s="84"/>
      <c r="B17924" s="85"/>
      <c r="C17924" s="85"/>
      <c r="F17924" s="92"/>
      <c r="G17924" s="85"/>
    </row>
    <row r="17925">
      <c r="A17925" s="84"/>
      <c r="B17925" s="85"/>
      <c r="C17925" s="85"/>
      <c r="F17925" s="92"/>
      <c r="G17925" s="85"/>
    </row>
    <row r="17926">
      <c r="A17926" s="84"/>
      <c r="B17926" s="85"/>
      <c r="C17926" s="85"/>
      <c r="F17926" s="92"/>
      <c r="G17926" s="85"/>
    </row>
    <row r="17927">
      <c r="A17927" s="84"/>
      <c r="B17927" s="85"/>
      <c r="C17927" s="85"/>
      <c r="F17927" s="92"/>
      <c r="G17927" s="85"/>
    </row>
    <row r="17928">
      <c r="A17928" s="84"/>
      <c r="B17928" s="85"/>
      <c r="C17928" s="85"/>
      <c r="F17928" s="92"/>
      <c r="G17928" s="85"/>
    </row>
    <row r="17929">
      <c r="A17929" s="84"/>
      <c r="B17929" s="85"/>
      <c r="C17929" s="85"/>
      <c r="F17929" s="92"/>
      <c r="G17929" s="85"/>
    </row>
    <row r="17930">
      <c r="A17930" s="84"/>
      <c r="B17930" s="85"/>
      <c r="C17930" s="85"/>
      <c r="F17930" s="92"/>
      <c r="G17930" s="85"/>
    </row>
    <row r="17931">
      <c r="A17931" s="84"/>
      <c r="B17931" s="85"/>
      <c r="C17931" s="85"/>
      <c r="F17931" s="92"/>
      <c r="G17931" s="85"/>
    </row>
    <row r="17932">
      <c r="A17932" s="84"/>
      <c r="B17932" s="85"/>
      <c r="C17932" s="85"/>
      <c r="F17932" s="92"/>
      <c r="G17932" s="85"/>
    </row>
    <row r="17933">
      <c r="A17933" s="84"/>
      <c r="B17933" s="85"/>
      <c r="C17933" s="85"/>
      <c r="F17933" s="92"/>
      <c r="G17933" s="85"/>
    </row>
    <row r="17934">
      <c r="A17934" s="84"/>
      <c r="B17934" s="85"/>
      <c r="C17934" s="85"/>
      <c r="F17934" s="92"/>
      <c r="G17934" s="85"/>
    </row>
    <row r="17935">
      <c r="A17935" s="84"/>
      <c r="B17935" s="85"/>
      <c r="C17935" s="85"/>
      <c r="F17935" s="92"/>
      <c r="G17935" s="85"/>
    </row>
    <row r="17936">
      <c r="A17936" s="84"/>
      <c r="B17936" s="85"/>
      <c r="C17936" s="85"/>
      <c r="F17936" s="92"/>
      <c r="G17936" s="85"/>
    </row>
    <row r="17937">
      <c r="A17937" s="84"/>
      <c r="B17937" s="85"/>
      <c r="C17937" s="85"/>
      <c r="F17937" s="92"/>
      <c r="G17937" s="85"/>
    </row>
    <row r="17938">
      <c r="A17938" s="84"/>
      <c r="B17938" s="85"/>
      <c r="C17938" s="85"/>
      <c r="F17938" s="92"/>
      <c r="G17938" s="85"/>
    </row>
    <row r="17939">
      <c r="A17939" s="84"/>
      <c r="B17939" s="85"/>
      <c r="C17939" s="85"/>
      <c r="F17939" s="92"/>
      <c r="G17939" s="85"/>
    </row>
    <row r="17940">
      <c r="A17940" s="84"/>
      <c r="B17940" s="85"/>
      <c r="C17940" s="85"/>
      <c r="F17940" s="92"/>
      <c r="G17940" s="85"/>
    </row>
    <row r="17941">
      <c r="A17941" s="84"/>
      <c r="B17941" s="85"/>
      <c r="C17941" s="85"/>
      <c r="F17941" s="92"/>
      <c r="G17941" s="85"/>
    </row>
    <row r="17942">
      <c r="A17942" s="84"/>
      <c r="B17942" s="85"/>
      <c r="C17942" s="85"/>
      <c r="F17942" s="92"/>
      <c r="G17942" s="85"/>
    </row>
    <row r="17943">
      <c r="A17943" s="84"/>
      <c r="B17943" s="85"/>
      <c r="C17943" s="85"/>
      <c r="F17943" s="92"/>
      <c r="G17943" s="85"/>
    </row>
    <row r="17944">
      <c r="A17944" s="84"/>
      <c r="B17944" s="85"/>
      <c r="C17944" s="85"/>
      <c r="F17944" s="92"/>
      <c r="G17944" s="85"/>
    </row>
    <row r="17945">
      <c r="A17945" s="84"/>
      <c r="B17945" s="85"/>
      <c r="C17945" s="85"/>
      <c r="F17945" s="92"/>
      <c r="G17945" s="85"/>
    </row>
    <row r="17946">
      <c r="A17946" s="84"/>
      <c r="B17946" s="85"/>
      <c r="C17946" s="85"/>
      <c r="F17946" s="92"/>
      <c r="G17946" s="85"/>
    </row>
    <row r="17947">
      <c r="A17947" s="84"/>
      <c r="B17947" s="85"/>
      <c r="C17947" s="85"/>
      <c r="F17947" s="92"/>
      <c r="G17947" s="85"/>
    </row>
    <row r="17948">
      <c r="A17948" s="84"/>
      <c r="B17948" s="85"/>
      <c r="C17948" s="85"/>
      <c r="F17948" s="92"/>
      <c r="G17948" s="85"/>
    </row>
    <row r="17949">
      <c r="A17949" s="84"/>
      <c r="B17949" s="85"/>
      <c r="C17949" s="85"/>
      <c r="F17949" s="92"/>
      <c r="G17949" s="85"/>
    </row>
    <row r="17950">
      <c r="A17950" s="84"/>
      <c r="B17950" s="85"/>
      <c r="C17950" s="85"/>
      <c r="F17950" s="92"/>
      <c r="G17950" s="85"/>
    </row>
    <row r="17951">
      <c r="A17951" s="84"/>
      <c r="B17951" s="85"/>
      <c r="C17951" s="85"/>
      <c r="F17951" s="92"/>
      <c r="G17951" s="85"/>
    </row>
    <row r="17952">
      <c r="A17952" s="84"/>
      <c r="B17952" s="85"/>
      <c r="C17952" s="85"/>
      <c r="F17952" s="92"/>
      <c r="G17952" s="85"/>
    </row>
    <row r="17953">
      <c r="A17953" s="84"/>
      <c r="B17953" s="85"/>
      <c r="C17953" s="85"/>
      <c r="F17953" s="92"/>
      <c r="G17953" s="85"/>
    </row>
    <row r="17954">
      <c r="A17954" s="84"/>
      <c r="B17954" s="85"/>
      <c r="C17954" s="85"/>
      <c r="F17954" s="92"/>
      <c r="G17954" s="85"/>
    </row>
    <row r="17955">
      <c r="A17955" s="84"/>
      <c r="B17955" s="85"/>
      <c r="C17955" s="85"/>
      <c r="F17955" s="92"/>
      <c r="G17955" s="85"/>
    </row>
    <row r="17956">
      <c r="A17956" s="84"/>
      <c r="B17956" s="85"/>
      <c r="C17956" s="85"/>
      <c r="F17956" s="92"/>
      <c r="G17956" s="85"/>
    </row>
    <row r="17957">
      <c r="A17957" s="84"/>
      <c r="B17957" s="85"/>
      <c r="C17957" s="85"/>
      <c r="F17957" s="92"/>
      <c r="G17957" s="85"/>
    </row>
    <row r="17958">
      <c r="A17958" s="84"/>
      <c r="B17958" s="85"/>
      <c r="C17958" s="85"/>
      <c r="F17958" s="92"/>
      <c r="G17958" s="85"/>
    </row>
    <row r="17959">
      <c r="A17959" s="84"/>
      <c r="B17959" s="85"/>
      <c r="C17959" s="85"/>
      <c r="F17959" s="92"/>
      <c r="G17959" s="85"/>
    </row>
    <row r="17960">
      <c r="A17960" s="84"/>
      <c r="B17960" s="85"/>
      <c r="C17960" s="85"/>
      <c r="F17960" s="92"/>
      <c r="G17960" s="85"/>
    </row>
    <row r="17961">
      <c r="A17961" s="84"/>
      <c r="B17961" s="85"/>
      <c r="C17961" s="85"/>
      <c r="F17961" s="92"/>
      <c r="G17961" s="85"/>
    </row>
    <row r="17962">
      <c r="A17962" s="84"/>
      <c r="B17962" s="85"/>
      <c r="C17962" s="85"/>
      <c r="F17962" s="92"/>
      <c r="G17962" s="85"/>
    </row>
    <row r="17963">
      <c r="A17963" s="84"/>
      <c r="B17963" s="85"/>
      <c r="C17963" s="85"/>
      <c r="F17963" s="92"/>
      <c r="G17963" s="85"/>
    </row>
    <row r="17964">
      <c r="A17964" s="84"/>
      <c r="B17964" s="85"/>
      <c r="C17964" s="85"/>
      <c r="F17964" s="92"/>
      <c r="G17964" s="85"/>
    </row>
    <row r="17965">
      <c r="A17965" s="84"/>
      <c r="B17965" s="85"/>
      <c r="C17965" s="85"/>
      <c r="F17965" s="92"/>
      <c r="G17965" s="85"/>
    </row>
    <row r="17966">
      <c r="A17966" s="84"/>
      <c r="B17966" s="85"/>
      <c r="C17966" s="85"/>
      <c r="F17966" s="92"/>
      <c r="G17966" s="85"/>
    </row>
    <row r="17967">
      <c r="A17967" s="84"/>
      <c r="B17967" s="85"/>
      <c r="C17967" s="85"/>
      <c r="F17967" s="92"/>
      <c r="G17967" s="85"/>
    </row>
    <row r="17968">
      <c r="A17968" s="84"/>
      <c r="B17968" s="85"/>
      <c r="C17968" s="85"/>
      <c r="F17968" s="92"/>
      <c r="G17968" s="85"/>
    </row>
    <row r="17969">
      <c r="A17969" s="84"/>
      <c r="B17969" s="85"/>
      <c r="C17969" s="85"/>
      <c r="F17969" s="92"/>
      <c r="G17969" s="85"/>
    </row>
    <row r="17970">
      <c r="A17970" s="84"/>
      <c r="B17970" s="85"/>
      <c r="C17970" s="85"/>
      <c r="F17970" s="92"/>
      <c r="G17970" s="85"/>
    </row>
    <row r="17971">
      <c r="A17971" s="84"/>
      <c r="B17971" s="85"/>
      <c r="C17971" s="85"/>
      <c r="F17971" s="92"/>
      <c r="G17971" s="85"/>
    </row>
    <row r="17972">
      <c r="A17972" s="84"/>
      <c r="B17972" s="85"/>
      <c r="C17972" s="85"/>
      <c r="F17972" s="92"/>
      <c r="G17972" s="85"/>
    </row>
    <row r="17973">
      <c r="A17973" s="84"/>
      <c r="B17973" s="85"/>
      <c r="C17973" s="85"/>
      <c r="F17973" s="92"/>
      <c r="G17973" s="85"/>
    </row>
    <row r="17974">
      <c r="A17974" s="84"/>
      <c r="B17974" s="85"/>
      <c r="C17974" s="85"/>
      <c r="F17974" s="92"/>
      <c r="G17974" s="85"/>
    </row>
    <row r="17975">
      <c r="A17975" s="84"/>
      <c r="B17975" s="85"/>
      <c r="C17975" s="85"/>
      <c r="F17975" s="92"/>
      <c r="G17975" s="85"/>
    </row>
    <row r="17976">
      <c r="A17976" s="84"/>
      <c r="B17976" s="85"/>
      <c r="C17976" s="85"/>
      <c r="F17976" s="92"/>
      <c r="G17976" s="85"/>
    </row>
    <row r="17977">
      <c r="A17977" s="84"/>
      <c r="B17977" s="85"/>
      <c r="C17977" s="85"/>
      <c r="F17977" s="92"/>
      <c r="G17977" s="85"/>
    </row>
    <row r="17978">
      <c r="A17978" s="84"/>
      <c r="B17978" s="85"/>
      <c r="C17978" s="85"/>
      <c r="F17978" s="92"/>
      <c r="G17978" s="85"/>
    </row>
    <row r="17979">
      <c r="A17979" s="84"/>
      <c r="B17979" s="85"/>
      <c r="C17979" s="85"/>
      <c r="F17979" s="92"/>
      <c r="G17979" s="85"/>
    </row>
    <row r="17980">
      <c r="A17980" s="84"/>
      <c r="B17980" s="85"/>
      <c r="C17980" s="85"/>
      <c r="F17980" s="92"/>
      <c r="G17980" s="85"/>
    </row>
    <row r="17981">
      <c r="A17981" s="84"/>
      <c r="B17981" s="85"/>
      <c r="C17981" s="85"/>
      <c r="F17981" s="92"/>
      <c r="G17981" s="85"/>
    </row>
    <row r="17982">
      <c r="A17982" s="84"/>
      <c r="B17982" s="85"/>
      <c r="C17982" s="85"/>
      <c r="F17982" s="92"/>
      <c r="G17982" s="85"/>
    </row>
    <row r="17983">
      <c r="A17983" s="84"/>
      <c r="B17983" s="85"/>
      <c r="C17983" s="85"/>
      <c r="F17983" s="92"/>
      <c r="G17983" s="85"/>
    </row>
    <row r="17984">
      <c r="A17984" s="84"/>
      <c r="B17984" s="85"/>
      <c r="C17984" s="85"/>
      <c r="F17984" s="92"/>
      <c r="G17984" s="85"/>
    </row>
    <row r="17985">
      <c r="A17985" s="84"/>
      <c r="B17985" s="85"/>
      <c r="C17985" s="85"/>
      <c r="F17985" s="92"/>
      <c r="G17985" s="85"/>
    </row>
    <row r="17986">
      <c r="A17986" s="84"/>
      <c r="B17986" s="85"/>
      <c r="C17986" s="85"/>
      <c r="F17986" s="92"/>
      <c r="G17986" s="85"/>
    </row>
    <row r="17987">
      <c r="A17987" s="84"/>
      <c r="B17987" s="85"/>
      <c r="C17987" s="85"/>
      <c r="F17987" s="92"/>
      <c r="G17987" s="85"/>
    </row>
    <row r="17988">
      <c r="A17988" s="84"/>
      <c r="B17988" s="85"/>
      <c r="C17988" s="85"/>
      <c r="F17988" s="92"/>
      <c r="G17988" s="85"/>
    </row>
    <row r="17989">
      <c r="A17989" s="84"/>
      <c r="B17989" s="85"/>
      <c r="C17989" s="85"/>
      <c r="F17989" s="92"/>
      <c r="G17989" s="85"/>
    </row>
    <row r="17990">
      <c r="A17990" s="84"/>
      <c r="B17990" s="85"/>
      <c r="C17990" s="85"/>
      <c r="F17990" s="92"/>
      <c r="G17990" s="85"/>
    </row>
    <row r="17991">
      <c r="A17991" s="84"/>
      <c r="B17991" s="85"/>
      <c r="C17991" s="85"/>
      <c r="F17991" s="92"/>
      <c r="G17991" s="85"/>
    </row>
    <row r="17992">
      <c r="A17992" s="84"/>
      <c r="B17992" s="85"/>
      <c r="C17992" s="85"/>
      <c r="F17992" s="92"/>
      <c r="G17992" s="85"/>
    </row>
    <row r="17993">
      <c r="A17993" s="84"/>
      <c r="B17993" s="85"/>
      <c r="C17993" s="85"/>
      <c r="F17993" s="92"/>
      <c r="G17993" s="85"/>
    </row>
    <row r="17994">
      <c r="A17994" s="84"/>
      <c r="B17994" s="85"/>
      <c r="C17994" s="85"/>
      <c r="F17994" s="92"/>
      <c r="G17994" s="85"/>
    </row>
    <row r="17995">
      <c r="A17995" s="84"/>
      <c r="B17995" s="85"/>
      <c r="C17995" s="85"/>
      <c r="F17995" s="92"/>
      <c r="G17995" s="85"/>
    </row>
    <row r="17996">
      <c r="A17996" s="84"/>
      <c r="B17996" s="85"/>
      <c r="C17996" s="85"/>
      <c r="F17996" s="92"/>
      <c r="G17996" s="85"/>
    </row>
    <row r="17997">
      <c r="A17997" s="84"/>
      <c r="B17997" s="85"/>
      <c r="C17997" s="85"/>
      <c r="F17997" s="92"/>
      <c r="G17997" s="85"/>
    </row>
    <row r="17998">
      <c r="A17998" s="84"/>
      <c r="B17998" s="85"/>
      <c r="C17998" s="85"/>
      <c r="F17998" s="92"/>
      <c r="G17998" s="85"/>
    </row>
    <row r="17999">
      <c r="A17999" s="84"/>
      <c r="B17999" s="85"/>
      <c r="C17999" s="85"/>
      <c r="F17999" s="92"/>
      <c r="G17999" s="85"/>
    </row>
    <row r="18000">
      <c r="A18000" s="84"/>
      <c r="B18000" s="85"/>
      <c r="C18000" s="85"/>
      <c r="F18000" s="92"/>
      <c r="G18000" s="85"/>
    </row>
    <row r="18001">
      <c r="A18001" s="84"/>
      <c r="B18001" s="85"/>
      <c r="C18001" s="85"/>
      <c r="F18001" s="92"/>
      <c r="G18001" s="85"/>
    </row>
    <row r="18002">
      <c r="A18002" s="84"/>
      <c r="B18002" s="85"/>
      <c r="C18002" s="85"/>
      <c r="F18002" s="92"/>
      <c r="G18002" s="85"/>
    </row>
    <row r="18003">
      <c r="A18003" s="84"/>
      <c r="B18003" s="85"/>
      <c r="C18003" s="85"/>
      <c r="F18003" s="92"/>
      <c r="G18003" s="85"/>
    </row>
    <row r="18004">
      <c r="A18004" s="84"/>
      <c r="B18004" s="85"/>
      <c r="C18004" s="85"/>
      <c r="F18004" s="92"/>
      <c r="G18004" s="85"/>
    </row>
    <row r="18005">
      <c r="A18005" s="84"/>
      <c r="B18005" s="85"/>
      <c r="C18005" s="85"/>
      <c r="F18005" s="92"/>
      <c r="G18005" s="85"/>
    </row>
    <row r="18006">
      <c r="A18006" s="84"/>
      <c r="B18006" s="85"/>
      <c r="C18006" s="85"/>
      <c r="F18006" s="92"/>
      <c r="G18006" s="85"/>
    </row>
    <row r="18007">
      <c r="A18007" s="84"/>
      <c r="B18007" s="85"/>
      <c r="C18007" s="85"/>
      <c r="F18007" s="92"/>
      <c r="G18007" s="85"/>
    </row>
    <row r="18008">
      <c r="A18008" s="84"/>
      <c r="B18008" s="85"/>
      <c r="C18008" s="85"/>
      <c r="F18008" s="92"/>
      <c r="G18008" s="85"/>
    </row>
    <row r="18009">
      <c r="A18009" s="84"/>
      <c r="B18009" s="85"/>
      <c r="C18009" s="85"/>
      <c r="F18009" s="92"/>
      <c r="G18009" s="85"/>
    </row>
    <row r="18010">
      <c r="A18010" s="84"/>
      <c r="B18010" s="85"/>
      <c r="C18010" s="85"/>
      <c r="F18010" s="92"/>
      <c r="G18010" s="85"/>
    </row>
    <row r="18011">
      <c r="A18011" s="84"/>
      <c r="B18011" s="85"/>
      <c r="C18011" s="85"/>
      <c r="F18011" s="92"/>
      <c r="G18011" s="85"/>
    </row>
    <row r="18012">
      <c r="A18012" s="84"/>
      <c r="B18012" s="85"/>
      <c r="C18012" s="85"/>
      <c r="F18012" s="92"/>
      <c r="G18012" s="85"/>
    </row>
    <row r="18013">
      <c r="A18013" s="84"/>
      <c r="B18013" s="85"/>
      <c r="C18013" s="85"/>
      <c r="F18013" s="92"/>
      <c r="G18013" s="85"/>
    </row>
    <row r="18014">
      <c r="A18014" s="84"/>
      <c r="B18014" s="85"/>
      <c r="C18014" s="85"/>
      <c r="F18014" s="92"/>
      <c r="G18014" s="85"/>
    </row>
    <row r="18015">
      <c r="A18015" s="84"/>
      <c r="B18015" s="85"/>
      <c r="C18015" s="85"/>
      <c r="F18015" s="92"/>
      <c r="G18015" s="85"/>
    </row>
    <row r="18016">
      <c r="A18016" s="84"/>
      <c r="B18016" s="85"/>
      <c r="C18016" s="85"/>
      <c r="F18016" s="92"/>
      <c r="G18016" s="85"/>
    </row>
    <row r="18017">
      <c r="A18017" s="84"/>
      <c r="B18017" s="85"/>
      <c r="C18017" s="85"/>
      <c r="F18017" s="92"/>
      <c r="G18017" s="85"/>
    </row>
    <row r="18018">
      <c r="A18018" s="84"/>
      <c r="B18018" s="85"/>
      <c r="C18018" s="85"/>
      <c r="F18018" s="92"/>
      <c r="G18018" s="85"/>
    </row>
    <row r="18019">
      <c r="A18019" s="84"/>
      <c r="B18019" s="85"/>
      <c r="C18019" s="85"/>
      <c r="F18019" s="92"/>
      <c r="G18019" s="85"/>
    </row>
    <row r="18020">
      <c r="A18020" s="84"/>
      <c r="B18020" s="85"/>
      <c r="C18020" s="85"/>
      <c r="F18020" s="92"/>
      <c r="G18020" s="85"/>
    </row>
    <row r="18021">
      <c r="A18021" s="84"/>
      <c r="B18021" s="85"/>
      <c r="C18021" s="85"/>
      <c r="F18021" s="92"/>
      <c r="G18021" s="85"/>
    </row>
    <row r="18022">
      <c r="A18022" s="84"/>
      <c r="B18022" s="85"/>
      <c r="C18022" s="85"/>
      <c r="F18022" s="92"/>
      <c r="G18022" s="85"/>
    </row>
    <row r="18023">
      <c r="A18023" s="84"/>
      <c r="B18023" s="85"/>
      <c r="C18023" s="85"/>
      <c r="F18023" s="92"/>
      <c r="G18023" s="85"/>
    </row>
    <row r="18024">
      <c r="A18024" s="84"/>
      <c r="B18024" s="85"/>
      <c r="C18024" s="85"/>
      <c r="F18024" s="92"/>
      <c r="G18024" s="85"/>
    </row>
    <row r="18025">
      <c r="A18025" s="84"/>
      <c r="B18025" s="85"/>
      <c r="C18025" s="85"/>
      <c r="F18025" s="92"/>
      <c r="G18025" s="85"/>
    </row>
    <row r="18026">
      <c r="A18026" s="84"/>
      <c r="B18026" s="85"/>
      <c r="C18026" s="85"/>
      <c r="F18026" s="92"/>
      <c r="G18026" s="85"/>
    </row>
    <row r="18027">
      <c r="A18027" s="84"/>
      <c r="B18027" s="85"/>
      <c r="C18027" s="85"/>
      <c r="F18027" s="92"/>
      <c r="G18027" s="85"/>
    </row>
    <row r="18028">
      <c r="A18028" s="84"/>
      <c r="B18028" s="85"/>
      <c r="C18028" s="85"/>
      <c r="F18028" s="92"/>
      <c r="G18028" s="85"/>
    </row>
    <row r="18029">
      <c r="A18029" s="84"/>
      <c r="B18029" s="85"/>
      <c r="C18029" s="85"/>
      <c r="F18029" s="92"/>
      <c r="G18029" s="85"/>
    </row>
    <row r="18030">
      <c r="A18030" s="84"/>
      <c r="B18030" s="85"/>
      <c r="C18030" s="85"/>
      <c r="F18030" s="92"/>
      <c r="G18030" s="85"/>
    </row>
    <row r="18031">
      <c r="A18031" s="84"/>
      <c r="B18031" s="85"/>
      <c r="C18031" s="85"/>
      <c r="F18031" s="92"/>
      <c r="G18031" s="85"/>
    </row>
    <row r="18032">
      <c r="A18032" s="84"/>
      <c r="B18032" s="85"/>
      <c r="C18032" s="85"/>
      <c r="F18032" s="92"/>
      <c r="G18032" s="85"/>
    </row>
    <row r="18033">
      <c r="A18033" s="84"/>
      <c r="B18033" s="85"/>
      <c r="C18033" s="85"/>
      <c r="F18033" s="92"/>
      <c r="G18033" s="85"/>
    </row>
    <row r="18034">
      <c r="A18034" s="84"/>
      <c r="B18034" s="85"/>
      <c r="C18034" s="85"/>
      <c r="F18034" s="92"/>
      <c r="G18034" s="85"/>
    </row>
    <row r="18035">
      <c r="A18035" s="84"/>
      <c r="B18035" s="85"/>
      <c r="C18035" s="85"/>
      <c r="F18035" s="92"/>
      <c r="G18035" s="85"/>
    </row>
    <row r="18036">
      <c r="A18036" s="84"/>
      <c r="B18036" s="85"/>
      <c r="C18036" s="85"/>
      <c r="F18036" s="92"/>
      <c r="G18036" s="85"/>
    </row>
    <row r="18037">
      <c r="A18037" s="84"/>
      <c r="B18037" s="85"/>
      <c r="C18037" s="85"/>
      <c r="F18037" s="92"/>
      <c r="G18037" s="85"/>
    </row>
    <row r="18038">
      <c r="A18038" s="84"/>
      <c r="B18038" s="85"/>
      <c r="C18038" s="85"/>
      <c r="F18038" s="92"/>
      <c r="G18038" s="85"/>
    </row>
    <row r="18039">
      <c r="A18039" s="84"/>
      <c r="B18039" s="85"/>
      <c r="C18039" s="85"/>
      <c r="F18039" s="92"/>
      <c r="G18039" s="85"/>
    </row>
    <row r="18040">
      <c r="A18040" s="84"/>
      <c r="B18040" s="85"/>
      <c r="C18040" s="85"/>
      <c r="F18040" s="92"/>
      <c r="G18040" s="85"/>
    </row>
    <row r="18041">
      <c r="A18041" s="84"/>
      <c r="B18041" s="85"/>
      <c r="C18041" s="85"/>
      <c r="F18041" s="92"/>
      <c r="G18041" s="85"/>
    </row>
    <row r="18042">
      <c r="A18042" s="84"/>
      <c r="B18042" s="85"/>
      <c r="C18042" s="85"/>
      <c r="F18042" s="92"/>
      <c r="G18042" s="85"/>
    </row>
    <row r="18043">
      <c r="A18043" s="84"/>
      <c r="B18043" s="85"/>
      <c r="C18043" s="85"/>
      <c r="F18043" s="92"/>
      <c r="G18043" s="85"/>
    </row>
    <row r="18044">
      <c r="A18044" s="84"/>
      <c r="B18044" s="85"/>
      <c r="C18044" s="85"/>
      <c r="F18044" s="92"/>
      <c r="G18044" s="85"/>
    </row>
    <row r="18045">
      <c r="A18045" s="84"/>
      <c r="B18045" s="85"/>
      <c r="C18045" s="85"/>
      <c r="F18045" s="92"/>
      <c r="G18045" s="85"/>
    </row>
    <row r="18046">
      <c r="A18046" s="84"/>
      <c r="B18046" s="85"/>
      <c r="C18046" s="85"/>
      <c r="F18046" s="92"/>
      <c r="G18046" s="85"/>
    </row>
    <row r="18047">
      <c r="A18047" s="84"/>
      <c r="B18047" s="85"/>
      <c r="C18047" s="85"/>
      <c r="F18047" s="92"/>
      <c r="G18047" s="85"/>
    </row>
    <row r="18048">
      <c r="A18048" s="84"/>
      <c r="B18048" s="85"/>
      <c r="C18048" s="85"/>
      <c r="F18048" s="92"/>
      <c r="G18048" s="85"/>
    </row>
    <row r="18049">
      <c r="A18049" s="84"/>
      <c r="B18049" s="85"/>
      <c r="C18049" s="85"/>
      <c r="F18049" s="92"/>
      <c r="G18049" s="85"/>
    </row>
    <row r="18050">
      <c r="A18050" s="84"/>
      <c r="B18050" s="85"/>
      <c r="C18050" s="85"/>
      <c r="F18050" s="92"/>
      <c r="G18050" s="85"/>
    </row>
    <row r="18051">
      <c r="A18051" s="84"/>
      <c r="B18051" s="85"/>
      <c r="C18051" s="85"/>
      <c r="F18051" s="92"/>
      <c r="G18051" s="85"/>
    </row>
    <row r="18052">
      <c r="A18052" s="84"/>
      <c r="B18052" s="85"/>
      <c r="C18052" s="85"/>
      <c r="F18052" s="92"/>
      <c r="G18052" s="85"/>
    </row>
    <row r="18053">
      <c r="A18053" s="84"/>
      <c r="B18053" s="85"/>
      <c r="C18053" s="85"/>
      <c r="F18053" s="92"/>
      <c r="G18053" s="85"/>
    </row>
    <row r="18054">
      <c r="A18054" s="84"/>
      <c r="B18054" s="85"/>
      <c r="C18054" s="85"/>
      <c r="F18054" s="92"/>
      <c r="G18054" s="85"/>
    </row>
    <row r="18055">
      <c r="A18055" s="84"/>
      <c r="B18055" s="85"/>
      <c r="C18055" s="85"/>
      <c r="F18055" s="92"/>
      <c r="G18055" s="85"/>
    </row>
    <row r="18056">
      <c r="A18056" s="84"/>
      <c r="B18056" s="85"/>
      <c r="C18056" s="85"/>
      <c r="F18056" s="92"/>
      <c r="G18056" s="85"/>
    </row>
    <row r="18057">
      <c r="A18057" s="84"/>
      <c r="B18057" s="85"/>
      <c r="C18057" s="85"/>
      <c r="F18057" s="92"/>
      <c r="G18057" s="85"/>
    </row>
    <row r="18058">
      <c r="A18058" s="84"/>
      <c r="B18058" s="85"/>
      <c r="C18058" s="85"/>
      <c r="F18058" s="92"/>
      <c r="G18058" s="85"/>
    </row>
    <row r="18059">
      <c r="A18059" s="84"/>
      <c r="B18059" s="85"/>
      <c r="C18059" s="85"/>
      <c r="F18059" s="92"/>
      <c r="G18059" s="85"/>
    </row>
    <row r="18060">
      <c r="A18060" s="84"/>
      <c r="B18060" s="85"/>
      <c r="C18060" s="85"/>
      <c r="F18060" s="92"/>
      <c r="G18060" s="85"/>
    </row>
    <row r="18061">
      <c r="A18061" s="84"/>
      <c r="B18061" s="85"/>
      <c r="C18061" s="85"/>
      <c r="F18061" s="92"/>
      <c r="G18061" s="85"/>
    </row>
    <row r="18062">
      <c r="A18062" s="84"/>
      <c r="B18062" s="85"/>
      <c r="C18062" s="85"/>
      <c r="F18062" s="92"/>
      <c r="G18062" s="85"/>
    </row>
    <row r="18063">
      <c r="A18063" s="84"/>
      <c r="B18063" s="85"/>
      <c r="C18063" s="85"/>
      <c r="F18063" s="92"/>
      <c r="G18063" s="85"/>
    </row>
    <row r="18064">
      <c r="A18064" s="84"/>
      <c r="B18064" s="85"/>
      <c r="C18064" s="85"/>
      <c r="F18064" s="92"/>
      <c r="G18064" s="85"/>
    </row>
    <row r="18065">
      <c r="A18065" s="84"/>
      <c r="B18065" s="85"/>
      <c r="C18065" s="85"/>
      <c r="F18065" s="92"/>
      <c r="G18065" s="85"/>
    </row>
    <row r="18066">
      <c r="A18066" s="84"/>
      <c r="B18066" s="85"/>
      <c r="C18066" s="85"/>
      <c r="F18066" s="92"/>
      <c r="G18066" s="85"/>
    </row>
    <row r="18067">
      <c r="A18067" s="84"/>
      <c r="B18067" s="85"/>
      <c r="C18067" s="85"/>
      <c r="F18067" s="92"/>
      <c r="G18067" s="85"/>
    </row>
    <row r="18068">
      <c r="A18068" s="84"/>
      <c r="B18068" s="85"/>
      <c r="C18068" s="85"/>
      <c r="F18068" s="92"/>
      <c r="G18068" s="85"/>
    </row>
    <row r="18069">
      <c r="A18069" s="84"/>
      <c r="B18069" s="85"/>
      <c r="C18069" s="85"/>
      <c r="F18069" s="92"/>
      <c r="G18069" s="85"/>
    </row>
    <row r="18070">
      <c r="A18070" s="84"/>
      <c r="B18070" s="85"/>
      <c r="C18070" s="85"/>
      <c r="F18070" s="92"/>
      <c r="G18070" s="85"/>
    </row>
    <row r="18071">
      <c r="A18071" s="84"/>
      <c r="B18071" s="85"/>
      <c r="C18071" s="85"/>
      <c r="F18071" s="92"/>
      <c r="G18071" s="85"/>
    </row>
    <row r="18072">
      <c r="A18072" s="84"/>
      <c r="B18072" s="85"/>
      <c r="C18072" s="85"/>
      <c r="F18072" s="92"/>
      <c r="G18072" s="85"/>
    </row>
    <row r="18073">
      <c r="A18073" s="84"/>
      <c r="B18073" s="85"/>
      <c r="C18073" s="85"/>
      <c r="F18073" s="92"/>
      <c r="G18073" s="85"/>
    </row>
    <row r="18074">
      <c r="A18074" s="84"/>
      <c r="B18074" s="85"/>
      <c r="C18074" s="85"/>
      <c r="F18074" s="92"/>
      <c r="G18074" s="85"/>
    </row>
    <row r="18075">
      <c r="A18075" s="84"/>
      <c r="B18075" s="85"/>
      <c r="C18075" s="85"/>
      <c r="F18075" s="92"/>
      <c r="G18075" s="85"/>
    </row>
    <row r="18076">
      <c r="A18076" s="84"/>
      <c r="B18076" s="85"/>
      <c r="C18076" s="85"/>
      <c r="F18076" s="92"/>
      <c r="G18076" s="85"/>
    </row>
    <row r="18077">
      <c r="A18077" s="84"/>
      <c r="B18077" s="85"/>
      <c r="C18077" s="85"/>
      <c r="F18077" s="92"/>
      <c r="G18077" s="85"/>
    </row>
    <row r="18078">
      <c r="A18078" s="84"/>
      <c r="B18078" s="85"/>
      <c r="C18078" s="85"/>
      <c r="F18078" s="92"/>
      <c r="G18078" s="85"/>
    </row>
    <row r="18079">
      <c r="A18079" s="84"/>
      <c r="B18079" s="85"/>
      <c r="C18079" s="85"/>
      <c r="F18079" s="92"/>
      <c r="G18079" s="85"/>
    </row>
    <row r="18080">
      <c r="A18080" s="84"/>
      <c r="B18080" s="85"/>
      <c r="C18080" s="85"/>
      <c r="F18080" s="92"/>
      <c r="G18080" s="85"/>
    </row>
    <row r="18081">
      <c r="A18081" s="84"/>
      <c r="B18081" s="85"/>
      <c r="C18081" s="85"/>
      <c r="F18081" s="92"/>
      <c r="G18081" s="85"/>
    </row>
    <row r="18082">
      <c r="A18082" s="84"/>
      <c r="B18082" s="85"/>
      <c r="C18082" s="85"/>
      <c r="F18082" s="92"/>
      <c r="G18082" s="85"/>
    </row>
    <row r="18083">
      <c r="A18083" s="84"/>
      <c r="B18083" s="85"/>
      <c r="C18083" s="85"/>
      <c r="F18083" s="92"/>
      <c r="G18083" s="85"/>
    </row>
    <row r="18084">
      <c r="A18084" s="84"/>
      <c r="B18084" s="85"/>
      <c r="C18084" s="85"/>
      <c r="F18084" s="92"/>
      <c r="G18084" s="85"/>
    </row>
    <row r="18085">
      <c r="A18085" s="84"/>
      <c r="B18085" s="85"/>
      <c r="C18085" s="85"/>
      <c r="F18085" s="92"/>
      <c r="G18085" s="85"/>
    </row>
    <row r="18086">
      <c r="A18086" s="84"/>
      <c r="B18086" s="85"/>
      <c r="C18086" s="85"/>
      <c r="F18086" s="92"/>
      <c r="G18086" s="85"/>
    </row>
    <row r="18087">
      <c r="A18087" s="84"/>
      <c r="B18087" s="85"/>
      <c r="C18087" s="85"/>
      <c r="F18087" s="92"/>
      <c r="G18087" s="85"/>
    </row>
    <row r="18088">
      <c r="A18088" s="84"/>
      <c r="B18088" s="85"/>
      <c r="C18088" s="85"/>
      <c r="F18088" s="92"/>
      <c r="G18088" s="85"/>
    </row>
    <row r="18089">
      <c r="A18089" s="84"/>
      <c r="B18089" s="85"/>
      <c r="C18089" s="85"/>
      <c r="F18089" s="92"/>
      <c r="G18089" s="85"/>
    </row>
    <row r="18090">
      <c r="A18090" s="84"/>
      <c r="B18090" s="85"/>
      <c r="C18090" s="85"/>
      <c r="F18090" s="92"/>
      <c r="G18090" s="85"/>
    </row>
    <row r="18091">
      <c r="A18091" s="84"/>
      <c r="B18091" s="85"/>
      <c r="C18091" s="85"/>
      <c r="F18091" s="92"/>
      <c r="G18091" s="85"/>
    </row>
    <row r="18092">
      <c r="A18092" s="84"/>
      <c r="B18092" s="85"/>
      <c r="C18092" s="85"/>
      <c r="F18092" s="92"/>
      <c r="G18092" s="85"/>
    </row>
    <row r="18093">
      <c r="A18093" s="84"/>
      <c r="B18093" s="85"/>
      <c r="C18093" s="85"/>
      <c r="F18093" s="92"/>
      <c r="G18093" s="85"/>
    </row>
    <row r="18094">
      <c r="A18094" s="84"/>
      <c r="B18094" s="85"/>
      <c r="C18094" s="85"/>
      <c r="F18094" s="92"/>
      <c r="G18094" s="85"/>
    </row>
    <row r="18095">
      <c r="A18095" s="84"/>
      <c r="B18095" s="85"/>
      <c r="C18095" s="85"/>
      <c r="F18095" s="92"/>
      <c r="G18095" s="85"/>
    </row>
    <row r="18096">
      <c r="A18096" s="84"/>
      <c r="B18096" s="85"/>
      <c r="C18096" s="85"/>
      <c r="F18096" s="92"/>
      <c r="G18096" s="85"/>
    </row>
    <row r="18097">
      <c r="A18097" s="84"/>
      <c r="B18097" s="85"/>
      <c r="C18097" s="85"/>
      <c r="F18097" s="92"/>
      <c r="G18097" s="85"/>
    </row>
    <row r="18098">
      <c r="A18098" s="84"/>
      <c r="B18098" s="85"/>
      <c r="C18098" s="85"/>
      <c r="F18098" s="92"/>
      <c r="G18098" s="85"/>
    </row>
    <row r="18099">
      <c r="A18099" s="84"/>
      <c r="B18099" s="85"/>
      <c r="C18099" s="85"/>
      <c r="F18099" s="92"/>
      <c r="G18099" s="85"/>
    </row>
    <row r="18100">
      <c r="A18100" s="84"/>
      <c r="B18100" s="85"/>
      <c r="C18100" s="85"/>
      <c r="F18100" s="92"/>
      <c r="G18100" s="85"/>
    </row>
    <row r="18101">
      <c r="A18101" s="84"/>
      <c r="B18101" s="85"/>
      <c r="C18101" s="85"/>
      <c r="F18101" s="92"/>
      <c r="G18101" s="85"/>
    </row>
    <row r="18102">
      <c r="A18102" s="84"/>
      <c r="B18102" s="85"/>
      <c r="C18102" s="85"/>
      <c r="F18102" s="92"/>
      <c r="G18102" s="85"/>
    </row>
    <row r="18103">
      <c r="A18103" s="84"/>
      <c r="B18103" s="85"/>
      <c r="C18103" s="85"/>
      <c r="F18103" s="92"/>
      <c r="G18103" s="85"/>
    </row>
    <row r="18104">
      <c r="A18104" s="84"/>
      <c r="B18104" s="85"/>
      <c r="C18104" s="85"/>
      <c r="F18104" s="92"/>
      <c r="G18104" s="85"/>
    </row>
    <row r="18105">
      <c r="A18105" s="84"/>
      <c r="B18105" s="85"/>
      <c r="C18105" s="85"/>
      <c r="F18105" s="92"/>
      <c r="G18105" s="85"/>
    </row>
    <row r="18106">
      <c r="A18106" s="84"/>
      <c r="B18106" s="85"/>
      <c r="C18106" s="85"/>
      <c r="F18106" s="92"/>
      <c r="G18106" s="85"/>
    </row>
    <row r="18107">
      <c r="A18107" s="84"/>
      <c r="B18107" s="85"/>
      <c r="C18107" s="85"/>
      <c r="F18107" s="92"/>
      <c r="G18107" s="85"/>
    </row>
    <row r="18108">
      <c r="A18108" s="84"/>
      <c r="B18108" s="85"/>
      <c r="C18108" s="85"/>
      <c r="F18108" s="92"/>
      <c r="G18108" s="85"/>
    </row>
    <row r="18109">
      <c r="A18109" s="84"/>
      <c r="B18109" s="85"/>
      <c r="C18109" s="85"/>
      <c r="F18109" s="92"/>
      <c r="G18109" s="85"/>
    </row>
    <row r="18110">
      <c r="A18110" s="84"/>
      <c r="B18110" s="85"/>
      <c r="C18110" s="85"/>
      <c r="F18110" s="92"/>
      <c r="G18110" s="85"/>
    </row>
    <row r="18111">
      <c r="A18111" s="84"/>
      <c r="B18111" s="85"/>
      <c r="C18111" s="85"/>
      <c r="F18111" s="92"/>
      <c r="G18111" s="85"/>
    </row>
    <row r="18112">
      <c r="A18112" s="84"/>
      <c r="B18112" s="85"/>
      <c r="C18112" s="85"/>
      <c r="F18112" s="92"/>
      <c r="G18112" s="85"/>
    </row>
    <row r="18113">
      <c r="A18113" s="84"/>
      <c r="B18113" s="85"/>
      <c r="C18113" s="85"/>
      <c r="F18113" s="92"/>
      <c r="G18113" s="85"/>
    </row>
    <row r="18114">
      <c r="A18114" s="84"/>
      <c r="B18114" s="85"/>
      <c r="C18114" s="85"/>
      <c r="F18114" s="92"/>
      <c r="G18114" s="85"/>
    </row>
    <row r="18115">
      <c r="A18115" s="84"/>
      <c r="B18115" s="85"/>
      <c r="C18115" s="85"/>
      <c r="F18115" s="92"/>
      <c r="G18115" s="85"/>
    </row>
    <row r="18116">
      <c r="A18116" s="84"/>
      <c r="B18116" s="85"/>
      <c r="C18116" s="85"/>
      <c r="F18116" s="92"/>
      <c r="G18116" s="85"/>
    </row>
    <row r="18117">
      <c r="A18117" s="84"/>
      <c r="B18117" s="85"/>
      <c r="C18117" s="85"/>
      <c r="F18117" s="92"/>
      <c r="G18117" s="85"/>
    </row>
    <row r="18118">
      <c r="A18118" s="84"/>
      <c r="B18118" s="85"/>
      <c r="C18118" s="85"/>
      <c r="F18118" s="92"/>
      <c r="G18118" s="85"/>
    </row>
    <row r="18119">
      <c r="A18119" s="84"/>
      <c r="B18119" s="85"/>
      <c r="C18119" s="85"/>
      <c r="F18119" s="92"/>
      <c r="G18119" s="85"/>
    </row>
    <row r="18120">
      <c r="A18120" s="84"/>
      <c r="B18120" s="85"/>
      <c r="C18120" s="85"/>
      <c r="F18120" s="92"/>
      <c r="G18120" s="85"/>
    </row>
    <row r="18121">
      <c r="A18121" s="84"/>
      <c r="B18121" s="85"/>
      <c r="C18121" s="85"/>
      <c r="F18121" s="92"/>
      <c r="G18121" s="85"/>
    </row>
    <row r="18122">
      <c r="A18122" s="84"/>
      <c r="B18122" s="85"/>
      <c r="C18122" s="85"/>
      <c r="F18122" s="92"/>
      <c r="G18122" s="85"/>
    </row>
    <row r="18123">
      <c r="A18123" s="84"/>
      <c r="B18123" s="85"/>
      <c r="C18123" s="85"/>
      <c r="F18123" s="92"/>
      <c r="G18123" s="85"/>
    </row>
    <row r="18124">
      <c r="A18124" s="84"/>
      <c r="B18124" s="85"/>
      <c r="C18124" s="85"/>
      <c r="F18124" s="92"/>
      <c r="G18124" s="85"/>
    </row>
    <row r="18125">
      <c r="A18125" s="84"/>
      <c r="B18125" s="85"/>
      <c r="C18125" s="85"/>
      <c r="F18125" s="92"/>
      <c r="G18125" s="85"/>
    </row>
    <row r="18126">
      <c r="A18126" s="84"/>
      <c r="B18126" s="85"/>
      <c r="C18126" s="85"/>
      <c r="F18126" s="92"/>
      <c r="G18126" s="85"/>
    </row>
    <row r="18127">
      <c r="A18127" s="84"/>
      <c r="B18127" s="85"/>
      <c r="C18127" s="85"/>
      <c r="F18127" s="92"/>
      <c r="G18127" s="85"/>
    </row>
    <row r="18128">
      <c r="A18128" s="84"/>
      <c r="B18128" s="85"/>
      <c r="C18128" s="85"/>
      <c r="F18128" s="92"/>
      <c r="G18128" s="85"/>
    </row>
    <row r="18129">
      <c r="A18129" s="84"/>
      <c r="B18129" s="85"/>
      <c r="C18129" s="85"/>
      <c r="F18129" s="92"/>
      <c r="G18129" s="85"/>
    </row>
    <row r="18130">
      <c r="A18130" s="84"/>
      <c r="B18130" s="85"/>
      <c r="C18130" s="85"/>
      <c r="F18130" s="92"/>
      <c r="G18130" s="85"/>
    </row>
    <row r="18131">
      <c r="A18131" s="84"/>
      <c r="B18131" s="85"/>
      <c r="C18131" s="85"/>
      <c r="F18131" s="92"/>
      <c r="G18131" s="85"/>
    </row>
    <row r="18132">
      <c r="A18132" s="84"/>
      <c r="B18132" s="85"/>
      <c r="C18132" s="85"/>
      <c r="F18132" s="92"/>
      <c r="G18132" s="85"/>
    </row>
    <row r="18133">
      <c r="A18133" s="84"/>
      <c r="B18133" s="85"/>
      <c r="C18133" s="85"/>
      <c r="F18133" s="92"/>
      <c r="G18133" s="85"/>
    </row>
    <row r="18134">
      <c r="A18134" s="84"/>
      <c r="B18134" s="85"/>
      <c r="C18134" s="85"/>
      <c r="F18134" s="92"/>
      <c r="G18134" s="85"/>
    </row>
    <row r="18135">
      <c r="A18135" s="84"/>
      <c r="B18135" s="85"/>
      <c r="C18135" s="85"/>
      <c r="F18135" s="92"/>
      <c r="G18135" s="85"/>
    </row>
    <row r="18136">
      <c r="A18136" s="84"/>
      <c r="B18136" s="85"/>
      <c r="C18136" s="85"/>
      <c r="F18136" s="92"/>
      <c r="G18136" s="85"/>
    </row>
    <row r="18137">
      <c r="A18137" s="84"/>
      <c r="B18137" s="85"/>
      <c r="C18137" s="85"/>
      <c r="F18137" s="92"/>
      <c r="G18137" s="85"/>
    </row>
    <row r="18138">
      <c r="A18138" s="84"/>
      <c r="B18138" s="85"/>
      <c r="C18138" s="85"/>
      <c r="F18138" s="92"/>
      <c r="G18138" s="85"/>
    </row>
    <row r="18139">
      <c r="A18139" s="84"/>
      <c r="B18139" s="85"/>
      <c r="C18139" s="85"/>
      <c r="F18139" s="92"/>
      <c r="G18139" s="85"/>
    </row>
    <row r="18140">
      <c r="A18140" s="84"/>
      <c r="B18140" s="85"/>
      <c r="C18140" s="85"/>
      <c r="F18140" s="92"/>
      <c r="G18140" s="85"/>
    </row>
    <row r="18141">
      <c r="A18141" s="84"/>
      <c r="B18141" s="85"/>
      <c r="C18141" s="85"/>
      <c r="F18141" s="92"/>
      <c r="G18141" s="85"/>
    </row>
    <row r="18142">
      <c r="A18142" s="84"/>
      <c r="B18142" s="85"/>
      <c r="C18142" s="85"/>
      <c r="F18142" s="92"/>
      <c r="G18142" s="85"/>
    </row>
    <row r="18143">
      <c r="A18143" s="84"/>
      <c r="B18143" s="85"/>
      <c r="C18143" s="85"/>
      <c r="F18143" s="92"/>
      <c r="G18143" s="85"/>
    </row>
    <row r="18144">
      <c r="A18144" s="84"/>
      <c r="B18144" s="85"/>
      <c r="C18144" s="85"/>
      <c r="F18144" s="92"/>
      <c r="G18144" s="85"/>
    </row>
    <row r="18145">
      <c r="A18145" s="84"/>
      <c r="B18145" s="85"/>
      <c r="C18145" s="85"/>
      <c r="F18145" s="92"/>
      <c r="G18145" s="85"/>
    </row>
    <row r="18146">
      <c r="A18146" s="84"/>
      <c r="B18146" s="85"/>
      <c r="C18146" s="85"/>
      <c r="F18146" s="92"/>
      <c r="G18146" s="85"/>
    </row>
    <row r="18147">
      <c r="A18147" s="84"/>
      <c r="B18147" s="85"/>
      <c r="C18147" s="85"/>
      <c r="F18147" s="92"/>
      <c r="G18147" s="85"/>
    </row>
    <row r="18148">
      <c r="A18148" s="84"/>
      <c r="B18148" s="85"/>
      <c r="C18148" s="85"/>
      <c r="F18148" s="92"/>
      <c r="G18148" s="85"/>
    </row>
    <row r="18149">
      <c r="A18149" s="84"/>
      <c r="B18149" s="85"/>
      <c r="C18149" s="85"/>
      <c r="F18149" s="92"/>
      <c r="G18149" s="85"/>
    </row>
    <row r="18150">
      <c r="A18150" s="84"/>
      <c r="B18150" s="85"/>
      <c r="C18150" s="85"/>
      <c r="F18150" s="92"/>
      <c r="G18150" s="85"/>
    </row>
    <row r="18151">
      <c r="A18151" s="84"/>
      <c r="B18151" s="85"/>
      <c r="C18151" s="85"/>
      <c r="F18151" s="92"/>
      <c r="G18151" s="85"/>
    </row>
    <row r="18152">
      <c r="A18152" s="84"/>
      <c r="B18152" s="85"/>
      <c r="C18152" s="85"/>
      <c r="F18152" s="92"/>
      <c r="G18152" s="85"/>
    </row>
    <row r="18153">
      <c r="A18153" s="84"/>
      <c r="B18153" s="85"/>
      <c r="C18153" s="85"/>
      <c r="F18153" s="92"/>
      <c r="G18153" s="85"/>
    </row>
    <row r="18154">
      <c r="A18154" s="84"/>
      <c r="B18154" s="85"/>
      <c r="C18154" s="85"/>
      <c r="F18154" s="92"/>
      <c r="G18154" s="85"/>
    </row>
    <row r="18155">
      <c r="A18155" s="84"/>
      <c r="B18155" s="85"/>
      <c r="C18155" s="85"/>
      <c r="F18155" s="92"/>
      <c r="G18155" s="85"/>
    </row>
    <row r="18156">
      <c r="A18156" s="84"/>
      <c r="B18156" s="85"/>
      <c r="C18156" s="85"/>
      <c r="F18156" s="92"/>
      <c r="G18156" s="85"/>
    </row>
    <row r="18157">
      <c r="A18157" s="84"/>
      <c r="B18157" s="85"/>
      <c r="C18157" s="85"/>
      <c r="F18157" s="92"/>
      <c r="G18157" s="85"/>
    </row>
    <row r="18158">
      <c r="A18158" s="84"/>
      <c r="B18158" s="85"/>
      <c r="C18158" s="85"/>
      <c r="F18158" s="92"/>
      <c r="G18158" s="85"/>
    </row>
    <row r="18159">
      <c r="A18159" s="84"/>
      <c r="B18159" s="85"/>
      <c r="C18159" s="85"/>
      <c r="F18159" s="92"/>
      <c r="G18159" s="85"/>
    </row>
    <row r="18160">
      <c r="A18160" s="84"/>
      <c r="B18160" s="85"/>
      <c r="C18160" s="85"/>
      <c r="F18160" s="92"/>
      <c r="G18160" s="85"/>
    </row>
    <row r="18161">
      <c r="A18161" s="84"/>
      <c r="B18161" s="85"/>
      <c r="C18161" s="85"/>
      <c r="F18161" s="92"/>
      <c r="G18161" s="85"/>
    </row>
    <row r="18162">
      <c r="A18162" s="84"/>
      <c r="B18162" s="85"/>
      <c r="C18162" s="85"/>
      <c r="F18162" s="92"/>
      <c r="G18162" s="85"/>
    </row>
    <row r="18163">
      <c r="A18163" s="84"/>
      <c r="B18163" s="85"/>
      <c r="C18163" s="85"/>
      <c r="F18163" s="92"/>
      <c r="G18163" s="85"/>
    </row>
    <row r="18164">
      <c r="A18164" s="84"/>
      <c r="B18164" s="85"/>
      <c r="C18164" s="85"/>
      <c r="F18164" s="92"/>
      <c r="G18164" s="85"/>
    </row>
    <row r="18165">
      <c r="A18165" s="84"/>
      <c r="B18165" s="85"/>
      <c r="C18165" s="85"/>
      <c r="F18165" s="92"/>
      <c r="G18165" s="85"/>
    </row>
    <row r="18166">
      <c r="A18166" s="84"/>
      <c r="B18166" s="85"/>
      <c r="C18166" s="85"/>
      <c r="F18166" s="92"/>
      <c r="G18166" s="85"/>
    </row>
    <row r="18167">
      <c r="A18167" s="84"/>
      <c r="B18167" s="85"/>
      <c r="C18167" s="85"/>
      <c r="F18167" s="92"/>
      <c r="G18167" s="85"/>
    </row>
    <row r="18168">
      <c r="A18168" s="84"/>
      <c r="B18168" s="85"/>
      <c r="C18168" s="85"/>
      <c r="F18168" s="92"/>
      <c r="G18168" s="85"/>
    </row>
    <row r="18169">
      <c r="A18169" s="84"/>
      <c r="B18169" s="85"/>
      <c r="C18169" s="85"/>
      <c r="F18169" s="92"/>
      <c r="G18169" s="85"/>
    </row>
    <row r="18170">
      <c r="A18170" s="84"/>
      <c r="B18170" s="85"/>
      <c r="C18170" s="85"/>
      <c r="F18170" s="92"/>
      <c r="G18170" s="85"/>
    </row>
    <row r="18171">
      <c r="A18171" s="84"/>
      <c r="B18171" s="85"/>
      <c r="C18171" s="85"/>
      <c r="F18171" s="92"/>
      <c r="G18171" s="85"/>
    </row>
    <row r="18172">
      <c r="A18172" s="84"/>
      <c r="B18172" s="85"/>
      <c r="C18172" s="85"/>
      <c r="F18172" s="92"/>
      <c r="G18172" s="85"/>
    </row>
    <row r="18173">
      <c r="A18173" s="84"/>
      <c r="B18173" s="85"/>
      <c r="C18173" s="85"/>
      <c r="F18173" s="92"/>
      <c r="G18173" s="85"/>
    </row>
    <row r="18174">
      <c r="A18174" s="84"/>
      <c r="B18174" s="85"/>
      <c r="C18174" s="85"/>
      <c r="F18174" s="92"/>
      <c r="G18174" s="85"/>
    </row>
    <row r="18175">
      <c r="A18175" s="84"/>
      <c r="B18175" s="85"/>
      <c r="C18175" s="85"/>
      <c r="F18175" s="92"/>
      <c r="G18175" s="85"/>
    </row>
    <row r="18176">
      <c r="A18176" s="84"/>
      <c r="B18176" s="85"/>
      <c r="C18176" s="85"/>
      <c r="F18176" s="92"/>
      <c r="G18176" s="85"/>
    </row>
    <row r="18177">
      <c r="A18177" s="84"/>
      <c r="B18177" s="85"/>
      <c r="C18177" s="85"/>
      <c r="F18177" s="92"/>
      <c r="G18177" s="85"/>
    </row>
    <row r="18178">
      <c r="A18178" s="84"/>
      <c r="B18178" s="85"/>
      <c r="C18178" s="85"/>
      <c r="F18178" s="92"/>
      <c r="G18178" s="85"/>
    </row>
    <row r="18179">
      <c r="A18179" s="84"/>
      <c r="B18179" s="85"/>
      <c r="C18179" s="85"/>
      <c r="F18179" s="92"/>
      <c r="G18179" s="85"/>
    </row>
    <row r="18180">
      <c r="A18180" s="84"/>
      <c r="B18180" s="85"/>
      <c r="C18180" s="85"/>
      <c r="F18180" s="92"/>
      <c r="G18180" s="85"/>
    </row>
    <row r="18181">
      <c r="A18181" s="84"/>
      <c r="B18181" s="85"/>
      <c r="C18181" s="85"/>
      <c r="F18181" s="92"/>
      <c r="G18181" s="85"/>
    </row>
    <row r="18182">
      <c r="A18182" s="84"/>
      <c r="B18182" s="85"/>
      <c r="C18182" s="85"/>
      <c r="F18182" s="92"/>
      <c r="G18182" s="85"/>
    </row>
    <row r="18183">
      <c r="A18183" s="84"/>
      <c r="B18183" s="85"/>
      <c r="C18183" s="85"/>
      <c r="F18183" s="92"/>
      <c r="G18183" s="85"/>
    </row>
    <row r="18184">
      <c r="A18184" s="84"/>
      <c r="B18184" s="85"/>
      <c r="C18184" s="85"/>
      <c r="F18184" s="92"/>
      <c r="G18184" s="85"/>
    </row>
    <row r="18185">
      <c r="A18185" s="84"/>
      <c r="B18185" s="85"/>
      <c r="C18185" s="85"/>
      <c r="F18185" s="92"/>
      <c r="G18185" s="85"/>
    </row>
    <row r="18186">
      <c r="A18186" s="84"/>
      <c r="B18186" s="85"/>
      <c r="C18186" s="85"/>
      <c r="F18186" s="92"/>
      <c r="G18186" s="85"/>
    </row>
    <row r="18187">
      <c r="A18187" s="84"/>
      <c r="B18187" s="85"/>
      <c r="C18187" s="85"/>
      <c r="F18187" s="92"/>
      <c r="G18187" s="85"/>
    </row>
    <row r="18188">
      <c r="A18188" s="84"/>
      <c r="B18188" s="85"/>
      <c r="C18188" s="85"/>
      <c r="F18188" s="92"/>
      <c r="G18188" s="85"/>
    </row>
    <row r="18189">
      <c r="A18189" s="84"/>
      <c r="B18189" s="85"/>
      <c r="C18189" s="85"/>
      <c r="F18189" s="92"/>
      <c r="G18189" s="85"/>
    </row>
    <row r="18190">
      <c r="A18190" s="84"/>
      <c r="B18190" s="85"/>
      <c r="C18190" s="85"/>
      <c r="F18190" s="92"/>
      <c r="G18190" s="85"/>
    </row>
    <row r="18191">
      <c r="A18191" s="84"/>
      <c r="B18191" s="85"/>
      <c r="C18191" s="85"/>
      <c r="F18191" s="92"/>
      <c r="G18191" s="85"/>
    </row>
    <row r="18192">
      <c r="A18192" s="84"/>
      <c r="B18192" s="85"/>
      <c r="C18192" s="85"/>
      <c r="F18192" s="92"/>
      <c r="G18192" s="85"/>
    </row>
    <row r="18193">
      <c r="A18193" s="84"/>
      <c r="B18193" s="85"/>
      <c r="C18193" s="85"/>
      <c r="F18193" s="92"/>
      <c r="G18193" s="85"/>
    </row>
    <row r="18194">
      <c r="A18194" s="84"/>
      <c r="B18194" s="85"/>
      <c r="C18194" s="85"/>
      <c r="F18194" s="92"/>
      <c r="G18194" s="85"/>
    </row>
    <row r="18195">
      <c r="A18195" s="84"/>
      <c r="B18195" s="85"/>
      <c r="C18195" s="85"/>
      <c r="F18195" s="92"/>
      <c r="G18195" s="85"/>
    </row>
    <row r="18196">
      <c r="A18196" s="84"/>
      <c r="B18196" s="85"/>
      <c r="C18196" s="85"/>
      <c r="F18196" s="92"/>
      <c r="G18196" s="85"/>
    </row>
    <row r="18197">
      <c r="A18197" s="84"/>
      <c r="B18197" s="85"/>
      <c r="C18197" s="85"/>
      <c r="F18197" s="92"/>
      <c r="G18197" s="85"/>
    </row>
    <row r="18198">
      <c r="A18198" s="84"/>
      <c r="B18198" s="85"/>
      <c r="C18198" s="85"/>
      <c r="F18198" s="92"/>
      <c r="G18198" s="85"/>
    </row>
    <row r="18199">
      <c r="A18199" s="84"/>
      <c r="B18199" s="85"/>
      <c r="C18199" s="85"/>
      <c r="F18199" s="92"/>
      <c r="G18199" s="85"/>
    </row>
    <row r="18200">
      <c r="A18200" s="84"/>
      <c r="B18200" s="85"/>
      <c r="C18200" s="85"/>
      <c r="F18200" s="92"/>
      <c r="G18200" s="85"/>
    </row>
    <row r="18201">
      <c r="A18201" s="84"/>
      <c r="B18201" s="85"/>
      <c r="C18201" s="85"/>
      <c r="F18201" s="92"/>
      <c r="G18201" s="85"/>
    </row>
    <row r="18202">
      <c r="A18202" s="84"/>
      <c r="B18202" s="85"/>
      <c r="C18202" s="85"/>
      <c r="F18202" s="92"/>
      <c r="G18202" s="85"/>
    </row>
    <row r="18203">
      <c r="A18203" s="84"/>
      <c r="B18203" s="85"/>
      <c r="C18203" s="85"/>
      <c r="F18203" s="92"/>
      <c r="G18203" s="85"/>
    </row>
    <row r="18204">
      <c r="A18204" s="84"/>
      <c r="B18204" s="85"/>
      <c r="C18204" s="85"/>
      <c r="F18204" s="92"/>
      <c r="G18204" s="85"/>
    </row>
    <row r="18205">
      <c r="A18205" s="84"/>
      <c r="B18205" s="85"/>
      <c r="C18205" s="85"/>
      <c r="F18205" s="92"/>
      <c r="G18205" s="85"/>
    </row>
    <row r="18206">
      <c r="A18206" s="84"/>
      <c r="B18206" s="85"/>
      <c r="C18206" s="85"/>
      <c r="F18206" s="92"/>
      <c r="G18206" s="85"/>
    </row>
    <row r="18207">
      <c r="A18207" s="84"/>
      <c r="B18207" s="85"/>
      <c r="C18207" s="85"/>
      <c r="F18207" s="92"/>
      <c r="G18207" s="85"/>
    </row>
    <row r="18208">
      <c r="A18208" s="84"/>
      <c r="B18208" s="85"/>
      <c r="C18208" s="85"/>
      <c r="F18208" s="92"/>
      <c r="G18208" s="85"/>
    </row>
    <row r="18209">
      <c r="A18209" s="84"/>
      <c r="B18209" s="85"/>
      <c r="C18209" s="85"/>
      <c r="F18209" s="92"/>
      <c r="G18209" s="85"/>
    </row>
    <row r="18210">
      <c r="A18210" s="84"/>
      <c r="B18210" s="85"/>
      <c r="C18210" s="85"/>
      <c r="F18210" s="92"/>
      <c r="G18210" s="85"/>
    </row>
    <row r="18211">
      <c r="A18211" s="84"/>
      <c r="B18211" s="85"/>
      <c r="C18211" s="85"/>
      <c r="F18211" s="92"/>
      <c r="G18211" s="85"/>
    </row>
    <row r="18212">
      <c r="A18212" s="84"/>
      <c r="B18212" s="85"/>
      <c r="C18212" s="85"/>
      <c r="F18212" s="92"/>
      <c r="G18212" s="85"/>
    </row>
    <row r="18213">
      <c r="A18213" s="84"/>
      <c r="B18213" s="85"/>
      <c r="C18213" s="85"/>
      <c r="F18213" s="92"/>
      <c r="G18213" s="85"/>
    </row>
    <row r="18214">
      <c r="A18214" s="84"/>
      <c r="B18214" s="85"/>
      <c r="C18214" s="85"/>
      <c r="F18214" s="92"/>
      <c r="G18214" s="85"/>
    </row>
    <row r="18215">
      <c r="A18215" s="84"/>
      <c r="B18215" s="85"/>
      <c r="C18215" s="85"/>
      <c r="F18215" s="92"/>
      <c r="G18215" s="85"/>
    </row>
    <row r="18216">
      <c r="A18216" s="84"/>
      <c r="B18216" s="85"/>
      <c r="C18216" s="85"/>
      <c r="F18216" s="92"/>
      <c r="G18216" s="85"/>
    </row>
    <row r="18217">
      <c r="A18217" s="84"/>
      <c r="B18217" s="85"/>
      <c r="C18217" s="85"/>
      <c r="F18217" s="92"/>
      <c r="G18217" s="85"/>
    </row>
    <row r="18218">
      <c r="A18218" s="84"/>
      <c r="B18218" s="85"/>
      <c r="C18218" s="85"/>
      <c r="F18218" s="92"/>
      <c r="G18218" s="85"/>
    </row>
    <row r="18219">
      <c r="A18219" s="84"/>
      <c r="B18219" s="85"/>
      <c r="C18219" s="85"/>
      <c r="F18219" s="92"/>
      <c r="G18219" s="85"/>
    </row>
    <row r="18220">
      <c r="A18220" s="84"/>
      <c r="B18220" s="85"/>
      <c r="C18220" s="85"/>
      <c r="F18220" s="92"/>
      <c r="G18220" s="85"/>
    </row>
    <row r="18221">
      <c r="A18221" s="84"/>
      <c r="B18221" s="85"/>
      <c r="C18221" s="85"/>
      <c r="F18221" s="92"/>
      <c r="G18221" s="85"/>
    </row>
    <row r="18222">
      <c r="A18222" s="84"/>
      <c r="B18222" s="85"/>
      <c r="C18222" s="85"/>
      <c r="F18222" s="92"/>
      <c r="G18222" s="85"/>
    </row>
    <row r="18223">
      <c r="A18223" s="84"/>
      <c r="B18223" s="85"/>
      <c r="C18223" s="85"/>
      <c r="F18223" s="92"/>
      <c r="G18223" s="85"/>
    </row>
    <row r="18224">
      <c r="A18224" s="84"/>
      <c r="B18224" s="85"/>
      <c r="C18224" s="85"/>
      <c r="F18224" s="92"/>
      <c r="G18224" s="85"/>
    </row>
    <row r="18225">
      <c r="A18225" s="84"/>
      <c r="B18225" s="85"/>
      <c r="C18225" s="85"/>
      <c r="F18225" s="92"/>
      <c r="G18225" s="85"/>
    </row>
    <row r="18226">
      <c r="A18226" s="84"/>
      <c r="B18226" s="85"/>
      <c r="C18226" s="85"/>
      <c r="F18226" s="92"/>
      <c r="G18226" s="85"/>
    </row>
    <row r="18227">
      <c r="A18227" s="84"/>
      <c r="B18227" s="85"/>
      <c r="C18227" s="85"/>
      <c r="F18227" s="92"/>
      <c r="G18227" s="85"/>
    </row>
    <row r="18228">
      <c r="A18228" s="84"/>
      <c r="B18228" s="85"/>
      <c r="C18228" s="85"/>
      <c r="F18228" s="92"/>
      <c r="G18228" s="85"/>
    </row>
    <row r="18229">
      <c r="A18229" s="84"/>
      <c r="B18229" s="85"/>
      <c r="C18229" s="85"/>
      <c r="F18229" s="92"/>
      <c r="G18229" s="85"/>
    </row>
    <row r="18230">
      <c r="A18230" s="84"/>
      <c r="B18230" s="85"/>
      <c r="C18230" s="85"/>
      <c r="F18230" s="92"/>
      <c r="G18230" s="85"/>
    </row>
    <row r="18231">
      <c r="A18231" s="84"/>
      <c r="B18231" s="85"/>
      <c r="C18231" s="85"/>
      <c r="F18231" s="92"/>
      <c r="G18231" s="85"/>
    </row>
    <row r="18232">
      <c r="A18232" s="84"/>
      <c r="B18232" s="85"/>
      <c r="C18232" s="85"/>
      <c r="F18232" s="92"/>
      <c r="G18232" s="85"/>
    </row>
    <row r="18233">
      <c r="A18233" s="84"/>
      <c r="B18233" s="85"/>
      <c r="C18233" s="85"/>
      <c r="F18233" s="92"/>
      <c r="G18233" s="85"/>
    </row>
    <row r="18234">
      <c r="A18234" s="84"/>
      <c r="B18234" s="85"/>
      <c r="C18234" s="85"/>
      <c r="F18234" s="92"/>
      <c r="G18234" s="85"/>
    </row>
    <row r="18235">
      <c r="A18235" s="84"/>
      <c r="B18235" s="85"/>
      <c r="C18235" s="85"/>
      <c r="F18235" s="92"/>
      <c r="G18235" s="85"/>
    </row>
    <row r="18236">
      <c r="A18236" s="84"/>
      <c r="B18236" s="85"/>
      <c r="C18236" s="85"/>
      <c r="F18236" s="92"/>
      <c r="G18236" s="85"/>
    </row>
    <row r="18237">
      <c r="A18237" s="84"/>
      <c r="B18237" s="85"/>
      <c r="C18237" s="85"/>
      <c r="F18237" s="92"/>
      <c r="G18237" s="85"/>
    </row>
    <row r="18238">
      <c r="A18238" s="84"/>
      <c r="B18238" s="85"/>
      <c r="C18238" s="85"/>
      <c r="F18238" s="92"/>
      <c r="G18238" s="85"/>
    </row>
    <row r="18239">
      <c r="A18239" s="84"/>
      <c r="B18239" s="85"/>
      <c r="C18239" s="85"/>
      <c r="F18239" s="92"/>
      <c r="G18239" s="85"/>
    </row>
    <row r="18240">
      <c r="A18240" s="84"/>
      <c r="B18240" s="85"/>
      <c r="C18240" s="85"/>
      <c r="F18240" s="92"/>
      <c r="G18240" s="85"/>
    </row>
    <row r="18241">
      <c r="A18241" s="84"/>
      <c r="B18241" s="85"/>
      <c r="C18241" s="85"/>
      <c r="F18241" s="92"/>
      <c r="G18241" s="85"/>
    </row>
    <row r="18242">
      <c r="A18242" s="84"/>
      <c r="B18242" s="85"/>
      <c r="C18242" s="85"/>
      <c r="F18242" s="92"/>
      <c r="G18242" s="85"/>
    </row>
    <row r="18243">
      <c r="A18243" s="84"/>
      <c r="B18243" s="85"/>
      <c r="C18243" s="85"/>
      <c r="F18243" s="92"/>
      <c r="G18243" s="85"/>
    </row>
    <row r="18244">
      <c r="A18244" s="84"/>
      <c r="B18244" s="85"/>
      <c r="C18244" s="85"/>
      <c r="F18244" s="92"/>
      <c r="G18244" s="85"/>
    </row>
    <row r="18245">
      <c r="A18245" s="84"/>
      <c r="B18245" s="85"/>
      <c r="C18245" s="85"/>
      <c r="F18245" s="92"/>
      <c r="G18245" s="85"/>
    </row>
    <row r="18246">
      <c r="A18246" s="84"/>
      <c r="B18246" s="85"/>
      <c r="C18246" s="85"/>
      <c r="F18246" s="92"/>
      <c r="G18246" s="85"/>
    </row>
    <row r="18247">
      <c r="A18247" s="84"/>
      <c r="B18247" s="85"/>
      <c r="C18247" s="85"/>
      <c r="F18247" s="92"/>
      <c r="G18247" s="85"/>
    </row>
    <row r="18248">
      <c r="A18248" s="84"/>
      <c r="B18248" s="85"/>
      <c r="C18248" s="85"/>
      <c r="F18248" s="92"/>
      <c r="G18248" s="85"/>
    </row>
    <row r="18249">
      <c r="A18249" s="84"/>
      <c r="B18249" s="85"/>
      <c r="C18249" s="85"/>
      <c r="F18249" s="92"/>
      <c r="G18249" s="85"/>
    </row>
    <row r="18250">
      <c r="A18250" s="84"/>
      <c r="B18250" s="85"/>
      <c r="C18250" s="85"/>
      <c r="F18250" s="92"/>
      <c r="G18250" s="85"/>
    </row>
    <row r="18251">
      <c r="A18251" s="84"/>
      <c r="B18251" s="85"/>
      <c r="C18251" s="85"/>
      <c r="F18251" s="92"/>
      <c r="G18251" s="85"/>
    </row>
    <row r="18252">
      <c r="A18252" s="84"/>
      <c r="B18252" s="85"/>
      <c r="C18252" s="85"/>
      <c r="F18252" s="92"/>
      <c r="G18252" s="85"/>
    </row>
    <row r="18253">
      <c r="A18253" s="84"/>
      <c r="B18253" s="85"/>
      <c r="C18253" s="85"/>
      <c r="F18253" s="92"/>
      <c r="G18253" s="85"/>
    </row>
    <row r="18254">
      <c r="A18254" s="84"/>
      <c r="B18254" s="85"/>
      <c r="C18254" s="85"/>
      <c r="F18254" s="92"/>
      <c r="G18254" s="85"/>
    </row>
    <row r="18255">
      <c r="A18255" s="84"/>
      <c r="B18255" s="85"/>
      <c r="C18255" s="85"/>
      <c r="F18255" s="92"/>
      <c r="G18255" s="85"/>
    </row>
    <row r="18256">
      <c r="A18256" s="84"/>
      <c r="B18256" s="85"/>
      <c r="C18256" s="85"/>
      <c r="F18256" s="92"/>
      <c r="G18256" s="85"/>
    </row>
    <row r="18257">
      <c r="A18257" s="84"/>
      <c r="B18257" s="85"/>
      <c r="C18257" s="85"/>
      <c r="F18257" s="92"/>
      <c r="G18257" s="85"/>
    </row>
    <row r="18258">
      <c r="A18258" s="84"/>
      <c r="B18258" s="85"/>
      <c r="C18258" s="85"/>
      <c r="F18258" s="92"/>
      <c r="G18258" s="85"/>
    </row>
    <row r="18259">
      <c r="A18259" s="84"/>
      <c r="B18259" s="85"/>
      <c r="C18259" s="85"/>
      <c r="F18259" s="92"/>
      <c r="G18259" s="85"/>
    </row>
    <row r="18260">
      <c r="A18260" s="84"/>
      <c r="B18260" s="85"/>
      <c r="C18260" s="85"/>
      <c r="F18260" s="92"/>
      <c r="G18260" s="85"/>
    </row>
    <row r="18261">
      <c r="A18261" s="84"/>
      <c r="B18261" s="85"/>
      <c r="C18261" s="85"/>
      <c r="F18261" s="92"/>
      <c r="G18261" s="85"/>
    </row>
    <row r="18262">
      <c r="A18262" s="84"/>
      <c r="B18262" s="85"/>
      <c r="C18262" s="85"/>
      <c r="F18262" s="92"/>
      <c r="G18262" s="85"/>
    </row>
    <row r="18263">
      <c r="A18263" s="84"/>
      <c r="B18263" s="85"/>
      <c r="C18263" s="85"/>
      <c r="F18263" s="92"/>
      <c r="G18263" s="85"/>
    </row>
    <row r="18264">
      <c r="A18264" s="84"/>
      <c r="B18264" s="85"/>
      <c r="C18264" s="85"/>
      <c r="F18264" s="92"/>
      <c r="G18264" s="85"/>
    </row>
    <row r="18265">
      <c r="A18265" s="84"/>
      <c r="B18265" s="85"/>
      <c r="C18265" s="85"/>
      <c r="F18265" s="92"/>
      <c r="G18265" s="85"/>
    </row>
    <row r="18266">
      <c r="A18266" s="84"/>
      <c r="B18266" s="85"/>
      <c r="C18266" s="85"/>
      <c r="F18266" s="92"/>
      <c r="G18266" s="85"/>
    </row>
    <row r="18267">
      <c r="A18267" s="84"/>
      <c r="B18267" s="85"/>
      <c r="C18267" s="85"/>
      <c r="F18267" s="92"/>
      <c r="G18267" s="85"/>
    </row>
    <row r="18268">
      <c r="A18268" s="84"/>
      <c r="B18268" s="85"/>
      <c r="C18268" s="85"/>
      <c r="F18268" s="92"/>
      <c r="G18268" s="85"/>
    </row>
    <row r="18269">
      <c r="A18269" s="84"/>
      <c r="B18269" s="85"/>
      <c r="C18269" s="85"/>
      <c r="F18269" s="92"/>
      <c r="G18269" s="85"/>
    </row>
    <row r="18270">
      <c r="A18270" s="84"/>
      <c r="B18270" s="85"/>
      <c r="C18270" s="85"/>
      <c r="F18270" s="92"/>
      <c r="G18270" s="85"/>
    </row>
    <row r="18271">
      <c r="A18271" s="84"/>
      <c r="B18271" s="85"/>
      <c r="C18271" s="85"/>
      <c r="F18271" s="92"/>
      <c r="G18271" s="85"/>
    </row>
    <row r="18272">
      <c r="A18272" s="84"/>
      <c r="B18272" s="85"/>
      <c r="C18272" s="85"/>
      <c r="F18272" s="92"/>
      <c r="G18272" s="85"/>
    </row>
    <row r="18273">
      <c r="A18273" s="84"/>
      <c r="B18273" s="85"/>
      <c r="C18273" s="85"/>
      <c r="F18273" s="92"/>
      <c r="G18273" s="85"/>
    </row>
    <row r="18274">
      <c r="A18274" s="84"/>
      <c r="B18274" s="85"/>
      <c r="C18274" s="85"/>
      <c r="F18274" s="92"/>
      <c r="G18274" s="85"/>
    </row>
    <row r="18275">
      <c r="A18275" s="84"/>
      <c r="B18275" s="85"/>
      <c r="C18275" s="85"/>
      <c r="F18275" s="92"/>
      <c r="G18275" s="85"/>
    </row>
    <row r="18276">
      <c r="A18276" s="84"/>
      <c r="B18276" s="85"/>
      <c r="C18276" s="85"/>
      <c r="F18276" s="92"/>
      <c r="G18276" s="85"/>
    </row>
    <row r="18277">
      <c r="A18277" s="84"/>
      <c r="B18277" s="85"/>
      <c r="C18277" s="85"/>
      <c r="F18277" s="92"/>
      <c r="G18277" s="85"/>
    </row>
    <row r="18278">
      <c r="A18278" s="84"/>
      <c r="B18278" s="85"/>
      <c r="C18278" s="85"/>
      <c r="F18278" s="92"/>
      <c r="G18278" s="85"/>
    </row>
    <row r="18279">
      <c r="A18279" s="84"/>
      <c r="B18279" s="85"/>
      <c r="C18279" s="85"/>
      <c r="F18279" s="92"/>
      <c r="G18279" s="85"/>
    </row>
    <row r="18280">
      <c r="A18280" s="84"/>
      <c r="B18280" s="85"/>
      <c r="C18280" s="85"/>
      <c r="F18280" s="92"/>
      <c r="G18280" s="85"/>
    </row>
    <row r="18281">
      <c r="A18281" s="84"/>
      <c r="B18281" s="85"/>
      <c r="C18281" s="85"/>
      <c r="F18281" s="92"/>
      <c r="G18281" s="85"/>
    </row>
    <row r="18282">
      <c r="A18282" s="84"/>
      <c r="B18282" s="85"/>
      <c r="C18282" s="85"/>
      <c r="F18282" s="92"/>
      <c r="G18282" s="85"/>
    </row>
    <row r="18283">
      <c r="A18283" s="84"/>
      <c r="B18283" s="85"/>
      <c r="C18283" s="85"/>
      <c r="F18283" s="92"/>
      <c r="G18283" s="85"/>
    </row>
    <row r="18284">
      <c r="A18284" s="84"/>
      <c r="B18284" s="85"/>
      <c r="C18284" s="85"/>
      <c r="F18284" s="92"/>
      <c r="G18284" s="85"/>
    </row>
    <row r="18285">
      <c r="A18285" s="84"/>
      <c r="B18285" s="85"/>
      <c r="C18285" s="85"/>
      <c r="F18285" s="92"/>
      <c r="G18285" s="85"/>
    </row>
    <row r="18286">
      <c r="A18286" s="84"/>
      <c r="B18286" s="85"/>
      <c r="C18286" s="85"/>
      <c r="F18286" s="92"/>
      <c r="G18286" s="85"/>
    </row>
    <row r="18287">
      <c r="A18287" s="84"/>
      <c r="B18287" s="85"/>
      <c r="C18287" s="85"/>
      <c r="F18287" s="92"/>
      <c r="G18287" s="85"/>
    </row>
    <row r="18288">
      <c r="A18288" s="84"/>
      <c r="B18288" s="85"/>
      <c r="C18288" s="85"/>
      <c r="F18288" s="92"/>
      <c r="G18288" s="85"/>
    </row>
    <row r="18289">
      <c r="A18289" s="84"/>
      <c r="B18289" s="85"/>
      <c r="C18289" s="85"/>
      <c r="F18289" s="92"/>
      <c r="G18289" s="85"/>
    </row>
    <row r="18290">
      <c r="A18290" s="84"/>
      <c r="B18290" s="85"/>
      <c r="C18290" s="85"/>
      <c r="F18290" s="92"/>
      <c r="G18290" s="85"/>
    </row>
    <row r="18291">
      <c r="A18291" s="84"/>
      <c r="B18291" s="85"/>
      <c r="C18291" s="85"/>
      <c r="F18291" s="92"/>
      <c r="G18291" s="85"/>
    </row>
    <row r="18292">
      <c r="A18292" s="84"/>
      <c r="B18292" s="85"/>
      <c r="C18292" s="85"/>
      <c r="F18292" s="92"/>
      <c r="G18292" s="85"/>
    </row>
    <row r="18293">
      <c r="A18293" s="84"/>
      <c r="B18293" s="85"/>
      <c r="C18293" s="85"/>
      <c r="F18293" s="92"/>
      <c r="G18293" s="85"/>
    </row>
    <row r="18294">
      <c r="A18294" s="84"/>
      <c r="B18294" s="85"/>
      <c r="C18294" s="85"/>
      <c r="F18294" s="92"/>
      <c r="G18294" s="85"/>
    </row>
    <row r="18295">
      <c r="A18295" s="84"/>
      <c r="B18295" s="85"/>
      <c r="C18295" s="85"/>
      <c r="F18295" s="92"/>
      <c r="G18295" s="85"/>
    </row>
    <row r="18296">
      <c r="A18296" s="84"/>
      <c r="B18296" s="85"/>
      <c r="C18296" s="85"/>
      <c r="F18296" s="92"/>
      <c r="G18296" s="85"/>
    </row>
    <row r="18297">
      <c r="A18297" s="84"/>
      <c r="B18297" s="85"/>
      <c r="C18297" s="85"/>
      <c r="F18297" s="92"/>
      <c r="G18297" s="85"/>
    </row>
    <row r="18298">
      <c r="A18298" s="84"/>
      <c r="B18298" s="85"/>
      <c r="C18298" s="85"/>
      <c r="F18298" s="92"/>
      <c r="G18298" s="85"/>
    </row>
    <row r="18299">
      <c r="A18299" s="84"/>
      <c r="B18299" s="85"/>
      <c r="C18299" s="85"/>
      <c r="F18299" s="92"/>
      <c r="G18299" s="85"/>
    </row>
    <row r="18300">
      <c r="A18300" s="84"/>
      <c r="B18300" s="85"/>
      <c r="C18300" s="85"/>
      <c r="F18300" s="92"/>
      <c r="G18300" s="85"/>
    </row>
    <row r="18301">
      <c r="A18301" s="84"/>
      <c r="B18301" s="85"/>
      <c r="C18301" s="85"/>
      <c r="F18301" s="92"/>
      <c r="G18301" s="85"/>
    </row>
    <row r="18302">
      <c r="A18302" s="84"/>
      <c r="B18302" s="85"/>
      <c r="C18302" s="85"/>
      <c r="F18302" s="92"/>
      <c r="G18302" s="85"/>
    </row>
    <row r="18303">
      <c r="A18303" s="84"/>
      <c r="B18303" s="85"/>
      <c r="C18303" s="85"/>
      <c r="F18303" s="92"/>
      <c r="G18303" s="85"/>
    </row>
    <row r="18304">
      <c r="A18304" s="84"/>
      <c r="B18304" s="85"/>
      <c r="C18304" s="85"/>
      <c r="F18304" s="92"/>
      <c r="G18304" s="85"/>
    </row>
    <row r="18305">
      <c r="A18305" s="84"/>
      <c r="B18305" s="85"/>
      <c r="C18305" s="85"/>
      <c r="F18305" s="92"/>
      <c r="G18305" s="85"/>
    </row>
    <row r="18306">
      <c r="A18306" s="84"/>
      <c r="B18306" s="85"/>
      <c r="C18306" s="85"/>
      <c r="F18306" s="92"/>
      <c r="G18306" s="85"/>
    </row>
    <row r="18307">
      <c r="A18307" s="84"/>
      <c r="B18307" s="85"/>
      <c r="C18307" s="85"/>
      <c r="F18307" s="92"/>
      <c r="G18307" s="85"/>
    </row>
    <row r="18308">
      <c r="A18308" s="84"/>
      <c r="B18308" s="85"/>
      <c r="C18308" s="85"/>
      <c r="F18308" s="92"/>
      <c r="G18308" s="85"/>
    </row>
    <row r="18309">
      <c r="A18309" s="84"/>
      <c r="B18309" s="85"/>
      <c r="C18309" s="85"/>
      <c r="F18309" s="92"/>
      <c r="G18309" s="85"/>
    </row>
    <row r="18310">
      <c r="A18310" s="84"/>
      <c r="B18310" s="85"/>
      <c r="C18310" s="85"/>
      <c r="F18310" s="92"/>
      <c r="G18310" s="85"/>
    </row>
    <row r="18311">
      <c r="A18311" s="84"/>
      <c r="B18311" s="85"/>
      <c r="C18311" s="85"/>
      <c r="F18311" s="92"/>
      <c r="G18311" s="85"/>
    </row>
    <row r="18312">
      <c r="A18312" s="84"/>
      <c r="B18312" s="85"/>
      <c r="C18312" s="85"/>
      <c r="F18312" s="92"/>
      <c r="G18312" s="85"/>
    </row>
    <row r="18313">
      <c r="A18313" s="84"/>
      <c r="B18313" s="85"/>
      <c r="C18313" s="85"/>
      <c r="F18313" s="92"/>
      <c r="G18313" s="85"/>
    </row>
    <row r="18314">
      <c r="A18314" s="84"/>
      <c r="B18314" s="85"/>
      <c r="C18314" s="85"/>
      <c r="F18314" s="92"/>
      <c r="G18314" s="85"/>
    </row>
    <row r="18315">
      <c r="A18315" s="84"/>
      <c r="B18315" s="85"/>
      <c r="C18315" s="85"/>
      <c r="F18315" s="92"/>
      <c r="G18315" s="85"/>
    </row>
    <row r="18316">
      <c r="A18316" s="84"/>
      <c r="B18316" s="85"/>
      <c r="C18316" s="85"/>
      <c r="F18316" s="92"/>
      <c r="G18316" s="85"/>
    </row>
    <row r="18317">
      <c r="A18317" s="84"/>
      <c r="B18317" s="85"/>
      <c r="C18317" s="85"/>
      <c r="F18317" s="92"/>
      <c r="G18317" s="85"/>
    </row>
    <row r="18318">
      <c r="A18318" s="84"/>
      <c r="B18318" s="85"/>
      <c r="C18318" s="85"/>
      <c r="F18318" s="92"/>
      <c r="G18318" s="85"/>
    </row>
    <row r="18319">
      <c r="A18319" s="84"/>
      <c r="B18319" s="85"/>
      <c r="C18319" s="85"/>
      <c r="F18319" s="92"/>
      <c r="G18319" s="85"/>
    </row>
    <row r="18320">
      <c r="A18320" s="84"/>
      <c r="B18320" s="85"/>
      <c r="C18320" s="85"/>
      <c r="F18320" s="92"/>
      <c r="G18320" s="85"/>
    </row>
    <row r="18321">
      <c r="A18321" s="84"/>
      <c r="B18321" s="85"/>
      <c r="C18321" s="85"/>
      <c r="F18321" s="92"/>
      <c r="G18321" s="85"/>
    </row>
    <row r="18322">
      <c r="A18322" s="84"/>
      <c r="B18322" s="85"/>
      <c r="C18322" s="85"/>
      <c r="F18322" s="92"/>
      <c r="G18322" s="85"/>
    </row>
    <row r="18323">
      <c r="A18323" s="84"/>
      <c r="B18323" s="85"/>
      <c r="C18323" s="85"/>
      <c r="F18323" s="92"/>
      <c r="G18323" s="85"/>
    </row>
    <row r="18324">
      <c r="A18324" s="84"/>
      <c r="B18324" s="85"/>
      <c r="C18324" s="85"/>
      <c r="F18324" s="92"/>
      <c r="G18324" s="85"/>
    </row>
    <row r="18325">
      <c r="A18325" s="84"/>
      <c r="B18325" s="85"/>
      <c r="C18325" s="85"/>
      <c r="F18325" s="92"/>
      <c r="G18325" s="85"/>
    </row>
    <row r="18326">
      <c r="A18326" s="84"/>
      <c r="B18326" s="85"/>
      <c r="C18326" s="85"/>
      <c r="F18326" s="92"/>
      <c r="G18326" s="85"/>
    </row>
    <row r="18327">
      <c r="A18327" s="84"/>
      <c r="B18327" s="85"/>
      <c r="C18327" s="85"/>
      <c r="F18327" s="92"/>
      <c r="G18327" s="85"/>
    </row>
    <row r="18328">
      <c r="A18328" s="84"/>
      <c r="B18328" s="85"/>
      <c r="C18328" s="85"/>
      <c r="F18328" s="92"/>
      <c r="G18328" s="85"/>
    </row>
    <row r="18329">
      <c r="A18329" s="84"/>
      <c r="B18329" s="85"/>
      <c r="C18329" s="85"/>
      <c r="F18329" s="92"/>
      <c r="G18329" s="85"/>
    </row>
    <row r="18330">
      <c r="A18330" s="84"/>
      <c r="B18330" s="85"/>
      <c r="C18330" s="85"/>
      <c r="F18330" s="92"/>
      <c r="G18330" s="85"/>
    </row>
    <row r="18331">
      <c r="A18331" s="84"/>
      <c r="B18331" s="85"/>
      <c r="C18331" s="85"/>
      <c r="F18331" s="92"/>
      <c r="G18331" s="85"/>
    </row>
    <row r="18332">
      <c r="A18332" s="84"/>
      <c r="B18332" s="85"/>
      <c r="C18332" s="85"/>
      <c r="F18332" s="92"/>
      <c r="G18332" s="85"/>
    </row>
    <row r="18333">
      <c r="A18333" s="84"/>
      <c r="B18333" s="85"/>
      <c r="C18333" s="85"/>
      <c r="F18333" s="92"/>
      <c r="G18333" s="85"/>
    </row>
    <row r="18334">
      <c r="A18334" s="84"/>
      <c r="B18334" s="85"/>
      <c r="C18334" s="85"/>
      <c r="F18334" s="92"/>
      <c r="G18334" s="85"/>
    </row>
    <row r="18335">
      <c r="A18335" s="84"/>
      <c r="B18335" s="85"/>
      <c r="C18335" s="85"/>
      <c r="F18335" s="92"/>
      <c r="G18335" s="85"/>
    </row>
    <row r="18336">
      <c r="A18336" s="84"/>
      <c r="B18336" s="85"/>
      <c r="C18336" s="85"/>
      <c r="F18336" s="92"/>
      <c r="G18336" s="85"/>
    </row>
    <row r="18337">
      <c r="A18337" s="84"/>
      <c r="B18337" s="85"/>
      <c r="C18337" s="85"/>
      <c r="F18337" s="92"/>
      <c r="G18337" s="85"/>
    </row>
    <row r="18338">
      <c r="A18338" s="84"/>
      <c r="B18338" s="85"/>
      <c r="C18338" s="85"/>
      <c r="F18338" s="92"/>
      <c r="G18338" s="85"/>
    </row>
    <row r="18339">
      <c r="A18339" s="84"/>
      <c r="B18339" s="85"/>
      <c r="C18339" s="85"/>
      <c r="F18339" s="92"/>
      <c r="G18339" s="85"/>
    </row>
    <row r="18340">
      <c r="A18340" s="84"/>
      <c r="B18340" s="85"/>
      <c r="C18340" s="85"/>
      <c r="F18340" s="92"/>
      <c r="G18340" s="85"/>
    </row>
    <row r="18341">
      <c r="A18341" s="84"/>
      <c r="B18341" s="85"/>
      <c r="C18341" s="85"/>
      <c r="F18341" s="92"/>
      <c r="G18341" s="85"/>
    </row>
    <row r="18342">
      <c r="A18342" s="84"/>
      <c r="B18342" s="85"/>
      <c r="C18342" s="85"/>
      <c r="F18342" s="92"/>
      <c r="G18342" s="85"/>
    </row>
    <row r="18343">
      <c r="A18343" s="84"/>
      <c r="B18343" s="85"/>
      <c r="C18343" s="85"/>
      <c r="F18343" s="92"/>
      <c r="G18343" s="85"/>
    </row>
    <row r="18344">
      <c r="A18344" s="84"/>
      <c r="B18344" s="85"/>
      <c r="C18344" s="85"/>
      <c r="F18344" s="92"/>
      <c r="G18344" s="85"/>
    </row>
    <row r="18345">
      <c r="A18345" s="84"/>
      <c r="B18345" s="85"/>
      <c r="C18345" s="85"/>
      <c r="F18345" s="92"/>
      <c r="G18345" s="85"/>
    </row>
    <row r="18346">
      <c r="A18346" s="84"/>
      <c r="B18346" s="85"/>
      <c r="C18346" s="85"/>
      <c r="F18346" s="92"/>
      <c r="G18346" s="85"/>
    </row>
    <row r="18347">
      <c r="A18347" s="84"/>
      <c r="B18347" s="85"/>
      <c r="C18347" s="85"/>
      <c r="F18347" s="92"/>
      <c r="G18347" s="85"/>
    </row>
    <row r="18348">
      <c r="A18348" s="84"/>
      <c r="B18348" s="85"/>
      <c r="C18348" s="85"/>
      <c r="F18348" s="92"/>
      <c r="G18348" s="85"/>
    </row>
    <row r="18349">
      <c r="A18349" s="84"/>
      <c r="B18349" s="85"/>
      <c r="C18349" s="85"/>
      <c r="F18349" s="92"/>
      <c r="G18349" s="85"/>
    </row>
    <row r="18350">
      <c r="A18350" s="84"/>
      <c r="B18350" s="85"/>
      <c r="C18350" s="85"/>
      <c r="F18350" s="92"/>
      <c r="G18350" s="85"/>
    </row>
    <row r="18351">
      <c r="A18351" s="84"/>
      <c r="B18351" s="85"/>
      <c r="C18351" s="85"/>
      <c r="F18351" s="92"/>
      <c r="G18351" s="85"/>
    </row>
    <row r="18352">
      <c r="A18352" s="84"/>
      <c r="B18352" s="85"/>
      <c r="C18352" s="85"/>
      <c r="F18352" s="92"/>
      <c r="G18352" s="85"/>
    </row>
    <row r="18353">
      <c r="A18353" s="84"/>
      <c r="B18353" s="85"/>
      <c r="C18353" s="85"/>
      <c r="F18353" s="92"/>
      <c r="G18353" s="85"/>
    </row>
    <row r="18354">
      <c r="A18354" s="84"/>
      <c r="B18354" s="85"/>
      <c r="C18354" s="85"/>
      <c r="F18354" s="92"/>
      <c r="G18354" s="85"/>
    </row>
    <row r="18355">
      <c r="A18355" s="84"/>
      <c r="B18355" s="85"/>
      <c r="C18355" s="85"/>
      <c r="F18355" s="92"/>
      <c r="G18355" s="85"/>
    </row>
    <row r="18356">
      <c r="A18356" s="84"/>
      <c r="B18356" s="85"/>
      <c r="C18356" s="85"/>
      <c r="F18356" s="92"/>
      <c r="G18356" s="85"/>
    </row>
    <row r="18357">
      <c r="A18357" s="84"/>
      <c r="B18357" s="85"/>
      <c r="C18357" s="85"/>
      <c r="F18357" s="92"/>
      <c r="G18357" s="85"/>
    </row>
    <row r="18358">
      <c r="A18358" s="84"/>
      <c r="B18358" s="85"/>
      <c r="C18358" s="85"/>
      <c r="F18358" s="92"/>
      <c r="G18358" s="85"/>
    </row>
    <row r="18359">
      <c r="A18359" s="84"/>
      <c r="B18359" s="85"/>
      <c r="C18359" s="85"/>
      <c r="F18359" s="92"/>
      <c r="G18359" s="85"/>
    </row>
    <row r="18360">
      <c r="A18360" s="84"/>
      <c r="B18360" s="85"/>
      <c r="C18360" s="85"/>
      <c r="F18360" s="92"/>
      <c r="G18360" s="85"/>
    </row>
    <row r="18361">
      <c r="A18361" s="84"/>
      <c r="B18361" s="85"/>
      <c r="C18361" s="85"/>
      <c r="F18361" s="92"/>
      <c r="G18361" s="85"/>
    </row>
    <row r="18362">
      <c r="A18362" s="84"/>
      <c r="B18362" s="85"/>
      <c r="C18362" s="85"/>
      <c r="F18362" s="92"/>
      <c r="G18362" s="85"/>
    </row>
    <row r="18363">
      <c r="A18363" s="84"/>
      <c r="B18363" s="85"/>
      <c r="C18363" s="85"/>
      <c r="F18363" s="92"/>
      <c r="G18363" s="85"/>
    </row>
    <row r="18364">
      <c r="A18364" s="84"/>
      <c r="B18364" s="85"/>
      <c r="C18364" s="85"/>
      <c r="F18364" s="92"/>
      <c r="G18364" s="85"/>
    </row>
    <row r="18365">
      <c r="A18365" s="84"/>
      <c r="B18365" s="85"/>
      <c r="C18365" s="85"/>
      <c r="F18365" s="92"/>
      <c r="G18365" s="85"/>
    </row>
    <row r="18366">
      <c r="A18366" s="84"/>
      <c r="B18366" s="85"/>
      <c r="C18366" s="85"/>
      <c r="F18366" s="92"/>
      <c r="G18366" s="85"/>
    </row>
    <row r="18367">
      <c r="A18367" s="84"/>
      <c r="B18367" s="85"/>
      <c r="C18367" s="85"/>
      <c r="F18367" s="92"/>
      <c r="G18367" s="85"/>
    </row>
    <row r="18368">
      <c r="A18368" s="84"/>
      <c r="B18368" s="85"/>
      <c r="C18368" s="85"/>
      <c r="F18368" s="92"/>
      <c r="G18368" s="85"/>
    </row>
    <row r="18369">
      <c r="A18369" s="84"/>
      <c r="B18369" s="85"/>
      <c r="C18369" s="85"/>
      <c r="F18369" s="92"/>
      <c r="G18369" s="85"/>
    </row>
    <row r="18370">
      <c r="A18370" s="84"/>
      <c r="B18370" s="85"/>
      <c r="C18370" s="85"/>
      <c r="F18370" s="92"/>
      <c r="G18370" s="85"/>
    </row>
    <row r="18371">
      <c r="A18371" s="84"/>
      <c r="B18371" s="85"/>
      <c r="C18371" s="85"/>
      <c r="F18371" s="92"/>
      <c r="G18371" s="85"/>
    </row>
    <row r="18372">
      <c r="A18372" s="84"/>
      <c r="B18372" s="85"/>
      <c r="C18372" s="85"/>
      <c r="F18372" s="92"/>
      <c r="G18372" s="85"/>
    </row>
    <row r="18373">
      <c r="A18373" s="84"/>
      <c r="B18373" s="85"/>
      <c r="C18373" s="85"/>
      <c r="F18373" s="92"/>
      <c r="G18373" s="85"/>
    </row>
    <row r="18374">
      <c r="A18374" s="84"/>
      <c r="B18374" s="85"/>
      <c r="C18374" s="85"/>
      <c r="F18374" s="92"/>
      <c r="G18374" s="85"/>
    </row>
    <row r="18375">
      <c r="A18375" s="84"/>
      <c r="B18375" s="85"/>
      <c r="C18375" s="85"/>
      <c r="F18375" s="92"/>
      <c r="G18375" s="85"/>
    </row>
    <row r="18376">
      <c r="A18376" s="84"/>
      <c r="B18376" s="85"/>
      <c r="C18376" s="85"/>
      <c r="F18376" s="92"/>
      <c r="G18376" s="85"/>
    </row>
    <row r="18377">
      <c r="A18377" s="84"/>
      <c r="B18377" s="85"/>
      <c r="C18377" s="85"/>
      <c r="F18377" s="92"/>
      <c r="G18377" s="85"/>
    </row>
    <row r="18378">
      <c r="A18378" s="84"/>
      <c r="B18378" s="85"/>
      <c r="C18378" s="85"/>
      <c r="F18378" s="92"/>
      <c r="G18378" s="85"/>
    </row>
    <row r="18379">
      <c r="A18379" s="84"/>
      <c r="B18379" s="85"/>
      <c r="C18379" s="85"/>
      <c r="F18379" s="92"/>
      <c r="G18379" s="85"/>
    </row>
    <row r="18380">
      <c r="A18380" s="84"/>
      <c r="B18380" s="85"/>
      <c r="C18380" s="85"/>
      <c r="F18380" s="92"/>
      <c r="G18380" s="85"/>
    </row>
    <row r="18381">
      <c r="A18381" s="84"/>
      <c r="B18381" s="85"/>
      <c r="C18381" s="85"/>
      <c r="F18381" s="92"/>
      <c r="G18381" s="85"/>
    </row>
    <row r="18382">
      <c r="A18382" s="84"/>
      <c r="B18382" s="85"/>
      <c r="C18382" s="85"/>
      <c r="F18382" s="92"/>
      <c r="G18382" s="85"/>
    </row>
    <row r="18383">
      <c r="A18383" s="84"/>
      <c r="B18383" s="85"/>
      <c r="C18383" s="85"/>
      <c r="F18383" s="92"/>
      <c r="G18383" s="85"/>
    </row>
    <row r="18384">
      <c r="A18384" s="84"/>
      <c r="B18384" s="85"/>
      <c r="C18384" s="85"/>
      <c r="F18384" s="92"/>
      <c r="G18384" s="85"/>
    </row>
    <row r="18385">
      <c r="A18385" s="84"/>
      <c r="B18385" s="85"/>
      <c r="C18385" s="85"/>
      <c r="F18385" s="92"/>
      <c r="G18385" s="85"/>
    </row>
    <row r="18386">
      <c r="A18386" s="84"/>
      <c r="B18386" s="85"/>
      <c r="C18386" s="85"/>
      <c r="F18386" s="92"/>
      <c r="G18386" s="85"/>
    </row>
    <row r="18387">
      <c r="A18387" s="84"/>
      <c r="B18387" s="85"/>
      <c r="C18387" s="85"/>
      <c r="F18387" s="92"/>
      <c r="G18387" s="85"/>
    </row>
    <row r="18388">
      <c r="A18388" s="84"/>
      <c r="B18388" s="85"/>
      <c r="C18388" s="85"/>
      <c r="F18388" s="92"/>
      <c r="G18388" s="85"/>
    </row>
    <row r="18389">
      <c r="A18389" s="84"/>
      <c r="B18389" s="85"/>
      <c r="C18389" s="85"/>
      <c r="F18389" s="92"/>
      <c r="G18389" s="85"/>
    </row>
    <row r="18390">
      <c r="A18390" s="84"/>
      <c r="B18390" s="85"/>
      <c r="C18390" s="85"/>
      <c r="F18390" s="92"/>
      <c r="G18390" s="85"/>
    </row>
    <row r="18391">
      <c r="A18391" s="84"/>
      <c r="B18391" s="85"/>
      <c r="C18391" s="85"/>
      <c r="F18391" s="92"/>
      <c r="G18391" s="85"/>
    </row>
    <row r="18392">
      <c r="A18392" s="84"/>
      <c r="B18392" s="85"/>
      <c r="C18392" s="85"/>
      <c r="F18392" s="92"/>
      <c r="G18392" s="85"/>
    </row>
    <row r="18393">
      <c r="A18393" s="84"/>
      <c r="B18393" s="85"/>
      <c r="C18393" s="85"/>
      <c r="F18393" s="92"/>
      <c r="G18393" s="85"/>
    </row>
    <row r="18394">
      <c r="A18394" s="84"/>
      <c r="B18394" s="85"/>
      <c r="C18394" s="85"/>
      <c r="F18394" s="92"/>
      <c r="G18394" s="85"/>
    </row>
    <row r="18395">
      <c r="A18395" s="84"/>
      <c r="B18395" s="85"/>
      <c r="C18395" s="85"/>
      <c r="F18395" s="92"/>
      <c r="G18395" s="85"/>
    </row>
    <row r="18396">
      <c r="A18396" s="84"/>
      <c r="B18396" s="85"/>
      <c r="C18396" s="85"/>
      <c r="F18396" s="92"/>
      <c r="G18396" s="85"/>
    </row>
    <row r="18397">
      <c r="A18397" s="84"/>
      <c r="B18397" s="85"/>
      <c r="C18397" s="85"/>
      <c r="F18397" s="92"/>
      <c r="G18397" s="85"/>
    </row>
    <row r="18398">
      <c r="A18398" s="84"/>
      <c r="B18398" s="85"/>
      <c r="C18398" s="85"/>
      <c r="F18398" s="92"/>
      <c r="G18398" s="85"/>
    </row>
    <row r="18399">
      <c r="A18399" s="84"/>
      <c r="B18399" s="85"/>
      <c r="C18399" s="85"/>
      <c r="F18399" s="92"/>
      <c r="G18399" s="85"/>
    </row>
    <row r="18400">
      <c r="A18400" s="84"/>
      <c r="B18400" s="85"/>
      <c r="C18400" s="85"/>
      <c r="F18400" s="92"/>
      <c r="G18400" s="85"/>
    </row>
    <row r="18401">
      <c r="A18401" s="84"/>
      <c r="B18401" s="85"/>
      <c r="C18401" s="85"/>
      <c r="F18401" s="92"/>
      <c r="G18401" s="85"/>
    </row>
    <row r="18402">
      <c r="A18402" s="84"/>
      <c r="B18402" s="85"/>
      <c r="C18402" s="85"/>
      <c r="F18402" s="92"/>
      <c r="G18402" s="85"/>
    </row>
    <row r="18403">
      <c r="A18403" s="84"/>
      <c r="B18403" s="85"/>
      <c r="C18403" s="85"/>
      <c r="F18403" s="92"/>
      <c r="G18403" s="85"/>
    </row>
    <row r="18404">
      <c r="A18404" s="84"/>
      <c r="B18404" s="85"/>
      <c r="C18404" s="85"/>
      <c r="F18404" s="92"/>
      <c r="G18404" s="85"/>
    </row>
    <row r="18405">
      <c r="A18405" s="84"/>
      <c r="B18405" s="85"/>
      <c r="C18405" s="85"/>
      <c r="F18405" s="92"/>
      <c r="G18405" s="85"/>
    </row>
    <row r="18406">
      <c r="A18406" s="84"/>
      <c r="B18406" s="85"/>
      <c r="C18406" s="85"/>
      <c r="F18406" s="92"/>
      <c r="G18406" s="85"/>
    </row>
    <row r="18407">
      <c r="A18407" s="84"/>
      <c r="B18407" s="85"/>
      <c r="C18407" s="85"/>
      <c r="F18407" s="92"/>
      <c r="G18407" s="85"/>
    </row>
    <row r="18408">
      <c r="A18408" s="84"/>
      <c r="B18408" s="85"/>
      <c r="C18408" s="85"/>
      <c r="F18408" s="92"/>
      <c r="G18408" s="85"/>
    </row>
    <row r="18409">
      <c r="A18409" s="84"/>
      <c r="B18409" s="85"/>
      <c r="C18409" s="85"/>
      <c r="F18409" s="92"/>
      <c r="G18409" s="85"/>
    </row>
    <row r="18410">
      <c r="A18410" s="84"/>
      <c r="B18410" s="85"/>
      <c r="C18410" s="85"/>
      <c r="F18410" s="92"/>
      <c r="G18410" s="85"/>
    </row>
    <row r="18411">
      <c r="A18411" s="84"/>
      <c r="B18411" s="85"/>
      <c r="C18411" s="85"/>
      <c r="F18411" s="92"/>
      <c r="G18411" s="85"/>
    </row>
    <row r="18412">
      <c r="A18412" s="84"/>
      <c r="B18412" s="85"/>
      <c r="C18412" s="85"/>
      <c r="F18412" s="92"/>
      <c r="G18412" s="85"/>
    </row>
    <row r="18413">
      <c r="A18413" s="84"/>
      <c r="B18413" s="85"/>
      <c r="C18413" s="85"/>
      <c r="F18413" s="92"/>
      <c r="G18413" s="85"/>
    </row>
    <row r="18414">
      <c r="A18414" s="84"/>
      <c r="B18414" s="85"/>
      <c r="C18414" s="85"/>
      <c r="F18414" s="92"/>
      <c r="G18414" s="85"/>
    </row>
    <row r="18415">
      <c r="A18415" s="84"/>
      <c r="B18415" s="85"/>
      <c r="C18415" s="85"/>
      <c r="F18415" s="92"/>
      <c r="G18415" s="85"/>
    </row>
    <row r="18416">
      <c r="A18416" s="84"/>
      <c r="B18416" s="85"/>
      <c r="C18416" s="85"/>
      <c r="F18416" s="92"/>
      <c r="G18416" s="85"/>
    </row>
    <row r="18417">
      <c r="A18417" s="84"/>
      <c r="B18417" s="85"/>
      <c r="C18417" s="85"/>
      <c r="F18417" s="92"/>
      <c r="G18417" s="85"/>
    </row>
    <row r="18418">
      <c r="A18418" s="84"/>
      <c r="B18418" s="85"/>
      <c r="C18418" s="85"/>
      <c r="F18418" s="92"/>
      <c r="G18418" s="85"/>
    </row>
    <row r="18419">
      <c r="A18419" s="84"/>
      <c r="B18419" s="85"/>
      <c r="C18419" s="85"/>
      <c r="F18419" s="92"/>
      <c r="G18419" s="85"/>
    </row>
    <row r="18420">
      <c r="A18420" s="84"/>
      <c r="B18420" s="85"/>
      <c r="C18420" s="85"/>
      <c r="F18420" s="92"/>
      <c r="G18420" s="85"/>
    </row>
    <row r="18421">
      <c r="A18421" s="84"/>
      <c r="B18421" s="85"/>
      <c r="C18421" s="85"/>
      <c r="F18421" s="92"/>
      <c r="G18421" s="85"/>
    </row>
    <row r="18422">
      <c r="A18422" s="84"/>
      <c r="B18422" s="85"/>
      <c r="C18422" s="85"/>
      <c r="F18422" s="92"/>
      <c r="G18422" s="85"/>
    </row>
    <row r="18423">
      <c r="A18423" s="84"/>
      <c r="B18423" s="85"/>
      <c r="C18423" s="85"/>
      <c r="F18423" s="92"/>
      <c r="G18423" s="85"/>
    </row>
    <row r="18424">
      <c r="A18424" s="84"/>
      <c r="B18424" s="85"/>
      <c r="C18424" s="85"/>
      <c r="F18424" s="92"/>
      <c r="G18424" s="85"/>
    </row>
    <row r="18425">
      <c r="A18425" s="84"/>
      <c r="B18425" s="85"/>
      <c r="C18425" s="85"/>
      <c r="F18425" s="92"/>
      <c r="G18425" s="85"/>
    </row>
    <row r="18426">
      <c r="A18426" s="84"/>
      <c r="B18426" s="85"/>
      <c r="C18426" s="85"/>
      <c r="F18426" s="92"/>
      <c r="G18426" s="85"/>
    </row>
    <row r="18427">
      <c r="A18427" s="84"/>
      <c r="B18427" s="85"/>
      <c r="C18427" s="85"/>
      <c r="F18427" s="92"/>
      <c r="G18427" s="85"/>
    </row>
    <row r="18428">
      <c r="A18428" s="84"/>
      <c r="B18428" s="85"/>
      <c r="C18428" s="85"/>
      <c r="F18428" s="92"/>
      <c r="G18428" s="85"/>
    </row>
    <row r="18429">
      <c r="A18429" s="84"/>
      <c r="B18429" s="85"/>
      <c r="C18429" s="85"/>
      <c r="F18429" s="92"/>
      <c r="G18429" s="85"/>
    </row>
    <row r="18430">
      <c r="A18430" s="84"/>
      <c r="B18430" s="85"/>
      <c r="C18430" s="85"/>
      <c r="F18430" s="92"/>
      <c r="G18430" s="85"/>
    </row>
    <row r="18431">
      <c r="A18431" s="84"/>
      <c r="B18431" s="85"/>
      <c r="C18431" s="85"/>
      <c r="F18431" s="92"/>
      <c r="G18431" s="85"/>
    </row>
    <row r="18432">
      <c r="A18432" s="84"/>
      <c r="B18432" s="85"/>
      <c r="C18432" s="85"/>
      <c r="F18432" s="92"/>
      <c r="G18432" s="85"/>
    </row>
    <row r="18433">
      <c r="A18433" s="84"/>
      <c r="B18433" s="85"/>
      <c r="C18433" s="85"/>
      <c r="F18433" s="92"/>
      <c r="G18433" s="85"/>
    </row>
    <row r="18434">
      <c r="A18434" s="84"/>
      <c r="B18434" s="85"/>
      <c r="C18434" s="85"/>
      <c r="F18434" s="92"/>
      <c r="G18434" s="85"/>
    </row>
    <row r="18435">
      <c r="A18435" s="84"/>
      <c r="B18435" s="85"/>
      <c r="C18435" s="85"/>
      <c r="F18435" s="92"/>
      <c r="G18435" s="85"/>
    </row>
    <row r="18436">
      <c r="A18436" s="84"/>
      <c r="B18436" s="85"/>
      <c r="C18436" s="85"/>
      <c r="F18436" s="92"/>
      <c r="G18436" s="85"/>
    </row>
    <row r="18437">
      <c r="A18437" s="84"/>
      <c r="B18437" s="85"/>
      <c r="C18437" s="85"/>
      <c r="F18437" s="92"/>
      <c r="G18437" s="85"/>
    </row>
    <row r="18438">
      <c r="A18438" s="84"/>
      <c r="B18438" s="85"/>
      <c r="C18438" s="85"/>
      <c r="F18438" s="92"/>
      <c r="G18438" s="85"/>
    </row>
    <row r="18439">
      <c r="A18439" s="84"/>
      <c r="B18439" s="85"/>
      <c r="C18439" s="85"/>
      <c r="F18439" s="92"/>
      <c r="G18439" s="85"/>
    </row>
    <row r="18440">
      <c r="A18440" s="84"/>
      <c r="B18440" s="85"/>
      <c r="C18440" s="85"/>
      <c r="F18440" s="92"/>
      <c r="G18440" s="85"/>
    </row>
    <row r="18441">
      <c r="A18441" s="84"/>
      <c r="B18441" s="85"/>
      <c r="C18441" s="85"/>
      <c r="F18441" s="92"/>
      <c r="G18441" s="85"/>
    </row>
    <row r="18442">
      <c r="A18442" s="84"/>
      <c r="B18442" s="85"/>
      <c r="C18442" s="85"/>
      <c r="F18442" s="92"/>
      <c r="G18442" s="85"/>
    </row>
    <row r="18443">
      <c r="A18443" s="84"/>
      <c r="B18443" s="85"/>
      <c r="C18443" s="85"/>
      <c r="F18443" s="92"/>
      <c r="G18443" s="85"/>
    </row>
    <row r="18444">
      <c r="A18444" s="84"/>
      <c r="B18444" s="85"/>
      <c r="C18444" s="85"/>
      <c r="F18444" s="92"/>
      <c r="G18444" s="85"/>
    </row>
    <row r="18445">
      <c r="A18445" s="84"/>
      <c r="B18445" s="85"/>
      <c r="C18445" s="85"/>
      <c r="F18445" s="92"/>
      <c r="G18445" s="85"/>
    </row>
    <row r="18446">
      <c r="A18446" s="84"/>
      <c r="B18446" s="85"/>
      <c r="C18446" s="85"/>
      <c r="F18446" s="92"/>
      <c r="G18446" s="85"/>
    </row>
    <row r="18447">
      <c r="A18447" s="84"/>
      <c r="B18447" s="85"/>
      <c r="C18447" s="85"/>
      <c r="F18447" s="92"/>
      <c r="G18447" s="85"/>
    </row>
    <row r="18448">
      <c r="A18448" s="84"/>
      <c r="B18448" s="85"/>
      <c r="C18448" s="85"/>
      <c r="F18448" s="92"/>
      <c r="G18448" s="85"/>
    </row>
    <row r="18449">
      <c r="A18449" s="84"/>
      <c r="B18449" s="85"/>
      <c r="C18449" s="85"/>
      <c r="F18449" s="92"/>
      <c r="G18449" s="85"/>
    </row>
    <row r="18450">
      <c r="A18450" s="84"/>
      <c r="B18450" s="85"/>
      <c r="C18450" s="85"/>
      <c r="F18450" s="92"/>
      <c r="G18450" s="85"/>
    </row>
    <row r="18451">
      <c r="A18451" s="84"/>
      <c r="B18451" s="85"/>
      <c r="C18451" s="85"/>
      <c r="F18451" s="92"/>
      <c r="G18451" s="85"/>
    </row>
    <row r="18452">
      <c r="A18452" s="84"/>
      <c r="B18452" s="85"/>
      <c r="C18452" s="85"/>
      <c r="F18452" s="92"/>
      <c r="G18452" s="85"/>
    </row>
    <row r="18453">
      <c r="A18453" s="84"/>
      <c r="B18453" s="85"/>
      <c r="C18453" s="85"/>
      <c r="F18453" s="92"/>
      <c r="G18453" s="85"/>
    </row>
    <row r="18454">
      <c r="A18454" s="84"/>
      <c r="B18454" s="85"/>
      <c r="C18454" s="85"/>
      <c r="F18454" s="92"/>
      <c r="G18454" s="85"/>
    </row>
    <row r="18455">
      <c r="A18455" s="84"/>
      <c r="B18455" s="85"/>
      <c r="C18455" s="85"/>
      <c r="F18455" s="92"/>
      <c r="G18455" s="85"/>
    </row>
    <row r="18456">
      <c r="A18456" s="84"/>
      <c r="B18456" s="85"/>
      <c r="C18456" s="85"/>
      <c r="F18456" s="92"/>
      <c r="G18456" s="85"/>
    </row>
    <row r="18457">
      <c r="A18457" s="84"/>
      <c r="B18457" s="85"/>
      <c r="C18457" s="85"/>
      <c r="F18457" s="92"/>
      <c r="G18457" s="85"/>
    </row>
    <row r="18458">
      <c r="A18458" s="84"/>
      <c r="B18458" s="85"/>
      <c r="C18458" s="85"/>
      <c r="F18458" s="92"/>
      <c r="G18458" s="85"/>
    </row>
    <row r="18459">
      <c r="A18459" s="84"/>
      <c r="B18459" s="85"/>
      <c r="C18459" s="85"/>
      <c r="F18459" s="92"/>
      <c r="G18459" s="85"/>
    </row>
    <row r="18460">
      <c r="A18460" s="84"/>
      <c r="B18460" s="85"/>
      <c r="C18460" s="85"/>
      <c r="F18460" s="92"/>
      <c r="G18460" s="85"/>
    </row>
    <row r="18461">
      <c r="A18461" s="84"/>
      <c r="B18461" s="85"/>
      <c r="C18461" s="85"/>
      <c r="F18461" s="92"/>
      <c r="G18461" s="85"/>
    </row>
    <row r="18462">
      <c r="A18462" s="84"/>
      <c r="B18462" s="85"/>
      <c r="C18462" s="85"/>
      <c r="F18462" s="92"/>
      <c r="G18462" s="85"/>
    </row>
    <row r="18463">
      <c r="A18463" s="84"/>
      <c r="B18463" s="85"/>
      <c r="C18463" s="85"/>
      <c r="F18463" s="92"/>
      <c r="G18463" s="85"/>
    </row>
    <row r="18464">
      <c r="A18464" s="84"/>
      <c r="B18464" s="85"/>
      <c r="C18464" s="85"/>
      <c r="F18464" s="92"/>
      <c r="G18464" s="85"/>
    </row>
    <row r="18465">
      <c r="A18465" s="84"/>
      <c r="B18465" s="85"/>
      <c r="C18465" s="85"/>
      <c r="F18465" s="92"/>
      <c r="G18465" s="85"/>
    </row>
    <row r="18466">
      <c r="A18466" s="84"/>
      <c r="B18466" s="85"/>
      <c r="C18466" s="85"/>
      <c r="F18466" s="92"/>
      <c r="G18466" s="85"/>
    </row>
    <row r="18467">
      <c r="A18467" s="84"/>
      <c r="B18467" s="85"/>
      <c r="C18467" s="85"/>
      <c r="F18467" s="92"/>
      <c r="G18467" s="85"/>
    </row>
    <row r="18468">
      <c r="A18468" s="84"/>
      <c r="B18468" s="85"/>
      <c r="C18468" s="85"/>
      <c r="F18468" s="92"/>
      <c r="G18468" s="85"/>
    </row>
    <row r="18469">
      <c r="A18469" s="84"/>
      <c r="B18469" s="85"/>
      <c r="C18469" s="85"/>
      <c r="F18469" s="92"/>
      <c r="G18469" s="85"/>
    </row>
    <row r="18470">
      <c r="A18470" s="84"/>
      <c r="B18470" s="85"/>
      <c r="C18470" s="85"/>
      <c r="F18470" s="92"/>
      <c r="G18470" s="85"/>
    </row>
    <row r="18471">
      <c r="A18471" s="84"/>
      <c r="B18471" s="85"/>
      <c r="C18471" s="85"/>
      <c r="F18471" s="92"/>
      <c r="G18471" s="85"/>
    </row>
    <row r="18472">
      <c r="A18472" s="84"/>
      <c r="B18472" s="85"/>
      <c r="C18472" s="85"/>
      <c r="F18472" s="92"/>
      <c r="G18472" s="85"/>
    </row>
    <row r="18473">
      <c r="A18473" s="84"/>
      <c r="B18473" s="85"/>
      <c r="C18473" s="85"/>
      <c r="F18473" s="92"/>
      <c r="G18473" s="85"/>
    </row>
    <row r="18474">
      <c r="A18474" s="84"/>
      <c r="B18474" s="85"/>
      <c r="C18474" s="85"/>
      <c r="F18474" s="92"/>
      <c r="G18474" s="85"/>
    </row>
    <row r="18475">
      <c r="A18475" s="84"/>
      <c r="B18475" s="85"/>
      <c r="C18475" s="85"/>
      <c r="F18475" s="92"/>
      <c r="G18475" s="85"/>
    </row>
    <row r="18476">
      <c r="A18476" s="84"/>
      <c r="B18476" s="85"/>
      <c r="C18476" s="85"/>
      <c r="F18476" s="92"/>
      <c r="G18476" s="85"/>
    </row>
    <row r="18477">
      <c r="A18477" s="84"/>
      <c r="B18477" s="85"/>
      <c r="C18477" s="85"/>
      <c r="F18477" s="92"/>
      <c r="G18477" s="85"/>
    </row>
    <row r="18478">
      <c r="A18478" s="84"/>
      <c r="B18478" s="85"/>
      <c r="C18478" s="85"/>
      <c r="F18478" s="92"/>
      <c r="G18478" s="85"/>
    </row>
    <row r="18479">
      <c r="A18479" s="84"/>
      <c r="B18479" s="85"/>
      <c r="C18479" s="85"/>
      <c r="F18479" s="92"/>
      <c r="G18479" s="85"/>
    </row>
    <row r="18480">
      <c r="A18480" s="84"/>
      <c r="B18480" s="85"/>
      <c r="C18480" s="85"/>
      <c r="F18480" s="92"/>
      <c r="G18480" s="85"/>
    </row>
    <row r="18481">
      <c r="A18481" s="84"/>
      <c r="B18481" s="85"/>
      <c r="C18481" s="85"/>
      <c r="F18481" s="92"/>
      <c r="G18481" s="85"/>
    </row>
    <row r="18482">
      <c r="A18482" s="84"/>
      <c r="B18482" s="85"/>
      <c r="C18482" s="85"/>
      <c r="F18482" s="92"/>
      <c r="G18482" s="85"/>
    </row>
    <row r="18483">
      <c r="A18483" s="84"/>
      <c r="B18483" s="85"/>
      <c r="C18483" s="85"/>
      <c r="F18483" s="92"/>
      <c r="G18483" s="85"/>
    </row>
    <row r="18484">
      <c r="A18484" s="84"/>
      <c r="B18484" s="85"/>
      <c r="C18484" s="85"/>
      <c r="F18484" s="92"/>
      <c r="G18484" s="85"/>
    </row>
    <row r="18485">
      <c r="A18485" s="84"/>
      <c r="B18485" s="85"/>
      <c r="C18485" s="85"/>
      <c r="F18485" s="92"/>
      <c r="G18485" s="85"/>
    </row>
    <row r="18486">
      <c r="A18486" s="84"/>
      <c r="B18486" s="85"/>
      <c r="C18486" s="85"/>
      <c r="F18486" s="92"/>
      <c r="G18486" s="85"/>
    </row>
    <row r="18487">
      <c r="A18487" s="84"/>
      <c r="B18487" s="85"/>
      <c r="C18487" s="85"/>
      <c r="F18487" s="92"/>
      <c r="G18487" s="85"/>
    </row>
    <row r="18488">
      <c r="A18488" s="84"/>
      <c r="B18488" s="85"/>
      <c r="C18488" s="85"/>
      <c r="F18488" s="92"/>
      <c r="G18488" s="85"/>
    </row>
    <row r="18489">
      <c r="A18489" s="84"/>
      <c r="B18489" s="85"/>
      <c r="C18489" s="85"/>
      <c r="F18489" s="92"/>
      <c r="G18489" s="85"/>
    </row>
    <row r="18490">
      <c r="A18490" s="84"/>
      <c r="B18490" s="85"/>
      <c r="C18490" s="85"/>
      <c r="F18490" s="92"/>
      <c r="G18490" s="85"/>
    </row>
    <row r="18491">
      <c r="A18491" s="84"/>
      <c r="B18491" s="85"/>
      <c r="C18491" s="85"/>
      <c r="F18491" s="92"/>
      <c r="G18491" s="85"/>
    </row>
    <row r="18492">
      <c r="A18492" s="84"/>
      <c r="B18492" s="85"/>
      <c r="C18492" s="85"/>
      <c r="F18492" s="92"/>
      <c r="G18492" s="85"/>
    </row>
    <row r="18493">
      <c r="A18493" s="84"/>
      <c r="B18493" s="85"/>
      <c r="C18493" s="85"/>
      <c r="F18493" s="92"/>
      <c r="G18493" s="85"/>
    </row>
    <row r="18494">
      <c r="A18494" s="84"/>
      <c r="B18494" s="85"/>
      <c r="C18494" s="85"/>
      <c r="F18494" s="92"/>
      <c r="G18494" s="85"/>
    </row>
    <row r="18495">
      <c r="A18495" s="84"/>
      <c r="B18495" s="85"/>
      <c r="C18495" s="85"/>
      <c r="F18495" s="92"/>
      <c r="G18495" s="85"/>
    </row>
    <row r="18496">
      <c r="A18496" s="84"/>
      <c r="B18496" s="85"/>
      <c r="C18496" s="85"/>
      <c r="F18496" s="92"/>
      <c r="G18496" s="85"/>
    </row>
    <row r="18497">
      <c r="A18497" s="84"/>
      <c r="B18497" s="85"/>
      <c r="C18497" s="85"/>
      <c r="F18497" s="92"/>
      <c r="G18497" s="85"/>
    </row>
    <row r="18498">
      <c r="A18498" s="84"/>
      <c r="B18498" s="85"/>
      <c r="C18498" s="85"/>
      <c r="F18498" s="92"/>
      <c r="G18498" s="85"/>
    </row>
    <row r="18499">
      <c r="A18499" s="84"/>
      <c r="B18499" s="85"/>
      <c r="C18499" s="85"/>
      <c r="F18499" s="92"/>
      <c r="G18499" s="85"/>
    </row>
    <row r="18500">
      <c r="A18500" s="84"/>
      <c r="B18500" s="85"/>
      <c r="C18500" s="85"/>
      <c r="F18500" s="92"/>
      <c r="G18500" s="85"/>
    </row>
    <row r="18501">
      <c r="A18501" s="84"/>
      <c r="B18501" s="85"/>
      <c r="C18501" s="85"/>
      <c r="F18501" s="92"/>
      <c r="G18501" s="85"/>
    </row>
    <row r="18502">
      <c r="A18502" s="84"/>
      <c r="B18502" s="85"/>
      <c r="C18502" s="85"/>
      <c r="F18502" s="92"/>
      <c r="G18502" s="85"/>
    </row>
    <row r="18503">
      <c r="A18503" s="84"/>
      <c r="B18503" s="85"/>
      <c r="C18503" s="85"/>
      <c r="F18503" s="92"/>
      <c r="G18503" s="85"/>
    </row>
    <row r="18504">
      <c r="A18504" s="84"/>
      <c r="B18504" s="85"/>
      <c r="C18504" s="85"/>
      <c r="F18504" s="92"/>
      <c r="G18504" s="85"/>
    </row>
    <row r="18505">
      <c r="A18505" s="84"/>
      <c r="B18505" s="85"/>
      <c r="C18505" s="85"/>
      <c r="F18505" s="92"/>
      <c r="G18505" s="85"/>
    </row>
    <row r="18506">
      <c r="A18506" s="84"/>
      <c r="B18506" s="85"/>
      <c r="C18506" s="85"/>
      <c r="F18506" s="92"/>
      <c r="G18506" s="85"/>
    </row>
    <row r="18507">
      <c r="A18507" s="84"/>
      <c r="B18507" s="85"/>
      <c r="C18507" s="85"/>
      <c r="F18507" s="92"/>
      <c r="G18507" s="85"/>
    </row>
    <row r="18508">
      <c r="A18508" s="84"/>
      <c r="B18508" s="85"/>
      <c r="C18508" s="85"/>
      <c r="F18508" s="92"/>
      <c r="G18508" s="85"/>
    </row>
    <row r="18509">
      <c r="A18509" s="84"/>
      <c r="B18509" s="85"/>
      <c r="C18509" s="85"/>
      <c r="F18509" s="92"/>
      <c r="G18509" s="85"/>
    </row>
    <row r="18510">
      <c r="A18510" s="84"/>
      <c r="B18510" s="85"/>
      <c r="C18510" s="85"/>
      <c r="F18510" s="92"/>
      <c r="G18510" s="85"/>
    </row>
    <row r="18511">
      <c r="A18511" s="84"/>
      <c r="B18511" s="85"/>
      <c r="C18511" s="85"/>
      <c r="F18511" s="92"/>
      <c r="G18511" s="85"/>
    </row>
    <row r="18512">
      <c r="A18512" s="84"/>
      <c r="B18512" s="85"/>
      <c r="C18512" s="85"/>
      <c r="F18512" s="92"/>
      <c r="G18512" s="85"/>
    </row>
    <row r="18513">
      <c r="A18513" s="84"/>
      <c r="B18513" s="85"/>
      <c r="C18513" s="85"/>
      <c r="F18513" s="92"/>
      <c r="G18513" s="85"/>
    </row>
    <row r="18514">
      <c r="A18514" s="84"/>
      <c r="B18514" s="85"/>
      <c r="C18514" s="85"/>
      <c r="F18514" s="92"/>
      <c r="G18514" s="85"/>
    </row>
    <row r="18515">
      <c r="A18515" s="84"/>
      <c r="B18515" s="85"/>
      <c r="C18515" s="85"/>
      <c r="F18515" s="92"/>
      <c r="G18515" s="85"/>
    </row>
    <row r="18516">
      <c r="A18516" s="84"/>
      <c r="B18516" s="85"/>
      <c r="C18516" s="85"/>
      <c r="F18516" s="92"/>
      <c r="G18516" s="85"/>
    </row>
    <row r="18517">
      <c r="A18517" s="84"/>
      <c r="B18517" s="85"/>
      <c r="C18517" s="85"/>
      <c r="F18517" s="92"/>
      <c r="G18517" s="85"/>
    </row>
    <row r="18518">
      <c r="A18518" s="84"/>
      <c r="B18518" s="85"/>
      <c r="C18518" s="85"/>
      <c r="F18518" s="92"/>
      <c r="G18518" s="85"/>
    </row>
    <row r="18519">
      <c r="A18519" s="84"/>
      <c r="B18519" s="85"/>
      <c r="C18519" s="85"/>
      <c r="F18519" s="92"/>
      <c r="G18519" s="85"/>
    </row>
    <row r="18520">
      <c r="A18520" s="84"/>
      <c r="B18520" s="85"/>
      <c r="C18520" s="85"/>
      <c r="F18520" s="92"/>
      <c r="G18520" s="85"/>
    </row>
    <row r="18521">
      <c r="A18521" s="84"/>
      <c r="B18521" s="85"/>
      <c r="C18521" s="85"/>
      <c r="F18521" s="92"/>
      <c r="G18521" s="85"/>
    </row>
    <row r="18522">
      <c r="A18522" s="84"/>
      <c r="B18522" s="85"/>
      <c r="C18522" s="85"/>
      <c r="F18522" s="92"/>
      <c r="G18522" s="85"/>
    </row>
    <row r="18523">
      <c r="A18523" s="84"/>
      <c r="B18523" s="85"/>
      <c r="C18523" s="85"/>
      <c r="F18523" s="92"/>
      <c r="G18523" s="85"/>
    </row>
    <row r="18524">
      <c r="A18524" s="84"/>
      <c r="B18524" s="85"/>
      <c r="C18524" s="85"/>
      <c r="F18524" s="92"/>
      <c r="G18524" s="85"/>
    </row>
    <row r="18525">
      <c r="A18525" s="84"/>
      <c r="B18525" s="85"/>
      <c r="C18525" s="85"/>
      <c r="F18525" s="92"/>
      <c r="G18525" s="85"/>
    </row>
    <row r="18526">
      <c r="A18526" s="84"/>
      <c r="B18526" s="85"/>
      <c r="C18526" s="85"/>
      <c r="F18526" s="92"/>
      <c r="G18526" s="85"/>
    </row>
    <row r="18527">
      <c r="A18527" s="84"/>
      <c r="B18527" s="85"/>
      <c r="C18527" s="85"/>
      <c r="F18527" s="92"/>
      <c r="G18527" s="85"/>
    </row>
    <row r="18528">
      <c r="A18528" s="84"/>
      <c r="B18528" s="85"/>
      <c r="C18528" s="85"/>
      <c r="F18528" s="92"/>
      <c r="G18528" s="85"/>
    </row>
    <row r="18529">
      <c r="A18529" s="84"/>
      <c r="B18529" s="85"/>
      <c r="C18529" s="85"/>
      <c r="F18529" s="92"/>
      <c r="G18529" s="85"/>
    </row>
    <row r="18530">
      <c r="A18530" s="84"/>
      <c r="B18530" s="85"/>
      <c r="C18530" s="85"/>
      <c r="F18530" s="92"/>
      <c r="G18530" s="85"/>
    </row>
    <row r="18531">
      <c r="A18531" s="84"/>
      <c r="B18531" s="85"/>
      <c r="C18531" s="85"/>
      <c r="F18531" s="92"/>
      <c r="G18531" s="85"/>
    </row>
    <row r="18532">
      <c r="A18532" s="84"/>
      <c r="B18532" s="85"/>
      <c r="C18532" s="85"/>
      <c r="F18532" s="92"/>
      <c r="G18532" s="85"/>
    </row>
    <row r="18533">
      <c r="A18533" s="84"/>
      <c r="B18533" s="85"/>
      <c r="C18533" s="85"/>
      <c r="F18533" s="92"/>
      <c r="G18533" s="85"/>
    </row>
    <row r="18534">
      <c r="A18534" s="84"/>
      <c r="B18534" s="85"/>
      <c r="C18534" s="85"/>
      <c r="F18534" s="92"/>
      <c r="G18534" s="85"/>
    </row>
    <row r="18535">
      <c r="A18535" s="84"/>
      <c r="B18535" s="85"/>
      <c r="C18535" s="85"/>
      <c r="F18535" s="92"/>
      <c r="G18535" s="85"/>
    </row>
    <row r="18536">
      <c r="A18536" s="84"/>
      <c r="B18536" s="85"/>
      <c r="C18536" s="85"/>
      <c r="F18536" s="92"/>
      <c r="G18536" s="85"/>
    </row>
    <row r="18537">
      <c r="A18537" s="84"/>
      <c r="B18537" s="85"/>
      <c r="C18537" s="85"/>
      <c r="F18537" s="92"/>
      <c r="G18537" s="85"/>
    </row>
    <row r="18538">
      <c r="A18538" s="84"/>
      <c r="B18538" s="85"/>
      <c r="C18538" s="85"/>
      <c r="F18538" s="92"/>
      <c r="G18538" s="85"/>
    </row>
    <row r="18539">
      <c r="A18539" s="84"/>
      <c r="B18539" s="85"/>
      <c r="C18539" s="85"/>
      <c r="F18539" s="92"/>
      <c r="G18539" s="85"/>
    </row>
    <row r="18540">
      <c r="A18540" s="84"/>
      <c r="B18540" s="85"/>
      <c r="C18540" s="85"/>
      <c r="F18540" s="92"/>
      <c r="G18540" s="85"/>
    </row>
    <row r="18541">
      <c r="A18541" s="84"/>
      <c r="B18541" s="85"/>
      <c r="C18541" s="85"/>
      <c r="F18541" s="92"/>
      <c r="G18541" s="85"/>
    </row>
    <row r="18542">
      <c r="A18542" s="84"/>
      <c r="B18542" s="85"/>
      <c r="C18542" s="85"/>
      <c r="F18542" s="92"/>
      <c r="G18542" s="85"/>
    </row>
    <row r="18543">
      <c r="A18543" s="84"/>
      <c r="B18543" s="85"/>
      <c r="C18543" s="85"/>
      <c r="F18543" s="92"/>
      <c r="G18543" s="85"/>
    </row>
    <row r="18544">
      <c r="A18544" s="84"/>
      <c r="B18544" s="85"/>
      <c r="C18544" s="85"/>
      <c r="F18544" s="92"/>
      <c r="G18544" s="85"/>
    </row>
    <row r="18545">
      <c r="A18545" s="84"/>
      <c r="B18545" s="85"/>
      <c r="C18545" s="85"/>
      <c r="F18545" s="92"/>
      <c r="G18545" s="85"/>
    </row>
    <row r="18546">
      <c r="A18546" s="84"/>
      <c r="B18546" s="85"/>
      <c r="C18546" s="85"/>
      <c r="F18546" s="92"/>
      <c r="G18546" s="85"/>
    </row>
    <row r="18547">
      <c r="A18547" s="84"/>
      <c r="B18547" s="85"/>
      <c r="C18547" s="85"/>
      <c r="F18547" s="92"/>
      <c r="G18547" s="85"/>
    </row>
    <row r="18548">
      <c r="A18548" s="84"/>
      <c r="B18548" s="85"/>
      <c r="C18548" s="85"/>
      <c r="F18548" s="92"/>
      <c r="G18548" s="85"/>
    </row>
    <row r="18549">
      <c r="A18549" s="84"/>
      <c r="B18549" s="85"/>
      <c r="C18549" s="85"/>
      <c r="F18549" s="92"/>
      <c r="G18549" s="85"/>
    </row>
    <row r="18550">
      <c r="A18550" s="84"/>
      <c r="B18550" s="85"/>
      <c r="C18550" s="85"/>
      <c r="F18550" s="92"/>
      <c r="G18550" s="85"/>
    </row>
    <row r="18551">
      <c r="A18551" s="84"/>
      <c r="B18551" s="85"/>
      <c r="C18551" s="85"/>
      <c r="F18551" s="92"/>
      <c r="G18551" s="85"/>
    </row>
    <row r="18552">
      <c r="A18552" s="84"/>
      <c r="B18552" s="85"/>
      <c r="C18552" s="85"/>
      <c r="F18552" s="92"/>
      <c r="G18552" s="85"/>
    </row>
    <row r="18553">
      <c r="A18553" s="84"/>
      <c r="B18553" s="85"/>
      <c r="C18553" s="85"/>
      <c r="F18553" s="92"/>
      <c r="G18553" s="85"/>
    </row>
    <row r="18554">
      <c r="A18554" s="84"/>
      <c r="B18554" s="85"/>
      <c r="C18554" s="85"/>
      <c r="F18554" s="92"/>
      <c r="G18554" s="85"/>
    </row>
    <row r="18555">
      <c r="A18555" s="84"/>
      <c r="B18555" s="85"/>
      <c r="C18555" s="85"/>
      <c r="F18555" s="92"/>
      <c r="G18555" s="85"/>
    </row>
    <row r="18556">
      <c r="A18556" s="84"/>
      <c r="B18556" s="85"/>
      <c r="C18556" s="85"/>
      <c r="F18556" s="92"/>
      <c r="G18556" s="85"/>
    </row>
    <row r="18557">
      <c r="A18557" s="84"/>
      <c r="B18557" s="85"/>
      <c r="C18557" s="85"/>
      <c r="F18557" s="92"/>
      <c r="G18557" s="85"/>
    </row>
    <row r="18558">
      <c r="A18558" s="84"/>
      <c r="B18558" s="85"/>
      <c r="C18558" s="85"/>
      <c r="F18558" s="92"/>
      <c r="G18558" s="85"/>
    </row>
    <row r="18559">
      <c r="A18559" s="84"/>
      <c r="B18559" s="85"/>
      <c r="C18559" s="85"/>
      <c r="F18559" s="92"/>
      <c r="G18559" s="85"/>
    </row>
    <row r="18560">
      <c r="A18560" s="84"/>
      <c r="B18560" s="85"/>
      <c r="C18560" s="85"/>
      <c r="F18560" s="92"/>
      <c r="G18560" s="85"/>
    </row>
    <row r="18561">
      <c r="A18561" s="84"/>
      <c r="B18561" s="85"/>
      <c r="C18561" s="85"/>
      <c r="F18561" s="92"/>
      <c r="G18561" s="85"/>
    </row>
    <row r="18562">
      <c r="A18562" s="84"/>
      <c r="B18562" s="85"/>
      <c r="C18562" s="85"/>
      <c r="F18562" s="92"/>
      <c r="G18562" s="85"/>
    </row>
    <row r="18563">
      <c r="A18563" s="84"/>
      <c r="B18563" s="85"/>
      <c r="C18563" s="85"/>
      <c r="F18563" s="92"/>
      <c r="G18563" s="85"/>
    </row>
    <row r="18564">
      <c r="A18564" s="84"/>
      <c r="B18564" s="85"/>
      <c r="C18564" s="85"/>
      <c r="F18564" s="92"/>
      <c r="G18564" s="85"/>
    </row>
    <row r="18565">
      <c r="A18565" s="84"/>
      <c r="B18565" s="85"/>
      <c r="C18565" s="85"/>
      <c r="F18565" s="92"/>
      <c r="G18565" s="85"/>
    </row>
    <row r="18566">
      <c r="A18566" s="84"/>
      <c r="B18566" s="85"/>
      <c r="C18566" s="85"/>
      <c r="F18566" s="92"/>
      <c r="G18566" s="85"/>
    </row>
    <row r="18567">
      <c r="A18567" s="84"/>
      <c r="B18567" s="85"/>
      <c r="C18567" s="85"/>
      <c r="F18567" s="92"/>
      <c r="G18567" s="85"/>
    </row>
    <row r="18568">
      <c r="A18568" s="84"/>
      <c r="B18568" s="85"/>
      <c r="C18568" s="85"/>
      <c r="F18568" s="92"/>
      <c r="G18568" s="85"/>
    </row>
    <row r="18569">
      <c r="A18569" s="84"/>
      <c r="B18569" s="85"/>
      <c r="C18569" s="85"/>
      <c r="F18569" s="92"/>
      <c r="G18569" s="85"/>
    </row>
    <row r="18570">
      <c r="A18570" s="84"/>
      <c r="B18570" s="85"/>
      <c r="C18570" s="85"/>
      <c r="F18570" s="92"/>
      <c r="G18570" s="85"/>
    </row>
    <row r="18571">
      <c r="A18571" s="84"/>
      <c r="B18571" s="85"/>
      <c r="C18571" s="85"/>
      <c r="F18571" s="92"/>
      <c r="G18571" s="85"/>
    </row>
    <row r="18572">
      <c r="A18572" s="84"/>
      <c r="B18572" s="85"/>
      <c r="C18572" s="85"/>
      <c r="F18572" s="92"/>
      <c r="G18572" s="85"/>
    </row>
    <row r="18573">
      <c r="A18573" s="84"/>
      <c r="B18573" s="85"/>
      <c r="C18573" s="85"/>
      <c r="F18573" s="92"/>
      <c r="G18573" s="85"/>
    </row>
    <row r="18574">
      <c r="A18574" s="84"/>
      <c r="B18574" s="85"/>
      <c r="C18574" s="85"/>
      <c r="F18574" s="92"/>
      <c r="G18574" s="85"/>
    </row>
    <row r="18575">
      <c r="A18575" s="84"/>
      <c r="B18575" s="85"/>
      <c r="C18575" s="85"/>
      <c r="F18575" s="92"/>
      <c r="G18575" s="85"/>
    </row>
    <row r="18576">
      <c r="A18576" s="84"/>
      <c r="B18576" s="85"/>
      <c r="C18576" s="85"/>
      <c r="F18576" s="92"/>
      <c r="G18576" s="85"/>
    </row>
    <row r="18577">
      <c r="A18577" s="84"/>
      <c r="B18577" s="85"/>
      <c r="C18577" s="85"/>
      <c r="F18577" s="92"/>
      <c r="G18577" s="85"/>
    </row>
    <row r="18578">
      <c r="A18578" s="84"/>
      <c r="B18578" s="85"/>
      <c r="C18578" s="85"/>
      <c r="F18578" s="92"/>
      <c r="G18578" s="85"/>
    </row>
    <row r="18579">
      <c r="A18579" s="84"/>
      <c r="B18579" s="85"/>
      <c r="C18579" s="85"/>
      <c r="F18579" s="92"/>
      <c r="G18579" s="85"/>
    </row>
    <row r="18580">
      <c r="A18580" s="84"/>
      <c r="B18580" s="85"/>
      <c r="C18580" s="85"/>
      <c r="F18580" s="92"/>
      <c r="G18580" s="85"/>
    </row>
    <row r="18581">
      <c r="A18581" s="84"/>
      <c r="B18581" s="85"/>
      <c r="C18581" s="85"/>
      <c r="F18581" s="92"/>
      <c r="G18581" s="85"/>
    </row>
    <row r="18582">
      <c r="A18582" s="84"/>
      <c r="B18582" s="85"/>
      <c r="C18582" s="85"/>
      <c r="F18582" s="92"/>
      <c r="G18582" s="85"/>
    </row>
    <row r="18583">
      <c r="A18583" s="84"/>
      <c r="B18583" s="85"/>
      <c r="C18583" s="85"/>
      <c r="F18583" s="92"/>
      <c r="G18583" s="85"/>
    </row>
    <row r="18584">
      <c r="A18584" s="84"/>
      <c r="B18584" s="85"/>
      <c r="C18584" s="85"/>
      <c r="F18584" s="92"/>
      <c r="G18584" s="85"/>
    </row>
    <row r="18585">
      <c r="A18585" s="84"/>
      <c r="B18585" s="85"/>
      <c r="C18585" s="85"/>
      <c r="F18585" s="92"/>
      <c r="G18585" s="85"/>
    </row>
    <row r="18586">
      <c r="A18586" s="84"/>
      <c r="B18586" s="85"/>
      <c r="C18586" s="85"/>
      <c r="F18586" s="92"/>
      <c r="G18586" s="85"/>
    </row>
    <row r="18587">
      <c r="A18587" s="84"/>
      <c r="B18587" s="85"/>
      <c r="C18587" s="85"/>
      <c r="F18587" s="92"/>
      <c r="G18587" s="85"/>
    </row>
    <row r="18588">
      <c r="A18588" s="84"/>
      <c r="B18588" s="85"/>
      <c r="C18588" s="85"/>
      <c r="F18588" s="92"/>
      <c r="G18588" s="85"/>
    </row>
    <row r="18589">
      <c r="A18589" s="84"/>
      <c r="B18589" s="85"/>
      <c r="C18589" s="85"/>
      <c r="F18589" s="92"/>
      <c r="G18589" s="85"/>
    </row>
    <row r="18590">
      <c r="A18590" s="84"/>
      <c r="B18590" s="85"/>
      <c r="C18590" s="85"/>
      <c r="F18590" s="92"/>
      <c r="G18590" s="85"/>
    </row>
    <row r="18591">
      <c r="A18591" s="84"/>
      <c r="B18591" s="85"/>
      <c r="C18591" s="85"/>
      <c r="F18591" s="92"/>
      <c r="G18591" s="85"/>
    </row>
    <row r="18592">
      <c r="A18592" s="84"/>
      <c r="B18592" s="85"/>
      <c r="C18592" s="85"/>
      <c r="F18592" s="92"/>
      <c r="G18592" s="85"/>
    </row>
    <row r="18593">
      <c r="A18593" s="84"/>
      <c r="B18593" s="85"/>
      <c r="C18593" s="85"/>
      <c r="F18593" s="92"/>
      <c r="G18593" s="85"/>
    </row>
    <row r="18594">
      <c r="A18594" s="84"/>
      <c r="B18594" s="85"/>
      <c r="C18594" s="85"/>
      <c r="F18594" s="92"/>
      <c r="G18594" s="85"/>
    </row>
    <row r="18595">
      <c r="A18595" s="84"/>
      <c r="B18595" s="85"/>
      <c r="C18595" s="85"/>
      <c r="F18595" s="92"/>
      <c r="G18595" s="85"/>
    </row>
    <row r="18596">
      <c r="A18596" s="84"/>
      <c r="B18596" s="85"/>
      <c r="C18596" s="85"/>
      <c r="F18596" s="92"/>
      <c r="G18596" s="85"/>
    </row>
    <row r="18597">
      <c r="A18597" s="84"/>
      <c r="B18597" s="85"/>
      <c r="C18597" s="85"/>
      <c r="F18597" s="92"/>
      <c r="G18597" s="85"/>
    </row>
    <row r="18598">
      <c r="A18598" s="84"/>
      <c r="B18598" s="85"/>
      <c r="C18598" s="85"/>
      <c r="F18598" s="92"/>
      <c r="G18598" s="85"/>
    </row>
    <row r="18599">
      <c r="A18599" s="84"/>
      <c r="B18599" s="85"/>
      <c r="C18599" s="85"/>
      <c r="F18599" s="92"/>
      <c r="G18599" s="85"/>
    </row>
    <row r="18600">
      <c r="A18600" s="84"/>
      <c r="B18600" s="85"/>
      <c r="C18600" s="85"/>
      <c r="F18600" s="92"/>
      <c r="G18600" s="85"/>
    </row>
    <row r="18601">
      <c r="A18601" s="84"/>
      <c r="B18601" s="85"/>
      <c r="C18601" s="85"/>
      <c r="F18601" s="92"/>
      <c r="G18601" s="85"/>
    </row>
    <row r="18602">
      <c r="A18602" s="84"/>
      <c r="B18602" s="85"/>
      <c r="C18602" s="85"/>
      <c r="F18602" s="92"/>
      <c r="G18602" s="85"/>
    </row>
    <row r="18603">
      <c r="A18603" s="84"/>
      <c r="B18603" s="85"/>
      <c r="C18603" s="85"/>
      <c r="F18603" s="92"/>
      <c r="G18603" s="85"/>
    </row>
    <row r="18604">
      <c r="A18604" s="84"/>
      <c r="B18604" s="85"/>
      <c r="C18604" s="85"/>
      <c r="F18604" s="92"/>
      <c r="G18604" s="85"/>
    </row>
    <row r="18605">
      <c r="A18605" s="84"/>
      <c r="B18605" s="85"/>
      <c r="C18605" s="85"/>
      <c r="F18605" s="92"/>
      <c r="G18605" s="85"/>
    </row>
    <row r="18606">
      <c r="A18606" s="84"/>
      <c r="B18606" s="85"/>
      <c r="C18606" s="85"/>
      <c r="F18606" s="92"/>
      <c r="G18606" s="85"/>
    </row>
    <row r="18607">
      <c r="A18607" s="84"/>
      <c r="B18607" s="85"/>
      <c r="C18607" s="85"/>
      <c r="F18607" s="92"/>
      <c r="G18607" s="85"/>
    </row>
    <row r="18608">
      <c r="A18608" s="84"/>
      <c r="B18608" s="85"/>
      <c r="C18608" s="85"/>
      <c r="F18608" s="92"/>
      <c r="G18608" s="85"/>
    </row>
    <row r="18609">
      <c r="A18609" s="84"/>
      <c r="B18609" s="85"/>
      <c r="C18609" s="85"/>
      <c r="F18609" s="92"/>
      <c r="G18609" s="85"/>
    </row>
    <row r="18610">
      <c r="A18610" s="84"/>
      <c r="B18610" s="85"/>
      <c r="C18610" s="85"/>
      <c r="F18610" s="92"/>
      <c r="G18610" s="85"/>
    </row>
    <row r="18611">
      <c r="A18611" s="84"/>
      <c r="B18611" s="85"/>
      <c r="C18611" s="85"/>
      <c r="F18611" s="92"/>
      <c r="G18611" s="85"/>
    </row>
    <row r="18612">
      <c r="A18612" s="84"/>
      <c r="B18612" s="85"/>
      <c r="C18612" s="85"/>
      <c r="F18612" s="92"/>
      <c r="G18612" s="85"/>
    </row>
    <row r="18613">
      <c r="A18613" s="84"/>
      <c r="B18613" s="85"/>
      <c r="C18613" s="85"/>
      <c r="F18613" s="92"/>
      <c r="G18613" s="85"/>
    </row>
    <row r="18614">
      <c r="A18614" s="84"/>
      <c r="B18614" s="85"/>
      <c r="C18614" s="85"/>
      <c r="F18614" s="92"/>
      <c r="G18614" s="85"/>
    </row>
    <row r="18615">
      <c r="A18615" s="84"/>
      <c r="B18615" s="85"/>
      <c r="C18615" s="85"/>
      <c r="F18615" s="92"/>
      <c r="G18615" s="85"/>
    </row>
    <row r="18616">
      <c r="A18616" s="84"/>
      <c r="B18616" s="85"/>
      <c r="C18616" s="85"/>
      <c r="F18616" s="92"/>
      <c r="G18616" s="85"/>
    </row>
    <row r="18617">
      <c r="A18617" s="84"/>
      <c r="B18617" s="85"/>
      <c r="C18617" s="85"/>
      <c r="F18617" s="92"/>
      <c r="G18617" s="85"/>
    </row>
    <row r="18618">
      <c r="A18618" s="84"/>
      <c r="B18618" s="85"/>
      <c r="C18618" s="85"/>
      <c r="F18618" s="92"/>
      <c r="G18618" s="85"/>
    </row>
    <row r="18619">
      <c r="A18619" s="84"/>
      <c r="B18619" s="85"/>
      <c r="C18619" s="85"/>
      <c r="F18619" s="92"/>
      <c r="G18619" s="85"/>
    </row>
    <row r="18620">
      <c r="A18620" s="84"/>
      <c r="B18620" s="85"/>
      <c r="C18620" s="85"/>
      <c r="F18620" s="92"/>
      <c r="G18620" s="85"/>
    </row>
    <row r="18621">
      <c r="A18621" s="84"/>
      <c r="B18621" s="85"/>
      <c r="C18621" s="85"/>
      <c r="F18621" s="92"/>
      <c r="G18621" s="85"/>
    </row>
    <row r="18622">
      <c r="A18622" s="84"/>
      <c r="B18622" s="85"/>
      <c r="C18622" s="85"/>
      <c r="F18622" s="92"/>
      <c r="G18622" s="85"/>
    </row>
    <row r="18623">
      <c r="A18623" s="84"/>
      <c r="B18623" s="85"/>
      <c r="C18623" s="85"/>
      <c r="F18623" s="92"/>
      <c r="G18623" s="85"/>
    </row>
    <row r="18624">
      <c r="A18624" s="84"/>
      <c r="B18624" s="85"/>
      <c r="C18624" s="85"/>
      <c r="F18624" s="92"/>
      <c r="G18624" s="85"/>
    </row>
    <row r="18625">
      <c r="A18625" s="84"/>
      <c r="B18625" s="85"/>
      <c r="C18625" s="85"/>
      <c r="F18625" s="92"/>
      <c r="G18625" s="85"/>
    </row>
    <row r="18626">
      <c r="A18626" s="84"/>
      <c r="B18626" s="85"/>
      <c r="C18626" s="85"/>
      <c r="F18626" s="92"/>
      <c r="G18626" s="85"/>
    </row>
    <row r="18627">
      <c r="A18627" s="84"/>
      <c r="B18627" s="85"/>
      <c r="C18627" s="85"/>
      <c r="F18627" s="92"/>
      <c r="G18627" s="85"/>
    </row>
    <row r="18628">
      <c r="A18628" s="84"/>
      <c r="B18628" s="85"/>
      <c r="C18628" s="85"/>
      <c r="F18628" s="92"/>
      <c r="G18628" s="85"/>
    </row>
    <row r="18629">
      <c r="A18629" s="84"/>
      <c r="B18629" s="85"/>
      <c r="C18629" s="85"/>
      <c r="F18629" s="92"/>
      <c r="G18629" s="85"/>
    </row>
    <row r="18630">
      <c r="A18630" s="84"/>
      <c r="B18630" s="85"/>
      <c r="C18630" s="85"/>
      <c r="F18630" s="92"/>
      <c r="G18630" s="85"/>
    </row>
    <row r="18631">
      <c r="A18631" s="84"/>
      <c r="B18631" s="85"/>
      <c r="C18631" s="85"/>
      <c r="F18631" s="92"/>
      <c r="G18631" s="85"/>
    </row>
    <row r="18632">
      <c r="A18632" s="84"/>
      <c r="B18632" s="85"/>
      <c r="C18632" s="85"/>
      <c r="F18632" s="92"/>
      <c r="G18632" s="85"/>
    </row>
    <row r="18633">
      <c r="A18633" s="84"/>
      <c r="B18633" s="85"/>
      <c r="C18633" s="85"/>
      <c r="F18633" s="92"/>
      <c r="G18633" s="85"/>
    </row>
    <row r="18634">
      <c r="A18634" s="84"/>
      <c r="B18634" s="85"/>
      <c r="C18634" s="85"/>
      <c r="F18634" s="92"/>
      <c r="G18634" s="85"/>
    </row>
    <row r="18635">
      <c r="A18635" s="84"/>
      <c r="B18635" s="85"/>
      <c r="C18635" s="85"/>
      <c r="F18635" s="92"/>
      <c r="G18635" s="85"/>
    </row>
    <row r="18636">
      <c r="A18636" s="84"/>
      <c r="B18636" s="85"/>
      <c r="C18636" s="85"/>
      <c r="F18636" s="92"/>
      <c r="G18636" s="85"/>
    </row>
    <row r="18637">
      <c r="A18637" s="84"/>
      <c r="B18637" s="85"/>
      <c r="C18637" s="85"/>
      <c r="F18637" s="92"/>
      <c r="G18637" s="85"/>
    </row>
    <row r="18638">
      <c r="A18638" s="84"/>
      <c r="B18638" s="85"/>
      <c r="C18638" s="85"/>
      <c r="F18638" s="92"/>
      <c r="G18638" s="85"/>
    </row>
    <row r="18639">
      <c r="A18639" s="84"/>
      <c r="B18639" s="85"/>
      <c r="C18639" s="85"/>
      <c r="F18639" s="92"/>
      <c r="G18639" s="85"/>
    </row>
    <row r="18640">
      <c r="A18640" s="84"/>
      <c r="B18640" s="85"/>
      <c r="C18640" s="85"/>
      <c r="F18640" s="92"/>
      <c r="G18640" s="85"/>
    </row>
    <row r="18641">
      <c r="A18641" s="84"/>
      <c r="B18641" s="85"/>
      <c r="C18641" s="85"/>
      <c r="F18641" s="92"/>
      <c r="G18641" s="85"/>
    </row>
    <row r="18642">
      <c r="A18642" s="84"/>
      <c r="B18642" s="85"/>
      <c r="C18642" s="85"/>
      <c r="F18642" s="92"/>
      <c r="G18642" s="85"/>
    </row>
    <row r="18643">
      <c r="A18643" s="84"/>
      <c r="B18643" s="85"/>
      <c r="C18643" s="85"/>
      <c r="F18643" s="92"/>
      <c r="G18643" s="85"/>
    </row>
    <row r="18644">
      <c r="A18644" s="84"/>
      <c r="B18644" s="85"/>
      <c r="C18644" s="85"/>
      <c r="F18644" s="92"/>
      <c r="G18644" s="85"/>
    </row>
    <row r="18645">
      <c r="A18645" s="84"/>
      <c r="B18645" s="85"/>
      <c r="C18645" s="85"/>
      <c r="F18645" s="92"/>
      <c r="G18645" s="85"/>
    </row>
    <row r="18646">
      <c r="A18646" s="84"/>
      <c r="B18646" s="85"/>
      <c r="C18646" s="85"/>
      <c r="F18646" s="92"/>
      <c r="G18646" s="85"/>
    </row>
    <row r="18647">
      <c r="A18647" s="84"/>
      <c r="B18647" s="85"/>
      <c r="C18647" s="85"/>
      <c r="F18647" s="92"/>
      <c r="G18647" s="85"/>
    </row>
    <row r="18648">
      <c r="A18648" s="84"/>
      <c r="B18648" s="85"/>
      <c r="C18648" s="85"/>
      <c r="F18648" s="92"/>
      <c r="G18648" s="85"/>
    </row>
    <row r="18649">
      <c r="A18649" s="84"/>
      <c r="B18649" s="85"/>
      <c r="C18649" s="85"/>
      <c r="F18649" s="92"/>
      <c r="G18649" s="85"/>
    </row>
    <row r="18650">
      <c r="A18650" s="84"/>
      <c r="B18650" s="85"/>
      <c r="C18650" s="85"/>
      <c r="F18650" s="92"/>
      <c r="G18650" s="85"/>
    </row>
    <row r="18651">
      <c r="A18651" s="84"/>
      <c r="B18651" s="85"/>
      <c r="C18651" s="85"/>
      <c r="F18651" s="92"/>
      <c r="G18651" s="85"/>
    </row>
    <row r="18652">
      <c r="A18652" s="84"/>
      <c r="B18652" s="85"/>
      <c r="C18652" s="85"/>
      <c r="F18652" s="92"/>
      <c r="G18652" s="85"/>
    </row>
    <row r="18653">
      <c r="A18653" s="84"/>
      <c r="B18653" s="85"/>
      <c r="C18653" s="85"/>
      <c r="F18653" s="92"/>
      <c r="G18653" s="85"/>
    </row>
    <row r="18654">
      <c r="A18654" s="84"/>
      <c r="B18654" s="85"/>
      <c r="C18654" s="85"/>
      <c r="F18654" s="92"/>
      <c r="G18654" s="85"/>
    </row>
    <row r="18655">
      <c r="A18655" s="84"/>
      <c r="B18655" s="85"/>
      <c r="C18655" s="85"/>
      <c r="F18655" s="92"/>
      <c r="G18655" s="85"/>
    </row>
    <row r="18656">
      <c r="A18656" s="84"/>
      <c r="B18656" s="85"/>
      <c r="C18656" s="85"/>
      <c r="F18656" s="92"/>
      <c r="G18656" s="85"/>
    </row>
    <row r="18657">
      <c r="A18657" s="84"/>
      <c r="B18657" s="85"/>
      <c r="C18657" s="85"/>
      <c r="F18657" s="92"/>
      <c r="G18657" s="85"/>
    </row>
    <row r="18658">
      <c r="A18658" s="84"/>
      <c r="B18658" s="85"/>
      <c r="C18658" s="85"/>
      <c r="F18658" s="92"/>
      <c r="G18658" s="85"/>
    </row>
    <row r="18659">
      <c r="A18659" s="84"/>
      <c r="B18659" s="85"/>
      <c r="C18659" s="85"/>
      <c r="F18659" s="92"/>
      <c r="G18659" s="85"/>
    </row>
    <row r="18660">
      <c r="A18660" s="84"/>
      <c r="B18660" s="85"/>
      <c r="C18660" s="85"/>
      <c r="F18660" s="92"/>
      <c r="G18660" s="85"/>
    </row>
    <row r="18661">
      <c r="A18661" s="84"/>
      <c r="B18661" s="85"/>
      <c r="C18661" s="85"/>
      <c r="F18661" s="92"/>
      <c r="G18661" s="85"/>
    </row>
    <row r="18662">
      <c r="A18662" s="84"/>
      <c r="B18662" s="85"/>
      <c r="C18662" s="85"/>
      <c r="F18662" s="92"/>
      <c r="G18662" s="85"/>
    </row>
    <row r="18663">
      <c r="A18663" s="84"/>
      <c r="B18663" s="85"/>
      <c r="C18663" s="85"/>
      <c r="F18663" s="92"/>
      <c r="G18663" s="85"/>
    </row>
    <row r="18664">
      <c r="A18664" s="84"/>
      <c r="B18664" s="85"/>
      <c r="C18664" s="85"/>
      <c r="F18664" s="92"/>
      <c r="G18664" s="85"/>
    </row>
    <row r="18665">
      <c r="A18665" s="84"/>
      <c r="B18665" s="85"/>
      <c r="C18665" s="85"/>
      <c r="F18665" s="92"/>
      <c r="G18665" s="85"/>
    </row>
    <row r="18666">
      <c r="A18666" s="84"/>
      <c r="B18666" s="85"/>
      <c r="C18666" s="85"/>
      <c r="F18666" s="92"/>
      <c r="G18666" s="85"/>
    </row>
    <row r="18667">
      <c r="A18667" s="84"/>
      <c r="B18667" s="85"/>
      <c r="C18667" s="85"/>
      <c r="F18667" s="92"/>
      <c r="G18667" s="85"/>
    </row>
    <row r="18668">
      <c r="A18668" s="84"/>
      <c r="B18668" s="85"/>
      <c r="C18668" s="85"/>
      <c r="F18668" s="92"/>
      <c r="G18668" s="85"/>
    </row>
    <row r="18669">
      <c r="A18669" s="84"/>
      <c r="B18669" s="85"/>
      <c r="C18669" s="85"/>
      <c r="F18669" s="92"/>
      <c r="G18669" s="85"/>
    </row>
    <row r="18670">
      <c r="A18670" s="84"/>
      <c r="B18670" s="85"/>
      <c r="C18670" s="85"/>
      <c r="F18670" s="92"/>
      <c r="G18670" s="85"/>
    </row>
    <row r="18671">
      <c r="A18671" s="84"/>
      <c r="B18671" s="85"/>
      <c r="C18671" s="85"/>
      <c r="F18671" s="92"/>
      <c r="G18671" s="85"/>
    </row>
    <row r="18672">
      <c r="A18672" s="84"/>
      <c r="B18672" s="85"/>
      <c r="C18672" s="85"/>
      <c r="F18672" s="92"/>
      <c r="G18672" s="85"/>
    </row>
    <row r="18673">
      <c r="A18673" s="84"/>
      <c r="B18673" s="85"/>
      <c r="C18673" s="85"/>
      <c r="F18673" s="92"/>
      <c r="G18673" s="85"/>
    </row>
    <row r="18674">
      <c r="A18674" s="84"/>
      <c r="B18674" s="85"/>
      <c r="C18674" s="85"/>
      <c r="F18674" s="92"/>
      <c r="G18674" s="85"/>
    </row>
    <row r="18675">
      <c r="A18675" s="84"/>
      <c r="B18675" s="85"/>
      <c r="C18675" s="85"/>
      <c r="F18675" s="92"/>
      <c r="G18675" s="85"/>
    </row>
    <row r="18676">
      <c r="A18676" s="84"/>
      <c r="B18676" s="85"/>
      <c r="C18676" s="85"/>
      <c r="F18676" s="92"/>
      <c r="G18676" s="85"/>
    </row>
    <row r="18677">
      <c r="A18677" s="84"/>
      <c r="B18677" s="85"/>
      <c r="C18677" s="85"/>
      <c r="F18677" s="92"/>
      <c r="G18677" s="85"/>
    </row>
    <row r="18678">
      <c r="A18678" s="84"/>
      <c r="B18678" s="85"/>
      <c r="C18678" s="85"/>
      <c r="F18678" s="92"/>
      <c r="G18678" s="85"/>
    </row>
    <row r="18679">
      <c r="A18679" s="84"/>
      <c r="B18679" s="85"/>
      <c r="C18679" s="85"/>
      <c r="F18679" s="92"/>
      <c r="G18679" s="85"/>
    </row>
    <row r="18680">
      <c r="A18680" s="84"/>
      <c r="B18680" s="85"/>
      <c r="C18680" s="85"/>
      <c r="F18680" s="92"/>
      <c r="G18680" s="85"/>
    </row>
    <row r="18681">
      <c r="A18681" s="84"/>
      <c r="B18681" s="85"/>
      <c r="C18681" s="85"/>
      <c r="F18681" s="92"/>
      <c r="G18681" s="85"/>
    </row>
    <row r="18682">
      <c r="A18682" s="84"/>
      <c r="B18682" s="85"/>
      <c r="C18682" s="85"/>
      <c r="F18682" s="92"/>
      <c r="G18682" s="85"/>
    </row>
    <row r="18683">
      <c r="A18683" s="84"/>
      <c r="B18683" s="85"/>
      <c r="C18683" s="85"/>
      <c r="F18683" s="92"/>
      <c r="G18683" s="85"/>
    </row>
    <row r="18684">
      <c r="A18684" s="84"/>
      <c r="B18684" s="85"/>
      <c r="C18684" s="85"/>
      <c r="F18684" s="92"/>
      <c r="G18684" s="85"/>
    </row>
    <row r="18685">
      <c r="A18685" s="84"/>
      <c r="B18685" s="85"/>
      <c r="C18685" s="85"/>
      <c r="F18685" s="92"/>
      <c r="G18685" s="85"/>
    </row>
    <row r="18686">
      <c r="A18686" s="84"/>
      <c r="B18686" s="85"/>
      <c r="C18686" s="85"/>
      <c r="F18686" s="92"/>
      <c r="G18686" s="85"/>
    </row>
    <row r="18687">
      <c r="A18687" s="84"/>
      <c r="B18687" s="85"/>
      <c r="C18687" s="85"/>
      <c r="F18687" s="92"/>
      <c r="G18687" s="85"/>
    </row>
    <row r="18688">
      <c r="A18688" s="84"/>
      <c r="B18688" s="85"/>
      <c r="C18688" s="85"/>
      <c r="F18688" s="92"/>
      <c r="G18688" s="85"/>
    </row>
    <row r="18689">
      <c r="A18689" s="84"/>
      <c r="B18689" s="85"/>
      <c r="C18689" s="85"/>
      <c r="F18689" s="92"/>
      <c r="G18689" s="85"/>
    </row>
    <row r="18690">
      <c r="A18690" s="84"/>
      <c r="B18690" s="85"/>
      <c r="C18690" s="85"/>
      <c r="F18690" s="92"/>
      <c r="G18690" s="85"/>
    </row>
    <row r="18691">
      <c r="A18691" s="84"/>
      <c r="B18691" s="85"/>
      <c r="C18691" s="85"/>
      <c r="F18691" s="92"/>
      <c r="G18691" s="85"/>
    </row>
    <row r="18692">
      <c r="A18692" s="84"/>
      <c r="B18692" s="85"/>
      <c r="C18692" s="85"/>
      <c r="F18692" s="92"/>
      <c r="G18692" s="85"/>
    </row>
    <row r="18693">
      <c r="A18693" s="84"/>
      <c r="B18693" s="85"/>
      <c r="C18693" s="85"/>
      <c r="F18693" s="92"/>
      <c r="G18693" s="85"/>
    </row>
    <row r="18694">
      <c r="A18694" s="84"/>
      <c r="B18694" s="85"/>
      <c r="C18694" s="85"/>
      <c r="F18694" s="92"/>
      <c r="G18694" s="85"/>
    </row>
    <row r="18695">
      <c r="A18695" s="84"/>
      <c r="B18695" s="85"/>
      <c r="C18695" s="85"/>
      <c r="F18695" s="92"/>
      <c r="G18695" s="85"/>
    </row>
    <row r="18696">
      <c r="A18696" s="84"/>
      <c r="B18696" s="85"/>
      <c r="C18696" s="85"/>
      <c r="F18696" s="92"/>
      <c r="G18696" s="85"/>
    </row>
    <row r="18697">
      <c r="A18697" s="84"/>
      <c r="B18697" s="85"/>
      <c r="C18697" s="85"/>
      <c r="F18697" s="92"/>
      <c r="G18697" s="85"/>
    </row>
    <row r="18698">
      <c r="A18698" s="84"/>
      <c r="B18698" s="85"/>
      <c r="C18698" s="85"/>
      <c r="F18698" s="92"/>
      <c r="G18698" s="85"/>
    </row>
    <row r="18699">
      <c r="A18699" s="84"/>
      <c r="B18699" s="85"/>
      <c r="C18699" s="85"/>
      <c r="F18699" s="92"/>
      <c r="G18699" s="85"/>
    </row>
    <row r="18700">
      <c r="A18700" s="84"/>
      <c r="B18700" s="85"/>
      <c r="C18700" s="85"/>
      <c r="F18700" s="92"/>
      <c r="G18700" s="85"/>
    </row>
    <row r="18701">
      <c r="A18701" s="84"/>
      <c r="B18701" s="85"/>
      <c r="C18701" s="85"/>
      <c r="F18701" s="92"/>
      <c r="G18701" s="85"/>
    </row>
    <row r="18702">
      <c r="A18702" s="84"/>
      <c r="B18702" s="85"/>
      <c r="C18702" s="85"/>
      <c r="F18702" s="92"/>
      <c r="G18702" s="85"/>
    </row>
    <row r="18703">
      <c r="A18703" s="84"/>
      <c r="B18703" s="85"/>
      <c r="C18703" s="85"/>
      <c r="F18703" s="92"/>
      <c r="G18703" s="85"/>
    </row>
    <row r="18704">
      <c r="A18704" s="84"/>
      <c r="B18704" s="85"/>
      <c r="C18704" s="85"/>
      <c r="F18704" s="92"/>
      <c r="G18704" s="85"/>
    </row>
    <row r="18705">
      <c r="A18705" s="84"/>
      <c r="B18705" s="85"/>
      <c r="C18705" s="85"/>
      <c r="F18705" s="92"/>
      <c r="G18705" s="85"/>
    </row>
    <row r="18706">
      <c r="A18706" s="84"/>
      <c r="B18706" s="85"/>
      <c r="C18706" s="85"/>
      <c r="F18706" s="92"/>
      <c r="G18706" s="85"/>
    </row>
    <row r="18707">
      <c r="A18707" s="84"/>
      <c r="B18707" s="85"/>
      <c r="C18707" s="85"/>
      <c r="F18707" s="92"/>
      <c r="G18707" s="85"/>
    </row>
    <row r="18708">
      <c r="A18708" s="84"/>
      <c r="B18708" s="85"/>
      <c r="C18708" s="85"/>
      <c r="F18708" s="92"/>
      <c r="G18708" s="85"/>
    </row>
    <row r="18709">
      <c r="A18709" s="84"/>
      <c r="B18709" s="85"/>
      <c r="C18709" s="85"/>
      <c r="F18709" s="92"/>
      <c r="G18709" s="85"/>
    </row>
    <row r="18710">
      <c r="A18710" s="84"/>
      <c r="B18710" s="85"/>
      <c r="C18710" s="85"/>
      <c r="F18710" s="92"/>
      <c r="G18710" s="85"/>
    </row>
    <row r="18711">
      <c r="A18711" s="84"/>
      <c r="B18711" s="85"/>
      <c r="C18711" s="85"/>
      <c r="F18711" s="92"/>
      <c r="G18711" s="85"/>
    </row>
    <row r="18712">
      <c r="A18712" s="84"/>
      <c r="B18712" s="85"/>
      <c r="C18712" s="85"/>
      <c r="F18712" s="92"/>
      <c r="G18712" s="85"/>
    </row>
    <row r="18713">
      <c r="A18713" s="84"/>
      <c r="B18713" s="85"/>
      <c r="C18713" s="85"/>
      <c r="F18713" s="92"/>
      <c r="G18713" s="85"/>
    </row>
    <row r="18714">
      <c r="A18714" s="84"/>
      <c r="B18714" s="85"/>
      <c r="C18714" s="85"/>
      <c r="F18714" s="92"/>
      <c r="G18714" s="85"/>
    </row>
    <row r="18715">
      <c r="A18715" s="84"/>
      <c r="B18715" s="85"/>
      <c r="C18715" s="85"/>
      <c r="F18715" s="92"/>
      <c r="G18715" s="85"/>
    </row>
    <row r="18716">
      <c r="A18716" s="84"/>
      <c r="B18716" s="85"/>
      <c r="C18716" s="85"/>
      <c r="F18716" s="92"/>
      <c r="G18716" s="85"/>
    </row>
    <row r="18717">
      <c r="A18717" s="84"/>
      <c r="B18717" s="85"/>
      <c r="C18717" s="85"/>
      <c r="F18717" s="92"/>
      <c r="G18717" s="85"/>
    </row>
    <row r="18718">
      <c r="A18718" s="84"/>
      <c r="B18718" s="85"/>
      <c r="C18718" s="85"/>
      <c r="F18718" s="92"/>
      <c r="G18718" s="85"/>
    </row>
    <row r="18719">
      <c r="A18719" s="84"/>
      <c r="B18719" s="85"/>
      <c r="C18719" s="85"/>
      <c r="F18719" s="92"/>
      <c r="G18719" s="85"/>
    </row>
    <row r="18720">
      <c r="A18720" s="84"/>
      <c r="B18720" s="85"/>
      <c r="C18720" s="85"/>
      <c r="F18720" s="92"/>
      <c r="G18720" s="85"/>
    </row>
    <row r="18721">
      <c r="A18721" s="84"/>
      <c r="B18721" s="85"/>
      <c r="C18721" s="85"/>
      <c r="F18721" s="92"/>
      <c r="G18721" s="85"/>
    </row>
    <row r="18722">
      <c r="A18722" s="84"/>
      <c r="B18722" s="85"/>
      <c r="C18722" s="85"/>
      <c r="F18722" s="92"/>
      <c r="G18722" s="85"/>
    </row>
    <row r="18723">
      <c r="A18723" s="84"/>
      <c r="B18723" s="85"/>
      <c r="C18723" s="85"/>
      <c r="F18723" s="92"/>
      <c r="G18723" s="85"/>
    </row>
    <row r="18724">
      <c r="A18724" s="84"/>
      <c r="B18724" s="85"/>
      <c r="C18724" s="85"/>
      <c r="F18724" s="92"/>
      <c r="G18724" s="85"/>
    </row>
    <row r="18725">
      <c r="A18725" s="84"/>
      <c r="B18725" s="85"/>
      <c r="C18725" s="85"/>
      <c r="F18725" s="92"/>
      <c r="G18725" s="85"/>
    </row>
    <row r="18726">
      <c r="A18726" s="84"/>
      <c r="B18726" s="85"/>
      <c r="C18726" s="85"/>
      <c r="F18726" s="92"/>
      <c r="G18726" s="85"/>
    </row>
    <row r="18727">
      <c r="A18727" s="84"/>
      <c r="B18727" s="85"/>
      <c r="C18727" s="85"/>
      <c r="F18727" s="92"/>
      <c r="G18727" s="85"/>
    </row>
    <row r="18728">
      <c r="A18728" s="84"/>
      <c r="B18728" s="85"/>
      <c r="C18728" s="85"/>
      <c r="F18728" s="92"/>
      <c r="G18728" s="85"/>
    </row>
    <row r="18729">
      <c r="A18729" s="84"/>
      <c r="B18729" s="85"/>
      <c r="C18729" s="85"/>
      <c r="F18729" s="92"/>
      <c r="G18729" s="85"/>
    </row>
    <row r="18730">
      <c r="A18730" s="84"/>
      <c r="B18730" s="85"/>
      <c r="C18730" s="85"/>
      <c r="F18730" s="92"/>
      <c r="G18730" s="85"/>
    </row>
    <row r="18731">
      <c r="A18731" s="84"/>
      <c r="B18731" s="85"/>
      <c r="C18731" s="85"/>
      <c r="F18731" s="92"/>
      <c r="G18731" s="85"/>
    </row>
    <row r="18732">
      <c r="A18732" s="84"/>
      <c r="B18732" s="85"/>
      <c r="C18732" s="85"/>
      <c r="F18732" s="92"/>
      <c r="G18732" s="85"/>
    </row>
    <row r="18733">
      <c r="A18733" s="84"/>
      <c r="B18733" s="85"/>
      <c r="C18733" s="85"/>
      <c r="F18733" s="92"/>
      <c r="G18733" s="85"/>
    </row>
    <row r="18734">
      <c r="A18734" s="84"/>
      <c r="B18734" s="85"/>
      <c r="C18734" s="85"/>
      <c r="F18734" s="92"/>
      <c r="G18734" s="85"/>
    </row>
    <row r="18735">
      <c r="A18735" s="84"/>
      <c r="B18735" s="85"/>
      <c r="C18735" s="85"/>
      <c r="F18735" s="92"/>
      <c r="G18735" s="85"/>
    </row>
    <row r="18736">
      <c r="A18736" s="84"/>
      <c r="B18736" s="85"/>
      <c r="C18736" s="85"/>
      <c r="F18736" s="92"/>
      <c r="G18736" s="85"/>
    </row>
    <row r="18737">
      <c r="A18737" s="84"/>
      <c r="B18737" s="85"/>
      <c r="C18737" s="85"/>
      <c r="F18737" s="92"/>
      <c r="G18737" s="85"/>
    </row>
    <row r="18738">
      <c r="A18738" s="84"/>
      <c r="B18738" s="85"/>
      <c r="C18738" s="85"/>
      <c r="F18738" s="92"/>
      <c r="G18738" s="85"/>
    </row>
    <row r="18739">
      <c r="A18739" s="84"/>
      <c r="B18739" s="85"/>
      <c r="C18739" s="85"/>
      <c r="F18739" s="92"/>
      <c r="G18739" s="85"/>
    </row>
    <row r="18740">
      <c r="A18740" s="84"/>
      <c r="B18740" s="85"/>
      <c r="C18740" s="85"/>
      <c r="F18740" s="92"/>
      <c r="G18740" s="85"/>
    </row>
    <row r="18741">
      <c r="A18741" s="84"/>
      <c r="B18741" s="85"/>
      <c r="C18741" s="85"/>
      <c r="F18741" s="92"/>
      <c r="G18741" s="85"/>
    </row>
    <row r="18742">
      <c r="A18742" s="84"/>
      <c r="B18742" s="85"/>
      <c r="C18742" s="85"/>
      <c r="F18742" s="92"/>
      <c r="G18742" s="85"/>
    </row>
    <row r="18743">
      <c r="A18743" s="84"/>
      <c r="B18743" s="85"/>
      <c r="C18743" s="85"/>
      <c r="F18743" s="92"/>
      <c r="G18743" s="85"/>
    </row>
    <row r="18744">
      <c r="A18744" s="84"/>
      <c r="B18744" s="85"/>
      <c r="C18744" s="85"/>
      <c r="F18744" s="92"/>
      <c r="G18744" s="85"/>
    </row>
    <row r="18745">
      <c r="A18745" s="84"/>
      <c r="B18745" s="85"/>
      <c r="C18745" s="85"/>
      <c r="F18745" s="92"/>
      <c r="G18745" s="85"/>
    </row>
    <row r="18746">
      <c r="A18746" s="84"/>
      <c r="B18746" s="85"/>
      <c r="C18746" s="85"/>
      <c r="F18746" s="92"/>
      <c r="G18746" s="85"/>
    </row>
    <row r="18747">
      <c r="A18747" s="84"/>
      <c r="B18747" s="85"/>
      <c r="C18747" s="85"/>
      <c r="F18747" s="92"/>
      <c r="G18747" s="85"/>
    </row>
    <row r="18748">
      <c r="A18748" s="84"/>
      <c r="B18748" s="85"/>
      <c r="C18748" s="85"/>
      <c r="F18748" s="92"/>
      <c r="G18748" s="85"/>
    </row>
    <row r="18749">
      <c r="A18749" s="84"/>
      <c r="B18749" s="85"/>
      <c r="C18749" s="85"/>
      <c r="F18749" s="92"/>
      <c r="G18749" s="85"/>
    </row>
    <row r="18750">
      <c r="A18750" s="84"/>
      <c r="B18750" s="85"/>
      <c r="C18750" s="85"/>
      <c r="F18750" s="92"/>
      <c r="G18750" s="85"/>
    </row>
    <row r="18751">
      <c r="A18751" s="84"/>
      <c r="B18751" s="85"/>
      <c r="C18751" s="85"/>
      <c r="F18751" s="92"/>
      <c r="G18751" s="85"/>
    </row>
    <row r="18752">
      <c r="A18752" s="84"/>
      <c r="B18752" s="85"/>
      <c r="C18752" s="85"/>
      <c r="F18752" s="92"/>
      <c r="G18752" s="85"/>
    </row>
    <row r="18753">
      <c r="A18753" s="84"/>
      <c r="B18753" s="85"/>
      <c r="C18753" s="85"/>
      <c r="F18753" s="92"/>
      <c r="G18753" s="85"/>
    </row>
    <row r="18754">
      <c r="A18754" s="84"/>
      <c r="B18754" s="85"/>
      <c r="C18754" s="85"/>
      <c r="F18754" s="92"/>
      <c r="G18754" s="85"/>
    </row>
    <row r="18755">
      <c r="A18755" s="84"/>
      <c r="B18755" s="85"/>
      <c r="C18755" s="85"/>
      <c r="F18755" s="92"/>
      <c r="G18755" s="85"/>
    </row>
    <row r="18756">
      <c r="A18756" s="84"/>
      <c r="B18756" s="85"/>
      <c r="C18756" s="85"/>
      <c r="F18756" s="92"/>
      <c r="G18756" s="85"/>
    </row>
    <row r="18757">
      <c r="A18757" s="84"/>
      <c r="B18757" s="85"/>
      <c r="C18757" s="85"/>
      <c r="F18757" s="92"/>
      <c r="G18757" s="85"/>
    </row>
    <row r="18758">
      <c r="A18758" s="84"/>
      <c r="B18758" s="85"/>
      <c r="C18758" s="85"/>
      <c r="F18758" s="92"/>
      <c r="G18758" s="85"/>
    </row>
    <row r="18759">
      <c r="A18759" s="84"/>
      <c r="B18759" s="85"/>
      <c r="C18759" s="85"/>
      <c r="F18759" s="92"/>
      <c r="G18759" s="85"/>
    </row>
    <row r="18760">
      <c r="A18760" s="84"/>
      <c r="B18760" s="85"/>
      <c r="C18760" s="85"/>
      <c r="F18760" s="92"/>
      <c r="G18760" s="85"/>
    </row>
    <row r="18761">
      <c r="A18761" s="84"/>
      <c r="B18761" s="85"/>
      <c r="C18761" s="85"/>
      <c r="F18761" s="92"/>
      <c r="G18761" s="85"/>
    </row>
    <row r="18762">
      <c r="A18762" s="84"/>
      <c r="B18762" s="85"/>
      <c r="C18762" s="85"/>
      <c r="F18762" s="92"/>
      <c r="G18762" s="85"/>
    </row>
    <row r="18763">
      <c r="A18763" s="84"/>
      <c r="B18763" s="85"/>
      <c r="C18763" s="85"/>
      <c r="F18763" s="92"/>
      <c r="G18763" s="85"/>
    </row>
    <row r="18764">
      <c r="A18764" s="84"/>
      <c r="B18764" s="85"/>
      <c r="C18764" s="85"/>
      <c r="F18764" s="92"/>
      <c r="G18764" s="85"/>
    </row>
    <row r="18765">
      <c r="A18765" s="84"/>
      <c r="B18765" s="85"/>
      <c r="C18765" s="85"/>
      <c r="F18765" s="92"/>
      <c r="G18765" s="85"/>
    </row>
    <row r="18766">
      <c r="A18766" s="84"/>
      <c r="B18766" s="85"/>
      <c r="C18766" s="85"/>
      <c r="F18766" s="92"/>
      <c r="G18766" s="85"/>
    </row>
    <row r="18767">
      <c r="A18767" s="84"/>
      <c r="B18767" s="85"/>
      <c r="C18767" s="85"/>
      <c r="F18767" s="92"/>
      <c r="G18767" s="85"/>
    </row>
    <row r="18768">
      <c r="A18768" s="84"/>
      <c r="B18768" s="85"/>
      <c r="C18768" s="85"/>
      <c r="F18768" s="92"/>
      <c r="G18768" s="85"/>
    </row>
    <row r="18769">
      <c r="A18769" s="84"/>
      <c r="B18769" s="85"/>
      <c r="C18769" s="85"/>
      <c r="F18769" s="92"/>
      <c r="G18769" s="85"/>
    </row>
    <row r="18770">
      <c r="A18770" s="84"/>
      <c r="B18770" s="85"/>
      <c r="C18770" s="85"/>
      <c r="F18770" s="92"/>
      <c r="G18770" s="85"/>
    </row>
    <row r="18771">
      <c r="A18771" s="84"/>
      <c r="B18771" s="85"/>
      <c r="C18771" s="85"/>
      <c r="F18771" s="92"/>
      <c r="G18771" s="85"/>
    </row>
    <row r="18772">
      <c r="A18772" s="84"/>
      <c r="B18772" s="85"/>
      <c r="C18772" s="85"/>
      <c r="F18772" s="92"/>
      <c r="G18772" s="85"/>
    </row>
    <row r="18773">
      <c r="A18773" s="84"/>
      <c r="B18773" s="85"/>
      <c r="C18773" s="85"/>
      <c r="F18773" s="92"/>
      <c r="G18773" s="85"/>
    </row>
    <row r="18774">
      <c r="A18774" s="84"/>
      <c r="B18774" s="85"/>
      <c r="C18774" s="85"/>
      <c r="F18774" s="92"/>
      <c r="G18774" s="85"/>
    </row>
    <row r="18775">
      <c r="A18775" s="84"/>
      <c r="B18775" s="85"/>
      <c r="C18775" s="85"/>
      <c r="F18775" s="92"/>
      <c r="G18775" s="85"/>
    </row>
    <row r="18776">
      <c r="A18776" s="84"/>
      <c r="B18776" s="85"/>
      <c r="C18776" s="85"/>
      <c r="F18776" s="92"/>
      <c r="G18776" s="85"/>
    </row>
    <row r="18777">
      <c r="A18777" s="84"/>
      <c r="B18777" s="85"/>
      <c r="C18777" s="85"/>
      <c r="F18777" s="92"/>
      <c r="G18777" s="85"/>
    </row>
    <row r="18778">
      <c r="A18778" s="84"/>
      <c r="B18778" s="85"/>
      <c r="C18778" s="85"/>
      <c r="F18778" s="92"/>
      <c r="G18778" s="85"/>
    </row>
    <row r="18779">
      <c r="A18779" s="84"/>
      <c r="B18779" s="85"/>
      <c r="C18779" s="85"/>
      <c r="F18779" s="92"/>
      <c r="G18779" s="85"/>
    </row>
    <row r="18780">
      <c r="A18780" s="84"/>
      <c r="B18780" s="85"/>
      <c r="C18780" s="85"/>
      <c r="F18780" s="92"/>
      <c r="G18780" s="85"/>
    </row>
    <row r="18781">
      <c r="A18781" s="84"/>
      <c r="B18781" s="85"/>
      <c r="C18781" s="85"/>
      <c r="F18781" s="92"/>
      <c r="G18781" s="85"/>
    </row>
    <row r="18782">
      <c r="A18782" s="84"/>
      <c r="B18782" s="85"/>
      <c r="C18782" s="85"/>
      <c r="F18782" s="92"/>
      <c r="G18782" s="85"/>
    </row>
    <row r="18783">
      <c r="A18783" s="84"/>
      <c r="B18783" s="85"/>
      <c r="C18783" s="85"/>
      <c r="F18783" s="92"/>
      <c r="G18783" s="85"/>
    </row>
    <row r="18784">
      <c r="A18784" s="84"/>
      <c r="B18784" s="85"/>
      <c r="C18784" s="85"/>
      <c r="F18784" s="92"/>
      <c r="G18784" s="85"/>
    </row>
    <row r="18785">
      <c r="A18785" s="84"/>
      <c r="B18785" s="85"/>
      <c r="C18785" s="85"/>
      <c r="F18785" s="92"/>
      <c r="G18785" s="85"/>
    </row>
    <row r="18786">
      <c r="A18786" s="84"/>
      <c r="B18786" s="85"/>
      <c r="C18786" s="85"/>
      <c r="F18786" s="92"/>
      <c r="G18786" s="85"/>
    </row>
    <row r="18787">
      <c r="A18787" s="84"/>
      <c r="B18787" s="85"/>
      <c r="C18787" s="85"/>
      <c r="F18787" s="92"/>
      <c r="G18787" s="85"/>
    </row>
    <row r="18788">
      <c r="A18788" s="84"/>
      <c r="B18788" s="85"/>
      <c r="C18788" s="85"/>
      <c r="F18788" s="92"/>
      <c r="G18788" s="85"/>
    </row>
    <row r="18789">
      <c r="A18789" s="84"/>
      <c r="B18789" s="85"/>
      <c r="C18789" s="85"/>
      <c r="F18789" s="92"/>
      <c r="G18789" s="85"/>
    </row>
    <row r="18790">
      <c r="A18790" s="84"/>
      <c r="B18790" s="85"/>
      <c r="C18790" s="85"/>
      <c r="F18790" s="92"/>
      <c r="G18790" s="85"/>
    </row>
    <row r="18791">
      <c r="A18791" s="84"/>
      <c r="B18791" s="85"/>
      <c r="C18791" s="85"/>
      <c r="F18791" s="92"/>
      <c r="G18791" s="85"/>
    </row>
    <row r="18792">
      <c r="A18792" s="84"/>
      <c r="B18792" s="85"/>
      <c r="C18792" s="85"/>
      <c r="F18792" s="92"/>
      <c r="G18792" s="85"/>
    </row>
    <row r="18793">
      <c r="A18793" s="84"/>
      <c r="B18793" s="85"/>
      <c r="C18793" s="85"/>
      <c r="F18793" s="92"/>
      <c r="G18793" s="85"/>
    </row>
    <row r="18794">
      <c r="A18794" s="84"/>
      <c r="B18794" s="85"/>
      <c r="C18794" s="85"/>
      <c r="F18794" s="92"/>
      <c r="G18794" s="85"/>
    </row>
    <row r="18795">
      <c r="A18795" s="84"/>
      <c r="B18795" s="85"/>
      <c r="C18795" s="85"/>
      <c r="F18795" s="92"/>
      <c r="G18795" s="85"/>
    </row>
    <row r="18796">
      <c r="A18796" s="84"/>
      <c r="B18796" s="85"/>
      <c r="C18796" s="85"/>
      <c r="F18796" s="92"/>
      <c r="G18796" s="85"/>
    </row>
    <row r="18797">
      <c r="A18797" s="84"/>
      <c r="B18797" s="85"/>
      <c r="C18797" s="85"/>
      <c r="F18797" s="92"/>
      <c r="G18797" s="85"/>
    </row>
    <row r="18798">
      <c r="A18798" s="84"/>
      <c r="B18798" s="85"/>
      <c r="C18798" s="85"/>
      <c r="F18798" s="92"/>
      <c r="G18798" s="85"/>
    </row>
    <row r="18799">
      <c r="A18799" s="84"/>
      <c r="B18799" s="85"/>
      <c r="C18799" s="85"/>
      <c r="F18799" s="92"/>
      <c r="G18799" s="85"/>
    </row>
    <row r="18800">
      <c r="A18800" s="84"/>
      <c r="B18800" s="85"/>
      <c r="C18800" s="85"/>
      <c r="F18800" s="92"/>
      <c r="G18800" s="85"/>
    </row>
    <row r="18801">
      <c r="A18801" s="84"/>
      <c r="B18801" s="85"/>
      <c r="C18801" s="85"/>
      <c r="F18801" s="92"/>
      <c r="G18801" s="85"/>
    </row>
    <row r="18802">
      <c r="A18802" s="84"/>
      <c r="B18802" s="85"/>
      <c r="C18802" s="85"/>
      <c r="F18802" s="92"/>
      <c r="G18802" s="85"/>
    </row>
    <row r="18803">
      <c r="A18803" s="84"/>
      <c r="B18803" s="85"/>
      <c r="C18803" s="85"/>
      <c r="F18803" s="92"/>
      <c r="G18803" s="85"/>
    </row>
    <row r="18804">
      <c r="A18804" s="84"/>
      <c r="B18804" s="85"/>
      <c r="C18804" s="85"/>
      <c r="F18804" s="92"/>
      <c r="G18804" s="85"/>
    </row>
    <row r="18805">
      <c r="A18805" s="84"/>
      <c r="B18805" s="85"/>
      <c r="C18805" s="85"/>
      <c r="F18805" s="92"/>
      <c r="G18805" s="85"/>
    </row>
    <row r="18806">
      <c r="A18806" s="84"/>
      <c r="B18806" s="85"/>
      <c r="C18806" s="85"/>
      <c r="F18806" s="92"/>
      <c r="G18806" s="85"/>
    </row>
    <row r="18807">
      <c r="A18807" s="84"/>
      <c r="B18807" s="85"/>
      <c r="C18807" s="85"/>
      <c r="F18807" s="92"/>
      <c r="G18807" s="85"/>
    </row>
    <row r="18808">
      <c r="A18808" s="84"/>
      <c r="B18808" s="85"/>
      <c r="C18808" s="85"/>
      <c r="F18808" s="92"/>
      <c r="G18808" s="85"/>
    </row>
    <row r="18809">
      <c r="A18809" s="84"/>
      <c r="B18809" s="85"/>
      <c r="C18809" s="85"/>
      <c r="F18809" s="92"/>
      <c r="G18809" s="85"/>
    </row>
    <row r="18810">
      <c r="A18810" s="84"/>
      <c r="B18810" s="85"/>
      <c r="C18810" s="85"/>
      <c r="F18810" s="92"/>
      <c r="G18810" s="85"/>
    </row>
    <row r="18811">
      <c r="A18811" s="84"/>
      <c r="B18811" s="85"/>
      <c r="C18811" s="85"/>
      <c r="F18811" s="92"/>
      <c r="G18811" s="85"/>
    </row>
    <row r="18812">
      <c r="A18812" s="84"/>
      <c r="B18812" s="85"/>
      <c r="C18812" s="85"/>
      <c r="F18812" s="92"/>
      <c r="G18812" s="85"/>
    </row>
    <row r="18813">
      <c r="A18813" s="84"/>
      <c r="B18813" s="85"/>
      <c r="C18813" s="85"/>
      <c r="F18813" s="92"/>
      <c r="G18813" s="85"/>
    </row>
    <row r="18814">
      <c r="A18814" s="84"/>
      <c r="B18814" s="85"/>
      <c r="C18814" s="85"/>
      <c r="F18814" s="92"/>
      <c r="G18814" s="85"/>
    </row>
    <row r="18815">
      <c r="A18815" s="84"/>
      <c r="B18815" s="85"/>
      <c r="C18815" s="85"/>
      <c r="F18815" s="92"/>
      <c r="G18815" s="85"/>
    </row>
    <row r="18816">
      <c r="A18816" s="84"/>
      <c r="B18816" s="85"/>
      <c r="C18816" s="85"/>
      <c r="F18816" s="92"/>
      <c r="G18816" s="85"/>
    </row>
    <row r="18817">
      <c r="A18817" s="84"/>
      <c r="B18817" s="85"/>
      <c r="C18817" s="85"/>
      <c r="F18817" s="92"/>
      <c r="G18817" s="85"/>
    </row>
    <row r="18818">
      <c r="A18818" s="84"/>
      <c r="B18818" s="85"/>
      <c r="C18818" s="85"/>
      <c r="F18818" s="92"/>
      <c r="G18818" s="85"/>
    </row>
    <row r="18819">
      <c r="A18819" s="84"/>
      <c r="B18819" s="85"/>
      <c r="C18819" s="85"/>
      <c r="F18819" s="92"/>
      <c r="G18819" s="85"/>
    </row>
    <row r="18820">
      <c r="A18820" s="84"/>
      <c r="B18820" s="85"/>
      <c r="C18820" s="85"/>
      <c r="F18820" s="92"/>
      <c r="G18820" s="85"/>
    </row>
    <row r="18821">
      <c r="A18821" s="84"/>
      <c r="B18821" s="85"/>
      <c r="C18821" s="85"/>
      <c r="F18821" s="92"/>
      <c r="G18821" s="85"/>
    </row>
    <row r="18822">
      <c r="A18822" s="84"/>
      <c r="B18822" s="85"/>
      <c r="C18822" s="85"/>
      <c r="F18822" s="92"/>
      <c r="G18822" s="85"/>
    </row>
    <row r="18823">
      <c r="A18823" s="84"/>
      <c r="B18823" s="85"/>
      <c r="C18823" s="85"/>
      <c r="F18823" s="92"/>
      <c r="G18823" s="85"/>
    </row>
    <row r="18824">
      <c r="A18824" s="84"/>
      <c r="B18824" s="85"/>
      <c r="C18824" s="85"/>
      <c r="F18824" s="92"/>
      <c r="G18824" s="85"/>
    </row>
    <row r="18825">
      <c r="A18825" s="84"/>
      <c r="B18825" s="85"/>
      <c r="C18825" s="85"/>
      <c r="F18825" s="92"/>
      <c r="G18825" s="85"/>
    </row>
    <row r="18826">
      <c r="A18826" s="84"/>
      <c r="B18826" s="85"/>
      <c r="C18826" s="85"/>
      <c r="F18826" s="92"/>
      <c r="G18826" s="85"/>
    </row>
    <row r="18827">
      <c r="A18827" s="84"/>
      <c r="B18827" s="85"/>
      <c r="C18827" s="85"/>
      <c r="F18827" s="92"/>
      <c r="G18827" s="85"/>
    </row>
    <row r="18828">
      <c r="A18828" s="84"/>
      <c r="B18828" s="85"/>
      <c r="C18828" s="85"/>
      <c r="F18828" s="92"/>
      <c r="G18828" s="85"/>
    </row>
    <row r="18829">
      <c r="A18829" s="84"/>
      <c r="B18829" s="85"/>
      <c r="C18829" s="85"/>
      <c r="F18829" s="92"/>
      <c r="G18829" s="85"/>
    </row>
    <row r="18830">
      <c r="A18830" s="84"/>
      <c r="B18830" s="85"/>
      <c r="C18830" s="85"/>
      <c r="F18830" s="92"/>
      <c r="G18830" s="85"/>
    </row>
    <row r="18831">
      <c r="A18831" s="84"/>
      <c r="B18831" s="85"/>
      <c r="C18831" s="85"/>
      <c r="F18831" s="92"/>
      <c r="G18831" s="85"/>
    </row>
    <row r="18832">
      <c r="A18832" s="84"/>
      <c r="B18832" s="85"/>
      <c r="C18832" s="85"/>
      <c r="F18832" s="92"/>
      <c r="G18832" s="85"/>
    </row>
    <row r="18833">
      <c r="A18833" s="84"/>
      <c r="B18833" s="85"/>
      <c r="C18833" s="85"/>
      <c r="F18833" s="92"/>
      <c r="G18833" s="85"/>
    </row>
    <row r="18834">
      <c r="A18834" s="84"/>
      <c r="B18834" s="85"/>
      <c r="C18834" s="85"/>
      <c r="F18834" s="92"/>
      <c r="G18834" s="85"/>
    </row>
    <row r="18835">
      <c r="A18835" s="84"/>
      <c r="B18835" s="85"/>
      <c r="C18835" s="85"/>
      <c r="F18835" s="92"/>
      <c r="G18835" s="85"/>
    </row>
    <row r="18836">
      <c r="A18836" s="84"/>
      <c r="B18836" s="85"/>
      <c r="C18836" s="85"/>
      <c r="F18836" s="92"/>
      <c r="G18836" s="85"/>
    </row>
    <row r="18837">
      <c r="A18837" s="84"/>
      <c r="B18837" s="85"/>
      <c r="C18837" s="85"/>
      <c r="F18837" s="92"/>
      <c r="G18837" s="85"/>
    </row>
    <row r="18838">
      <c r="A18838" s="84"/>
      <c r="B18838" s="85"/>
      <c r="C18838" s="85"/>
      <c r="F18838" s="92"/>
      <c r="G18838" s="85"/>
    </row>
    <row r="18839">
      <c r="A18839" s="84"/>
      <c r="B18839" s="85"/>
      <c r="C18839" s="85"/>
      <c r="F18839" s="92"/>
      <c r="G18839" s="85"/>
    </row>
    <row r="18840">
      <c r="A18840" s="84"/>
      <c r="B18840" s="85"/>
      <c r="C18840" s="85"/>
      <c r="F18840" s="92"/>
      <c r="G18840" s="85"/>
    </row>
    <row r="18841">
      <c r="A18841" s="84"/>
      <c r="B18841" s="85"/>
      <c r="C18841" s="85"/>
      <c r="F18841" s="92"/>
      <c r="G18841" s="85"/>
    </row>
    <row r="18842">
      <c r="A18842" s="84"/>
      <c r="B18842" s="85"/>
      <c r="C18842" s="85"/>
      <c r="F18842" s="92"/>
      <c r="G18842" s="85"/>
    </row>
    <row r="18843">
      <c r="A18843" s="84"/>
      <c r="B18843" s="85"/>
      <c r="C18843" s="85"/>
      <c r="F18843" s="92"/>
      <c r="G18843" s="85"/>
    </row>
    <row r="18844">
      <c r="A18844" s="84"/>
      <c r="B18844" s="85"/>
      <c r="C18844" s="85"/>
      <c r="F18844" s="92"/>
      <c r="G18844" s="85"/>
    </row>
    <row r="18845">
      <c r="A18845" s="84"/>
      <c r="B18845" s="85"/>
      <c r="C18845" s="85"/>
      <c r="F18845" s="92"/>
      <c r="G18845" s="85"/>
    </row>
    <row r="18846">
      <c r="A18846" s="84"/>
      <c r="B18846" s="85"/>
      <c r="C18846" s="85"/>
      <c r="F18846" s="92"/>
      <c r="G18846" s="85"/>
    </row>
    <row r="18847">
      <c r="A18847" s="84"/>
      <c r="B18847" s="85"/>
      <c r="C18847" s="85"/>
      <c r="F18847" s="92"/>
      <c r="G18847" s="85"/>
    </row>
    <row r="18848">
      <c r="A18848" s="84"/>
      <c r="B18848" s="85"/>
      <c r="C18848" s="85"/>
      <c r="F18848" s="92"/>
      <c r="G18848" s="85"/>
    </row>
    <row r="18849">
      <c r="A18849" s="84"/>
      <c r="B18849" s="85"/>
      <c r="C18849" s="85"/>
      <c r="F18849" s="92"/>
      <c r="G18849" s="85"/>
    </row>
    <row r="18850">
      <c r="A18850" s="84"/>
      <c r="B18850" s="85"/>
      <c r="C18850" s="85"/>
      <c r="F18850" s="92"/>
      <c r="G18850" s="85"/>
    </row>
    <row r="18851">
      <c r="A18851" s="84"/>
      <c r="B18851" s="85"/>
      <c r="C18851" s="85"/>
      <c r="F18851" s="92"/>
      <c r="G18851" s="85"/>
    </row>
    <row r="18852">
      <c r="A18852" s="84"/>
      <c r="B18852" s="85"/>
      <c r="C18852" s="85"/>
      <c r="F18852" s="92"/>
      <c r="G18852" s="85"/>
    </row>
    <row r="18853">
      <c r="A18853" s="84"/>
      <c r="B18853" s="85"/>
      <c r="C18853" s="85"/>
      <c r="F18853" s="92"/>
      <c r="G18853" s="85"/>
    </row>
    <row r="18854">
      <c r="A18854" s="84"/>
      <c r="B18854" s="85"/>
      <c r="C18854" s="85"/>
      <c r="F18854" s="92"/>
      <c r="G18854" s="85"/>
    </row>
    <row r="18855">
      <c r="A18855" s="84"/>
      <c r="B18855" s="85"/>
      <c r="C18855" s="85"/>
      <c r="F18855" s="92"/>
      <c r="G18855" s="85"/>
    </row>
    <row r="18856">
      <c r="A18856" s="84"/>
      <c r="B18856" s="85"/>
      <c r="C18856" s="85"/>
      <c r="F18856" s="92"/>
      <c r="G18856" s="85"/>
    </row>
    <row r="18857">
      <c r="A18857" s="84"/>
      <c r="B18857" s="85"/>
      <c r="C18857" s="85"/>
      <c r="F18857" s="92"/>
      <c r="G18857" s="85"/>
    </row>
    <row r="18858">
      <c r="A18858" s="84"/>
      <c r="B18858" s="85"/>
      <c r="C18858" s="85"/>
      <c r="F18858" s="92"/>
      <c r="G18858" s="85"/>
    </row>
    <row r="18859">
      <c r="A18859" s="84"/>
      <c r="B18859" s="85"/>
      <c r="C18859" s="85"/>
      <c r="F18859" s="92"/>
      <c r="G18859" s="85"/>
    </row>
    <row r="18860">
      <c r="A18860" s="84"/>
      <c r="B18860" s="85"/>
      <c r="C18860" s="85"/>
      <c r="F18860" s="92"/>
      <c r="G18860" s="85"/>
    </row>
    <row r="18861">
      <c r="A18861" s="84"/>
      <c r="B18861" s="85"/>
      <c r="C18861" s="85"/>
      <c r="F18861" s="92"/>
      <c r="G18861" s="85"/>
    </row>
    <row r="18862">
      <c r="A18862" s="84"/>
      <c r="B18862" s="85"/>
      <c r="C18862" s="85"/>
      <c r="F18862" s="92"/>
      <c r="G18862" s="85"/>
    </row>
    <row r="18863">
      <c r="A18863" s="84"/>
      <c r="B18863" s="85"/>
      <c r="C18863" s="85"/>
      <c r="F18863" s="92"/>
      <c r="G18863" s="85"/>
    </row>
    <row r="18864">
      <c r="A18864" s="84"/>
      <c r="B18864" s="85"/>
      <c r="C18864" s="85"/>
      <c r="F18864" s="92"/>
      <c r="G18864" s="85"/>
    </row>
    <row r="18865">
      <c r="A18865" s="84"/>
      <c r="B18865" s="85"/>
      <c r="C18865" s="85"/>
      <c r="F18865" s="92"/>
      <c r="G18865" s="85"/>
    </row>
    <row r="18866">
      <c r="A18866" s="84"/>
      <c r="B18866" s="85"/>
      <c r="C18866" s="85"/>
      <c r="F18866" s="92"/>
      <c r="G18866" s="85"/>
    </row>
    <row r="18867">
      <c r="A18867" s="84"/>
      <c r="B18867" s="85"/>
      <c r="C18867" s="85"/>
      <c r="F18867" s="92"/>
      <c r="G18867" s="85"/>
    </row>
    <row r="18868">
      <c r="A18868" s="84"/>
      <c r="B18868" s="85"/>
      <c r="C18868" s="85"/>
      <c r="F18868" s="92"/>
      <c r="G18868" s="85"/>
    </row>
    <row r="18869">
      <c r="A18869" s="84"/>
      <c r="B18869" s="85"/>
      <c r="C18869" s="85"/>
      <c r="F18869" s="92"/>
      <c r="G18869" s="85"/>
    </row>
    <row r="18870">
      <c r="A18870" s="84"/>
      <c r="B18870" s="85"/>
      <c r="C18870" s="85"/>
      <c r="F18870" s="92"/>
      <c r="G18870" s="85"/>
    </row>
    <row r="18871">
      <c r="A18871" s="84"/>
      <c r="B18871" s="85"/>
      <c r="C18871" s="85"/>
      <c r="F18871" s="92"/>
      <c r="G18871" s="85"/>
    </row>
    <row r="18872">
      <c r="A18872" s="84"/>
      <c r="B18872" s="85"/>
      <c r="C18872" s="85"/>
      <c r="F18872" s="92"/>
      <c r="G18872" s="85"/>
    </row>
    <row r="18873">
      <c r="A18873" s="84"/>
      <c r="B18873" s="85"/>
      <c r="C18873" s="85"/>
      <c r="F18873" s="92"/>
      <c r="G18873" s="85"/>
    </row>
    <row r="18874">
      <c r="A18874" s="84"/>
      <c r="B18874" s="85"/>
      <c r="C18874" s="85"/>
      <c r="F18874" s="92"/>
      <c r="G18874" s="85"/>
    </row>
    <row r="18875">
      <c r="A18875" s="84"/>
      <c r="B18875" s="85"/>
      <c r="C18875" s="85"/>
      <c r="F18875" s="92"/>
      <c r="G18875" s="85"/>
    </row>
    <row r="18876">
      <c r="A18876" s="84"/>
      <c r="B18876" s="85"/>
      <c r="C18876" s="85"/>
      <c r="F18876" s="92"/>
      <c r="G18876" s="85"/>
    </row>
    <row r="18877">
      <c r="A18877" s="84"/>
      <c r="B18877" s="85"/>
      <c r="C18877" s="85"/>
      <c r="F18877" s="92"/>
      <c r="G18877" s="85"/>
    </row>
    <row r="18878">
      <c r="A18878" s="84"/>
      <c r="B18878" s="85"/>
      <c r="C18878" s="85"/>
      <c r="F18878" s="92"/>
      <c r="G18878" s="85"/>
    </row>
    <row r="18879">
      <c r="A18879" s="84"/>
      <c r="B18879" s="85"/>
      <c r="C18879" s="85"/>
      <c r="F18879" s="92"/>
      <c r="G18879" s="85"/>
    </row>
    <row r="18880">
      <c r="A18880" s="84"/>
      <c r="B18880" s="85"/>
      <c r="C18880" s="85"/>
      <c r="F18880" s="92"/>
      <c r="G18880" s="85"/>
    </row>
    <row r="18881">
      <c r="A18881" s="84"/>
      <c r="B18881" s="85"/>
      <c r="C18881" s="85"/>
      <c r="F18881" s="92"/>
      <c r="G18881" s="85"/>
    </row>
    <row r="18882">
      <c r="A18882" s="84"/>
      <c r="B18882" s="85"/>
      <c r="C18882" s="85"/>
      <c r="F18882" s="92"/>
      <c r="G18882" s="85"/>
    </row>
    <row r="18883">
      <c r="A18883" s="84"/>
      <c r="B18883" s="85"/>
      <c r="C18883" s="85"/>
      <c r="F18883" s="92"/>
      <c r="G18883" s="85"/>
    </row>
    <row r="18884">
      <c r="A18884" s="84"/>
      <c r="B18884" s="85"/>
      <c r="C18884" s="85"/>
      <c r="F18884" s="92"/>
      <c r="G18884" s="85"/>
    </row>
    <row r="18885">
      <c r="A18885" s="84"/>
      <c r="B18885" s="85"/>
      <c r="C18885" s="85"/>
      <c r="F18885" s="92"/>
      <c r="G18885" s="85"/>
    </row>
    <row r="18886">
      <c r="A18886" s="84"/>
      <c r="B18886" s="85"/>
      <c r="C18886" s="85"/>
      <c r="F18886" s="92"/>
      <c r="G18886" s="85"/>
    </row>
    <row r="18887">
      <c r="A18887" s="84"/>
      <c r="B18887" s="85"/>
      <c r="C18887" s="85"/>
      <c r="F18887" s="92"/>
      <c r="G18887" s="85"/>
    </row>
    <row r="18888">
      <c r="A18888" s="84"/>
      <c r="B18888" s="85"/>
      <c r="C18888" s="85"/>
      <c r="F18888" s="92"/>
      <c r="G18888" s="85"/>
    </row>
    <row r="18889">
      <c r="A18889" s="84"/>
      <c r="B18889" s="85"/>
      <c r="C18889" s="85"/>
      <c r="F18889" s="92"/>
      <c r="G18889" s="85"/>
    </row>
    <row r="18890">
      <c r="A18890" s="84"/>
      <c r="B18890" s="85"/>
      <c r="C18890" s="85"/>
      <c r="F18890" s="92"/>
      <c r="G18890" s="85"/>
    </row>
    <row r="18891">
      <c r="A18891" s="84"/>
      <c r="B18891" s="85"/>
      <c r="C18891" s="85"/>
      <c r="F18891" s="92"/>
      <c r="G18891" s="85"/>
    </row>
    <row r="18892">
      <c r="A18892" s="84"/>
      <c r="B18892" s="85"/>
      <c r="C18892" s="85"/>
      <c r="F18892" s="92"/>
      <c r="G18892" s="85"/>
    </row>
    <row r="18893">
      <c r="A18893" s="84"/>
      <c r="B18893" s="85"/>
      <c r="C18893" s="85"/>
      <c r="F18893" s="92"/>
      <c r="G18893" s="85"/>
    </row>
    <row r="18894">
      <c r="A18894" s="84"/>
      <c r="B18894" s="85"/>
      <c r="C18894" s="85"/>
      <c r="F18894" s="92"/>
      <c r="G18894" s="85"/>
    </row>
    <row r="18895">
      <c r="A18895" s="84"/>
      <c r="B18895" s="85"/>
      <c r="C18895" s="85"/>
      <c r="F18895" s="92"/>
      <c r="G18895" s="85"/>
    </row>
    <row r="18896">
      <c r="A18896" s="84"/>
      <c r="B18896" s="85"/>
      <c r="C18896" s="85"/>
      <c r="F18896" s="92"/>
      <c r="G18896" s="85"/>
    </row>
    <row r="18897">
      <c r="A18897" s="84"/>
      <c r="B18897" s="85"/>
      <c r="C18897" s="85"/>
      <c r="F18897" s="92"/>
      <c r="G18897" s="85"/>
    </row>
    <row r="18898">
      <c r="A18898" s="84"/>
      <c r="B18898" s="85"/>
      <c r="C18898" s="85"/>
      <c r="F18898" s="92"/>
      <c r="G18898" s="85"/>
    </row>
    <row r="18899">
      <c r="A18899" s="84"/>
      <c r="B18899" s="85"/>
      <c r="C18899" s="85"/>
      <c r="F18899" s="92"/>
      <c r="G18899" s="85"/>
    </row>
    <row r="18900">
      <c r="A18900" s="84"/>
      <c r="B18900" s="85"/>
      <c r="C18900" s="85"/>
      <c r="F18900" s="92"/>
      <c r="G18900" s="85"/>
    </row>
    <row r="18901">
      <c r="A18901" s="84"/>
      <c r="B18901" s="85"/>
      <c r="C18901" s="85"/>
      <c r="F18901" s="92"/>
      <c r="G18901" s="85"/>
    </row>
    <row r="18902">
      <c r="A18902" s="84"/>
      <c r="B18902" s="85"/>
      <c r="C18902" s="85"/>
      <c r="F18902" s="92"/>
      <c r="G18902" s="85"/>
    </row>
    <row r="18903">
      <c r="A18903" s="84"/>
      <c r="B18903" s="85"/>
      <c r="C18903" s="85"/>
      <c r="F18903" s="92"/>
      <c r="G18903" s="85"/>
    </row>
    <row r="18904">
      <c r="A18904" s="84"/>
      <c r="B18904" s="85"/>
      <c r="C18904" s="85"/>
      <c r="F18904" s="92"/>
      <c r="G18904" s="85"/>
    </row>
    <row r="18905">
      <c r="A18905" s="84"/>
      <c r="B18905" s="85"/>
      <c r="C18905" s="85"/>
      <c r="F18905" s="92"/>
      <c r="G18905" s="85"/>
    </row>
    <row r="18906">
      <c r="A18906" s="84"/>
      <c r="B18906" s="85"/>
      <c r="C18906" s="85"/>
      <c r="F18906" s="92"/>
      <c r="G18906" s="85"/>
    </row>
    <row r="18907">
      <c r="A18907" s="84"/>
      <c r="B18907" s="85"/>
      <c r="C18907" s="85"/>
      <c r="F18907" s="92"/>
      <c r="G18907" s="85"/>
    </row>
    <row r="18908">
      <c r="A18908" s="84"/>
      <c r="B18908" s="85"/>
      <c r="C18908" s="85"/>
      <c r="F18908" s="92"/>
      <c r="G18908" s="85"/>
    </row>
    <row r="18909">
      <c r="A18909" s="84"/>
      <c r="B18909" s="85"/>
      <c r="C18909" s="85"/>
      <c r="F18909" s="92"/>
      <c r="G18909" s="85"/>
    </row>
    <row r="18910">
      <c r="A18910" s="84"/>
      <c r="B18910" s="85"/>
      <c r="C18910" s="85"/>
      <c r="F18910" s="92"/>
      <c r="G18910" s="85"/>
    </row>
    <row r="18911">
      <c r="A18911" s="84"/>
      <c r="B18911" s="85"/>
      <c r="C18911" s="85"/>
      <c r="F18911" s="92"/>
      <c r="G18911" s="85"/>
    </row>
    <row r="18912">
      <c r="A18912" s="84"/>
      <c r="B18912" s="85"/>
      <c r="C18912" s="85"/>
      <c r="F18912" s="92"/>
      <c r="G18912" s="85"/>
    </row>
    <row r="18913">
      <c r="A18913" s="84"/>
      <c r="B18913" s="85"/>
      <c r="C18913" s="85"/>
      <c r="F18913" s="92"/>
      <c r="G18913" s="85"/>
    </row>
    <row r="18914">
      <c r="A18914" s="84"/>
      <c r="B18914" s="85"/>
      <c r="C18914" s="85"/>
      <c r="F18914" s="92"/>
      <c r="G18914" s="85"/>
    </row>
    <row r="18915">
      <c r="A18915" s="84"/>
      <c r="B18915" s="85"/>
      <c r="C18915" s="85"/>
      <c r="F18915" s="92"/>
      <c r="G18915" s="85"/>
    </row>
    <row r="18916">
      <c r="A18916" s="84"/>
      <c r="B18916" s="85"/>
      <c r="C18916" s="85"/>
      <c r="F18916" s="92"/>
      <c r="G18916" s="85"/>
    </row>
    <row r="18917">
      <c r="A18917" s="84"/>
      <c r="B18917" s="85"/>
      <c r="C18917" s="85"/>
      <c r="F18917" s="92"/>
      <c r="G18917" s="85"/>
    </row>
    <row r="18918">
      <c r="A18918" s="84"/>
      <c r="B18918" s="85"/>
      <c r="C18918" s="85"/>
      <c r="F18918" s="92"/>
      <c r="G18918" s="85"/>
    </row>
    <row r="18919">
      <c r="A18919" s="84"/>
      <c r="B18919" s="85"/>
      <c r="C18919" s="85"/>
      <c r="F18919" s="92"/>
      <c r="G18919" s="85"/>
    </row>
    <row r="18920">
      <c r="A18920" s="84"/>
      <c r="B18920" s="85"/>
      <c r="C18920" s="85"/>
      <c r="F18920" s="92"/>
      <c r="G18920" s="85"/>
    </row>
    <row r="18921">
      <c r="A18921" s="84"/>
      <c r="B18921" s="85"/>
      <c r="C18921" s="85"/>
      <c r="F18921" s="92"/>
      <c r="G18921" s="85"/>
    </row>
    <row r="18922">
      <c r="A18922" s="84"/>
      <c r="B18922" s="85"/>
      <c r="C18922" s="85"/>
      <c r="F18922" s="92"/>
      <c r="G18922" s="85"/>
    </row>
    <row r="18923">
      <c r="A18923" s="84"/>
      <c r="B18923" s="85"/>
      <c r="C18923" s="85"/>
      <c r="F18923" s="92"/>
      <c r="G18923" s="85"/>
    </row>
    <row r="18924">
      <c r="A18924" s="84"/>
      <c r="B18924" s="85"/>
      <c r="C18924" s="85"/>
      <c r="F18924" s="92"/>
      <c r="G18924" s="85"/>
    </row>
    <row r="18925">
      <c r="A18925" s="84"/>
      <c r="B18925" s="85"/>
      <c r="C18925" s="85"/>
      <c r="F18925" s="92"/>
      <c r="G18925" s="85"/>
    </row>
    <row r="18926">
      <c r="A18926" s="84"/>
      <c r="B18926" s="85"/>
      <c r="C18926" s="85"/>
      <c r="F18926" s="92"/>
      <c r="G18926" s="85"/>
    </row>
    <row r="18927">
      <c r="A18927" s="84"/>
      <c r="B18927" s="85"/>
      <c r="C18927" s="85"/>
      <c r="F18927" s="92"/>
      <c r="G18927" s="85"/>
    </row>
    <row r="18928">
      <c r="A18928" s="84"/>
      <c r="B18928" s="85"/>
      <c r="C18928" s="85"/>
      <c r="F18928" s="92"/>
      <c r="G18928" s="85"/>
    </row>
    <row r="18929">
      <c r="A18929" s="84"/>
      <c r="B18929" s="85"/>
      <c r="C18929" s="85"/>
      <c r="F18929" s="92"/>
      <c r="G18929" s="85"/>
    </row>
    <row r="18930">
      <c r="A18930" s="84"/>
      <c r="B18930" s="85"/>
      <c r="C18930" s="85"/>
      <c r="F18930" s="92"/>
      <c r="G18930" s="85"/>
    </row>
    <row r="18931">
      <c r="A18931" s="84"/>
      <c r="B18931" s="85"/>
      <c r="C18931" s="85"/>
      <c r="F18931" s="92"/>
      <c r="G18931" s="85"/>
    </row>
    <row r="18932">
      <c r="A18932" s="84"/>
      <c r="B18932" s="85"/>
      <c r="C18932" s="85"/>
      <c r="F18932" s="92"/>
      <c r="G18932" s="85"/>
    </row>
    <row r="18933">
      <c r="A18933" s="84"/>
      <c r="B18933" s="85"/>
      <c r="C18933" s="85"/>
      <c r="F18933" s="92"/>
      <c r="G18933" s="85"/>
    </row>
    <row r="18934">
      <c r="A18934" s="84"/>
      <c r="B18934" s="85"/>
      <c r="C18934" s="85"/>
      <c r="F18934" s="92"/>
      <c r="G18934" s="85"/>
    </row>
    <row r="18935">
      <c r="A18935" s="84"/>
      <c r="B18935" s="85"/>
      <c r="C18935" s="85"/>
      <c r="F18935" s="92"/>
      <c r="G18935" s="85"/>
    </row>
    <row r="18936">
      <c r="A18936" s="84"/>
      <c r="B18936" s="85"/>
      <c r="C18936" s="85"/>
      <c r="F18936" s="92"/>
      <c r="G18936" s="85"/>
    </row>
    <row r="18937">
      <c r="A18937" s="84"/>
      <c r="B18937" s="85"/>
      <c r="C18937" s="85"/>
      <c r="F18937" s="92"/>
      <c r="G18937" s="85"/>
    </row>
    <row r="18938">
      <c r="A18938" s="84"/>
      <c r="B18938" s="85"/>
      <c r="C18938" s="85"/>
      <c r="F18938" s="92"/>
      <c r="G18938" s="85"/>
    </row>
    <row r="18939">
      <c r="A18939" s="84"/>
      <c r="B18939" s="85"/>
      <c r="C18939" s="85"/>
      <c r="F18939" s="92"/>
      <c r="G18939" s="85"/>
    </row>
    <row r="18940">
      <c r="A18940" s="84"/>
      <c r="B18940" s="85"/>
      <c r="C18940" s="85"/>
      <c r="F18940" s="92"/>
      <c r="G18940" s="85"/>
    </row>
    <row r="18941">
      <c r="A18941" s="84"/>
      <c r="B18941" s="85"/>
      <c r="C18941" s="85"/>
      <c r="F18941" s="92"/>
      <c r="G18941" s="85"/>
    </row>
    <row r="18942">
      <c r="A18942" s="84"/>
      <c r="B18942" s="85"/>
      <c r="C18942" s="85"/>
      <c r="F18942" s="92"/>
      <c r="G18942" s="85"/>
    </row>
    <row r="18943">
      <c r="A18943" s="84"/>
      <c r="B18943" s="85"/>
      <c r="C18943" s="85"/>
      <c r="F18943" s="92"/>
      <c r="G18943" s="85"/>
    </row>
    <row r="18944">
      <c r="A18944" s="84"/>
      <c r="B18944" s="85"/>
      <c r="C18944" s="85"/>
      <c r="F18944" s="92"/>
      <c r="G18944" s="85"/>
    </row>
    <row r="18945">
      <c r="A18945" s="84"/>
      <c r="B18945" s="85"/>
      <c r="C18945" s="85"/>
      <c r="F18945" s="92"/>
      <c r="G18945" s="85"/>
    </row>
    <row r="18946">
      <c r="A18946" s="84"/>
      <c r="B18946" s="85"/>
      <c r="C18946" s="85"/>
      <c r="F18946" s="92"/>
      <c r="G18946" s="85"/>
    </row>
    <row r="18947">
      <c r="A18947" s="84"/>
      <c r="B18947" s="85"/>
      <c r="C18947" s="85"/>
      <c r="F18947" s="92"/>
      <c r="G18947" s="85"/>
    </row>
    <row r="18948">
      <c r="A18948" s="84"/>
      <c r="B18948" s="85"/>
      <c r="C18948" s="85"/>
      <c r="F18948" s="92"/>
      <c r="G18948" s="85"/>
    </row>
    <row r="18949">
      <c r="A18949" s="84"/>
      <c r="B18949" s="85"/>
      <c r="C18949" s="85"/>
      <c r="F18949" s="92"/>
      <c r="G18949" s="85"/>
    </row>
    <row r="18950">
      <c r="A18950" s="84"/>
      <c r="B18950" s="85"/>
      <c r="C18950" s="85"/>
      <c r="F18950" s="92"/>
      <c r="G18950" s="85"/>
    </row>
    <row r="18951">
      <c r="A18951" s="84"/>
      <c r="B18951" s="85"/>
      <c r="C18951" s="85"/>
      <c r="F18951" s="92"/>
      <c r="G18951" s="85"/>
    </row>
    <row r="18952">
      <c r="A18952" s="84"/>
      <c r="B18952" s="85"/>
      <c r="C18952" s="85"/>
      <c r="F18952" s="92"/>
      <c r="G18952" s="85"/>
    </row>
    <row r="18953">
      <c r="A18953" s="84"/>
      <c r="B18953" s="85"/>
      <c r="C18953" s="85"/>
      <c r="F18953" s="92"/>
      <c r="G18953" s="85"/>
    </row>
    <row r="18954">
      <c r="A18954" s="84"/>
      <c r="B18954" s="85"/>
      <c r="C18954" s="85"/>
      <c r="F18954" s="92"/>
      <c r="G18954" s="85"/>
    </row>
    <row r="18955">
      <c r="A18955" s="84"/>
      <c r="B18955" s="85"/>
      <c r="C18955" s="85"/>
      <c r="F18955" s="92"/>
      <c r="G18955" s="85"/>
    </row>
    <row r="18956">
      <c r="A18956" s="84"/>
      <c r="B18956" s="85"/>
      <c r="C18956" s="85"/>
      <c r="F18956" s="92"/>
      <c r="G18956" s="85"/>
    </row>
    <row r="18957">
      <c r="A18957" s="84"/>
      <c r="B18957" s="85"/>
      <c r="C18957" s="85"/>
      <c r="F18957" s="92"/>
      <c r="G18957" s="85"/>
    </row>
    <row r="18958">
      <c r="A18958" s="84"/>
      <c r="B18958" s="85"/>
      <c r="C18958" s="85"/>
      <c r="F18958" s="92"/>
      <c r="G18958" s="85"/>
    </row>
    <row r="18959">
      <c r="A18959" s="84"/>
      <c r="B18959" s="85"/>
      <c r="C18959" s="85"/>
      <c r="F18959" s="92"/>
      <c r="G18959" s="85"/>
    </row>
    <row r="18960">
      <c r="A18960" s="84"/>
      <c r="B18960" s="85"/>
      <c r="C18960" s="85"/>
      <c r="F18960" s="92"/>
      <c r="G18960" s="85"/>
    </row>
    <row r="18961">
      <c r="A18961" s="84"/>
      <c r="B18961" s="85"/>
      <c r="C18961" s="85"/>
      <c r="F18961" s="92"/>
      <c r="G18961" s="85"/>
    </row>
    <row r="18962">
      <c r="A18962" s="84"/>
      <c r="B18962" s="85"/>
      <c r="C18962" s="85"/>
      <c r="F18962" s="92"/>
      <c r="G18962" s="85"/>
    </row>
    <row r="18963">
      <c r="A18963" s="84"/>
      <c r="B18963" s="85"/>
      <c r="C18963" s="85"/>
      <c r="F18963" s="92"/>
      <c r="G18963" s="85"/>
    </row>
    <row r="18964">
      <c r="A18964" s="84"/>
      <c r="B18964" s="85"/>
      <c r="C18964" s="85"/>
      <c r="F18964" s="92"/>
      <c r="G18964" s="85"/>
    </row>
    <row r="18965">
      <c r="A18965" s="84"/>
      <c r="B18965" s="85"/>
      <c r="C18965" s="85"/>
      <c r="F18965" s="92"/>
      <c r="G18965" s="85"/>
    </row>
    <row r="18966">
      <c r="A18966" s="84"/>
      <c r="B18966" s="85"/>
      <c r="C18966" s="85"/>
      <c r="F18966" s="92"/>
      <c r="G18966" s="85"/>
    </row>
    <row r="18967">
      <c r="A18967" s="84"/>
      <c r="B18967" s="85"/>
      <c r="C18967" s="85"/>
      <c r="F18967" s="92"/>
      <c r="G18967" s="85"/>
    </row>
    <row r="18968">
      <c r="A18968" s="84"/>
      <c r="B18968" s="85"/>
      <c r="C18968" s="85"/>
      <c r="F18968" s="92"/>
      <c r="G18968" s="85"/>
    </row>
    <row r="18969">
      <c r="A18969" s="84"/>
      <c r="B18969" s="85"/>
      <c r="C18969" s="85"/>
      <c r="F18969" s="92"/>
      <c r="G18969" s="85"/>
    </row>
    <row r="18970">
      <c r="A18970" s="84"/>
      <c r="B18970" s="85"/>
      <c r="C18970" s="85"/>
      <c r="F18970" s="92"/>
      <c r="G18970" s="85"/>
    </row>
    <row r="18971">
      <c r="A18971" s="84"/>
      <c r="B18971" s="85"/>
      <c r="C18971" s="85"/>
      <c r="F18971" s="92"/>
      <c r="G18971" s="85"/>
    </row>
    <row r="18972">
      <c r="A18972" s="84"/>
      <c r="B18972" s="85"/>
      <c r="C18972" s="85"/>
      <c r="F18972" s="92"/>
      <c r="G18972" s="85"/>
    </row>
    <row r="18973">
      <c r="A18973" s="84"/>
      <c r="B18973" s="85"/>
      <c r="C18973" s="85"/>
      <c r="F18973" s="92"/>
      <c r="G18973" s="85"/>
    </row>
    <row r="18974">
      <c r="A18974" s="84"/>
      <c r="B18974" s="85"/>
      <c r="C18974" s="85"/>
      <c r="F18974" s="92"/>
      <c r="G18974" s="85"/>
    </row>
    <row r="18975">
      <c r="A18975" s="84"/>
      <c r="B18975" s="85"/>
      <c r="C18975" s="85"/>
      <c r="F18975" s="92"/>
      <c r="G18975" s="85"/>
    </row>
    <row r="18976">
      <c r="A18976" s="84"/>
      <c r="B18976" s="85"/>
      <c r="C18976" s="85"/>
      <c r="F18976" s="92"/>
      <c r="G18976" s="85"/>
    </row>
    <row r="18977">
      <c r="A18977" s="84"/>
      <c r="B18977" s="85"/>
      <c r="C18977" s="85"/>
      <c r="F18977" s="92"/>
      <c r="G18977" s="85"/>
    </row>
    <row r="18978">
      <c r="A18978" s="84"/>
      <c r="B18978" s="85"/>
      <c r="C18978" s="85"/>
      <c r="F18978" s="92"/>
      <c r="G18978" s="85"/>
    </row>
    <row r="18979">
      <c r="A18979" s="84"/>
      <c r="B18979" s="85"/>
      <c r="C18979" s="85"/>
      <c r="F18979" s="92"/>
      <c r="G18979" s="85"/>
    </row>
    <row r="18980">
      <c r="A18980" s="84"/>
      <c r="B18980" s="85"/>
      <c r="C18980" s="85"/>
      <c r="F18980" s="92"/>
      <c r="G18980" s="85"/>
    </row>
    <row r="18981">
      <c r="A18981" s="84"/>
      <c r="B18981" s="85"/>
      <c r="C18981" s="85"/>
      <c r="F18981" s="92"/>
      <c r="G18981" s="85"/>
    </row>
    <row r="18982">
      <c r="A18982" s="84"/>
      <c r="B18982" s="85"/>
      <c r="C18982" s="85"/>
      <c r="F18982" s="92"/>
      <c r="G18982" s="85"/>
    </row>
    <row r="18983">
      <c r="A18983" s="84"/>
      <c r="B18983" s="85"/>
      <c r="C18983" s="85"/>
      <c r="F18983" s="92"/>
      <c r="G18983" s="85"/>
    </row>
    <row r="18984">
      <c r="A18984" s="84"/>
      <c r="B18984" s="85"/>
      <c r="C18984" s="85"/>
      <c r="F18984" s="92"/>
      <c r="G18984" s="85"/>
    </row>
    <row r="18985">
      <c r="A18985" s="84"/>
      <c r="B18985" s="85"/>
      <c r="C18985" s="85"/>
      <c r="F18985" s="92"/>
      <c r="G18985" s="85"/>
    </row>
    <row r="18986">
      <c r="A18986" s="84"/>
      <c r="B18986" s="85"/>
      <c r="C18986" s="85"/>
      <c r="F18986" s="92"/>
      <c r="G18986" s="85"/>
    </row>
    <row r="18987">
      <c r="A18987" s="84"/>
      <c r="B18987" s="85"/>
      <c r="C18987" s="85"/>
      <c r="F18987" s="92"/>
      <c r="G18987" s="85"/>
    </row>
    <row r="18988">
      <c r="A18988" s="84"/>
      <c r="B18988" s="85"/>
      <c r="C18988" s="85"/>
      <c r="F18988" s="92"/>
      <c r="G18988" s="85"/>
    </row>
    <row r="18989">
      <c r="A18989" s="84"/>
      <c r="B18989" s="85"/>
      <c r="C18989" s="85"/>
      <c r="F18989" s="92"/>
      <c r="G18989" s="85"/>
    </row>
    <row r="18990">
      <c r="A18990" s="84"/>
      <c r="B18990" s="85"/>
      <c r="C18990" s="85"/>
      <c r="F18990" s="92"/>
      <c r="G18990" s="85"/>
    </row>
    <row r="18991">
      <c r="A18991" s="84"/>
      <c r="B18991" s="85"/>
      <c r="C18991" s="85"/>
      <c r="F18991" s="92"/>
      <c r="G18991" s="85"/>
    </row>
    <row r="18992">
      <c r="A18992" s="84"/>
      <c r="B18992" s="85"/>
      <c r="C18992" s="85"/>
      <c r="F18992" s="92"/>
      <c r="G18992" s="85"/>
    </row>
    <row r="18993">
      <c r="A18993" s="84"/>
      <c r="B18993" s="85"/>
      <c r="C18993" s="85"/>
      <c r="F18993" s="92"/>
      <c r="G18993" s="85"/>
    </row>
    <row r="18994">
      <c r="A18994" s="84"/>
      <c r="B18994" s="85"/>
      <c r="C18994" s="85"/>
      <c r="F18994" s="92"/>
      <c r="G18994" s="85"/>
    </row>
    <row r="18995">
      <c r="A18995" s="84"/>
      <c r="B18995" s="85"/>
      <c r="C18995" s="85"/>
      <c r="F18995" s="92"/>
      <c r="G18995" s="85"/>
    </row>
    <row r="18996">
      <c r="A18996" s="84"/>
      <c r="B18996" s="85"/>
      <c r="C18996" s="85"/>
      <c r="F18996" s="92"/>
      <c r="G18996" s="85"/>
    </row>
    <row r="18997">
      <c r="A18997" s="84"/>
      <c r="B18997" s="85"/>
      <c r="C18997" s="85"/>
      <c r="F18997" s="92"/>
      <c r="G18997" s="85"/>
    </row>
    <row r="18998">
      <c r="A18998" s="84"/>
      <c r="B18998" s="85"/>
      <c r="C18998" s="85"/>
      <c r="F18998" s="92"/>
      <c r="G18998" s="85"/>
    </row>
    <row r="18999">
      <c r="A18999" s="84"/>
      <c r="B18999" s="85"/>
      <c r="C18999" s="85"/>
      <c r="F18999" s="92"/>
      <c r="G18999" s="85"/>
    </row>
    <row r="19000">
      <c r="A19000" s="84"/>
      <c r="B19000" s="85"/>
      <c r="C19000" s="85"/>
      <c r="F19000" s="92"/>
      <c r="G19000" s="85"/>
    </row>
    <row r="19001">
      <c r="A19001" s="84"/>
      <c r="B19001" s="85"/>
      <c r="C19001" s="85"/>
      <c r="F19001" s="92"/>
      <c r="G19001" s="85"/>
    </row>
    <row r="19002">
      <c r="A19002" s="84"/>
      <c r="B19002" s="85"/>
      <c r="C19002" s="85"/>
      <c r="F19002" s="92"/>
      <c r="G19002" s="85"/>
    </row>
    <row r="19003">
      <c r="A19003" s="84"/>
      <c r="B19003" s="85"/>
      <c r="C19003" s="85"/>
      <c r="F19003" s="92"/>
      <c r="G19003" s="85"/>
    </row>
    <row r="19004">
      <c r="A19004" s="84"/>
      <c r="B19004" s="85"/>
      <c r="C19004" s="85"/>
      <c r="F19004" s="92"/>
      <c r="G19004" s="85"/>
    </row>
    <row r="19005">
      <c r="A19005" s="84"/>
      <c r="B19005" s="85"/>
      <c r="C19005" s="85"/>
      <c r="F19005" s="92"/>
      <c r="G19005" s="85"/>
    </row>
    <row r="19006">
      <c r="A19006" s="84"/>
      <c r="B19006" s="85"/>
      <c r="C19006" s="85"/>
      <c r="F19006" s="92"/>
      <c r="G19006" s="85"/>
    </row>
    <row r="19007">
      <c r="A19007" s="84"/>
      <c r="B19007" s="85"/>
      <c r="C19007" s="85"/>
      <c r="F19007" s="92"/>
      <c r="G19007" s="85"/>
    </row>
    <row r="19008">
      <c r="A19008" s="84"/>
      <c r="B19008" s="85"/>
      <c r="C19008" s="85"/>
      <c r="F19008" s="92"/>
      <c r="G19008" s="85"/>
    </row>
    <row r="19009">
      <c r="A19009" s="84"/>
      <c r="B19009" s="85"/>
      <c r="C19009" s="85"/>
      <c r="F19009" s="92"/>
      <c r="G19009" s="85"/>
    </row>
    <row r="19010">
      <c r="A19010" s="84"/>
      <c r="B19010" s="85"/>
      <c r="C19010" s="85"/>
      <c r="F19010" s="92"/>
      <c r="G19010" s="85"/>
    </row>
    <row r="19011">
      <c r="A19011" s="84"/>
      <c r="B19011" s="85"/>
      <c r="C19011" s="85"/>
      <c r="F19011" s="92"/>
      <c r="G19011" s="85"/>
    </row>
    <row r="19012">
      <c r="A19012" s="84"/>
      <c r="B19012" s="85"/>
      <c r="C19012" s="85"/>
      <c r="F19012" s="92"/>
      <c r="G19012" s="85"/>
    </row>
    <row r="19013">
      <c r="A19013" s="84"/>
      <c r="B19013" s="85"/>
      <c r="C19013" s="85"/>
      <c r="F19013" s="92"/>
      <c r="G19013" s="85"/>
    </row>
    <row r="19014">
      <c r="A19014" s="84"/>
      <c r="B19014" s="85"/>
      <c r="C19014" s="85"/>
      <c r="F19014" s="92"/>
      <c r="G19014" s="85"/>
    </row>
    <row r="19015">
      <c r="A19015" s="84"/>
      <c r="B19015" s="85"/>
      <c r="C19015" s="85"/>
      <c r="F19015" s="92"/>
      <c r="G19015" s="85"/>
    </row>
    <row r="19016">
      <c r="A19016" s="84"/>
      <c r="B19016" s="85"/>
      <c r="C19016" s="85"/>
      <c r="F19016" s="92"/>
      <c r="G19016" s="85"/>
    </row>
    <row r="19017">
      <c r="A19017" s="84"/>
      <c r="B19017" s="85"/>
      <c r="C19017" s="85"/>
      <c r="F19017" s="92"/>
      <c r="G19017" s="85"/>
    </row>
    <row r="19018">
      <c r="A19018" s="84"/>
      <c r="B19018" s="85"/>
      <c r="C19018" s="85"/>
      <c r="F19018" s="92"/>
      <c r="G19018" s="85"/>
    </row>
    <row r="19019">
      <c r="A19019" s="84"/>
      <c r="B19019" s="85"/>
      <c r="C19019" s="85"/>
      <c r="F19019" s="92"/>
      <c r="G19019" s="85"/>
    </row>
    <row r="19020">
      <c r="A19020" s="84"/>
      <c r="B19020" s="85"/>
      <c r="C19020" s="85"/>
      <c r="F19020" s="92"/>
      <c r="G19020" s="85"/>
    </row>
    <row r="19021">
      <c r="A19021" s="84"/>
      <c r="B19021" s="85"/>
      <c r="C19021" s="85"/>
      <c r="F19021" s="92"/>
      <c r="G19021" s="85"/>
    </row>
    <row r="19022">
      <c r="A19022" s="84"/>
      <c r="B19022" s="85"/>
      <c r="C19022" s="85"/>
      <c r="F19022" s="92"/>
      <c r="G19022" s="85"/>
    </row>
    <row r="19023">
      <c r="A19023" s="84"/>
      <c r="B19023" s="85"/>
      <c r="C19023" s="85"/>
      <c r="F19023" s="92"/>
      <c r="G19023" s="85"/>
    </row>
    <row r="19024">
      <c r="A19024" s="84"/>
      <c r="B19024" s="85"/>
      <c r="C19024" s="85"/>
      <c r="F19024" s="92"/>
      <c r="G19024" s="85"/>
    </row>
    <row r="19025">
      <c r="A19025" s="84"/>
      <c r="B19025" s="85"/>
      <c r="C19025" s="85"/>
      <c r="F19025" s="92"/>
      <c r="G19025" s="85"/>
    </row>
    <row r="19026">
      <c r="A19026" s="84"/>
      <c r="B19026" s="85"/>
      <c r="C19026" s="85"/>
      <c r="F19026" s="92"/>
      <c r="G19026" s="85"/>
    </row>
    <row r="19027">
      <c r="A19027" s="84"/>
      <c r="B19027" s="85"/>
      <c r="C19027" s="85"/>
      <c r="F19027" s="92"/>
      <c r="G19027" s="85"/>
    </row>
    <row r="19028">
      <c r="A19028" s="84"/>
      <c r="B19028" s="85"/>
      <c r="C19028" s="85"/>
      <c r="F19028" s="92"/>
      <c r="G19028" s="85"/>
    </row>
    <row r="19029">
      <c r="A19029" s="84"/>
      <c r="B19029" s="85"/>
      <c r="C19029" s="85"/>
      <c r="F19029" s="92"/>
      <c r="G19029" s="85"/>
    </row>
    <row r="19030">
      <c r="A19030" s="84"/>
      <c r="B19030" s="85"/>
      <c r="C19030" s="85"/>
      <c r="F19030" s="92"/>
      <c r="G19030" s="85"/>
    </row>
    <row r="19031">
      <c r="A19031" s="84"/>
      <c r="B19031" s="85"/>
      <c r="C19031" s="85"/>
      <c r="F19031" s="92"/>
      <c r="G19031" s="85"/>
    </row>
    <row r="19032">
      <c r="A19032" s="84"/>
      <c r="B19032" s="85"/>
      <c r="C19032" s="85"/>
      <c r="F19032" s="92"/>
      <c r="G19032" s="85"/>
    </row>
    <row r="19033">
      <c r="A19033" s="84"/>
      <c r="B19033" s="85"/>
      <c r="C19033" s="85"/>
      <c r="F19033" s="92"/>
      <c r="G19033" s="85"/>
    </row>
    <row r="19034">
      <c r="A19034" s="84"/>
      <c r="B19034" s="85"/>
      <c r="C19034" s="85"/>
      <c r="F19034" s="92"/>
      <c r="G19034" s="85"/>
    </row>
    <row r="19035">
      <c r="A19035" s="84"/>
      <c r="B19035" s="85"/>
      <c r="C19035" s="85"/>
      <c r="F19035" s="92"/>
      <c r="G19035" s="85"/>
    </row>
    <row r="19036">
      <c r="A19036" s="84"/>
      <c r="B19036" s="85"/>
      <c r="C19036" s="85"/>
      <c r="F19036" s="92"/>
      <c r="G19036" s="85"/>
    </row>
    <row r="19037">
      <c r="A19037" s="84"/>
      <c r="B19037" s="85"/>
      <c r="C19037" s="85"/>
      <c r="F19037" s="92"/>
      <c r="G19037" s="85"/>
    </row>
    <row r="19038">
      <c r="A19038" s="84"/>
      <c r="B19038" s="85"/>
      <c r="C19038" s="85"/>
      <c r="F19038" s="92"/>
      <c r="G19038" s="85"/>
    </row>
    <row r="19039">
      <c r="A19039" s="84"/>
      <c r="B19039" s="85"/>
      <c r="C19039" s="85"/>
      <c r="F19039" s="92"/>
      <c r="G19039" s="85"/>
    </row>
    <row r="19040">
      <c r="A19040" s="84"/>
      <c r="B19040" s="85"/>
      <c r="C19040" s="85"/>
      <c r="F19040" s="92"/>
      <c r="G19040" s="85"/>
    </row>
    <row r="19041">
      <c r="A19041" s="84"/>
      <c r="B19041" s="85"/>
      <c r="C19041" s="85"/>
      <c r="F19041" s="92"/>
      <c r="G19041" s="85"/>
    </row>
    <row r="19042">
      <c r="A19042" s="84"/>
      <c r="B19042" s="85"/>
      <c r="C19042" s="85"/>
      <c r="F19042" s="92"/>
      <c r="G19042" s="85"/>
    </row>
    <row r="19043">
      <c r="A19043" s="84"/>
      <c r="B19043" s="85"/>
      <c r="C19043" s="85"/>
      <c r="F19043" s="92"/>
      <c r="G19043" s="85"/>
    </row>
    <row r="19044">
      <c r="A19044" s="84"/>
      <c r="B19044" s="85"/>
      <c r="C19044" s="85"/>
      <c r="F19044" s="92"/>
      <c r="G19044" s="85"/>
    </row>
    <row r="19045">
      <c r="A19045" s="84"/>
      <c r="B19045" s="85"/>
      <c r="C19045" s="85"/>
      <c r="F19045" s="92"/>
      <c r="G19045" s="85"/>
    </row>
    <row r="19046">
      <c r="A19046" s="84"/>
      <c r="B19046" s="85"/>
      <c r="C19046" s="85"/>
      <c r="F19046" s="92"/>
      <c r="G19046" s="85"/>
    </row>
    <row r="19047">
      <c r="A19047" s="84"/>
      <c r="B19047" s="85"/>
      <c r="C19047" s="85"/>
      <c r="F19047" s="92"/>
      <c r="G19047" s="85"/>
    </row>
    <row r="19048">
      <c r="A19048" s="84"/>
      <c r="B19048" s="85"/>
      <c r="C19048" s="85"/>
      <c r="F19048" s="92"/>
      <c r="G19048" s="85"/>
    </row>
    <row r="19049">
      <c r="A19049" s="84"/>
      <c r="B19049" s="85"/>
      <c r="C19049" s="85"/>
      <c r="F19049" s="92"/>
      <c r="G19049" s="85"/>
    </row>
    <row r="19050">
      <c r="A19050" s="84"/>
      <c r="B19050" s="85"/>
      <c r="C19050" s="85"/>
      <c r="F19050" s="92"/>
      <c r="G19050" s="85"/>
    </row>
    <row r="19051">
      <c r="A19051" s="84"/>
      <c r="B19051" s="85"/>
      <c r="C19051" s="85"/>
      <c r="F19051" s="92"/>
      <c r="G19051" s="85"/>
    </row>
    <row r="19052">
      <c r="A19052" s="84"/>
      <c r="B19052" s="85"/>
      <c r="C19052" s="85"/>
      <c r="F19052" s="92"/>
      <c r="G19052" s="85"/>
    </row>
    <row r="19053">
      <c r="A19053" s="84"/>
      <c r="B19053" s="85"/>
      <c r="C19053" s="85"/>
      <c r="F19053" s="92"/>
      <c r="G19053" s="85"/>
    </row>
    <row r="19054">
      <c r="A19054" s="84"/>
      <c r="B19054" s="85"/>
      <c r="C19054" s="85"/>
      <c r="F19054" s="92"/>
      <c r="G19054" s="85"/>
    </row>
    <row r="19055">
      <c r="A19055" s="84"/>
      <c r="B19055" s="85"/>
      <c r="C19055" s="85"/>
      <c r="F19055" s="92"/>
      <c r="G19055" s="85"/>
    </row>
    <row r="19056">
      <c r="A19056" s="84"/>
      <c r="B19056" s="85"/>
      <c r="C19056" s="85"/>
      <c r="F19056" s="92"/>
      <c r="G19056" s="85"/>
    </row>
    <row r="19057">
      <c r="A19057" s="84"/>
      <c r="B19057" s="85"/>
      <c r="C19057" s="85"/>
      <c r="F19057" s="92"/>
      <c r="G19057" s="85"/>
    </row>
    <row r="19058">
      <c r="A19058" s="84"/>
      <c r="B19058" s="85"/>
      <c r="C19058" s="85"/>
      <c r="F19058" s="92"/>
      <c r="G19058" s="85"/>
    </row>
    <row r="19059">
      <c r="A19059" s="84"/>
      <c r="B19059" s="85"/>
      <c r="C19059" s="85"/>
      <c r="F19059" s="92"/>
      <c r="G19059" s="85"/>
    </row>
    <row r="19060">
      <c r="A19060" s="84"/>
      <c r="B19060" s="85"/>
      <c r="C19060" s="85"/>
      <c r="F19060" s="92"/>
      <c r="G19060" s="85"/>
    </row>
    <row r="19061">
      <c r="A19061" s="84"/>
      <c r="B19061" s="85"/>
      <c r="C19061" s="85"/>
      <c r="F19061" s="92"/>
      <c r="G19061" s="85"/>
    </row>
    <row r="19062">
      <c r="A19062" s="84"/>
      <c r="B19062" s="85"/>
      <c r="C19062" s="85"/>
      <c r="F19062" s="92"/>
      <c r="G19062" s="85"/>
    </row>
    <row r="19063">
      <c r="A19063" s="84"/>
      <c r="B19063" s="85"/>
      <c r="C19063" s="85"/>
      <c r="F19063" s="92"/>
      <c r="G19063" s="85"/>
    </row>
    <row r="19064">
      <c r="A19064" s="84"/>
      <c r="B19064" s="85"/>
      <c r="C19064" s="85"/>
      <c r="F19064" s="92"/>
      <c r="G19064" s="85"/>
    </row>
    <row r="19065">
      <c r="A19065" s="84"/>
      <c r="B19065" s="85"/>
      <c r="C19065" s="85"/>
      <c r="F19065" s="92"/>
      <c r="G19065" s="85"/>
    </row>
    <row r="19066">
      <c r="A19066" s="84"/>
      <c r="B19066" s="85"/>
      <c r="C19066" s="85"/>
      <c r="F19066" s="92"/>
      <c r="G19066" s="85"/>
    </row>
    <row r="19067">
      <c r="A19067" s="84"/>
      <c r="B19067" s="85"/>
      <c r="C19067" s="85"/>
      <c r="F19067" s="92"/>
      <c r="G19067" s="85"/>
    </row>
    <row r="19068">
      <c r="A19068" s="84"/>
      <c r="B19068" s="85"/>
      <c r="C19068" s="85"/>
      <c r="F19068" s="92"/>
      <c r="G19068" s="85"/>
    </row>
    <row r="19069">
      <c r="A19069" s="84"/>
      <c r="B19069" s="85"/>
      <c r="C19069" s="85"/>
      <c r="F19069" s="92"/>
      <c r="G19069" s="85"/>
    </row>
    <row r="19070">
      <c r="A19070" s="84"/>
      <c r="B19070" s="85"/>
      <c r="C19070" s="85"/>
      <c r="F19070" s="92"/>
      <c r="G19070" s="85"/>
    </row>
    <row r="19071">
      <c r="A19071" s="84"/>
      <c r="B19071" s="85"/>
      <c r="C19071" s="85"/>
      <c r="F19071" s="92"/>
      <c r="G19071" s="85"/>
    </row>
    <row r="19072">
      <c r="A19072" s="84"/>
      <c r="B19072" s="85"/>
      <c r="C19072" s="85"/>
      <c r="F19072" s="92"/>
      <c r="G19072" s="85"/>
    </row>
    <row r="19073">
      <c r="A19073" s="84"/>
      <c r="B19073" s="85"/>
      <c r="C19073" s="85"/>
      <c r="F19073" s="92"/>
      <c r="G19073" s="85"/>
    </row>
    <row r="19074">
      <c r="A19074" s="84"/>
      <c r="B19074" s="85"/>
      <c r="C19074" s="85"/>
      <c r="F19074" s="92"/>
      <c r="G19074" s="85"/>
    </row>
    <row r="19075">
      <c r="A19075" s="84"/>
      <c r="B19075" s="85"/>
      <c r="C19075" s="85"/>
      <c r="F19075" s="92"/>
      <c r="G19075" s="85"/>
    </row>
    <row r="19076">
      <c r="A19076" s="84"/>
      <c r="B19076" s="85"/>
      <c r="C19076" s="85"/>
      <c r="F19076" s="92"/>
      <c r="G19076" s="85"/>
    </row>
    <row r="19077">
      <c r="A19077" s="84"/>
      <c r="B19077" s="85"/>
      <c r="C19077" s="85"/>
      <c r="F19077" s="92"/>
      <c r="G19077" s="85"/>
    </row>
    <row r="19078">
      <c r="A19078" s="84"/>
      <c r="B19078" s="85"/>
      <c r="C19078" s="85"/>
      <c r="F19078" s="92"/>
      <c r="G19078" s="85"/>
    </row>
    <row r="19079">
      <c r="A19079" s="84"/>
      <c r="B19079" s="85"/>
      <c r="C19079" s="85"/>
      <c r="F19079" s="92"/>
      <c r="G19079" s="85"/>
    </row>
    <row r="19080">
      <c r="A19080" s="84"/>
      <c r="B19080" s="85"/>
      <c r="C19080" s="85"/>
      <c r="F19080" s="92"/>
      <c r="G19080" s="85"/>
    </row>
    <row r="19081">
      <c r="A19081" s="84"/>
      <c r="B19081" s="85"/>
      <c r="C19081" s="85"/>
      <c r="F19081" s="92"/>
      <c r="G19081" s="85"/>
    </row>
    <row r="19082">
      <c r="A19082" s="84"/>
      <c r="B19082" s="85"/>
      <c r="C19082" s="85"/>
      <c r="F19082" s="92"/>
      <c r="G19082" s="85"/>
    </row>
    <row r="19083">
      <c r="A19083" s="84"/>
      <c r="B19083" s="85"/>
      <c r="C19083" s="85"/>
      <c r="F19083" s="92"/>
      <c r="G19083" s="85"/>
    </row>
    <row r="19084">
      <c r="A19084" s="84"/>
      <c r="B19084" s="85"/>
      <c r="C19084" s="85"/>
      <c r="F19084" s="92"/>
      <c r="G19084" s="85"/>
    </row>
    <row r="19085">
      <c r="A19085" s="84"/>
      <c r="B19085" s="85"/>
      <c r="C19085" s="85"/>
      <c r="F19085" s="92"/>
      <c r="G19085" s="85"/>
    </row>
    <row r="19086">
      <c r="A19086" s="84"/>
      <c r="B19086" s="85"/>
      <c r="C19086" s="85"/>
      <c r="F19086" s="92"/>
      <c r="G19086" s="85"/>
    </row>
    <row r="19087">
      <c r="A19087" s="84"/>
      <c r="B19087" s="85"/>
      <c r="C19087" s="85"/>
      <c r="F19087" s="92"/>
      <c r="G19087" s="85"/>
    </row>
    <row r="19088">
      <c r="A19088" s="84"/>
      <c r="B19088" s="85"/>
      <c r="C19088" s="85"/>
      <c r="F19088" s="92"/>
      <c r="G19088" s="85"/>
    </row>
    <row r="19089">
      <c r="A19089" s="84"/>
      <c r="B19089" s="85"/>
      <c r="C19089" s="85"/>
      <c r="F19089" s="92"/>
      <c r="G19089" s="85"/>
    </row>
    <row r="19090">
      <c r="A19090" s="84"/>
      <c r="B19090" s="85"/>
      <c r="C19090" s="85"/>
      <c r="F19090" s="92"/>
      <c r="G19090" s="85"/>
    </row>
    <row r="19091">
      <c r="A19091" s="84"/>
      <c r="B19091" s="85"/>
      <c r="C19091" s="85"/>
      <c r="F19091" s="92"/>
      <c r="G19091" s="85"/>
    </row>
    <row r="19092">
      <c r="A19092" s="84"/>
      <c r="B19092" s="85"/>
      <c r="C19092" s="85"/>
      <c r="F19092" s="92"/>
      <c r="G19092" s="85"/>
    </row>
    <row r="19093">
      <c r="A19093" s="84"/>
      <c r="B19093" s="85"/>
      <c r="C19093" s="85"/>
      <c r="F19093" s="92"/>
      <c r="G19093" s="85"/>
    </row>
    <row r="19094">
      <c r="A19094" s="84"/>
      <c r="B19094" s="85"/>
      <c r="C19094" s="85"/>
      <c r="F19094" s="92"/>
      <c r="G19094" s="85"/>
    </row>
    <row r="19095">
      <c r="A19095" s="84"/>
      <c r="B19095" s="85"/>
      <c r="C19095" s="85"/>
      <c r="F19095" s="92"/>
      <c r="G19095" s="85"/>
    </row>
    <row r="19096">
      <c r="A19096" s="84"/>
      <c r="B19096" s="85"/>
      <c r="C19096" s="85"/>
      <c r="F19096" s="92"/>
      <c r="G19096" s="85"/>
    </row>
    <row r="19097">
      <c r="A19097" s="84"/>
      <c r="B19097" s="85"/>
      <c r="C19097" s="85"/>
      <c r="F19097" s="92"/>
      <c r="G19097" s="85"/>
    </row>
    <row r="19098">
      <c r="A19098" s="84"/>
      <c r="B19098" s="85"/>
      <c r="C19098" s="85"/>
      <c r="F19098" s="92"/>
      <c r="G19098" s="85"/>
    </row>
    <row r="19099">
      <c r="A19099" s="84"/>
      <c r="B19099" s="85"/>
      <c r="C19099" s="85"/>
      <c r="F19099" s="92"/>
      <c r="G19099" s="85"/>
    </row>
    <row r="19100">
      <c r="A19100" s="84"/>
      <c r="B19100" s="85"/>
      <c r="C19100" s="85"/>
      <c r="F19100" s="92"/>
      <c r="G19100" s="85"/>
    </row>
    <row r="19101">
      <c r="A19101" s="84"/>
      <c r="B19101" s="85"/>
      <c r="C19101" s="85"/>
      <c r="F19101" s="92"/>
      <c r="G19101" s="85"/>
    </row>
    <row r="19102">
      <c r="A19102" s="84"/>
      <c r="B19102" s="85"/>
      <c r="C19102" s="85"/>
      <c r="F19102" s="92"/>
      <c r="G19102" s="85"/>
    </row>
    <row r="19103">
      <c r="A19103" s="84"/>
      <c r="B19103" s="85"/>
      <c r="C19103" s="85"/>
      <c r="F19103" s="92"/>
      <c r="G19103" s="85"/>
    </row>
    <row r="19104">
      <c r="A19104" s="84"/>
      <c r="B19104" s="85"/>
      <c r="C19104" s="85"/>
      <c r="F19104" s="92"/>
      <c r="G19104" s="85"/>
    </row>
    <row r="19105">
      <c r="A19105" s="84"/>
      <c r="B19105" s="85"/>
      <c r="C19105" s="85"/>
      <c r="F19105" s="92"/>
      <c r="G19105" s="85"/>
    </row>
    <row r="19106">
      <c r="A19106" s="84"/>
      <c r="B19106" s="85"/>
      <c r="C19106" s="85"/>
      <c r="F19106" s="92"/>
      <c r="G19106" s="85"/>
    </row>
    <row r="19107">
      <c r="A19107" s="84"/>
      <c r="B19107" s="85"/>
      <c r="C19107" s="85"/>
      <c r="F19107" s="92"/>
      <c r="G19107" s="85"/>
    </row>
    <row r="19108">
      <c r="A19108" s="84"/>
      <c r="B19108" s="85"/>
      <c r="C19108" s="85"/>
      <c r="F19108" s="92"/>
      <c r="G19108" s="85"/>
    </row>
    <row r="19109">
      <c r="A19109" s="84"/>
      <c r="B19109" s="85"/>
      <c r="C19109" s="85"/>
      <c r="F19109" s="92"/>
      <c r="G19109" s="85"/>
    </row>
    <row r="19110">
      <c r="A19110" s="84"/>
      <c r="B19110" s="85"/>
      <c r="C19110" s="85"/>
      <c r="F19110" s="92"/>
      <c r="G19110" s="85"/>
    </row>
    <row r="19111">
      <c r="A19111" s="84"/>
      <c r="B19111" s="85"/>
      <c r="C19111" s="85"/>
      <c r="F19111" s="92"/>
      <c r="G19111" s="85"/>
    </row>
    <row r="19112">
      <c r="A19112" s="84"/>
      <c r="B19112" s="85"/>
      <c r="C19112" s="85"/>
      <c r="F19112" s="92"/>
      <c r="G19112" s="85"/>
    </row>
    <row r="19113">
      <c r="A19113" s="84"/>
      <c r="B19113" s="85"/>
      <c r="C19113" s="85"/>
      <c r="F19113" s="92"/>
      <c r="G19113" s="85"/>
    </row>
    <row r="19114">
      <c r="A19114" s="84"/>
      <c r="B19114" s="85"/>
      <c r="C19114" s="85"/>
      <c r="F19114" s="92"/>
      <c r="G19114" s="85"/>
    </row>
    <row r="19115">
      <c r="A19115" s="84"/>
      <c r="B19115" s="85"/>
      <c r="C19115" s="85"/>
      <c r="F19115" s="92"/>
      <c r="G19115" s="85"/>
    </row>
    <row r="19116">
      <c r="A19116" s="84"/>
      <c r="B19116" s="85"/>
      <c r="C19116" s="85"/>
      <c r="F19116" s="92"/>
      <c r="G19116" s="85"/>
    </row>
    <row r="19117">
      <c r="A19117" s="84"/>
      <c r="B19117" s="85"/>
      <c r="C19117" s="85"/>
      <c r="F19117" s="92"/>
      <c r="G19117" s="85"/>
    </row>
    <row r="19118">
      <c r="A19118" s="84"/>
      <c r="B19118" s="85"/>
      <c r="C19118" s="85"/>
      <c r="F19118" s="92"/>
      <c r="G19118" s="85"/>
    </row>
    <row r="19119">
      <c r="A19119" s="84"/>
      <c r="B19119" s="85"/>
      <c r="C19119" s="85"/>
      <c r="F19119" s="92"/>
      <c r="G19119" s="85"/>
    </row>
    <row r="19120">
      <c r="A19120" s="84"/>
      <c r="B19120" s="85"/>
      <c r="C19120" s="85"/>
      <c r="F19120" s="92"/>
      <c r="G19120" s="85"/>
    </row>
    <row r="19121">
      <c r="A19121" s="84"/>
      <c r="B19121" s="85"/>
      <c r="C19121" s="85"/>
      <c r="F19121" s="92"/>
      <c r="G19121" s="85"/>
    </row>
    <row r="19122">
      <c r="A19122" s="84"/>
      <c r="B19122" s="85"/>
      <c r="C19122" s="85"/>
      <c r="F19122" s="92"/>
      <c r="G19122" s="85"/>
    </row>
    <row r="19123">
      <c r="A19123" s="84"/>
      <c r="B19123" s="85"/>
      <c r="C19123" s="85"/>
      <c r="F19123" s="92"/>
      <c r="G19123" s="85"/>
    </row>
    <row r="19124">
      <c r="A19124" s="84"/>
      <c r="B19124" s="85"/>
      <c r="C19124" s="85"/>
      <c r="F19124" s="92"/>
      <c r="G19124" s="85"/>
    </row>
    <row r="19125">
      <c r="A19125" s="84"/>
      <c r="B19125" s="85"/>
      <c r="C19125" s="85"/>
      <c r="F19125" s="92"/>
      <c r="G19125" s="85"/>
    </row>
    <row r="19126">
      <c r="A19126" s="84"/>
      <c r="B19126" s="85"/>
      <c r="C19126" s="85"/>
      <c r="F19126" s="92"/>
      <c r="G19126" s="85"/>
    </row>
    <row r="19127">
      <c r="A19127" s="84"/>
      <c r="B19127" s="85"/>
      <c r="C19127" s="85"/>
      <c r="F19127" s="92"/>
      <c r="G19127" s="85"/>
    </row>
    <row r="19128">
      <c r="A19128" s="84"/>
      <c r="B19128" s="85"/>
      <c r="C19128" s="85"/>
      <c r="F19128" s="92"/>
      <c r="G19128" s="85"/>
    </row>
    <row r="19129">
      <c r="A19129" s="84"/>
      <c r="B19129" s="85"/>
      <c r="C19129" s="85"/>
      <c r="F19129" s="92"/>
      <c r="G19129" s="85"/>
    </row>
    <row r="19130">
      <c r="A19130" s="84"/>
      <c r="B19130" s="85"/>
      <c r="C19130" s="85"/>
      <c r="F19130" s="92"/>
      <c r="G19130" s="85"/>
    </row>
    <row r="19131">
      <c r="A19131" s="84"/>
      <c r="B19131" s="85"/>
      <c r="C19131" s="85"/>
      <c r="F19131" s="92"/>
      <c r="G19131" s="85"/>
    </row>
    <row r="19132">
      <c r="A19132" s="84"/>
      <c r="B19132" s="85"/>
      <c r="C19132" s="85"/>
      <c r="F19132" s="92"/>
      <c r="G19132" s="85"/>
    </row>
    <row r="19133">
      <c r="A19133" s="84"/>
      <c r="B19133" s="85"/>
      <c r="C19133" s="85"/>
      <c r="F19133" s="92"/>
      <c r="G19133" s="85"/>
    </row>
    <row r="19134">
      <c r="A19134" s="84"/>
      <c r="B19134" s="85"/>
      <c r="C19134" s="85"/>
      <c r="F19134" s="92"/>
      <c r="G19134" s="85"/>
    </row>
    <row r="19135">
      <c r="A19135" s="84"/>
      <c r="B19135" s="85"/>
      <c r="C19135" s="85"/>
      <c r="F19135" s="92"/>
      <c r="G19135" s="85"/>
    </row>
    <row r="19136">
      <c r="A19136" s="84"/>
      <c r="B19136" s="85"/>
      <c r="C19136" s="85"/>
      <c r="F19136" s="92"/>
      <c r="G19136" s="85"/>
    </row>
    <row r="19137">
      <c r="A19137" s="84"/>
      <c r="B19137" s="85"/>
      <c r="C19137" s="85"/>
      <c r="F19137" s="92"/>
      <c r="G19137" s="85"/>
    </row>
    <row r="19138">
      <c r="A19138" s="84"/>
      <c r="B19138" s="85"/>
      <c r="C19138" s="85"/>
      <c r="F19138" s="92"/>
      <c r="G19138" s="85"/>
    </row>
    <row r="19139">
      <c r="A19139" s="84"/>
      <c r="B19139" s="85"/>
      <c r="C19139" s="85"/>
      <c r="F19139" s="92"/>
      <c r="G19139" s="85"/>
    </row>
    <row r="19140">
      <c r="A19140" s="84"/>
      <c r="B19140" s="85"/>
      <c r="C19140" s="85"/>
      <c r="F19140" s="92"/>
      <c r="G19140" s="85"/>
    </row>
    <row r="19141">
      <c r="A19141" s="84"/>
      <c r="B19141" s="85"/>
      <c r="C19141" s="85"/>
      <c r="F19141" s="92"/>
      <c r="G19141" s="85"/>
    </row>
    <row r="19142">
      <c r="A19142" s="84"/>
      <c r="B19142" s="85"/>
      <c r="C19142" s="85"/>
      <c r="F19142" s="92"/>
      <c r="G19142" s="85"/>
    </row>
    <row r="19143">
      <c r="A19143" s="84"/>
      <c r="B19143" s="85"/>
      <c r="C19143" s="85"/>
      <c r="F19143" s="92"/>
      <c r="G19143" s="85"/>
    </row>
    <row r="19144">
      <c r="A19144" s="84"/>
      <c r="B19144" s="85"/>
      <c r="C19144" s="85"/>
      <c r="F19144" s="92"/>
      <c r="G19144" s="85"/>
    </row>
    <row r="19145">
      <c r="A19145" s="84"/>
      <c r="B19145" s="85"/>
      <c r="C19145" s="85"/>
      <c r="F19145" s="92"/>
      <c r="G19145" s="85"/>
    </row>
    <row r="19146">
      <c r="A19146" s="84"/>
      <c r="B19146" s="85"/>
      <c r="C19146" s="85"/>
      <c r="F19146" s="92"/>
      <c r="G19146" s="85"/>
    </row>
    <row r="19147">
      <c r="A19147" s="84"/>
      <c r="B19147" s="85"/>
      <c r="C19147" s="85"/>
      <c r="F19147" s="92"/>
      <c r="G19147" s="85"/>
    </row>
    <row r="19148">
      <c r="A19148" s="84"/>
      <c r="B19148" s="85"/>
      <c r="C19148" s="85"/>
      <c r="F19148" s="92"/>
      <c r="G19148" s="85"/>
    </row>
    <row r="19149">
      <c r="A19149" s="84"/>
      <c r="B19149" s="85"/>
      <c r="C19149" s="85"/>
      <c r="F19149" s="92"/>
      <c r="G19149" s="85"/>
    </row>
    <row r="19150">
      <c r="A19150" s="84"/>
      <c r="B19150" s="85"/>
      <c r="C19150" s="85"/>
      <c r="F19150" s="92"/>
      <c r="G19150" s="85"/>
    </row>
    <row r="19151">
      <c r="A19151" s="84"/>
      <c r="B19151" s="85"/>
      <c r="C19151" s="85"/>
      <c r="F19151" s="92"/>
      <c r="G19151" s="85"/>
    </row>
    <row r="19152">
      <c r="A19152" s="84"/>
      <c r="B19152" s="85"/>
      <c r="C19152" s="85"/>
      <c r="F19152" s="92"/>
      <c r="G19152" s="85"/>
    </row>
    <row r="19153">
      <c r="A19153" s="84"/>
      <c r="B19153" s="85"/>
      <c r="C19153" s="85"/>
      <c r="F19153" s="92"/>
      <c r="G19153" s="85"/>
    </row>
    <row r="19154">
      <c r="A19154" s="84"/>
      <c r="B19154" s="85"/>
      <c r="C19154" s="85"/>
      <c r="F19154" s="92"/>
      <c r="G19154" s="85"/>
    </row>
    <row r="19155">
      <c r="A19155" s="84"/>
      <c r="B19155" s="85"/>
      <c r="C19155" s="85"/>
      <c r="F19155" s="92"/>
      <c r="G19155" s="85"/>
    </row>
    <row r="19156">
      <c r="A19156" s="84"/>
      <c r="B19156" s="85"/>
      <c r="C19156" s="85"/>
      <c r="F19156" s="92"/>
      <c r="G19156" s="85"/>
    </row>
    <row r="19157">
      <c r="A19157" s="84"/>
      <c r="B19157" s="85"/>
      <c r="C19157" s="85"/>
      <c r="F19157" s="92"/>
      <c r="G19157" s="85"/>
    </row>
    <row r="19158">
      <c r="A19158" s="84"/>
      <c r="B19158" s="85"/>
      <c r="C19158" s="85"/>
      <c r="F19158" s="92"/>
      <c r="G19158" s="85"/>
    </row>
    <row r="19159">
      <c r="A19159" s="84"/>
      <c r="B19159" s="85"/>
      <c r="C19159" s="85"/>
      <c r="F19159" s="92"/>
      <c r="G19159" s="85"/>
    </row>
    <row r="19160">
      <c r="A19160" s="84"/>
      <c r="B19160" s="85"/>
      <c r="C19160" s="85"/>
      <c r="F19160" s="92"/>
      <c r="G19160" s="85"/>
    </row>
    <row r="19161">
      <c r="A19161" s="84"/>
      <c r="B19161" s="85"/>
      <c r="C19161" s="85"/>
      <c r="F19161" s="92"/>
      <c r="G19161" s="85"/>
    </row>
    <row r="19162">
      <c r="A19162" s="84"/>
      <c r="B19162" s="85"/>
      <c r="C19162" s="85"/>
      <c r="F19162" s="92"/>
      <c r="G19162" s="85"/>
    </row>
    <row r="19163">
      <c r="A19163" s="84"/>
      <c r="B19163" s="85"/>
      <c r="C19163" s="85"/>
      <c r="F19163" s="92"/>
      <c r="G19163" s="85"/>
    </row>
    <row r="19164">
      <c r="A19164" s="84"/>
      <c r="B19164" s="85"/>
      <c r="C19164" s="85"/>
      <c r="F19164" s="92"/>
      <c r="G19164" s="85"/>
    </row>
    <row r="19165">
      <c r="A19165" s="84"/>
      <c r="B19165" s="85"/>
      <c r="C19165" s="85"/>
      <c r="F19165" s="92"/>
      <c r="G19165" s="85"/>
    </row>
    <row r="19166">
      <c r="A19166" s="84"/>
      <c r="B19166" s="85"/>
      <c r="C19166" s="85"/>
      <c r="F19166" s="92"/>
      <c r="G19166" s="85"/>
    </row>
    <row r="19167">
      <c r="A19167" s="84"/>
      <c r="B19167" s="85"/>
      <c r="C19167" s="85"/>
      <c r="F19167" s="92"/>
      <c r="G19167" s="85"/>
    </row>
    <row r="19168">
      <c r="A19168" s="84"/>
      <c r="B19168" s="85"/>
      <c r="C19168" s="85"/>
      <c r="F19168" s="92"/>
      <c r="G19168" s="85"/>
    </row>
    <row r="19169">
      <c r="A19169" s="84"/>
      <c r="B19169" s="85"/>
      <c r="C19169" s="85"/>
      <c r="F19169" s="92"/>
      <c r="G19169" s="85"/>
    </row>
    <row r="19170">
      <c r="A19170" s="84"/>
      <c r="B19170" s="85"/>
      <c r="C19170" s="85"/>
      <c r="F19170" s="92"/>
      <c r="G19170" s="85"/>
    </row>
    <row r="19171">
      <c r="A19171" s="84"/>
      <c r="B19171" s="85"/>
      <c r="C19171" s="85"/>
      <c r="F19171" s="92"/>
      <c r="G19171" s="85"/>
    </row>
    <row r="19172">
      <c r="A19172" s="84"/>
      <c r="B19172" s="85"/>
      <c r="C19172" s="85"/>
      <c r="F19172" s="92"/>
      <c r="G19172" s="85"/>
    </row>
    <row r="19173">
      <c r="A19173" s="84"/>
      <c r="B19173" s="85"/>
      <c r="C19173" s="85"/>
      <c r="F19173" s="92"/>
      <c r="G19173" s="85"/>
    </row>
    <row r="19174">
      <c r="A19174" s="84"/>
      <c r="B19174" s="85"/>
      <c r="C19174" s="85"/>
      <c r="F19174" s="92"/>
      <c r="G19174" s="85"/>
    </row>
    <row r="19175">
      <c r="A19175" s="84"/>
      <c r="B19175" s="85"/>
      <c r="C19175" s="85"/>
      <c r="F19175" s="92"/>
      <c r="G19175" s="85"/>
    </row>
    <row r="19176">
      <c r="A19176" s="84"/>
      <c r="B19176" s="85"/>
      <c r="C19176" s="85"/>
      <c r="F19176" s="92"/>
      <c r="G19176" s="85"/>
    </row>
    <row r="19177">
      <c r="A19177" s="84"/>
      <c r="B19177" s="85"/>
      <c r="C19177" s="85"/>
      <c r="F19177" s="92"/>
      <c r="G19177" s="85"/>
    </row>
    <row r="19178">
      <c r="A19178" s="84"/>
      <c r="B19178" s="85"/>
      <c r="C19178" s="85"/>
      <c r="F19178" s="92"/>
      <c r="G19178" s="85"/>
    </row>
    <row r="19179">
      <c r="A19179" s="84"/>
      <c r="B19179" s="85"/>
      <c r="C19179" s="85"/>
      <c r="F19179" s="92"/>
      <c r="G19179" s="85"/>
    </row>
    <row r="19180">
      <c r="A19180" s="84"/>
      <c r="B19180" s="85"/>
      <c r="C19180" s="85"/>
      <c r="F19180" s="92"/>
      <c r="G19180" s="85"/>
    </row>
    <row r="19181">
      <c r="A19181" s="84"/>
      <c r="B19181" s="85"/>
      <c r="C19181" s="85"/>
      <c r="F19181" s="92"/>
      <c r="G19181" s="85"/>
    </row>
    <row r="19182">
      <c r="A19182" s="84"/>
      <c r="B19182" s="85"/>
      <c r="C19182" s="85"/>
      <c r="F19182" s="92"/>
      <c r="G19182" s="85"/>
    </row>
    <row r="19183">
      <c r="A19183" s="84"/>
      <c r="B19183" s="85"/>
      <c r="C19183" s="85"/>
      <c r="F19183" s="92"/>
      <c r="G19183" s="85"/>
    </row>
    <row r="19184">
      <c r="A19184" s="84"/>
      <c r="B19184" s="85"/>
      <c r="C19184" s="85"/>
      <c r="F19184" s="92"/>
      <c r="G19184" s="85"/>
    </row>
    <row r="19185">
      <c r="A19185" s="84"/>
      <c r="B19185" s="85"/>
      <c r="C19185" s="85"/>
      <c r="F19185" s="92"/>
      <c r="G19185" s="85"/>
    </row>
    <row r="19186">
      <c r="A19186" s="84"/>
      <c r="B19186" s="85"/>
      <c r="C19186" s="85"/>
      <c r="F19186" s="92"/>
      <c r="G19186" s="85"/>
    </row>
    <row r="19187">
      <c r="A19187" s="84"/>
      <c r="B19187" s="85"/>
      <c r="C19187" s="85"/>
      <c r="F19187" s="92"/>
      <c r="G19187" s="85"/>
    </row>
    <row r="19188">
      <c r="A19188" s="84"/>
      <c r="B19188" s="85"/>
      <c r="C19188" s="85"/>
      <c r="F19188" s="92"/>
      <c r="G19188" s="85"/>
    </row>
    <row r="19189">
      <c r="A19189" s="84"/>
      <c r="B19189" s="85"/>
      <c r="C19189" s="85"/>
      <c r="F19189" s="92"/>
      <c r="G19189" s="85"/>
    </row>
    <row r="19190">
      <c r="A19190" s="84"/>
      <c r="B19190" s="85"/>
      <c r="C19190" s="85"/>
      <c r="F19190" s="92"/>
      <c r="G19190" s="85"/>
    </row>
    <row r="19191">
      <c r="A19191" s="84"/>
      <c r="B19191" s="85"/>
      <c r="C19191" s="85"/>
      <c r="F19191" s="92"/>
      <c r="G19191" s="85"/>
    </row>
    <row r="19192">
      <c r="A19192" s="84"/>
      <c r="B19192" s="85"/>
      <c r="C19192" s="85"/>
      <c r="F19192" s="92"/>
      <c r="G19192" s="85"/>
    </row>
    <row r="19193">
      <c r="A19193" s="84"/>
      <c r="B19193" s="85"/>
      <c r="C19193" s="85"/>
      <c r="F19193" s="92"/>
      <c r="G19193" s="85"/>
    </row>
    <row r="19194">
      <c r="A19194" s="84"/>
      <c r="B19194" s="85"/>
      <c r="C19194" s="85"/>
      <c r="F19194" s="92"/>
      <c r="G19194" s="85"/>
    </row>
    <row r="19195">
      <c r="A19195" s="84"/>
      <c r="B19195" s="85"/>
      <c r="C19195" s="85"/>
      <c r="F19195" s="92"/>
      <c r="G19195" s="85"/>
    </row>
    <row r="19196">
      <c r="A19196" s="84"/>
      <c r="B19196" s="85"/>
      <c r="C19196" s="85"/>
      <c r="F19196" s="92"/>
      <c r="G19196" s="85"/>
    </row>
    <row r="19197">
      <c r="A19197" s="84"/>
      <c r="B19197" s="85"/>
      <c r="C19197" s="85"/>
      <c r="F19197" s="92"/>
      <c r="G19197" s="85"/>
    </row>
    <row r="19198">
      <c r="A19198" s="84"/>
      <c r="B19198" s="85"/>
      <c r="C19198" s="85"/>
      <c r="F19198" s="92"/>
      <c r="G19198" s="85"/>
    </row>
    <row r="19199">
      <c r="A19199" s="84"/>
      <c r="B19199" s="85"/>
      <c r="C19199" s="85"/>
      <c r="F19199" s="92"/>
      <c r="G19199" s="85"/>
    </row>
    <row r="19200">
      <c r="A19200" s="84"/>
      <c r="B19200" s="85"/>
      <c r="C19200" s="85"/>
      <c r="F19200" s="92"/>
      <c r="G19200" s="85"/>
    </row>
    <row r="19201">
      <c r="A19201" s="84"/>
      <c r="B19201" s="85"/>
      <c r="C19201" s="85"/>
      <c r="F19201" s="92"/>
      <c r="G19201" s="85"/>
    </row>
    <row r="19202">
      <c r="A19202" s="84"/>
      <c r="B19202" s="85"/>
      <c r="C19202" s="85"/>
      <c r="F19202" s="92"/>
      <c r="G19202" s="85"/>
    </row>
    <row r="19203">
      <c r="A19203" s="84"/>
      <c r="B19203" s="85"/>
      <c r="C19203" s="85"/>
      <c r="F19203" s="92"/>
      <c r="G19203" s="85"/>
    </row>
    <row r="19204">
      <c r="A19204" s="84"/>
      <c r="B19204" s="85"/>
      <c r="C19204" s="85"/>
      <c r="F19204" s="92"/>
      <c r="G19204" s="85"/>
    </row>
    <row r="19205">
      <c r="A19205" s="84"/>
      <c r="B19205" s="85"/>
      <c r="C19205" s="85"/>
      <c r="F19205" s="92"/>
      <c r="G19205" s="85"/>
    </row>
    <row r="19206">
      <c r="A19206" s="84"/>
      <c r="B19206" s="85"/>
      <c r="C19206" s="85"/>
      <c r="F19206" s="92"/>
      <c r="G19206" s="85"/>
    </row>
    <row r="19207">
      <c r="A19207" s="84"/>
      <c r="B19207" s="85"/>
      <c r="C19207" s="85"/>
      <c r="F19207" s="92"/>
      <c r="G19207" s="85"/>
    </row>
    <row r="19208">
      <c r="A19208" s="84"/>
      <c r="B19208" s="85"/>
      <c r="C19208" s="85"/>
      <c r="F19208" s="92"/>
      <c r="G19208" s="85"/>
    </row>
    <row r="19209">
      <c r="A19209" s="84"/>
      <c r="B19209" s="85"/>
      <c r="C19209" s="85"/>
      <c r="F19209" s="92"/>
      <c r="G19209" s="85"/>
    </row>
    <row r="19210">
      <c r="A19210" s="84"/>
      <c r="B19210" s="85"/>
      <c r="C19210" s="85"/>
      <c r="F19210" s="92"/>
      <c r="G19210" s="85"/>
    </row>
    <row r="19211">
      <c r="A19211" s="84"/>
      <c r="B19211" s="85"/>
      <c r="C19211" s="85"/>
      <c r="F19211" s="92"/>
      <c r="G19211" s="85"/>
    </row>
    <row r="19212">
      <c r="A19212" s="84"/>
      <c r="B19212" s="85"/>
      <c r="C19212" s="85"/>
      <c r="F19212" s="92"/>
      <c r="G19212" s="85"/>
    </row>
    <row r="19213">
      <c r="A19213" s="84"/>
      <c r="B19213" s="85"/>
      <c r="C19213" s="85"/>
      <c r="F19213" s="92"/>
      <c r="G19213" s="85"/>
    </row>
    <row r="19214">
      <c r="A19214" s="84"/>
      <c r="B19214" s="85"/>
      <c r="C19214" s="85"/>
      <c r="F19214" s="92"/>
      <c r="G19214" s="85"/>
    </row>
    <row r="19215">
      <c r="A19215" s="84"/>
      <c r="B19215" s="85"/>
      <c r="C19215" s="85"/>
      <c r="F19215" s="92"/>
      <c r="G19215" s="85"/>
    </row>
    <row r="19216">
      <c r="A19216" s="84"/>
      <c r="B19216" s="85"/>
      <c r="C19216" s="85"/>
      <c r="F19216" s="92"/>
      <c r="G19216" s="85"/>
    </row>
    <row r="19217">
      <c r="A19217" s="84"/>
      <c r="B19217" s="85"/>
      <c r="C19217" s="85"/>
      <c r="F19217" s="92"/>
      <c r="G19217" s="85"/>
    </row>
    <row r="19218">
      <c r="A19218" s="84"/>
      <c r="B19218" s="85"/>
      <c r="C19218" s="85"/>
      <c r="F19218" s="92"/>
      <c r="G19218" s="85"/>
    </row>
    <row r="19219">
      <c r="A19219" s="84"/>
      <c r="B19219" s="85"/>
      <c r="C19219" s="85"/>
      <c r="F19219" s="92"/>
      <c r="G19219" s="85"/>
    </row>
    <row r="19220">
      <c r="A19220" s="84"/>
      <c r="B19220" s="85"/>
      <c r="C19220" s="85"/>
      <c r="F19220" s="92"/>
      <c r="G19220" s="85"/>
    </row>
    <row r="19221">
      <c r="A19221" s="84"/>
      <c r="B19221" s="85"/>
      <c r="C19221" s="85"/>
      <c r="F19221" s="92"/>
      <c r="G19221" s="85"/>
    </row>
    <row r="19222">
      <c r="A19222" s="84"/>
      <c r="B19222" s="85"/>
      <c r="C19222" s="85"/>
      <c r="F19222" s="92"/>
      <c r="G19222" s="85"/>
    </row>
    <row r="19223">
      <c r="A19223" s="84"/>
      <c r="B19223" s="85"/>
      <c r="C19223" s="85"/>
      <c r="F19223" s="92"/>
      <c r="G19223" s="85"/>
    </row>
    <row r="19224">
      <c r="A19224" s="84"/>
      <c r="B19224" s="85"/>
      <c r="C19224" s="85"/>
      <c r="F19224" s="92"/>
      <c r="G19224" s="85"/>
    </row>
    <row r="19225">
      <c r="A19225" s="84"/>
      <c r="B19225" s="85"/>
      <c r="C19225" s="85"/>
      <c r="F19225" s="92"/>
      <c r="G19225" s="85"/>
    </row>
    <row r="19226">
      <c r="A19226" s="84"/>
      <c r="B19226" s="85"/>
      <c r="C19226" s="85"/>
      <c r="F19226" s="92"/>
      <c r="G19226" s="85"/>
    </row>
    <row r="19227">
      <c r="A19227" s="84"/>
      <c r="B19227" s="85"/>
      <c r="C19227" s="85"/>
      <c r="F19227" s="92"/>
      <c r="G19227" s="85"/>
    </row>
    <row r="19228">
      <c r="A19228" s="84"/>
      <c r="B19228" s="85"/>
      <c r="C19228" s="85"/>
      <c r="F19228" s="92"/>
      <c r="G19228" s="85"/>
    </row>
    <row r="19229">
      <c r="A19229" s="84"/>
      <c r="B19229" s="85"/>
      <c r="C19229" s="85"/>
      <c r="F19229" s="92"/>
      <c r="G19229" s="85"/>
    </row>
    <row r="19230">
      <c r="A19230" s="84"/>
      <c r="B19230" s="85"/>
      <c r="C19230" s="85"/>
      <c r="F19230" s="92"/>
      <c r="G19230" s="85"/>
    </row>
    <row r="19231">
      <c r="A19231" s="84"/>
      <c r="B19231" s="85"/>
      <c r="C19231" s="85"/>
      <c r="F19231" s="92"/>
      <c r="G19231" s="85"/>
    </row>
    <row r="19232">
      <c r="A19232" s="84"/>
      <c r="B19232" s="85"/>
      <c r="C19232" s="85"/>
      <c r="F19232" s="92"/>
      <c r="G19232" s="85"/>
    </row>
    <row r="19233">
      <c r="A19233" s="84"/>
      <c r="B19233" s="85"/>
      <c r="C19233" s="85"/>
      <c r="F19233" s="92"/>
      <c r="G19233" s="85"/>
    </row>
    <row r="19234">
      <c r="A19234" s="84"/>
      <c r="B19234" s="85"/>
      <c r="C19234" s="85"/>
      <c r="F19234" s="92"/>
      <c r="G19234" s="85"/>
    </row>
    <row r="19235">
      <c r="A19235" s="84"/>
      <c r="B19235" s="85"/>
      <c r="C19235" s="85"/>
      <c r="F19235" s="92"/>
      <c r="G19235" s="85"/>
    </row>
    <row r="19236">
      <c r="A19236" s="84"/>
      <c r="B19236" s="85"/>
      <c r="C19236" s="85"/>
      <c r="F19236" s="92"/>
      <c r="G19236" s="85"/>
    </row>
    <row r="19237">
      <c r="A19237" s="84"/>
      <c r="B19237" s="85"/>
      <c r="C19237" s="85"/>
      <c r="F19237" s="92"/>
      <c r="G19237" s="85"/>
    </row>
    <row r="19238">
      <c r="A19238" s="84"/>
      <c r="B19238" s="85"/>
      <c r="C19238" s="85"/>
      <c r="F19238" s="92"/>
      <c r="G19238" s="85"/>
    </row>
    <row r="19239">
      <c r="A19239" s="84"/>
      <c r="B19239" s="85"/>
      <c r="C19239" s="85"/>
      <c r="F19239" s="92"/>
      <c r="G19239" s="85"/>
    </row>
    <row r="19240">
      <c r="A19240" s="84"/>
      <c r="B19240" s="85"/>
      <c r="C19240" s="85"/>
      <c r="F19240" s="92"/>
      <c r="G19240" s="85"/>
    </row>
    <row r="19241">
      <c r="A19241" s="84"/>
      <c r="B19241" s="85"/>
      <c r="C19241" s="85"/>
      <c r="F19241" s="92"/>
      <c r="G19241" s="85"/>
    </row>
    <row r="19242">
      <c r="A19242" s="84"/>
      <c r="B19242" s="85"/>
      <c r="C19242" s="85"/>
      <c r="F19242" s="92"/>
      <c r="G19242" s="85"/>
    </row>
    <row r="19243">
      <c r="A19243" s="84"/>
      <c r="B19243" s="85"/>
      <c r="C19243" s="85"/>
      <c r="F19243" s="92"/>
      <c r="G19243" s="85"/>
    </row>
    <row r="19244">
      <c r="A19244" s="84"/>
      <c r="B19244" s="85"/>
      <c r="C19244" s="85"/>
      <c r="F19244" s="92"/>
      <c r="G19244" s="85"/>
    </row>
    <row r="19245">
      <c r="A19245" s="84"/>
      <c r="B19245" s="85"/>
      <c r="C19245" s="85"/>
      <c r="F19245" s="92"/>
      <c r="G19245" s="85"/>
    </row>
    <row r="19246">
      <c r="A19246" s="84"/>
      <c r="B19246" s="85"/>
      <c r="C19246" s="85"/>
      <c r="F19246" s="92"/>
      <c r="G19246" s="85"/>
    </row>
    <row r="19247">
      <c r="A19247" s="84"/>
      <c r="B19247" s="85"/>
      <c r="C19247" s="85"/>
      <c r="F19247" s="92"/>
      <c r="G19247" s="85"/>
    </row>
    <row r="19248">
      <c r="A19248" s="84"/>
      <c r="B19248" s="85"/>
      <c r="C19248" s="85"/>
      <c r="F19248" s="92"/>
      <c r="G19248" s="85"/>
    </row>
    <row r="19249">
      <c r="A19249" s="84"/>
      <c r="B19249" s="85"/>
      <c r="C19249" s="85"/>
      <c r="F19249" s="92"/>
      <c r="G19249" s="85"/>
    </row>
    <row r="19250">
      <c r="A19250" s="84"/>
      <c r="B19250" s="85"/>
      <c r="C19250" s="85"/>
      <c r="F19250" s="92"/>
      <c r="G19250" s="85"/>
    </row>
    <row r="19251">
      <c r="A19251" s="84"/>
      <c r="B19251" s="85"/>
      <c r="C19251" s="85"/>
      <c r="F19251" s="92"/>
      <c r="G19251" s="85"/>
    </row>
    <row r="19252">
      <c r="A19252" s="84"/>
      <c r="B19252" s="85"/>
      <c r="C19252" s="85"/>
      <c r="F19252" s="92"/>
      <c r="G19252" s="85"/>
    </row>
    <row r="19253">
      <c r="A19253" s="84"/>
      <c r="B19253" s="85"/>
      <c r="C19253" s="85"/>
      <c r="F19253" s="92"/>
      <c r="G19253" s="85"/>
    </row>
    <row r="19254">
      <c r="A19254" s="84"/>
      <c r="B19254" s="85"/>
      <c r="C19254" s="85"/>
      <c r="F19254" s="92"/>
      <c r="G19254" s="85"/>
    </row>
    <row r="19255">
      <c r="A19255" s="84"/>
      <c r="B19255" s="85"/>
      <c r="C19255" s="85"/>
      <c r="F19255" s="92"/>
      <c r="G19255" s="85"/>
    </row>
    <row r="19256">
      <c r="A19256" s="84"/>
      <c r="B19256" s="85"/>
      <c r="C19256" s="85"/>
      <c r="F19256" s="92"/>
      <c r="G19256" s="85"/>
    </row>
    <row r="19257">
      <c r="A19257" s="84"/>
      <c r="B19257" s="85"/>
      <c r="C19257" s="85"/>
      <c r="F19257" s="92"/>
      <c r="G19257" s="85"/>
    </row>
    <row r="19258">
      <c r="A19258" s="84"/>
      <c r="B19258" s="85"/>
      <c r="C19258" s="85"/>
      <c r="F19258" s="92"/>
      <c r="G19258" s="85"/>
    </row>
    <row r="19259">
      <c r="A19259" s="84"/>
      <c r="B19259" s="85"/>
      <c r="C19259" s="85"/>
      <c r="F19259" s="92"/>
      <c r="G19259" s="85"/>
    </row>
    <row r="19260">
      <c r="A19260" s="84"/>
      <c r="B19260" s="85"/>
      <c r="C19260" s="85"/>
      <c r="F19260" s="92"/>
      <c r="G19260" s="85"/>
    </row>
    <row r="19261">
      <c r="A19261" s="84"/>
      <c r="B19261" s="85"/>
      <c r="C19261" s="85"/>
      <c r="F19261" s="92"/>
      <c r="G19261" s="85"/>
    </row>
    <row r="19262">
      <c r="A19262" s="84"/>
      <c r="B19262" s="85"/>
      <c r="C19262" s="85"/>
      <c r="F19262" s="92"/>
      <c r="G19262" s="85"/>
    </row>
    <row r="19263">
      <c r="A19263" s="84"/>
      <c r="B19263" s="85"/>
      <c r="C19263" s="85"/>
      <c r="F19263" s="92"/>
      <c r="G19263" s="85"/>
    </row>
    <row r="19264">
      <c r="A19264" s="84"/>
      <c r="B19264" s="85"/>
      <c r="C19264" s="85"/>
      <c r="F19264" s="92"/>
      <c r="G19264" s="85"/>
    </row>
    <row r="19265">
      <c r="A19265" s="84"/>
      <c r="B19265" s="85"/>
      <c r="C19265" s="85"/>
      <c r="F19265" s="92"/>
      <c r="G19265" s="85"/>
    </row>
    <row r="19266">
      <c r="A19266" s="84"/>
      <c r="B19266" s="85"/>
      <c r="C19266" s="85"/>
      <c r="F19266" s="92"/>
      <c r="G19266" s="85"/>
    </row>
    <row r="19267">
      <c r="A19267" s="84"/>
      <c r="B19267" s="85"/>
      <c r="C19267" s="85"/>
      <c r="F19267" s="92"/>
      <c r="G19267" s="85"/>
    </row>
    <row r="19268">
      <c r="A19268" s="84"/>
      <c r="B19268" s="85"/>
      <c r="C19268" s="85"/>
      <c r="F19268" s="92"/>
      <c r="G19268" s="85"/>
    </row>
    <row r="19269">
      <c r="A19269" s="84"/>
      <c r="B19269" s="85"/>
      <c r="C19269" s="85"/>
      <c r="F19269" s="92"/>
      <c r="G19269" s="85"/>
    </row>
    <row r="19270">
      <c r="A19270" s="84"/>
      <c r="B19270" s="85"/>
      <c r="C19270" s="85"/>
      <c r="F19270" s="92"/>
      <c r="G19270" s="85"/>
    </row>
    <row r="19271">
      <c r="A19271" s="84"/>
      <c r="B19271" s="85"/>
      <c r="C19271" s="85"/>
      <c r="F19271" s="92"/>
      <c r="G19271" s="85"/>
    </row>
    <row r="19272">
      <c r="A19272" s="84"/>
      <c r="B19272" s="85"/>
      <c r="C19272" s="85"/>
      <c r="F19272" s="92"/>
      <c r="G19272" s="85"/>
    </row>
    <row r="19273">
      <c r="A19273" s="84"/>
      <c r="B19273" s="85"/>
      <c r="C19273" s="85"/>
      <c r="F19273" s="92"/>
      <c r="G19273" s="85"/>
    </row>
    <row r="19274">
      <c r="A19274" s="84"/>
      <c r="B19274" s="85"/>
      <c r="C19274" s="85"/>
      <c r="F19274" s="92"/>
      <c r="G19274" s="85"/>
    </row>
    <row r="19275">
      <c r="A19275" s="84"/>
      <c r="B19275" s="85"/>
      <c r="C19275" s="85"/>
      <c r="F19275" s="92"/>
      <c r="G19275" s="85"/>
    </row>
    <row r="19276">
      <c r="A19276" s="84"/>
      <c r="B19276" s="85"/>
      <c r="C19276" s="85"/>
      <c r="F19276" s="92"/>
      <c r="G19276" s="85"/>
    </row>
    <row r="19277">
      <c r="A19277" s="84"/>
      <c r="B19277" s="85"/>
      <c r="C19277" s="85"/>
      <c r="F19277" s="92"/>
      <c r="G19277" s="85"/>
    </row>
    <row r="19278">
      <c r="A19278" s="84"/>
      <c r="B19278" s="85"/>
      <c r="C19278" s="85"/>
      <c r="F19278" s="92"/>
      <c r="G19278" s="85"/>
    </row>
    <row r="19279">
      <c r="A19279" s="84"/>
      <c r="B19279" s="85"/>
      <c r="C19279" s="85"/>
      <c r="F19279" s="92"/>
      <c r="G19279" s="85"/>
    </row>
    <row r="19280">
      <c r="A19280" s="84"/>
      <c r="B19280" s="85"/>
      <c r="C19280" s="85"/>
      <c r="F19280" s="92"/>
      <c r="G19280" s="85"/>
    </row>
    <row r="19281">
      <c r="A19281" s="84"/>
      <c r="B19281" s="85"/>
      <c r="C19281" s="85"/>
      <c r="F19281" s="92"/>
      <c r="G19281" s="85"/>
    </row>
    <row r="19282">
      <c r="A19282" s="84"/>
      <c r="B19282" s="85"/>
      <c r="C19282" s="85"/>
      <c r="F19282" s="92"/>
      <c r="G19282" s="85"/>
    </row>
    <row r="19283">
      <c r="A19283" s="84"/>
      <c r="B19283" s="85"/>
      <c r="C19283" s="85"/>
      <c r="F19283" s="92"/>
      <c r="G19283" s="85"/>
    </row>
    <row r="19284">
      <c r="A19284" s="84"/>
      <c r="B19284" s="85"/>
      <c r="C19284" s="85"/>
      <c r="F19284" s="92"/>
      <c r="G19284" s="85"/>
    </row>
    <row r="19285">
      <c r="A19285" s="84"/>
      <c r="B19285" s="85"/>
      <c r="C19285" s="85"/>
      <c r="F19285" s="92"/>
      <c r="G19285" s="85"/>
    </row>
    <row r="19286">
      <c r="A19286" s="84"/>
      <c r="B19286" s="85"/>
      <c r="C19286" s="85"/>
      <c r="F19286" s="92"/>
      <c r="G19286" s="85"/>
    </row>
    <row r="19287">
      <c r="A19287" s="84"/>
      <c r="B19287" s="85"/>
      <c r="C19287" s="85"/>
      <c r="F19287" s="92"/>
      <c r="G19287" s="85"/>
    </row>
    <row r="19288">
      <c r="A19288" s="84"/>
      <c r="B19288" s="85"/>
      <c r="C19288" s="85"/>
      <c r="F19288" s="92"/>
      <c r="G19288" s="85"/>
    </row>
    <row r="19289">
      <c r="A19289" s="84"/>
      <c r="B19289" s="85"/>
      <c r="C19289" s="85"/>
      <c r="F19289" s="92"/>
      <c r="G19289" s="85"/>
    </row>
    <row r="19290">
      <c r="A19290" s="84"/>
      <c r="B19290" s="85"/>
      <c r="C19290" s="85"/>
      <c r="F19290" s="92"/>
      <c r="G19290" s="85"/>
    </row>
    <row r="19291">
      <c r="A19291" s="84"/>
      <c r="B19291" s="85"/>
      <c r="C19291" s="85"/>
      <c r="F19291" s="92"/>
      <c r="G19291" s="85"/>
    </row>
    <row r="19292">
      <c r="A19292" s="84"/>
      <c r="B19292" s="85"/>
      <c r="C19292" s="85"/>
      <c r="F19292" s="92"/>
      <c r="G19292" s="85"/>
    </row>
    <row r="19293">
      <c r="A19293" s="84"/>
      <c r="B19293" s="85"/>
      <c r="C19293" s="85"/>
      <c r="F19293" s="92"/>
      <c r="G19293" s="85"/>
    </row>
    <row r="19294">
      <c r="A19294" s="84"/>
      <c r="B19294" s="85"/>
      <c r="C19294" s="85"/>
      <c r="F19294" s="92"/>
      <c r="G19294" s="85"/>
    </row>
    <row r="19295">
      <c r="A19295" s="84"/>
      <c r="B19295" s="85"/>
      <c r="C19295" s="85"/>
      <c r="F19295" s="92"/>
      <c r="G19295" s="85"/>
    </row>
    <row r="19296">
      <c r="A19296" s="84"/>
      <c r="B19296" s="85"/>
      <c r="C19296" s="85"/>
      <c r="F19296" s="92"/>
      <c r="G19296" s="85"/>
    </row>
    <row r="19297">
      <c r="A19297" s="84"/>
      <c r="B19297" s="85"/>
      <c r="C19297" s="85"/>
      <c r="F19297" s="92"/>
      <c r="G19297" s="85"/>
    </row>
    <row r="19298">
      <c r="A19298" s="84"/>
      <c r="B19298" s="85"/>
      <c r="C19298" s="85"/>
      <c r="F19298" s="92"/>
      <c r="G19298" s="85"/>
    </row>
    <row r="19299">
      <c r="A19299" s="84"/>
      <c r="B19299" s="85"/>
      <c r="C19299" s="85"/>
      <c r="F19299" s="92"/>
      <c r="G19299" s="85"/>
    </row>
    <row r="19300">
      <c r="A19300" s="84"/>
      <c r="B19300" s="85"/>
      <c r="C19300" s="85"/>
      <c r="F19300" s="92"/>
      <c r="G19300" s="85"/>
    </row>
    <row r="19301">
      <c r="A19301" s="84"/>
      <c r="B19301" s="85"/>
      <c r="C19301" s="85"/>
      <c r="F19301" s="92"/>
      <c r="G19301" s="85"/>
    </row>
    <row r="19302">
      <c r="A19302" s="84"/>
      <c r="B19302" s="85"/>
      <c r="C19302" s="85"/>
      <c r="F19302" s="92"/>
      <c r="G19302" s="85"/>
    </row>
    <row r="19303">
      <c r="A19303" s="84"/>
      <c r="B19303" s="85"/>
      <c r="C19303" s="85"/>
      <c r="F19303" s="92"/>
      <c r="G19303" s="85"/>
    </row>
    <row r="19304">
      <c r="A19304" s="84"/>
      <c r="B19304" s="85"/>
      <c r="C19304" s="85"/>
      <c r="F19304" s="92"/>
      <c r="G19304" s="85"/>
    </row>
    <row r="19305">
      <c r="A19305" s="84"/>
      <c r="B19305" s="85"/>
      <c r="C19305" s="85"/>
      <c r="F19305" s="92"/>
      <c r="G19305" s="85"/>
    </row>
    <row r="19306">
      <c r="A19306" s="84"/>
      <c r="B19306" s="85"/>
      <c r="C19306" s="85"/>
      <c r="F19306" s="92"/>
      <c r="G19306" s="85"/>
    </row>
    <row r="19307">
      <c r="A19307" s="84"/>
      <c r="B19307" s="85"/>
      <c r="C19307" s="85"/>
      <c r="F19307" s="92"/>
      <c r="G19307" s="85"/>
    </row>
    <row r="19308">
      <c r="A19308" s="84"/>
      <c r="B19308" s="85"/>
      <c r="C19308" s="85"/>
      <c r="F19308" s="92"/>
      <c r="G19308" s="85"/>
    </row>
    <row r="19309">
      <c r="A19309" s="84"/>
      <c r="B19309" s="85"/>
      <c r="C19309" s="85"/>
      <c r="F19309" s="92"/>
      <c r="G19309" s="85"/>
    </row>
    <row r="19310">
      <c r="A19310" s="84"/>
      <c r="B19310" s="85"/>
      <c r="C19310" s="85"/>
      <c r="F19310" s="92"/>
      <c r="G19310" s="85"/>
    </row>
    <row r="19311">
      <c r="A19311" s="84"/>
      <c r="B19311" s="85"/>
      <c r="C19311" s="85"/>
      <c r="F19311" s="92"/>
      <c r="G19311" s="85"/>
    </row>
    <row r="19312">
      <c r="A19312" s="84"/>
      <c r="B19312" s="85"/>
      <c r="C19312" s="85"/>
      <c r="F19312" s="92"/>
      <c r="G19312" s="85"/>
    </row>
    <row r="19313">
      <c r="A19313" s="84"/>
      <c r="B19313" s="85"/>
      <c r="C19313" s="85"/>
      <c r="F19313" s="92"/>
      <c r="G19313" s="85"/>
    </row>
    <row r="19314">
      <c r="A19314" s="84"/>
      <c r="B19314" s="85"/>
      <c r="C19314" s="85"/>
      <c r="F19314" s="92"/>
      <c r="G19314" s="85"/>
    </row>
    <row r="19315">
      <c r="A19315" s="84"/>
      <c r="B19315" s="85"/>
      <c r="C19315" s="85"/>
      <c r="F19315" s="92"/>
      <c r="G19315" s="85"/>
    </row>
    <row r="19316">
      <c r="A19316" s="84"/>
      <c r="B19316" s="85"/>
      <c r="C19316" s="85"/>
      <c r="F19316" s="92"/>
      <c r="G19316" s="85"/>
    </row>
    <row r="19317">
      <c r="A19317" s="84"/>
      <c r="B19317" s="85"/>
      <c r="C19317" s="85"/>
      <c r="F19317" s="92"/>
      <c r="G19317" s="85"/>
    </row>
    <row r="19318">
      <c r="A19318" s="84"/>
      <c r="B19318" s="85"/>
      <c r="C19318" s="85"/>
      <c r="F19318" s="92"/>
      <c r="G19318" s="85"/>
    </row>
    <row r="19319">
      <c r="A19319" s="84"/>
      <c r="B19319" s="85"/>
      <c r="C19319" s="85"/>
      <c r="F19319" s="92"/>
      <c r="G19319" s="85"/>
    </row>
    <row r="19320">
      <c r="A19320" s="84"/>
      <c r="B19320" s="85"/>
      <c r="C19320" s="85"/>
      <c r="F19320" s="92"/>
      <c r="G19320" s="85"/>
    </row>
    <row r="19321">
      <c r="A19321" s="84"/>
      <c r="B19321" s="85"/>
      <c r="C19321" s="85"/>
      <c r="F19321" s="92"/>
      <c r="G19321" s="85"/>
    </row>
    <row r="19322">
      <c r="A19322" s="84"/>
      <c r="B19322" s="85"/>
      <c r="C19322" s="85"/>
      <c r="F19322" s="92"/>
      <c r="G19322" s="85"/>
    </row>
    <row r="19323">
      <c r="A19323" s="84"/>
      <c r="B19323" s="85"/>
      <c r="C19323" s="85"/>
      <c r="F19323" s="92"/>
      <c r="G19323" s="85"/>
    </row>
    <row r="19324">
      <c r="A19324" s="84"/>
      <c r="B19324" s="85"/>
      <c r="C19324" s="85"/>
      <c r="F19324" s="92"/>
      <c r="G19324" s="85"/>
    </row>
    <row r="19325">
      <c r="A19325" s="84"/>
      <c r="B19325" s="85"/>
      <c r="C19325" s="85"/>
      <c r="F19325" s="92"/>
      <c r="G19325" s="85"/>
    </row>
    <row r="19326">
      <c r="A19326" s="84"/>
      <c r="B19326" s="85"/>
      <c r="C19326" s="85"/>
      <c r="F19326" s="92"/>
      <c r="G19326" s="85"/>
    </row>
    <row r="19327">
      <c r="A19327" s="84"/>
      <c r="B19327" s="85"/>
      <c r="C19327" s="85"/>
      <c r="F19327" s="92"/>
      <c r="G19327" s="85"/>
    </row>
    <row r="19328">
      <c r="A19328" s="84"/>
      <c r="B19328" s="85"/>
      <c r="C19328" s="85"/>
      <c r="F19328" s="92"/>
      <c r="G19328" s="85"/>
    </row>
    <row r="19329">
      <c r="A19329" s="84"/>
      <c r="B19329" s="85"/>
      <c r="C19329" s="85"/>
      <c r="F19329" s="92"/>
      <c r="G19329" s="85"/>
    </row>
    <row r="19330">
      <c r="A19330" s="84"/>
      <c r="B19330" s="85"/>
      <c r="C19330" s="85"/>
      <c r="F19330" s="92"/>
      <c r="G19330" s="85"/>
    </row>
    <row r="19331">
      <c r="A19331" s="84"/>
      <c r="B19331" s="85"/>
      <c r="C19331" s="85"/>
      <c r="F19331" s="92"/>
      <c r="G19331" s="85"/>
    </row>
    <row r="19332">
      <c r="A19332" s="84"/>
      <c r="B19332" s="85"/>
      <c r="C19332" s="85"/>
      <c r="F19332" s="92"/>
      <c r="G19332" s="85"/>
    </row>
    <row r="19333">
      <c r="A19333" s="84"/>
      <c r="B19333" s="85"/>
      <c r="C19333" s="85"/>
      <c r="F19333" s="92"/>
      <c r="G19333" s="85"/>
    </row>
    <row r="19334">
      <c r="A19334" s="84"/>
      <c r="B19334" s="85"/>
      <c r="C19334" s="85"/>
      <c r="F19334" s="92"/>
      <c r="G19334" s="85"/>
    </row>
    <row r="19335">
      <c r="A19335" s="84"/>
      <c r="B19335" s="85"/>
      <c r="C19335" s="85"/>
      <c r="F19335" s="92"/>
      <c r="G19335" s="85"/>
    </row>
    <row r="19336">
      <c r="A19336" s="84"/>
      <c r="B19336" s="85"/>
      <c r="C19336" s="85"/>
      <c r="F19336" s="92"/>
      <c r="G19336" s="85"/>
    </row>
    <row r="19337">
      <c r="A19337" s="84"/>
      <c r="B19337" s="85"/>
      <c r="C19337" s="85"/>
      <c r="F19337" s="92"/>
      <c r="G19337" s="85"/>
    </row>
    <row r="19338">
      <c r="A19338" s="84"/>
      <c r="B19338" s="85"/>
      <c r="C19338" s="85"/>
      <c r="F19338" s="92"/>
      <c r="G19338" s="85"/>
    </row>
    <row r="19339">
      <c r="A19339" s="84"/>
      <c r="B19339" s="85"/>
      <c r="C19339" s="85"/>
      <c r="F19339" s="92"/>
      <c r="G19339" s="85"/>
    </row>
    <row r="19340">
      <c r="A19340" s="84"/>
      <c r="B19340" s="85"/>
      <c r="C19340" s="85"/>
      <c r="F19340" s="92"/>
      <c r="G19340" s="85"/>
    </row>
    <row r="19341">
      <c r="A19341" s="84"/>
      <c r="B19341" s="85"/>
      <c r="C19341" s="85"/>
      <c r="F19341" s="92"/>
      <c r="G19341" s="85"/>
    </row>
    <row r="19342">
      <c r="A19342" s="84"/>
      <c r="B19342" s="85"/>
      <c r="C19342" s="85"/>
      <c r="F19342" s="92"/>
      <c r="G19342" s="85"/>
    </row>
    <row r="19343">
      <c r="A19343" s="84"/>
      <c r="B19343" s="85"/>
      <c r="C19343" s="85"/>
      <c r="F19343" s="92"/>
      <c r="G19343" s="85"/>
    </row>
    <row r="19344">
      <c r="A19344" s="84"/>
      <c r="B19344" s="85"/>
      <c r="C19344" s="85"/>
      <c r="F19344" s="92"/>
      <c r="G19344" s="85"/>
    </row>
    <row r="19345">
      <c r="A19345" s="84"/>
      <c r="B19345" s="85"/>
      <c r="C19345" s="85"/>
      <c r="F19345" s="92"/>
      <c r="G19345" s="85"/>
    </row>
    <row r="19346">
      <c r="A19346" s="84"/>
      <c r="B19346" s="85"/>
      <c r="C19346" s="85"/>
      <c r="F19346" s="92"/>
      <c r="G19346" s="85"/>
    </row>
    <row r="19347">
      <c r="A19347" s="84"/>
      <c r="B19347" s="85"/>
      <c r="C19347" s="85"/>
      <c r="F19347" s="92"/>
      <c r="G19347" s="85"/>
    </row>
    <row r="19348">
      <c r="A19348" s="84"/>
      <c r="B19348" s="85"/>
      <c r="C19348" s="85"/>
      <c r="F19348" s="92"/>
      <c r="G19348" s="85"/>
    </row>
    <row r="19349">
      <c r="A19349" s="84"/>
      <c r="B19349" s="85"/>
      <c r="C19349" s="85"/>
      <c r="F19349" s="92"/>
      <c r="G19349" s="85"/>
    </row>
    <row r="19350">
      <c r="A19350" s="84"/>
      <c r="B19350" s="85"/>
      <c r="C19350" s="85"/>
      <c r="F19350" s="92"/>
      <c r="G19350" s="85"/>
    </row>
    <row r="19351">
      <c r="A19351" s="84"/>
      <c r="B19351" s="85"/>
      <c r="C19351" s="85"/>
      <c r="F19351" s="92"/>
      <c r="G19351" s="85"/>
    </row>
    <row r="19352">
      <c r="A19352" s="84"/>
      <c r="B19352" s="85"/>
      <c r="C19352" s="85"/>
      <c r="F19352" s="92"/>
      <c r="G19352" s="85"/>
    </row>
    <row r="19353">
      <c r="A19353" s="84"/>
      <c r="B19353" s="85"/>
      <c r="C19353" s="85"/>
      <c r="F19353" s="92"/>
      <c r="G19353" s="85"/>
    </row>
    <row r="19354">
      <c r="A19354" s="84"/>
      <c r="B19354" s="85"/>
      <c r="C19354" s="85"/>
      <c r="F19354" s="92"/>
      <c r="G19354" s="85"/>
    </row>
    <row r="19355">
      <c r="A19355" s="84"/>
      <c r="B19355" s="85"/>
      <c r="C19355" s="85"/>
      <c r="F19355" s="92"/>
      <c r="G19355" s="85"/>
    </row>
    <row r="19356">
      <c r="A19356" s="84"/>
      <c r="B19356" s="85"/>
      <c r="C19356" s="85"/>
      <c r="F19356" s="92"/>
      <c r="G19356" s="85"/>
    </row>
    <row r="19357">
      <c r="A19357" s="84"/>
      <c r="B19357" s="85"/>
      <c r="C19357" s="85"/>
      <c r="F19357" s="92"/>
      <c r="G19357" s="85"/>
    </row>
    <row r="19358">
      <c r="A19358" s="84"/>
      <c r="B19358" s="85"/>
      <c r="C19358" s="85"/>
      <c r="F19358" s="92"/>
      <c r="G19358" s="85"/>
    </row>
    <row r="19359">
      <c r="A19359" s="84"/>
      <c r="B19359" s="85"/>
      <c r="C19359" s="85"/>
      <c r="F19359" s="92"/>
      <c r="G19359" s="85"/>
    </row>
    <row r="19360">
      <c r="A19360" s="84"/>
      <c r="B19360" s="85"/>
      <c r="C19360" s="85"/>
      <c r="F19360" s="92"/>
      <c r="G19360" s="85"/>
    </row>
    <row r="19361">
      <c r="A19361" s="84"/>
      <c r="B19361" s="85"/>
      <c r="C19361" s="85"/>
      <c r="F19361" s="92"/>
      <c r="G19361" s="85"/>
    </row>
    <row r="19362">
      <c r="A19362" s="84"/>
      <c r="B19362" s="85"/>
      <c r="C19362" s="85"/>
      <c r="F19362" s="92"/>
      <c r="G19362" s="85"/>
    </row>
    <row r="19363">
      <c r="A19363" s="84"/>
      <c r="B19363" s="85"/>
      <c r="C19363" s="85"/>
      <c r="F19363" s="92"/>
      <c r="G19363" s="85"/>
    </row>
    <row r="19364">
      <c r="A19364" s="84"/>
      <c r="B19364" s="85"/>
      <c r="C19364" s="85"/>
      <c r="F19364" s="92"/>
      <c r="G19364" s="85"/>
    </row>
    <row r="19365">
      <c r="A19365" s="84"/>
      <c r="B19365" s="85"/>
      <c r="C19365" s="85"/>
      <c r="F19365" s="92"/>
      <c r="G19365" s="85"/>
    </row>
    <row r="19366">
      <c r="A19366" s="84"/>
      <c r="B19366" s="85"/>
      <c r="C19366" s="85"/>
      <c r="F19366" s="92"/>
      <c r="G19366" s="85"/>
    </row>
    <row r="19367">
      <c r="A19367" s="84"/>
      <c r="B19367" s="85"/>
      <c r="C19367" s="85"/>
      <c r="F19367" s="92"/>
      <c r="G19367" s="85"/>
    </row>
    <row r="19368">
      <c r="A19368" s="84"/>
      <c r="B19368" s="85"/>
      <c r="C19368" s="85"/>
      <c r="F19368" s="92"/>
      <c r="G19368" s="85"/>
    </row>
    <row r="19369">
      <c r="A19369" s="84"/>
      <c r="B19369" s="85"/>
      <c r="C19369" s="85"/>
      <c r="F19369" s="92"/>
      <c r="G19369" s="85"/>
    </row>
    <row r="19370">
      <c r="A19370" s="84"/>
      <c r="B19370" s="85"/>
      <c r="C19370" s="85"/>
      <c r="F19370" s="92"/>
      <c r="G19370" s="85"/>
    </row>
    <row r="19371">
      <c r="A19371" s="84"/>
      <c r="B19371" s="85"/>
      <c r="C19371" s="85"/>
      <c r="F19371" s="92"/>
      <c r="G19371" s="85"/>
    </row>
    <row r="19372">
      <c r="A19372" s="84"/>
      <c r="B19372" s="85"/>
      <c r="C19372" s="85"/>
      <c r="F19372" s="92"/>
      <c r="G19372" s="85"/>
    </row>
    <row r="19373">
      <c r="A19373" s="84"/>
      <c r="B19373" s="85"/>
      <c r="C19373" s="85"/>
      <c r="F19373" s="92"/>
      <c r="G19373" s="85"/>
    </row>
    <row r="19374">
      <c r="A19374" s="84"/>
      <c r="B19374" s="85"/>
      <c r="C19374" s="85"/>
      <c r="F19374" s="92"/>
      <c r="G19374" s="85"/>
    </row>
    <row r="19375">
      <c r="A19375" s="84"/>
      <c r="B19375" s="85"/>
      <c r="C19375" s="85"/>
      <c r="F19375" s="92"/>
      <c r="G19375" s="85"/>
    </row>
    <row r="19376">
      <c r="A19376" s="84"/>
      <c r="B19376" s="85"/>
      <c r="C19376" s="85"/>
      <c r="F19376" s="92"/>
      <c r="G19376" s="85"/>
    </row>
    <row r="19377">
      <c r="A19377" s="84"/>
      <c r="B19377" s="85"/>
      <c r="C19377" s="85"/>
      <c r="F19377" s="92"/>
      <c r="G19377" s="85"/>
    </row>
    <row r="19378">
      <c r="A19378" s="84"/>
      <c r="B19378" s="85"/>
      <c r="C19378" s="85"/>
      <c r="F19378" s="92"/>
      <c r="G19378" s="85"/>
    </row>
    <row r="19379">
      <c r="A19379" s="84"/>
      <c r="B19379" s="85"/>
      <c r="C19379" s="85"/>
      <c r="F19379" s="92"/>
      <c r="G19379" s="85"/>
    </row>
    <row r="19380">
      <c r="A19380" s="84"/>
      <c r="B19380" s="85"/>
      <c r="C19380" s="85"/>
      <c r="F19380" s="92"/>
      <c r="G19380" s="85"/>
    </row>
    <row r="19381">
      <c r="A19381" s="84"/>
      <c r="B19381" s="85"/>
      <c r="C19381" s="85"/>
      <c r="F19381" s="92"/>
      <c r="G19381" s="85"/>
    </row>
    <row r="19382">
      <c r="A19382" s="84"/>
      <c r="B19382" s="85"/>
      <c r="C19382" s="85"/>
      <c r="F19382" s="92"/>
      <c r="G19382" s="85"/>
    </row>
    <row r="19383">
      <c r="A19383" s="84"/>
      <c r="B19383" s="85"/>
      <c r="C19383" s="85"/>
      <c r="F19383" s="92"/>
      <c r="G19383" s="85"/>
    </row>
    <row r="19384">
      <c r="A19384" s="84"/>
      <c r="B19384" s="85"/>
      <c r="C19384" s="85"/>
      <c r="F19384" s="92"/>
      <c r="G19384" s="85"/>
    </row>
    <row r="19385">
      <c r="A19385" s="84"/>
      <c r="B19385" s="85"/>
      <c r="C19385" s="85"/>
      <c r="F19385" s="92"/>
      <c r="G19385" s="85"/>
    </row>
    <row r="19386">
      <c r="A19386" s="84"/>
      <c r="B19386" s="85"/>
      <c r="C19386" s="85"/>
      <c r="F19386" s="92"/>
      <c r="G19386" s="85"/>
    </row>
    <row r="19387">
      <c r="A19387" s="84"/>
      <c r="B19387" s="85"/>
      <c r="C19387" s="85"/>
      <c r="F19387" s="92"/>
      <c r="G19387" s="85"/>
    </row>
    <row r="19388">
      <c r="A19388" s="84"/>
      <c r="B19388" s="85"/>
      <c r="C19388" s="85"/>
      <c r="F19388" s="92"/>
      <c r="G19388" s="85"/>
    </row>
    <row r="19389">
      <c r="A19389" s="84"/>
      <c r="B19389" s="85"/>
      <c r="C19389" s="85"/>
      <c r="F19389" s="92"/>
      <c r="G19389" s="85"/>
    </row>
    <row r="19390">
      <c r="A19390" s="84"/>
      <c r="B19390" s="85"/>
      <c r="C19390" s="85"/>
      <c r="F19390" s="92"/>
      <c r="G19390" s="85"/>
    </row>
    <row r="19391">
      <c r="A19391" s="84"/>
      <c r="B19391" s="85"/>
      <c r="C19391" s="85"/>
      <c r="F19391" s="92"/>
      <c r="G19391" s="85"/>
    </row>
    <row r="19392">
      <c r="A19392" s="84"/>
      <c r="B19392" s="85"/>
      <c r="C19392" s="85"/>
      <c r="F19392" s="92"/>
      <c r="G19392" s="85"/>
    </row>
    <row r="19393">
      <c r="A19393" s="84"/>
      <c r="B19393" s="85"/>
      <c r="C19393" s="85"/>
      <c r="F19393" s="92"/>
      <c r="G19393" s="85"/>
    </row>
    <row r="19394">
      <c r="A19394" s="84"/>
      <c r="B19394" s="85"/>
      <c r="C19394" s="85"/>
      <c r="F19394" s="92"/>
      <c r="G19394" s="85"/>
    </row>
    <row r="19395">
      <c r="A19395" s="84"/>
      <c r="B19395" s="85"/>
      <c r="C19395" s="85"/>
      <c r="F19395" s="92"/>
      <c r="G19395" s="85"/>
    </row>
    <row r="19396">
      <c r="A19396" s="84"/>
      <c r="B19396" s="85"/>
      <c r="C19396" s="85"/>
      <c r="F19396" s="92"/>
      <c r="G19396" s="85"/>
    </row>
    <row r="19397">
      <c r="A19397" s="84"/>
      <c r="B19397" s="85"/>
      <c r="C19397" s="85"/>
      <c r="F19397" s="92"/>
      <c r="G19397" s="85"/>
    </row>
    <row r="19398">
      <c r="A19398" s="84"/>
      <c r="B19398" s="85"/>
      <c r="C19398" s="85"/>
      <c r="F19398" s="92"/>
      <c r="G19398" s="85"/>
    </row>
    <row r="19399">
      <c r="A19399" s="84"/>
      <c r="B19399" s="85"/>
      <c r="C19399" s="85"/>
      <c r="F19399" s="92"/>
      <c r="G19399" s="85"/>
    </row>
    <row r="19400">
      <c r="A19400" s="84"/>
      <c r="B19400" s="85"/>
      <c r="C19400" s="85"/>
      <c r="F19400" s="92"/>
      <c r="G19400" s="85"/>
    </row>
    <row r="19401">
      <c r="A19401" s="84"/>
      <c r="B19401" s="85"/>
      <c r="C19401" s="85"/>
      <c r="F19401" s="92"/>
      <c r="G19401" s="85"/>
    </row>
    <row r="19402">
      <c r="A19402" s="84"/>
      <c r="B19402" s="85"/>
      <c r="C19402" s="85"/>
      <c r="F19402" s="92"/>
      <c r="G19402" s="85"/>
    </row>
    <row r="19403">
      <c r="A19403" s="84"/>
      <c r="B19403" s="85"/>
      <c r="C19403" s="85"/>
      <c r="F19403" s="92"/>
      <c r="G19403" s="85"/>
    </row>
    <row r="19404">
      <c r="A19404" s="84"/>
      <c r="B19404" s="85"/>
      <c r="C19404" s="85"/>
      <c r="F19404" s="92"/>
      <c r="G19404" s="85"/>
    </row>
    <row r="19405">
      <c r="A19405" s="84"/>
      <c r="B19405" s="85"/>
      <c r="C19405" s="85"/>
      <c r="F19405" s="92"/>
      <c r="G19405" s="85"/>
    </row>
    <row r="19406">
      <c r="A19406" s="84"/>
      <c r="B19406" s="85"/>
      <c r="C19406" s="85"/>
      <c r="F19406" s="92"/>
      <c r="G19406" s="85"/>
    </row>
    <row r="19407">
      <c r="A19407" s="84"/>
      <c r="B19407" s="85"/>
      <c r="C19407" s="85"/>
      <c r="F19407" s="92"/>
      <c r="G19407" s="85"/>
    </row>
    <row r="19408">
      <c r="A19408" s="84"/>
      <c r="B19408" s="85"/>
      <c r="C19408" s="85"/>
      <c r="F19408" s="92"/>
      <c r="G19408" s="85"/>
    </row>
    <row r="19409">
      <c r="A19409" s="84"/>
      <c r="B19409" s="85"/>
      <c r="C19409" s="85"/>
      <c r="F19409" s="92"/>
      <c r="G19409" s="85"/>
    </row>
    <row r="19410">
      <c r="A19410" s="84"/>
      <c r="B19410" s="85"/>
      <c r="C19410" s="85"/>
      <c r="F19410" s="92"/>
      <c r="G19410" s="85"/>
    </row>
    <row r="19411">
      <c r="A19411" s="84"/>
      <c r="B19411" s="85"/>
      <c r="C19411" s="85"/>
      <c r="F19411" s="92"/>
      <c r="G19411" s="85"/>
    </row>
    <row r="19412">
      <c r="A19412" s="84"/>
      <c r="B19412" s="85"/>
      <c r="C19412" s="85"/>
      <c r="F19412" s="92"/>
      <c r="G19412" s="85"/>
    </row>
    <row r="19413">
      <c r="A19413" s="84"/>
      <c r="B19413" s="85"/>
      <c r="C19413" s="85"/>
      <c r="F19413" s="92"/>
      <c r="G19413" s="85"/>
    </row>
    <row r="19414">
      <c r="A19414" s="84"/>
      <c r="B19414" s="85"/>
      <c r="C19414" s="85"/>
      <c r="F19414" s="92"/>
      <c r="G19414" s="85"/>
    </row>
    <row r="19415">
      <c r="A19415" s="84"/>
      <c r="B19415" s="85"/>
      <c r="C19415" s="85"/>
      <c r="F19415" s="92"/>
      <c r="G19415" s="85"/>
    </row>
    <row r="19416">
      <c r="A19416" s="84"/>
      <c r="B19416" s="85"/>
      <c r="C19416" s="85"/>
      <c r="F19416" s="92"/>
      <c r="G19416" s="85"/>
    </row>
    <row r="19417">
      <c r="A19417" s="84"/>
      <c r="B19417" s="85"/>
      <c r="C19417" s="85"/>
      <c r="F19417" s="92"/>
      <c r="G19417" s="85"/>
    </row>
    <row r="19418">
      <c r="A19418" s="84"/>
      <c r="B19418" s="85"/>
      <c r="C19418" s="85"/>
      <c r="F19418" s="92"/>
      <c r="G19418" s="85"/>
    </row>
    <row r="19419">
      <c r="A19419" s="84"/>
      <c r="B19419" s="85"/>
      <c r="C19419" s="85"/>
      <c r="F19419" s="92"/>
      <c r="G19419" s="85"/>
    </row>
    <row r="19420">
      <c r="A19420" s="84"/>
      <c r="B19420" s="85"/>
      <c r="C19420" s="85"/>
      <c r="F19420" s="92"/>
      <c r="G19420" s="85"/>
    </row>
    <row r="19421">
      <c r="A19421" s="84"/>
      <c r="B19421" s="85"/>
      <c r="C19421" s="85"/>
      <c r="F19421" s="92"/>
      <c r="G19421" s="85"/>
    </row>
    <row r="19422">
      <c r="A19422" s="84"/>
      <c r="B19422" s="85"/>
      <c r="C19422" s="85"/>
      <c r="F19422" s="92"/>
      <c r="G19422" s="85"/>
    </row>
    <row r="19423">
      <c r="A19423" s="84"/>
      <c r="B19423" s="85"/>
      <c r="C19423" s="85"/>
      <c r="F19423" s="92"/>
      <c r="G19423" s="85"/>
    </row>
    <row r="19424">
      <c r="A19424" s="84"/>
      <c r="B19424" s="85"/>
      <c r="C19424" s="85"/>
      <c r="F19424" s="92"/>
      <c r="G19424" s="85"/>
    </row>
    <row r="19425">
      <c r="A19425" s="84"/>
      <c r="B19425" s="85"/>
      <c r="C19425" s="85"/>
      <c r="F19425" s="92"/>
      <c r="G19425" s="85"/>
    </row>
    <row r="19426">
      <c r="A19426" s="84"/>
      <c r="B19426" s="85"/>
      <c r="C19426" s="85"/>
      <c r="F19426" s="92"/>
      <c r="G19426" s="85"/>
    </row>
    <row r="19427">
      <c r="A19427" s="84"/>
      <c r="B19427" s="85"/>
      <c r="C19427" s="85"/>
      <c r="F19427" s="92"/>
      <c r="G19427" s="85"/>
    </row>
    <row r="19428">
      <c r="A19428" s="84"/>
      <c r="B19428" s="85"/>
      <c r="C19428" s="85"/>
      <c r="F19428" s="92"/>
      <c r="G19428" s="85"/>
    </row>
    <row r="19429">
      <c r="A19429" s="84"/>
      <c r="B19429" s="85"/>
      <c r="C19429" s="85"/>
      <c r="F19429" s="92"/>
      <c r="G19429" s="85"/>
    </row>
    <row r="19430">
      <c r="A19430" s="84"/>
      <c r="B19430" s="85"/>
      <c r="C19430" s="85"/>
      <c r="F19430" s="92"/>
      <c r="G19430" s="85"/>
    </row>
    <row r="19431">
      <c r="A19431" s="84"/>
      <c r="B19431" s="85"/>
      <c r="C19431" s="85"/>
      <c r="F19431" s="92"/>
      <c r="G19431" s="85"/>
    </row>
    <row r="19432">
      <c r="A19432" s="84"/>
      <c r="B19432" s="85"/>
      <c r="C19432" s="85"/>
      <c r="F19432" s="92"/>
      <c r="G19432" s="85"/>
    </row>
    <row r="19433">
      <c r="A19433" s="84"/>
      <c r="B19433" s="85"/>
      <c r="C19433" s="85"/>
      <c r="F19433" s="92"/>
      <c r="G19433" s="85"/>
    </row>
    <row r="19434">
      <c r="A19434" s="84"/>
      <c r="B19434" s="85"/>
      <c r="C19434" s="85"/>
      <c r="F19434" s="92"/>
      <c r="G19434" s="85"/>
    </row>
    <row r="19435">
      <c r="A19435" s="84"/>
      <c r="B19435" s="85"/>
      <c r="C19435" s="85"/>
      <c r="F19435" s="92"/>
      <c r="G19435" s="85"/>
    </row>
    <row r="19436">
      <c r="A19436" s="84"/>
      <c r="B19436" s="85"/>
      <c r="C19436" s="85"/>
      <c r="F19436" s="92"/>
      <c r="G19436" s="85"/>
    </row>
    <row r="19437">
      <c r="A19437" s="84"/>
      <c r="B19437" s="85"/>
      <c r="C19437" s="85"/>
      <c r="F19437" s="92"/>
      <c r="G19437" s="85"/>
    </row>
    <row r="19438">
      <c r="A19438" s="84"/>
      <c r="B19438" s="85"/>
      <c r="C19438" s="85"/>
      <c r="F19438" s="92"/>
      <c r="G19438" s="85"/>
    </row>
    <row r="19439">
      <c r="A19439" s="84"/>
      <c r="B19439" s="85"/>
      <c r="C19439" s="85"/>
      <c r="F19439" s="92"/>
      <c r="G19439" s="85"/>
    </row>
    <row r="19440">
      <c r="A19440" s="84"/>
      <c r="B19440" s="85"/>
      <c r="C19440" s="85"/>
      <c r="F19440" s="92"/>
      <c r="G19440" s="85"/>
    </row>
    <row r="19441">
      <c r="A19441" s="84"/>
      <c r="B19441" s="85"/>
      <c r="C19441" s="85"/>
      <c r="F19441" s="92"/>
      <c r="G19441" s="85"/>
    </row>
    <row r="19442">
      <c r="A19442" s="84"/>
      <c r="B19442" s="85"/>
      <c r="C19442" s="85"/>
      <c r="F19442" s="92"/>
      <c r="G19442" s="85"/>
    </row>
    <row r="19443">
      <c r="A19443" s="84"/>
      <c r="B19443" s="85"/>
      <c r="C19443" s="85"/>
      <c r="F19443" s="92"/>
      <c r="G19443" s="85"/>
    </row>
    <row r="19444">
      <c r="A19444" s="84"/>
      <c r="B19444" s="85"/>
      <c r="C19444" s="85"/>
      <c r="F19444" s="92"/>
      <c r="G19444" s="85"/>
    </row>
    <row r="19445">
      <c r="A19445" s="84"/>
      <c r="B19445" s="85"/>
      <c r="C19445" s="85"/>
      <c r="F19445" s="92"/>
      <c r="G19445" s="85"/>
    </row>
    <row r="19446">
      <c r="A19446" s="84"/>
      <c r="B19446" s="85"/>
      <c r="C19446" s="85"/>
      <c r="F19446" s="92"/>
      <c r="G19446" s="85"/>
    </row>
    <row r="19447">
      <c r="A19447" s="84"/>
      <c r="B19447" s="85"/>
      <c r="C19447" s="85"/>
      <c r="F19447" s="92"/>
      <c r="G19447" s="85"/>
    </row>
    <row r="19448">
      <c r="A19448" s="84"/>
      <c r="B19448" s="85"/>
      <c r="C19448" s="85"/>
      <c r="F19448" s="92"/>
      <c r="G19448" s="85"/>
    </row>
    <row r="19449">
      <c r="A19449" s="84"/>
      <c r="B19449" s="85"/>
      <c r="C19449" s="85"/>
      <c r="F19449" s="92"/>
      <c r="G19449" s="85"/>
    </row>
    <row r="19450">
      <c r="A19450" s="84"/>
      <c r="B19450" s="85"/>
      <c r="C19450" s="85"/>
      <c r="F19450" s="92"/>
      <c r="G19450" s="85"/>
    </row>
    <row r="19451">
      <c r="A19451" s="84"/>
      <c r="B19451" s="85"/>
      <c r="C19451" s="85"/>
      <c r="F19451" s="92"/>
      <c r="G19451" s="85"/>
    </row>
    <row r="19452">
      <c r="A19452" s="84"/>
      <c r="B19452" s="85"/>
      <c r="C19452" s="85"/>
      <c r="F19452" s="92"/>
      <c r="G19452" s="85"/>
    </row>
    <row r="19453">
      <c r="A19453" s="84"/>
      <c r="B19453" s="85"/>
      <c r="C19453" s="85"/>
      <c r="F19453" s="92"/>
      <c r="G19453" s="85"/>
    </row>
    <row r="19454">
      <c r="A19454" s="84"/>
      <c r="B19454" s="85"/>
      <c r="C19454" s="85"/>
      <c r="F19454" s="92"/>
      <c r="G19454" s="85"/>
    </row>
    <row r="19455">
      <c r="A19455" s="84"/>
      <c r="B19455" s="85"/>
      <c r="C19455" s="85"/>
      <c r="F19455" s="92"/>
      <c r="G19455" s="85"/>
    </row>
    <row r="19456">
      <c r="A19456" s="84"/>
      <c r="B19456" s="85"/>
      <c r="C19456" s="85"/>
      <c r="F19456" s="92"/>
      <c r="G19456" s="85"/>
    </row>
    <row r="19457">
      <c r="A19457" s="84"/>
      <c r="B19457" s="85"/>
      <c r="C19457" s="85"/>
      <c r="F19457" s="92"/>
      <c r="G19457" s="85"/>
    </row>
    <row r="19458">
      <c r="A19458" s="84"/>
      <c r="B19458" s="85"/>
      <c r="C19458" s="85"/>
      <c r="F19458" s="92"/>
      <c r="G19458" s="85"/>
    </row>
    <row r="19459">
      <c r="A19459" s="84"/>
      <c r="B19459" s="85"/>
      <c r="C19459" s="85"/>
      <c r="F19459" s="92"/>
      <c r="G19459" s="85"/>
    </row>
    <row r="19460">
      <c r="A19460" s="84"/>
      <c r="B19460" s="85"/>
      <c r="C19460" s="85"/>
      <c r="F19460" s="92"/>
      <c r="G19460" s="85"/>
    </row>
    <row r="19461">
      <c r="A19461" s="84"/>
      <c r="B19461" s="85"/>
      <c r="C19461" s="85"/>
      <c r="F19461" s="92"/>
      <c r="G19461" s="85"/>
    </row>
    <row r="19462">
      <c r="A19462" s="84"/>
      <c r="B19462" s="85"/>
      <c r="C19462" s="85"/>
      <c r="F19462" s="92"/>
      <c r="G19462" s="85"/>
    </row>
    <row r="19463">
      <c r="A19463" s="84"/>
      <c r="B19463" s="85"/>
      <c r="C19463" s="85"/>
      <c r="F19463" s="92"/>
      <c r="G19463" s="85"/>
    </row>
    <row r="19464">
      <c r="A19464" s="84"/>
      <c r="B19464" s="85"/>
      <c r="C19464" s="85"/>
      <c r="F19464" s="92"/>
      <c r="G19464" s="85"/>
    </row>
    <row r="19465">
      <c r="A19465" s="84"/>
      <c r="B19465" s="85"/>
      <c r="C19465" s="85"/>
      <c r="F19465" s="92"/>
      <c r="G19465" s="85"/>
    </row>
    <row r="19466">
      <c r="A19466" s="84"/>
      <c r="B19466" s="85"/>
      <c r="C19466" s="85"/>
      <c r="F19466" s="92"/>
      <c r="G19466" s="85"/>
    </row>
    <row r="19467">
      <c r="A19467" s="84"/>
      <c r="B19467" s="85"/>
      <c r="C19467" s="85"/>
      <c r="F19467" s="92"/>
      <c r="G19467" s="85"/>
    </row>
    <row r="19468">
      <c r="A19468" s="84"/>
      <c r="B19468" s="85"/>
      <c r="C19468" s="85"/>
      <c r="F19468" s="92"/>
      <c r="G19468" s="85"/>
    </row>
    <row r="19469">
      <c r="A19469" s="84"/>
      <c r="B19469" s="85"/>
      <c r="C19469" s="85"/>
      <c r="F19469" s="92"/>
      <c r="G19469" s="85"/>
    </row>
    <row r="19470">
      <c r="A19470" s="84"/>
      <c r="B19470" s="85"/>
      <c r="C19470" s="85"/>
      <c r="F19470" s="92"/>
      <c r="G19470" s="85"/>
    </row>
    <row r="19471">
      <c r="A19471" s="84"/>
      <c r="B19471" s="85"/>
      <c r="C19471" s="85"/>
      <c r="F19471" s="92"/>
      <c r="G19471" s="85"/>
    </row>
    <row r="19472">
      <c r="A19472" s="84"/>
      <c r="B19472" s="85"/>
      <c r="C19472" s="85"/>
      <c r="F19472" s="92"/>
      <c r="G19472" s="85"/>
    </row>
    <row r="19473">
      <c r="A19473" s="84"/>
      <c r="B19473" s="85"/>
      <c r="C19473" s="85"/>
      <c r="F19473" s="92"/>
      <c r="G19473" s="85"/>
    </row>
    <row r="19474">
      <c r="A19474" s="84"/>
      <c r="B19474" s="85"/>
      <c r="C19474" s="85"/>
      <c r="F19474" s="92"/>
      <c r="G19474" s="85"/>
    </row>
    <row r="19475">
      <c r="A19475" s="84"/>
      <c r="B19475" s="85"/>
      <c r="C19475" s="85"/>
      <c r="F19475" s="92"/>
      <c r="G19475" s="85"/>
    </row>
    <row r="19476">
      <c r="A19476" s="84"/>
      <c r="B19476" s="85"/>
      <c r="C19476" s="85"/>
      <c r="F19476" s="92"/>
      <c r="G19476" s="85"/>
    </row>
    <row r="19477">
      <c r="A19477" s="84"/>
      <c r="B19477" s="85"/>
      <c r="C19477" s="85"/>
      <c r="F19477" s="92"/>
      <c r="G19477" s="85"/>
    </row>
    <row r="19478">
      <c r="A19478" s="84"/>
      <c r="B19478" s="85"/>
      <c r="C19478" s="85"/>
      <c r="F19478" s="92"/>
      <c r="G19478" s="85"/>
    </row>
    <row r="19479">
      <c r="A19479" s="84"/>
      <c r="B19479" s="85"/>
      <c r="C19479" s="85"/>
      <c r="F19479" s="92"/>
      <c r="G19479" s="85"/>
    </row>
    <row r="19480">
      <c r="A19480" s="84"/>
      <c r="B19480" s="85"/>
      <c r="C19480" s="85"/>
      <c r="F19480" s="92"/>
      <c r="G19480" s="85"/>
    </row>
    <row r="19481">
      <c r="A19481" s="84"/>
      <c r="B19481" s="85"/>
      <c r="C19481" s="85"/>
      <c r="F19481" s="92"/>
      <c r="G19481" s="85"/>
    </row>
    <row r="19482">
      <c r="A19482" s="84"/>
      <c r="B19482" s="85"/>
      <c r="C19482" s="85"/>
      <c r="F19482" s="92"/>
      <c r="G19482" s="85"/>
    </row>
    <row r="19483">
      <c r="A19483" s="84"/>
      <c r="B19483" s="85"/>
      <c r="C19483" s="85"/>
      <c r="F19483" s="92"/>
      <c r="G19483" s="85"/>
    </row>
    <row r="19484">
      <c r="A19484" s="84"/>
      <c r="B19484" s="85"/>
      <c r="C19484" s="85"/>
      <c r="F19484" s="92"/>
      <c r="G19484" s="85"/>
    </row>
    <row r="19485">
      <c r="A19485" s="84"/>
      <c r="B19485" s="85"/>
      <c r="C19485" s="85"/>
      <c r="F19485" s="92"/>
      <c r="G19485" s="85"/>
    </row>
    <row r="19486">
      <c r="A19486" s="84"/>
      <c r="B19486" s="85"/>
      <c r="C19486" s="85"/>
      <c r="F19486" s="92"/>
      <c r="G19486" s="85"/>
    </row>
    <row r="19487">
      <c r="A19487" s="84"/>
      <c r="B19487" s="85"/>
      <c r="C19487" s="85"/>
      <c r="F19487" s="92"/>
      <c r="G19487" s="85"/>
    </row>
    <row r="19488">
      <c r="A19488" s="84"/>
      <c r="B19488" s="85"/>
      <c r="C19488" s="85"/>
      <c r="F19488" s="92"/>
      <c r="G19488" s="85"/>
    </row>
    <row r="19489">
      <c r="A19489" s="84"/>
      <c r="B19489" s="85"/>
      <c r="C19489" s="85"/>
      <c r="F19489" s="92"/>
      <c r="G19489" s="85"/>
    </row>
    <row r="19490">
      <c r="A19490" s="84"/>
      <c r="B19490" s="85"/>
      <c r="C19490" s="85"/>
      <c r="F19490" s="92"/>
      <c r="G19490" s="85"/>
    </row>
    <row r="19491">
      <c r="A19491" s="84"/>
      <c r="B19491" s="85"/>
      <c r="C19491" s="85"/>
      <c r="F19491" s="92"/>
      <c r="G19491" s="85"/>
    </row>
    <row r="19492">
      <c r="A19492" s="84"/>
      <c r="B19492" s="85"/>
      <c r="C19492" s="85"/>
      <c r="F19492" s="92"/>
      <c r="G19492" s="85"/>
    </row>
    <row r="19493">
      <c r="A19493" s="84"/>
      <c r="B19493" s="85"/>
      <c r="C19493" s="85"/>
      <c r="F19493" s="92"/>
      <c r="G19493" s="85"/>
    </row>
    <row r="19494">
      <c r="A19494" s="84"/>
      <c r="B19494" s="85"/>
      <c r="C19494" s="85"/>
      <c r="F19494" s="92"/>
      <c r="G19494" s="85"/>
    </row>
    <row r="19495">
      <c r="A19495" s="84"/>
      <c r="B19495" s="85"/>
      <c r="C19495" s="85"/>
      <c r="F19495" s="92"/>
      <c r="G19495" s="85"/>
    </row>
    <row r="19496">
      <c r="A19496" s="84"/>
      <c r="B19496" s="85"/>
      <c r="C19496" s="85"/>
      <c r="F19496" s="92"/>
      <c r="G19496" s="85"/>
    </row>
    <row r="19497">
      <c r="A19497" s="84"/>
      <c r="B19497" s="85"/>
      <c r="C19497" s="85"/>
      <c r="F19497" s="92"/>
      <c r="G19497" s="85"/>
    </row>
    <row r="19498">
      <c r="A19498" s="84"/>
      <c r="B19498" s="85"/>
      <c r="C19498" s="85"/>
      <c r="F19498" s="92"/>
      <c r="G19498" s="85"/>
    </row>
    <row r="19499">
      <c r="A19499" s="84"/>
      <c r="B19499" s="85"/>
      <c r="C19499" s="85"/>
      <c r="F19499" s="92"/>
      <c r="G19499" s="85"/>
    </row>
    <row r="19500">
      <c r="A19500" s="84"/>
      <c r="B19500" s="85"/>
      <c r="C19500" s="85"/>
      <c r="F19500" s="92"/>
      <c r="G19500" s="85"/>
    </row>
    <row r="19501">
      <c r="A19501" s="84"/>
      <c r="B19501" s="85"/>
      <c r="C19501" s="85"/>
      <c r="F19501" s="92"/>
      <c r="G19501" s="85"/>
    </row>
    <row r="19502">
      <c r="A19502" s="84"/>
      <c r="B19502" s="85"/>
      <c r="C19502" s="85"/>
      <c r="F19502" s="92"/>
      <c r="G19502" s="85"/>
    </row>
    <row r="19503">
      <c r="A19503" s="84"/>
      <c r="B19503" s="85"/>
      <c r="C19503" s="85"/>
      <c r="F19503" s="92"/>
      <c r="G19503" s="85"/>
    </row>
    <row r="19504">
      <c r="A19504" s="84"/>
      <c r="B19504" s="85"/>
      <c r="C19504" s="85"/>
      <c r="F19504" s="92"/>
      <c r="G19504" s="85"/>
    </row>
    <row r="19505">
      <c r="A19505" s="84"/>
      <c r="B19505" s="85"/>
      <c r="C19505" s="85"/>
      <c r="F19505" s="92"/>
      <c r="G19505" s="85"/>
    </row>
    <row r="19506">
      <c r="A19506" s="84"/>
      <c r="B19506" s="85"/>
      <c r="C19506" s="85"/>
      <c r="F19506" s="92"/>
      <c r="G19506" s="85"/>
    </row>
    <row r="19507">
      <c r="A19507" s="84"/>
      <c r="B19507" s="85"/>
      <c r="C19507" s="85"/>
      <c r="F19507" s="92"/>
      <c r="G19507" s="85"/>
    </row>
    <row r="19508">
      <c r="A19508" s="84"/>
      <c r="B19508" s="85"/>
      <c r="C19508" s="85"/>
      <c r="F19508" s="92"/>
      <c r="G19508" s="85"/>
    </row>
    <row r="19509">
      <c r="A19509" s="84"/>
      <c r="B19509" s="85"/>
      <c r="C19509" s="85"/>
      <c r="F19509" s="92"/>
      <c r="G19509" s="85"/>
    </row>
    <row r="19510">
      <c r="A19510" s="84"/>
      <c r="B19510" s="85"/>
      <c r="C19510" s="85"/>
      <c r="F19510" s="92"/>
      <c r="G19510" s="85"/>
    </row>
    <row r="19511">
      <c r="A19511" s="84"/>
      <c r="B19511" s="85"/>
      <c r="C19511" s="85"/>
      <c r="F19511" s="92"/>
      <c r="G19511" s="85"/>
    </row>
    <row r="19512">
      <c r="A19512" s="84"/>
      <c r="B19512" s="85"/>
      <c r="C19512" s="85"/>
      <c r="F19512" s="92"/>
      <c r="G19512" s="85"/>
    </row>
    <row r="19513">
      <c r="A19513" s="84"/>
      <c r="B19513" s="85"/>
      <c r="C19513" s="85"/>
      <c r="F19513" s="92"/>
      <c r="G19513" s="85"/>
    </row>
    <row r="19514">
      <c r="A19514" s="84"/>
      <c r="B19514" s="85"/>
      <c r="C19514" s="85"/>
      <c r="F19514" s="92"/>
      <c r="G19514" s="85"/>
    </row>
    <row r="19515">
      <c r="A19515" s="84"/>
      <c r="B19515" s="85"/>
      <c r="C19515" s="85"/>
      <c r="F19515" s="92"/>
      <c r="G19515" s="85"/>
    </row>
    <row r="19516">
      <c r="A19516" s="84"/>
      <c r="B19516" s="85"/>
      <c r="C19516" s="85"/>
      <c r="F19516" s="92"/>
      <c r="G19516" s="85"/>
    </row>
    <row r="19517">
      <c r="A19517" s="84"/>
      <c r="B19517" s="85"/>
      <c r="C19517" s="85"/>
      <c r="F19517" s="92"/>
      <c r="G19517" s="85"/>
    </row>
    <row r="19518">
      <c r="A19518" s="84"/>
      <c r="B19518" s="85"/>
      <c r="C19518" s="85"/>
      <c r="F19518" s="92"/>
      <c r="G19518" s="85"/>
    </row>
    <row r="19519">
      <c r="A19519" s="84"/>
      <c r="B19519" s="85"/>
      <c r="C19519" s="85"/>
      <c r="F19519" s="92"/>
      <c r="G19519" s="85"/>
    </row>
    <row r="19520">
      <c r="A19520" s="84"/>
      <c r="B19520" s="85"/>
      <c r="C19520" s="85"/>
      <c r="F19520" s="92"/>
      <c r="G19520" s="85"/>
    </row>
    <row r="19521">
      <c r="A19521" s="84"/>
      <c r="B19521" s="85"/>
      <c r="C19521" s="85"/>
      <c r="F19521" s="92"/>
      <c r="G19521" s="85"/>
    </row>
    <row r="19522">
      <c r="A19522" s="84"/>
      <c r="B19522" s="85"/>
      <c r="C19522" s="85"/>
      <c r="F19522" s="92"/>
      <c r="G19522" s="85"/>
    </row>
    <row r="19523">
      <c r="A19523" s="84"/>
      <c r="B19523" s="85"/>
      <c r="C19523" s="85"/>
      <c r="F19523" s="92"/>
      <c r="G19523" s="85"/>
    </row>
    <row r="19524">
      <c r="A19524" s="84"/>
      <c r="B19524" s="85"/>
      <c r="C19524" s="85"/>
      <c r="F19524" s="92"/>
      <c r="G19524" s="85"/>
    </row>
    <row r="19525">
      <c r="A19525" s="84"/>
      <c r="B19525" s="85"/>
      <c r="C19525" s="85"/>
      <c r="F19525" s="92"/>
      <c r="G19525" s="85"/>
    </row>
    <row r="19526">
      <c r="A19526" s="84"/>
      <c r="B19526" s="85"/>
      <c r="C19526" s="85"/>
      <c r="F19526" s="92"/>
      <c r="G19526" s="85"/>
    </row>
    <row r="19527">
      <c r="A19527" s="84"/>
      <c r="B19527" s="85"/>
      <c r="C19527" s="85"/>
      <c r="F19527" s="92"/>
      <c r="G19527" s="85"/>
    </row>
    <row r="19528">
      <c r="A19528" s="84"/>
      <c r="B19528" s="85"/>
      <c r="C19528" s="85"/>
      <c r="F19528" s="92"/>
      <c r="G19528" s="85"/>
    </row>
    <row r="19529">
      <c r="A19529" s="84"/>
      <c r="B19529" s="85"/>
      <c r="C19529" s="85"/>
      <c r="F19529" s="92"/>
      <c r="G19529" s="85"/>
    </row>
    <row r="19530">
      <c r="A19530" s="84"/>
      <c r="B19530" s="85"/>
      <c r="C19530" s="85"/>
      <c r="F19530" s="92"/>
      <c r="G19530" s="85"/>
    </row>
    <row r="19531">
      <c r="A19531" s="84"/>
      <c r="B19531" s="85"/>
      <c r="C19531" s="85"/>
      <c r="F19531" s="92"/>
      <c r="G19531" s="85"/>
    </row>
    <row r="19532">
      <c r="A19532" s="84"/>
      <c r="B19532" s="85"/>
      <c r="C19532" s="85"/>
      <c r="F19532" s="92"/>
      <c r="G19532" s="85"/>
    </row>
    <row r="19533">
      <c r="A19533" s="84"/>
      <c r="B19533" s="85"/>
      <c r="C19533" s="85"/>
      <c r="F19533" s="92"/>
      <c r="G19533" s="85"/>
    </row>
    <row r="19534">
      <c r="A19534" s="84"/>
      <c r="B19534" s="85"/>
      <c r="C19534" s="85"/>
      <c r="F19534" s="92"/>
      <c r="G19534" s="85"/>
    </row>
    <row r="19535">
      <c r="A19535" s="84"/>
      <c r="B19535" s="85"/>
      <c r="C19535" s="85"/>
      <c r="F19535" s="92"/>
      <c r="G19535" s="85"/>
    </row>
    <row r="19536">
      <c r="A19536" s="84"/>
      <c r="B19536" s="85"/>
      <c r="C19536" s="85"/>
      <c r="F19536" s="92"/>
      <c r="G19536" s="85"/>
    </row>
    <row r="19537">
      <c r="A19537" s="84"/>
      <c r="B19537" s="85"/>
      <c r="C19537" s="85"/>
      <c r="F19537" s="92"/>
      <c r="G19537" s="85"/>
    </row>
    <row r="19538">
      <c r="A19538" s="84"/>
      <c r="B19538" s="85"/>
      <c r="C19538" s="85"/>
      <c r="F19538" s="92"/>
      <c r="G19538" s="85"/>
    </row>
    <row r="19539">
      <c r="A19539" s="84"/>
      <c r="B19539" s="85"/>
      <c r="C19539" s="85"/>
      <c r="F19539" s="92"/>
      <c r="G19539" s="85"/>
    </row>
    <row r="19540">
      <c r="A19540" s="84"/>
      <c r="B19540" s="85"/>
      <c r="C19540" s="85"/>
      <c r="F19540" s="92"/>
      <c r="G19540" s="85"/>
    </row>
    <row r="19541">
      <c r="A19541" s="84"/>
      <c r="B19541" s="85"/>
      <c r="C19541" s="85"/>
      <c r="F19541" s="92"/>
      <c r="G19541" s="85"/>
    </row>
    <row r="19542">
      <c r="A19542" s="84"/>
      <c r="B19542" s="85"/>
      <c r="C19542" s="85"/>
      <c r="F19542" s="92"/>
      <c r="G19542" s="85"/>
    </row>
    <row r="19543">
      <c r="A19543" s="84"/>
      <c r="B19543" s="85"/>
      <c r="C19543" s="85"/>
      <c r="F19543" s="92"/>
      <c r="G19543" s="85"/>
    </row>
    <row r="19544">
      <c r="A19544" s="84"/>
      <c r="B19544" s="85"/>
      <c r="C19544" s="85"/>
      <c r="F19544" s="92"/>
      <c r="G19544" s="85"/>
    </row>
    <row r="19545">
      <c r="A19545" s="84"/>
      <c r="B19545" s="85"/>
      <c r="C19545" s="85"/>
      <c r="F19545" s="92"/>
      <c r="G19545" s="85"/>
    </row>
    <row r="19546">
      <c r="A19546" s="84"/>
      <c r="B19546" s="85"/>
      <c r="C19546" s="85"/>
      <c r="F19546" s="92"/>
      <c r="G19546" s="85"/>
    </row>
    <row r="19547">
      <c r="A19547" s="84"/>
      <c r="B19547" s="85"/>
      <c r="C19547" s="85"/>
      <c r="F19547" s="92"/>
      <c r="G19547" s="85"/>
    </row>
    <row r="19548">
      <c r="A19548" s="84"/>
      <c r="B19548" s="85"/>
      <c r="C19548" s="85"/>
      <c r="F19548" s="92"/>
      <c r="G19548" s="85"/>
    </row>
    <row r="19549">
      <c r="A19549" s="84"/>
      <c r="B19549" s="85"/>
      <c r="C19549" s="85"/>
      <c r="F19549" s="92"/>
      <c r="G19549" s="85"/>
    </row>
    <row r="19550">
      <c r="A19550" s="84"/>
      <c r="B19550" s="85"/>
      <c r="C19550" s="85"/>
      <c r="F19550" s="92"/>
      <c r="G19550" s="85"/>
    </row>
    <row r="19551">
      <c r="A19551" s="84"/>
      <c r="B19551" s="85"/>
      <c r="C19551" s="85"/>
      <c r="F19551" s="92"/>
      <c r="G19551" s="85"/>
    </row>
    <row r="19552">
      <c r="A19552" s="84"/>
      <c r="B19552" s="85"/>
      <c r="C19552" s="85"/>
      <c r="F19552" s="92"/>
      <c r="G19552" s="85"/>
    </row>
    <row r="19553">
      <c r="A19553" s="84"/>
      <c r="B19553" s="85"/>
      <c r="C19553" s="85"/>
      <c r="F19553" s="92"/>
      <c r="G19553" s="85"/>
    </row>
    <row r="19554">
      <c r="A19554" s="84"/>
      <c r="B19554" s="85"/>
      <c r="C19554" s="85"/>
      <c r="F19554" s="92"/>
      <c r="G19554" s="85"/>
    </row>
    <row r="19555">
      <c r="A19555" s="84"/>
      <c r="B19555" s="85"/>
      <c r="C19555" s="85"/>
      <c r="F19555" s="92"/>
      <c r="G19555" s="85"/>
    </row>
    <row r="19556">
      <c r="A19556" s="84"/>
      <c r="B19556" s="85"/>
      <c r="C19556" s="85"/>
      <c r="F19556" s="92"/>
      <c r="G19556" s="85"/>
    </row>
    <row r="19557">
      <c r="A19557" s="84"/>
      <c r="B19557" s="85"/>
      <c r="C19557" s="85"/>
      <c r="F19557" s="92"/>
      <c r="G19557" s="85"/>
    </row>
    <row r="19558">
      <c r="A19558" s="84"/>
      <c r="B19558" s="85"/>
      <c r="C19558" s="85"/>
      <c r="F19558" s="92"/>
      <c r="G19558" s="85"/>
    </row>
    <row r="19559">
      <c r="A19559" s="84"/>
      <c r="B19559" s="85"/>
      <c r="C19559" s="85"/>
      <c r="F19559" s="92"/>
      <c r="G19559" s="85"/>
    </row>
    <row r="19560">
      <c r="A19560" s="84"/>
      <c r="B19560" s="85"/>
      <c r="C19560" s="85"/>
      <c r="F19560" s="92"/>
      <c r="G19560" s="85"/>
    </row>
    <row r="19561">
      <c r="A19561" s="84"/>
      <c r="B19561" s="85"/>
      <c r="C19561" s="85"/>
      <c r="F19561" s="92"/>
      <c r="G19561" s="85"/>
    </row>
    <row r="19562">
      <c r="A19562" s="84"/>
      <c r="B19562" s="85"/>
      <c r="C19562" s="85"/>
      <c r="F19562" s="92"/>
      <c r="G19562" s="85"/>
    </row>
    <row r="19563">
      <c r="A19563" s="84"/>
      <c r="B19563" s="85"/>
      <c r="C19563" s="85"/>
      <c r="F19563" s="92"/>
      <c r="G19563" s="85"/>
    </row>
    <row r="19564">
      <c r="A19564" s="84"/>
      <c r="B19564" s="85"/>
      <c r="C19564" s="85"/>
      <c r="F19564" s="92"/>
      <c r="G19564" s="85"/>
    </row>
    <row r="19565">
      <c r="A19565" s="84"/>
      <c r="B19565" s="85"/>
      <c r="C19565" s="85"/>
      <c r="F19565" s="92"/>
      <c r="G19565" s="85"/>
    </row>
    <row r="19566">
      <c r="A19566" s="84"/>
      <c r="B19566" s="85"/>
      <c r="C19566" s="85"/>
      <c r="F19566" s="92"/>
      <c r="G19566" s="85"/>
    </row>
    <row r="19567">
      <c r="A19567" s="84"/>
      <c r="B19567" s="85"/>
      <c r="C19567" s="85"/>
      <c r="F19567" s="92"/>
      <c r="G19567" s="85"/>
    </row>
    <row r="19568">
      <c r="A19568" s="84"/>
      <c r="B19568" s="85"/>
      <c r="C19568" s="85"/>
      <c r="F19568" s="92"/>
      <c r="G19568" s="85"/>
    </row>
    <row r="19569">
      <c r="A19569" s="84"/>
      <c r="B19569" s="85"/>
      <c r="C19569" s="85"/>
      <c r="F19569" s="92"/>
      <c r="G19569" s="85"/>
    </row>
    <row r="19570">
      <c r="A19570" s="84"/>
      <c r="B19570" s="85"/>
      <c r="C19570" s="85"/>
      <c r="F19570" s="92"/>
      <c r="G19570" s="85"/>
    </row>
    <row r="19571">
      <c r="A19571" s="84"/>
      <c r="B19571" s="85"/>
      <c r="C19571" s="85"/>
      <c r="F19571" s="92"/>
      <c r="G19571" s="85"/>
    </row>
    <row r="19572">
      <c r="A19572" s="84"/>
      <c r="B19572" s="85"/>
      <c r="C19572" s="85"/>
      <c r="F19572" s="92"/>
      <c r="G19572" s="85"/>
    </row>
    <row r="19573">
      <c r="A19573" s="84"/>
      <c r="B19573" s="85"/>
      <c r="C19573" s="85"/>
      <c r="F19573" s="92"/>
      <c r="G19573" s="85"/>
    </row>
    <row r="19574">
      <c r="A19574" s="84"/>
      <c r="B19574" s="85"/>
      <c r="C19574" s="85"/>
      <c r="F19574" s="92"/>
      <c r="G19574" s="85"/>
    </row>
    <row r="19575">
      <c r="A19575" s="84"/>
      <c r="B19575" s="85"/>
      <c r="C19575" s="85"/>
      <c r="F19575" s="92"/>
      <c r="G19575" s="85"/>
    </row>
    <row r="19576">
      <c r="A19576" s="84"/>
      <c r="B19576" s="85"/>
      <c r="C19576" s="85"/>
      <c r="F19576" s="92"/>
      <c r="G19576" s="85"/>
    </row>
    <row r="19577">
      <c r="A19577" s="84"/>
      <c r="B19577" s="85"/>
      <c r="C19577" s="85"/>
      <c r="F19577" s="92"/>
      <c r="G19577" s="85"/>
    </row>
    <row r="19578">
      <c r="A19578" s="84"/>
      <c r="B19578" s="85"/>
      <c r="C19578" s="85"/>
      <c r="F19578" s="92"/>
      <c r="G19578" s="85"/>
    </row>
    <row r="19579">
      <c r="A19579" s="84"/>
      <c r="B19579" s="85"/>
      <c r="C19579" s="85"/>
      <c r="F19579" s="92"/>
      <c r="G19579" s="85"/>
    </row>
    <row r="19580">
      <c r="A19580" s="84"/>
      <c r="B19580" s="85"/>
      <c r="C19580" s="85"/>
      <c r="F19580" s="92"/>
      <c r="G19580" s="85"/>
    </row>
    <row r="19581">
      <c r="A19581" s="84"/>
      <c r="B19581" s="85"/>
      <c r="C19581" s="85"/>
      <c r="F19581" s="92"/>
      <c r="G19581" s="85"/>
    </row>
    <row r="19582">
      <c r="A19582" s="84"/>
      <c r="B19582" s="85"/>
      <c r="C19582" s="85"/>
      <c r="F19582" s="92"/>
      <c r="G19582" s="85"/>
    </row>
    <row r="19583">
      <c r="A19583" s="84"/>
      <c r="B19583" s="85"/>
      <c r="C19583" s="85"/>
      <c r="F19583" s="92"/>
      <c r="G19583" s="85"/>
    </row>
    <row r="19584">
      <c r="A19584" s="84"/>
      <c r="B19584" s="85"/>
      <c r="C19584" s="85"/>
      <c r="F19584" s="92"/>
      <c r="G19584" s="85"/>
    </row>
    <row r="19585">
      <c r="A19585" s="84"/>
      <c r="B19585" s="85"/>
      <c r="C19585" s="85"/>
      <c r="F19585" s="92"/>
      <c r="G19585" s="85"/>
    </row>
    <row r="19586">
      <c r="A19586" s="84"/>
      <c r="B19586" s="85"/>
      <c r="C19586" s="85"/>
      <c r="F19586" s="92"/>
      <c r="G19586" s="85"/>
    </row>
    <row r="19587">
      <c r="A19587" s="84"/>
      <c r="B19587" s="85"/>
      <c r="C19587" s="85"/>
      <c r="F19587" s="92"/>
      <c r="G19587" s="85"/>
    </row>
    <row r="19588">
      <c r="A19588" s="84"/>
      <c r="B19588" s="85"/>
      <c r="C19588" s="85"/>
      <c r="F19588" s="92"/>
      <c r="G19588" s="85"/>
    </row>
    <row r="19589">
      <c r="A19589" s="84"/>
      <c r="B19589" s="85"/>
      <c r="C19589" s="85"/>
      <c r="F19589" s="92"/>
      <c r="G19589" s="85"/>
    </row>
    <row r="19590">
      <c r="A19590" s="84"/>
      <c r="B19590" s="85"/>
      <c r="C19590" s="85"/>
      <c r="F19590" s="92"/>
      <c r="G19590" s="85"/>
    </row>
    <row r="19591">
      <c r="A19591" s="84"/>
      <c r="B19591" s="85"/>
      <c r="C19591" s="85"/>
      <c r="F19591" s="92"/>
      <c r="G19591" s="85"/>
    </row>
    <row r="19592">
      <c r="A19592" s="84"/>
      <c r="B19592" s="85"/>
      <c r="C19592" s="85"/>
      <c r="F19592" s="92"/>
      <c r="G19592" s="85"/>
    </row>
    <row r="19593">
      <c r="A19593" s="84"/>
      <c r="B19593" s="85"/>
      <c r="C19593" s="85"/>
      <c r="F19593" s="92"/>
      <c r="G19593" s="85"/>
    </row>
    <row r="19594">
      <c r="A19594" s="84"/>
      <c r="B19594" s="85"/>
      <c r="C19594" s="85"/>
      <c r="F19594" s="92"/>
      <c r="G19594" s="85"/>
    </row>
    <row r="19595">
      <c r="A19595" s="84"/>
      <c r="B19595" s="85"/>
      <c r="C19595" s="85"/>
      <c r="F19595" s="92"/>
      <c r="G19595" s="85"/>
    </row>
    <row r="19596">
      <c r="A19596" s="84"/>
      <c r="B19596" s="85"/>
      <c r="C19596" s="85"/>
      <c r="F19596" s="92"/>
      <c r="G19596" s="85"/>
    </row>
    <row r="19597">
      <c r="A19597" s="84"/>
      <c r="B19597" s="85"/>
      <c r="C19597" s="85"/>
      <c r="F19597" s="92"/>
      <c r="G19597" s="85"/>
    </row>
    <row r="19598">
      <c r="A19598" s="84"/>
      <c r="B19598" s="85"/>
      <c r="C19598" s="85"/>
      <c r="F19598" s="92"/>
      <c r="G19598" s="85"/>
    </row>
    <row r="19599">
      <c r="A19599" s="84"/>
      <c r="B19599" s="85"/>
      <c r="C19599" s="85"/>
      <c r="F19599" s="92"/>
      <c r="G19599" s="85"/>
    </row>
    <row r="19600">
      <c r="A19600" s="84"/>
      <c r="B19600" s="85"/>
      <c r="C19600" s="85"/>
      <c r="F19600" s="92"/>
      <c r="G19600" s="85"/>
    </row>
    <row r="19601">
      <c r="A19601" s="84"/>
      <c r="B19601" s="85"/>
      <c r="C19601" s="85"/>
      <c r="F19601" s="92"/>
      <c r="G19601" s="85"/>
    </row>
    <row r="19602">
      <c r="A19602" s="84"/>
      <c r="B19602" s="85"/>
      <c r="C19602" s="85"/>
      <c r="F19602" s="92"/>
      <c r="G19602" s="85"/>
    </row>
    <row r="19603">
      <c r="A19603" s="84"/>
      <c r="B19603" s="85"/>
      <c r="C19603" s="85"/>
      <c r="F19603" s="92"/>
      <c r="G19603" s="85"/>
    </row>
    <row r="19604">
      <c r="A19604" s="84"/>
      <c r="B19604" s="85"/>
      <c r="C19604" s="85"/>
      <c r="F19604" s="92"/>
      <c r="G19604" s="85"/>
    </row>
    <row r="19605">
      <c r="A19605" s="84"/>
      <c r="B19605" s="85"/>
      <c r="C19605" s="85"/>
      <c r="F19605" s="92"/>
      <c r="G19605" s="85"/>
    </row>
    <row r="19606">
      <c r="A19606" s="84"/>
      <c r="B19606" s="85"/>
      <c r="C19606" s="85"/>
      <c r="F19606" s="92"/>
      <c r="G19606" s="85"/>
    </row>
    <row r="19607">
      <c r="A19607" s="84"/>
      <c r="B19607" s="85"/>
      <c r="C19607" s="85"/>
      <c r="F19607" s="92"/>
      <c r="G19607" s="85"/>
    </row>
    <row r="19608">
      <c r="A19608" s="84"/>
      <c r="B19608" s="85"/>
      <c r="C19608" s="85"/>
      <c r="F19608" s="92"/>
      <c r="G19608" s="85"/>
    </row>
    <row r="19609">
      <c r="A19609" s="84"/>
      <c r="B19609" s="85"/>
      <c r="C19609" s="85"/>
      <c r="F19609" s="92"/>
      <c r="G19609" s="85"/>
    </row>
    <row r="19610">
      <c r="A19610" s="84"/>
      <c r="B19610" s="85"/>
      <c r="C19610" s="85"/>
      <c r="F19610" s="92"/>
      <c r="G19610" s="85"/>
    </row>
    <row r="19611">
      <c r="A19611" s="84"/>
      <c r="B19611" s="85"/>
      <c r="C19611" s="85"/>
      <c r="F19611" s="92"/>
      <c r="G19611" s="85"/>
    </row>
    <row r="19612">
      <c r="A19612" s="84"/>
      <c r="B19612" s="85"/>
      <c r="C19612" s="85"/>
      <c r="F19612" s="92"/>
      <c r="G19612" s="85"/>
    </row>
    <row r="19613">
      <c r="A19613" s="84"/>
      <c r="B19613" s="85"/>
      <c r="C19613" s="85"/>
      <c r="F19613" s="92"/>
      <c r="G19613" s="85"/>
    </row>
    <row r="19614">
      <c r="A19614" s="84"/>
      <c r="B19614" s="85"/>
      <c r="C19614" s="85"/>
      <c r="F19614" s="92"/>
      <c r="G19614" s="85"/>
    </row>
    <row r="19615">
      <c r="A19615" s="84"/>
      <c r="B19615" s="85"/>
      <c r="C19615" s="85"/>
      <c r="F19615" s="92"/>
      <c r="G19615" s="85"/>
    </row>
    <row r="19616">
      <c r="A19616" s="84"/>
      <c r="B19616" s="85"/>
      <c r="C19616" s="85"/>
      <c r="F19616" s="92"/>
      <c r="G19616" s="85"/>
    </row>
    <row r="19617">
      <c r="A19617" s="84"/>
      <c r="B19617" s="85"/>
      <c r="C19617" s="85"/>
      <c r="F19617" s="92"/>
      <c r="G19617" s="85"/>
    </row>
    <row r="19618">
      <c r="A19618" s="84"/>
      <c r="B19618" s="85"/>
      <c r="C19618" s="85"/>
      <c r="F19618" s="92"/>
      <c r="G19618" s="85"/>
    </row>
    <row r="19619">
      <c r="A19619" s="84"/>
      <c r="B19619" s="85"/>
      <c r="C19619" s="85"/>
      <c r="F19619" s="92"/>
      <c r="G19619" s="85"/>
    </row>
    <row r="19620">
      <c r="A19620" s="84"/>
      <c r="B19620" s="85"/>
      <c r="C19620" s="85"/>
      <c r="F19620" s="92"/>
      <c r="G19620" s="85"/>
    </row>
    <row r="19621">
      <c r="A19621" s="84"/>
      <c r="B19621" s="85"/>
      <c r="C19621" s="85"/>
      <c r="F19621" s="92"/>
      <c r="G19621" s="85"/>
    </row>
    <row r="19622">
      <c r="A19622" s="84"/>
      <c r="B19622" s="85"/>
      <c r="C19622" s="85"/>
      <c r="F19622" s="92"/>
      <c r="G19622" s="85"/>
    </row>
    <row r="19623">
      <c r="A19623" s="84"/>
      <c r="B19623" s="85"/>
      <c r="C19623" s="85"/>
      <c r="F19623" s="92"/>
      <c r="G19623" s="85"/>
    </row>
    <row r="19624">
      <c r="A19624" s="84"/>
      <c r="B19624" s="85"/>
      <c r="C19624" s="85"/>
      <c r="F19624" s="92"/>
      <c r="G19624" s="85"/>
    </row>
    <row r="19625">
      <c r="A19625" s="84"/>
      <c r="B19625" s="85"/>
      <c r="C19625" s="85"/>
      <c r="F19625" s="92"/>
      <c r="G19625" s="85"/>
    </row>
    <row r="19626">
      <c r="A19626" s="84"/>
      <c r="B19626" s="85"/>
      <c r="C19626" s="85"/>
      <c r="F19626" s="92"/>
      <c r="G19626" s="85"/>
    </row>
    <row r="19627">
      <c r="A19627" s="84"/>
      <c r="B19627" s="85"/>
      <c r="C19627" s="85"/>
      <c r="F19627" s="92"/>
      <c r="G19627" s="85"/>
    </row>
    <row r="19628">
      <c r="A19628" s="84"/>
      <c r="B19628" s="85"/>
      <c r="C19628" s="85"/>
      <c r="F19628" s="92"/>
      <c r="G19628" s="85"/>
    </row>
    <row r="19629">
      <c r="A19629" s="84"/>
      <c r="B19629" s="85"/>
      <c r="C19629" s="85"/>
      <c r="F19629" s="92"/>
      <c r="G19629" s="85"/>
    </row>
    <row r="19630">
      <c r="A19630" s="84"/>
      <c r="B19630" s="85"/>
      <c r="C19630" s="85"/>
      <c r="F19630" s="92"/>
      <c r="G19630" s="85"/>
    </row>
    <row r="19631">
      <c r="A19631" s="84"/>
      <c r="B19631" s="85"/>
      <c r="C19631" s="85"/>
      <c r="F19631" s="92"/>
      <c r="G19631" s="85"/>
    </row>
    <row r="19632">
      <c r="A19632" s="84"/>
      <c r="B19632" s="85"/>
      <c r="C19632" s="85"/>
      <c r="F19632" s="92"/>
      <c r="G19632" s="85"/>
    </row>
    <row r="19633">
      <c r="A19633" s="84"/>
      <c r="B19633" s="85"/>
      <c r="C19633" s="85"/>
      <c r="F19633" s="92"/>
      <c r="G19633" s="85"/>
    </row>
    <row r="19634">
      <c r="A19634" s="84"/>
      <c r="B19634" s="85"/>
      <c r="C19634" s="85"/>
      <c r="F19634" s="92"/>
      <c r="G19634" s="85"/>
    </row>
    <row r="19635">
      <c r="A19635" s="84"/>
      <c r="B19635" s="85"/>
      <c r="C19635" s="85"/>
      <c r="F19635" s="92"/>
      <c r="G19635" s="85"/>
    </row>
    <row r="19636">
      <c r="A19636" s="84"/>
      <c r="B19636" s="85"/>
      <c r="C19636" s="85"/>
      <c r="F19636" s="92"/>
      <c r="G19636" s="85"/>
    </row>
    <row r="19637">
      <c r="A19637" s="84"/>
      <c r="B19637" s="85"/>
      <c r="C19637" s="85"/>
      <c r="F19637" s="92"/>
      <c r="G19637" s="85"/>
    </row>
    <row r="19638">
      <c r="A19638" s="84"/>
      <c r="B19638" s="85"/>
      <c r="C19638" s="85"/>
      <c r="F19638" s="92"/>
      <c r="G19638" s="85"/>
    </row>
    <row r="19639">
      <c r="A19639" s="84"/>
      <c r="B19639" s="85"/>
      <c r="C19639" s="85"/>
      <c r="F19639" s="92"/>
      <c r="G19639" s="85"/>
    </row>
    <row r="19640">
      <c r="A19640" s="84"/>
      <c r="B19640" s="85"/>
      <c r="C19640" s="85"/>
      <c r="F19640" s="92"/>
      <c r="G19640" s="85"/>
    </row>
    <row r="19641">
      <c r="A19641" s="84"/>
      <c r="B19641" s="85"/>
      <c r="C19641" s="85"/>
      <c r="F19641" s="92"/>
      <c r="G19641" s="85"/>
    </row>
    <row r="19642">
      <c r="A19642" s="84"/>
      <c r="B19642" s="85"/>
      <c r="C19642" s="85"/>
      <c r="F19642" s="92"/>
      <c r="G19642" s="85"/>
    </row>
    <row r="19643">
      <c r="A19643" s="84"/>
      <c r="B19643" s="85"/>
      <c r="C19643" s="85"/>
      <c r="F19643" s="92"/>
      <c r="G19643" s="85"/>
    </row>
    <row r="19644">
      <c r="A19644" s="84"/>
      <c r="B19644" s="85"/>
      <c r="C19644" s="85"/>
      <c r="F19644" s="92"/>
      <c r="G19644" s="85"/>
    </row>
    <row r="19645">
      <c r="A19645" s="84"/>
      <c r="B19645" s="85"/>
      <c r="C19645" s="85"/>
      <c r="F19645" s="92"/>
      <c r="G19645" s="85"/>
    </row>
    <row r="19646">
      <c r="A19646" s="84"/>
      <c r="B19646" s="85"/>
      <c r="C19646" s="85"/>
      <c r="F19646" s="92"/>
      <c r="G19646" s="85"/>
    </row>
    <row r="19647">
      <c r="A19647" s="84"/>
      <c r="B19647" s="85"/>
      <c r="C19647" s="85"/>
      <c r="F19647" s="92"/>
      <c r="G19647" s="85"/>
    </row>
    <row r="19648">
      <c r="A19648" s="84"/>
      <c r="B19648" s="85"/>
      <c r="C19648" s="85"/>
      <c r="F19648" s="92"/>
      <c r="G19648" s="85"/>
    </row>
    <row r="19649">
      <c r="A19649" s="84"/>
      <c r="B19649" s="85"/>
      <c r="C19649" s="85"/>
      <c r="F19649" s="92"/>
      <c r="G19649" s="85"/>
    </row>
    <row r="19650">
      <c r="A19650" s="84"/>
      <c r="B19650" s="85"/>
      <c r="C19650" s="85"/>
      <c r="F19650" s="92"/>
      <c r="G19650" s="85"/>
    </row>
    <row r="19651">
      <c r="A19651" s="84"/>
      <c r="B19651" s="85"/>
      <c r="C19651" s="85"/>
      <c r="F19651" s="92"/>
      <c r="G19651" s="85"/>
    </row>
    <row r="19652">
      <c r="A19652" s="84"/>
      <c r="B19652" s="85"/>
      <c r="C19652" s="85"/>
      <c r="F19652" s="92"/>
      <c r="G19652" s="85"/>
    </row>
    <row r="19653">
      <c r="A19653" s="84"/>
      <c r="B19653" s="85"/>
      <c r="C19653" s="85"/>
      <c r="F19653" s="92"/>
      <c r="G19653" s="85"/>
    </row>
    <row r="19654">
      <c r="A19654" s="84"/>
      <c r="B19654" s="85"/>
      <c r="C19654" s="85"/>
      <c r="F19654" s="92"/>
      <c r="G19654" s="85"/>
    </row>
    <row r="19655">
      <c r="A19655" s="84"/>
      <c r="B19655" s="85"/>
      <c r="C19655" s="85"/>
      <c r="F19655" s="92"/>
      <c r="G19655" s="85"/>
    </row>
    <row r="19656">
      <c r="A19656" s="84"/>
      <c r="B19656" s="85"/>
      <c r="C19656" s="85"/>
      <c r="F19656" s="92"/>
      <c r="G19656" s="85"/>
    </row>
    <row r="19657">
      <c r="A19657" s="84"/>
      <c r="B19657" s="85"/>
      <c r="C19657" s="85"/>
      <c r="F19657" s="92"/>
      <c r="G19657" s="85"/>
    </row>
    <row r="19658">
      <c r="A19658" s="84"/>
      <c r="B19658" s="85"/>
      <c r="C19658" s="85"/>
      <c r="F19658" s="92"/>
      <c r="G19658" s="85"/>
    </row>
    <row r="19659">
      <c r="A19659" s="84"/>
      <c r="B19659" s="85"/>
      <c r="C19659" s="85"/>
      <c r="F19659" s="92"/>
      <c r="G19659" s="85"/>
    </row>
    <row r="19660">
      <c r="A19660" s="84"/>
      <c r="B19660" s="85"/>
      <c r="C19660" s="85"/>
      <c r="F19660" s="92"/>
      <c r="G19660" s="85"/>
    </row>
    <row r="19661">
      <c r="A19661" s="84"/>
      <c r="B19661" s="85"/>
      <c r="C19661" s="85"/>
      <c r="F19661" s="92"/>
      <c r="G19661" s="85"/>
    </row>
    <row r="19662">
      <c r="A19662" s="84"/>
      <c r="B19662" s="85"/>
      <c r="C19662" s="85"/>
      <c r="F19662" s="92"/>
      <c r="G19662" s="85"/>
    </row>
    <row r="19663">
      <c r="A19663" s="84"/>
      <c r="B19663" s="85"/>
      <c r="C19663" s="85"/>
      <c r="F19663" s="92"/>
      <c r="G19663" s="85"/>
    </row>
    <row r="19664">
      <c r="A19664" s="84"/>
      <c r="B19664" s="85"/>
      <c r="C19664" s="85"/>
      <c r="F19664" s="92"/>
      <c r="G19664" s="85"/>
    </row>
    <row r="19665">
      <c r="A19665" s="84"/>
      <c r="B19665" s="85"/>
      <c r="C19665" s="85"/>
      <c r="F19665" s="92"/>
      <c r="G19665" s="85"/>
    </row>
    <row r="19666">
      <c r="A19666" s="84"/>
      <c r="B19666" s="85"/>
      <c r="C19666" s="85"/>
      <c r="F19666" s="92"/>
      <c r="G19666" s="85"/>
    </row>
    <row r="19667">
      <c r="A19667" s="84"/>
      <c r="B19667" s="85"/>
      <c r="C19667" s="85"/>
      <c r="F19667" s="92"/>
      <c r="G19667" s="85"/>
    </row>
    <row r="19668">
      <c r="A19668" s="84"/>
      <c r="B19668" s="85"/>
      <c r="C19668" s="85"/>
      <c r="F19668" s="92"/>
      <c r="G19668" s="85"/>
    </row>
    <row r="19669">
      <c r="A19669" s="84"/>
      <c r="B19669" s="85"/>
      <c r="C19669" s="85"/>
      <c r="F19669" s="92"/>
      <c r="G19669" s="85"/>
    </row>
    <row r="19670">
      <c r="A19670" s="84"/>
      <c r="B19670" s="85"/>
      <c r="C19670" s="85"/>
      <c r="F19670" s="92"/>
      <c r="G19670" s="85"/>
    </row>
    <row r="19671">
      <c r="A19671" s="84"/>
      <c r="B19671" s="85"/>
      <c r="C19671" s="85"/>
      <c r="F19671" s="92"/>
      <c r="G19671" s="85"/>
    </row>
    <row r="19672">
      <c r="A19672" s="84"/>
      <c r="B19672" s="85"/>
      <c r="C19672" s="85"/>
      <c r="F19672" s="92"/>
      <c r="G19672" s="85"/>
    </row>
    <row r="19673">
      <c r="A19673" s="84"/>
      <c r="B19673" s="85"/>
      <c r="C19673" s="85"/>
      <c r="F19673" s="92"/>
      <c r="G19673" s="85"/>
    </row>
    <row r="19674">
      <c r="A19674" s="84"/>
      <c r="B19674" s="85"/>
      <c r="C19674" s="85"/>
      <c r="F19674" s="92"/>
      <c r="G19674" s="85"/>
    </row>
    <row r="19675">
      <c r="A19675" s="84"/>
      <c r="B19675" s="85"/>
      <c r="C19675" s="85"/>
      <c r="F19675" s="92"/>
      <c r="G19675" s="85"/>
    </row>
    <row r="19676">
      <c r="A19676" s="84"/>
      <c r="B19676" s="85"/>
      <c r="C19676" s="85"/>
      <c r="F19676" s="92"/>
      <c r="G19676" s="85"/>
    </row>
    <row r="19677">
      <c r="A19677" s="84"/>
      <c r="B19677" s="85"/>
      <c r="C19677" s="85"/>
      <c r="F19677" s="92"/>
      <c r="G19677" s="85"/>
    </row>
    <row r="19678">
      <c r="A19678" s="84"/>
      <c r="B19678" s="85"/>
      <c r="C19678" s="85"/>
      <c r="F19678" s="92"/>
      <c r="G19678" s="85"/>
    </row>
    <row r="19679">
      <c r="A19679" s="84"/>
      <c r="B19679" s="85"/>
      <c r="C19679" s="85"/>
      <c r="F19679" s="92"/>
      <c r="G19679" s="85"/>
    </row>
    <row r="19680">
      <c r="A19680" s="84"/>
      <c r="B19680" s="85"/>
      <c r="C19680" s="85"/>
      <c r="F19680" s="92"/>
      <c r="G19680" s="85"/>
    </row>
    <row r="19681">
      <c r="A19681" s="84"/>
      <c r="B19681" s="85"/>
      <c r="C19681" s="85"/>
      <c r="F19681" s="92"/>
      <c r="G19681" s="85"/>
    </row>
    <row r="19682">
      <c r="A19682" s="84"/>
      <c r="B19682" s="85"/>
      <c r="C19682" s="85"/>
      <c r="F19682" s="92"/>
      <c r="G19682" s="85"/>
    </row>
    <row r="19683">
      <c r="A19683" s="84"/>
      <c r="B19683" s="85"/>
      <c r="C19683" s="85"/>
      <c r="F19683" s="92"/>
      <c r="G19683" s="85"/>
    </row>
    <row r="19684">
      <c r="A19684" s="84"/>
      <c r="B19684" s="85"/>
      <c r="C19684" s="85"/>
      <c r="F19684" s="92"/>
      <c r="G19684" s="85"/>
    </row>
    <row r="19685">
      <c r="A19685" s="84"/>
      <c r="B19685" s="85"/>
      <c r="C19685" s="85"/>
      <c r="F19685" s="92"/>
      <c r="G19685" s="85"/>
    </row>
    <row r="19686">
      <c r="A19686" s="84"/>
      <c r="B19686" s="85"/>
      <c r="C19686" s="85"/>
      <c r="F19686" s="92"/>
      <c r="G19686" s="85"/>
    </row>
    <row r="19687">
      <c r="A19687" s="84"/>
      <c r="B19687" s="85"/>
      <c r="C19687" s="85"/>
      <c r="F19687" s="92"/>
      <c r="G19687" s="85"/>
    </row>
    <row r="19688">
      <c r="A19688" s="84"/>
      <c r="B19688" s="85"/>
      <c r="C19688" s="85"/>
      <c r="F19688" s="92"/>
      <c r="G19688" s="85"/>
    </row>
    <row r="19689">
      <c r="A19689" s="84"/>
      <c r="B19689" s="85"/>
      <c r="C19689" s="85"/>
      <c r="F19689" s="92"/>
      <c r="G19689" s="85"/>
    </row>
    <row r="19690">
      <c r="A19690" s="84"/>
      <c r="B19690" s="85"/>
      <c r="C19690" s="85"/>
      <c r="F19690" s="92"/>
      <c r="G19690" s="85"/>
    </row>
    <row r="19691">
      <c r="A19691" s="84"/>
      <c r="B19691" s="85"/>
      <c r="C19691" s="85"/>
      <c r="F19691" s="92"/>
      <c r="G19691" s="85"/>
    </row>
    <row r="19692">
      <c r="A19692" s="84"/>
      <c r="B19692" s="85"/>
      <c r="C19692" s="85"/>
      <c r="F19692" s="92"/>
      <c r="G19692" s="85"/>
    </row>
    <row r="19693">
      <c r="A19693" s="84"/>
      <c r="B19693" s="85"/>
      <c r="C19693" s="85"/>
      <c r="F19693" s="92"/>
      <c r="G19693" s="85"/>
    </row>
    <row r="19694">
      <c r="A19694" s="84"/>
      <c r="B19694" s="85"/>
      <c r="C19694" s="85"/>
      <c r="F19694" s="92"/>
      <c r="G19694" s="85"/>
    </row>
    <row r="19695">
      <c r="A19695" s="84"/>
      <c r="B19695" s="85"/>
      <c r="C19695" s="85"/>
      <c r="F19695" s="92"/>
      <c r="G19695" s="85"/>
    </row>
    <row r="19696">
      <c r="A19696" s="84"/>
      <c r="B19696" s="85"/>
      <c r="C19696" s="85"/>
      <c r="F19696" s="92"/>
      <c r="G19696" s="85"/>
    </row>
    <row r="19697">
      <c r="A19697" s="84"/>
      <c r="B19697" s="85"/>
      <c r="C19697" s="85"/>
      <c r="F19697" s="92"/>
      <c r="G19697" s="85"/>
    </row>
    <row r="19698">
      <c r="A19698" s="84"/>
      <c r="B19698" s="85"/>
      <c r="C19698" s="85"/>
      <c r="F19698" s="92"/>
      <c r="G19698" s="85"/>
    </row>
    <row r="19699">
      <c r="A19699" s="84"/>
      <c r="B19699" s="85"/>
      <c r="C19699" s="85"/>
      <c r="F19699" s="92"/>
      <c r="G19699" s="85"/>
    </row>
    <row r="19700">
      <c r="A19700" s="84"/>
      <c r="B19700" s="85"/>
      <c r="C19700" s="85"/>
      <c r="F19700" s="92"/>
      <c r="G19700" s="85"/>
    </row>
    <row r="19701">
      <c r="A19701" s="84"/>
      <c r="B19701" s="85"/>
      <c r="C19701" s="85"/>
      <c r="F19701" s="92"/>
      <c r="G19701" s="85"/>
    </row>
    <row r="19702">
      <c r="A19702" s="84"/>
      <c r="B19702" s="85"/>
      <c r="C19702" s="85"/>
      <c r="F19702" s="92"/>
      <c r="G19702" s="85"/>
    </row>
    <row r="19703">
      <c r="A19703" s="84"/>
      <c r="B19703" s="85"/>
      <c r="C19703" s="85"/>
      <c r="F19703" s="92"/>
      <c r="G19703" s="85"/>
    </row>
    <row r="19704">
      <c r="A19704" s="84"/>
      <c r="B19704" s="85"/>
      <c r="C19704" s="85"/>
      <c r="F19704" s="92"/>
      <c r="G19704" s="85"/>
    </row>
    <row r="19705">
      <c r="A19705" s="84"/>
      <c r="B19705" s="85"/>
      <c r="C19705" s="85"/>
      <c r="F19705" s="92"/>
      <c r="G19705" s="85"/>
    </row>
    <row r="19706">
      <c r="A19706" s="84"/>
      <c r="B19706" s="85"/>
      <c r="C19706" s="85"/>
      <c r="F19706" s="92"/>
      <c r="G19706" s="85"/>
    </row>
    <row r="19707">
      <c r="A19707" s="84"/>
      <c r="B19707" s="85"/>
      <c r="C19707" s="85"/>
      <c r="F19707" s="92"/>
      <c r="G19707" s="85"/>
    </row>
    <row r="19708">
      <c r="A19708" s="84"/>
      <c r="B19708" s="85"/>
      <c r="C19708" s="85"/>
      <c r="F19708" s="92"/>
      <c r="G19708" s="85"/>
    </row>
    <row r="19709">
      <c r="A19709" s="84"/>
      <c r="B19709" s="85"/>
      <c r="C19709" s="85"/>
      <c r="F19709" s="92"/>
      <c r="G19709" s="85"/>
    </row>
    <row r="19710">
      <c r="A19710" s="84"/>
      <c r="B19710" s="85"/>
      <c r="C19710" s="85"/>
      <c r="F19710" s="92"/>
      <c r="G19710" s="85"/>
    </row>
    <row r="19711">
      <c r="A19711" s="84"/>
      <c r="B19711" s="85"/>
      <c r="C19711" s="85"/>
      <c r="F19711" s="92"/>
      <c r="G19711" s="85"/>
    </row>
    <row r="19712">
      <c r="A19712" s="84"/>
      <c r="B19712" s="85"/>
      <c r="C19712" s="85"/>
      <c r="F19712" s="92"/>
      <c r="G19712" s="85"/>
    </row>
    <row r="19713">
      <c r="A19713" s="84"/>
      <c r="B19713" s="85"/>
      <c r="C19713" s="85"/>
      <c r="F19713" s="92"/>
      <c r="G19713" s="85"/>
    </row>
    <row r="19714">
      <c r="A19714" s="84"/>
      <c r="B19714" s="85"/>
      <c r="C19714" s="85"/>
      <c r="F19714" s="92"/>
      <c r="G19714" s="85"/>
    </row>
    <row r="19715">
      <c r="A19715" s="84"/>
      <c r="B19715" s="85"/>
      <c r="C19715" s="85"/>
      <c r="F19715" s="92"/>
      <c r="G19715" s="85"/>
    </row>
    <row r="19716">
      <c r="A19716" s="84"/>
      <c r="B19716" s="85"/>
      <c r="C19716" s="85"/>
      <c r="F19716" s="92"/>
      <c r="G19716" s="85"/>
    </row>
    <row r="19717">
      <c r="A19717" s="84"/>
      <c r="B19717" s="85"/>
      <c r="C19717" s="85"/>
      <c r="F19717" s="92"/>
      <c r="G19717" s="85"/>
    </row>
    <row r="19718">
      <c r="A19718" s="84"/>
      <c r="B19718" s="85"/>
      <c r="C19718" s="85"/>
      <c r="F19718" s="92"/>
      <c r="G19718" s="85"/>
    </row>
    <row r="19719">
      <c r="A19719" s="84"/>
      <c r="B19719" s="85"/>
      <c r="C19719" s="85"/>
      <c r="F19719" s="92"/>
      <c r="G19719" s="85"/>
    </row>
    <row r="19720">
      <c r="A19720" s="84"/>
      <c r="B19720" s="85"/>
      <c r="C19720" s="85"/>
      <c r="F19720" s="92"/>
      <c r="G19720" s="85"/>
    </row>
    <row r="19721">
      <c r="A19721" s="84"/>
      <c r="B19721" s="85"/>
      <c r="C19721" s="85"/>
      <c r="F19721" s="92"/>
      <c r="G19721" s="85"/>
    </row>
    <row r="19722">
      <c r="A19722" s="84"/>
      <c r="B19722" s="85"/>
      <c r="C19722" s="85"/>
      <c r="F19722" s="92"/>
      <c r="G19722" s="85"/>
    </row>
    <row r="19723">
      <c r="A19723" s="84"/>
      <c r="B19723" s="85"/>
      <c r="C19723" s="85"/>
      <c r="F19723" s="92"/>
      <c r="G19723" s="85"/>
    </row>
    <row r="19724">
      <c r="A19724" s="84"/>
      <c r="B19724" s="85"/>
      <c r="C19724" s="85"/>
      <c r="F19724" s="92"/>
      <c r="G19724" s="85"/>
    </row>
    <row r="19725">
      <c r="A19725" s="84"/>
      <c r="B19725" s="85"/>
      <c r="C19725" s="85"/>
      <c r="F19725" s="92"/>
      <c r="G19725" s="85"/>
    </row>
    <row r="19726">
      <c r="A19726" s="84"/>
      <c r="B19726" s="85"/>
      <c r="C19726" s="85"/>
      <c r="F19726" s="92"/>
      <c r="G19726" s="85"/>
    </row>
    <row r="19727">
      <c r="A19727" s="84"/>
      <c r="B19727" s="85"/>
      <c r="C19727" s="85"/>
      <c r="F19727" s="92"/>
      <c r="G19727" s="85"/>
    </row>
    <row r="19728">
      <c r="A19728" s="84"/>
      <c r="B19728" s="85"/>
      <c r="C19728" s="85"/>
      <c r="F19728" s="92"/>
      <c r="G19728" s="85"/>
    </row>
    <row r="19729">
      <c r="A19729" s="84"/>
      <c r="B19729" s="85"/>
      <c r="C19729" s="85"/>
      <c r="F19729" s="92"/>
      <c r="G19729" s="85"/>
    </row>
    <row r="19730">
      <c r="A19730" s="84"/>
      <c r="B19730" s="85"/>
      <c r="C19730" s="85"/>
      <c r="F19730" s="92"/>
      <c r="G19730" s="85"/>
    </row>
    <row r="19731">
      <c r="A19731" s="84"/>
      <c r="B19731" s="85"/>
      <c r="C19731" s="85"/>
      <c r="F19731" s="92"/>
      <c r="G19731" s="85"/>
    </row>
    <row r="19732">
      <c r="A19732" s="84"/>
      <c r="B19732" s="85"/>
      <c r="C19732" s="85"/>
      <c r="F19732" s="92"/>
      <c r="G19732" s="85"/>
    </row>
    <row r="19733">
      <c r="A19733" s="84"/>
      <c r="B19733" s="85"/>
      <c r="C19733" s="85"/>
      <c r="F19733" s="92"/>
      <c r="G19733" s="85"/>
    </row>
    <row r="19734">
      <c r="A19734" s="84"/>
      <c r="B19734" s="85"/>
      <c r="C19734" s="85"/>
      <c r="F19734" s="92"/>
      <c r="G19734" s="85"/>
    </row>
    <row r="19735">
      <c r="A19735" s="84"/>
      <c r="B19735" s="85"/>
      <c r="C19735" s="85"/>
      <c r="F19735" s="92"/>
      <c r="G19735" s="85"/>
    </row>
    <row r="19736">
      <c r="A19736" s="84"/>
      <c r="B19736" s="85"/>
      <c r="C19736" s="85"/>
      <c r="F19736" s="92"/>
      <c r="G19736" s="85"/>
    </row>
    <row r="19737">
      <c r="A19737" s="84"/>
      <c r="B19737" s="85"/>
      <c r="C19737" s="85"/>
      <c r="F19737" s="92"/>
      <c r="G19737" s="85"/>
    </row>
    <row r="19738">
      <c r="A19738" s="84"/>
      <c r="B19738" s="85"/>
      <c r="C19738" s="85"/>
      <c r="F19738" s="92"/>
      <c r="G19738" s="85"/>
    </row>
    <row r="19739">
      <c r="A19739" s="84"/>
      <c r="B19739" s="85"/>
      <c r="C19739" s="85"/>
      <c r="F19739" s="92"/>
      <c r="G19739" s="85"/>
    </row>
    <row r="19740">
      <c r="A19740" s="84"/>
      <c r="B19740" s="85"/>
      <c r="C19740" s="85"/>
      <c r="F19740" s="92"/>
      <c r="G19740" s="85"/>
    </row>
    <row r="19741">
      <c r="A19741" s="84"/>
      <c r="B19741" s="85"/>
      <c r="C19741" s="85"/>
      <c r="F19741" s="92"/>
      <c r="G19741" s="85"/>
    </row>
    <row r="19742">
      <c r="A19742" s="84"/>
      <c r="B19742" s="85"/>
      <c r="C19742" s="85"/>
      <c r="F19742" s="92"/>
      <c r="G19742" s="85"/>
    </row>
    <row r="19743">
      <c r="A19743" s="84"/>
      <c r="B19743" s="85"/>
      <c r="C19743" s="85"/>
      <c r="F19743" s="92"/>
      <c r="G19743" s="85"/>
    </row>
    <row r="19744">
      <c r="A19744" s="84"/>
      <c r="B19744" s="85"/>
      <c r="C19744" s="85"/>
      <c r="F19744" s="92"/>
      <c r="G19744" s="85"/>
    </row>
    <row r="19745">
      <c r="A19745" s="84"/>
      <c r="B19745" s="85"/>
      <c r="C19745" s="85"/>
      <c r="F19745" s="92"/>
      <c r="G19745" s="85"/>
    </row>
    <row r="19746">
      <c r="A19746" s="84"/>
      <c r="B19746" s="85"/>
      <c r="C19746" s="85"/>
      <c r="F19746" s="92"/>
      <c r="G19746" s="85"/>
    </row>
    <row r="19747">
      <c r="A19747" s="84"/>
      <c r="B19747" s="85"/>
      <c r="C19747" s="85"/>
      <c r="F19747" s="92"/>
      <c r="G19747" s="85"/>
    </row>
    <row r="19748">
      <c r="A19748" s="84"/>
      <c r="B19748" s="85"/>
      <c r="C19748" s="85"/>
      <c r="F19748" s="92"/>
      <c r="G19748" s="85"/>
    </row>
    <row r="19749">
      <c r="A19749" s="84"/>
      <c r="B19749" s="85"/>
      <c r="C19749" s="85"/>
      <c r="F19749" s="92"/>
      <c r="G19749" s="85"/>
    </row>
    <row r="19750">
      <c r="A19750" s="84"/>
      <c r="B19750" s="85"/>
      <c r="C19750" s="85"/>
      <c r="F19750" s="92"/>
      <c r="G19750" s="85"/>
    </row>
    <row r="19751">
      <c r="A19751" s="84"/>
      <c r="B19751" s="85"/>
      <c r="C19751" s="85"/>
      <c r="F19751" s="92"/>
      <c r="G19751" s="85"/>
    </row>
    <row r="19752">
      <c r="A19752" s="84"/>
      <c r="B19752" s="85"/>
      <c r="C19752" s="85"/>
      <c r="F19752" s="92"/>
      <c r="G19752" s="85"/>
    </row>
    <row r="19753">
      <c r="A19753" s="84"/>
      <c r="B19753" s="85"/>
      <c r="C19753" s="85"/>
      <c r="F19753" s="92"/>
      <c r="G19753" s="85"/>
    </row>
    <row r="19754">
      <c r="A19754" s="84"/>
      <c r="B19754" s="85"/>
      <c r="C19754" s="85"/>
      <c r="F19754" s="92"/>
      <c r="G19754" s="85"/>
    </row>
    <row r="19755">
      <c r="A19755" s="84"/>
      <c r="B19755" s="85"/>
      <c r="C19755" s="85"/>
      <c r="F19755" s="92"/>
      <c r="G19755" s="85"/>
    </row>
    <row r="19756">
      <c r="A19756" s="84"/>
      <c r="B19756" s="85"/>
      <c r="C19756" s="85"/>
      <c r="F19756" s="92"/>
      <c r="G19756" s="85"/>
    </row>
    <row r="19757">
      <c r="A19757" s="84"/>
      <c r="B19757" s="85"/>
      <c r="C19757" s="85"/>
      <c r="F19757" s="92"/>
      <c r="G19757" s="85"/>
    </row>
    <row r="19758">
      <c r="A19758" s="84"/>
      <c r="B19758" s="85"/>
      <c r="C19758" s="85"/>
      <c r="F19758" s="92"/>
      <c r="G19758" s="85"/>
    </row>
    <row r="19759">
      <c r="A19759" s="84"/>
      <c r="B19759" s="85"/>
      <c r="C19759" s="85"/>
      <c r="F19759" s="92"/>
      <c r="G19759" s="85"/>
    </row>
    <row r="19760">
      <c r="A19760" s="84"/>
      <c r="B19760" s="85"/>
      <c r="C19760" s="85"/>
      <c r="F19760" s="92"/>
      <c r="G19760" s="85"/>
    </row>
    <row r="19761">
      <c r="A19761" s="84"/>
      <c r="B19761" s="85"/>
      <c r="C19761" s="85"/>
      <c r="F19761" s="92"/>
      <c r="G19761" s="85"/>
    </row>
    <row r="19762">
      <c r="A19762" s="84"/>
      <c r="B19762" s="85"/>
      <c r="C19762" s="85"/>
      <c r="F19762" s="92"/>
      <c r="G19762" s="85"/>
    </row>
    <row r="19763">
      <c r="A19763" s="84"/>
      <c r="B19763" s="85"/>
      <c r="C19763" s="85"/>
      <c r="F19763" s="92"/>
      <c r="G19763" s="85"/>
    </row>
    <row r="19764">
      <c r="A19764" s="84"/>
      <c r="B19764" s="85"/>
      <c r="C19764" s="85"/>
      <c r="F19764" s="92"/>
      <c r="G19764" s="85"/>
    </row>
    <row r="19765">
      <c r="A19765" s="84"/>
      <c r="B19765" s="85"/>
      <c r="C19765" s="85"/>
      <c r="F19765" s="92"/>
      <c r="G19765" s="85"/>
    </row>
    <row r="19766">
      <c r="A19766" s="84"/>
      <c r="B19766" s="85"/>
      <c r="C19766" s="85"/>
      <c r="F19766" s="92"/>
      <c r="G19766" s="85"/>
    </row>
    <row r="19767">
      <c r="A19767" s="84"/>
      <c r="B19767" s="85"/>
      <c r="C19767" s="85"/>
      <c r="F19767" s="92"/>
      <c r="G19767" s="85"/>
    </row>
    <row r="19768">
      <c r="A19768" s="84"/>
      <c r="B19768" s="85"/>
      <c r="C19768" s="85"/>
      <c r="F19768" s="92"/>
      <c r="G19768" s="85"/>
    </row>
    <row r="19769">
      <c r="A19769" s="84"/>
      <c r="B19769" s="85"/>
      <c r="C19769" s="85"/>
      <c r="F19769" s="92"/>
      <c r="G19769" s="85"/>
    </row>
    <row r="19770">
      <c r="A19770" s="84"/>
      <c r="B19770" s="85"/>
      <c r="C19770" s="85"/>
      <c r="F19770" s="92"/>
      <c r="G19770" s="85"/>
    </row>
    <row r="19771">
      <c r="A19771" s="84"/>
      <c r="B19771" s="85"/>
      <c r="C19771" s="85"/>
      <c r="F19771" s="92"/>
      <c r="G19771" s="85"/>
    </row>
    <row r="19772">
      <c r="A19772" s="84"/>
      <c r="B19772" s="85"/>
      <c r="C19772" s="85"/>
      <c r="F19772" s="92"/>
      <c r="G19772" s="85"/>
    </row>
    <row r="19773">
      <c r="A19773" s="84"/>
      <c r="B19773" s="85"/>
      <c r="C19773" s="85"/>
      <c r="F19773" s="92"/>
      <c r="G19773" s="85"/>
    </row>
    <row r="19774">
      <c r="A19774" s="84"/>
      <c r="B19774" s="85"/>
      <c r="C19774" s="85"/>
      <c r="F19774" s="92"/>
      <c r="G19774" s="85"/>
    </row>
    <row r="19775">
      <c r="A19775" s="84"/>
      <c r="B19775" s="85"/>
      <c r="C19775" s="85"/>
      <c r="F19775" s="92"/>
      <c r="G19775" s="85"/>
    </row>
    <row r="19776">
      <c r="A19776" s="84"/>
      <c r="B19776" s="85"/>
      <c r="C19776" s="85"/>
      <c r="F19776" s="92"/>
      <c r="G19776" s="85"/>
    </row>
    <row r="19777">
      <c r="A19777" s="84"/>
      <c r="B19777" s="85"/>
      <c r="C19777" s="85"/>
      <c r="F19777" s="92"/>
      <c r="G19777" s="85"/>
    </row>
    <row r="19778">
      <c r="A19778" s="84"/>
      <c r="B19778" s="85"/>
      <c r="C19778" s="85"/>
      <c r="F19778" s="92"/>
      <c r="G19778" s="85"/>
    </row>
    <row r="19779">
      <c r="A19779" s="84"/>
      <c r="B19779" s="85"/>
      <c r="C19779" s="85"/>
      <c r="F19779" s="92"/>
      <c r="G19779" s="85"/>
    </row>
    <row r="19780">
      <c r="A19780" s="84"/>
      <c r="B19780" s="85"/>
      <c r="C19780" s="85"/>
      <c r="F19780" s="92"/>
      <c r="G19780" s="85"/>
    </row>
    <row r="19781">
      <c r="A19781" s="84"/>
      <c r="B19781" s="85"/>
      <c r="C19781" s="85"/>
      <c r="F19781" s="92"/>
      <c r="G19781" s="85"/>
    </row>
    <row r="19782">
      <c r="A19782" s="84"/>
      <c r="B19782" s="85"/>
      <c r="C19782" s="85"/>
      <c r="F19782" s="92"/>
      <c r="G19782" s="85"/>
    </row>
    <row r="19783">
      <c r="A19783" s="84"/>
      <c r="B19783" s="85"/>
      <c r="C19783" s="85"/>
      <c r="F19783" s="92"/>
      <c r="G19783" s="85"/>
    </row>
    <row r="19784">
      <c r="A19784" s="84"/>
      <c r="B19784" s="85"/>
      <c r="C19784" s="85"/>
      <c r="F19784" s="92"/>
      <c r="G19784" s="85"/>
    </row>
    <row r="19785">
      <c r="A19785" s="84"/>
      <c r="B19785" s="85"/>
      <c r="C19785" s="85"/>
      <c r="F19785" s="92"/>
      <c r="G19785" s="85"/>
    </row>
    <row r="19786">
      <c r="A19786" s="84"/>
      <c r="B19786" s="85"/>
      <c r="C19786" s="85"/>
      <c r="F19786" s="92"/>
      <c r="G19786" s="85"/>
    </row>
    <row r="19787">
      <c r="A19787" s="84"/>
      <c r="B19787" s="85"/>
      <c r="C19787" s="85"/>
      <c r="F19787" s="92"/>
      <c r="G19787" s="85"/>
    </row>
    <row r="19788">
      <c r="A19788" s="84"/>
      <c r="B19788" s="85"/>
      <c r="C19788" s="85"/>
      <c r="F19788" s="92"/>
      <c r="G19788" s="85"/>
    </row>
    <row r="19789">
      <c r="A19789" s="84"/>
      <c r="B19789" s="85"/>
      <c r="C19789" s="85"/>
      <c r="F19789" s="92"/>
      <c r="G19789" s="85"/>
    </row>
    <row r="19790">
      <c r="A19790" s="84"/>
      <c r="B19790" s="85"/>
      <c r="C19790" s="85"/>
      <c r="F19790" s="92"/>
      <c r="G19790" s="85"/>
    </row>
    <row r="19791">
      <c r="A19791" s="84"/>
      <c r="B19791" s="85"/>
      <c r="C19791" s="85"/>
      <c r="F19791" s="92"/>
      <c r="G19791" s="85"/>
    </row>
    <row r="19792">
      <c r="A19792" s="84"/>
      <c r="B19792" s="85"/>
      <c r="C19792" s="85"/>
      <c r="F19792" s="92"/>
      <c r="G19792" s="85"/>
    </row>
    <row r="19793">
      <c r="A19793" s="84"/>
      <c r="B19793" s="85"/>
      <c r="C19793" s="85"/>
      <c r="F19793" s="92"/>
      <c r="G19793" s="85"/>
    </row>
    <row r="19794">
      <c r="A19794" s="84"/>
      <c r="B19794" s="85"/>
      <c r="C19794" s="85"/>
      <c r="F19794" s="92"/>
      <c r="G19794" s="85"/>
    </row>
    <row r="19795">
      <c r="A19795" s="84"/>
      <c r="B19795" s="85"/>
      <c r="C19795" s="85"/>
      <c r="F19795" s="92"/>
      <c r="G19795" s="85"/>
    </row>
    <row r="19796">
      <c r="A19796" s="84"/>
      <c r="B19796" s="85"/>
      <c r="C19796" s="85"/>
      <c r="F19796" s="92"/>
      <c r="G19796" s="85"/>
    </row>
    <row r="19797">
      <c r="A19797" s="84"/>
      <c r="B19797" s="85"/>
      <c r="C19797" s="85"/>
      <c r="F19797" s="92"/>
      <c r="G19797" s="85"/>
    </row>
    <row r="19798">
      <c r="A19798" s="84"/>
      <c r="B19798" s="85"/>
      <c r="C19798" s="85"/>
      <c r="F19798" s="92"/>
      <c r="G19798" s="85"/>
    </row>
    <row r="19799">
      <c r="A19799" s="84"/>
      <c r="B19799" s="85"/>
      <c r="C19799" s="85"/>
      <c r="F19799" s="92"/>
      <c r="G19799" s="85"/>
    </row>
    <row r="19800">
      <c r="A19800" s="84"/>
      <c r="B19800" s="85"/>
      <c r="C19800" s="85"/>
      <c r="F19800" s="92"/>
      <c r="G19800" s="85"/>
    </row>
    <row r="19801">
      <c r="A19801" s="84"/>
      <c r="B19801" s="85"/>
      <c r="C19801" s="85"/>
      <c r="F19801" s="92"/>
      <c r="G19801" s="85"/>
    </row>
    <row r="19802">
      <c r="A19802" s="84"/>
      <c r="B19802" s="85"/>
      <c r="C19802" s="85"/>
      <c r="F19802" s="92"/>
      <c r="G19802" s="85"/>
    </row>
    <row r="19803">
      <c r="A19803" s="84"/>
      <c r="B19803" s="85"/>
      <c r="C19803" s="85"/>
      <c r="F19803" s="92"/>
      <c r="G19803" s="85"/>
    </row>
    <row r="19804">
      <c r="A19804" s="84"/>
      <c r="B19804" s="85"/>
      <c r="C19804" s="85"/>
      <c r="F19804" s="92"/>
      <c r="G19804" s="85"/>
    </row>
    <row r="19805">
      <c r="A19805" s="84"/>
      <c r="B19805" s="85"/>
      <c r="C19805" s="85"/>
      <c r="F19805" s="92"/>
      <c r="G19805" s="85"/>
    </row>
    <row r="19806">
      <c r="A19806" s="84"/>
      <c r="B19806" s="85"/>
      <c r="C19806" s="85"/>
      <c r="F19806" s="92"/>
      <c r="G19806" s="85"/>
    </row>
    <row r="19807">
      <c r="A19807" s="84"/>
      <c r="B19807" s="85"/>
      <c r="C19807" s="85"/>
      <c r="F19807" s="92"/>
      <c r="G19807" s="85"/>
    </row>
    <row r="19808">
      <c r="A19808" s="84"/>
      <c r="B19808" s="85"/>
      <c r="C19808" s="85"/>
      <c r="F19808" s="92"/>
      <c r="G19808" s="85"/>
    </row>
    <row r="19809">
      <c r="A19809" s="84"/>
      <c r="B19809" s="85"/>
      <c r="C19809" s="85"/>
      <c r="F19809" s="92"/>
      <c r="G19809" s="85"/>
    </row>
    <row r="19810">
      <c r="A19810" s="84"/>
      <c r="B19810" s="85"/>
      <c r="C19810" s="85"/>
      <c r="F19810" s="92"/>
      <c r="G19810" s="85"/>
    </row>
    <row r="19811">
      <c r="A19811" s="84"/>
      <c r="B19811" s="85"/>
      <c r="C19811" s="85"/>
      <c r="F19811" s="92"/>
      <c r="G19811" s="85"/>
    </row>
    <row r="19812">
      <c r="A19812" s="84"/>
      <c r="B19812" s="85"/>
      <c r="C19812" s="85"/>
      <c r="F19812" s="92"/>
      <c r="G19812" s="85"/>
    </row>
    <row r="19813">
      <c r="A19813" s="84"/>
      <c r="B19813" s="85"/>
      <c r="C19813" s="85"/>
      <c r="F19813" s="92"/>
      <c r="G19813" s="85"/>
    </row>
    <row r="19814">
      <c r="A19814" s="84"/>
      <c r="B19814" s="85"/>
      <c r="C19814" s="85"/>
      <c r="F19814" s="92"/>
      <c r="G19814" s="85"/>
    </row>
    <row r="19815">
      <c r="A19815" s="84"/>
      <c r="B19815" s="85"/>
      <c r="C19815" s="85"/>
      <c r="F19815" s="92"/>
      <c r="G19815" s="85"/>
    </row>
    <row r="19816">
      <c r="A19816" s="84"/>
      <c r="B19816" s="85"/>
      <c r="C19816" s="85"/>
      <c r="F19816" s="92"/>
      <c r="G19816" s="85"/>
    </row>
    <row r="19817">
      <c r="A19817" s="84"/>
      <c r="B19817" s="85"/>
      <c r="C19817" s="85"/>
      <c r="F19817" s="92"/>
      <c r="G19817" s="85"/>
    </row>
    <row r="19818">
      <c r="A19818" s="84"/>
      <c r="B19818" s="85"/>
      <c r="C19818" s="85"/>
      <c r="F19818" s="92"/>
      <c r="G19818" s="85"/>
    </row>
    <row r="19819">
      <c r="A19819" s="84"/>
      <c r="B19819" s="85"/>
      <c r="C19819" s="85"/>
      <c r="F19819" s="92"/>
      <c r="G19819" s="85"/>
    </row>
    <row r="19820">
      <c r="A19820" s="84"/>
      <c r="B19820" s="85"/>
      <c r="C19820" s="85"/>
      <c r="F19820" s="92"/>
      <c r="G19820" s="85"/>
    </row>
    <row r="19821">
      <c r="A19821" s="84"/>
      <c r="B19821" s="85"/>
      <c r="C19821" s="85"/>
      <c r="F19821" s="92"/>
      <c r="G19821" s="85"/>
    </row>
    <row r="19822">
      <c r="A19822" s="84"/>
      <c r="B19822" s="85"/>
      <c r="C19822" s="85"/>
      <c r="F19822" s="92"/>
      <c r="G19822" s="85"/>
    </row>
    <row r="19823">
      <c r="A19823" s="84"/>
      <c r="B19823" s="85"/>
      <c r="C19823" s="85"/>
      <c r="F19823" s="92"/>
      <c r="G19823" s="85"/>
    </row>
    <row r="19824">
      <c r="A19824" s="84"/>
      <c r="B19824" s="85"/>
      <c r="C19824" s="85"/>
      <c r="F19824" s="92"/>
      <c r="G19824" s="85"/>
    </row>
    <row r="19825">
      <c r="A19825" s="84"/>
      <c r="B19825" s="85"/>
      <c r="C19825" s="85"/>
      <c r="F19825" s="92"/>
      <c r="G19825" s="85"/>
    </row>
    <row r="19826">
      <c r="A19826" s="84"/>
      <c r="B19826" s="85"/>
      <c r="C19826" s="85"/>
      <c r="F19826" s="92"/>
      <c r="G19826" s="85"/>
    </row>
    <row r="19827">
      <c r="A19827" s="84"/>
      <c r="B19827" s="85"/>
      <c r="C19827" s="85"/>
      <c r="F19827" s="92"/>
      <c r="G19827" s="85"/>
    </row>
    <row r="19828">
      <c r="A19828" s="84"/>
      <c r="B19828" s="85"/>
      <c r="C19828" s="85"/>
      <c r="F19828" s="92"/>
      <c r="G19828" s="85"/>
    </row>
    <row r="19829">
      <c r="A19829" s="84"/>
      <c r="B19829" s="85"/>
      <c r="C19829" s="85"/>
      <c r="F19829" s="92"/>
      <c r="G19829" s="85"/>
    </row>
    <row r="19830">
      <c r="A19830" s="84"/>
      <c r="B19830" s="85"/>
      <c r="C19830" s="85"/>
      <c r="F19830" s="92"/>
      <c r="G19830" s="85"/>
    </row>
    <row r="19831">
      <c r="A19831" s="84"/>
      <c r="B19831" s="85"/>
      <c r="C19831" s="85"/>
      <c r="F19831" s="92"/>
      <c r="G19831" s="85"/>
    </row>
    <row r="19832">
      <c r="A19832" s="84"/>
      <c r="B19832" s="85"/>
      <c r="C19832" s="85"/>
      <c r="F19832" s="92"/>
      <c r="G19832" s="85"/>
    </row>
    <row r="19833">
      <c r="A19833" s="84"/>
      <c r="B19833" s="85"/>
      <c r="C19833" s="85"/>
      <c r="F19833" s="92"/>
      <c r="G19833" s="85"/>
    </row>
    <row r="19834">
      <c r="A19834" s="84"/>
      <c r="B19834" s="85"/>
      <c r="C19834" s="85"/>
      <c r="F19834" s="92"/>
      <c r="G19834" s="85"/>
    </row>
    <row r="19835">
      <c r="A19835" s="84"/>
      <c r="B19835" s="85"/>
      <c r="C19835" s="85"/>
      <c r="F19835" s="92"/>
      <c r="G19835" s="85"/>
    </row>
    <row r="19836">
      <c r="A19836" s="84"/>
      <c r="B19836" s="85"/>
      <c r="C19836" s="85"/>
      <c r="F19836" s="92"/>
      <c r="G19836" s="85"/>
    </row>
    <row r="19837">
      <c r="A19837" s="84"/>
      <c r="B19837" s="85"/>
      <c r="C19837" s="85"/>
      <c r="F19837" s="92"/>
      <c r="G19837" s="85"/>
    </row>
    <row r="19838">
      <c r="A19838" s="84"/>
      <c r="B19838" s="85"/>
      <c r="C19838" s="85"/>
      <c r="F19838" s="92"/>
      <c r="G19838" s="85"/>
    </row>
    <row r="19839">
      <c r="A19839" s="84"/>
      <c r="B19839" s="85"/>
      <c r="C19839" s="85"/>
      <c r="F19839" s="92"/>
      <c r="G19839" s="85"/>
    </row>
    <row r="19840">
      <c r="A19840" s="84"/>
      <c r="B19840" s="85"/>
      <c r="C19840" s="85"/>
      <c r="F19840" s="92"/>
      <c r="G19840" s="85"/>
    </row>
    <row r="19841">
      <c r="A19841" s="84"/>
      <c r="B19841" s="85"/>
      <c r="C19841" s="85"/>
      <c r="F19841" s="92"/>
      <c r="G19841" s="85"/>
    </row>
    <row r="19842">
      <c r="A19842" s="84"/>
      <c r="B19842" s="85"/>
      <c r="C19842" s="85"/>
      <c r="F19842" s="92"/>
      <c r="G19842" s="85"/>
    </row>
    <row r="19843">
      <c r="A19843" s="84"/>
      <c r="B19843" s="85"/>
      <c r="C19843" s="85"/>
      <c r="F19843" s="92"/>
      <c r="G19843" s="85"/>
    </row>
    <row r="19844">
      <c r="A19844" s="84"/>
      <c r="B19844" s="85"/>
      <c r="C19844" s="85"/>
      <c r="F19844" s="92"/>
      <c r="G19844" s="85"/>
    </row>
    <row r="19845">
      <c r="A19845" s="84"/>
      <c r="B19845" s="85"/>
      <c r="C19845" s="85"/>
      <c r="F19845" s="92"/>
      <c r="G19845" s="85"/>
    </row>
    <row r="19846">
      <c r="A19846" s="84"/>
      <c r="B19846" s="85"/>
      <c r="C19846" s="85"/>
      <c r="F19846" s="92"/>
      <c r="G19846" s="85"/>
    </row>
    <row r="19847">
      <c r="A19847" s="84"/>
      <c r="B19847" s="85"/>
      <c r="C19847" s="85"/>
      <c r="F19847" s="92"/>
      <c r="G19847" s="85"/>
    </row>
    <row r="19848">
      <c r="A19848" s="84"/>
      <c r="B19848" s="85"/>
      <c r="C19848" s="85"/>
      <c r="F19848" s="92"/>
      <c r="G19848" s="85"/>
    </row>
    <row r="19849">
      <c r="A19849" s="84"/>
      <c r="B19849" s="85"/>
      <c r="C19849" s="85"/>
      <c r="F19849" s="92"/>
      <c r="G19849" s="85"/>
    </row>
    <row r="19850">
      <c r="A19850" s="84"/>
      <c r="B19850" s="85"/>
      <c r="C19850" s="85"/>
      <c r="F19850" s="92"/>
      <c r="G19850" s="85"/>
    </row>
    <row r="19851">
      <c r="A19851" s="84"/>
      <c r="B19851" s="85"/>
      <c r="C19851" s="85"/>
      <c r="F19851" s="92"/>
      <c r="G19851" s="85"/>
    </row>
    <row r="19852">
      <c r="A19852" s="84"/>
      <c r="B19852" s="85"/>
      <c r="C19852" s="85"/>
      <c r="F19852" s="92"/>
      <c r="G19852" s="85"/>
    </row>
    <row r="19853">
      <c r="A19853" s="84"/>
      <c r="B19853" s="85"/>
      <c r="C19853" s="85"/>
      <c r="F19853" s="92"/>
      <c r="G19853" s="85"/>
    </row>
    <row r="19854">
      <c r="A19854" s="84"/>
      <c r="B19854" s="85"/>
      <c r="C19854" s="85"/>
      <c r="F19854" s="92"/>
      <c r="G19854" s="85"/>
    </row>
    <row r="19855">
      <c r="A19855" s="84"/>
      <c r="B19855" s="85"/>
      <c r="C19855" s="85"/>
      <c r="F19855" s="92"/>
      <c r="G19855" s="85"/>
    </row>
    <row r="19856">
      <c r="A19856" s="84"/>
      <c r="B19856" s="85"/>
      <c r="C19856" s="85"/>
      <c r="F19856" s="92"/>
      <c r="G19856" s="85"/>
    </row>
    <row r="19857">
      <c r="A19857" s="84"/>
      <c r="B19857" s="85"/>
      <c r="C19857" s="85"/>
      <c r="F19857" s="92"/>
      <c r="G19857" s="85"/>
    </row>
    <row r="19858">
      <c r="A19858" s="84"/>
      <c r="B19858" s="85"/>
      <c r="C19858" s="85"/>
      <c r="F19858" s="92"/>
      <c r="G19858" s="85"/>
    </row>
    <row r="19859">
      <c r="A19859" s="84"/>
      <c r="B19859" s="85"/>
      <c r="C19859" s="85"/>
      <c r="F19859" s="92"/>
      <c r="G19859" s="85"/>
    </row>
    <row r="19860">
      <c r="A19860" s="84"/>
      <c r="B19860" s="85"/>
      <c r="C19860" s="85"/>
      <c r="F19860" s="92"/>
      <c r="G19860" s="85"/>
    </row>
    <row r="19861">
      <c r="A19861" s="84"/>
      <c r="B19861" s="85"/>
      <c r="C19861" s="85"/>
      <c r="F19861" s="92"/>
      <c r="G19861" s="85"/>
    </row>
    <row r="19862">
      <c r="A19862" s="84"/>
      <c r="B19862" s="85"/>
      <c r="C19862" s="85"/>
      <c r="F19862" s="92"/>
      <c r="G19862" s="85"/>
    </row>
    <row r="19863">
      <c r="A19863" s="84"/>
      <c r="B19863" s="85"/>
      <c r="C19863" s="85"/>
      <c r="F19863" s="92"/>
      <c r="G19863" s="85"/>
    </row>
    <row r="19864">
      <c r="A19864" s="84"/>
      <c r="B19864" s="85"/>
      <c r="C19864" s="85"/>
      <c r="F19864" s="92"/>
      <c r="G19864" s="85"/>
    </row>
    <row r="19865">
      <c r="A19865" s="84"/>
      <c r="B19865" s="85"/>
      <c r="C19865" s="85"/>
      <c r="F19865" s="92"/>
      <c r="G19865" s="85"/>
    </row>
    <row r="19866">
      <c r="A19866" s="84"/>
      <c r="B19866" s="85"/>
      <c r="C19866" s="85"/>
      <c r="F19866" s="92"/>
      <c r="G19866" s="85"/>
    </row>
    <row r="19867">
      <c r="A19867" s="84"/>
      <c r="B19867" s="85"/>
      <c r="C19867" s="85"/>
      <c r="F19867" s="92"/>
      <c r="G19867" s="85"/>
    </row>
    <row r="19868">
      <c r="A19868" s="84"/>
      <c r="B19868" s="85"/>
      <c r="C19868" s="85"/>
      <c r="F19868" s="92"/>
      <c r="G19868" s="85"/>
    </row>
    <row r="19869">
      <c r="A19869" s="84"/>
      <c r="B19869" s="85"/>
      <c r="C19869" s="85"/>
      <c r="F19869" s="92"/>
      <c r="G19869" s="85"/>
    </row>
    <row r="19870">
      <c r="A19870" s="84"/>
      <c r="B19870" s="85"/>
      <c r="C19870" s="85"/>
      <c r="F19870" s="92"/>
      <c r="G19870" s="85"/>
    </row>
    <row r="19871">
      <c r="A19871" s="84"/>
      <c r="B19871" s="85"/>
      <c r="C19871" s="85"/>
      <c r="F19871" s="92"/>
      <c r="G19871" s="85"/>
    </row>
    <row r="19872">
      <c r="A19872" s="84"/>
      <c r="B19872" s="85"/>
      <c r="C19872" s="85"/>
      <c r="F19872" s="92"/>
      <c r="G19872" s="85"/>
    </row>
    <row r="19873">
      <c r="A19873" s="84"/>
      <c r="B19873" s="85"/>
      <c r="C19873" s="85"/>
      <c r="F19873" s="92"/>
      <c r="G19873" s="85"/>
    </row>
    <row r="19874">
      <c r="A19874" s="84"/>
      <c r="B19874" s="85"/>
      <c r="C19874" s="85"/>
      <c r="F19874" s="92"/>
      <c r="G19874" s="85"/>
    </row>
    <row r="19875">
      <c r="A19875" s="84"/>
      <c r="B19875" s="85"/>
      <c r="C19875" s="85"/>
      <c r="F19875" s="92"/>
      <c r="G19875" s="85"/>
    </row>
    <row r="19876">
      <c r="A19876" s="84"/>
      <c r="B19876" s="85"/>
      <c r="C19876" s="85"/>
      <c r="F19876" s="92"/>
      <c r="G19876" s="85"/>
    </row>
    <row r="19877">
      <c r="A19877" s="84"/>
      <c r="B19877" s="85"/>
      <c r="C19877" s="85"/>
      <c r="F19877" s="92"/>
      <c r="G19877" s="85"/>
    </row>
    <row r="19878">
      <c r="A19878" s="84"/>
      <c r="B19878" s="85"/>
      <c r="C19878" s="85"/>
      <c r="F19878" s="92"/>
      <c r="G19878" s="85"/>
    </row>
    <row r="19879">
      <c r="A19879" s="84"/>
      <c r="B19879" s="85"/>
      <c r="C19879" s="85"/>
      <c r="F19879" s="92"/>
      <c r="G19879" s="85"/>
    </row>
    <row r="19880">
      <c r="A19880" s="84"/>
      <c r="B19880" s="85"/>
      <c r="C19880" s="85"/>
      <c r="F19880" s="92"/>
      <c r="G19880" s="85"/>
    </row>
    <row r="19881">
      <c r="A19881" s="84"/>
      <c r="B19881" s="85"/>
      <c r="C19881" s="85"/>
      <c r="F19881" s="92"/>
      <c r="G19881" s="85"/>
    </row>
    <row r="19882">
      <c r="A19882" s="84"/>
      <c r="B19882" s="85"/>
      <c r="C19882" s="85"/>
      <c r="F19882" s="92"/>
      <c r="G19882" s="85"/>
    </row>
    <row r="19883">
      <c r="A19883" s="84"/>
      <c r="B19883" s="85"/>
      <c r="C19883" s="85"/>
      <c r="F19883" s="92"/>
      <c r="G19883" s="85"/>
    </row>
    <row r="19884">
      <c r="A19884" s="84"/>
      <c r="B19884" s="85"/>
      <c r="C19884" s="85"/>
      <c r="F19884" s="92"/>
      <c r="G19884" s="85"/>
    </row>
    <row r="19885">
      <c r="A19885" s="84"/>
      <c r="B19885" s="85"/>
      <c r="C19885" s="85"/>
      <c r="F19885" s="92"/>
      <c r="G19885" s="85"/>
    </row>
    <row r="19886">
      <c r="A19886" s="84"/>
      <c r="B19886" s="85"/>
      <c r="C19886" s="85"/>
      <c r="F19886" s="92"/>
      <c r="G19886" s="85"/>
    </row>
    <row r="19887">
      <c r="A19887" s="84"/>
      <c r="B19887" s="85"/>
      <c r="C19887" s="85"/>
      <c r="F19887" s="92"/>
      <c r="G19887" s="85"/>
    </row>
    <row r="19888">
      <c r="A19888" s="84"/>
      <c r="B19888" s="85"/>
      <c r="C19888" s="85"/>
      <c r="F19888" s="92"/>
      <c r="G19888" s="85"/>
    </row>
    <row r="19889">
      <c r="A19889" s="84"/>
      <c r="B19889" s="85"/>
      <c r="C19889" s="85"/>
      <c r="F19889" s="92"/>
      <c r="G19889" s="85"/>
    </row>
    <row r="19890">
      <c r="A19890" s="84"/>
      <c r="B19890" s="85"/>
      <c r="C19890" s="85"/>
      <c r="F19890" s="92"/>
      <c r="G19890" s="85"/>
    </row>
    <row r="19891">
      <c r="A19891" s="84"/>
      <c r="B19891" s="85"/>
      <c r="C19891" s="85"/>
      <c r="F19891" s="92"/>
      <c r="G19891" s="85"/>
    </row>
    <row r="19892">
      <c r="A19892" s="84"/>
      <c r="B19892" s="85"/>
      <c r="C19892" s="85"/>
      <c r="F19892" s="92"/>
      <c r="G19892" s="85"/>
    </row>
    <row r="19893">
      <c r="A19893" s="84"/>
      <c r="B19893" s="85"/>
      <c r="C19893" s="85"/>
      <c r="F19893" s="92"/>
      <c r="G19893" s="85"/>
    </row>
    <row r="19894">
      <c r="A19894" s="84"/>
      <c r="B19894" s="85"/>
      <c r="C19894" s="85"/>
      <c r="F19894" s="92"/>
      <c r="G19894" s="85"/>
    </row>
    <row r="19895">
      <c r="A19895" s="84"/>
      <c r="B19895" s="85"/>
      <c r="C19895" s="85"/>
      <c r="F19895" s="92"/>
      <c r="G19895" s="85"/>
    </row>
    <row r="19896">
      <c r="A19896" s="84"/>
      <c r="B19896" s="85"/>
      <c r="C19896" s="85"/>
      <c r="F19896" s="92"/>
      <c r="G19896" s="85"/>
    </row>
    <row r="19897">
      <c r="A19897" s="84"/>
      <c r="B19897" s="85"/>
      <c r="C19897" s="85"/>
      <c r="F19897" s="92"/>
      <c r="G19897" s="85"/>
    </row>
    <row r="19898">
      <c r="A19898" s="84"/>
      <c r="B19898" s="85"/>
      <c r="C19898" s="85"/>
      <c r="F19898" s="92"/>
      <c r="G19898" s="85"/>
    </row>
    <row r="19899">
      <c r="A19899" s="84"/>
      <c r="B19899" s="85"/>
      <c r="C19899" s="85"/>
      <c r="F19899" s="92"/>
      <c r="G19899" s="85"/>
    </row>
    <row r="19900">
      <c r="A19900" s="84"/>
      <c r="B19900" s="85"/>
      <c r="C19900" s="85"/>
      <c r="F19900" s="92"/>
      <c r="G19900" s="85"/>
    </row>
    <row r="19901">
      <c r="A19901" s="84"/>
      <c r="B19901" s="85"/>
      <c r="C19901" s="85"/>
      <c r="F19901" s="92"/>
      <c r="G19901" s="85"/>
    </row>
    <row r="19902">
      <c r="A19902" s="84"/>
      <c r="B19902" s="85"/>
      <c r="C19902" s="85"/>
      <c r="F19902" s="92"/>
      <c r="G19902" s="85"/>
    </row>
    <row r="19903">
      <c r="A19903" s="84"/>
      <c r="B19903" s="85"/>
      <c r="C19903" s="85"/>
      <c r="F19903" s="92"/>
      <c r="G19903" s="85"/>
    </row>
    <row r="19904">
      <c r="A19904" s="84"/>
      <c r="B19904" s="85"/>
      <c r="C19904" s="85"/>
      <c r="F19904" s="92"/>
      <c r="G19904" s="85"/>
    </row>
    <row r="19905">
      <c r="A19905" s="84"/>
      <c r="B19905" s="85"/>
      <c r="C19905" s="85"/>
      <c r="F19905" s="92"/>
      <c r="G19905" s="85"/>
    </row>
    <row r="19906">
      <c r="A19906" s="84"/>
      <c r="B19906" s="85"/>
      <c r="C19906" s="85"/>
      <c r="F19906" s="92"/>
      <c r="G19906" s="85"/>
    </row>
    <row r="19907">
      <c r="A19907" s="84"/>
      <c r="B19907" s="85"/>
      <c r="C19907" s="85"/>
      <c r="F19907" s="92"/>
      <c r="G19907" s="85"/>
    </row>
    <row r="19908">
      <c r="A19908" s="84"/>
      <c r="B19908" s="85"/>
      <c r="C19908" s="85"/>
      <c r="F19908" s="92"/>
      <c r="G19908" s="85"/>
    </row>
    <row r="19909">
      <c r="A19909" s="84"/>
      <c r="B19909" s="85"/>
      <c r="C19909" s="85"/>
      <c r="F19909" s="92"/>
      <c r="G19909" s="85"/>
    </row>
    <row r="19910">
      <c r="A19910" s="84"/>
      <c r="B19910" s="85"/>
      <c r="C19910" s="85"/>
      <c r="F19910" s="92"/>
      <c r="G19910" s="85"/>
    </row>
    <row r="19911">
      <c r="A19911" s="84"/>
      <c r="B19911" s="85"/>
      <c r="C19911" s="85"/>
      <c r="F19911" s="92"/>
      <c r="G19911" s="85"/>
    </row>
    <row r="19912">
      <c r="A19912" s="84"/>
      <c r="B19912" s="85"/>
      <c r="C19912" s="85"/>
      <c r="F19912" s="92"/>
      <c r="G19912" s="85"/>
    </row>
    <row r="19913">
      <c r="A19913" s="84"/>
      <c r="B19913" s="85"/>
      <c r="C19913" s="85"/>
      <c r="F19913" s="92"/>
      <c r="G19913" s="85"/>
    </row>
    <row r="19914">
      <c r="A19914" s="84"/>
      <c r="B19914" s="85"/>
      <c r="C19914" s="85"/>
      <c r="F19914" s="92"/>
      <c r="G19914" s="85"/>
    </row>
    <row r="19915">
      <c r="A19915" s="84"/>
      <c r="B19915" s="85"/>
      <c r="C19915" s="85"/>
      <c r="F19915" s="92"/>
      <c r="G19915" s="85"/>
    </row>
    <row r="19916">
      <c r="A19916" s="84"/>
      <c r="B19916" s="85"/>
      <c r="C19916" s="85"/>
      <c r="F19916" s="92"/>
      <c r="G19916" s="85"/>
    </row>
    <row r="19917">
      <c r="A19917" s="84"/>
      <c r="B19917" s="85"/>
      <c r="C19917" s="85"/>
      <c r="F19917" s="92"/>
      <c r="G19917" s="85"/>
    </row>
    <row r="19918">
      <c r="A19918" s="84"/>
      <c r="B19918" s="85"/>
      <c r="C19918" s="85"/>
      <c r="F19918" s="92"/>
      <c r="G19918" s="85"/>
    </row>
    <row r="19919">
      <c r="A19919" s="84"/>
      <c r="B19919" s="85"/>
      <c r="C19919" s="85"/>
      <c r="F19919" s="92"/>
      <c r="G19919" s="85"/>
    </row>
    <row r="19920">
      <c r="A19920" s="84"/>
      <c r="B19920" s="85"/>
      <c r="C19920" s="85"/>
      <c r="F19920" s="92"/>
      <c r="G19920" s="85"/>
    </row>
    <row r="19921">
      <c r="A19921" s="84"/>
      <c r="B19921" s="85"/>
      <c r="C19921" s="85"/>
      <c r="F19921" s="92"/>
      <c r="G19921" s="85"/>
    </row>
    <row r="19922">
      <c r="A19922" s="84"/>
      <c r="B19922" s="85"/>
      <c r="C19922" s="85"/>
      <c r="F19922" s="92"/>
      <c r="G19922" s="85"/>
    </row>
    <row r="19923">
      <c r="A19923" s="84"/>
      <c r="B19923" s="85"/>
      <c r="C19923" s="85"/>
      <c r="F19923" s="92"/>
      <c r="G19923" s="85"/>
    </row>
    <row r="19924">
      <c r="A19924" s="84"/>
      <c r="B19924" s="85"/>
      <c r="C19924" s="85"/>
      <c r="F19924" s="92"/>
      <c r="G19924" s="85"/>
    </row>
    <row r="19925">
      <c r="A19925" s="84"/>
      <c r="B19925" s="85"/>
      <c r="C19925" s="85"/>
      <c r="F19925" s="92"/>
      <c r="G19925" s="85"/>
    </row>
    <row r="19926">
      <c r="A19926" s="84"/>
      <c r="B19926" s="85"/>
      <c r="C19926" s="85"/>
      <c r="F19926" s="92"/>
      <c r="G19926" s="85"/>
    </row>
    <row r="19927">
      <c r="A19927" s="84"/>
      <c r="B19927" s="85"/>
      <c r="C19927" s="85"/>
      <c r="F19927" s="92"/>
      <c r="G19927" s="85"/>
    </row>
    <row r="19928">
      <c r="A19928" s="84"/>
      <c r="B19928" s="85"/>
      <c r="C19928" s="85"/>
      <c r="F19928" s="92"/>
      <c r="G19928" s="85"/>
    </row>
    <row r="19929">
      <c r="A19929" s="84"/>
      <c r="B19929" s="85"/>
      <c r="C19929" s="85"/>
      <c r="F19929" s="92"/>
      <c r="G19929" s="85"/>
    </row>
    <row r="19930">
      <c r="A19930" s="84"/>
      <c r="B19930" s="85"/>
      <c r="C19930" s="85"/>
      <c r="F19930" s="92"/>
      <c r="G19930" s="85"/>
    </row>
    <row r="19931">
      <c r="A19931" s="84"/>
      <c r="B19931" s="85"/>
      <c r="C19931" s="85"/>
      <c r="F19931" s="92"/>
      <c r="G19931" s="85"/>
    </row>
    <row r="19932">
      <c r="A19932" s="84"/>
      <c r="B19932" s="85"/>
      <c r="C19932" s="85"/>
      <c r="F19932" s="92"/>
      <c r="G19932" s="85"/>
    </row>
    <row r="19933">
      <c r="A19933" s="84"/>
      <c r="B19933" s="85"/>
      <c r="C19933" s="85"/>
      <c r="F19933" s="92"/>
      <c r="G19933" s="85"/>
    </row>
    <row r="19934">
      <c r="A19934" s="84"/>
      <c r="B19934" s="85"/>
      <c r="C19934" s="85"/>
      <c r="F19934" s="92"/>
      <c r="G19934" s="85"/>
    </row>
    <row r="19935">
      <c r="A19935" s="84"/>
      <c r="B19935" s="85"/>
      <c r="C19935" s="85"/>
      <c r="F19935" s="92"/>
      <c r="G19935" s="85"/>
    </row>
    <row r="19936">
      <c r="A19936" s="84"/>
      <c r="B19936" s="85"/>
      <c r="C19936" s="85"/>
      <c r="F19936" s="92"/>
      <c r="G19936" s="85"/>
    </row>
    <row r="19937">
      <c r="A19937" s="84"/>
      <c r="B19937" s="85"/>
      <c r="C19937" s="85"/>
      <c r="F19937" s="92"/>
      <c r="G19937" s="85"/>
    </row>
    <row r="19938">
      <c r="A19938" s="84"/>
      <c r="B19938" s="85"/>
      <c r="C19938" s="85"/>
      <c r="F19938" s="92"/>
      <c r="G19938" s="85"/>
    </row>
    <row r="19939">
      <c r="A19939" s="84"/>
      <c r="B19939" s="85"/>
      <c r="C19939" s="85"/>
      <c r="F19939" s="92"/>
      <c r="G19939" s="85"/>
    </row>
    <row r="19940">
      <c r="A19940" s="84"/>
      <c r="B19940" s="85"/>
      <c r="C19940" s="85"/>
      <c r="F19940" s="92"/>
      <c r="G19940" s="85"/>
    </row>
    <row r="19941">
      <c r="A19941" s="84"/>
      <c r="B19941" s="85"/>
      <c r="C19941" s="85"/>
      <c r="F19941" s="92"/>
      <c r="G19941" s="85"/>
    </row>
    <row r="19942">
      <c r="A19942" s="84"/>
      <c r="B19942" s="85"/>
      <c r="C19942" s="85"/>
      <c r="F19942" s="92"/>
      <c r="G19942" s="85"/>
    </row>
    <row r="19943">
      <c r="A19943" s="84"/>
      <c r="B19943" s="85"/>
      <c r="C19943" s="85"/>
      <c r="F19943" s="92"/>
      <c r="G19943" s="85"/>
    </row>
    <row r="19944">
      <c r="A19944" s="84"/>
      <c r="B19944" s="85"/>
      <c r="C19944" s="85"/>
      <c r="F19944" s="92"/>
      <c r="G19944" s="85"/>
    </row>
    <row r="19945">
      <c r="A19945" s="84"/>
      <c r="B19945" s="85"/>
      <c r="C19945" s="85"/>
      <c r="F19945" s="92"/>
      <c r="G19945" s="85"/>
    </row>
    <row r="19946">
      <c r="A19946" s="84"/>
      <c r="B19946" s="85"/>
      <c r="C19946" s="85"/>
      <c r="F19946" s="92"/>
      <c r="G19946" s="85"/>
    </row>
    <row r="19947">
      <c r="A19947" s="84"/>
      <c r="B19947" s="85"/>
      <c r="C19947" s="85"/>
      <c r="F19947" s="92"/>
      <c r="G19947" s="85"/>
    </row>
    <row r="19948">
      <c r="A19948" s="84"/>
      <c r="B19948" s="85"/>
      <c r="C19948" s="85"/>
      <c r="F19948" s="92"/>
      <c r="G19948" s="85"/>
    </row>
    <row r="19949">
      <c r="A19949" s="84"/>
      <c r="B19949" s="85"/>
      <c r="C19949" s="85"/>
      <c r="F19949" s="92"/>
      <c r="G19949" s="85"/>
    </row>
    <row r="19950">
      <c r="A19950" s="84"/>
      <c r="B19950" s="85"/>
      <c r="C19950" s="85"/>
      <c r="F19950" s="92"/>
      <c r="G19950" s="85"/>
    </row>
    <row r="19951">
      <c r="A19951" s="84"/>
      <c r="B19951" s="85"/>
      <c r="C19951" s="85"/>
      <c r="F19951" s="92"/>
      <c r="G19951" s="85"/>
    </row>
    <row r="19952">
      <c r="A19952" s="84"/>
      <c r="B19952" s="85"/>
      <c r="C19952" s="85"/>
      <c r="F19952" s="92"/>
      <c r="G19952" s="85"/>
    </row>
    <row r="19953">
      <c r="A19953" s="84"/>
      <c r="B19953" s="85"/>
      <c r="C19953" s="85"/>
      <c r="F19953" s="92"/>
      <c r="G19953" s="85"/>
    </row>
    <row r="19954">
      <c r="A19954" s="84"/>
      <c r="B19954" s="85"/>
      <c r="C19954" s="85"/>
      <c r="F19954" s="92"/>
      <c r="G19954" s="85"/>
    </row>
    <row r="19955">
      <c r="A19955" s="84"/>
      <c r="B19955" s="85"/>
      <c r="C19955" s="85"/>
      <c r="F19955" s="92"/>
      <c r="G19955" s="85"/>
    </row>
    <row r="19956">
      <c r="A19956" s="84"/>
      <c r="B19956" s="85"/>
      <c r="C19956" s="85"/>
      <c r="F19956" s="92"/>
      <c r="G19956" s="85"/>
    </row>
    <row r="19957">
      <c r="A19957" s="84"/>
      <c r="B19957" s="85"/>
      <c r="C19957" s="85"/>
      <c r="F19957" s="92"/>
      <c r="G19957" s="85"/>
    </row>
    <row r="19958">
      <c r="A19958" s="84"/>
      <c r="B19958" s="85"/>
      <c r="C19958" s="85"/>
      <c r="F19958" s="92"/>
      <c r="G19958" s="85"/>
    </row>
    <row r="19959">
      <c r="A19959" s="84"/>
      <c r="B19959" s="85"/>
      <c r="C19959" s="85"/>
      <c r="F19959" s="92"/>
      <c r="G19959" s="85"/>
    </row>
    <row r="19960">
      <c r="A19960" s="84"/>
      <c r="B19960" s="85"/>
      <c r="C19960" s="85"/>
      <c r="F19960" s="92"/>
      <c r="G19960" s="85"/>
    </row>
    <row r="19961">
      <c r="A19961" s="84"/>
      <c r="B19961" s="85"/>
      <c r="C19961" s="85"/>
      <c r="F19961" s="92"/>
      <c r="G19961" s="85"/>
    </row>
    <row r="19962">
      <c r="A19962" s="84"/>
      <c r="B19962" s="85"/>
      <c r="C19962" s="85"/>
      <c r="F19962" s="92"/>
      <c r="G19962" s="85"/>
    </row>
    <row r="19963">
      <c r="A19963" s="84"/>
      <c r="B19963" s="85"/>
      <c r="C19963" s="85"/>
      <c r="F19963" s="92"/>
      <c r="G19963" s="85"/>
    </row>
    <row r="19964">
      <c r="A19964" s="84"/>
      <c r="B19964" s="85"/>
      <c r="C19964" s="85"/>
      <c r="F19964" s="92"/>
      <c r="G19964" s="85"/>
    </row>
    <row r="19965">
      <c r="A19965" s="84"/>
      <c r="B19965" s="85"/>
      <c r="C19965" s="85"/>
      <c r="F19965" s="92"/>
      <c r="G19965" s="85"/>
    </row>
    <row r="19966">
      <c r="A19966" s="84"/>
      <c r="B19966" s="85"/>
      <c r="C19966" s="85"/>
      <c r="F19966" s="92"/>
      <c r="G19966" s="85"/>
    </row>
    <row r="19967">
      <c r="A19967" s="84"/>
      <c r="B19967" s="85"/>
      <c r="C19967" s="85"/>
      <c r="F19967" s="92"/>
      <c r="G19967" s="85"/>
    </row>
    <row r="19968">
      <c r="A19968" s="84"/>
      <c r="B19968" s="85"/>
      <c r="C19968" s="85"/>
      <c r="F19968" s="92"/>
      <c r="G19968" s="85"/>
    </row>
    <row r="19969">
      <c r="A19969" s="84"/>
      <c r="B19969" s="85"/>
      <c r="C19969" s="85"/>
      <c r="F19969" s="92"/>
      <c r="G19969" s="85"/>
    </row>
    <row r="19970">
      <c r="A19970" s="84"/>
      <c r="B19970" s="85"/>
      <c r="C19970" s="85"/>
      <c r="F19970" s="92"/>
      <c r="G19970" s="85"/>
    </row>
    <row r="19971">
      <c r="A19971" s="84"/>
      <c r="B19971" s="85"/>
      <c r="C19971" s="85"/>
      <c r="F19971" s="92"/>
      <c r="G19971" s="85"/>
    </row>
    <row r="19972">
      <c r="A19972" s="84"/>
      <c r="B19972" s="85"/>
      <c r="C19972" s="85"/>
      <c r="F19972" s="92"/>
      <c r="G19972" s="85"/>
    </row>
    <row r="19973">
      <c r="A19973" s="84"/>
      <c r="B19973" s="85"/>
      <c r="C19973" s="85"/>
      <c r="F19973" s="92"/>
      <c r="G19973" s="85"/>
    </row>
    <row r="19974">
      <c r="A19974" s="84"/>
      <c r="B19974" s="85"/>
      <c r="C19974" s="85"/>
      <c r="F19974" s="92"/>
      <c r="G19974" s="85"/>
    </row>
    <row r="19975">
      <c r="A19975" s="84"/>
      <c r="B19975" s="85"/>
      <c r="C19975" s="85"/>
      <c r="F19975" s="92"/>
      <c r="G19975" s="85"/>
    </row>
    <row r="19976">
      <c r="A19976" s="84"/>
      <c r="B19976" s="85"/>
      <c r="C19976" s="85"/>
      <c r="F19976" s="92"/>
      <c r="G19976" s="85"/>
    </row>
    <row r="19977">
      <c r="A19977" s="84"/>
      <c r="B19977" s="85"/>
      <c r="C19977" s="85"/>
      <c r="F19977" s="92"/>
      <c r="G19977" s="85"/>
    </row>
    <row r="19978">
      <c r="A19978" s="84"/>
      <c r="B19978" s="85"/>
      <c r="C19978" s="85"/>
      <c r="F19978" s="92"/>
      <c r="G19978" s="85"/>
    </row>
    <row r="19979">
      <c r="A19979" s="84"/>
      <c r="B19979" s="85"/>
      <c r="C19979" s="85"/>
      <c r="F19979" s="92"/>
      <c r="G19979" s="85"/>
    </row>
    <row r="19980">
      <c r="A19980" s="84"/>
      <c r="B19980" s="85"/>
      <c r="C19980" s="85"/>
      <c r="F19980" s="92"/>
      <c r="G19980" s="85"/>
    </row>
    <row r="19981">
      <c r="A19981" s="84"/>
      <c r="B19981" s="85"/>
      <c r="C19981" s="85"/>
      <c r="F19981" s="92"/>
      <c r="G19981" s="85"/>
    </row>
    <row r="19982">
      <c r="A19982" s="84"/>
      <c r="B19982" s="85"/>
      <c r="C19982" s="85"/>
      <c r="F19982" s="92"/>
      <c r="G19982" s="85"/>
    </row>
    <row r="19983">
      <c r="A19983" s="84"/>
      <c r="B19983" s="85"/>
      <c r="C19983" s="85"/>
      <c r="F19983" s="92"/>
      <c r="G19983" s="85"/>
    </row>
    <row r="19984">
      <c r="A19984" s="84"/>
      <c r="B19984" s="85"/>
      <c r="C19984" s="85"/>
      <c r="F19984" s="92"/>
      <c r="G19984" s="85"/>
    </row>
    <row r="19985">
      <c r="A19985" s="84"/>
      <c r="B19985" s="85"/>
      <c r="C19985" s="85"/>
      <c r="F19985" s="92"/>
      <c r="G19985" s="85"/>
    </row>
    <row r="19986">
      <c r="A19986" s="84"/>
      <c r="B19986" s="85"/>
      <c r="C19986" s="85"/>
      <c r="F19986" s="92"/>
      <c r="G19986" s="85"/>
    </row>
    <row r="19987">
      <c r="A19987" s="84"/>
      <c r="B19987" s="85"/>
      <c r="C19987" s="85"/>
      <c r="F19987" s="92"/>
      <c r="G19987" s="85"/>
    </row>
    <row r="19988">
      <c r="A19988" s="84"/>
      <c r="B19988" s="85"/>
      <c r="C19988" s="85"/>
      <c r="F19988" s="92"/>
      <c r="G19988" s="85"/>
    </row>
    <row r="19989">
      <c r="A19989" s="84"/>
      <c r="B19989" s="85"/>
      <c r="C19989" s="85"/>
      <c r="F19989" s="92"/>
      <c r="G19989" s="85"/>
    </row>
    <row r="19990">
      <c r="A19990" s="84"/>
      <c r="B19990" s="85"/>
      <c r="C19990" s="85"/>
      <c r="F19990" s="92"/>
      <c r="G19990" s="85"/>
    </row>
    <row r="19991">
      <c r="A19991" s="84"/>
      <c r="B19991" s="85"/>
      <c r="C19991" s="85"/>
      <c r="F19991" s="92"/>
      <c r="G19991" s="85"/>
    </row>
    <row r="19992">
      <c r="A19992" s="84"/>
      <c r="B19992" s="85"/>
      <c r="C19992" s="85"/>
      <c r="F19992" s="92"/>
      <c r="G19992" s="85"/>
    </row>
    <row r="19993">
      <c r="A19993" s="84"/>
      <c r="B19993" s="85"/>
      <c r="C19993" s="85"/>
      <c r="F19993" s="92"/>
      <c r="G19993" s="85"/>
    </row>
    <row r="19994">
      <c r="A19994" s="84"/>
      <c r="B19994" s="85"/>
      <c r="C19994" s="85"/>
      <c r="F19994" s="92"/>
      <c r="G19994" s="85"/>
    </row>
    <row r="19995">
      <c r="A19995" s="84"/>
      <c r="B19995" s="85"/>
      <c r="C19995" s="85"/>
      <c r="F19995" s="92"/>
      <c r="G19995" s="85"/>
    </row>
    <row r="19996">
      <c r="A19996" s="84"/>
      <c r="B19996" s="85"/>
      <c r="C19996" s="85"/>
      <c r="F19996" s="92"/>
      <c r="G19996" s="85"/>
    </row>
    <row r="19997">
      <c r="A19997" s="84"/>
      <c r="B19997" s="85"/>
      <c r="C19997" s="85"/>
      <c r="F19997" s="92"/>
      <c r="G19997" s="85"/>
    </row>
    <row r="19998">
      <c r="A19998" s="84"/>
      <c r="B19998" s="85"/>
      <c r="C19998" s="85"/>
      <c r="F19998" s="92"/>
      <c r="G19998" s="85"/>
    </row>
    <row r="19999">
      <c r="A19999" s="84"/>
      <c r="B19999" s="85"/>
      <c r="C19999" s="85"/>
      <c r="F19999" s="92"/>
      <c r="G19999" s="85"/>
    </row>
    <row r="20000">
      <c r="A20000" s="84"/>
      <c r="B20000" s="85"/>
      <c r="C20000" s="85"/>
      <c r="F20000" s="92"/>
      <c r="G20000" s="85"/>
    </row>
    <row r="20001">
      <c r="A20001" s="84"/>
      <c r="B20001" s="85"/>
      <c r="C20001" s="85"/>
      <c r="F20001" s="92"/>
      <c r="G20001" s="85"/>
    </row>
    <row r="20002">
      <c r="A20002" s="84"/>
      <c r="B20002" s="85"/>
      <c r="C20002" s="85"/>
      <c r="F20002" s="92"/>
      <c r="G20002" s="85"/>
    </row>
    <row r="20003">
      <c r="A20003" s="84"/>
      <c r="B20003" s="85"/>
      <c r="C20003" s="85"/>
      <c r="F20003" s="92"/>
      <c r="G20003" s="85"/>
    </row>
    <row r="20004">
      <c r="A20004" s="84"/>
      <c r="B20004" s="85"/>
      <c r="C20004" s="85"/>
      <c r="F20004" s="92"/>
      <c r="G20004" s="85"/>
    </row>
    <row r="20005">
      <c r="A20005" s="84"/>
      <c r="B20005" s="85"/>
      <c r="C20005" s="85"/>
      <c r="F20005" s="92"/>
      <c r="G20005" s="85"/>
    </row>
    <row r="20006">
      <c r="A20006" s="84"/>
      <c r="B20006" s="85"/>
      <c r="C20006" s="85"/>
      <c r="F20006" s="92"/>
      <c r="G20006" s="85"/>
    </row>
    <row r="20007">
      <c r="A20007" s="84"/>
      <c r="B20007" s="85"/>
      <c r="C20007" s="85"/>
      <c r="F20007" s="92"/>
      <c r="G20007" s="85"/>
    </row>
    <row r="20008">
      <c r="A20008" s="84"/>
      <c r="B20008" s="85"/>
      <c r="C20008" s="85"/>
      <c r="F20008" s="92"/>
      <c r="G20008" s="85"/>
    </row>
    <row r="20009">
      <c r="A20009" s="84"/>
      <c r="B20009" s="85"/>
      <c r="C20009" s="85"/>
      <c r="F20009" s="92"/>
      <c r="G20009" s="85"/>
    </row>
    <row r="20010">
      <c r="A20010" s="84"/>
      <c r="B20010" s="85"/>
      <c r="C20010" s="85"/>
      <c r="F20010" s="92"/>
      <c r="G20010" s="85"/>
    </row>
    <row r="20011">
      <c r="A20011" s="84"/>
      <c r="B20011" s="85"/>
      <c r="C20011" s="85"/>
      <c r="F20011" s="92"/>
      <c r="G20011" s="85"/>
    </row>
    <row r="20012">
      <c r="A20012" s="84"/>
      <c r="B20012" s="85"/>
      <c r="C20012" s="85"/>
      <c r="F20012" s="92"/>
      <c r="G20012" s="85"/>
    </row>
    <row r="20013">
      <c r="A20013" s="84"/>
      <c r="B20013" s="85"/>
      <c r="C20013" s="85"/>
      <c r="F20013" s="92"/>
      <c r="G20013" s="85"/>
    </row>
    <row r="20014">
      <c r="A20014" s="84"/>
      <c r="B20014" s="85"/>
      <c r="C20014" s="85"/>
      <c r="F20014" s="92"/>
      <c r="G20014" s="85"/>
    </row>
    <row r="20015">
      <c r="A20015" s="84"/>
      <c r="B20015" s="85"/>
      <c r="C20015" s="85"/>
      <c r="F20015" s="92"/>
      <c r="G20015" s="85"/>
    </row>
    <row r="20016">
      <c r="A20016" s="84"/>
      <c r="B20016" s="85"/>
      <c r="C20016" s="85"/>
      <c r="F20016" s="92"/>
      <c r="G20016" s="85"/>
    </row>
    <row r="20017">
      <c r="A20017" s="84"/>
      <c r="B20017" s="85"/>
      <c r="C20017" s="85"/>
      <c r="F20017" s="92"/>
      <c r="G20017" s="85"/>
    </row>
    <row r="20018">
      <c r="A20018" s="84"/>
      <c r="B20018" s="85"/>
      <c r="C20018" s="85"/>
      <c r="F20018" s="92"/>
      <c r="G20018" s="85"/>
    </row>
    <row r="20019">
      <c r="A20019" s="84"/>
      <c r="B20019" s="85"/>
      <c r="C20019" s="85"/>
      <c r="F20019" s="92"/>
      <c r="G20019" s="85"/>
    </row>
    <row r="20020">
      <c r="A20020" s="84"/>
      <c r="B20020" s="85"/>
      <c r="C20020" s="85"/>
      <c r="F20020" s="92"/>
      <c r="G20020" s="85"/>
    </row>
    <row r="20021">
      <c r="A20021" s="84"/>
      <c r="B20021" s="85"/>
      <c r="C20021" s="85"/>
      <c r="F20021" s="92"/>
      <c r="G20021" s="85"/>
    </row>
    <row r="20022">
      <c r="A20022" s="84"/>
      <c r="B20022" s="85"/>
      <c r="C20022" s="85"/>
      <c r="F20022" s="92"/>
      <c r="G20022" s="85"/>
    </row>
    <row r="20023">
      <c r="A20023" s="84"/>
      <c r="B20023" s="85"/>
      <c r="C20023" s="85"/>
      <c r="F20023" s="92"/>
      <c r="G20023" s="85"/>
    </row>
    <row r="20024">
      <c r="A20024" s="84"/>
      <c r="B20024" s="85"/>
      <c r="C20024" s="85"/>
      <c r="F20024" s="92"/>
      <c r="G20024" s="85"/>
    </row>
    <row r="20025">
      <c r="A20025" s="84"/>
      <c r="B20025" s="85"/>
      <c r="C20025" s="85"/>
      <c r="F20025" s="92"/>
      <c r="G20025" s="85"/>
    </row>
    <row r="20026">
      <c r="A20026" s="84"/>
      <c r="B20026" s="85"/>
      <c r="C20026" s="85"/>
      <c r="F20026" s="92"/>
      <c r="G20026" s="85"/>
    </row>
    <row r="20027">
      <c r="A20027" s="84"/>
      <c r="B20027" s="85"/>
      <c r="C20027" s="85"/>
      <c r="F20027" s="92"/>
      <c r="G20027" s="85"/>
    </row>
    <row r="20028">
      <c r="A20028" s="84"/>
      <c r="B20028" s="85"/>
      <c r="C20028" s="85"/>
      <c r="F20028" s="92"/>
      <c r="G20028" s="85"/>
    </row>
    <row r="20029">
      <c r="A20029" s="84"/>
      <c r="B20029" s="85"/>
      <c r="C20029" s="85"/>
      <c r="F20029" s="92"/>
      <c r="G20029" s="85"/>
    </row>
    <row r="20030">
      <c r="A20030" s="84"/>
      <c r="B20030" s="85"/>
      <c r="C20030" s="85"/>
      <c r="F20030" s="92"/>
      <c r="G20030" s="85"/>
    </row>
    <row r="20031">
      <c r="A20031" s="84"/>
      <c r="B20031" s="85"/>
      <c r="C20031" s="85"/>
      <c r="F20031" s="92"/>
      <c r="G20031" s="85"/>
    </row>
    <row r="20032">
      <c r="A20032" s="84"/>
      <c r="B20032" s="85"/>
      <c r="C20032" s="85"/>
      <c r="F20032" s="92"/>
      <c r="G20032" s="85"/>
    </row>
    <row r="20033">
      <c r="A20033" s="84"/>
      <c r="B20033" s="85"/>
      <c r="C20033" s="85"/>
      <c r="F20033" s="92"/>
      <c r="G20033" s="85"/>
    </row>
    <row r="20034">
      <c r="A20034" s="84"/>
      <c r="B20034" s="85"/>
      <c r="C20034" s="85"/>
      <c r="F20034" s="92"/>
      <c r="G20034" s="85"/>
    </row>
    <row r="20035">
      <c r="A20035" s="84"/>
      <c r="B20035" s="85"/>
      <c r="C20035" s="85"/>
      <c r="F20035" s="92"/>
      <c r="G20035" s="85"/>
    </row>
    <row r="20036">
      <c r="A20036" s="84"/>
      <c r="B20036" s="85"/>
      <c r="C20036" s="85"/>
      <c r="F20036" s="92"/>
      <c r="G20036" s="85"/>
    </row>
    <row r="20037">
      <c r="A20037" s="84"/>
      <c r="B20037" s="85"/>
      <c r="C20037" s="85"/>
      <c r="F20037" s="92"/>
      <c r="G20037" s="85"/>
    </row>
    <row r="20038">
      <c r="A20038" s="84"/>
      <c r="B20038" s="85"/>
      <c r="C20038" s="85"/>
      <c r="F20038" s="92"/>
      <c r="G20038" s="85"/>
    </row>
    <row r="20039">
      <c r="A20039" s="84"/>
      <c r="B20039" s="85"/>
      <c r="C20039" s="85"/>
      <c r="F20039" s="92"/>
      <c r="G20039" s="85"/>
    </row>
    <row r="20040">
      <c r="A20040" s="84"/>
      <c r="B20040" s="85"/>
      <c r="C20040" s="85"/>
      <c r="F20040" s="92"/>
      <c r="G20040" s="85"/>
    </row>
    <row r="20041">
      <c r="A20041" s="84"/>
      <c r="B20041" s="85"/>
      <c r="C20041" s="85"/>
      <c r="F20041" s="92"/>
      <c r="G20041" s="85"/>
    </row>
    <row r="20042">
      <c r="A20042" s="84"/>
      <c r="B20042" s="85"/>
      <c r="C20042" s="85"/>
      <c r="F20042" s="92"/>
      <c r="G20042" s="85"/>
    </row>
    <row r="20043">
      <c r="A20043" s="84"/>
      <c r="B20043" s="85"/>
      <c r="C20043" s="85"/>
      <c r="F20043" s="92"/>
      <c r="G20043" s="85"/>
    </row>
    <row r="20044">
      <c r="A20044" s="84"/>
      <c r="B20044" s="85"/>
      <c r="C20044" s="85"/>
      <c r="F20044" s="92"/>
      <c r="G20044" s="85"/>
    </row>
    <row r="20045">
      <c r="A20045" s="84"/>
      <c r="B20045" s="85"/>
      <c r="C20045" s="85"/>
      <c r="F20045" s="92"/>
      <c r="G20045" s="85"/>
    </row>
    <row r="20046">
      <c r="A20046" s="84"/>
      <c r="B20046" s="85"/>
      <c r="C20046" s="85"/>
      <c r="F20046" s="92"/>
      <c r="G20046" s="85"/>
    </row>
    <row r="20047">
      <c r="A20047" s="84"/>
      <c r="B20047" s="85"/>
      <c r="C20047" s="85"/>
      <c r="F20047" s="92"/>
      <c r="G20047" s="85"/>
    </row>
    <row r="20048">
      <c r="A20048" s="84"/>
      <c r="B20048" s="85"/>
      <c r="C20048" s="85"/>
      <c r="F20048" s="92"/>
      <c r="G20048" s="85"/>
    </row>
    <row r="20049">
      <c r="A20049" s="84"/>
      <c r="B20049" s="85"/>
      <c r="C20049" s="85"/>
      <c r="F20049" s="92"/>
      <c r="G20049" s="85"/>
    </row>
    <row r="20050">
      <c r="A20050" s="84"/>
      <c r="B20050" s="85"/>
      <c r="C20050" s="85"/>
      <c r="F20050" s="92"/>
      <c r="G20050" s="85"/>
    </row>
    <row r="20051">
      <c r="A20051" s="84"/>
      <c r="B20051" s="85"/>
      <c r="C20051" s="85"/>
      <c r="F20051" s="92"/>
      <c r="G20051" s="85"/>
    </row>
    <row r="20052">
      <c r="A20052" s="84"/>
      <c r="B20052" s="85"/>
      <c r="C20052" s="85"/>
      <c r="F20052" s="92"/>
      <c r="G20052" s="85"/>
    </row>
    <row r="20053">
      <c r="A20053" s="84"/>
      <c r="B20053" s="85"/>
      <c r="C20053" s="85"/>
      <c r="F20053" s="92"/>
      <c r="G20053" s="85"/>
    </row>
    <row r="20054">
      <c r="A20054" s="84"/>
      <c r="B20054" s="85"/>
      <c r="C20054" s="85"/>
      <c r="F20054" s="92"/>
      <c r="G20054" s="85"/>
    </row>
    <row r="20055">
      <c r="A20055" s="84"/>
      <c r="B20055" s="85"/>
      <c r="C20055" s="85"/>
      <c r="F20055" s="92"/>
      <c r="G20055" s="85"/>
    </row>
    <row r="20056">
      <c r="A20056" s="84"/>
      <c r="B20056" s="85"/>
      <c r="C20056" s="85"/>
      <c r="F20056" s="92"/>
      <c r="G20056" s="85"/>
    </row>
    <row r="20057">
      <c r="A20057" s="84"/>
      <c r="B20057" s="85"/>
      <c r="C20057" s="85"/>
      <c r="F20057" s="92"/>
      <c r="G20057" s="85"/>
    </row>
    <row r="20058">
      <c r="A20058" s="84"/>
      <c r="B20058" s="85"/>
      <c r="C20058" s="85"/>
      <c r="F20058" s="92"/>
      <c r="G20058" s="85"/>
    </row>
    <row r="20059">
      <c r="A20059" s="84"/>
      <c r="B20059" s="85"/>
      <c r="C20059" s="85"/>
      <c r="F20059" s="92"/>
      <c r="G20059" s="85"/>
    </row>
    <row r="20060">
      <c r="A20060" s="84"/>
      <c r="B20060" s="85"/>
      <c r="C20060" s="85"/>
      <c r="F20060" s="92"/>
      <c r="G20060" s="85"/>
    </row>
    <row r="20061">
      <c r="A20061" s="84"/>
      <c r="B20061" s="85"/>
      <c r="C20061" s="85"/>
      <c r="F20061" s="92"/>
      <c r="G20061" s="85"/>
    </row>
    <row r="20062">
      <c r="A20062" s="84"/>
      <c r="B20062" s="85"/>
      <c r="C20062" s="85"/>
      <c r="F20062" s="92"/>
      <c r="G20062" s="85"/>
    </row>
    <row r="20063">
      <c r="A20063" s="84"/>
      <c r="B20063" s="85"/>
      <c r="C20063" s="85"/>
      <c r="F20063" s="92"/>
      <c r="G20063" s="85"/>
    </row>
    <row r="20064">
      <c r="A20064" s="84"/>
      <c r="B20064" s="85"/>
      <c r="C20064" s="85"/>
      <c r="F20064" s="92"/>
      <c r="G20064" s="85"/>
    </row>
    <row r="20065">
      <c r="A20065" s="84"/>
      <c r="B20065" s="85"/>
      <c r="C20065" s="85"/>
      <c r="F20065" s="92"/>
      <c r="G20065" s="85"/>
    </row>
    <row r="20066">
      <c r="A20066" s="84"/>
      <c r="B20066" s="85"/>
      <c r="C20066" s="85"/>
      <c r="F20066" s="92"/>
      <c r="G20066" s="85"/>
    </row>
    <row r="20067">
      <c r="A20067" s="84"/>
      <c r="B20067" s="85"/>
      <c r="C20067" s="85"/>
      <c r="F20067" s="92"/>
      <c r="G20067" s="85"/>
    </row>
    <row r="20068">
      <c r="A20068" s="84"/>
      <c r="B20068" s="85"/>
      <c r="C20068" s="85"/>
      <c r="F20068" s="92"/>
      <c r="G20068" s="85"/>
    </row>
    <row r="20069">
      <c r="A20069" s="84"/>
      <c r="B20069" s="85"/>
      <c r="C20069" s="85"/>
      <c r="F20069" s="92"/>
      <c r="G20069" s="85"/>
    </row>
    <row r="20070">
      <c r="A20070" s="84"/>
      <c r="B20070" s="85"/>
      <c r="C20070" s="85"/>
      <c r="F20070" s="92"/>
      <c r="G20070" s="85"/>
    </row>
    <row r="20071">
      <c r="A20071" s="84"/>
      <c r="B20071" s="85"/>
      <c r="C20071" s="85"/>
      <c r="F20071" s="92"/>
      <c r="G20071" s="85"/>
    </row>
    <row r="20072">
      <c r="A20072" s="84"/>
      <c r="B20072" s="85"/>
      <c r="C20072" s="85"/>
      <c r="F20072" s="92"/>
      <c r="G20072" s="85"/>
    </row>
    <row r="20073">
      <c r="A20073" s="84"/>
      <c r="B20073" s="85"/>
      <c r="C20073" s="85"/>
      <c r="F20073" s="92"/>
      <c r="G20073" s="85"/>
    </row>
    <row r="20074">
      <c r="A20074" s="84"/>
      <c r="B20074" s="85"/>
      <c r="C20074" s="85"/>
      <c r="F20074" s="92"/>
      <c r="G20074" s="85"/>
    </row>
    <row r="20075">
      <c r="A20075" s="84"/>
      <c r="B20075" s="85"/>
      <c r="C20075" s="85"/>
      <c r="F20075" s="92"/>
      <c r="G20075" s="85"/>
    </row>
    <row r="20076">
      <c r="A20076" s="84"/>
      <c r="B20076" s="85"/>
      <c r="C20076" s="85"/>
      <c r="F20076" s="92"/>
      <c r="G20076" s="85"/>
    </row>
    <row r="20077">
      <c r="A20077" s="84"/>
      <c r="B20077" s="85"/>
      <c r="C20077" s="85"/>
      <c r="F20077" s="92"/>
      <c r="G20077" s="85"/>
    </row>
    <row r="20078">
      <c r="A20078" s="84"/>
      <c r="B20078" s="85"/>
      <c r="C20078" s="85"/>
      <c r="F20078" s="92"/>
      <c r="G20078" s="85"/>
    </row>
    <row r="20079">
      <c r="A20079" s="84"/>
      <c r="B20079" s="85"/>
      <c r="C20079" s="85"/>
      <c r="F20079" s="92"/>
      <c r="G20079" s="85"/>
    </row>
    <row r="20080">
      <c r="A20080" s="84"/>
      <c r="B20080" s="85"/>
      <c r="C20080" s="85"/>
      <c r="F20080" s="92"/>
      <c r="G20080" s="85"/>
    </row>
    <row r="20081">
      <c r="A20081" s="84"/>
      <c r="B20081" s="85"/>
      <c r="C20081" s="85"/>
      <c r="F20081" s="92"/>
      <c r="G20081" s="85"/>
    </row>
    <row r="20082">
      <c r="A20082" s="84"/>
      <c r="B20082" s="85"/>
      <c r="C20082" s="85"/>
      <c r="F20082" s="92"/>
      <c r="G20082" s="85"/>
    </row>
    <row r="20083">
      <c r="A20083" s="84"/>
      <c r="B20083" s="85"/>
      <c r="C20083" s="85"/>
      <c r="F20083" s="92"/>
      <c r="G20083" s="85"/>
    </row>
    <row r="20084">
      <c r="A20084" s="84"/>
      <c r="B20084" s="85"/>
      <c r="C20084" s="85"/>
      <c r="F20084" s="92"/>
      <c r="G20084" s="85"/>
    </row>
    <row r="20085">
      <c r="A20085" s="84"/>
      <c r="B20085" s="85"/>
      <c r="C20085" s="85"/>
      <c r="F20085" s="92"/>
      <c r="G20085" s="85"/>
    </row>
    <row r="20086">
      <c r="A20086" s="84"/>
      <c r="B20086" s="85"/>
      <c r="C20086" s="85"/>
      <c r="F20086" s="92"/>
      <c r="G20086" s="85"/>
    </row>
    <row r="20087">
      <c r="A20087" s="84"/>
      <c r="B20087" s="85"/>
      <c r="C20087" s="85"/>
      <c r="F20087" s="92"/>
      <c r="G20087" s="85"/>
    </row>
    <row r="20088">
      <c r="A20088" s="84"/>
      <c r="B20088" s="85"/>
      <c r="C20088" s="85"/>
      <c r="F20088" s="92"/>
      <c r="G20088" s="85"/>
    </row>
    <row r="20089">
      <c r="A20089" s="84"/>
      <c r="B20089" s="85"/>
      <c r="C20089" s="85"/>
      <c r="F20089" s="92"/>
      <c r="G20089" s="85"/>
    </row>
    <row r="20090">
      <c r="A20090" s="84"/>
      <c r="B20090" s="85"/>
      <c r="C20090" s="85"/>
      <c r="F20090" s="92"/>
      <c r="G20090" s="85"/>
    </row>
    <row r="20091">
      <c r="A20091" s="84"/>
      <c r="B20091" s="85"/>
      <c r="C20091" s="85"/>
      <c r="F20091" s="92"/>
      <c r="G20091" s="85"/>
    </row>
    <row r="20092">
      <c r="A20092" s="84"/>
      <c r="B20092" s="85"/>
      <c r="C20092" s="85"/>
      <c r="F20092" s="92"/>
      <c r="G20092" s="85"/>
    </row>
    <row r="20093">
      <c r="A20093" s="84"/>
      <c r="B20093" s="85"/>
      <c r="C20093" s="85"/>
      <c r="F20093" s="92"/>
      <c r="G20093" s="85"/>
    </row>
    <row r="20094">
      <c r="A20094" s="84"/>
      <c r="B20094" s="85"/>
      <c r="C20094" s="85"/>
      <c r="F20094" s="92"/>
      <c r="G20094" s="85"/>
    </row>
    <row r="20095">
      <c r="A20095" s="84"/>
      <c r="B20095" s="85"/>
      <c r="C20095" s="85"/>
      <c r="F20095" s="92"/>
      <c r="G20095" s="85"/>
    </row>
    <row r="20096">
      <c r="A20096" s="84"/>
      <c r="B20096" s="85"/>
      <c r="C20096" s="85"/>
      <c r="F20096" s="92"/>
      <c r="G20096" s="85"/>
    </row>
    <row r="20097">
      <c r="A20097" s="84"/>
      <c r="B20097" s="85"/>
      <c r="C20097" s="85"/>
      <c r="F20097" s="92"/>
      <c r="G20097" s="85"/>
    </row>
    <row r="20098">
      <c r="A20098" s="84"/>
      <c r="B20098" s="85"/>
      <c r="C20098" s="85"/>
      <c r="F20098" s="92"/>
      <c r="G20098" s="85"/>
    </row>
    <row r="20099">
      <c r="A20099" s="84"/>
      <c r="B20099" s="85"/>
      <c r="C20099" s="85"/>
      <c r="F20099" s="92"/>
      <c r="G20099" s="85"/>
    </row>
    <row r="20100">
      <c r="A20100" s="84"/>
      <c r="B20100" s="85"/>
      <c r="C20100" s="85"/>
      <c r="F20100" s="92"/>
      <c r="G20100" s="85"/>
    </row>
    <row r="20101">
      <c r="A20101" s="84"/>
      <c r="B20101" s="85"/>
      <c r="C20101" s="85"/>
      <c r="F20101" s="92"/>
      <c r="G20101" s="85"/>
    </row>
    <row r="20102">
      <c r="A20102" s="84"/>
      <c r="B20102" s="85"/>
      <c r="C20102" s="85"/>
      <c r="F20102" s="92"/>
      <c r="G20102" s="85"/>
    </row>
    <row r="20103">
      <c r="A20103" s="84"/>
      <c r="B20103" s="85"/>
      <c r="C20103" s="85"/>
      <c r="F20103" s="92"/>
      <c r="G20103" s="85"/>
    </row>
    <row r="20104">
      <c r="A20104" s="84"/>
      <c r="B20104" s="85"/>
      <c r="C20104" s="85"/>
      <c r="F20104" s="92"/>
      <c r="G20104" s="85"/>
    </row>
    <row r="20105">
      <c r="A20105" s="84"/>
      <c r="B20105" s="85"/>
      <c r="C20105" s="85"/>
      <c r="F20105" s="92"/>
      <c r="G20105" s="85"/>
    </row>
    <row r="20106">
      <c r="A20106" s="84"/>
      <c r="B20106" s="85"/>
      <c r="C20106" s="85"/>
      <c r="F20106" s="92"/>
      <c r="G20106" s="85"/>
    </row>
    <row r="20107">
      <c r="A20107" s="84"/>
      <c r="B20107" s="85"/>
      <c r="C20107" s="85"/>
      <c r="F20107" s="92"/>
      <c r="G20107" s="85"/>
    </row>
    <row r="20108">
      <c r="A20108" s="84"/>
      <c r="B20108" s="85"/>
      <c r="C20108" s="85"/>
      <c r="F20108" s="92"/>
      <c r="G20108" s="85"/>
    </row>
    <row r="20109">
      <c r="A20109" s="84"/>
      <c r="B20109" s="85"/>
      <c r="C20109" s="85"/>
      <c r="F20109" s="92"/>
      <c r="G20109" s="85"/>
    </row>
    <row r="20110">
      <c r="A20110" s="84"/>
      <c r="B20110" s="85"/>
      <c r="C20110" s="85"/>
      <c r="F20110" s="92"/>
      <c r="G20110" s="85"/>
    </row>
    <row r="20111">
      <c r="A20111" s="84"/>
      <c r="B20111" s="85"/>
      <c r="C20111" s="85"/>
      <c r="F20111" s="92"/>
      <c r="G20111" s="85"/>
    </row>
    <row r="20112">
      <c r="A20112" s="84"/>
      <c r="B20112" s="85"/>
      <c r="C20112" s="85"/>
      <c r="F20112" s="92"/>
      <c r="G20112" s="85"/>
    </row>
    <row r="20113">
      <c r="A20113" s="84"/>
      <c r="B20113" s="85"/>
      <c r="C20113" s="85"/>
      <c r="F20113" s="92"/>
      <c r="G20113" s="85"/>
    </row>
    <row r="20114">
      <c r="A20114" s="84"/>
      <c r="B20114" s="85"/>
      <c r="C20114" s="85"/>
      <c r="F20114" s="92"/>
      <c r="G20114" s="85"/>
    </row>
    <row r="20115">
      <c r="A20115" s="84"/>
      <c r="B20115" s="85"/>
      <c r="C20115" s="85"/>
      <c r="F20115" s="92"/>
      <c r="G20115" s="85"/>
    </row>
    <row r="20116">
      <c r="A20116" s="84"/>
      <c r="B20116" s="85"/>
      <c r="C20116" s="85"/>
      <c r="F20116" s="92"/>
      <c r="G20116" s="85"/>
    </row>
    <row r="20117">
      <c r="A20117" s="84"/>
      <c r="B20117" s="85"/>
      <c r="C20117" s="85"/>
      <c r="F20117" s="92"/>
      <c r="G20117" s="85"/>
    </row>
    <row r="20118">
      <c r="A20118" s="84"/>
      <c r="B20118" s="85"/>
      <c r="C20118" s="85"/>
      <c r="F20118" s="92"/>
      <c r="G20118" s="85"/>
    </row>
    <row r="20119">
      <c r="A20119" s="84"/>
      <c r="B20119" s="85"/>
      <c r="C20119" s="85"/>
      <c r="F20119" s="92"/>
      <c r="G20119" s="85"/>
    </row>
    <row r="20120">
      <c r="A20120" s="84"/>
      <c r="B20120" s="85"/>
      <c r="C20120" s="85"/>
      <c r="F20120" s="92"/>
      <c r="G20120" s="85"/>
    </row>
    <row r="20121">
      <c r="A20121" s="84"/>
      <c r="B20121" s="85"/>
      <c r="C20121" s="85"/>
      <c r="F20121" s="92"/>
      <c r="G20121" s="85"/>
    </row>
    <row r="20122">
      <c r="A20122" s="84"/>
      <c r="B20122" s="85"/>
      <c r="C20122" s="85"/>
      <c r="F20122" s="92"/>
      <c r="G20122" s="85"/>
    </row>
    <row r="20123">
      <c r="A20123" s="84"/>
      <c r="B20123" s="85"/>
      <c r="C20123" s="85"/>
      <c r="F20123" s="92"/>
      <c r="G20123" s="85"/>
    </row>
    <row r="20124">
      <c r="A20124" s="84"/>
      <c r="B20124" s="85"/>
      <c r="C20124" s="85"/>
      <c r="F20124" s="92"/>
      <c r="G20124" s="85"/>
    </row>
    <row r="20125">
      <c r="A20125" s="84"/>
      <c r="B20125" s="85"/>
      <c r="C20125" s="85"/>
      <c r="F20125" s="92"/>
      <c r="G20125" s="85"/>
    </row>
    <row r="20126">
      <c r="A20126" s="84"/>
      <c r="B20126" s="85"/>
      <c r="C20126" s="85"/>
      <c r="F20126" s="92"/>
      <c r="G20126" s="85"/>
    </row>
    <row r="20127">
      <c r="A20127" s="84"/>
      <c r="B20127" s="85"/>
      <c r="C20127" s="85"/>
      <c r="F20127" s="92"/>
      <c r="G20127" s="85"/>
    </row>
    <row r="20128">
      <c r="A20128" s="84"/>
      <c r="B20128" s="85"/>
      <c r="C20128" s="85"/>
      <c r="F20128" s="92"/>
      <c r="G20128" s="85"/>
    </row>
    <row r="20129">
      <c r="A20129" s="84"/>
      <c r="B20129" s="85"/>
      <c r="C20129" s="85"/>
      <c r="F20129" s="92"/>
      <c r="G20129" s="85"/>
    </row>
    <row r="20130">
      <c r="A20130" s="84"/>
      <c r="B20130" s="85"/>
      <c r="C20130" s="85"/>
      <c r="F20130" s="92"/>
      <c r="G20130" s="85"/>
    </row>
    <row r="20131">
      <c r="A20131" s="84"/>
      <c r="B20131" s="85"/>
      <c r="C20131" s="85"/>
      <c r="F20131" s="92"/>
      <c r="G20131" s="85"/>
    </row>
    <row r="20132">
      <c r="A20132" s="84"/>
      <c r="B20132" s="85"/>
      <c r="C20132" s="85"/>
      <c r="F20132" s="92"/>
      <c r="G20132" s="85"/>
    </row>
    <row r="20133">
      <c r="A20133" s="84"/>
      <c r="B20133" s="85"/>
      <c r="C20133" s="85"/>
      <c r="F20133" s="92"/>
      <c r="G20133" s="85"/>
    </row>
    <row r="20134">
      <c r="A20134" s="84"/>
      <c r="B20134" s="85"/>
      <c r="C20134" s="85"/>
      <c r="F20134" s="92"/>
      <c r="G20134" s="85"/>
    </row>
    <row r="20135">
      <c r="A20135" s="84"/>
      <c r="B20135" s="85"/>
      <c r="C20135" s="85"/>
      <c r="F20135" s="92"/>
      <c r="G20135" s="85"/>
    </row>
    <row r="20136">
      <c r="A20136" s="84"/>
      <c r="B20136" s="85"/>
      <c r="C20136" s="85"/>
      <c r="F20136" s="92"/>
      <c r="G20136" s="85"/>
    </row>
    <row r="20137">
      <c r="A20137" s="84"/>
      <c r="B20137" s="85"/>
      <c r="C20137" s="85"/>
      <c r="F20137" s="92"/>
      <c r="G20137" s="85"/>
    </row>
    <row r="20138">
      <c r="A20138" s="84"/>
      <c r="B20138" s="85"/>
      <c r="C20138" s="85"/>
      <c r="F20138" s="92"/>
      <c r="G20138" s="85"/>
    </row>
    <row r="20139">
      <c r="A20139" s="84"/>
      <c r="B20139" s="85"/>
      <c r="C20139" s="85"/>
      <c r="F20139" s="92"/>
      <c r="G20139" s="85"/>
    </row>
    <row r="20140">
      <c r="A20140" s="84"/>
      <c r="B20140" s="85"/>
      <c r="C20140" s="85"/>
      <c r="F20140" s="92"/>
      <c r="G20140" s="85"/>
    </row>
    <row r="20141">
      <c r="A20141" s="84"/>
      <c r="B20141" s="85"/>
      <c r="C20141" s="85"/>
      <c r="F20141" s="92"/>
      <c r="G20141" s="85"/>
    </row>
    <row r="20142">
      <c r="A20142" s="84"/>
      <c r="B20142" s="85"/>
      <c r="C20142" s="85"/>
      <c r="F20142" s="92"/>
      <c r="G20142" s="85"/>
    </row>
    <row r="20143">
      <c r="A20143" s="84"/>
      <c r="B20143" s="85"/>
      <c r="C20143" s="85"/>
      <c r="F20143" s="92"/>
      <c r="G20143" s="85"/>
    </row>
    <row r="20144">
      <c r="A20144" s="84"/>
      <c r="B20144" s="85"/>
      <c r="C20144" s="85"/>
      <c r="F20144" s="92"/>
      <c r="G20144" s="85"/>
    </row>
    <row r="20145">
      <c r="A20145" s="84"/>
      <c r="B20145" s="85"/>
      <c r="C20145" s="85"/>
      <c r="F20145" s="92"/>
      <c r="G20145" s="85"/>
    </row>
    <row r="20146">
      <c r="A20146" s="84"/>
      <c r="B20146" s="85"/>
      <c r="C20146" s="85"/>
      <c r="F20146" s="92"/>
      <c r="G20146" s="85"/>
    </row>
    <row r="20147">
      <c r="A20147" s="84"/>
      <c r="B20147" s="85"/>
      <c r="C20147" s="85"/>
      <c r="F20147" s="92"/>
      <c r="G20147" s="85"/>
    </row>
    <row r="20148">
      <c r="A20148" s="84"/>
      <c r="B20148" s="85"/>
      <c r="C20148" s="85"/>
      <c r="F20148" s="92"/>
      <c r="G20148" s="85"/>
    </row>
    <row r="20149">
      <c r="A20149" s="84"/>
      <c r="B20149" s="85"/>
      <c r="C20149" s="85"/>
      <c r="F20149" s="92"/>
      <c r="G20149" s="85"/>
    </row>
    <row r="20150">
      <c r="A20150" s="84"/>
      <c r="B20150" s="85"/>
      <c r="C20150" s="85"/>
      <c r="F20150" s="92"/>
      <c r="G20150" s="85"/>
    </row>
    <row r="20151">
      <c r="A20151" s="84"/>
      <c r="B20151" s="85"/>
      <c r="C20151" s="85"/>
      <c r="F20151" s="92"/>
      <c r="G20151" s="85"/>
    </row>
    <row r="20152">
      <c r="A20152" s="84"/>
      <c r="B20152" s="85"/>
      <c r="C20152" s="85"/>
      <c r="F20152" s="92"/>
      <c r="G20152" s="85"/>
    </row>
    <row r="20153">
      <c r="A20153" s="84"/>
      <c r="B20153" s="85"/>
      <c r="C20153" s="85"/>
      <c r="F20153" s="92"/>
      <c r="G20153" s="85"/>
    </row>
    <row r="20154">
      <c r="A20154" s="84"/>
      <c r="B20154" s="85"/>
      <c r="C20154" s="85"/>
      <c r="F20154" s="92"/>
      <c r="G20154" s="85"/>
    </row>
    <row r="20155">
      <c r="A20155" s="84"/>
      <c r="B20155" s="85"/>
      <c r="C20155" s="85"/>
      <c r="F20155" s="92"/>
      <c r="G20155" s="85"/>
    </row>
    <row r="20156">
      <c r="A20156" s="84"/>
      <c r="B20156" s="85"/>
      <c r="C20156" s="85"/>
      <c r="F20156" s="92"/>
      <c r="G20156" s="85"/>
    </row>
    <row r="20157">
      <c r="A20157" s="84"/>
      <c r="B20157" s="85"/>
      <c r="C20157" s="85"/>
      <c r="F20157" s="92"/>
      <c r="G20157" s="85"/>
    </row>
    <row r="20158">
      <c r="A20158" s="84"/>
      <c r="B20158" s="85"/>
      <c r="C20158" s="85"/>
      <c r="F20158" s="92"/>
      <c r="G20158" s="85"/>
    </row>
    <row r="20159">
      <c r="A20159" s="84"/>
      <c r="B20159" s="85"/>
      <c r="C20159" s="85"/>
      <c r="F20159" s="92"/>
      <c r="G20159" s="85"/>
    </row>
    <row r="20160">
      <c r="A20160" s="84"/>
      <c r="B20160" s="85"/>
      <c r="C20160" s="85"/>
      <c r="F20160" s="92"/>
      <c r="G20160" s="85"/>
    </row>
    <row r="20161">
      <c r="A20161" s="84"/>
      <c r="B20161" s="85"/>
      <c r="C20161" s="85"/>
      <c r="F20161" s="92"/>
      <c r="G20161" s="85"/>
    </row>
    <row r="20162">
      <c r="A20162" s="84"/>
      <c r="B20162" s="85"/>
      <c r="C20162" s="85"/>
      <c r="F20162" s="92"/>
      <c r="G20162" s="85"/>
    </row>
    <row r="20163">
      <c r="A20163" s="84"/>
      <c r="B20163" s="85"/>
      <c r="C20163" s="85"/>
      <c r="F20163" s="92"/>
      <c r="G20163" s="85"/>
    </row>
    <row r="20164">
      <c r="A20164" s="84"/>
      <c r="B20164" s="85"/>
      <c r="C20164" s="85"/>
      <c r="F20164" s="92"/>
      <c r="G20164" s="85"/>
    </row>
    <row r="20165">
      <c r="A20165" s="84"/>
      <c r="B20165" s="85"/>
      <c r="C20165" s="85"/>
      <c r="F20165" s="92"/>
      <c r="G20165" s="85"/>
    </row>
    <row r="20166">
      <c r="A20166" s="84"/>
      <c r="B20166" s="85"/>
      <c r="C20166" s="85"/>
      <c r="F20166" s="92"/>
      <c r="G20166" s="85"/>
    </row>
    <row r="20167">
      <c r="A20167" s="84"/>
      <c r="B20167" s="85"/>
      <c r="C20167" s="85"/>
      <c r="F20167" s="92"/>
      <c r="G20167" s="85"/>
    </row>
    <row r="20168">
      <c r="A20168" s="84"/>
      <c r="B20168" s="85"/>
      <c r="C20168" s="85"/>
      <c r="F20168" s="92"/>
      <c r="G20168" s="85"/>
    </row>
    <row r="20169">
      <c r="A20169" s="84"/>
      <c r="B20169" s="85"/>
      <c r="C20169" s="85"/>
      <c r="F20169" s="92"/>
      <c r="G20169" s="85"/>
    </row>
    <row r="20170">
      <c r="A20170" s="84"/>
      <c r="B20170" s="85"/>
      <c r="C20170" s="85"/>
      <c r="F20170" s="92"/>
      <c r="G20170" s="85"/>
    </row>
    <row r="20171">
      <c r="A20171" s="84"/>
      <c r="B20171" s="85"/>
      <c r="C20171" s="85"/>
      <c r="F20171" s="92"/>
      <c r="G20171" s="85"/>
    </row>
    <row r="20172">
      <c r="A20172" s="84"/>
      <c r="B20172" s="85"/>
      <c r="C20172" s="85"/>
      <c r="F20172" s="92"/>
      <c r="G20172" s="85"/>
    </row>
    <row r="20173">
      <c r="A20173" s="84"/>
      <c r="B20173" s="85"/>
      <c r="C20173" s="85"/>
      <c r="F20173" s="92"/>
      <c r="G20173" s="85"/>
    </row>
    <row r="20174">
      <c r="A20174" s="84"/>
      <c r="B20174" s="85"/>
      <c r="C20174" s="85"/>
      <c r="F20174" s="92"/>
      <c r="G20174" s="85"/>
    </row>
    <row r="20175">
      <c r="A20175" s="84"/>
      <c r="B20175" s="85"/>
      <c r="C20175" s="85"/>
      <c r="F20175" s="92"/>
      <c r="G20175" s="85"/>
    </row>
    <row r="20176">
      <c r="A20176" s="84"/>
      <c r="B20176" s="85"/>
      <c r="C20176" s="85"/>
      <c r="F20176" s="92"/>
      <c r="G20176" s="85"/>
    </row>
    <row r="20177">
      <c r="A20177" s="84"/>
      <c r="B20177" s="85"/>
      <c r="C20177" s="85"/>
      <c r="F20177" s="92"/>
      <c r="G20177" s="85"/>
    </row>
    <row r="20178">
      <c r="A20178" s="84"/>
      <c r="B20178" s="85"/>
      <c r="C20178" s="85"/>
      <c r="F20178" s="92"/>
      <c r="G20178" s="85"/>
    </row>
    <row r="20179">
      <c r="A20179" s="84"/>
      <c r="B20179" s="85"/>
      <c r="C20179" s="85"/>
      <c r="F20179" s="92"/>
      <c r="G20179" s="85"/>
    </row>
    <row r="20180">
      <c r="A20180" s="84"/>
      <c r="B20180" s="85"/>
      <c r="C20180" s="85"/>
      <c r="F20180" s="92"/>
      <c r="G20180" s="85"/>
    </row>
    <row r="20181">
      <c r="A20181" s="84"/>
      <c r="B20181" s="85"/>
      <c r="C20181" s="85"/>
      <c r="F20181" s="92"/>
      <c r="G20181" s="85"/>
    </row>
    <row r="20182">
      <c r="A20182" s="84"/>
      <c r="B20182" s="85"/>
      <c r="C20182" s="85"/>
      <c r="F20182" s="92"/>
      <c r="G20182" s="85"/>
    </row>
    <row r="20183">
      <c r="A20183" s="84"/>
      <c r="B20183" s="85"/>
      <c r="C20183" s="85"/>
      <c r="F20183" s="92"/>
      <c r="G20183" s="85"/>
    </row>
    <row r="20184">
      <c r="A20184" s="84"/>
      <c r="B20184" s="85"/>
      <c r="C20184" s="85"/>
      <c r="F20184" s="92"/>
      <c r="G20184" s="85"/>
    </row>
    <row r="20185">
      <c r="A20185" s="84"/>
      <c r="B20185" s="85"/>
      <c r="C20185" s="85"/>
      <c r="F20185" s="92"/>
      <c r="G20185" s="85"/>
    </row>
    <row r="20186">
      <c r="A20186" s="84"/>
      <c r="B20186" s="85"/>
      <c r="C20186" s="85"/>
      <c r="F20186" s="92"/>
      <c r="G20186" s="85"/>
    </row>
    <row r="20187">
      <c r="A20187" s="84"/>
      <c r="B20187" s="85"/>
      <c r="C20187" s="85"/>
      <c r="F20187" s="92"/>
      <c r="G20187" s="85"/>
    </row>
    <row r="20188">
      <c r="A20188" s="84"/>
      <c r="B20188" s="85"/>
      <c r="C20188" s="85"/>
      <c r="F20188" s="92"/>
      <c r="G20188" s="85"/>
    </row>
    <row r="20189">
      <c r="A20189" s="84"/>
      <c r="B20189" s="85"/>
      <c r="C20189" s="85"/>
      <c r="F20189" s="92"/>
      <c r="G20189" s="85"/>
    </row>
    <row r="20190">
      <c r="A20190" s="84"/>
      <c r="B20190" s="85"/>
      <c r="C20190" s="85"/>
      <c r="F20190" s="92"/>
      <c r="G20190" s="85"/>
    </row>
    <row r="20191">
      <c r="A20191" s="84"/>
      <c r="B20191" s="85"/>
      <c r="C20191" s="85"/>
      <c r="F20191" s="92"/>
      <c r="G20191" s="85"/>
    </row>
    <row r="20192">
      <c r="A20192" s="84"/>
      <c r="B20192" s="85"/>
      <c r="C20192" s="85"/>
      <c r="F20192" s="92"/>
      <c r="G20192" s="85"/>
    </row>
    <row r="20193">
      <c r="A20193" s="84"/>
      <c r="B20193" s="85"/>
      <c r="C20193" s="85"/>
      <c r="F20193" s="92"/>
      <c r="G20193" s="85"/>
    </row>
    <row r="20194">
      <c r="A20194" s="84"/>
      <c r="B20194" s="85"/>
      <c r="C20194" s="85"/>
      <c r="F20194" s="92"/>
      <c r="G20194" s="85"/>
    </row>
    <row r="20195">
      <c r="A20195" s="84"/>
      <c r="B20195" s="85"/>
      <c r="C20195" s="85"/>
      <c r="F20195" s="92"/>
      <c r="G20195" s="85"/>
    </row>
    <row r="20196">
      <c r="A20196" s="84"/>
      <c r="B20196" s="85"/>
      <c r="C20196" s="85"/>
      <c r="F20196" s="92"/>
      <c r="G20196" s="85"/>
    </row>
    <row r="20197">
      <c r="A20197" s="84"/>
      <c r="B20197" s="85"/>
      <c r="C20197" s="85"/>
      <c r="F20197" s="92"/>
      <c r="G20197" s="85"/>
    </row>
    <row r="20198">
      <c r="A20198" s="84"/>
      <c r="B20198" s="85"/>
      <c r="C20198" s="85"/>
      <c r="F20198" s="92"/>
      <c r="G20198" s="85"/>
    </row>
    <row r="20199">
      <c r="A20199" s="84"/>
      <c r="B20199" s="85"/>
      <c r="C20199" s="85"/>
      <c r="F20199" s="92"/>
      <c r="G20199" s="85"/>
    </row>
    <row r="20200">
      <c r="A20200" s="84"/>
      <c r="B20200" s="85"/>
      <c r="C20200" s="85"/>
      <c r="F20200" s="92"/>
      <c r="G20200" s="85"/>
    </row>
    <row r="20201">
      <c r="A20201" s="84"/>
      <c r="B20201" s="85"/>
      <c r="C20201" s="85"/>
      <c r="F20201" s="92"/>
      <c r="G20201" s="85"/>
    </row>
    <row r="20202">
      <c r="A20202" s="84"/>
      <c r="B20202" s="85"/>
      <c r="C20202" s="85"/>
      <c r="F20202" s="92"/>
      <c r="G20202" s="85"/>
    </row>
    <row r="20203">
      <c r="A20203" s="84"/>
      <c r="B20203" s="85"/>
      <c r="C20203" s="85"/>
      <c r="F20203" s="92"/>
      <c r="G20203" s="85"/>
    </row>
    <row r="20204">
      <c r="A20204" s="84"/>
      <c r="B20204" s="85"/>
      <c r="C20204" s="85"/>
      <c r="F20204" s="92"/>
      <c r="G20204" s="85"/>
    </row>
    <row r="20205">
      <c r="A20205" s="84"/>
      <c r="B20205" s="85"/>
      <c r="C20205" s="85"/>
      <c r="F20205" s="92"/>
      <c r="G20205" s="85"/>
    </row>
    <row r="20206">
      <c r="A20206" s="84"/>
      <c r="B20206" s="85"/>
      <c r="C20206" s="85"/>
      <c r="F20206" s="92"/>
      <c r="G20206" s="85"/>
    </row>
    <row r="20207">
      <c r="A20207" s="84"/>
      <c r="B20207" s="85"/>
      <c r="C20207" s="85"/>
      <c r="F20207" s="92"/>
      <c r="G20207" s="85"/>
    </row>
    <row r="20208">
      <c r="A20208" s="84"/>
      <c r="B20208" s="85"/>
      <c r="C20208" s="85"/>
      <c r="F20208" s="92"/>
      <c r="G20208" s="85"/>
    </row>
    <row r="20209">
      <c r="A20209" s="84"/>
      <c r="B20209" s="85"/>
      <c r="C20209" s="85"/>
      <c r="F20209" s="92"/>
      <c r="G20209" s="85"/>
    </row>
    <row r="20210">
      <c r="A20210" s="84"/>
      <c r="B20210" s="85"/>
      <c r="C20210" s="85"/>
      <c r="F20210" s="92"/>
      <c r="G20210" s="85"/>
    </row>
    <row r="20211">
      <c r="A20211" s="84"/>
      <c r="B20211" s="85"/>
      <c r="C20211" s="85"/>
      <c r="F20211" s="92"/>
      <c r="G20211" s="85"/>
    </row>
    <row r="20212">
      <c r="A20212" s="84"/>
      <c r="B20212" s="85"/>
      <c r="C20212" s="85"/>
      <c r="F20212" s="92"/>
      <c r="G20212" s="85"/>
    </row>
    <row r="20213">
      <c r="A20213" s="84"/>
      <c r="B20213" s="85"/>
      <c r="C20213" s="85"/>
      <c r="F20213" s="92"/>
      <c r="G20213" s="85"/>
    </row>
    <row r="20214">
      <c r="A20214" s="84"/>
      <c r="B20214" s="85"/>
      <c r="C20214" s="85"/>
      <c r="F20214" s="92"/>
      <c r="G20214" s="85"/>
    </row>
    <row r="20215">
      <c r="A20215" s="84"/>
      <c r="B20215" s="85"/>
      <c r="C20215" s="85"/>
      <c r="F20215" s="92"/>
      <c r="G20215" s="85"/>
    </row>
    <row r="20216">
      <c r="A20216" s="84"/>
      <c r="B20216" s="85"/>
      <c r="C20216" s="85"/>
      <c r="F20216" s="92"/>
      <c r="G20216" s="85"/>
    </row>
    <row r="20217">
      <c r="A20217" s="84"/>
      <c r="B20217" s="85"/>
      <c r="C20217" s="85"/>
      <c r="F20217" s="92"/>
      <c r="G20217" s="85"/>
    </row>
    <row r="20218">
      <c r="A20218" s="84"/>
      <c r="B20218" s="85"/>
      <c r="C20218" s="85"/>
      <c r="F20218" s="92"/>
      <c r="G20218" s="85"/>
    </row>
    <row r="20219">
      <c r="A20219" s="84"/>
      <c r="B20219" s="85"/>
      <c r="C20219" s="85"/>
      <c r="F20219" s="92"/>
      <c r="G20219" s="85"/>
    </row>
    <row r="20220">
      <c r="A20220" s="84"/>
      <c r="B20220" s="85"/>
      <c r="C20220" s="85"/>
      <c r="F20220" s="92"/>
      <c r="G20220" s="85"/>
    </row>
    <row r="20221">
      <c r="A20221" s="84"/>
      <c r="B20221" s="85"/>
      <c r="C20221" s="85"/>
      <c r="F20221" s="92"/>
      <c r="G20221" s="85"/>
    </row>
    <row r="20222">
      <c r="A20222" s="84"/>
      <c r="B20222" s="85"/>
      <c r="C20222" s="85"/>
      <c r="F20222" s="92"/>
      <c r="G20222" s="85"/>
    </row>
    <row r="20223">
      <c r="A20223" s="84"/>
      <c r="B20223" s="85"/>
      <c r="C20223" s="85"/>
      <c r="F20223" s="92"/>
      <c r="G20223" s="85"/>
    </row>
    <row r="20224">
      <c r="A20224" s="84"/>
      <c r="B20224" s="85"/>
      <c r="C20224" s="85"/>
      <c r="F20224" s="92"/>
      <c r="G20224" s="85"/>
    </row>
    <row r="20225">
      <c r="A20225" s="84"/>
      <c r="B20225" s="85"/>
      <c r="C20225" s="85"/>
      <c r="F20225" s="92"/>
      <c r="G20225" s="85"/>
    </row>
    <row r="20226">
      <c r="A20226" s="84"/>
      <c r="B20226" s="85"/>
      <c r="C20226" s="85"/>
      <c r="F20226" s="92"/>
      <c r="G20226" s="85"/>
    </row>
    <row r="20227">
      <c r="A20227" s="84"/>
      <c r="B20227" s="85"/>
      <c r="C20227" s="85"/>
      <c r="F20227" s="92"/>
      <c r="G20227" s="85"/>
    </row>
    <row r="20228">
      <c r="A20228" s="84"/>
      <c r="B20228" s="85"/>
      <c r="C20228" s="85"/>
      <c r="F20228" s="92"/>
      <c r="G20228" s="85"/>
    </row>
    <row r="20229">
      <c r="A20229" s="84"/>
      <c r="B20229" s="85"/>
      <c r="C20229" s="85"/>
      <c r="F20229" s="92"/>
      <c r="G20229" s="85"/>
    </row>
    <row r="20230">
      <c r="A20230" s="84"/>
      <c r="B20230" s="85"/>
      <c r="C20230" s="85"/>
      <c r="F20230" s="92"/>
      <c r="G20230" s="85"/>
    </row>
    <row r="20231">
      <c r="A20231" s="84"/>
      <c r="B20231" s="85"/>
      <c r="C20231" s="85"/>
      <c r="F20231" s="92"/>
      <c r="G20231" s="85"/>
    </row>
    <row r="20232">
      <c r="A20232" s="84"/>
      <c r="B20232" s="85"/>
      <c r="C20232" s="85"/>
      <c r="F20232" s="92"/>
      <c r="G20232" s="85"/>
    </row>
    <row r="20233">
      <c r="A20233" s="84"/>
      <c r="B20233" s="85"/>
      <c r="C20233" s="85"/>
      <c r="F20233" s="92"/>
      <c r="G20233" s="85"/>
    </row>
    <row r="20234">
      <c r="A20234" s="84"/>
      <c r="B20234" s="85"/>
      <c r="C20234" s="85"/>
      <c r="F20234" s="92"/>
      <c r="G20234" s="85"/>
    </row>
    <row r="20235">
      <c r="A20235" s="84"/>
      <c r="B20235" s="85"/>
      <c r="C20235" s="85"/>
      <c r="F20235" s="92"/>
      <c r="G20235" s="85"/>
    </row>
    <row r="20236">
      <c r="A20236" s="84"/>
      <c r="B20236" s="85"/>
      <c r="C20236" s="85"/>
      <c r="F20236" s="92"/>
      <c r="G20236" s="85"/>
    </row>
    <row r="20237">
      <c r="A20237" s="84"/>
      <c r="B20237" s="85"/>
      <c r="C20237" s="85"/>
      <c r="F20237" s="92"/>
      <c r="G20237" s="85"/>
    </row>
    <row r="20238">
      <c r="A20238" s="84"/>
      <c r="B20238" s="85"/>
      <c r="C20238" s="85"/>
      <c r="F20238" s="92"/>
      <c r="G20238" s="85"/>
    </row>
    <row r="20239">
      <c r="A20239" s="84"/>
      <c r="B20239" s="85"/>
      <c r="C20239" s="85"/>
      <c r="F20239" s="92"/>
      <c r="G20239" s="85"/>
    </row>
    <row r="20240">
      <c r="A20240" s="84"/>
      <c r="B20240" s="85"/>
      <c r="C20240" s="85"/>
      <c r="F20240" s="92"/>
      <c r="G20240" s="85"/>
    </row>
    <row r="20241">
      <c r="A20241" s="84"/>
      <c r="B20241" s="85"/>
      <c r="C20241" s="85"/>
      <c r="F20241" s="92"/>
      <c r="G20241" s="85"/>
    </row>
    <row r="20242">
      <c r="A20242" s="84"/>
      <c r="B20242" s="85"/>
      <c r="C20242" s="85"/>
      <c r="F20242" s="92"/>
      <c r="G20242" s="85"/>
    </row>
    <row r="20243">
      <c r="A20243" s="84"/>
      <c r="B20243" s="85"/>
      <c r="C20243" s="85"/>
      <c r="F20243" s="92"/>
      <c r="G20243" s="85"/>
    </row>
    <row r="20244">
      <c r="A20244" s="84"/>
      <c r="B20244" s="85"/>
      <c r="C20244" s="85"/>
      <c r="F20244" s="92"/>
      <c r="G20244" s="85"/>
    </row>
    <row r="20245">
      <c r="A20245" s="84"/>
      <c r="B20245" s="85"/>
      <c r="C20245" s="85"/>
      <c r="F20245" s="92"/>
      <c r="G20245" s="85"/>
    </row>
    <row r="20246">
      <c r="A20246" s="84"/>
      <c r="B20246" s="85"/>
      <c r="C20246" s="85"/>
      <c r="F20246" s="92"/>
      <c r="G20246" s="85"/>
    </row>
    <row r="20247">
      <c r="A20247" s="84"/>
      <c r="B20247" s="85"/>
      <c r="C20247" s="85"/>
      <c r="F20247" s="92"/>
      <c r="G20247" s="85"/>
    </row>
    <row r="20248">
      <c r="A20248" s="84"/>
      <c r="B20248" s="85"/>
      <c r="C20248" s="85"/>
      <c r="F20248" s="92"/>
      <c r="G20248" s="85"/>
    </row>
    <row r="20249">
      <c r="A20249" s="84"/>
      <c r="B20249" s="85"/>
      <c r="C20249" s="85"/>
      <c r="F20249" s="92"/>
      <c r="G20249" s="85"/>
    </row>
    <row r="20250">
      <c r="A20250" s="84"/>
      <c r="B20250" s="85"/>
      <c r="C20250" s="85"/>
      <c r="F20250" s="92"/>
      <c r="G20250" s="85"/>
    </row>
    <row r="20251">
      <c r="A20251" s="84"/>
      <c r="B20251" s="85"/>
      <c r="C20251" s="85"/>
      <c r="F20251" s="92"/>
      <c r="G20251" s="85"/>
    </row>
    <row r="20252">
      <c r="A20252" s="84"/>
      <c r="B20252" s="85"/>
      <c r="C20252" s="85"/>
      <c r="F20252" s="92"/>
      <c r="G20252" s="85"/>
    </row>
    <row r="20253">
      <c r="A20253" s="84"/>
      <c r="B20253" s="85"/>
      <c r="C20253" s="85"/>
      <c r="F20253" s="92"/>
      <c r="G20253" s="85"/>
    </row>
    <row r="20254">
      <c r="A20254" s="84"/>
      <c r="B20254" s="85"/>
      <c r="C20254" s="85"/>
      <c r="F20254" s="92"/>
      <c r="G20254" s="85"/>
    </row>
    <row r="20255">
      <c r="A20255" s="84"/>
      <c r="B20255" s="85"/>
      <c r="C20255" s="85"/>
      <c r="F20255" s="92"/>
      <c r="G20255" s="85"/>
    </row>
    <row r="20256">
      <c r="A20256" s="84"/>
      <c r="B20256" s="85"/>
      <c r="C20256" s="85"/>
      <c r="F20256" s="92"/>
      <c r="G20256" s="85"/>
    </row>
    <row r="20257">
      <c r="A20257" s="84"/>
      <c r="B20257" s="85"/>
      <c r="C20257" s="85"/>
      <c r="F20257" s="92"/>
      <c r="G20257" s="85"/>
    </row>
    <row r="20258">
      <c r="A20258" s="84"/>
      <c r="B20258" s="85"/>
      <c r="C20258" s="85"/>
      <c r="F20258" s="92"/>
      <c r="G20258" s="85"/>
    </row>
    <row r="20259">
      <c r="A20259" s="84"/>
      <c r="B20259" s="85"/>
      <c r="C20259" s="85"/>
      <c r="F20259" s="92"/>
      <c r="G20259" s="85"/>
    </row>
    <row r="20260">
      <c r="A20260" s="84"/>
      <c r="B20260" s="85"/>
      <c r="C20260" s="85"/>
      <c r="F20260" s="92"/>
      <c r="G20260" s="85"/>
    </row>
    <row r="20261">
      <c r="A20261" s="84"/>
      <c r="B20261" s="85"/>
      <c r="C20261" s="85"/>
      <c r="F20261" s="92"/>
      <c r="G20261" s="85"/>
    </row>
    <row r="20262">
      <c r="A20262" s="84"/>
      <c r="B20262" s="85"/>
      <c r="C20262" s="85"/>
      <c r="F20262" s="92"/>
      <c r="G20262" s="85"/>
    </row>
    <row r="20263">
      <c r="A20263" s="84"/>
      <c r="B20263" s="85"/>
      <c r="C20263" s="85"/>
      <c r="F20263" s="92"/>
      <c r="G20263" s="85"/>
    </row>
    <row r="20264">
      <c r="A20264" s="84"/>
      <c r="B20264" s="85"/>
      <c r="C20264" s="85"/>
      <c r="F20264" s="92"/>
      <c r="G20264" s="85"/>
    </row>
    <row r="20265">
      <c r="A20265" s="84"/>
      <c r="B20265" s="85"/>
      <c r="C20265" s="85"/>
      <c r="F20265" s="92"/>
      <c r="G20265" s="85"/>
    </row>
    <row r="20266">
      <c r="A20266" s="84"/>
      <c r="B20266" s="85"/>
      <c r="C20266" s="85"/>
      <c r="F20266" s="92"/>
      <c r="G20266" s="85"/>
    </row>
    <row r="20267">
      <c r="A20267" s="84"/>
      <c r="B20267" s="85"/>
      <c r="C20267" s="85"/>
      <c r="F20267" s="92"/>
      <c r="G20267" s="85"/>
    </row>
    <row r="20268">
      <c r="A20268" s="84"/>
      <c r="B20268" s="85"/>
      <c r="C20268" s="85"/>
      <c r="F20268" s="92"/>
      <c r="G20268" s="85"/>
    </row>
    <row r="20269">
      <c r="A20269" s="84"/>
      <c r="B20269" s="85"/>
      <c r="C20269" s="85"/>
      <c r="F20269" s="92"/>
      <c r="G20269" s="85"/>
    </row>
    <row r="20270">
      <c r="A20270" s="84"/>
      <c r="B20270" s="85"/>
      <c r="C20270" s="85"/>
      <c r="F20270" s="92"/>
      <c r="G20270" s="85"/>
    </row>
    <row r="20271">
      <c r="A20271" s="84"/>
      <c r="B20271" s="85"/>
      <c r="C20271" s="85"/>
      <c r="F20271" s="92"/>
      <c r="G20271" s="85"/>
    </row>
    <row r="20272">
      <c r="A20272" s="84"/>
      <c r="B20272" s="85"/>
      <c r="C20272" s="85"/>
      <c r="F20272" s="92"/>
      <c r="G20272" s="85"/>
    </row>
    <row r="20273">
      <c r="A20273" s="84"/>
      <c r="B20273" s="85"/>
      <c r="C20273" s="85"/>
      <c r="F20273" s="92"/>
      <c r="G20273" s="85"/>
    </row>
    <row r="20274">
      <c r="A20274" s="84"/>
      <c r="B20274" s="85"/>
      <c r="C20274" s="85"/>
      <c r="F20274" s="92"/>
      <c r="G20274" s="85"/>
    </row>
    <row r="20275">
      <c r="A20275" s="84"/>
      <c r="B20275" s="85"/>
      <c r="C20275" s="85"/>
      <c r="F20275" s="92"/>
      <c r="G20275" s="85"/>
    </row>
    <row r="20276">
      <c r="A20276" s="84"/>
      <c r="B20276" s="85"/>
      <c r="C20276" s="85"/>
      <c r="F20276" s="92"/>
      <c r="G20276" s="85"/>
    </row>
    <row r="20277">
      <c r="A20277" s="84"/>
      <c r="B20277" s="85"/>
      <c r="C20277" s="85"/>
      <c r="F20277" s="92"/>
      <c r="G20277" s="85"/>
    </row>
    <row r="20278">
      <c r="A20278" s="84"/>
      <c r="B20278" s="85"/>
      <c r="C20278" s="85"/>
      <c r="F20278" s="92"/>
      <c r="G20278" s="85"/>
    </row>
    <row r="20279">
      <c r="A20279" s="84"/>
      <c r="B20279" s="85"/>
      <c r="C20279" s="85"/>
      <c r="F20279" s="92"/>
      <c r="G20279" s="85"/>
    </row>
    <row r="20280">
      <c r="A20280" s="84"/>
      <c r="B20280" s="85"/>
      <c r="C20280" s="85"/>
      <c r="F20280" s="92"/>
      <c r="G20280" s="85"/>
    </row>
    <row r="20281">
      <c r="A20281" s="84"/>
      <c r="B20281" s="85"/>
      <c r="C20281" s="85"/>
      <c r="F20281" s="92"/>
      <c r="G20281" s="85"/>
    </row>
    <row r="20282">
      <c r="A20282" s="84"/>
      <c r="B20282" s="85"/>
      <c r="C20282" s="85"/>
      <c r="F20282" s="92"/>
      <c r="G20282" s="85"/>
    </row>
    <row r="20283">
      <c r="A20283" s="84"/>
      <c r="B20283" s="85"/>
      <c r="C20283" s="85"/>
      <c r="F20283" s="92"/>
      <c r="G20283" s="85"/>
    </row>
    <row r="20284">
      <c r="A20284" s="84"/>
      <c r="B20284" s="85"/>
      <c r="C20284" s="85"/>
      <c r="F20284" s="92"/>
      <c r="G20284" s="85"/>
    </row>
    <row r="20285">
      <c r="A20285" s="84"/>
      <c r="B20285" s="85"/>
      <c r="C20285" s="85"/>
      <c r="F20285" s="92"/>
      <c r="G20285" s="85"/>
    </row>
    <row r="20286">
      <c r="A20286" s="84"/>
      <c r="B20286" s="85"/>
      <c r="C20286" s="85"/>
      <c r="F20286" s="92"/>
      <c r="G20286" s="85"/>
    </row>
    <row r="20287">
      <c r="A20287" s="84"/>
      <c r="B20287" s="85"/>
      <c r="C20287" s="85"/>
      <c r="F20287" s="92"/>
      <c r="G20287" s="85"/>
    </row>
    <row r="20288">
      <c r="A20288" s="84"/>
      <c r="B20288" s="85"/>
      <c r="C20288" s="85"/>
      <c r="F20288" s="92"/>
      <c r="G20288" s="85"/>
    </row>
    <row r="20289">
      <c r="A20289" s="84"/>
      <c r="B20289" s="85"/>
      <c r="C20289" s="85"/>
      <c r="F20289" s="92"/>
      <c r="G20289" s="85"/>
    </row>
    <row r="20290">
      <c r="A20290" s="84"/>
      <c r="B20290" s="85"/>
      <c r="C20290" s="85"/>
      <c r="F20290" s="92"/>
      <c r="G20290" s="85"/>
    </row>
    <row r="20291">
      <c r="A20291" s="84"/>
      <c r="B20291" s="85"/>
      <c r="C20291" s="85"/>
      <c r="F20291" s="92"/>
      <c r="G20291" s="85"/>
    </row>
    <row r="20292">
      <c r="A20292" s="84"/>
      <c r="B20292" s="85"/>
      <c r="C20292" s="85"/>
      <c r="F20292" s="92"/>
      <c r="G20292" s="85"/>
    </row>
    <row r="20293">
      <c r="A20293" s="84"/>
      <c r="B20293" s="85"/>
      <c r="C20293" s="85"/>
      <c r="F20293" s="92"/>
      <c r="G20293" s="85"/>
    </row>
    <row r="20294">
      <c r="A20294" s="84"/>
      <c r="B20294" s="85"/>
      <c r="C20294" s="85"/>
      <c r="F20294" s="92"/>
      <c r="G20294" s="85"/>
    </row>
    <row r="20295">
      <c r="A20295" s="84"/>
      <c r="B20295" s="85"/>
      <c r="C20295" s="85"/>
      <c r="F20295" s="92"/>
      <c r="G20295" s="85"/>
    </row>
    <row r="20296">
      <c r="A20296" s="84"/>
      <c r="B20296" s="85"/>
      <c r="C20296" s="85"/>
      <c r="F20296" s="92"/>
      <c r="G20296" s="85"/>
    </row>
    <row r="20297">
      <c r="A20297" s="84"/>
      <c r="B20297" s="85"/>
      <c r="C20297" s="85"/>
      <c r="F20297" s="92"/>
      <c r="G20297" s="85"/>
    </row>
    <row r="20298">
      <c r="A20298" s="84"/>
      <c r="B20298" s="85"/>
      <c r="C20298" s="85"/>
      <c r="F20298" s="92"/>
      <c r="G20298" s="85"/>
    </row>
    <row r="20299">
      <c r="A20299" s="84"/>
      <c r="B20299" s="85"/>
      <c r="C20299" s="85"/>
      <c r="F20299" s="92"/>
      <c r="G20299" s="85"/>
    </row>
    <row r="20300">
      <c r="A20300" s="84"/>
      <c r="B20300" s="85"/>
      <c r="C20300" s="85"/>
      <c r="F20300" s="92"/>
      <c r="G20300" s="85"/>
    </row>
    <row r="20301">
      <c r="A20301" s="84"/>
      <c r="B20301" s="85"/>
      <c r="C20301" s="85"/>
      <c r="F20301" s="92"/>
      <c r="G20301" s="85"/>
    </row>
    <row r="20302">
      <c r="A20302" s="84"/>
      <c r="B20302" s="85"/>
      <c r="C20302" s="85"/>
      <c r="F20302" s="92"/>
      <c r="G20302" s="85"/>
    </row>
    <row r="20303">
      <c r="A20303" s="84"/>
      <c r="B20303" s="85"/>
      <c r="C20303" s="85"/>
      <c r="F20303" s="92"/>
      <c r="G20303" s="85"/>
    </row>
    <row r="20304">
      <c r="A20304" s="84"/>
      <c r="B20304" s="85"/>
      <c r="C20304" s="85"/>
      <c r="F20304" s="92"/>
      <c r="G20304" s="85"/>
    </row>
    <row r="20305">
      <c r="A20305" s="84"/>
      <c r="B20305" s="85"/>
      <c r="C20305" s="85"/>
      <c r="F20305" s="92"/>
      <c r="G20305" s="85"/>
    </row>
    <row r="20306">
      <c r="A20306" s="84"/>
      <c r="B20306" s="85"/>
      <c r="C20306" s="85"/>
      <c r="F20306" s="92"/>
      <c r="G20306" s="85"/>
    </row>
    <row r="20307">
      <c r="A20307" s="84"/>
      <c r="B20307" s="85"/>
      <c r="C20307" s="85"/>
      <c r="F20307" s="92"/>
      <c r="G20307" s="85"/>
    </row>
    <row r="20308">
      <c r="A20308" s="84"/>
      <c r="B20308" s="85"/>
      <c r="C20308" s="85"/>
      <c r="F20308" s="92"/>
      <c r="G20308" s="85"/>
    </row>
    <row r="20309">
      <c r="A20309" s="84"/>
      <c r="B20309" s="85"/>
      <c r="C20309" s="85"/>
      <c r="F20309" s="92"/>
      <c r="G20309" s="85"/>
    </row>
    <row r="20310">
      <c r="A20310" s="84"/>
      <c r="B20310" s="85"/>
      <c r="C20310" s="85"/>
      <c r="F20310" s="92"/>
      <c r="G20310" s="85"/>
    </row>
    <row r="20311">
      <c r="A20311" s="84"/>
      <c r="B20311" s="85"/>
      <c r="C20311" s="85"/>
      <c r="F20311" s="92"/>
      <c r="G20311" s="85"/>
    </row>
    <row r="20312">
      <c r="A20312" s="84"/>
      <c r="B20312" s="85"/>
      <c r="C20312" s="85"/>
      <c r="F20312" s="92"/>
      <c r="G20312" s="85"/>
    </row>
    <row r="20313">
      <c r="A20313" s="84"/>
      <c r="B20313" s="85"/>
      <c r="C20313" s="85"/>
      <c r="F20313" s="92"/>
      <c r="G20313" s="85"/>
    </row>
    <row r="20314">
      <c r="A20314" s="84"/>
      <c r="B20314" s="85"/>
      <c r="C20314" s="85"/>
      <c r="F20314" s="92"/>
      <c r="G20314" s="85"/>
    </row>
    <row r="20315">
      <c r="A20315" s="84"/>
      <c r="B20315" s="85"/>
      <c r="C20315" s="85"/>
      <c r="F20315" s="92"/>
      <c r="G20315" s="85"/>
    </row>
    <row r="20316">
      <c r="A20316" s="84"/>
      <c r="B20316" s="85"/>
      <c r="C20316" s="85"/>
      <c r="F20316" s="92"/>
      <c r="G20316" s="85"/>
    </row>
    <row r="20317">
      <c r="A20317" s="84"/>
      <c r="B20317" s="85"/>
      <c r="C20317" s="85"/>
      <c r="F20317" s="92"/>
      <c r="G20317" s="85"/>
    </row>
    <row r="20318">
      <c r="A20318" s="84"/>
      <c r="B20318" s="85"/>
      <c r="C20318" s="85"/>
      <c r="F20318" s="92"/>
      <c r="G20318" s="85"/>
    </row>
    <row r="20319">
      <c r="A20319" s="84"/>
      <c r="B20319" s="85"/>
      <c r="C20319" s="85"/>
      <c r="F20319" s="92"/>
      <c r="G20319" s="85"/>
    </row>
    <row r="20320">
      <c r="A20320" s="84"/>
      <c r="B20320" s="85"/>
      <c r="C20320" s="85"/>
      <c r="F20320" s="92"/>
      <c r="G20320" s="85"/>
    </row>
    <row r="20321">
      <c r="A20321" s="84"/>
      <c r="B20321" s="85"/>
      <c r="C20321" s="85"/>
      <c r="F20321" s="92"/>
      <c r="G20321" s="85"/>
    </row>
    <row r="20322">
      <c r="A20322" s="84"/>
      <c r="B20322" s="85"/>
      <c r="C20322" s="85"/>
      <c r="F20322" s="92"/>
      <c r="G20322" s="85"/>
    </row>
    <row r="20323">
      <c r="A20323" s="84"/>
      <c r="B20323" s="85"/>
      <c r="C20323" s="85"/>
      <c r="F20323" s="92"/>
      <c r="G20323" s="85"/>
    </row>
    <row r="20324">
      <c r="A20324" s="84"/>
      <c r="B20324" s="85"/>
      <c r="C20324" s="85"/>
      <c r="F20324" s="92"/>
      <c r="G20324" s="85"/>
    </row>
    <row r="20325">
      <c r="A20325" s="84"/>
      <c r="B20325" s="85"/>
      <c r="C20325" s="85"/>
      <c r="F20325" s="92"/>
      <c r="G20325" s="85"/>
    </row>
    <row r="20326">
      <c r="A20326" s="84"/>
      <c r="B20326" s="85"/>
      <c r="C20326" s="85"/>
      <c r="F20326" s="92"/>
      <c r="G20326" s="85"/>
    </row>
    <row r="20327">
      <c r="A20327" s="84"/>
      <c r="B20327" s="85"/>
      <c r="C20327" s="85"/>
      <c r="F20327" s="92"/>
      <c r="G20327" s="85"/>
    </row>
    <row r="20328">
      <c r="A20328" s="84"/>
      <c r="B20328" s="85"/>
      <c r="C20328" s="85"/>
      <c r="F20328" s="92"/>
      <c r="G20328" s="85"/>
    </row>
    <row r="20329">
      <c r="A20329" s="84"/>
      <c r="B20329" s="85"/>
      <c r="C20329" s="85"/>
      <c r="F20329" s="92"/>
      <c r="G20329" s="85"/>
    </row>
    <row r="20330">
      <c r="A20330" s="84"/>
      <c r="B20330" s="85"/>
      <c r="C20330" s="85"/>
      <c r="F20330" s="92"/>
      <c r="G20330" s="85"/>
    </row>
    <row r="20331">
      <c r="A20331" s="84"/>
      <c r="B20331" s="85"/>
      <c r="C20331" s="85"/>
      <c r="F20331" s="92"/>
      <c r="G20331" s="85"/>
    </row>
    <row r="20332">
      <c r="A20332" s="84"/>
      <c r="B20332" s="85"/>
      <c r="C20332" s="85"/>
      <c r="F20332" s="92"/>
      <c r="G20332" s="85"/>
    </row>
    <row r="20333">
      <c r="A20333" s="84"/>
      <c r="B20333" s="85"/>
      <c r="C20333" s="85"/>
      <c r="F20333" s="92"/>
      <c r="G20333" s="85"/>
    </row>
    <row r="20334">
      <c r="A20334" s="84"/>
      <c r="B20334" s="85"/>
      <c r="C20334" s="85"/>
      <c r="F20334" s="92"/>
      <c r="G20334" s="85"/>
    </row>
    <row r="20335">
      <c r="A20335" s="84"/>
      <c r="B20335" s="85"/>
      <c r="C20335" s="85"/>
      <c r="F20335" s="92"/>
      <c r="G20335" s="85"/>
    </row>
    <row r="20336">
      <c r="A20336" s="84"/>
      <c r="B20336" s="85"/>
      <c r="C20336" s="85"/>
      <c r="F20336" s="92"/>
      <c r="G20336" s="85"/>
    </row>
    <row r="20337">
      <c r="A20337" s="84"/>
      <c r="B20337" s="85"/>
      <c r="C20337" s="85"/>
      <c r="F20337" s="92"/>
      <c r="G20337" s="85"/>
    </row>
    <row r="20338">
      <c r="A20338" s="84"/>
      <c r="B20338" s="85"/>
      <c r="C20338" s="85"/>
      <c r="F20338" s="92"/>
      <c r="G20338" s="85"/>
    </row>
    <row r="20339">
      <c r="A20339" s="84"/>
      <c r="B20339" s="85"/>
      <c r="C20339" s="85"/>
      <c r="F20339" s="92"/>
      <c r="G20339" s="85"/>
    </row>
    <row r="20340">
      <c r="A20340" s="84"/>
      <c r="B20340" s="85"/>
      <c r="C20340" s="85"/>
      <c r="F20340" s="92"/>
      <c r="G20340" s="85"/>
    </row>
    <row r="20341">
      <c r="A20341" s="84"/>
      <c r="B20341" s="85"/>
      <c r="C20341" s="85"/>
      <c r="F20341" s="92"/>
      <c r="G20341" s="85"/>
    </row>
    <row r="20342">
      <c r="A20342" s="84"/>
      <c r="B20342" s="85"/>
      <c r="C20342" s="85"/>
      <c r="F20342" s="92"/>
      <c r="G20342" s="85"/>
    </row>
    <row r="20343">
      <c r="A20343" s="84"/>
      <c r="B20343" s="85"/>
      <c r="C20343" s="85"/>
      <c r="F20343" s="92"/>
      <c r="G20343" s="85"/>
    </row>
    <row r="20344">
      <c r="A20344" s="84"/>
      <c r="B20344" s="85"/>
      <c r="C20344" s="85"/>
      <c r="F20344" s="92"/>
      <c r="G20344" s="85"/>
    </row>
    <row r="20345">
      <c r="A20345" s="84"/>
      <c r="B20345" s="85"/>
      <c r="C20345" s="85"/>
      <c r="F20345" s="92"/>
      <c r="G20345" s="85"/>
    </row>
    <row r="20346">
      <c r="A20346" s="84"/>
      <c r="B20346" s="85"/>
      <c r="C20346" s="85"/>
      <c r="F20346" s="92"/>
      <c r="G20346" s="85"/>
    </row>
    <row r="20347">
      <c r="A20347" s="84"/>
      <c r="B20347" s="85"/>
      <c r="C20347" s="85"/>
      <c r="F20347" s="92"/>
      <c r="G20347" s="85"/>
    </row>
    <row r="20348">
      <c r="A20348" s="84"/>
      <c r="B20348" s="85"/>
      <c r="C20348" s="85"/>
      <c r="F20348" s="92"/>
      <c r="G20348" s="85"/>
    </row>
    <row r="20349">
      <c r="A20349" s="84"/>
      <c r="B20349" s="85"/>
      <c r="C20349" s="85"/>
      <c r="F20349" s="92"/>
      <c r="G20349" s="85"/>
    </row>
    <row r="20350">
      <c r="A20350" s="84"/>
      <c r="B20350" s="85"/>
      <c r="C20350" s="85"/>
      <c r="F20350" s="92"/>
      <c r="G20350" s="85"/>
    </row>
    <row r="20351">
      <c r="A20351" s="84"/>
      <c r="B20351" s="85"/>
      <c r="C20351" s="85"/>
      <c r="F20351" s="92"/>
      <c r="G20351" s="85"/>
    </row>
    <row r="20352">
      <c r="A20352" s="84"/>
      <c r="B20352" s="85"/>
      <c r="C20352" s="85"/>
      <c r="F20352" s="92"/>
      <c r="G20352" s="85"/>
    </row>
    <row r="20353">
      <c r="A20353" s="84"/>
      <c r="B20353" s="85"/>
      <c r="C20353" s="85"/>
      <c r="F20353" s="92"/>
      <c r="G20353" s="85"/>
    </row>
    <row r="20354">
      <c r="A20354" s="84"/>
      <c r="B20354" s="85"/>
      <c r="C20354" s="85"/>
      <c r="F20354" s="92"/>
      <c r="G20354" s="85"/>
    </row>
    <row r="20355">
      <c r="A20355" s="84"/>
      <c r="B20355" s="85"/>
      <c r="C20355" s="85"/>
      <c r="F20355" s="92"/>
      <c r="G20355" s="85"/>
    </row>
    <row r="20356">
      <c r="A20356" s="84"/>
      <c r="B20356" s="85"/>
      <c r="C20356" s="85"/>
      <c r="F20356" s="92"/>
      <c r="G20356" s="85"/>
    </row>
    <row r="20357">
      <c r="A20357" s="84"/>
      <c r="B20357" s="85"/>
      <c r="C20357" s="85"/>
      <c r="F20357" s="92"/>
      <c r="G20357" s="85"/>
    </row>
    <row r="20358">
      <c r="A20358" s="84"/>
      <c r="B20358" s="85"/>
      <c r="C20358" s="85"/>
      <c r="F20358" s="92"/>
      <c r="G20358" s="85"/>
    </row>
    <row r="20359">
      <c r="A20359" s="84"/>
      <c r="B20359" s="85"/>
      <c r="C20359" s="85"/>
      <c r="F20359" s="92"/>
      <c r="G20359" s="85"/>
    </row>
    <row r="20360">
      <c r="A20360" s="84"/>
      <c r="B20360" s="85"/>
      <c r="C20360" s="85"/>
      <c r="F20360" s="92"/>
      <c r="G20360" s="85"/>
    </row>
    <row r="20361">
      <c r="A20361" s="84"/>
      <c r="B20361" s="85"/>
      <c r="C20361" s="85"/>
      <c r="F20361" s="92"/>
      <c r="G20361" s="85"/>
    </row>
    <row r="20362">
      <c r="A20362" s="84"/>
      <c r="B20362" s="85"/>
      <c r="C20362" s="85"/>
      <c r="F20362" s="92"/>
      <c r="G20362" s="85"/>
    </row>
    <row r="20363">
      <c r="A20363" s="84"/>
      <c r="B20363" s="85"/>
      <c r="C20363" s="85"/>
      <c r="F20363" s="92"/>
      <c r="G20363" s="85"/>
    </row>
    <row r="20364">
      <c r="A20364" s="84"/>
      <c r="B20364" s="85"/>
      <c r="C20364" s="85"/>
      <c r="F20364" s="92"/>
      <c r="G20364" s="85"/>
    </row>
    <row r="20365">
      <c r="A20365" s="84"/>
      <c r="B20365" s="85"/>
      <c r="C20365" s="85"/>
      <c r="F20365" s="92"/>
      <c r="G20365" s="85"/>
    </row>
    <row r="20366">
      <c r="A20366" s="84"/>
      <c r="B20366" s="85"/>
      <c r="C20366" s="85"/>
      <c r="F20366" s="92"/>
      <c r="G20366" s="85"/>
    </row>
    <row r="20367">
      <c r="A20367" s="84"/>
      <c r="B20367" s="85"/>
      <c r="C20367" s="85"/>
      <c r="F20367" s="92"/>
      <c r="G20367" s="85"/>
    </row>
    <row r="20368">
      <c r="A20368" s="84"/>
      <c r="B20368" s="85"/>
      <c r="C20368" s="85"/>
      <c r="F20368" s="92"/>
      <c r="G20368" s="85"/>
    </row>
    <row r="20369">
      <c r="A20369" s="84"/>
      <c r="B20369" s="85"/>
      <c r="C20369" s="85"/>
      <c r="F20369" s="92"/>
      <c r="G20369" s="85"/>
    </row>
    <row r="20370">
      <c r="A20370" s="84"/>
      <c r="B20370" s="85"/>
      <c r="C20370" s="85"/>
      <c r="F20370" s="92"/>
      <c r="G20370" s="85"/>
    </row>
    <row r="20371">
      <c r="A20371" s="84"/>
      <c r="B20371" s="85"/>
      <c r="C20371" s="85"/>
      <c r="F20371" s="92"/>
      <c r="G20371" s="85"/>
    </row>
    <row r="20372">
      <c r="A20372" s="84"/>
      <c r="B20372" s="85"/>
      <c r="C20372" s="85"/>
      <c r="F20372" s="92"/>
      <c r="G20372" s="85"/>
    </row>
    <row r="20373">
      <c r="A20373" s="84"/>
      <c r="B20373" s="85"/>
      <c r="C20373" s="85"/>
      <c r="F20373" s="92"/>
      <c r="G20373" s="85"/>
    </row>
    <row r="20374">
      <c r="A20374" s="84"/>
      <c r="B20374" s="85"/>
      <c r="C20374" s="85"/>
      <c r="F20374" s="92"/>
      <c r="G20374" s="85"/>
    </row>
    <row r="20375">
      <c r="A20375" s="84"/>
      <c r="B20375" s="85"/>
      <c r="C20375" s="85"/>
      <c r="F20375" s="92"/>
      <c r="G20375" s="85"/>
    </row>
    <row r="20376">
      <c r="A20376" s="84"/>
      <c r="B20376" s="85"/>
      <c r="C20376" s="85"/>
      <c r="F20376" s="92"/>
      <c r="G20376" s="85"/>
    </row>
    <row r="20377">
      <c r="A20377" s="84"/>
      <c r="B20377" s="85"/>
      <c r="C20377" s="85"/>
      <c r="F20377" s="92"/>
      <c r="G20377" s="85"/>
    </row>
    <row r="20378">
      <c r="A20378" s="84"/>
      <c r="B20378" s="85"/>
      <c r="C20378" s="85"/>
      <c r="F20378" s="92"/>
      <c r="G20378" s="85"/>
    </row>
    <row r="20379">
      <c r="A20379" s="84"/>
      <c r="B20379" s="85"/>
      <c r="C20379" s="85"/>
      <c r="F20379" s="92"/>
      <c r="G20379" s="85"/>
    </row>
    <row r="20380">
      <c r="A20380" s="84"/>
      <c r="B20380" s="85"/>
      <c r="C20380" s="85"/>
      <c r="F20380" s="92"/>
      <c r="G20380" s="85"/>
    </row>
    <row r="20381">
      <c r="A20381" s="84"/>
      <c r="B20381" s="85"/>
      <c r="C20381" s="85"/>
      <c r="F20381" s="92"/>
      <c r="G20381" s="85"/>
    </row>
    <row r="20382">
      <c r="A20382" s="84"/>
      <c r="B20382" s="85"/>
      <c r="C20382" s="85"/>
      <c r="F20382" s="92"/>
      <c r="G20382" s="85"/>
    </row>
    <row r="20383">
      <c r="A20383" s="84"/>
      <c r="B20383" s="85"/>
      <c r="C20383" s="85"/>
      <c r="F20383" s="92"/>
      <c r="G20383" s="85"/>
    </row>
    <row r="20384">
      <c r="A20384" s="84"/>
      <c r="B20384" s="85"/>
      <c r="C20384" s="85"/>
      <c r="F20384" s="92"/>
      <c r="G20384" s="85"/>
    </row>
    <row r="20385">
      <c r="A20385" s="84"/>
      <c r="B20385" s="85"/>
      <c r="C20385" s="85"/>
      <c r="F20385" s="92"/>
      <c r="G20385" s="85"/>
    </row>
    <row r="20386">
      <c r="A20386" s="84"/>
      <c r="B20386" s="85"/>
      <c r="C20386" s="85"/>
      <c r="F20386" s="92"/>
      <c r="G20386" s="85"/>
    </row>
    <row r="20387">
      <c r="A20387" s="84"/>
      <c r="B20387" s="85"/>
      <c r="C20387" s="85"/>
      <c r="F20387" s="92"/>
      <c r="G20387" s="85"/>
    </row>
    <row r="20388">
      <c r="A20388" s="84"/>
      <c r="B20388" s="85"/>
      <c r="C20388" s="85"/>
      <c r="F20388" s="92"/>
      <c r="G20388" s="85"/>
    </row>
    <row r="20389">
      <c r="A20389" s="84"/>
      <c r="B20389" s="85"/>
      <c r="C20389" s="85"/>
      <c r="F20389" s="92"/>
      <c r="G20389" s="85"/>
    </row>
    <row r="20390">
      <c r="A20390" s="84"/>
      <c r="B20390" s="85"/>
      <c r="C20390" s="85"/>
      <c r="F20390" s="92"/>
      <c r="G20390" s="85"/>
    </row>
    <row r="20391">
      <c r="A20391" s="84"/>
      <c r="B20391" s="85"/>
      <c r="C20391" s="85"/>
      <c r="F20391" s="92"/>
      <c r="G20391" s="85"/>
    </row>
    <row r="20392">
      <c r="A20392" s="84"/>
      <c r="B20392" s="85"/>
      <c r="C20392" s="85"/>
      <c r="F20392" s="92"/>
      <c r="G20392" s="85"/>
    </row>
    <row r="20393">
      <c r="A20393" s="84"/>
      <c r="B20393" s="85"/>
      <c r="C20393" s="85"/>
      <c r="F20393" s="92"/>
      <c r="G20393" s="85"/>
    </row>
    <row r="20394">
      <c r="A20394" s="84"/>
      <c r="B20394" s="85"/>
      <c r="C20394" s="85"/>
      <c r="F20394" s="92"/>
      <c r="G20394" s="85"/>
    </row>
    <row r="20395">
      <c r="A20395" s="84"/>
      <c r="B20395" s="85"/>
      <c r="C20395" s="85"/>
      <c r="F20395" s="92"/>
      <c r="G20395" s="85"/>
    </row>
    <row r="20396">
      <c r="A20396" s="84"/>
      <c r="B20396" s="85"/>
      <c r="C20396" s="85"/>
      <c r="F20396" s="92"/>
      <c r="G20396" s="85"/>
    </row>
    <row r="20397">
      <c r="A20397" s="84"/>
      <c r="B20397" s="85"/>
      <c r="C20397" s="85"/>
      <c r="F20397" s="92"/>
      <c r="G20397" s="85"/>
    </row>
    <row r="20398">
      <c r="A20398" s="84"/>
      <c r="B20398" s="85"/>
      <c r="C20398" s="85"/>
      <c r="F20398" s="92"/>
      <c r="G20398" s="85"/>
    </row>
    <row r="20399">
      <c r="A20399" s="84"/>
      <c r="B20399" s="85"/>
      <c r="C20399" s="85"/>
      <c r="F20399" s="92"/>
      <c r="G20399" s="85"/>
    </row>
    <row r="20400">
      <c r="A20400" s="84"/>
      <c r="B20400" s="85"/>
      <c r="C20400" s="85"/>
      <c r="F20400" s="92"/>
      <c r="G20400" s="85"/>
    </row>
    <row r="20401">
      <c r="A20401" s="84"/>
      <c r="B20401" s="85"/>
      <c r="C20401" s="85"/>
      <c r="F20401" s="92"/>
      <c r="G20401" s="85"/>
    </row>
    <row r="20402">
      <c r="A20402" s="84"/>
      <c r="B20402" s="85"/>
      <c r="C20402" s="85"/>
      <c r="F20402" s="92"/>
      <c r="G20402" s="85"/>
    </row>
    <row r="20403">
      <c r="A20403" s="84"/>
      <c r="B20403" s="85"/>
      <c r="C20403" s="85"/>
      <c r="F20403" s="92"/>
      <c r="G20403" s="85"/>
    </row>
    <row r="20404">
      <c r="A20404" s="84"/>
      <c r="B20404" s="85"/>
      <c r="C20404" s="85"/>
      <c r="F20404" s="92"/>
      <c r="G20404" s="85"/>
    </row>
    <row r="20405">
      <c r="A20405" s="84"/>
      <c r="B20405" s="85"/>
      <c r="C20405" s="85"/>
      <c r="F20405" s="92"/>
      <c r="G20405" s="85"/>
    </row>
    <row r="20406">
      <c r="A20406" s="84"/>
      <c r="B20406" s="85"/>
      <c r="C20406" s="85"/>
      <c r="F20406" s="92"/>
      <c r="G20406" s="85"/>
    </row>
    <row r="20407">
      <c r="A20407" s="84"/>
      <c r="B20407" s="85"/>
      <c r="C20407" s="85"/>
      <c r="F20407" s="92"/>
      <c r="G20407" s="85"/>
    </row>
    <row r="20408">
      <c r="A20408" s="84"/>
      <c r="B20408" s="85"/>
      <c r="C20408" s="85"/>
      <c r="F20408" s="92"/>
      <c r="G20408" s="85"/>
    </row>
    <row r="20409">
      <c r="A20409" s="84"/>
      <c r="B20409" s="85"/>
      <c r="C20409" s="85"/>
      <c r="F20409" s="92"/>
      <c r="G20409" s="85"/>
    </row>
    <row r="20410">
      <c r="A20410" s="84"/>
      <c r="B20410" s="85"/>
      <c r="C20410" s="85"/>
      <c r="F20410" s="92"/>
      <c r="G20410" s="85"/>
    </row>
    <row r="20411">
      <c r="A20411" s="84"/>
      <c r="B20411" s="85"/>
      <c r="C20411" s="85"/>
      <c r="F20411" s="92"/>
      <c r="G20411" s="85"/>
    </row>
    <row r="20412">
      <c r="A20412" s="84"/>
      <c r="B20412" s="85"/>
      <c r="C20412" s="85"/>
      <c r="F20412" s="92"/>
      <c r="G20412" s="85"/>
    </row>
    <row r="20413">
      <c r="A20413" s="84"/>
      <c r="B20413" s="85"/>
      <c r="C20413" s="85"/>
      <c r="F20413" s="92"/>
      <c r="G20413" s="85"/>
    </row>
    <row r="20414">
      <c r="A20414" s="84"/>
      <c r="B20414" s="85"/>
      <c r="C20414" s="85"/>
      <c r="F20414" s="92"/>
      <c r="G20414" s="85"/>
    </row>
    <row r="20415">
      <c r="A20415" s="84"/>
      <c r="B20415" s="85"/>
      <c r="C20415" s="85"/>
      <c r="F20415" s="92"/>
      <c r="G20415" s="85"/>
    </row>
    <row r="20416">
      <c r="A20416" s="84"/>
      <c r="B20416" s="85"/>
      <c r="C20416" s="85"/>
      <c r="F20416" s="92"/>
      <c r="G20416" s="85"/>
    </row>
    <row r="20417">
      <c r="A20417" s="84"/>
      <c r="B20417" s="85"/>
      <c r="C20417" s="85"/>
      <c r="F20417" s="92"/>
      <c r="G20417" s="85"/>
    </row>
    <row r="20418">
      <c r="A20418" s="84"/>
      <c r="B20418" s="85"/>
      <c r="C20418" s="85"/>
      <c r="F20418" s="92"/>
      <c r="G20418" s="85"/>
    </row>
    <row r="20419">
      <c r="A20419" s="84"/>
      <c r="B20419" s="85"/>
      <c r="C20419" s="85"/>
      <c r="F20419" s="92"/>
      <c r="G20419" s="85"/>
    </row>
    <row r="20420">
      <c r="A20420" s="84"/>
      <c r="B20420" s="85"/>
      <c r="C20420" s="85"/>
      <c r="F20420" s="92"/>
      <c r="G20420" s="85"/>
    </row>
    <row r="20421">
      <c r="A20421" s="84"/>
      <c r="B20421" s="85"/>
      <c r="C20421" s="85"/>
      <c r="F20421" s="92"/>
      <c r="G20421" s="85"/>
    </row>
    <row r="20422">
      <c r="A20422" s="84"/>
      <c r="B20422" s="85"/>
      <c r="C20422" s="85"/>
      <c r="F20422" s="92"/>
      <c r="G20422" s="85"/>
    </row>
    <row r="20423">
      <c r="A20423" s="84"/>
      <c r="B20423" s="85"/>
      <c r="C20423" s="85"/>
      <c r="F20423" s="92"/>
      <c r="G20423" s="85"/>
    </row>
    <row r="20424">
      <c r="A20424" s="84"/>
      <c r="B20424" s="85"/>
      <c r="C20424" s="85"/>
      <c r="F20424" s="92"/>
      <c r="G20424" s="85"/>
    </row>
    <row r="20425">
      <c r="A20425" s="84"/>
      <c r="B20425" s="85"/>
      <c r="C20425" s="85"/>
      <c r="F20425" s="92"/>
      <c r="G20425" s="85"/>
    </row>
    <row r="20426">
      <c r="A20426" s="84"/>
      <c r="B20426" s="85"/>
      <c r="C20426" s="85"/>
      <c r="F20426" s="92"/>
      <c r="G20426" s="85"/>
    </row>
    <row r="20427">
      <c r="A20427" s="84"/>
      <c r="B20427" s="85"/>
      <c r="C20427" s="85"/>
      <c r="F20427" s="92"/>
      <c r="G20427" s="85"/>
    </row>
    <row r="20428">
      <c r="A20428" s="84"/>
      <c r="B20428" s="85"/>
      <c r="C20428" s="85"/>
      <c r="F20428" s="92"/>
      <c r="G20428" s="85"/>
    </row>
    <row r="20429">
      <c r="A20429" s="84"/>
      <c r="B20429" s="85"/>
      <c r="C20429" s="85"/>
      <c r="F20429" s="92"/>
      <c r="G20429" s="85"/>
    </row>
    <row r="20430">
      <c r="A20430" s="84"/>
      <c r="B20430" s="85"/>
      <c r="C20430" s="85"/>
      <c r="F20430" s="92"/>
      <c r="G20430" s="85"/>
    </row>
    <row r="20431">
      <c r="A20431" s="84"/>
      <c r="B20431" s="85"/>
      <c r="C20431" s="85"/>
      <c r="F20431" s="92"/>
      <c r="G20431" s="85"/>
    </row>
    <row r="20432">
      <c r="A20432" s="84"/>
      <c r="B20432" s="85"/>
      <c r="C20432" s="85"/>
      <c r="F20432" s="92"/>
      <c r="G20432" s="85"/>
    </row>
    <row r="20433">
      <c r="A20433" s="84"/>
      <c r="B20433" s="85"/>
      <c r="C20433" s="85"/>
      <c r="F20433" s="92"/>
      <c r="G20433" s="85"/>
    </row>
    <row r="20434">
      <c r="A20434" s="84"/>
      <c r="B20434" s="85"/>
      <c r="C20434" s="85"/>
      <c r="F20434" s="92"/>
      <c r="G20434" s="85"/>
    </row>
    <row r="20435">
      <c r="A20435" s="84"/>
      <c r="B20435" s="85"/>
      <c r="C20435" s="85"/>
      <c r="F20435" s="92"/>
      <c r="G20435" s="85"/>
    </row>
    <row r="20436">
      <c r="A20436" s="84"/>
      <c r="B20436" s="85"/>
      <c r="C20436" s="85"/>
      <c r="F20436" s="92"/>
      <c r="G20436" s="85"/>
    </row>
    <row r="20437">
      <c r="A20437" s="84"/>
      <c r="B20437" s="85"/>
      <c r="C20437" s="85"/>
      <c r="F20437" s="92"/>
      <c r="G20437" s="85"/>
    </row>
    <row r="20438">
      <c r="A20438" s="84"/>
      <c r="B20438" s="85"/>
      <c r="C20438" s="85"/>
      <c r="F20438" s="92"/>
      <c r="G20438" s="85"/>
    </row>
    <row r="20439">
      <c r="A20439" s="84"/>
      <c r="B20439" s="85"/>
      <c r="C20439" s="85"/>
      <c r="F20439" s="92"/>
      <c r="G20439" s="85"/>
    </row>
    <row r="20440">
      <c r="A20440" s="84"/>
      <c r="B20440" s="85"/>
      <c r="C20440" s="85"/>
      <c r="F20440" s="92"/>
      <c r="G20440" s="85"/>
    </row>
    <row r="20441">
      <c r="A20441" s="84"/>
      <c r="B20441" s="85"/>
      <c r="C20441" s="85"/>
      <c r="F20441" s="92"/>
      <c r="G20441" s="85"/>
    </row>
    <row r="20442">
      <c r="A20442" s="84"/>
      <c r="B20442" s="85"/>
      <c r="C20442" s="85"/>
      <c r="F20442" s="92"/>
      <c r="G20442" s="85"/>
    </row>
    <row r="20443">
      <c r="A20443" s="84"/>
      <c r="B20443" s="85"/>
      <c r="C20443" s="85"/>
      <c r="F20443" s="92"/>
      <c r="G20443" s="85"/>
    </row>
    <row r="20444">
      <c r="A20444" s="84"/>
      <c r="B20444" s="85"/>
      <c r="C20444" s="85"/>
      <c r="F20444" s="92"/>
      <c r="G20444" s="85"/>
    </row>
    <row r="20445">
      <c r="A20445" s="84"/>
      <c r="B20445" s="85"/>
      <c r="C20445" s="85"/>
      <c r="F20445" s="92"/>
      <c r="G20445" s="85"/>
    </row>
    <row r="20446">
      <c r="A20446" s="84"/>
      <c r="B20446" s="85"/>
      <c r="C20446" s="85"/>
      <c r="F20446" s="92"/>
      <c r="G20446" s="85"/>
    </row>
    <row r="20447">
      <c r="A20447" s="84"/>
      <c r="B20447" s="85"/>
      <c r="C20447" s="85"/>
      <c r="F20447" s="92"/>
      <c r="G20447" s="85"/>
    </row>
    <row r="20448">
      <c r="A20448" s="84"/>
      <c r="B20448" s="85"/>
      <c r="C20448" s="85"/>
      <c r="F20448" s="92"/>
      <c r="G20448" s="85"/>
    </row>
    <row r="20449">
      <c r="A20449" s="84"/>
      <c r="B20449" s="85"/>
      <c r="C20449" s="85"/>
      <c r="F20449" s="92"/>
      <c r="G20449" s="85"/>
    </row>
    <row r="20450">
      <c r="A20450" s="84"/>
      <c r="B20450" s="85"/>
      <c r="C20450" s="85"/>
      <c r="F20450" s="92"/>
      <c r="G20450" s="85"/>
    </row>
    <row r="20451">
      <c r="A20451" s="84"/>
      <c r="B20451" s="85"/>
      <c r="C20451" s="85"/>
      <c r="F20451" s="92"/>
      <c r="G20451" s="85"/>
    </row>
    <row r="20452">
      <c r="A20452" s="84"/>
      <c r="B20452" s="85"/>
      <c r="C20452" s="85"/>
      <c r="F20452" s="92"/>
      <c r="G20452" s="85"/>
    </row>
    <row r="20453">
      <c r="A20453" s="84"/>
      <c r="B20453" s="85"/>
      <c r="C20453" s="85"/>
      <c r="F20453" s="92"/>
      <c r="G20453" s="85"/>
    </row>
    <row r="20454">
      <c r="A20454" s="84"/>
      <c r="B20454" s="85"/>
      <c r="C20454" s="85"/>
      <c r="F20454" s="92"/>
      <c r="G20454" s="85"/>
    </row>
    <row r="20455">
      <c r="A20455" s="84"/>
      <c r="B20455" s="85"/>
      <c r="C20455" s="85"/>
      <c r="F20455" s="92"/>
      <c r="G20455" s="85"/>
    </row>
    <row r="20456">
      <c r="A20456" s="84"/>
      <c r="B20456" s="85"/>
      <c r="C20456" s="85"/>
      <c r="F20456" s="92"/>
      <c r="G20456" s="85"/>
    </row>
    <row r="20457">
      <c r="A20457" s="84"/>
      <c r="B20457" s="85"/>
      <c r="C20457" s="85"/>
      <c r="F20457" s="92"/>
      <c r="G20457" s="85"/>
    </row>
    <row r="20458">
      <c r="A20458" s="84"/>
      <c r="B20458" s="85"/>
      <c r="C20458" s="85"/>
      <c r="F20458" s="92"/>
      <c r="G20458" s="85"/>
    </row>
    <row r="20459">
      <c r="A20459" s="84"/>
      <c r="B20459" s="85"/>
      <c r="C20459" s="85"/>
      <c r="F20459" s="92"/>
      <c r="G20459" s="85"/>
    </row>
    <row r="20460">
      <c r="A20460" s="84"/>
      <c r="B20460" s="85"/>
      <c r="C20460" s="85"/>
      <c r="F20460" s="92"/>
      <c r="G20460" s="85"/>
    </row>
    <row r="20461">
      <c r="A20461" s="84"/>
      <c r="B20461" s="85"/>
      <c r="C20461" s="85"/>
      <c r="F20461" s="92"/>
      <c r="G20461" s="85"/>
    </row>
    <row r="20462">
      <c r="A20462" s="84"/>
      <c r="B20462" s="85"/>
      <c r="C20462" s="85"/>
      <c r="F20462" s="92"/>
      <c r="G20462" s="85"/>
    </row>
    <row r="20463">
      <c r="A20463" s="84"/>
      <c r="B20463" s="85"/>
      <c r="C20463" s="85"/>
      <c r="F20463" s="92"/>
      <c r="G20463" s="85"/>
    </row>
    <row r="20464">
      <c r="A20464" s="84"/>
      <c r="B20464" s="85"/>
      <c r="C20464" s="85"/>
      <c r="F20464" s="92"/>
      <c r="G20464" s="85"/>
    </row>
    <row r="20465">
      <c r="A20465" s="84"/>
      <c r="B20465" s="85"/>
      <c r="C20465" s="85"/>
      <c r="F20465" s="92"/>
      <c r="G20465" s="85"/>
    </row>
    <row r="20466">
      <c r="A20466" s="84"/>
      <c r="B20466" s="85"/>
      <c r="C20466" s="85"/>
      <c r="F20466" s="92"/>
      <c r="G20466" s="85"/>
    </row>
    <row r="20467">
      <c r="A20467" s="84"/>
      <c r="B20467" s="85"/>
      <c r="C20467" s="85"/>
      <c r="F20467" s="92"/>
      <c r="G20467" s="85"/>
    </row>
    <row r="20468">
      <c r="A20468" s="84"/>
      <c r="B20468" s="85"/>
      <c r="C20468" s="85"/>
      <c r="F20468" s="92"/>
      <c r="G20468" s="85"/>
    </row>
    <row r="20469">
      <c r="A20469" s="84"/>
      <c r="B20469" s="85"/>
      <c r="C20469" s="85"/>
      <c r="F20469" s="92"/>
      <c r="G20469" s="85"/>
    </row>
    <row r="20470">
      <c r="A20470" s="84"/>
      <c r="B20470" s="85"/>
      <c r="C20470" s="85"/>
      <c r="F20470" s="92"/>
      <c r="G20470" s="85"/>
    </row>
    <row r="20471">
      <c r="A20471" s="84"/>
      <c r="B20471" s="85"/>
      <c r="C20471" s="85"/>
      <c r="F20471" s="92"/>
      <c r="G20471" s="85"/>
    </row>
    <row r="20472">
      <c r="A20472" s="84"/>
      <c r="B20472" s="85"/>
      <c r="C20472" s="85"/>
      <c r="F20472" s="92"/>
      <c r="G20472" s="85"/>
    </row>
    <row r="20473">
      <c r="A20473" s="84"/>
      <c r="B20473" s="85"/>
      <c r="C20473" s="85"/>
      <c r="F20473" s="92"/>
      <c r="G20473" s="85"/>
    </row>
    <row r="20474">
      <c r="A20474" s="84"/>
      <c r="B20474" s="85"/>
      <c r="C20474" s="85"/>
      <c r="F20474" s="92"/>
      <c r="G20474" s="85"/>
    </row>
    <row r="20475">
      <c r="A20475" s="84"/>
      <c r="B20475" s="85"/>
      <c r="C20475" s="85"/>
      <c r="F20475" s="92"/>
      <c r="G20475" s="85"/>
    </row>
    <row r="20476">
      <c r="A20476" s="84"/>
      <c r="B20476" s="85"/>
      <c r="C20476" s="85"/>
      <c r="F20476" s="92"/>
      <c r="G20476" s="85"/>
    </row>
    <row r="20477">
      <c r="A20477" s="84"/>
      <c r="B20477" s="85"/>
      <c r="C20477" s="85"/>
      <c r="F20477" s="92"/>
      <c r="G20477" s="85"/>
    </row>
    <row r="20478">
      <c r="A20478" s="84"/>
      <c r="B20478" s="85"/>
      <c r="C20478" s="85"/>
      <c r="F20478" s="92"/>
      <c r="G20478" s="85"/>
    </row>
    <row r="20479">
      <c r="A20479" s="84"/>
      <c r="B20479" s="85"/>
      <c r="C20479" s="85"/>
      <c r="F20479" s="92"/>
      <c r="G20479" s="85"/>
    </row>
    <row r="20480">
      <c r="A20480" s="84"/>
      <c r="B20480" s="85"/>
      <c r="C20480" s="85"/>
      <c r="F20480" s="92"/>
      <c r="G20480" s="85"/>
    </row>
    <row r="20481">
      <c r="A20481" s="84"/>
      <c r="B20481" s="85"/>
      <c r="C20481" s="85"/>
      <c r="F20481" s="92"/>
      <c r="G20481" s="85"/>
    </row>
    <row r="20482">
      <c r="A20482" s="84"/>
      <c r="B20482" s="85"/>
      <c r="C20482" s="85"/>
      <c r="F20482" s="92"/>
      <c r="G20482" s="85"/>
    </row>
    <row r="20483">
      <c r="A20483" s="84"/>
      <c r="B20483" s="85"/>
      <c r="C20483" s="85"/>
      <c r="F20483" s="92"/>
      <c r="G20483" s="85"/>
    </row>
    <row r="20484">
      <c r="A20484" s="84"/>
      <c r="B20484" s="85"/>
      <c r="C20484" s="85"/>
      <c r="F20484" s="92"/>
      <c r="G20484" s="85"/>
    </row>
    <row r="20485">
      <c r="A20485" s="84"/>
      <c r="B20485" s="85"/>
      <c r="C20485" s="85"/>
      <c r="F20485" s="92"/>
      <c r="G20485" s="85"/>
    </row>
    <row r="20486">
      <c r="A20486" s="84"/>
      <c r="B20486" s="85"/>
      <c r="C20486" s="85"/>
      <c r="F20486" s="92"/>
      <c r="G20486" s="85"/>
    </row>
    <row r="20487">
      <c r="A20487" s="84"/>
      <c r="B20487" s="85"/>
      <c r="C20487" s="85"/>
      <c r="F20487" s="92"/>
      <c r="G20487" s="85"/>
    </row>
    <row r="20488">
      <c r="A20488" s="84"/>
      <c r="B20488" s="85"/>
      <c r="C20488" s="85"/>
      <c r="F20488" s="92"/>
      <c r="G20488" s="85"/>
    </row>
    <row r="20489">
      <c r="A20489" s="84"/>
      <c r="B20489" s="85"/>
      <c r="C20489" s="85"/>
      <c r="F20489" s="92"/>
      <c r="G20489" s="85"/>
    </row>
    <row r="20490">
      <c r="A20490" s="84"/>
      <c r="B20490" s="85"/>
      <c r="C20490" s="85"/>
      <c r="F20490" s="92"/>
      <c r="G20490" s="85"/>
    </row>
    <row r="20491">
      <c r="A20491" s="84"/>
      <c r="B20491" s="85"/>
      <c r="C20491" s="85"/>
      <c r="F20491" s="92"/>
      <c r="G20491" s="85"/>
    </row>
    <row r="20492">
      <c r="A20492" s="84"/>
      <c r="B20492" s="85"/>
      <c r="C20492" s="85"/>
      <c r="F20492" s="92"/>
      <c r="G20492" s="85"/>
    </row>
    <row r="20493">
      <c r="A20493" s="84"/>
      <c r="B20493" s="85"/>
      <c r="C20493" s="85"/>
      <c r="F20493" s="92"/>
      <c r="G20493" s="85"/>
    </row>
    <row r="20494">
      <c r="A20494" s="84"/>
      <c r="B20494" s="85"/>
      <c r="C20494" s="85"/>
      <c r="F20494" s="92"/>
      <c r="G20494" s="85"/>
    </row>
    <row r="20495">
      <c r="A20495" s="84"/>
      <c r="B20495" s="85"/>
      <c r="C20495" s="85"/>
      <c r="F20495" s="92"/>
      <c r="G20495" s="85"/>
    </row>
    <row r="20496">
      <c r="A20496" s="84"/>
      <c r="B20496" s="85"/>
      <c r="C20496" s="85"/>
      <c r="F20496" s="92"/>
      <c r="G20496" s="85"/>
    </row>
    <row r="20497">
      <c r="A20497" s="84"/>
      <c r="B20497" s="85"/>
      <c r="C20497" s="85"/>
      <c r="F20497" s="92"/>
      <c r="G20497" s="85"/>
    </row>
    <row r="20498">
      <c r="A20498" s="84"/>
      <c r="B20498" s="85"/>
      <c r="C20498" s="85"/>
      <c r="F20498" s="92"/>
      <c r="G20498" s="85"/>
    </row>
    <row r="20499">
      <c r="A20499" s="84"/>
      <c r="B20499" s="85"/>
      <c r="C20499" s="85"/>
      <c r="F20499" s="92"/>
      <c r="G20499" s="85"/>
    </row>
    <row r="20500">
      <c r="A20500" s="84"/>
      <c r="B20500" s="85"/>
      <c r="C20500" s="85"/>
      <c r="F20500" s="92"/>
      <c r="G20500" s="85"/>
    </row>
    <row r="20501">
      <c r="A20501" s="84"/>
      <c r="B20501" s="85"/>
      <c r="C20501" s="85"/>
      <c r="F20501" s="92"/>
      <c r="G20501" s="85"/>
    </row>
    <row r="20502">
      <c r="A20502" s="84"/>
      <c r="B20502" s="85"/>
      <c r="C20502" s="85"/>
      <c r="F20502" s="92"/>
      <c r="G20502" s="85"/>
    </row>
    <row r="20503">
      <c r="A20503" s="84"/>
      <c r="B20503" s="85"/>
      <c r="C20503" s="85"/>
      <c r="F20503" s="92"/>
      <c r="G20503" s="85"/>
    </row>
    <row r="20504">
      <c r="A20504" s="84"/>
      <c r="B20504" s="85"/>
      <c r="C20504" s="85"/>
      <c r="F20504" s="92"/>
      <c r="G20504" s="85"/>
    </row>
    <row r="20505">
      <c r="A20505" s="84"/>
      <c r="B20505" s="85"/>
      <c r="C20505" s="85"/>
      <c r="F20505" s="92"/>
      <c r="G20505" s="85"/>
    </row>
    <row r="20506">
      <c r="A20506" s="84"/>
      <c r="B20506" s="85"/>
      <c r="C20506" s="85"/>
      <c r="F20506" s="92"/>
      <c r="G20506" s="85"/>
    </row>
    <row r="20507">
      <c r="A20507" s="84"/>
      <c r="B20507" s="85"/>
      <c r="C20507" s="85"/>
      <c r="F20507" s="92"/>
      <c r="G20507" s="85"/>
    </row>
    <row r="20508">
      <c r="A20508" s="84"/>
      <c r="B20508" s="85"/>
      <c r="C20508" s="85"/>
      <c r="F20508" s="92"/>
      <c r="G20508" s="85"/>
    </row>
    <row r="20509">
      <c r="A20509" s="84"/>
      <c r="B20509" s="85"/>
      <c r="C20509" s="85"/>
      <c r="F20509" s="92"/>
      <c r="G20509" s="85"/>
    </row>
    <row r="20510">
      <c r="A20510" s="84"/>
      <c r="B20510" s="85"/>
      <c r="C20510" s="85"/>
      <c r="F20510" s="92"/>
      <c r="G20510" s="85"/>
    </row>
    <row r="20511">
      <c r="A20511" s="84"/>
      <c r="B20511" s="85"/>
      <c r="C20511" s="85"/>
      <c r="F20511" s="92"/>
      <c r="G20511" s="85"/>
    </row>
    <row r="20512">
      <c r="A20512" s="84"/>
      <c r="B20512" s="85"/>
      <c r="C20512" s="85"/>
      <c r="F20512" s="92"/>
      <c r="G20512" s="85"/>
    </row>
    <row r="20513">
      <c r="A20513" s="84"/>
      <c r="B20513" s="85"/>
      <c r="C20513" s="85"/>
      <c r="F20513" s="92"/>
      <c r="G20513" s="85"/>
    </row>
    <row r="20514">
      <c r="A20514" s="84"/>
      <c r="B20514" s="85"/>
      <c r="C20514" s="85"/>
      <c r="F20514" s="92"/>
      <c r="G20514" s="85"/>
    </row>
    <row r="20515">
      <c r="A20515" s="84"/>
      <c r="B20515" s="85"/>
      <c r="C20515" s="85"/>
      <c r="F20515" s="92"/>
      <c r="G20515" s="85"/>
    </row>
    <row r="20516">
      <c r="A20516" s="84"/>
      <c r="B20516" s="85"/>
      <c r="C20516" s="85"/>
      <c r="F20516" s="92"/>
      <c r="G20516" s="85"/>
    </row>
    <row r="20517">
      <c r="A20517" s="84"/>
      <c r="B20517" s="85"/>
      <c r="C20517" s="85"/>
      <c r="F20517" s="92"/>
      <c r="G20517" s="85"/>
    </row>
    <row r="20518">
      <c r="A20518" s="84"/>
      <c r="B20518" s="85"/>
      <c r="C20518" s="85"/>
      <c r="F20518" s="92"/>
      <c r="G20518" s="85"/>
    </row>
    <row r="20519">
      <c r="A20519" s="84"/>
      <c r="B20519" s="85"/>
      <c r="C20519" s="85"/>
      <c r="F20519" s="92"/>
      <c r="G20519" s="85"/>
    </row>
    <row r="20520">
      <c r="A20520" s="84"/>
      <c r="B20520" s="85"/>
      <c r="C20520" s="85"/>
      <c r="F20520" s="92"/>
      <c r="G20520" s="85"/>
    </row>
    <row r="20521">
      <c r="A20521" s="84"/>
      <c r="B20521" s="85"/>
      <c r="C20521" s="85"/>
      <c r="F20521" s="92"/>
      <c r="G20521" s="85"/>
    </row>
    <row r="20522">
      <c r="A20522" s="84"/>
      <c r="B20522" s="85"/>
      <c r="C20522" s="85"/>
      <c r="F20522" s="92"/>
      <c r="G20522" s="85"/>
    </row>
    <row r="20523">
      <c r="A20523" s="84"/>
      <c r="B20523" s="85"/>
      <c r="C20523" s="85"/>
      <c r="F20523" s="92"/>
      <c r="G20523" s="85"/>
    </row>
    <row r="20524">
      <c r="A20524" s="84"/>
      <c r="B20524" s="85"/>
      <c r="C20524" s="85"/>
      <c r="F20524" s="92"/>
      <c r="G20524" s="85"/>
    </row>
    <row r="20525">
      <c r="A20525" s="84"/>
      <c r="B20525" s="85"/>
      <c r="C20525" s="85"/>
      <c r="F20525" s="92"/>
      <c r="G20525" s="85"/>
    </row>
    <row r="20526">
      <c r="A20526" s="84"/>
      <c r="B20526" s="85"/>
      <c r="C20526" s="85"/>
      <c r="F20526" s="92"/>
      <c r="G20526" s="85"/>
    </row>
    <row r="20527">
      <c r="A20527" s="84"/>
      <c r="B20527" s="85"/>
      <c r="C20527" s="85"/>
      <c r="F20527" s="92"/>
      <c r="G20527" s="85"/>
    </row>
    <row r="20528">
      <c r="A20528" s="84"/>
      <c r="B20528" s="85"/>
      <c r="C20528" s="85"/>
      <c r="F20528" s="92"/>
      <c r="G20528" s="85"/>
    </row>
    <row r="20529">
      <c r="A20529" s="84"/>
      <c r="B20529" s="85"/>
      <c r="C20529" s="85"/>
      <c r="F20529" s="92"/>
      <c r="G20529" s="85"/>
    </row>
    <row r="20530">
      <c r="A20530" s="84"/>
      <c r="B20530" s="85"/>
      <c r="C20530" s="85"/>
      <c r="F20530" s="92"/>
      <c r="G20530" s="85"/>
    </row>
    <row r="20531">
      <c r="A20531" s="84"/>
      <c r="B20531" s="85"/>
      <c r="C20531" s="85"/>
      <c r="F20531" s="92"/>
      <c r="G20531" s="85"/>
    </row>
    <row r="20532">
      <c r="A20532" s="84"/>
      <c r="B20532" s="85"/>
      <c r="C20532" s="85"/>
      <c r="F20532" s="92"/>
      <c r="G20532" s="85"/>
    </row>
    <row r="20533">
      <c r="A20533" s="84"/>
      <c r="B20533" s="85"/>
      <c r="C20533" s="85"/>
      <c r="F20533" s="92"/>
      <c r="G20533" s="85"/>
    </row>
    <row r="20534">
      <c r="A20534" s="84"/>
      <c r="B20534" s="85"/>
      <c r="C20534" s="85"/>
      <c r="F20534" s="92"/>
      <c r="G20534" s="85"/>
    </row>
    <row r="20535">
      <c r="A20535" s="84"/>
      <c r="B20535" s="85"/>
      <c r="C20535" s="85"/>
      <c r="F20535" s="92"/>
      <c r="G20535" s="85"/>
    </row>
    <row r="20536">
      <c r="A20536" s="84"/>
      <c r="B20536" s="85"/>
      <c r="C20536" s="85"/>
      <c r="F20536" s="92"/>
      <c r="G20536" s="85"/>
    </row>
    <row r="20537">
      <c r="A20537" s="84"/>
      <c r="B20537" s="85"/>
      <c r="C20537" s="85"/>
      <c r="F20537" s="92"/>
      <c r="G20537" s="85"/>
    </row>
    <row r="20538">
      <c r="A20538" s="84"/>
      <c r="B20538" s="85"/>
      <c r="C20538" s="85"/>
      <c r="F20538" s="92"/>
      <c r="G20538" s="85"/>
    </row>
    <row r="20539">
      <c r="A20539" s="84"/>
      <c r="B20539" s="85"/>
      <c r="C20539" s="85"/>
      <c r="F20539" s="92"/>
      <c r="G20539" s="85"/>
    </row>
    <row r="20540">
      <c r="A20540" s="84"/>
      <c r="B20540" s="85"/>
      <c r="C20540" s="85"/>
      <c r="F20540" s="92"/>
      <c r="G20540" s="85"/>
    </row>
    <row r="20541">
      <c r="A20541" s="84"/>
      <c r="B20541" s="85"/>
      <c r="C20541" s="85"/>
      <c r="F20541" s="92"/>
      <c r="G20541" s="85"/>
    </row>
    <row r="20542">
      <c r="A20542" s="84"/>
      <c r="B20542" s="85"/>
      <c r="C20542" s="85"/>
      <c r="F20542" s="92"/>
      <c r="G20542" s="85"/>
    </row>
  </sheetData>
  <autoFilter ref="$A$1:$G$1250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0"/>
    <col customWidth="1" min="2" max="2" width="46.75"/>
    <col customWidth="1" min="3" max="3" width="8.13"/>
    <col customWidth="1" min="5" max="5" width="22.25"/>
    <col customWidth="1" min="6" max="6" width="20.13"/>
    <col customWidth="1" min="7" max="7" width="18.5"/>
    <col customWidth="1" min="8" max="8" width="31.0"/>
    <col customWidth="1" min="9" max="9" width="83.13"/>
  </cols>
  <sheetData>
    <row r="1" ht="39.0" customHeight="1">
      <c r="A1" s="82" t="s">
        <v>29</v>
      </c>
      <c r="B1" s="83" t="s">
        <v>30</v>
      </c>
      <c r="C1" s="82" t="s">
        <v>31</v>
      </c>
      <c r="D1" s="83" t="s">
        <v>32</v>
      </c>
      <c r="E1" s="83" t="s">
        <v>33</v>
      </c>
      <c r="F1" s="82" t="s">
        <v>34</v>
      </c>
      <c r="G1" s="83" t="s">
        <v>35</v>
      </c>
      <c r="H1" s="83" t="s">
        <v>36</v>
      </c>
      <c r="I1" s="83" t="s">
        <v>37</v>
      </c>
      <c r="J1" s="83"/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</row>
    <row r="2">
      <c r="A2" s="87">
        <f t="array" ref="A2:I20542">SORT('materiais permanenteconsumo'!A2:I2790, 6, TRUE, 2, TRUE)</f>
        <v>825</v>
      </c>
      <c r="B2" s="87" t="s">
        <v>38</v>
      </c>
      <c r="C2" s="93">
        <v>1.0</v>
      </c>
      <c r="D2" s="87" t="s">
        <v>39</v>
      </c>
      <c r="E2" s="87" t="s">
        <v>40</v>
      </c>
      <c r="F2" s="87" t="s">
        <v>41</v>
      </c>
      <c r="G2" s="94">
        <v>1.4094347E7</v>
      </c>
      <c r="H2" s="87"/>
      <c r="I2" s="87"/>
    </row>
    <row r="3">
      <c r="A3" s="87">
        <v>810.0</v>
      </c>
      <c r="B3" s="87" t="s">
        <v>42</v>
      </c>
      <c r="C3" s="93">
        <v>2.0</v>
      </c>
      <c r="D3" s="87" t="s">
        <v>39</v>
      </c>
      <c r="E3" s="87" t="s">
        <v>40</v>
      </c>
      <c r="F3" s="87" t="s">
        <v>41</v>
      </c>
      <c r="G3" s="94"/>
      <c r="H3" s="87"/>
      <c r="I3" s="87"/>
    </row>
    <row r="4">
      <c r="A4" s="87">
        <v>811.0</v>
      </c>
      <c r="B4" s="87" t="s">
        <v>43</v>
      </c>
      <c r="C4" s="93">
        <v>2.0</v>
      </c>
      <c r="D4" s="87" t="s">
        <v>39</v>
      </c>
      <c r="E4" s="87" t="s">
        <v>40</v>
      </c>
      <c r="F4" s="87" t="s">
        <v>41</v>
      </c>
      <c r="G4" s="94">
        <v>46086.0</v>
      </c>
      <c r="H4" s="87"/>
      <c r="I4" s="87"/>
    </row>
    <row r="5">
      <c r="A5" s="87">
        <v>812.0</v>
      </c>
      <c r="B5" s="87" t="s">
        <v>44</v>
      </c>
      <c r="C5" s="93">
        <v>3.0</v>
      </c>
      <c r="D5" s="87" t="s">
        <v>39</v>
      </c>
      <c r="E5" s="87" t="s">
        <v>40</v>
      </c>
      <c r="F5" s="87" t="s">
        <v>41</v>
      </c>
      <c r="G5" s="94">
        <v>46086.0</v>
      </c>
      <c r="H5" s="87"/>
      <c r="I5" s="87"/>
    </row>
    <row r="6">
      <c r="A6" s="87">
        <v>372.0</v>
      </c>
      <c r="B6" s="87" t="s">
        <v>45</v>
      </c>
      <c r="C6" s="93">
        <v>109.0</v>
      </c>
      <c r="D6" s="87" t="s">
        <v>39</v>
      </c>
      <c r="E6" s="87" t="s">
        <v>40</v>
      </c>
      <c r="F6" s="87" t="s">
        <v>41</v>
      </c>
      <c r="G6" s="94">
        <v>45778.0</v>
      </c>
      <c r="H6" s="87"/>
      <c r="I6" s="87"/>
    </row>
    <row r="7">
      <c r="A7" s="87">
        <v>806.0</v>
      </c>
      <c r="B7" s="87" t="s">
        <v>45</v>
      </c>
      <c r="C7" s="93">
        <v>20.0</v>
      </c>
      <c r="D7" s="87" t="s">
        <v>39</v>
      </c>
      <c r="E7" s="87" t="s">
        <v>40</v>
      </c>
      <c r="F7" s="87" t="s">
        <v>41</v>
      </c>
      <c r="G7" s="94">
        <v>46083.0</v>
      </c>
      <c r="H7" s="87"/>
      <c r="I7" s="87"/>
    </row>
    <row r="8">
      <c r="A8" s="87">
        <v>373.0</v>
      </c>
      <c r="B8" s="87" t="s">
        <v>46</v>
      </c>
      <c r="C8" s="93">
        <v>63.0</v>
      </c>
      <c r="D8" s="87" t="s">
        <v>39</v>
      </c>
      <c r="E8" s="87" t="s">
        <v>40</v>
      </c>
      <c r="F8" s="87" t="s">
        <v>41</v>
      </c>
      <c r="G8" s="94">
        <v>45778.0</v>
      </c>
      <c r="H8" s="87"/>
      <c r="I8" s="87"/>
    </row>
    <row r="9">
      <c r="A9" s="87">
        <v>803.0</v>
      </c>
      <c r="B9" s="87" t="s">
        <v>46</v>
      </c>
      <c r="C9" s="93">
        <v>20.0</v>
      </c>
      <c r="D9" s="87" t="s">
        <v>39</v>
      </c>
      <c r="E9" s="87" t="s">
        <v>40</v>
      </c>
      <c r="F9" s="87" t="s">
        <v>41</v>
      </c>
      <c r="G9" s="94">
        <v>46083.0</v>
      </c>
      <c r="H9" s="87"/>
      <c r="I9" s="87"/>
    </row>
    <row r="10">
      <c r="A10" s="87">
        <v>374.0</v>
      </c>
      <c r="B10" s="87" t="s">
        <v>47</v>
      </c>
      <c r="C10" s="93">
        <v>17.0</v>
      </c>
      <c r="D10" s="87" t="s">
        <v>39</v>
      </c>
      <c r="E10" s="87" t="s">
        <v>40</v>
      </c>
      <c r="F10" s="87" t="s">
        <v>41</v>
      </c>
      <c r="G10" s="94">
        <v>45778.0</v>
      </c>
      <c r="H10" s="87"/>
      <c r="I10" s="87"/>
    </row>
    <row r="11">
      <c r="A11" s="87">
        <v>804.0</v>
      </c>
      <c r="B11" s="87" t="s">
        <v>47</v>
      </c>
      <c r="C11" s="93">
        <v>13.0</v>
      </c>
      <c r="D11" s="87" t="s">
        <v>39</v>
      </c>
      <c r="E11" s="87" t="s">
        <v>40</v>
      </c>
      <c r="F11" s="87" t="s">
        <v>41</v>
      </c>
      <c r="G11" s="94">
        <v>46083.0</v>
      </c>
      <c r="H11" s="87"/>
      <c r="I11" s="87"/>
    </row>
    <row r="12">
      <c r="A12" s="87">
        <v>805.0</v>
      </c>
      <c r="B12" s="87" t="s">
        <v>48</v>
      </c>
      <c r="C12" s="93">
        <v>3.0</v>
      </c>
      <c r="D12" s="87" t="s">
        <v>39</v>
      </c>
      <c r="E12" s="87" t="s">
        <v>40</v>
      </c>
      <c r="F12" s="87" t="s">
        <v>41</v>
      </c>
      <c r="G12" s="94">
        <v>46083.0</v>
      </c>
      <c r="H12" s="87"/>
      <c r="I12" s="87"/>
    </row>
    <row r="13">
      <c r="A13" s="87">
        <v>801.0</v>
      </c>
      <c r="B13" s="87" t="s">
        <v>49</v>
      </c>
      <c r="C13" s="93">
        <v>3.0</v>
      </c>
      <c r="D13" s="87" t="s">
        <v>39</v>
      </c>
      <c r="E13" s="87" t="s">
        <v>40</v>
      </c>
      <c r="F13" s="87" t="s">
        <v>41</v>
      </c>
      <c r="G13" s="94">
        <v>46062.0</v>
      </c>
      <c r="H13" s="87"/>
      <c r="I13" s="87"/>
    </row>
    <row r="14">
      <c r="A14" s="87">
        <v>522.0</v>
      </c>
      <c r="B14" s="87" t="s">
        <v>50</v>
      </c>
      <c r="C14" s="93">
        <v>1.0</v>
      </c>
      <c r="D14" s="87" t="s">
        <v>39</v>
      </c>
      <c r="E14" s="87" t="s">
        <v>40</v>
      </c>
      <c r="F14" s="87" t="s">
        <v>41</v>
      </c>
      <c r="G14" s="94">
        <v>1.3888889E7</v>
      </c>
      <c r="H14" s="87" t="s">
        <v>51</v>
      </c>
      <c r="I14" s="87" t="s">
        <v>52</v>
      </c>
    </row>
    <row r="15">
      <c r="A15" s="87">
        <v>523.0</v>
      </c>
      <c r="B15" s="87" t="s">
        <v>50</v>
      </c>
      <c r="C15" s="93">
        <v>1.0</v>
      </c>
      <c r="D15" s="87" t="s">
        <v>39</v>
      </c>
      <c r="E15" s="87" t="s">
        <v>53</v>
      </c>
      <c r="F15" s="87" t="s">
        <v>41</v>
      </c>
      <c r="G15" s="94">
        <v>1.3888854E7</v>
      </c>
      <c r="H15" s="87" t="s">
        <v>54</v>
      </c>
      <c r="I15" s="87" t="s">
        <v>55</v>
      </c>
    </row>
    <row r="16">
      <c r="A16" s="87">
        <v>526.0</v>
      </c>
      <c r="B16" s="87" t="s">
        <v>50</v>
      </c>
      <c r="C16" s="93">
        <v>1.0</v>
      </c>
      <c r="D16" s="87" t="s">
        <v>39</v>
      </c>
      <c r="E16" s="87" t="s">
        <v>53</v>
      </c>
      <c r="F16" s="87" t="s">
        <v>41</v>
      </c>
      <c r="G16" s="94">
        <v>1.3891804E7</v>
      </c>
      <c r="H16" s="87" t="s">
        <v>56</v>
      </c>
      <c r="I16" s="87" t="s">
        <v>57</v>
      </c>
    </row>
    <row r="17">
      <c r="A17" s="87">
        <v>1039.0</v>
      </c>
      <c r="B17" s="87" t="s">
        <v>50</v>
      </c>
      <c r="C17" s="93">
        <v>1.0</v>
      </c>
      <c r="D17" s="87" t="s">
        <v>39</v>
      </c>
      <c r="E17" s="87" t="s">
        <v>40</v>
      </c>
      <c r="F17" s="87" t="s">
        <v>41</v>
      </c>
      <c r="G17" s="94">
        <v>7.6750523E7</v>
      </c>
      <c r="H17" s="87"/>
      <c r="I17" s="87" t="s">
        <v>58</v>
      </c>
    </row>
    <row r="18">
      <c r="A18" s="87">
        <v>807.0</v>
      </c>
      <c r="B18" s="87" t="s">
        <v>59</v>
      </c>
      <c r="C18" s="93">
        <v>15.0</v>
      </c>
      <c r="D18" s="87" t="s">
        <v>39</v>
      </c>
      <c r="E18" s="87" t="s">
        <v>40</v>
      </c>
      <c r="F18" s="87" t="s">
        <v>41</v>
      </c>
      <c r="G18" s="94">
        <v>46083.0</v>
      </c>
      <c r="H18" s="87"/>
      <c r="I18" s="87"/>
    </row>
    <row r="19">
      <c r="A19" s="87">
        <v>20.0</v>
      </c>
      <c r="B19" s="87" t="s">
        <v>60</v>
      </c>
      <c r="C19" s="93">
        <v>1.0</v>
      </c>
      <c r="D19" s="87" t="s">
        <v>39</v>
      </c>
      <c r="E19" s="87" t="s">
        <v>40</v>
      </c>
      <c r="F19" s="87" t="s">
        <v>41</v>
      </c>
      <c r="G19" s="94">
        <v>7.672882E7</v>
      </c>
      <c r="H19" s="87"/>
      <c r="I19" s="87" t="s">
        <v>61</v>
      </c>
    </row>
    <row r="20">
      <c r="A20" s="87">
        <v>23.0</v>
      </c>
      <c r="B20" s="87" t="s">
        <v>60</v>
      </c>
      <c r="C20" s="93">
        <v>1.0</v>
      </c>
      <c r="D20" s="87" t="s">
        <v>39</v>
      </c>
      <c r="E20" s="87" t="s">
        <v>40</v>
      </c>
      <c r="F20" s="87" t="s">
        <v>41</v>
      </c>
      <c r="G20" s="94">
        <v>7.6728986E7</v>
      </c>
      <c r="H20" s="87"/>
      <c r="I20" s="87" t="s">
        <v>61</v>
      </c>
    </row>
    <row r="21">
      <c r="A21" s="87">
        <v>1026.0</v>
      </c>
      <c r="B21" s="87" t="s">
        <v>60</v>
      </c>
      <c r="C21" s="93">
        <v>1.0</v>
      </c>
      <c r="D21" s="87" t="s">
        <v>39</v>
      </c>
      <c r="E21" s="87" t="s">
        <v>40</v>
      </c>
      <c r="F21" s="87" t="s">
        <v>41</v>
      </c>
      <c r="G21" s="94">
        <v>7.6736024E7</v>
      </c>
      <c r="H21" s="87"/>
      <c r="I21" s="87"/>
    </row>
    <row r="22">
      <c r="A22" s="87">
        <v>1031.0</v>
      </c>
      <c r="B22" s="87" t="s">
        <v>60</v>
      </c>
      <c r="C22" s="93">
        <v>1.0</v>
      </c>
      <c r="D22" s="87" t="s">
        <v>39</v>
      </c>
      <c r="E22" s="87" t="s">
        <v>40</v>
      </c>
      <c r="F22" s="87" t="s">
        <v>41</v>
      </c>
      <c r="G22" s="94">
        <v>7.6737209E7</v>
      </c>
      <c r="H22" s="87"/>
      <c r="I22" s="87" t="s">
        <v>61</v>
      </c>
    </row>
    <row r="23">
      <c r="A23" s="87">
        <v>1032.0</v>
      </c>
      <c r="B23" s="87" t="s">
        <v>60</v>
      </c>
      <c r="C23" s="93">
        <v>1.0</v>
      </c>
      <c r="D23" s="87" t="s">
        <v>39</v>
      </c>
      <c r="E23" s="87" t="s">
        <v>40</v>
      </c>
      <c r="F23" s="87" t="s">
        <v>41</v>
      </c>
      <c r="G23" s="94">
        <v>7.6737217E7</v>
      </c>
      <c r="H23" s="87"/>
      <c r="I23" s="87" t="s">
        <v>61</v>
      </c>
    </row>
    <row r="24">
      <c r="A24" s="87">
        <v>1314.0</v>
      </c>
      <c r="B24" s="87" t="s">
        <v>60</v>
      </c>
      <c r="C24" s="93">
        <v>1.0</v>
      </c>
      <c r="D24" s="87" t="s">
        <v>39</v>
      </c>
      <c r="E24" s="87" t="s">
        <v>40</v>
      </c>
      <c r="F24" s="87" t="s">
        <v>41</v>
      </c>
      <c r="G24" s="94">
        <v>7.690189E7</v>
      </c>
      <c r="H24" s="87" t="s">
        <v>62</v>
      </c>
      <c r="I24" s="87" t="s">
        <v>63</v>
      </c>
    </row>
    <row r="25">
      <c r="A25" s="87">
        <v>1332.0</v>
      </c>
      <c r="B25" s="87" t="s">
        <v>60</v>
      </c>
      <c r="C25" s="93">
        <v>1.0</v>
      </c>
      <c r="D25" s="87" t="s">
        <v>39</v>
      </c>
      <c r="E25" s="87" t="s">
        <v>40</v>
      </c>
      <c r="F25" s="87" t="s">
        <v>41</v>
      </c>
      <c r="G25" s="94">
        <v>7.6901904E7</v>
      </c>
      <c r="H25" s="87" t="s">
        <v>62</v>
      </c>
      <c r="I25" s="87" t="s">
        <v>64</v>
      </c>
    </row>
    <row r="26">
      <c r="A26" s="87">
        <v>1342.0</v>
      </c>
      <c r="B26" s="87" t="s">
        <v>60</v>
      </c>
      <c r="C26" s="93">
        <v>1.0</v>
      </c>
      <c r="D26" s="87" t="s">
        <v>39</v>
      </c>
      <c r="E26" s="87" t="s">
        <v>40</v>
      </c>
      <c r="F26" s="87" t="s">
        <v>41</v>
      </c>
      <c r="G26" s="94">
        <v>7.6753166E7</v>
      </c>
      <c r="H26" s="87" t="s">
        <v>65</v>
      </c>
      <c r="I26" s="87" t="s">
        <v>61</v>
      </c>
    </row>
    <row r="27">
      <c r="A27" s="87">
        <v>1343.0</v>
      </c>
      <c r="B27" s="87" t="s">
        <v>60</v>
      </c>
      <c r="C27" s="93">
        <v>1.0</v>
      </c>
      <c r="D27" s="87" t="s">
        <v>39</v>
      </c>
      <c r="E27" s="87" t="s">
        <v>40</v>
      </c>
      <c r="F27" s="87" t="s">
        <v>41</v>
      </c>
      <c r="G27" s="94">
        <v>7.675314E7</v>
      </c>
      <c r="H27" s="87" t="s">
        <v>66</v>
      </c>
      <c r="I27" s="87" t="s">
        <v>61</v>
      </c>
    </row>
    <row r="28">
      <c r="A28" s="87">
        <v>37.0</v>
      </c>
      <c r="B28" s="87" t="s">
        <v>67</v>
      </c>
      <c r="C28" s="93">
        <v>1.0</v>
      </c>
      <c r="D28" s="87" t="s">
        <v>39</v>
      </c>
      <c r="E28" s="87" t="s">
        <v>40</v>
      </c>
      <c r="F28" s="87" t="s">
        <v>41</v>
      </c>
      <c r="G28" s="94">
        <v>7.6757501E7</v>
      </c>
      <c r="H28" s="87"/>
      <c r="I28" s="87"/>
    </row>
    <row r="29">
      <c r="A29" s="87">
        <v>38.0</v>
      </c>
      <c r="B29" s="87" t="s">
        <v>67</v>
      </c>
      <c r="C29" s="93">
        <v>1.0</v>
      </c>
      <c r="D29" s="87" t="s">
        <v>39</v>
      </c>
      <c r="E29" s="87" t="s">
        <v>40</v>
      </c>
      <c r="F29" s="87" t="s">
        <v>41</v>
      </c>
      <c r="G29" s="94">
        <v>7.6757528E7</v>
      </c>
      <c r="H29" s="87"/>
      <c r="I29" s="87"/>
    </row>
    <row r="30">
      <c r="A30" s="87">
        <v>1361.0</v>
      </c>
      <c r="B30" s="87" t="s">
        <v>67</v>
      </c>
      <c r="C30" s="93">
        <v>1.0</v>
      </c>
      <c r="D30" s="87" t="s">
        <v>39</v>
      </c>
      <c r="E30" s="87" t="s">
        <v>40</v>
      </c>
      <c r="F30" s="87" t="s">
        <v>41</v>
      </c>
      <c r="G30" s="94">
        <v>7.6731707E7</v>
      </c>
      <c r="H30" s="87"/>
      <c r="I30" s="87"/>
    </row>
    <row r="31">
      <c r="A31" s="87">
        <v>1458.0</v>
      </c>
      <c r="B31" s="87" t="s">
        <v>67</v>
      </c>
      <c r="C31" s="93">
        <v>1.0</v>
      </c>
      <c r="D31" s="87" t="s">
        <v>39</v>
      </c>
      <c r="E31" s="87" t="s">
        <v>40</v>
      </c>
      <c r="F31" s="87" t="s">
        <v>41</v>
      </c>
      <c r="G31" s="94">
        <v>1.3962647E7</v>
      </c>
      <c r="H31" s="87"/>
      <c r="I31" s="87" t="s">
        <v>68</v>
      </c>
    </row>
    <row r="32">
      <c r="A32" s="87">
        <v>1466.0</v>
      </c>
      <c r="B32" s="87" t="s">
        <v>67</v>
      </c>
      <c r="C32" s="93">
        <v>1.0</v>
      </c>
      <c r="D32" s="87" t="s">
        <v>39</v>
      </c>
      <c r="E32" s="87" t="s">
        <v>40</v>
      </c>
      <c r="F32" s="87" t="s">
        <v>41</v>
      </c>
      <c r="G32" s="94">
        <v>7.6935779E7</v>
      </c>
      <c r="H32" s="87"/>
      <c r="I32" s="87"/>
    </row>
    <row r="33">
      <c r="A33" s="87">
        <v>1536.0</v>
      </c>
      <c r="B33" s="87" t="s">
        <v>67</v>
      </c>
      <c r="C33" s="93">
        <v>1.0</v>
      </c>
      <c r="D33" s="87" t="s">
        <v>39</v>
      </c>
      <c r="E33" s="87" t="s">
        <v>40</v>
      </c>
      <c r="F33" s="87" t="s">
        <v>41</v>
      </c>
      <c r="G33" s="94">
        <v>7.6946762E7</v>
      </c>
      <c r="H33" s="87"/>
      <c r="I33" s="87"/>
    </row>
    <row r="34">
      <c r="A34" s="87">
        <v>1537.0</v>
      </c>
      <c r="B34" s="87" t="s">
        <v>67</v>
      </c>
      <c r="C34" s="93">
        <v>1.0</v>
      </c>
      <c r="D34" s="87" t="s">
        <v>39</v>
      </c>
      <c r="E34" s="87" t="s">
        <v>40</v>
      </c>
      <c r="F34" s="87" t="s">
        <v>41</v>
      </c>
      <c r="G34" s="94">
        <v>7.694677E7</v>
      </c>
      <c r="H34" s="87"/>
      <c r="I34" s="87"/>
    </row>
    <row r="35">
      <c r="A35" s="87">
        <v>854.0</v>
      </c>
      <c r="B35" s="87" t="s">
        <v>69</v>
      </c>
      <c r="C35" s="93">
        <v>1.0</v>
      </c>
      <c r="D35" s="87" t="s">
        <v>39</v>
      </c>
      <c r="E35" s="87" t="s">
        <v>40</v>
      </c>
      <c r="F35" s="87" t="s">
        <v>41</v>
      </c>
      <c r="G35" s="94">
        <v>46146.0</v>
      </c>
      <c r="H35" s="87"/>
      <c r="I35" s="87"/>
    </row>
    <row r="36">
      <c r="A36" s="87">
        <v>1051.0</v>
      </c>
      <c r="B36" s="87" t="s">
        <v>70</v>
      </c>
      <c r="C36" s="93">
        <v>1.0</v>
      </c>
      <c r="D36" s="87" t="s">
        <v>39</v>
      </c>
      <c r="E36" s="87" t="s">
        <v>40</v>
      </c>
      <c r="F36" s="87" t="s">
        <v>41</v>
      </c>
      <c r="G36" s="94">
        <v>7.6793087E7</v>
      </c>
      <c r="H36" s="87"/>
      <c r="I36" s="87"/>
    </row>
    <row r="37">
      <c r="A37" s="87">
        <v>1194.0</v>
      </c>
      <c r="B37" s="87" t="s">
        <v>71</v>
      </c>
      <c r="C37" s="93">
        <v>1.0</v>
      </c>
      <c r="D37" s="87" t="s">
        <v>39</v>
      </c>
      <c r="E37" s="87" t="s">
        <v>40</v>
      </c>
      <c r="F37" s="87" t="s">
        <v>41</v>
      </c>
      <c r="G37" s="94">
        <v>7.6877825E7</v>
      </c>
      <c r="H37" s="87"/>
      <c r="I37" s="87"/>
    </row>
    <row r="38">
      <c r="A38" s="87">
        <v>1543.0</v>
      </c>
      <c r="B38" s="87" t="s">
        <v>71</v>
      </c>
      <c r="C38" s="93">
        <v>1.0</v>
      </c>
      <c r="D38" s="87" t="s">
        <v>39</v>
      </c>
      <c r="E38" s="87" t="s">
        <v>72</v>
      </c>
      <c r="F38" s="87" t="s">
        <v>41</v>
      </c>
      <c r="G38" s="94">
        <v>7.6939049E7</v>
      </c>
      <c r="H38" s="87"/>
      <c r="I38" s="87" t="s">
        <v>71</v>
      </c>
    </row>
    <row r="39">
      <c r="A39" s="87">
        <v>1236.0</v>
      </c>
      <c r="B39" s="87" t="s">
        <v>73</v>
      </c>
      <c r="C39" s="93">
        <v>1.0</v>
      </c>
      <c r="D39" s="87" t="s">
        <v>39</v>
      </c>
      <c r="E39" s="87" t="s">
        <v>40</v>
      </c>
      <c r="F39" s="87" t="s">
        <v>41</v>
      </c>
      <c r="G39" s="94">
        <v>8.38012E7</v>
      </c>
      <c r="H39" s="87"/>
      <c r="I39" s="87" t="s">
        <v>74</v>
      </c>
    </row>
    <row r="40">
      <c r="A40" s="87">
        <v>1235.0</v>
      </c>
      <c r="B40" s="87" t="s">
        <v>75</v>
      </c>
      <c r="C40" s="93">
        <v>1.0</v>
      </c>
      <c r="D40" s="87" t="s">
        <v>39</v>
      </c>
      <c r="E40" s="87" t="s">
        <v>40</v>
      </c>
      <c r="F40" s="87" t="s">
        <v>41</v>
      </c>
      <c r="G40" s="94">
        <v>8.3816348E7</v>
      </c>
      <c r="H40" s="87"/>
      <c r="I40" s="87" t="s">
        <v>76</v>
      </c>
    </row>
    <row r="41">
      <c r="A41" s="87">
        <v>33.0</v>
      </c>
      <c r="B41" s="87" t="s">
        <v>77</v>
      </c>
      <c r="C41" s="93">
        <v>1.0</v>
      </c>
      <c r="D41" s="87" t="s">
        <v>39</v>
      </c>
      <c r="E41" s="87" t="s">
        <v>40</v>
      </c>
      <c r="F41" s="87" t="s">
        <v>41</v>
      </c>
      <c r="G41" s="94">
        <v>7.6744507E7</v>
      </c>
      <c r="H41" s="87" t="s">
        <v>78</v>
      </c>
      <c r="I41" s="87" t="s">
        <v>79</v>
      </c>
    </row>
    <row r="42">
      <c r="A42" s="87">
        <v>887.0</v>
      </c>
      <c r="B42" s="87" t="s">
        <v>77</v>
      </c>
      <c r="C42" s="93">
        <v>1.0</v>
      </c>
      <c r="D42" s="87" t="s">
        <v>39</v>
      </c>
      <c r="E42" s="87" t="s">
        <v>40</v>
      </c>
      <c r="F42" s="87" t="s">
        <v>41</v>
      </c>
      <c r="G42" s="94">
        <v>4.0212807E7</v>
      </c>
      <c r="H42" s="87" t="s">
        <v>80</v>
      </c>
      <c r="I42" s="87" t="s">
        <v>79</v>
      </c>
    </row>
    <row r="43">
      <c r="A43" s="87">
        <v>889.0</v>
      </c>
      <c r="B43" s="87" t="s">
        <v>77</v>
      </c>
      <c r="C43" s="93">
        <v>1.0</v>
      </c>
      <c r="D43" s="87" t="s">
        <v>39</v>
      </c>
      <c r="E43" s="87" t="s">
        <v>40</v>
      </c>
      <c r="F43" s="87" t="s">
        <v>41</v>
      </c>
      <c r="G43" s="94">
        <v>4.0212823E7</v>
      </c>
      <c r="H43" s="87"/>
      <c r="I43" s="87"/>
    </row>
    <row r="44">
      <c r="A44" s="87">
        <v>951.0</v>
      </c>
      <c r="B44" s="87" t="s">
        <v>77</v>
      </c>
      <c r="C44" s="93">
        <v>1.0</v>
      </c>
      <c r="D44" s="87" t="s">
        <v>39</v>
      </c>
      <c r="E44" s="87" t="s">
        <v>40</v>
      </c>
      <c r="F44" s="87" t="s">
        <v>41</v>
      </c>
      <c r="G44" s="94">
        <v>7.666693E7</v>
      </c>
      <c r="H44" s="87" t="s">
        <v>81</v>
      </c>
      <c r="I44" s="87" t="s">
        <v>82</v>
      </c>
    </row>
    <row r="45">
      <c r="A45" s="87">
        <v>952.0</v>
      </c>
      <c r="B45" s="87" t="s">
        <v>77</v>
      </c>
      <c r="C45" s="93">
        <v>1.0</v>
      </c>
      <c r="D45" s="87" t="s">
        <v>39</v>
      </c>
      <c r="E45" s="87" t="s">
        <v>40</v>
      </c>
      <c r="F45" s="87" t="s">
        <v>41</v>
      </c>
      <c r="G45" s="94">
        <v>7.6666964E7</v>
      </c>
      <c r="H45" s="87"/>
      <c r="I45" s="87"/>
    </row>
    <row r="46">
      <c r="A46" s="87">
        <v>1022.0</v>
      </c>
      <c r="B46" s="87" t="s">
        <v>77</v>
      </c>
      <c r="C46" s="93">
        <v>1.0</v>
      </c>
      <c r="D46" s="87" t="s">
        <v>39</v>
      </c>
      <c r="E46" s="87" t="s">
        <v>40</v>
      </c>
      <c r="F46" s="87" t="s">
        <v>41</v>
      </c>
      <c r="G46" s="94">
        <v>7.6734722E7</v>
      </c>
      <c r="H46" s="87"/>
      <c r="I46" s="87"/>
    </row>
    <row r="47">
      <c r="A47" s="87">
        <v>1023.0</v>
      </c>
      <c r="B47" s="87" t="s">
        <v>77</v>
      </c>
      <c r="C47" s="93">
        <v>1.0</v>
      </c>
      <c r="D47" s="87" t="s">
        <v>39</v>
      </c>
      <c r="E47" s="87" t="s">
        <v>40</v>
      </c>
      <c r="F47" s="87" t="s">
        <v>41</v>
      </c>
      <c r="G47" s="94">
        <v>7.673473E7</v>
      </c>
      <c r="H47" s="87"/>
      <c r="I47" s="87"/>
    </row>
    <row r="48">
      <c r="A48" s="87">
        <v>1318.0</v>
      </c>
      <c r="B48" s="87" t="s">
        <v>77</v>
      </c>
      <c r="C48" s="93">
        <v>1.0</v>
      </c>
      <c r="D48" s="87" t="s">
        <v>39</v>
      </c>
      <c r="E48" s="87" t="s">
        <v>83</v>
      </c>
      <c r="F48" s="87" t="s">
        <v>41</v>
      </c>
      <c r="G48" s="94">
        <v>7.6878074E7</v>
      </c>
      <c r="H48" s="87"/>
      <c r="I48" s="87" t="s">
        <v>84</v>
      </c>
    </row>
    <row r="49">
      <c r="A49" s="87">
        <v>1460.0</v>
      </c>
      <c r="B49" s="87" t="s">
        <v>77</v>
      </c>
      <c r="C49" s="93">
        <v>1.0</v>
      </c>
      <c r="D49" s="87" t="s">
        <v>39</v>
      </c>
      <c r="E49" s="87" t="s">
        <v>40</v>
      </c>
      <c r="F49" s="87" t="s">
        <v>41</v>
      </c>
      <c r="G49" s="94">
        <v>7.6880095E7</v>
      </c>
      <c r="H49" s="87"/>
      <c r="I49" s="87"/>
    </row>
    <row r="50">
      <c r="A50" s="87">
        <v>1462.0</v>
      </c>
      <c r="B50" s="87" t="s">
        <v>77</v>
      </c>
      <c r="C50" s="93">
        <v>1.0</v>
      </c>
      <c r="D50" s="87" t="s">
        <v>39</v>
      </c>
      <c r="E50" s="87" t="s">
        <v>40</v>
      </c>
      <c r="F50" s="87" t="s">
        <v>41</v>
      </c>
      <c r="G50" s="94">
        <v>7.6880117E7</v>
      </c>
      <c r="H50" s="87"/>
      <c r="I50" s="87"/>
    </row>
    <row r="51">
      <c r="A51" s="87">
        <v>1207.0</v>
      </c>
      <c r="B51" s="87" t="s">
        <v>85</v>
      </c>
      <c r="C51" s="93">
        <v>1.0</v>
      </c>
      <c r="D51" s="87" t="s">
        <v>39</v>
      </c>
      <c r="E51" s="87" t="s">
        <v>40</v>
      </c>
      <c r="F51" s="87" t="s">
        <v>41</v>
      </c>
      <c r="G51" s="94">
        <v>8.3802878E7</v>
      </c>
      <c r="H51" s="87"/>
      <c r="I51" s="87"/>
    </row>
    <row r="52">
      <c r="A52" s="87">
        <v>498.0</v>
      </c>
      <c r="B52" s="87" t="s">
        <v>86</v>
      </c>
      <c r="C52" s="93">
        <v>1.0</v>
      </c>
      <c r="D52" s="87" t="s">
        <v>39</v>
      </c>
      <c r="E52" s="87" t="s">
        <v>40</v>
      </c>
      <c r="F52" s="87" t="s">
        <v>41</v>
      </c>
      <c r="G52" s="94">
        <v>1.3765914E7</v>
      </c>
      <c r="H52" s="87"/>
      <c r="I52" s="87"/>
    </row>
    <row r="53">
      <c r="A53" s="87">
        <v>595.0</v>
      </c>
      <c r="B53" s="87" t="s">
        <v>86</v>
      </c>
      <c r="C53" s="93">
        <v>1.0</v>
      </c>
      <c r="D53" s="87" t="s">
        <v>39</v>
      </c>
      <c r="E53" s="87" t="s">
        <v>40</v>
      </c>
      <c r="F53" s="87" t="s">
        <v>41</v>
      </c>
      <c r="G53" s="94">
        <v>4.0081656E7</v>
      </c>
      <c r="H53" s="87"/>
      <c r="I53" s="87"/>
    </row>
    <row r="54">
      <c r="A54" s="87">
        <v>802.0</v>
      </c>
      <c r="B54" s="87" t="s">
        <v>87</v>
      </c>
      <c r="C54" s="93">
        <v>90.0</v>
      </c>
      <c r="D54" s="87" t="s">
        <v>39</v>
      </c>
      <c r="E54" s="87" t="s">
        <v>40</v>
      </c>
      <c r="F54" s="87" t="s">
        <v>41</v>
      </c>
      <c r="G54" s="94">
        <v>46083.0</v>
      </c>
      <c r="H54" s="87"/>
      <c r="I54" s="87"/>
    </row>
    <row r="55">
      <c r="A55" s="87">
        <v>371.0</v>
      </c>
      <c r="B55" s="87" t="s">
        <v>88</v>
      </c>
      <c r="C55" s="93">
        <v>1.0</v>
      </c>
      <c r="D55" s="87" t="s">
        <v>39</v>
      </c>
      <c r="E55" s="87" t="s">
        <v>40</v>
      </c>
      <c r="F55" s="87" t="s">
        <v>41</v>
      </c>
      <c r="G55" s="94">
        <v>45533.0</v>
      </c>
      <c r="H55" s="87"/>
      <c r="I55" s="87"/>
    </row>
    <row r="56">
      <c r="A56" s="87">
        <v>853.0</v>
      </c>
      <c r="B56" s="87" t="s">
        <v>89</v>
      </c>
      <c r="C56" s="93">
        <v>1.0</v>
      </c>
      <c r="D56" s="87" t="s">
        <v>39</v>
      </c>
      <c r="E56" s="87" t="s">
        <v>40</v>
      </c>
      <c r="F56" s="87" t="s">
        <v>41</v>
      </c>
      <c r="G56" s="94">
        <v>46146.0</v>
      </c>
      <c r="H56" s="87"/>
      <c r="I56" s="87"/>
    </row>
    <row r="57">
      <c r="A57" s="87">
        <v>855.0</v>
      </c>
      <c r="B57" s="87" t="s">
        <v>90</v>
      </c>
      <c r="C57" s="93">
        <v>1.0</v>
      </c>
      <c r="D57" s="87" t="s">
        <v>39</v>
      </c>
      <c r="E57" s="87" t="s">
        <v>40</v>
      </c>
      <c r="F57" s="87" t="s">
        <v>41</v>
      </c>
      <c r="G57" s="94">
        <v>46146.0</v>
      </c>
      <c r="H57" s="87"/>
      <c r="I57" s="87"/>
    </row>
    <row r="58">
      <c r="A58" s="87">
        <v>742.0</v>
      </c>
      <c r="B58" s="87" t="s">
        <v>91</v>
      </c>
      <c r="C58" s="93">
        <v>1.0</v>
      </c>
      <c r="D58" s="87" t="s">
        <v>39</v>
      </c>
      <c r="E58" s="87" t="s">
        <v>40</v>
      </c>
      <c r="F58" s="87" t="s">
        <v>92</v>
      </c>
      <c r="G58" s="94">
        <v>6.045869E7</v>
      </c>
      <c r="H58" s="87"/>
      <c r="I58" s="87" t="s">
        <v>93</v>
      </c>
    </row>
    <row r="59">
      <c r="A59" s="87">
        <v>1446.0</v>
      </c>
      <c r="B59" s="87" t="s">
        <v>94</v>
      </c>
      <c r="C59" s="93">
        <v>1.0</v>
      </c>
      <c r="D59" s="87" t="s">
        <v>39</v>
      </c>
      <c r="E59" s="87" t="s">
        <v>40</v>
      </c>
      <c r="F59" s="87" t="s">
        <v>95</v>
      </c>
      <c r="G59" s="94">
        <v>7.6926192E7</v>
      </c>
      <c r="H59" s="87"/>
      <c r="I59" s="87"/>
    </row>
    <row r="60">
      <c r="A60" s="87">
        <v>590.0</v>
      </c>
      <c r="B60" s="87" t="s">
        <v>96</v>
      </c>
      <c r="C60" s="93">
        <v>1.0</v>
      </c>
      <c r="D60" s="87" t="s">
        <v>39</v>
      </c>
      <c r="E60" s="87" t="s">
        <v>40</v>
      </c>
      <c r="F60" s="87" t="s">
        <v>95</v>
      </c>
      <c r="G60" s="94">
        <v>4.0071316E7</v>
      </c>
      <c r="H60" s="87"/>
      <c r="I60" s="87"/>
    </row>
    <row r="61">
      <c r="A61" s="87">
        <v>903.0</v>
      </c>
      <c r="B61" s="87" t="s">
        <v>96</v>
      </c>
      <c r="C61" s="93">
        <v>1.0</v>
      </c>
      <c r="D61" s="87" t="s">
        <v>39</v>
      </c>
      <c r="E61" s="87" t="s">
        <v>40</v>
      </c>
      <c r="F61" s="87" t="s">
        <v>95</v>
      </c>
      <c r="G61" s="94">
        <v>4.2708001E7</v>
      </c>
      <c r="H61" s="87"/>
      <c r="I61" s="87"/>
    </row>
    <row r="62">
      <c r="A62" s="87">
        <v>571.0</v>
      </c>
      <c r="B62" s="87" t="s">
        <v>97</v>
      </c>
      <c r="C62" s="93">
        <v>1.0</v>
      </c>
      <c r="D62" s="87" t="s">
        <v>39</v>
      </c>
      <c r="E62" s="87" t="s">
        <v>40</v>
      </c>
      <c r="F62" s="87" t="s">
        <v>95</v>
      </c>
      <c r="G62" s="94">
        <v>45628.0</v>
      </c>
      <c r="H62" s="87" t="s">
        <v>98</v>
      </c>
      <c r="I62" s="87"/>
    </row>
    <row r="63">
      <c r="A63" s="87">
        <v>572.0</v>
      </c>
      <c r="B63" s="87" t="s">
        <v>97</v>
      </c>
      <c r="C63" s="93">
        <v>1.0</v>
      </c>
      <c r="D63" s="87" t="s">
        <v>39</v>
      </c>
      <c r="E63" s="87" t="s">
        <v>40</v>
      </c>
      <c r="F63" s="87" t="s">
        <v>95</v>
      </c>
      <c r="G63" s="94">
        <v>45628.0</v>
      </c>
      <c r="H63" s="87" t="s">
        <v>99</v>
      </c>
      <c r="I63" s="87"/>
    </row>
    <row r="64">
      <c r="A64" s="87">
        <v>573.0</v>
      </c>
      <c r="B64" s="87" t="s">
        <v>97</v>
      </c>
      <c r="C64" s="93">
        <v>1.0</v>
      </c>
      <c r="D64" s="87" t="s">
        <v>39</v>
      </c>
      <c r="E64" s="87" t="s">
        <v>40</v>
      </c>
      <c r="F64" s="87" t="s">
        <v>95</v>
      </c>
      <c r="G64" s="94">
        <v>45628.0</v>
      </c>
      <c r="H64" s="87" t="s">
        <v>100</v>
      </c>
      <c r="I64" s="87"/>
    </row>
    <row r="65">
      <c r="A65" s="87">
        <v>574.0</v>
      </c>
      <c r="B65" s="87" t="s">
        <v>97</v>
      </c>
      <c r="C65" s="93">
        <v>1.0</v>
      </c>
      <c r="D65" s="87" t="s">
        <v>39</v>
      </c>
      <c r="E65" s="87" t="s">
        <v>40</v>
      </c>
      <c r="F65" s="87" t="s">
        <v>95</v>
      </c>
      <c r="G65" s="94">
        <v>45628.0</v>
      </c>
      <c r="H65" s="87" t="s">
        <v>101</v>
      </c>
      <c r="I65" s="87"/>
    </row>
    <row r="66">
      <c r="A66" s="87">
        <v>575.0</v>
      </c>
      <c r="B66" s="87" t="s">
        <v>97</v>
      </c>
      <c r="C66" s="93">
        <v>1.0</v>
      </c>
      <c r="D66" s="87" t="s">
        <v>39</v>
      </c>
      <c r="E66" s="87" t="s">
        <v>40</v>
      </c>
      <c r="F66" s="87" t="s">
        <v>95</v>
      </c>
      <c r="G66" s="94">
        <v>45628.0</v>
      </c>
      <c r="H66" s="87" t="s">
        <v>102</v>
      </c>
      <c r="I66" s="87"/>
    </row>
    <row r="67">
      <c r="A67" s="87">
        <v>576.0</v>
      </c>
      <c r="B67" s="87" t="s">
        <v>97</v>
      </c>
      <c r="C67" s="93">
        <v>1.0</v>
      </c>
      <c r="D67" s="87" t="s">
        <v>39</v>
      </c>
      <c r="E67" s="87" t="s">
        <v>40</v>
      </c>
      <c r="F67" s="87" t="s">
        <v>95</v>
      </c>
      <c r="G67" s="94">
        <v>45628.0</v>
      </c>
      <c r="H67" s="87" t="s">
        <v>103</v>
      </c>
      <c r="I67" s="87"/>
    </row>
    <row r="68">
      <c r="A68" s="87">
        <v>50.0</v>
      </c>
      <c r="B68" s="87" t="s">
        <v>104</v>
      </c>
      <c r="C68" s="93">
        <v>1.0</v>
      </c>
      <c r="D68" s="87" t="s">
        <v>39</v>
      </c>
      <c r="E68" s="87" t="s">
        <v>40</v>
      </c>
      <c r="F68" s="87" t="s">
        <v>95</v>
      </c>
      <c r="G68" s="94">
        <v>7.678897E7</v>
      </c>
      <c r="H68" s="87"/>
      <c r="I68" s="87"/>
    </row>
    <row r="69">
      <c r="A69" s="87">
        <v>51.0</v>
      </c>
      <c r="B69" s="87" t="s">
        <v>104</v>
      </c>
      <c r="C69" s="93">
        <v>1.0</v>
      </c>
      <c r="D69" s="87" t="s">
        <v>39</v>
      </c>
      <c r="E69" s="87" t="s">
        <v>40</v>
      </c>
      <c r="F69" s="87" t="s">
        <v>95</v>
      </c>
      <c r="G69" s="94">
        <v>7.6788989E7</v>
      </c>
      <c r="H69" s="87"/>
      <c r="I69" s="87"/>
    </row>
    <row r="70">
      <c r="A70" s="87">
        <v>52.0</v>
      </c>
      <c r="B70" s="87" t="s">
        <v>104</v>
      </c>
      <c r="C70" s="93">
        <v>1.0</v>
      </c>
      <c r="D70" s="87" t="s">
        <v>39</v>
      </c>
      <c r="E70" s="87" t="s">
        <v>40</v>
      </c>
      <c r="F70" s="87" t="s">
        <v>95</v>
      </c>
      <c r="G70" s="94">
        <v>7.6788997E7</v>
      </c>
      <c r="H70" s="87"/>
      <c r="I70" s="87"/>
    </row>
    <row r="71">
      <c r="A71" s="87">
        <v>53.0</v>
      </c>
      <c r="B71" s="87" t="s">
        <v>104</v>
      </c>
      <c r="C71" s="93">
        <v>1.0</v>
      </c>
      <c r="D71" s="87" t="s">
        <v>39</v>
      </c>
      <c r="E71" s="87" t="s">
        <v>40</v>
      </c>
      <c r="F71" s="87" t="s">
        <v>95</v>
      </c>
      <c r="G71" s="94">
        <v>7.6789004E7</v>
      </c>
      <c r="H71" s="87"/>
      <c r="I71" s="87"/>
    </row>
    <row r="72">
      <c r="A72" s="87">
        <v>54.0</v>
      </c>
      <c r="B72" s="87" t="s">
        <v>104</v>
      </c>
      <c r="C72" s="93">
        <v>1.0</v>
      </c>
      <c r="D72" s="87" t="s">
        <v>39</v>
      </c>
      <c r="E72" s="87" t="s">
        <v>40</v>
      </c>
      <c r="F72" s="87" t="s">
        <v>95</v>
      </c>
      <c r="G72" s="94">
        <v>7.6789012E7</v>
      </c>
      <c r="H72" s="87"/>
      <c r="I72" s="87"/>
    </row>
    <row r="73">
      <c r="A73" s="87">
        <v>55.0</v>
      </c>
      <c r="B73" s="87" t="s">
        <v>104</v>
      </c>
      <c r="C73" s="93">
        <v>1.0</v>
      </c>
      <c r="D73" s="87" t="s">
        <v>39</v>
      </c>
      <c r="E73" s="87" t="s">
        <v>40</v>
      </c>
      <c r="F73" s="87" t="s">
        <v>95</v>
      </c>
      <c r="G73" s="94">
        <v>7.678902E7</v>
      </c>
      <c r="H73" s="87"/>
      <c r="I73" s="87"/>
    </row>
    <row r="74">
      <c r="A74" s="87">
        <v>56.0</v>
      </c>
      <c r="B74" s="87" t="s">
        <v>104</v>
      </c>
      <c r="C74" s="93">
        <v>1.0</v>
      </c>
      <c r="D74" s="87" t="s">
        <v>39</v>
      </c>
      <c r="E74" s="87" t="s">
        <v>40</v>
      </c>
      <c r="F74" s="87" t="s">
        <v>95</v>
      </c>
      <c r="G74" s="94">
        <v>7.6789039E7</v>
      </c>
      <c r="H74" s="87"/>
      <c r="I74" s="87"/>
    </row>
    <row r="75">
      <c r="A75" s="87">
        <v>906.0</v>
      </c>
      <c r="B75" s="87" t="s">
        <v>104</v>
      </c>
      <c r="C75" s="93">
        <v>1.0</v>
      </c>
      <c r="D75" s="87" t="s">
        <v>39</v>
      </c>
      <c r="E75" s="87" t="s">
        <v>40</v>
      </c>
      <c r="F75" s="87" t="s">
        <v>95</v>
      </c>
      <c r="G75" s="94">
        <v>5.3392124E7</v>
      </c>
      <c r="H75" s="87"/>
      <c r="I75" s="87"/>
    </row>
    <row r="76">
      <c r="A76" s="87">
        <v>907.0</v>
      </c>
      <c r="B76" s="87" t="s">
        <v>104</v>
      </c>
      <c r="C76" s="93">
        <v>1.0</v>
      </c>
      <c r="D76" s="87" t="s">
        <v>39</v>
      </c>
      <c r="E76" s="87" t="s">
        <v>40</v>
      </c>
      <c r="F76" s="87" t="s">
        <v>95</v>
      </c>
      <c r="G76" s="94">
        <v>5.3392132E7</v>
      </c>
      <c r="H76" s="87"/>
      <c r="I76" s="87"/>
    </row>
    <row r="77">
      <c r="A77" s="87">
        <v>909.0</v>
      </c>
      <c r="B77" s="87" t="s">
        <v>104</v>
      </c>
      <c r="C77" s="93">
        <v>1.0</v>
      </c>
      <c r="D77" s="87" t="s">
        <v>39</v>
      </c>
      <c r="E77" s="87" t="s">
        <v>40</v>
      </c>
      <c r="F77" s="87" t="s">
        <v>95</v>
      </c>
      <c r="G77" s="94">
        <v>5.6041047E7</v>
      </c>
      <c r="H77" s="87"/>
      <c r="I77" s="87"/>
    </row>
    <row r="78">
      <c r="A78" s="87">
        <v>910.0</v>
      </c>
      <c r="B78" s="87" t="s">
        <v>104</v>
      </c>
      <c r="C78" s="93">
        <v>1.0</v>
      </c>
      <c r="D78" s="87" t="s">
        <v>39</v>
      </c>
      <c r="E78" s="87" t="s">
        <v>40</v>
      </c>
      <c r="F78" s="87" t="s">
        <v>95</v>
      </c>
      <c r="G78" s="94">
        <v>5.6041055E7</v>
      </c>
      <c r="H78" s="87"/>
      <c r="I78" s="87"/>
    </row>
    <row r="79">
      <c r="A79" s="87">
        <v>911.0</v>
      </c>
      <c r="B79" s="87" t="s">
        <v>104</v>
      </c>
      <c r="C79" s="93">
        <v>1.0</v>
      </c>
      <c r="D79" s="87" t="s">
        <v>39</v>
      </c>
      <c r="E79" s="87" t="s">
        <v>40</v>
      </c>
      <c r="F79" s="87" t="s">
        <v>95</v>
      </c>
      <c r="G79" s="94">
        <v>5.6041063E7</v>
      </c>
      <c r="H79" s="87"/>
      <c r="I79" s="87"/>
    </row>
    <row r="80">
      <c r="A80" s="87">
        <v>912.0</v>
      </c>
      <c r="B80" s="87" t="s">
        <v>104</v>
      </c>
      <c r="C80" s="93">
        <v>1.0</v>
      </c>
      <c r="D80" s="87" t="s">
        <v>39</v>
      </c>
      <c r="E80" s="87" t="s">
        <v>40</v>
      </c>
      <c r="F80" s="87" t="s">
        <v>95</v>
      </c>
      <c r="G80" s="94">
        <v>5.6041071E7</v>
      </c>
      <c r="H80" s="87"/>
      <c r="I80" s="87"/>
    </row>
    <row r="81">
      <c r="A81" s="87">
        <v>913.0</v>
      </c>
      <c r="B81" s="87" t="s">
        <v>104</v>
      </c>
      <c r="C81" s="93">
        <v>1.0</v>
      </c>
      <c r="D81" s="87" t="s">
        <v>39</v>
      </c>
      <c r="E81" s="87" t="s">
        <v>40</v>
      </c>
      <c r="F81" s="87" t="s">
        <v>95</v>
      </c>
      <c r="G81" s="94">
        <v>5.604108E7</v>
      </c>
      <c r="H81" s="87"/>
      <c r="I81" s="87"/>
    </row>
    <row r="82">
      <c r="A82" s="87">
        <v>914.0</v>
      </c>
      <c r="B82" s="87" t="s">
        <v>104</v>
      </c>
      <c r="C82" s="93">
        <v>1.0</v>
      </c>
      <c r="D82" s="87" t="s">
        <v>39</v>
      </c>
      <c r="E82" s="87" t="s">
        <v>40</v>
      </c>
      <c r="F82" s="87" t="s">
        <v>95</v>
      </c>
      <c r="G82" s="94">
        <v>5.6041098E7</v>
      </c>
      <c r="H82" s="87"/>
      <c r="I82" s="87"/>
    </row>
    <row r="83">
      <c r="A83" s="87">
        <v>1012.0</v>
      </c>
      <c r="B83" s="87" t="s">
        <v>104</v>
      </c>
      <c r="C83" s="93">
        <v>1.0</v>
      </c>
      <c r="D83" s="87" t="s">
        <v>39</v>
      </c>
      <c r="E83" s="87" t="s">
        <v>40</v>
      </c>
      <c r="F83" s="87" t="s">
        <v>95</v>
      </c>
      <c r="G83" s="94">
        <v>7.6725537E7</v>
      </c>
      <c r="H83" s="87"/>
      <c r="I83" s="87"/>
    </row>
    <row r="84">
      <c r="A84" s="87">
        <v>1013.0</v>
      </c>
      <c r="B84" s="87" t="s">
        <v>104</v>
      </c>
      <c r="C84" s="93">
        <v>1.0</v>
      </c>
      <c r="D84" s="87" t="s">
        <v>39</v>
      </c>
      <c r="E84" s="87" t="s">
        <v>40</v>
      </c>
      <c r="F84" s="87" t="s">
        <v>95</v>
      </c>
      <c r="G84" s="94">
        <v>7.6725545E7</v>
      </c>
      <c r="H84" s="87"/>
      <c r="I84" s="87"/>
    </row>
    <row r="85">
      <c r="A85" s="87">
        <v>1014.0</v>
      </c>
      <c r="B85" s="87" t="s">
        <v>104</v>
      </c>
      <c r="C85" s="93">
        <v>1.0</v>
      </c>
      <c r="D85" s="87" t="s">
        <v>39</v>
      </c>
      <c r="E85" s="87" t="s">
        <v>40</v>
      </c>
      <c r="F85" s="87" t="s">
        <v>95</v>
      </c>
      <c r="G85" s="94">
        <v>7.6725553E7</v>
      </c>
      <c r="H85" s="87"/>
      <c r="I85" s="87"/>
    </row>
    <row r="86">
      <c r="A86" s="87">
        <v>1015.0</v>
      </c>
      <c r="B86" s="87" t="s">
        <v>104</v>
      </c>
      <c r="C86" s="93">
        <v>1.0</v>
      </c>
      <c r="D86" s="87" t="s">
        <v>39</v>
      </c>
      <c r="E86" s="87" t="s">
        <v>40</v>
      </c>
      <c r="F86" s="87" t="s">
        <v>95</v>
      </c>
      <c r="G86" s="94">
        <v>7.6725561E7</v>
      </c>
      <c r="H86" s="87"/>
      <c r="I86" s="87"/>
    </row>
    <row r="87">
      <c r="A87" s="87">
        <v>1016.0</v>
      </c>
      <c r="B87" s="87" t="s">
        <v>104</v>
      </c>
      <c r="C87" s="93">
        <v>1.0</v>
      </c>
      <c r="D87" s="87" t="s">
        <v>39</v>
      </c>
      <c r="E87" s="87" t="s">
        <v>40</v>
      </c>
      <c r="F87" s="87" t="s">
        <v>95</v>
      </c>
      <c r="G87" s="94">
        <v>7.672557E7</v>
      </c>
      <c r="H87" s="87"/>
      <c r="I87" s="87"/>
    </row>
    <row r="88">
      <c r="A88" s="87">
        <v>1017.0</v>
      </c>
      <c r="B88" s="87" t="s">
        <v>104</v>
      </c>
      <c r="C88" s="93">
        <v>1.0</v>
      </c>
      <c r="D88" s="87" t="s">
        <v>39</v>
      </c>
      <c r="E88" s="87" t="s">
        <v>40</v>
      </c>
      <c r="F88" s="87" t="s">
        <v>95</v>
      </c>
      <c r="G88" s="94">
        <v>7.6725588E7</v>
      </c>
      <c r="H88" s="87"/>
      <c r="I88" s="87"/>
    </row>
    <row r="89">
      <c r="A89" s="87">
        <v>1018.0</v>
      </c>
      <c r="B89" s="87" t="s">
        <v>104</v>
      </c>
      <c r="C89" s="93">
        <v>1.0</v>
      </c>
      <c r="D89" s="87" t="s">
        <v>39</v>
      </c>
      <c r="E89" s="87" t="s">
        <v>40</v>
      </c>
      <c r="F89" s="87" t="s">
        <v>95</v>
      </c>
      <c r="G89" s="94">
        <v>7.6725596E7</v>
      </c>
      <c r="H89" s="87"/>
      <c r="I89" s="87"/>
    </row>
    <row r="90">
      <c r="A90" s="87">
        <v>1019.0</v>
      </c>
      <c r="B90" s="87" t="s">
        <v>104</v>
      </c>
      <c r="C90" s="93">
        <v>1.0</v>
      </c>
      <c r="D90" s="87" t="s">
        <v>39</v>
      </c>
      <c r="E90" s="87" t="s">
        <v>40</v>
      </c>
      <c r="F90" s="87" t="s">
        <v>95</v>
      </c>
      <c r="G90" s="94">
        <v>7.67256E7</v>
      </c>
      <c r="H90" s="87"/>
      <c r="I90" s="87"/>
    </row>
    <row r="91">
      <c r="A91" s="87">
        <v>1700.0</v>
      </c>
      <c r="B91" s="87" t="s">
        <v>104</v>
      </c>
      <c r="C91" s="93">
        <v>1.0</v>
      </c>
      <c r="D91" s="87" t="s">
        <v>39</v>
      </c>
      <c r="E91" s="87" t="s">
        <v>40</v>
      </c>
      <c r="F91" s="87" t="s">
        <v>95</v>
      </c>
      <c r="G91" s="94">
        <v>7.7015932E7</v>
      </c>
      <c r="H91" s="87"/>
      <c r="I91" s="87"/>
    </row>
    <row r="92">
      <c r="A92" s="87">
        <v>545.0</v>
      </c>
      <c r="B92" s="87" t="s">
        <v>105</v>
      </c>
      <c r="C92" s="93">
        <v>6.0</v>
      </c>
      <c r="D92" s="87" t="s">
        <v>39</v>
      </c>
      <c r="E92" s="87" t="s">
        <v>40</v>
      </c>
      <c r="F92" s="87" t="s">
        <v>95</v>
      </c>
      <c r="G92" s="94">
        <v>45547.0</v>
      </c>
      <c r="H92" s="87"/>
      <c r="I92" s="87"/>
    </row>
    <row r="93">
      <c r="A93" s="87">
        <v>1333.0</v>
      </c>
      <c r="B93" s="87" t="s">
        <v>106</v>
      </c>
      <c r="C93" s="93">
        <v>1.0</v>
      </c>
      <c r="D93" s="87" t="s">
        <v>39</v>
      </c>
      <c r="E93" s="87" t="s">
        <v>40</v>
      </c>
      <c r="F93" s="87" t="s">
        <v>95</v>
      </c>
      <c r="G93" s="94">
        <v>7.6904873E7</v>
      </c>
      <c r="H93" s="87"/>
      <c r="I93" s="87" t="s">
        <v>107</v>
      </c>
    </row>
    <row r="94">
      <c r="A94" s="87">
        <v>1334.0</v>
      </c>
      <c r="B94" s="87" t="s">
        <v>106</v>
      </c>
      <c r="C94" s="93">
        <v>1.0</v>
      </c>
      <c r="D94" s="87" t="s">
        <v>39</v>
      </c>
      <c r="E94" s="87" t="s">
        <v>40</v>
      </c>
      <c r="F94" s="87" t="s">
        <v>95</v>
      </c>
      <c r="G94" s="94">
        <v>7.690489E7</v>
      </c>
      <c r="H94" s="87"/>
      <c r="I94" s="87" t="s">
        <v>107</v>
      </c>
    </row>
    <row r="95">
      <c r="A95" s="87">
        <v>1360.0</v>
      </c>
      <c r="B95" s="87" t="s">
        <v>106</v>
      </c>
      <c r="C95" s="93">
        <v>1.0</v>
      </c>
      <c r="D95" s="87" t="s">
        <v>39</v>
      </c>
      <c r="E95" s="87" t="s">
        <v>40</v>
      </c>
      <c r="F95" s="87" t="s">
        <v>95</v>
      </c>
      <c r="G95" s="94">
        <v>7.6901068E7</v>
      </c>
      <c r="H95" s="87"/>
      <c r="I95" s="87"/>
    </row>
    <row r="96">
      <c r="A96" s="87">
        <v>499.0</v>
      </c>
      <c r="B96" s="87" t="s">
        <v>108</v>
      </c>
      <c r="C96" s="93">
        <v>1.0</v>
      </c>
      <c r="D96" s="87" t="s">
        <v>39</v>
      </c>
      <c r="E96" s="87" t="s">
        <v>40</v>
      </c>
      <c r="F96" s="87" t="s">
        <v>95</v>
      </c>
      <c r="G96" s="94">
        <v>45527.0</v>
      </c>
      <c r="H96" s="87"/>
      <c r="I96" s="87" t="s">
        <v>109</v>
      </c>
    </row>
    <row r="97">
      <c r="A97" s="87">
        <v>1531.0</v>
      </c>
      <c r="B97" s="87" t="s">
        <v>110</v>
      </c>
      <c r="C97" s="93">
        <v>1.0</v>
      </c>
      <c r="D97" s="87" t="s">
        <v>39</v>
      </c>
      <c r="E97" s="87" t="s">
        <v>40</v>
      </c>
      <c r="F97" s="87" t="s">
        <v>95</v>
      </c>
      <c r="G97" s="94">
        <v>7.6990486E7</v>
      </c>
      <c r="H97" s="87"/>
      <c r="I97" s="87"/>
    </row>
    <row r="98">
      <c r="A98" s="87">
        <v>540.0</v>
      </c>
      <c r="B98" s="87" t="s">
        <v>111</v>
      </c>
      <c r="C98" s="93">
        <v>4.0</v>
      </c>
      <c r="D98" s="87" t="s">
        <v>39</v>
      </c>
      <c r="E98" s="87" t="s">
        <v>40</v>
      </c>
      <c r="F98" s="87" t="s">
        <v>95</v>
      </c>
      <c r="G98" s="94">
        <v>45547.0</v>
      </c>
      <c r="H98" s="87"/>
      <c r="I98" s="87"/>
    </row>
    <row r="99">
      <c r="A99" s="87">
        <v>553.0</v>
      </c>
      <c r="B99" s="87" t="s">
        <v>112</v>
      </c>
      <c r="C99" s="93">
        <v>15.0</v>
      </c>
      <c r="D99" s="87" t="s">
        <v>39</v>
      </c>
      <c r="E99" s="87" t="s">
        <v>40</v>
      </c>
      <c r="F99" s="87" t="s">
        <v>95</v>
      </c>
      <c r="G99" s="94">
        <v>45544.0</v>
      </c>
      <c r="H99" s="87"/>
      <c r="I99" s="87"/>
    </row>
    <row r="100">
      <c r="A100" s="87">
        <v>65.0</v>
      </c>
      <c r="B100" s="87" t="s">
        <v>113</v>
      </c>
      <c r="C100" s="93">
        <v>2.0</v>
      </c>
      <c r="D100" s="87" t="s">
        <v>39</v>
      </c>
      <c r="E100" s="87" t="s">
        <v>40</v>
      </c>
      <c r="F100" s="87" t="s">
        <v>95</v>
      </c>
      <c r="G100" s="94"/>
      <c r="H100" s="87"/>
      <c r="I100" s="87" t="s">
        <v>114</v>
      </c>
    </row>
    <row r="101">
      <c r="A101" s="87">
        <v>66.0</v>
      </c>
      <c r="B101" s="87" t="s">
        <v>115</v>
      </c>
      <c r="C101" s="93">
        <v>1.0</v>
      </c>
      <c r="D101" s="87" t="s">
        <v>39</v>
      </c>
      <c r="E101" s="87" t="s">
        <v>40</v>
      </c>
      <c r="F101" s="87" t="s">
        <v>95</v>
      </c>
      <c r="G101" s="94"/>
      <c r="H101" s="87"/>
      <c r="I101" s="87" t="s">
        <v>114</v>
      </c>
    </row>
    <row r="102">
      <c r="A102" s="87">
        <v>1134.0</v>
      </c>
      <c r="B102" s="87" t="s">
        <v>116</v>
      </c>
      <c r="C102" s="93">
        <v>1.0</v>
      </c>
      <c r="D102" s="87" t="s">
        <v>39</v>
      </c>
      <c r="E102" s="87" t="s">
        <v>40</v>
      </c>
      <c r="F102" s="87" t="s">
        <v>95</v>
      </c>
      <c r="G102" s="94">
        <v>7.6830128E7</v>
      </c>
      <c r="H102" s="87"/>
      <c r="I102" s="87"/>
    </row>
    <row r="103">
      <c r="A103" s="87">
        <v>1135.0</v>
      </c>
      <c r="B103" s="87" t="s">
        <v>116</v>
      </c>
      <c r="C103" s="93">
        <v>1.0</v>
      </c>
      <c r="D103" s="87" t="s">
        <v>39</v>
      </c>
      <c r="E103" s="87" t="s">
        <v>40</v>
      </c>
      <c r="F103" s="87" t="s">
        <v>95</v>
      </c>
      <c r="G103" s="94">
        <v>7.6830136E7</v>
      </c>
      <c r="H103" s="87"/>
      <c r="I103" s="87"/>
    </row>
    <row r="104">
      <c r="A104" s="87">
        <v>1136.0</v>
      </c>
      <c r="B104" s="87" t="s">
        <v>116</v>
      </c>
      <c r="C104" s="93">
        <v>1.0</v>
      </c>
      <c r="D104" s="87" t="s">
        <v>39</v>
      </c>
      <c r="E104" s="87" t="s">
        <v>40</v>
      </c>
      <c r="F104" s="87" t="s">
        <v>95</v>
      </c>
      <c r="G104" s="94">
        <v>7.6830144E7</v>
      </c>
      <c r="H104" s="87"/>
      <c r="I104" s="87"/>
    </row>
    <row r="105">
      <c r="A105" s="87">
        <v>838.0</v>
      </c>
      <c r="B105" s="87" t="s">
        <v>117</v>
      </c>
      <c r="C105" s="93">
        <v>9.0</v>
      </c>
      <c r="D105" s="87" t="s">
        <v>39</v>
      </c>
      <c r="E105" s="87" t="s">
        <v>40</v>
      </c>
      <c r="F105" s="87" t="s">
        <v>95</v>
      </c>
      <c r="G105" s="94"/>
      <c r="H105" s="87"/>
      <c r="I105" s="87"/>
    </row>
    <row r="106">
      <c r="A106" s="87">
        <v>821.0</v>
      </c>
      <c r="B106" s="87" t="s">
        <v>118</v>
      </c>
      <c r="C106" s="93">
        <v>1.0</v>
      </c>
      <c r="D106" s="87" t="s">
        <v>39</v>
      </c>
      <c r="E106" s="87" t="s">
        <v>40</v>
      </c>
      <c r="F106" s="87" t="s">
        <v>95</v>
      </c>
      <c r="G106" s="94">
        <v>1.40518E7</v>
      </c>
      <c r="H106" s="87"/>
      <c r="I106" s="87" t="s">
        <v>119</v>
      </c>
    </row>
    <row r="107">
      <c r="A107" s="87">
        <v>603.0</v>
      </c>
      <c r="B107" s="87" t="s">
        <v>120</v>
      </c>
      <c r="C107" s="93">
        <v>1.0</v>
      </c>
      <c r="D107" s="87" t="s">
        <v>39</v>
      </c>
      <c r="E107" s="87" t="s">
        <v>40</v>
      </c>
      <c r="F107" s="87" t="s">
        <v>95</v>
      </c>
      <c r="G107" s="94">
        <v>4.0096394E7</v>
      </c>
      <c r="H107" s="87"/>
      <c r="I107" s="87" t="s">
        <v>121</v>
      </c>
    </row>
    <row r="108">
      <c r="A108" s="87">
        <v>604.0</v>
      </c>
      <c r="B108" s="87" t="s">
        <v>120</v>
      </c>
      <c r="C108" s="93">
        <v>1.0</v>
      </c>
      <c r="D108" s="87" t="s">
        <v>39</v>
      </c>
      <c r="E108" s="87" t="s">
        <v>40</v>
      </c>
      <c r="F108" s="87" t="s">
        <v>95</v>
      </c>
      <c r="G108" s="94">
        <v>4.0096408E7</v>
      </c>
      <c r="H108" s="87"/>
      <c r="I108" s="87" t="s">
        <v>121</v>
      </c>
    </row>
    <row r="109">
      <c r="A109" s="87">
        <v>605.0</v>
      </c>
      <c r="B109" s="87" t="s">
        <v>120</v>
      </c>
      <c r="C109" s="93">
        <v>1.0</v>
      </c>
      <c r="D109" s="87" t="s">
        <v>39</v>
      </c>
      <c r="E109" s="87" t="s">
        <v>40</v>
      </c>
      <c r="F109" s="87" t="s">
        <v>95</v>
      </c>
      <c r="G109" s="94">
        <v>4.0096416E7</v>
      </c>
      <c r="H109" s="87"/>
      <c r="I109" s="87" t="s">
        <v>121</v>
      </c>
    </row>
    <row r="110">
      <c r="A110" s="87">
        <v>1539.0</v>
      </c>
      <c r="B110" s="87" t="s">
        <v>122</v>
      </c>
      <c r="C110" s="93">
        <v>1.0</v>
      </c>
      <c r="D110" s="87" t="s">
        <v>39</v>
      </c>
      <c r="E110" s="87" t="s">
        <v>83</v>
      </c>
      <c r="F110" s="87" t="s">
        <v>95</v>
      </c>
      <c r="G110" s="94">
        <v>7.6950735E7</v>
      </c>
      <c r="H110" s="87"/>
      <c r="I110" s="87"/>
    </row>
    <row r="111">
      <c r="A111" s="87">
        <v>310.0</v>
      </c>
      <c r="B111" s="87" t="s">
        <v>123</v>
      </c>
      <c r="C111" s="93">
        <v>1.0</v>
      </c>
      <c r="D111" s="87" t="s">
        <v>39</v>
      </c>
      <c r="E111" s="87" t="s">
        <v>40</v>
      </c>
      <c r="F111" s="87" t="s">
        <v>95</v>
      </c>
      <c r="G111" s="94">
        <v>45646.0</v>
      </c>
      <c r="H111" s="87"/>
      <c r="I111" s="87"/>
    </row>
    <row r="112">
      <c r="A112" s="87">
        <v>555.0</v>
      </c>
      <c r="B112" s="87" t="s">
        <v>124</v>
      </c>
      <c r="C112" s="93">
        <v>40.0</v>
      </c>
      <c r="D112" s="87" t="s">
        <v>39</v>
      </c>
      <c r="E112" s="87" t="s">
        <v>40</v>
      </c>
      <c r="F112" s="87" t="s">
        <v>95</v>
      </c>
      <c r="G112" s="94">
        <v>45544.0</v>
      </c>
      <c r="H112" s="87"/>
      <c r="I112" s="87"/>
    </row>
    <row r="113">
      <c r="A113" s="87">
        <v>559.0</v>
      </c>
      <c r="B113" s="87" t="s">
        <v>124</v>
      </c>
      <c r="C113" s="93">
        <v>5.0</v>
      </c>
      <c r="D113" s="87" t="s">
        <v>39</v>
      </c>
      <c r="E113" s="87" t="s">
        <v>40</v>
      </c>
      <c r="F113" s="87" t="s">
        <v>95</v>
      </c>
      <c r="G113" s="94">
        <v>45544.0</v>
      </c>
      <c r="H113" s="87"/>
      <c r="I113" s="87"/>
    </row>
    <row r="114">
      <c r="A114" s="87">
        <v>535.0</v>
      </c>
      <c r="B114" s="87" t="s">
        <v>125</v>
      </c>
      <c r="C114" s="93">
        <v>6.0</v>
      </c>
      <c r="D114" s="87" t="s">
        <v>39</v>
      </c>
      <c r="E114" s="87" t="s">
        <v>40</v>
      </c>
      <c r="F114" s="87" t="s">
        <v>95</v>
      </c>
      <c r="G114" s="94">
        <v>45523.0</v>
      </c>
      <c r="H114" s="87"/>
      <c r="I114" s="87"/>
    </row>
    <row r="115">
      <c r="A115" s="87">
        <v>541.0</v>
      </c>
      <c r="B115" s="87" t="s">
        <v>125</v>
      </c>
      <c r="C115" s="93">
        <v>10.0</v>
      </c>
      <c r="D115" s="87" t="s">
        <v>39</v>
      </c>
      <c r="E115" s="87" t="s">
        <v>40</v>
      </c>
      <c r="F115" s="87" t="s">
        <v>95</v>
      </c>
      <c r="G115" s="94">
        <v>45547.0</v>
      </c>
      <c r="H115" s="87"/>
      <c r="I115" s="87"/>
    </row>
    <row r="116">
      <c r="A116" s="87">
        <v>557.0</v>
      </c>
      <c r="B116" s="87" t="s">
        <v>126</v>
      </c>
      <c r="C116" s="93">
        <v>14.0</v>
      </c>
      <c r="D116" s="87" t="s">
        <v>39</v>
      </c>
      <c r="E116" s="87" t="s">
        <v>40</v>
      </c>
      <c r="F116" s="87" t="s">
        <v>95</v>
      </c>
      <c r="G116" s="94">
        <v>45544.0</v>
      </c>
      <c r="H116" s="87"/>
      <c r="I116" s="87"/>
    </row>
    <row r="117">
      <c r="A117" s="87">
        <v>979.0</v>
      </c>
      <c r="B117" s="87" t="s">
        <v>127</v>
      </c>
      <c r="C117" s="93">
        <v>1.0</v>
      </c>
      <c r="D117" s="87" t="s">
        <v>39</v>
      </c>
      <c r="E117" s="87" t="s">
        <v>40</v>
      </c>
      <c r="F117" s="87" t="s">
        <v>95</v>
      </c>
      <c r="G117" s="94">
        <v>1.404398E7</v>
      </c>
      <c r="H117" s="87"/>
      <c r="I117" s="87" t="s">
        <v>128</v>
      </c>
    </row>
    <row r="118">
      <c r="A118" s="87">
        <v>1137.0</v>
      </c>
      <c r="B118" s="87" t="s">
        <v>127</v>
      </c>
      <c r="C118" s="93">
        <v>1.0</v>
      </c>
      <c r="D118" s="87" t="s">
        <v>39</v>
      </c>
      <c r="E118" s="87" t="s">
        <v>40</v>
      </c>
      <c r="F118" s="87" t="s">
        <v>95</v>
      </c>
      <c r="G118" s="94">
        <v>7.6813088E7</v>
      </c>
      <c r="H118" s="87" t="s">
        <v>129</v>
      </c>
      <c r="I118" s="87" t="s">
        <v>130</v>
      </c>
    </row>
    <row r="119">
      <c r="A119" s="87">
        <v>1138.0</v>
      </c>
      <c r="B119" s="87" t="s">
        <v>127</v>
      </c>
      <c r="C119" s="93">
        <v>1.0</v>
      </c>
      <c r="D119" s="87" t="s">
        <v>39</v>
      </c>
      <c r="E119" s="87" t="s">
        <v>40</v>
      </c>
      <c r="F119" s="87" t="s">
        <v>95</v>
      </c>
      <c r="G119" s="94">
        <v>7.6830705E7</v>
      </c>
      <c r="H119" s="87" t="s">
        <v>131</v>
      </c>
      <c r="I119" s="87" t="s">
        <v>130</v>
      </c>
    </row>
    <row r="120">
      <c r="A120" s="87">
        <v>1155.0</v>
      </c>
      <c r="B120" s="87" t="s">
        <v>127</v>
      </c>
      <c r="C120" s="93">
        <v>1.0</v>
      </c>
      <c r="D120" s="87" t="s">
        <v>39</v>
      </c>
      <c r="E120" s="87" t="s">
        <v>40</v>
      </c>
      <c r="F120" s="87" t="s">
        <v>95</v>
      </c>
      <c r="G120" s="94">
        <v>7.6704882E7</v>
      </c>
      <c r="H120" s="87"/>
      <c r="I120" s="87"/>
    </row>
    <row r="121">
      <c r="A121" s="87">
        <v>1156.0</v>
      </c>
      <c r="B121" s="87" t="s">
        <v>127</v>
      </c>
      <c r="C121" s="93">
        <v>1.0</v>
      </c>
      <c r="D121" s="87" t="s">
        <v>39</v>
      </c>
      <c r="E121" s="87" t="s">
        <v>40</v>
      </c>
      <c r="F121" s="87" t="s">
        <v>95</v>
      </c>
      <c r="G121" s="94">
        <v>7.670489E7</v>
      </c>
      <c r="H121" s="87"/>
      <c r="I121" s="87"/>
    </row>
    <row r="122">
      <c r="A122" s="87">
        <v>1253.0</v>
      </c>
      <c r="B122" s="87" t="s">
        <v>127</v>
      </c>
      <c r="C122" s="93">
        <v>1.0</v>
      </c>
      <c r="D122" s="87" t="s">
        <v>39</v>
      </c>
      <c r="E122" s="87" t="s">
        <v>40</v>
      </c>
      <c r="F122" s="87" t="s">
        <v>95</v>
      </c>
      <c r="G122" s="94">
        <v>7.6905284E7</v>
      </c>
      <c r="H122" s="87"/>
      <c r="I122" s="87" t="s">
        <v>132</v>
      </c>
    </row>
    <row r="123">
      <c r="A123" s="87">
        <v>1254.0</v>
      </c>
      <c r="B123" s="87" t="s">
        <v>127</v>
      </c>
      <c r="C123" s="93">
        <v>1.0</v>
      </c>
      <c r="D123" s="87" t="s">
        <v>39</v>
      </c>
      <c r="E123" s="87" t="s">
        <v>40</v>
      </c>
      <c r="F123" s="87" t="s">
        <v>95</v>
      </c>
      <c r="G123" s="94">
        <v>7.6905292E7</v>
      </c>
      <c r="H123" s="87"/>
      <c r="I123" s="87" t="s">
        <v>132</v>
      </c>
    </row>
    <row r="124">
      <c r="A124" s="87">
        <v>1363.0</v>
      </c>
      <c r="B124" s="87" t="s">
        <v>133</v>
      </c>
      <c r="C124" s="93">
        <v>1.0</v>
      </c>
      <c r="D124" s="87" t="s">
        <v>39</v>
      </c>
      <c r="E124" s="87" t="s">
        <v>40</v>
      </c>
      <c r="F124" s="87" t="s">
        <v>95</v>
      </c>
      <c r="G124" s="94">
        <v>7.6904415E7</v>
      </c>
      <c r="H124" s="87"/>
      <c r="I124" s="87"/>
    </row>
    <row r="125">
      <c r="A125" s="87">
        <v>497.0</v>
      </c>
      <c r="B125" s="87" t="s">
        <v>134</v>
      </c>
      <c r="C125" s="93">
        <v>1.0</v>
      </c>
      <c r="D125" s="87" t="s">
        <v>39</v>
      </c>
      <c r="E125" s="87" t="s">
        <v>40</v>
      </c>
      <c r="F125" s="87" t="s">
        <v>95</v>
      </c>
      <c r="G125" s="94">
        <v>1.3765809E7</v>
      </c>
      <c r="H125" s="87"/>
      <c r="I125" s="87"/>
    </row>
    <row r="126">
      <c r="A126" s="87">
        <v>953.0</v>
      </c>
      <c r="B126" s="87" t="s">
        <v>134</v>
      </c>
      <c r="C126" s="93">
        <v>1.0</v>
      </c>
      <c r="D126" s="87" t="s">
        <v>39</v>
      </c>
      <c r="E126" s="87" t="s">
        <v>40</v>
      </c>
      <c r="F126" s="87" t="s">
        <v>95</v>
      </c>
      <c r="G126" s="94">
        <v>7.6669165E7</v>
      </c>
      <c r="H126" s="87"/>
      <c r="I126" s="87" t="s">
        <v>135</v>
      </c>
    </row>
    <row r="127">
      <c r="A127" s="87">
        <v>1362.0</v>
      </c>
      <c r="B127" s="87" t="s">
        <v>134</v>
      </c>
      <c r="C127" s="93">
        <v>1.0</v>
      </c>
      <c r="D127" s="87" t="s">
        <v>39</v>
      </c>
      <c r="E127" s="87" t="s">
        <v>40</v>
      </c>
      <c r="F127" s="87" t="s">
        <v>95</v>
      </c>
      <c r="G127" s="94">
        <v>7.6878635E7</v>
      </c>
      <c r="H127" s="87"/>
      <c r="I127" s="87" t="s">
        <v>136</v>
      </c>
    </row>
    <row r="128">
      <c r="A128" s="87">
        <v>621.0</v>
      </c>
      <c r="B128" s="87" t="s">
        <v>137</v>
      </c>
      <c r="C128" s="93">
        <v>1.0</v>
      </c>
      <c r="D128" s="87" t="s">
        <v>39</v>
      </c>
      <c r="E128" s="87" t="s">
        <v>40</v>
      </c>
      <c r="F128" s="87" t="s">
        <v>95</v>
      </c>
      <c r="G128" s="94">
        <v>4.0161927E7</v>
      </c>
      <c r="H128" s="87"/>
      <c r="I128" s="87" t="s">
        <v>138</v>
      </c>
    </row>
    <row r="129">
      <c r="A129" s="87">
        <v>622.0</v>
      </c>
      <c r="B129" s="87" t="s">
        <v>137</v>
      </c>
      <c r="C129" s="93">
        <v>1.0</v>
      </c>
      <c r="D129" s="87" t="s">
        <v>39</v>
      </c>
      <c r="E129" s="87" t="s">
        <v>40</v>
      </c>
      <c r="F129" s="87" t="s">
        <v>95</v>
      </c>
      <c r="G129" s="94">
        <v>4.0164055E7</v>
      </c>
      <c r="H129" s="87"/>
      <c r="I129" s="87" t="s">
        <v>139</v>
      </c>
    </row>
    <row r="130">
      <c r="A130" s="87">
        <v>623.0</v>
      </c>
      <c r="B130" s="87" t="s">
        <v>137</v>
      </c>
      <c r="C130" s="93">
        <v>1.0</v>
      </c>
      <c r="D130" s="87" t="s">
        <v>39</v>
      </c>
      <c r="E130" s="87" t="s">
        <v>40</v>
      </c>
      <c r="F130" s="87" t="s">
        <v>95</v>
      </c>
      <c r="G130" s="94">
        <v>4.0164357E7</v>
      </c>
      <c r="H130" s="87"/>
      <c r="I130" s="87" t="s">
        <v>139</v>
      </c>
    </row>
    <row r="131">
      <c r="A131" s="87">
        <v>624.0</v>
      </c>
      <c r="B131" s="87" t="s">
        <v>137</v>
      </c>
      <c r="C131" s="93">
        <v>1.0</v>
      </c>
      <c r="D131" s="87" t="s">
        <v>39</v>
      </c>
      <c r="E131" s="87" t="s">
        <v>40</v>
      </c>
      <c r="F131" s="87" t="s">
        <v>95</v>
      </c>
      <c r="G131" s="94">
        <v>4.0165477E7</v>
      </c>
      <c r="H131" s="87"/>
      <c r="I131" s="87" t="s">
        <v>140</v>
      </c>
    </row>
    <row r="132">
      <c r="A132" s="87">
        <v>626.0</v>
      </c>
      <c r="B132" s="87" t="s">
        <v>137</v>
      </c>
      <c r="C132" s="93">
        <v>1.0</v>
      </c>
      <c r="D132" s="87" t="s">
        <v>39</v>
      </c>
      <c r="E132" s="87" t="s">
        <v>40</v>
      </c>
      <c r="F132" s="87" t="s">
        <v>95</v>
      </c>
      <c r="G132" s="94">
        <v>4.0165744E7</v>
      </c>
      <c r="H132" s="87"/>
      <c r="I132" s="87" t="s">
        <v>140</v>
      </c>
    </row>
    <row r="133">
      <c r="A133" s="87">
        <v>1238.0</v>
      </c>
      <c r="B133" s="87" t="s">
        <v>137</v>
      </c>
      <c r="C133" s="93">
        <v>1.0</v>
      </c>
      <c r="D133" s="87" t="s">
        <v>39</v>
      </c>
      <c r="E133" s="87" t="s">
        <v>40</v>
      </c>
      <c r="F133" s="87" t="s">
        <v>95</v>
      </c>
      <c r="G133" s="94">
        <v>7.6904172E7</v>
      </c>
      <c r="H133" s="87" t="s">
        <v>141</v>
      </c>
      <c r="I133" s="87" t="s">
        <v>142</v>
      </c>
    </row>
    <row r="134">
      <c r="A134" s="87">
        <v>1241.0</v>
      </c>
      <c r="B134" s="87" t="s">
        <v>137</v>
      </c>
      <c r="C134" s="93">
        <v>1.0</v>
      </c>
      <c r="D134" s="87" t="s">
        <v>39</v>
      </c>
      <c r="E134" s="87" t="s">
        <v>40</v>
      </c>
      <c r="F134" s="87" t="s">
        <v>95</v>
      </c>
      <c r="G134" s="94">
        <v>7.6904202E7</v>
      </c>
      <c r="H134" s="87" t="s">
        <v>143</v>
      </c>
      <c r="I134" s="87" t="s">
        <v>144</v>
      </c>
    </row>
    <row r="135">
      <c r="A135" s="87">
        <v>659.0</v>
      </c>
      <c r="B135" s="87" t="s">
        <v>145</v>
      </c>
      <c r="C135" s="93">
        <v>1.0</v>
      </c>
      <c r="D135" s="87" t="s">
        <v>39</v>
      </c>
      <c r="E135" s="87" t="s">
        <v>40</v>
      </c>
      <c r="F135" s="87" t="s">
        <v>95</v>
      </c>
      <c r="G135" s="94">
        <v>4.0281876E7</v>
      </c>
      <c r="H135" s="87"/>
      <c r="I135" s="87" t="s">
        <v>146</v>
      </c>
    </row>
    <row r="136">
      <c r="A136" s="87">
        <v>543.0</v>
      </c>
      <c r="B136" s="87" t="s">
        <v>147</v>
      </c>
      <c r="C136" s="93">
        <v>5.0</v>
      </c>
      <c r="D136" s="87" t="s">
        <v>39</v>
      </c>
      <c r="E136" s="87" t="s">
        <v>40</v>
      </c>
      <c r="F136" s="87" t="s">
        <v>95</v>
      </c>
      <c r="G136" s="94">
        <v>45547.0</v>
      </c>
      <c r="H136" s="87"/>
      <c r="I136" s="87"/>
    </row>
    <row r="137">
      <c r="A137" s="87">
        <v>537.0</v>
      </c>
      <c r="B137" s="87" t="s">
        <v>148</v>
      </c>
      <c r="C137" s="93">
        <v>20.0</v>
      </c>
      <c r="D137" s="87" t="s">
        <v>39</v>
      </c>
      <c r="E137" s="87" t="s">
        <v>40</v>
      </c>
      <c r="F137" s="87" t="s">
        <v>95</v>
      </c>
      <c r="G137" s="94">
        <v>45523.0</v>
      </c>
      <c r="H137" s="87"/>
      <c r="I137" s="87"/>
    </row>
    <row r="138">
      <c r="A138" s="87">
        <v>512.0</v>
      </c>
      <c r="B138" s="87" t="s">
        <v>149</v>
      </c>
      <c r="C138" s="93">
        <v>1.0</v>
      </c>
      <c r="D138" s="87" t="s">
        <v>39</v>
      </c>
      <c r="E138" s="87" t="s">
        <v>40</v>
      </c>
      <c r="F138" s="87" t="s">
        <v>95</v>
      </c>
      <c r="G138" s="94">
        <v>1.3859943E7</v>
      </c>
      <c r="H138" s="87"/>
      <c r="I138" s="87"/>
    </row>
    <row r="139">
      <c r="A139" s="87">
        <v>278.0</v>
      </c>
      <c r="B139" s="87" t="s">
        <v>150</v>
      </c>
      <c r="C139" s="93">
        <v>1.0</v>
      </c>
      <c r="D139" s="87" t="s">
        <v>39</v>
      </c>
      <c r="E139" s="87" t="s">
        <v>40</v>
      </c>
      <c r="F139" s="87" t="s">
        <v>95</v>
      </c>
      <c r="G139" s="94">
        <v>45526.0</v>
      </c>
      <c r="H139" s="87"/>
      <c r="I139" s="87" t="s">
        <v>151</v>
      </c>
    </row>
    <row r="140">
      <c r="A140" s="87">
        <v>409.0</v>
      </c>
      <c r="B140" s="87" t="s">
        <v>150</v>
      </c>
      <c r="C140" s="93">
        <v>1.0</v>
      </c>
      <c r="D140" s="87" t="s">
        <v>39</v>
      </c>
      <c r="E140" s="87" t="s">
        <v>40</v>
      </c>
      <c r="F140" s="87" t="s">
        <v>95</v>
      </c>
      <c r="G140" s="94">
        <v>45533.0</v>
      </c>
      <c r="H140" s="87"/>
      <c r="I140" s="87"/>
    </row>
    <row r="141">
      <c r="A141" s="87">
        <v>363.0</v>
      </c>
      <c r="B141" s="87" t="s">
        <v>152</v>
      </c>
      <c r="C141" s="93">
        <v>1.0</v>
      </c>
      <c r="D141" s="87" t="s">
        <v>39</v>
      </c>
      <c r="E141" s="87" t="s">
        <v>40</v>
      </c>
      <c r="F141" s="87" t="s">
        <v>95</v>
      </c>
      <c r="G141" s="94">
        <v>45533.0</v>
      </c>
      <c r="H141" s="87"/>
      <c r="I141" s="87"/>
    </row>
    <row r="142">
      <c r="A142" s="87">
        <v>1161.0</v>
      </c>
      <c r="B142" s="87" t="s">
        <v>153</v>
      </c>
      <c r="C142" s="93">
        <v>1.0</v>
      </c>
      <c r="D142" s="87" t="s">
        <v>39</v>
      </c>
      <c r="E142" s="87" t="s">
        <v>40</v>
      </c>
      <c r="F142" s="87" t="s">
        <v>95</v>
      </c>
      <c r="G142" s="94">
        <v>7.6857239E7</v>
      </c>
      <c r="H142" s="87" t="s">
        <v>154</v>
      </c>
      <c r="I142" s="87" t="s">
        <v>155</v>
      </c>
    </row>
    <row r="143">
      <c r="A143" s="87">
        <v>1503.0</v>
      </c>
      <c r="B143" s="87" t="s">
        <v>153</v>
      </c>
      <c r="C143" s="93">
        <v>1.0</v>
      </c>
      <c r="D143" s="87" t="s">
        <v>39</v>
      </c>
      <c r="E143" s="87" t="s">
        <v>40</v>
      </c>
      <c r="F143" s="87" t="s">
        <v>95</v>
      </c>
      <c r="G143" s="94">
        <v>7.6950867E7</v>
      </c>
      <c r="H143" s="87"/>
      <c r="I143" s="87"/>
    </row>
    <row r="144">
      <c r="A144" s="87">
        <v>1504.0</v>
      </c>
      <c r="B144" s="87" t="s">
        <v>153</v>
      </c>
      <c r="C144" s="93">
        <v>1.0</v>
      </c>
      <c r="D144" s="87" t="s">
        <v>39</v>
      </c>
      <c r="E144" s="87" t="s">
        <v>40</v>
      </c>
      <c r="F144" s="87" t="s">
        <v>95</v>
      </c>
      <c r="G144" s="94">
        <v>7.6950891E7</v>
      </c>
      <c r="H144" s="87"/>
      <c r="I144" s="87"/>
    </row>
    <row r="145">
      <c r="A145" s="87">
        <v>402.0</v>
      </c>
      <c r="B145" s="87" t="s">
        <v>156</v>
      </c>
      <c r="C145" s="93">
        <v>1.0</v>
      </c>
      <c r="D145" s="87" t="s">
        <v>39</v>
      </c>
      <c r="E145" s="87" t="s">
        <v>40</v>
      </c>
      <c r="F145" s="87" t="s">
        <v>95</v>
      </c>
      <c r="G145" s="94">
        <v>45533.0</v>
      </c>
      <c r="H145" s="87"/>
      <c r="I145" s="87"/>
    </row>
    <row r="146">
      <c r="A146" s="87">
        <v>1459.0</v>
      </c>
      <c r="B146" s="87" t="s">
        <v>157</v>
      </c>
      <c r="C146" s="93">
        <v>1.0</v>
      </c>
      <c r="D146" s="87" t="s">
        <v>39</v>
      </c>
      <c r="E146" s="87" t="s">
        <v>40</v>
      </c>
      <c r="F146" s="87" t="s">
        <v>95</v>
      </c>
      <c r="G146" s="94">
        <v>7.691813E7</v>
      </c>
      <c r="H146" s="87"/>
      <c r="I146" s="87"/>
    </row>
    <row r="147">
      <c r="A147" s="87">
        <v>1190.0</v>
      </c>
      <c r="B147" s="87" t="s">
        <v>158</v>
      </c>
      <c r="C147" s="93">
        <v>1.0</v>
      </c>
      <c r="D147" s="87" t="s">
        <v>39</v>
      </c>
      <c r="E147" s="87" t="s">
        <v>40</v>
      </c>
      <c r="F147" s="87" t="s">
        <v>95</v>
      </c>
      <c r="G147" s="94">
        <v>7.687423E7</v>
      </c>
      <c r="H147" s="87"/>
      <c r="I147" s="87"/>
    </row>
    <row r="148">
      <c r="A148" s="87">
        <v>542.0</v>
      </c>
      <c r="B148" s="87" t="s">
        <v>159</v>
      </c>
      <c r="C148" s="93">
        <v>4.0</v>
      </c>
      <c r="D148" s="87" t="s">
        <v>39</v>
      </c>
      <c r="E148" s="87" t="s">
        <v>40</v>
      </c>
      <c r="F148" s="87" t="s">
        <v>95</v>
      </c>
      <c r="G148" s="94">
        <v>45547.0</v>
      </c>
      <c r="H148" s="87"/>
      <c r="I148" s="87"/>
    </row>
    <row r="149">
      <c r="A149" s="87">
        <v>556.0</v>
      </c>
      <c r="B149" s="87" t="s">
        <v>159</v>
      </c>
      <c r="C149" s="93">
        <v>4.0</v>
      </c>
      <c r="D149" s="87" t="s">
        <v>39</v>
      </c>
      <c r="E149" s="87" t="s">
        <v>40</v>
      </c>
      <c r="F149" s="87" t="s">
        <v>95</v>
      </c>
      <c r="G149" s="94">
        <v>45544.0</v>
      </c>
      <c r="H149" s="87"/>
      <c r="I149" s="87" t="s">
        <v>160</v>
      </c>
    </row>
    <row r="150">
      <c r="A150" s="87">
        <v>507.0</v>
      </c>
      <c r="B150" s="87" t="s">
        <v>161</v>
      </c>
      <c r="C150" s="93">
        <v>1.0</v>
      </c>
      <c r="D150" s="87" t="s">
        <v>39</v>
      </c>
      <c r="E150" s="87" t="s">
        <v>40</v>
      </c>
      <c r="F150" s="87" t="s">
        <v>95</v>
      </c>
      <c r="G150" s="94">
        <v>1.37807E7</v>
      </c>
      <c r="H150" s="87"/>
      <c r="I150" s="87" t="s">
        <v>162</v>
      </c>
    </row>
    <row r="151">
      <c r="A151" s="87">
        <v>506.0</v>
      </c>
      <c r="B151" s="87" t="s">
        <v>163</v>
      </c>
      <c r="C151" s="93">
        <v>1.0</v>
      </c>
      <c r="D151" s="87" t="s">
        <v>39</v>
      </c>
      <c r="E151" s="87" t="s">
        <v>40</v>
      </c>
      <c r="F151" s="87" t="s">
        <v>95</v>
      </c>
      <c r="G151" s="94">
        <v>1.3780697E7</v>
      </c>
      <c r="H151" s="87"/>
      <c r="I151" s="87" t="s">
        <v>164</v>
      </c>
    </row>
    <row r="152">
      <c r="A152" s="87">
        <v>370.0</v>
      </c>
      <c r="B152" s="87" t="s">
        <v>165</v>
      </c>
      <c r="C152" s="93">
        <v>1.0</v>
      </c>
      <c r="D152" s="87" t="s">
        <v>39</v>
      </c>
      <c r="E152" s="87" t="s">
        <v>40</v>
      </c>
      <c r="F152" s="87" t="s">
        <v>95</v>
      </c>
      <c r="G152" s="94">
        <v>45533.0</v>
      </c>
      <c r="H152" s="87"/>
      <c r="I152" s="87"/>
    </row>
    <row r="153">
      <c r="A153" s="87">
        <v>1574.0</v>
      </c>
      <c r="B153" s="87" t="s">
        <v>166</v>
      </c>
      <c r="C153" s="93">
        <v>1.0</v>
      </c>
      <c r="D153" s="87" t="s">
        <v>39</v>
      </c>
      <c r="E153" s="87" t="s">
        <v>40</v>
      </c>
      <c r="F153" s="87" t="s">
        <v>95</v>
      </c>
      <c r="G153" s="94">
        <v>7.6950166E7</v>
      </c>
      <c r="H153" s="87"/>
      <c r="I153" s="87"/>
    </row>
    <row r="154">
      <c r="A154" s="87">
        <v>1575.0</v>
      </c>
      <c r="B154" s="87" t="s">
        <v>166</v>
      </c>
      <c r="C154" s="93">
        <v>1.0</v>
      </c>
      <c r="D154" s="87" t="s">
        <v>39</v>
      </c>
      <c r="E154" s="87" t="s">
        <v>40</v>
      </c>
      <c r="F154" s="87" t="s">
        <v>95</v>
      </c>
      <c r="G154" s="94">
        <v>7.6950174E7</v>
      </c>
      <c r="H154" s="87"/>
      <c r="I154" s="87"/>
    </row>
    <row r="155">
      <c r="A155" s="87">
        <v>1576.0</v>
      </c>
      <c r="B155" s="87" t="s">
        <v>166</v>
      </c>
      <c r="C155" s="93">
        <v>1.0</v>
      </c>
      <c r="D155" s="87" t="s">
        <v>39</v>
      </c>
      <c r="E155" s="87" t="s">
        <v>40</v>
      </c>
      <c r="F155" s="87" t="s">
        <v>95</v>
      </c>
      <c r="G155" s="94">
        <v>7.6950484E7</v>
      </c>
      <c r="H155" s="87"/>
      <c r="I155" s="87"/>
    </row>
    <row r="156">
      <c r="A156" s="87">
        <v>552.0</v>
      </c>
      <c r="B156" s="87" t="s">
        <v>167</v>
      </c>
      <c r="C156" s="93">
        <v>20.0</v>
      </c>
      <c r="D156" s="87" t="s">
        <v>39</v>
      </c>
      <c r="E156" s="87" t="s">
        <v>40</v>
      </c>
      <c r="F156" s="87" t="s">
        <v>95</v>
      </c>
      <c r="G156" s="94">
        <v>45544.0</v>
      </c>
      <c r="H156" s="87"/>
      <c r="I156" s="87"/>
    </row>
    <row r="157">
      <c r="A157" s="87">
        <v>551.0</v>
      </c>
      <c r="B157" s="87" t="s">
        <v>168</v>
      </c>
      <c r="C157" s="93">
        <v>10.0</v>
      </c>
      <c r="D157" s="87" t="s">
        <v>39</v>
      </c>
      <c r="E157" s="87" t="s">
        <v>40</v>
      </c>
      <c r="F157" s="87" t="s">
        <v>95</v>
      </c>
      <c r="G157" s="94">
        <v>45544.0</v>
      </c>
      <c r="H157" s="87"/>
      <c r="I157" s="87"/>
    </row>
    <row r="158">
      <c r="A158" s="87">
        <v>442.0</v>
      </c>
      <c r="B158" s="87" t="s">
        <v>169</v>
      </c>
      <c r="C158" s="93">
        <v>1.0</v>
      </c>
      <c r="D158" s="87" t="s">
        <v>39</v>
      </c>
      <c r="E158" s="87" t="s">
        <v>26</v>
      </c>
      <c r="F158" s="87" t="s">
        <v>95</v>
      </c>
      <c r="G158" s="94">
        <v>45527.0</v>
      </c>
      <c r="H158" s="87"/>
      <c r="I158" s="87"/>
    </row>
    <row r="159">
      <c r="A159" s="87">
        <v>443.0</v>
      </c>
      <c r="B159" s="87" t="s">
        <v>170</v>
      </c>
      <c r="C159" s="93">
        <v>1.0</v>
      </c>
      <c r="D159" s="87" t="s">
        <v>39</v>
      </c>
      <c r="E159" s="87" t="s">
        <v>26</v>
      </c>
      <c r="F159" s="87" t="s">
        <v>95</v>
      </c>
      <c r="G159" s="94">
        <v>45527.0</v>
      </c>
      <c r="H159" s="87"/>
      <c r="I159" s="87"/>
    </row>
    <row r="160">
      <c r="A160" s="87">
        <v>671.0</v>
      </c>
      <c r="B160" s="87" t="s">
        <v>171</v>
      </c>
      <c r="C160" s="93">
        <v>2.0</v>
      </c>
      <c r="D160" s="87" t="s">
        <v>39</v>
      </c>
      <c r="E160" s="87" t="s">
        <v>40</v>
      </c>
      <c r="F160" s="87" t="s">
        <v>95</v>
      </c>
      <c r="G160" s="94">
        <v>45527.0</v>
      </c>
      <c r="H160" s="87"/>
      <c r="I160" s="87" t="s">
        <v>172</v>
      </c>
    </row>
    <row r="161">
      <c r="A161" s="87">
        <v>444.0</v>
      </c>
      <c r="B161" s="87" t="s">
        <v>173</v>
      </c>
      <c r="C161" s="93">
        <v>1.0</v>
      </c>
      <c r="D161" s="87" t="s">
        <v>39</v>
      </c>
      <c r="E161" s="87" t="s">
        <v>26</v>
      </c>
      <c r="F161" s="87" t="s">
        <v>95</v>
      </c>
      <c r="G161" s="94">
        <v>45527.0</v>
      </c>
      <c r="H161" s="87"/>
      <c r="I161" s="87"/>
    </row>
    <row r="162">
      <c r="A162" s="87">
        <v>11.0</v>
      </c>
      <c r="B162" s="87" t="s">
        <v>174</v>
      </c>
      <c r="C162" s="93">
        <v>1.0</v>
      </c>
      <c r="D162" s="87" t="s">
        <v>39</v>
      </c>
      <c r="E162" s="87" t="s">
        <v>40</v>
      </c>
      <c r="F162" s="87" t="s">
        <v>95</v>
      </c>
      <c r="G162" s="94">
        <v>45527.0</v>
      </c>
      <c r="H162" s="87"/>
      <c r="I162" s="87"/>
    </row>
    <row r="163">
      <c r="A163" s="87">
        <v>987.0</v>
      </c>
      <c r="B163" s="87" t="s">
        <v>175</v>
      </c>
      <c r="C163" s="93">
        <v>1.0</v>
      </c>
      <c r="D163" s="87" t="s">
        <v>39</v>
      </c>
      <c r="E163" s="87" t="s">
        <v>40</v>
      </c>
      <c r="F163" s="87" t="s">
        <v>95</v>
      </c>
      <c r="G163" s="94">
        <v>7.6715507E7</v>
      </c>
      <c r="H163" s="87"/>
      <c r="I163" s="87"/>
    </row>
    <row r="164">
      <c r="A164" s="87">
        <v>988.0</v>
      </c>
      <c r="B164" s="87" t="s">
        <v>175</v>
      </c>
      <c r="C164" s="93">
        <v>1.0</v>
      </c>
      <c r="D164" s="87" t="s">
        <v>39</v>
      </c>
      <c r="E164" s="87" t="s">
        <v>40</v>
      </c>
      <c r="F164" s="87" t="s">
        <v>95</v>
      </c>
      <c r="G164" s="94">
        <v>7.6715515E7</v>
      </c>
      <c r="H164" s="87"/>
      <c r="I164" s="87"/>
    </row>
    <row r="165">
      <c r="A165" s="87">
        <v>550.0</v>
      </c>
      <c r="B165" s="87" t="s">
        <v>176</v>
      </c>
      <c r="C165" s="93">
        <v>13.0</v>
      </c>
      <c r="D165" s="87" t="s">
        <v>39</v>
      </c>
      <c r="E165" s="87" t="s">
        <v>40</v>
      </c>
      <c r="F165" s="87" t="s">
        <v>95</v>
      </c>
      <c r="G165" s="94">
        <v>45520.0</v>
      </c>
      <c r="H165" s="87"/>
      <c r="I165" s="87"/>
    </row>
    <row r="166">
      <c r="A166" s="87">
        <v>548.0</v>
      </c>
      <c r="B166" s="87" t="s">
        <v>177</v>
      </c>
      <c r="C166" s="93">
        <v>1.0</v>
      </c>
      <c r="D166" s="87" t="s">
        <v>39</v>
      </c>
      <c r="E166" s="87" t="s">
        <v>40</v>
      </c>
      <c r="F166" s="87" t="s">
        <v>95</v>
      </c>
      <c r="G166" s="94">
        <v>1.3998765E7</v>
      </c>
      <c r="H166" s="87"/>
      <c r="I166" s="87" t="s">
        <v>178</v>
      </c>
    </row>
    <row r="167">
      <c r="A167" s="87">
        <v>1317.0</v>
      </c>
      <c r="B167" s="87" t="s">
        <v>179</v>
      </c>
      <c r="C167" s="93">
        <v>1.0</v>
      </c>
      <c r="D167" s="87" t="s">
        <v>39</v>
      </c>
      <c r="E167" s="87" t="s">
        <v>40</v>
      </c>
      <c r="F167" s="87" t="s">
        <v>95</v>
      </c>
      <c r="G167" s="94">
        <v>7.6875504E7</v>
      </c>
      <c r="H167" s="87"/>
      <c r="I167" s="87" t="s">
        <v>180</v>
      </c>
    </row>
    <row r="168">
      <c r="A168" s="87">
        <v>1273.0</v>
      </c>
      <c r="B168" s="87" t="s">
        <v>181</v>
      </c>
      <c r="C168" s="93">
        <v>1.0</v>
      </c>
      <c r="D168" s="87" t="s">
        <v>39</v>
      </c>
      <c r="E168" s="87" t="s">
        <v>40</v>
      </c>
      <c r="F168" s="87" t="s">
        <v>95</v>
      </c>
      <c r="G168" s="94">
        <v>7.6837556E7</v>
      </c>
      <c r="H168" s="87" t="s">
        <v>182</v>
      </c>
      <c r="I168" s="87" t="s">
        <v>183</v>
      </c>
    </row>
    <row r="169">
      <c r="A169" s="87">
        <v>532.0</v>
      </c>
      <c r="B169" s="87" t="s">
        <v>184</v>
      </c>
      <c r="C169" s="93">
        <v>1.0</v>
      </c>
      <c r="D169" s="87" t="s">
        <v>39</v>
      </c>
      <c r="E169" s="87" t="s">
        <v>40</v>
      </c>
      <c r="F169" s="87" t="s">
        <v>95</v>
      </c>
      <c r="G169" s="94">
        <v>45573.0</v>
      </c>
      <c r="H169" s="87"/>
      <c r="I169" s="87"/>
    </row>
    <row r="170">
      <c r="A170" s="87">
        <v>394.0</v>
      </c>
      <c r="B170" s="87" t="s">
        <v>185</v>
      </c>
      <c r="C170" s="93">
        <v>1.0</v>
      </c>
      <c r="D170" s="87" t="s">
        <v>39</v>
      </c>
      <c r="E170" s="87" t="s">
        <v>40</v>
      </c>
      <c r="F170" s="87" t="s">
        <v>95</v>
      </c>
      <c r="G170" s="94">
        <v>1.405638E7</v>
      </c>
      <c r="H170" s="87" t="s">
        <v>186</v>
      </c>
      <c r="I170" s="87"/>
    </row>
    <row r="171">
      <c r="A171" s="87">
        <v>549.0</v>
      </c>
      <c r="B171" s="87" t="s">
        <v>185</v>
      </c>
      <c r="C171" s="93">
        <v>1.0</v>
      </c>
      <c r="D171" s="87" t="s">
        <v>39</v>
      </c>
      <c r="E171" s="87" t="s">
        <v>40</v>
      </c>
      <c r="F171" s="87" t="s">
        <v>95</v>
      </c>
      <c r="G171" s="94">
        <v>1.3998811E7</v>
      </c>
      <c r="H171" s="87" t="s">
        <v>187</v>
      </c>
      <c r="I171" s="87" t="s">
        <v>188</v>
      </c>
    </row>
    <row r="172">
      <c r="A172" s="87">
        <v>550.0</v>
      </c>
      <c r="B172" s="87" t="s">
        <v>185</v>
      </c>
      <c r="C172" s="93">
        <v>1.0</v>
      </c>
      <c r="D172" s="87" t="s">
        <v>39</v>
      </c>
      <c r="E172" s="87" t="s">
        <v>40</v>
      </c>
      <c r="F172" s="87" t="s">
        <v>95</v>
      </c>
      <c r="G172" s="94">
        <v>1.399896E7</v>
      </c>
      <c r="H172" s="87" t="s">
        <v>189</v>
      </c>
      <c r="I172" s="87" t="s">
        <v>190</v>
      </c>
    </row>
    <row r="173">
      <c r="A173" s="87">
        <v>664.0</v>
      </c>
      <c r="B173" s="87" t="s">
        <v>185</v>
      </c>
      <c r="C173" s="93">
        <v>1.0</v>
      </c>
      <c r="D173" s="87" t="s">
        <v>39</v>
      </c>
      <c r="E173" s="87" t="s">
        <v>40</v>
      </c>
      <c r="F173" s="87" t="s">
        <v>95</v>
      </c>
      <c r="G173" s="94">
        <v>4.032552E7</v>
      </c>
      <c r="H173" s="87" t="s">
        <v>191</v>
      </c>
      <c r="I173" s="87" t="s">
        <v>192</v>
      </c>
    </row>
    <row r="174">
      <c r="A174" s="87">
        <v>949.0</v>
      </c>
      <c r="B174" s="87" t="s">
        <v>185</v>
      </c>
      <c r="C174" s="93">
        <v>1.0</v>
      </c>
      <c r="D174" s="87" t="s">
        <v>39</v>
      </c>
      <c r="E174" s="87" t="s">
        <v>40</v>
      </c>
      <c r="F174" s="87" t="s">
        <v>95</v>
      </c>
      <c r="G174" s="94">
        <v>7.6666425E7</v>
      </c>
      <c r="H174" s="87"/>
      <c r="I174" s="87" t="s">
        <v>193</v>
      </c>
    </row>
    <row r="175">
      <c r="A175" s="87">
        <v>1035.0</v>
      </c>
      <c r="B175" s="87" t="s">
        <v>185</v>
      </c>
      <c r="C175" s="93">
        <v>1.0</v>
      </c>
      <c r="D175" s="87" t="s">
        <v>39</v>
      </c>
      <c r="E175" s="87" t="s">
        <v>40</v>
      </c>
      <c r="F175" s="87" t="s">
        <v>95</v>
      </c>
      <c r="G175" s="94">
        <v>7.6738922E7</v>
      </c>
      <c r="H175" s="87"/>
      <c r="I175" s="87" t="s">
        <v>194</v>
      </c>
    </row>
    <row r="176">
      <c r="A176" s="87">
        <v>1192.0</v>
      </c>
      <c r="B176" s="87" t="s">
        <v>185</v>
      </c>
      <c r="C176" s="93">
        <v>1.0</v>
      </c>
      <c r="D176" s="87" t="s">
        <v>39</v>
      </c>
      <c r="E176" s="87" t="s">
        <v>40</v>
      </c>
      <c r="F176" s="87" t="s">
        <v>95</v>
      </c>
      <c r="G176" s="94">
        <v>7.6875512E7</v>
      </c>
      <c r="H176" s="87"/>
      <c r="I176" s="87" t="s">
        <v>195</v>
      </c>
    </row>
    <row r="177">
      <c r="A177" s="87">
        <v>1193.0</v>
      </c>
      <c r="B177" s="87" t="s">
        <v>185</v>
      </c>
      <c r="C177" s="93">
        <v>1.0</v>
      </c>
      <c r="D177" s="87" t="s">
        <v>39</v>
      </c>
      <c r="E177" s="87" t="s">
        <v>40</v>
      </c>
      <c r="F177" s="87" t="s">
        <v>95</v>
      </c>
      <c r="G177" s="94">
        <v>7.6875628E7</v>
      </c>
      <c r="H177" s="87"/>
      <c r="I177" s="87" t="s">
        <v>194</v>
      </c>
    </row>
    <row r="178">
      <c r="A178" s="87">
        <v>544.0</v>
      </c>
      <c r="B178" s="87" t="s">
        <v>196</v>
      </c>
      <c r="C178" s="93">
        <v>10.0</v>
      </c>
      <c r="D178" s="87" t="s">
        <v>39</v>
      </c>
      <c r="E178" s="87" t="s">
        <v>40</v>
      </c>
      <c r="F178" s="87" t="s">
        <v>95</v>
      </c>
      <c r="G178" s="94">
        <v>45547.0</v>
      </c>
      <c r="H178" s="87"/>
      <c r="I178" s="87"/>
    </row>
    <row r="179">
      <c r="A179" s="87">
        <v>538.0</v>
      </c>
      <c r="B179" s="87" t="s">
        <v>197</v>
      </c>
      <c r="C179" s="93">
        <v>10.0</v>
      </c>
      <c r="D179" s="87" t="s">
        <v>39</v>
      </c>
      <c r="E179" s="87" t="s">
        <v>40</v>
      </c>
      <c r="F179" s="87" t="s">
        <v>95</v>
      </c>
      <c r="G179" s="94">
        <v>45523.0</v>
      </c>
      <c r="H179" s="87"/>
      <c r="I179" s="87"/>
    </row>
    <row r="180">
      <c r="A180" s="87">
        <v>1336.0</v>
      </c>
      <c r="B180" s="87" t="s">
        <v>198</v>
      </c>
      <c r="C180" s="93">
        <v>1.0</v>
      </c>
      <c r="D180" s="87" t="s">
        <v>39</v>
      </c>
      <c r="E180" s="87" t="s">
        <v>40</v>
      </c>
      <c r="F180" s="87" t="s">
        <v>95</v>
      </c>
      <c r="G180" s="94">
        <v>7.6878694E7</v>
      </c>
      <c r="H180" s="87"/>
      <c r="I180" s="87" t="s">
        <v>199</v>
      </c>
    </row>
    <row r="181">
      <c r="A181" s="87">
        <v>501.0</v>
      </c>
      <c r="B181" s="87" t="s">
        <v>200</v>
      </c>
      <c r="C181" s="93">
        <v>1.0</v>
      </c>
      <c r="D181" s="87" t="s">
        <v>39</v>
      </c>
      <c r="E181" s="87" t="s">
        <v>40</v>
      </c>
      <c r="F181" s="87" t="s">
        <v>95</v>
      </c>
      <c r="G181" s="94">
        <v>1.376612E7</v>
      </c>
      <c r="H181" s="87"/>
      <c r="I181" s="87"/>
    </row>
    <row r="182">
      <c r="A182" s="87">
        <v>1048.0</v>
      </c>
      <c r="B182" s="87" t="s">
        <v>201</v>
      </c>
      <c r="C182" s="93">
        <v>1.0</v>
      </c>
      <c r="D182" s="87" t="s">
        <v>39</v>
      </c>
      <c r="E182" s="87" t="s">
        <v>40</v>
      </c>
      <c r="F182" s="87" t="s">
        <v>95</v>
      </c>
      <c r="G182" s="94">
        <v>7.6792153E7</v>
      </c>
      <c r="H182" s="87"/>
      <c r="I182" s="87"/>
    </row>
    <row r="183">
      <c r="A183" s="87">
        <v>598.0</v>
      </c>
      <c r="B183" s="87" t="s">
        <v>202</v>
      </c>
      <c r="C183" s="93">
        <v>1.0</v>
      </c>
      <c r="D183" s="87" t="s">
        <v>39</v>
      </c>
      <c r="E183" s="87" t="s">
        <v>40</v>
      </c>
      <c r="F183" s="87" t="s">
        <v>95</v>
      </c>
      <c r="G183" s="94">
        <v>4.0084604E7</v>
      </c>
      <c r="H183" s="87" t="s">
        <v>203</v>
      </c>
      <c r="I183" s="87" t="s">
        <v>204</v>
      </c>
    </row>
    <row r="184">
      <c r="A184" s="87">
        <v>842.0</v>
      </c>
      <c r="B184" s="87" t="s">
        <v>202</v>
      </c>
      <c r="C184" s="93">
        <v>1.0</v>
      </c>
      <c r="D184" s="87" t="s">
        <v>39</v>
      </c>
      <c r="E184" s="87" t="s">
        <v>40</v>
      </c>
      <c r="F184" s="87" t="s">
        <v>95</v>
      </c>
      <c r="G184" s="94">
        <v>3.5507667E7</v>
      </c>
      <c r="H184" s="87"/>
      <c r="I184" s="87" t="s">
        <v>205</v>
      </c>
    </row>
    <row r="185">
      <c r="A185" s="87">
        <v>68.0</v>
      </c>
      <c r="B185" s="87" t="s">
        <v>206</v>
      </c>
      <c r="C185" s="93">
        <v>1.0</v>
      </c>
      <c r="D185" s="87" t="s">
        <v>39</v>
      </c>
      <c r="E185" s="87" t="s">
        <v>40</v>
      </c>
      <c r="F185" s="87" t="s">
        <v>95</v>
      </c>
      <c r="G185" s="94"/>
      <c r="H185" s="87"/>
      <c r="I185" s="87"/>
    </row>
    <row r="186">
      <c r="A186" s="87">
        <v>107.0</v>
      </c>
      <c r="B186" s="87" t="s">
        <v>207</v>
      </c>
      <c r="C186" s="93">
        <v>1.0</v>
      </c>
      <c r="D186" s="87" t="s">
        <v>39</v>
      </c>
      <c r="E186" s="87" t="s">
        <v>40</v>
      </c>
      <c r="F186" s="87" t="s">
        <v>95</v>
      </c>
      <c r="G186" s="94">
        <v>45525.0</v>
      </c>
      <c r="H186" s="87"/>
      <c r="I186" s="87"/>
    </row>
    <row r="187">
      <c r="A187" s="87">
        <v>546.0</v>
      </c>
      <c r="B187" s="87" t="s">
        <v>208</v>
      </c>
      <c r="C187" s="93">
        <v>10.0</v>
      </c>
      <c r="D187" s="87" t="s">
        <v>39</v>
      </c>
      <c r="E187" s="87" t="s">
        <v>40</v>
      </c>
      <c r="F187" s="87" t="s">
        <v>95</v>
      </c>
      <c r="G187" s="94">
        <v>45547.0</v>
      </c>
      <c r="H187" s="87"/>
      <c r="I187" s="87"/>
    </row>
    <row r="188">
      <c r="A188" s="87">
        <v>554.0</v>
      </c>
      <c r="B188" s="87" t="s">
        <v>209</v>
      </c>
      <c r="C188" s="93">
        <v>8.0</v>
      </c>
      <c r="D188" s="87" t="s">
        <v>39</v>
      </c>
      <c r="E188" s="87" t="s">
        <v>40</v>
      </c>
      <c r="F188" s="87" t="s">
        <v>95</v>
      </c>
      <c r="G188" s="94">
        <v>45544.0</v>
      </c>
      <c r="H188" s="87"/>
      <c r="I188" s="87" t="s">
        <v>210</v>
      </c>
    </row>
    <row r="189">
      <c r="A189" s="87">
        <v>558.0</v>
      </c>
      <c r="B189" s="87" t="s">
        <v>211</v>
      </c>
      <c r="C189" s="93">
        <v>40.0</v>
      </c>
      <c r="D189" s="87" t="s">
        <v>39</v>
      </c>
      <c r="E189" s="87" t="s">
        <v>40</v>
      </c>
      <c r="F189" s="87" t="s">
        <v>95</v>
      </c>
      <c r="G189" s="94">
        <v>45544.0</v>
      </c>
      <c r="H189" s="87"/>
      <c r="I189" s="87"/>
    </row>
    <row r="190">
      <c r="A190" s="87">
        <v>451.0</v>
      </c>
      <c r="B190" s="87" t="s">
        <v>212</v>
      </c>
      <c r="C190" s="93">
        <v>12.0</v>
      </c>
      <c r="D190" s="87" t="s">
        <v>39</v>
      </c>
      <c r="E190" s="87" t="s">
        <v>40</v>
      </c>
      <c r="F190" s="87" t="s">
        <v>95</v>
      </c>
      <c r="G190" s="94">
        <v>45623.0</v>
      </c>
      <c r="H190" s="87"/>
      <c r="I190" s="87"/>
    </row>
    <row r="191">
      <c r="A191" s="87">
        <v>536.0</v>
      </c>
      <c r="B191" s="87" t="s">
        <v>213</v>
      </c>
      <c r="C191" s="93">
        <v>8.0</v>
      </c>
      <c r="D191" s="87" t="s">
        <v>39</v>
      </c>
      <c r="E191" s="87" t="s">
        <v>40</v>
      </c>
      <c r="F191" s="87" t="s">
        <v>95</v>
      </c>
      <c r="G191" s="94">
        <v>45523.0</v>
      </c>
      <c r="H191" s="87"/>
      <c r="I191" s="87"/>
    </row>
    <row r="192">
      <c r="A192" s="87">
        <v>549.0</v>
      </c>
      <c r="B192" s="87" t="s">
        <v>214</v>
      </c>
      <c r="C192" s="93">
        <v>17.0</v>
      </c>
      <c r="D192" s="87" t="s">
        <v>39</v>
      </c>
      <c r="E192" s="87" t="s">
        <v>40</v>
      </c>
      <c r="F192" s="87" t="s">
        <v>95</v>
      </c>
      <c r="G192" s="94">
        <v>45520.0</v>
      </c>
      <c r="H192" s="87"/>
      <c r="I192" s="87"/>
    </row>
    <row r="193">
      <c r="A193" s="87">
        <v>500.0</v>
      </c>
      <c r="B193" s="87" t="s">
        <v>215</v>
      </c>
      <c r="C193" s="93">
        <v>1.0</v>
      </c>
      <c r="D193" s="87" t="s">
        <v>39</v>
      </c>
      <c r="E193" s="87" t="s">
        <v>40</v>
      </c>
      <c r="F193" s="87" t="s">
        <v>95</v>
      </c>
      <c r="G193" s="94"/>
      <c r="H193" s="87" t="s">
        <v>216</v>
      </c>
      <c r="I193" s="87" t="s">
        <v>217</v>
      </c>
    </row>
    <row r="194">
      <c r="A194" s="87">
        <v>533.0</v>
      </c>
      <c r="B194" s="87" t="s">
        <v>215</v>
      </c>
      <c r="C194" s="93">
        <v>1.0</v>
      </c>
      <c r="D194" s="87" t="s">
        <v>39</v>
      </c>
      <c r="E194" s="87" t="s">
        <v>40</v>
      </c>
      <c r="F194" s="87" t="s">
        <v>95</v>
      </c>
      <c r="G194" s="94"/>
      <c r="H194" s="87" t="s">
        <v>218</v>
      </c>
      <c r="I194" s="87" t="s">
        <v>219</v>
      </c>
    </row>
    <row r="195">
      <c r="A195" s="87">
        <v>819.0</v>
      </c>
      <c r="B195" s="87" t="s">
        <v>215</v>
      </c>
      <c r="C195" s="93">
        <v>1.0</v>
      </c>
      <c r="D195" s="87" t="s">
        <v>39</v>
      </c>
      <c r="E195" s="87" t="s">
        <v>40</v>
      </c>
      <c r="F195" s="87" t="s">
        <v>95</v>
      </c>
      <c r="G195" s="94"/>
      <c r="H195" s="87" t="s">
        <v>216</v>
      </c>
      <c r="I195" s="87" t="s">
        <v>217</v>
      </c>
    </row>
    <row r="196">
      <c r="A196" s="87">
        <v>820.0</v>
      </c>
      <c r="B196" s="87" t="s">
        <v>215</v>
      </c>
      <c r="C196" s="93">
        <v>1.0</v>
      </c>
      <c r="D196" s="87" t="s">
        <v>39</v>
      </c>
      <c r="E196" s="87" t="s">
        <v>40</v>
      </c>
      <c r="F196" s="87" t="s">
        <v>95</v>
      </c>
      <c r="G196" s="94"/>
      <c r="H196" s="87" t="s">
        <v>220</v>
      </c>
      <c r="I196" s="87" t="s">
        <v>217</v>
      </c>
    </row>
    <row r="197">
      <c r="A197" s="87">
        <v>534.0</v>
      </c>
      <c r="B197" s="87" t="s">
        <v>221</v>
      </c>
      <c r="C197" s="93">
        <v>20.0</v>
      </c>
      <c r="D197" s="87" t="s">
        <v>39</v>
      </c>
      <c r="E197" s="87" t="s">
        <v>40</v>
      </c>
      <c r="F197" s="87" t="s">
        <v>95</v>
      </c>
      <c r="G197" s="94">
        <v>45523.0</v>
      </c>
      <c r="H197" s="87"/>
      <c r="I197" s="87"/>
    </row>
    <row r="198">
      <c r="A198" s="87">
        <v>67.0</v>
      </c>
      <c r="B198" s="87" t="s">
        <v>222</v>
      </c>
      <c r="C198" s="93">
        <v>1.0</v>
      </c>
      <c r="D198" s="87" t="s">
        <v>39</v>
      </c>
      <c r="E198" s="87" t="s">
        <v>40</v>
      </c>
      <c r="F198" s="87" t="s">
        <v>95</v>
      </c>
      <c r="G198" s="94"/>
      <c r="H198" s="87"/>
      <c r="I198" s="87"/>
    </row>
    <row r="199">
      <c r="A199" s="87">
        <v>539.0</v>
      </c>
      <c r="B199" s="87" t="s">
        <v>223</v>
      </c>
      <c r="C199" s="93">
        <v>10.0</v>
      </c>
      <c r="D199" s="87" t="s">
        <v>39</v>
      </c>
      <c r="E199" s="87" t="s">
        <v>40</v>
      </c>
      <c r="F199" s="87" t="s">
        <v>95</v>
      </c>
      <c r="G199" s="94">
        <v>45547.0</v>
      </c>
      <c r="H199" s="87"/>
      <c r="I199" s="87"/>
    </row>
    <row r="200">
      <c r="A200" s="87">
        <v>789.0</v>
      </c>
      <c r="B200" s="87" t="s">
        <v>224</v>
      </c>
      <c r="C200" s="93">
        <v>25.0</v>
      </c>
      <c r="D200" s="87" t="s">
        <v>39</v>
      </c>
      <c r="E200" s="87" t="s">
        <v>40</v>
      </c>
      <c r="F200" s="87" t="s">
        <v>225</v>
      </c>
      <c r="G200" s="94"/>
      <c r="H200" s="87"/>
      <c r="I200" s="87"/>
    </row>
    <row r="201">
      <c r="A201" s="87">
        <v>796.0</v>
      </c>
      <c r="B201" s="87" t="s">
        <v>226</v>
      </c>
      <c r="C201" s="93">
        <v>4.0</v>
      </c>
      <c r="D201" s="87" t="s">
        <v>39</v>
      </c>
      <c r="E201" s="87" t="s">
        <v>40</v>
      </c>
      <c r="F201" s="87" t="s">
        <v>225</v>
      </c>
      <c r="G201" s="94"/>
      <c r="H201" s="87"/>
      <c r="I201" s="87"/>
    </row>
    <row r="202">
      <c r="A202" s="87">
        <v>795.0</v>
      </c>
      <c r="B202" s="87" t="s">
        <v>227</v>
      </c>
      <c r="C202" s="93">
        <v>1.0</v>
      </c>
      <c r="D202" s="87" t="s">
        <v>39</v>
      </c>
      <c r="E202" s="87" t="s">
        <v>40</v>
      </c>
      <c r="F202" s="87" t="s">
        <v>225</v>
      </c>
      <c r="G202" s="94"/>
      <c r="H202" s="87"/>
      <c r="I202" s="87"/>
    </row>
    <row r="203">
      <c r="A203" s="87">
        <v>798.0</v>
      </c>
      <c r="B203" s="87" t="s">
        <v>228</v>
      </c>
      <c r="C203" s="93">
        <v>3.0</v>
      </c>
      <c r="D203" s="87" t="s">
        <v>39</v>
      </c>
      <c r="E203" s="87" t="s">
        <v>40</v>
      </c>
      <c r="F203" s="87" t="s">
        <v>225</v>
      </c>
      <c r="G203" s="94"/>
      <c r="H203" s="87"/>
      <c r="I203" s="87"/>
    </row>
    <row r="204">
      <c r="A204" s="87">
        <v>799.0</v>
      </c>
      <c r="B204" s="87" t="s">
        <v>229</v>
      </c>
      <c r="C204" s="93">
        <v>9.0</v>
      </c>
      <c r="D204" s="87" t="s">
        <v>39</v>
      </c>
      <c r="E204" s="87" t="s">
        <v>40</v>
      </c>
      <c r="F204" s="87" t="s">
        <v>225</v>
      </c>
      <c r="G204" s="94"/>
      <c r="H204" s="87"/>
      <c r="I204" s="87"/>
    </row>
    <row r="205">
      <c r="A205" s="87">
        <v>792.0</v>
      </c>
      <c r="B205" s="87" t="s">
        <v>174</v>
      </c>
      <c r="C205" s="93">
        <v>6.0</v>
      </c>
      <c r="D205" s="87" t="s">
        <v>39</v>
      </c>
      <c r="E205" s="87" t="s">
        <v>40</v>
      </c>
      <c r="F205" s="87" t="s">
        <v>225</v>
      </c>
      <c r="G205" s="94"/>
      <c r="H205" s="87"/>
      <c r="I205" s="87"/>
    </row>
    <row r="206">
      <c r="A206" s="87">
        <v>793.0</v>
      </c>
      <c r="B206" s="87" t="s">
        <v>230</v>
      </c>
      <c r="C206" s="93">
        <v>2.0</v>
      </c>
      <c r="D206" s="87" t="s">
        <v>39</v>
      </c>
      <c r="E206" s="87" t="s">
        <v>40</v>
      </c>
      <c r="F206" s="87" t="s">
        <v>225</v>
      </c>
      <c r="G206" s="94"/>
      <c r="H206" s="87"/>
      <c r="I206" s="87"/>
    </row>
    <row r="207">
      <c r="A207" s="87">
        <v>790.0</v>
      </c>
      <c r="B207" s="87" t="s">
        <v>231</v>
      </c>
      <c r="C207" s="93">
        <v>17.0</v>
      </c>
      <c r="D207" s="87" t="s">
        <v>39</v>
      </c>
      <c r="E207" s="87" t="s">
        <v>40</v>
      </c>
      <c r="F207" s="87" t="s">
        <v>225</v>
      </c>
      <c r="G207" s="94"/>
      <c r="H207" s="87"/>
      <c r="I207" s="87"/>
    </row>
    <row r="208">
      <c r="A208" s="87">
        <v>794.0</v>
      </c>
      <c r="B208" s="87" t="s">
        <v>232</v>
      </c>
      <c r="C208" s="93">
        <v>3.0</v>
      </c>
      <c r="D208" s="87" t="s">
        <v>39</v>
      </c>
      <c r="E208" s="87" t="s">
        <v>40</v>
      </c>
      <c r="F208" s="87" t="s">
        <v>225</v>
      </c>
      <c r="G208" s="94"/>
      <c r="H208" s="87"/>
      <c r="I208" s="87"/>
    </row>
    <row r="209">
      <c r="A209" s="87">
        <v>791.0</v>
      </c>
      <c r="B209" s="87" t="s">
        <v>233</v>
      </c>
      <c r="C209" s="93">
        <v>3.0</v>
      </c>
      <c r="D209" s="87" t="s">
        <v>39</v>
      </c>
      <c r="E209" s="87" t="s">
        <v>40</v>
      </c>
      <c r="F209" s="87" t="s">
        <v>225</v>
      </c>
      <c r="G209" s="94"/>
      <c r="H209" s="87"/>
      <c r="I209" s="87"/>
    </row>
    <row r="210">
      <c r="A210" s="87">
        <v>105.0</v>
      </c>
      <c r="B210" s="87" t="s">
        <v>234</v>
      </c>
      <c r="C210" s="93">
        <v>1.0</v>
      </c>
      <c r="D210" s="87" t="s">
        <v>39</v>
      </c>
      <c r="E210" s="87" t="s">
        <v>40</v>
      </c>
      <c r="F210" s="87" t="s">
        <v>225</v>
      </c>
      <c r="G210" s="94">
        <v>45525.0</v>
      </c>
      <c r="H210" s="87"/>
      <c r="I210" s="87"/>
    </row>
    <row r="211">
      <c r="A211" s="87">
        <v>797.0</v>
      </c>
      <c r="B211" s="87" t="s">
        <v>235</v>
      </c>
      <c r="C211" s="93">
        <v>3.0</v>
      </c>
      <c r="D211" s="87" t="s">
        <v>39</v>
      </c>
      <c r="E211" s="87" t="s">
        <v>40</v>
      </c>
      <c r="F211" s="87" t="s">
        <v>225</v>
      </c>
      <c r="G211" s="94"/>
      <c r="H211" s="87"/>
      <c r="I211" s="87"/>
    </row>
    <row r="212">
      <c r="A212" s="87">
        <v>984.0</v>
      </c>
      <c r="B212" s="87" t="s">
        <v>236</v>
      </c>
      <c r="C212" s="93">
        <v>1.0</v>
      </c>
      <c r="D212" s="87" t="s">
        <v>39</v>
      </c>
      <c r="E212" s="87" t="s">
        <v>26</v>
      </c>
      <c r="F212" s="87" t="s">
        <v>237</v>
      </c>
      <c r="G212" s="94">
        <v>7.6715477E7</v>
      </c>
      <c r="H212" s="87"/>
      <c r="I212" s="87" t="s">
        <v>238</v>
      </c>
    </row>
    <row r="213">
      <c r="A213" s="87">
        <v>558.0</v>
      </c>
      <c r="B213" s="87" t="s">
        <v>239</v>
      </c>
      <c r="C213" s="93">
        <v>1.0</v>
      </c>
      <c r="D213" s="87" t="s">
        <v>39</v>
      </c>
      <c r="E213" s="87" t="s">
        <v>26</v>
      </c>
      <c r="F213" s="87" t="s">
        <v>237</v>
      </c>
      <c r="G213" s="94">
        <v>1.4087944E7</v>
      </c>
      <c r="H213" s="87"/>
      <c r="I213" s="87" t="s">
        <v>240</v>
      </c>
    </row>
    <row r="214">
      <c r="A214" s="87">
        <v>562.0</v>
      </c>
      <c r="B214" s="87" t="s">
        <v>239</v>
      </c>
      <c r="C214" s="93">
        <v>1.0</v>
      </c>
      <c r="D214" s="87" t="s">
        <v>39</v>
      </c>
      <c r="E214" s="87" t="s">
        <v>26</v>
      </c>
      <c r="F214" s="87" t="s">
        <v>237</v>
      </c>
      <c r="G214" s="94">
        <v>1.4137658E7</v>
      </c>
      <c r="H214" s="87"/>
      <c r="I214" s="87"/>
    </row>
    <row r="215">
      <c r="A215" s="87">
        <v>564.0</v>
      </c>
      <c r="B215" s="87" t="s">
        <v>239</v>
      </c>
      <c r="C215" s="93">
        <v>1.0</v>
      </c>
      <c r="D215" s="87" t="s">
        <v>39</v>
      </c>
      <c r="E215" s="87" t="s">
        <v>26</v>
      </c>
      <c r="F215" s="87" t="s">
        <v>237</v>
      </c>
      <c r="G215" s="94">
        <v>1.4137682E7</v>
      </c>
      <c r="H215" s="87"/>
      <c r="I215" s="87" t="s">
        <v>240</v>
      </c>
    </row>
    <row r="216">
      <c r="A216" s="87">
        <v>568.0</v>
      </c>
      <c r="B216" s="87" t="s">
        <v>239</v>
      </c>
      <c r="C216" s="93">
        <v>1.0</v>
      </c>
      <c r="D216" s="87" t="s">
        <v>39</v>
      </c>
      <c r="E216" s="87" t="s">
        <v>26</v>
      </c>
      <c r="F216" s="87" t="s">
        <v>237</v>
      </c>
      <c r="G216" s="94">
        <v>1.413786E7</v>
      </c>
      <c r="H216" s="87"/>
      <c r="I216" s="87" t="s">
        <v>241</v>
      </c>
    </row>
    <row r="217">
      <c r="A217" s="87">
        <v>482.0</v>
      </c>
      <c r="B217" s="87" t="s">
        <v>242</v>
      </c>
      <c r="C217" s="93">
        <v>1.0</v>
      </c>
      <c r="D217" s="87" t="s">
        <v>39</v>
      </c>
      <c r="E217" s="87" t="s">
        <v>26</v>
      </c>
      <c r="F217" s="87" t="s">
        <v>237</v>
      </c>
      <c r="G217" s="94">
        <v>1.0489967E7</v>
      </c>
      <c r="H217" s="87"/>
      <c r="I217" s="87" t="s">
        <v>243</v>
      </c>
    </row>
    <row r="218">
      <c r="A218" s="87">
        <v>699.0</v>
      </c>
      <c r="B218" s="87" t="s">
        <v>244</v>
      </c>
      <c r="C218" s="93">
        <v>1.0</v>
      </c>
      <c r="D218" s="87" t="s">
        <v>39</v>
      </c>
      <c r="E218" s="87" t="s">
        <v>245</v>
      </c>
      <c r="F218" s="87" t="s">
        <v>246</v>
      </c>
      <c r="G218" s="94">
        <v>1.4080885E7</v>
      </c>
      <c r="H218" s="87"/>
      <c r="I218" s="87"/>
    </row>
    <row r="219">
      <c r="A219" s="87">
        <v>1584.0</v>
      </c>
      <c r="B219" s="87" t="s">
        <v>247</v>
      </c>
      <c r="C219" s="93">
        <v>1.0</v>
      </c>
      <c r="D219" s="87" t="s">
        <v>39</v>
      </c>
      <c r="E219" s="87" t="s">
        <v>245</v>
      </c>
      <c r="F219" s="87" t="s">
        <v>246</v>
      </c>
      <c r="G219" s="94">
        <v>7.6988716E7</v>
      </c>
      <c r="H219" s="87"/>
      <c r="I219" s="87"/>
    </row>
    <row r="220">
      <c r="A220" s="87">
        <v>567.0</v>
      </c>
      <c r="B220" s="87" t="s">
        <v>239</v>
      </c>
      <c r="C220" s="93">
        <v>1.0</v>
      </c>
      <c r="D220" s="87" t="s">
        <v>39</v>
      </c>
      <c r="E220" s="87" t="s">
        <v>26</v>
      </c>
      <c r="F220" s="87" t="s">
        <v>248</v>
      </c>
      <c r="G220" s="94">
        <v>1.4137852E7</v>
      </c>
      <c r="H220" s="87"/>
      <c r="I220" s="87"/>
    </row>
    <row r="221">
      <c r="A221" s="87">
        <v>736.0</v>
      </c>
      <c r="B221" s="87" t="s">
        <v>242</v>
      </c>
      <c r="C221" s="93">
        <v>1.0</v>
      </c>
      <c r="D221" s="87" t="s">
        <v>39</v>
      </c>
      <c r="E221" s="87" t="s">
        <v>26</v>
      </c>
      <c r="F221" s="87" t="s">
        <v>249</v>
      </c>
      <c r="G221" s="94">
        <v>4342542.0</v>
      </c>
      <c r="H221" s="87"/>
      <c r="I221" s="87"/>
    </row>
    <row r="222">
      <c r="A222" s="87">
        <v>985.0</v>
      </c>
      <c r="B222" s="87" t="s">
        <v>236</v>
      </c>
      <c r="C222" s="93">
        <v>1.0</v>
      </c>
      <c r="D222" s="87" t="s">
        <v>39</v>
      </c>
      <c r="E222" s="87" t="s">
        <v>26</v>
      </c>
      <c r="F222" s="87" t="s">
        <v>250</v>
      </c>
      <c r="G222" s="94">
        <v>7.6715485E7</v>
      </c>
      <c r="H222" s="87"/>
      <c r="I222" s="87" t="s">
        <v>251</v>
      </c>
    </row>
    <row r="223">
      <c r="A223" s="87">
        <v>563.0</v>
      </c>
      <c r="B223" s="87" t="s">
        <v>239</v>
      </c>
      <c r="C223" s="93">
        <v>1.0</v>
      </c>
      <c r="D223" s="87" t="s">
        <v>39</v>
      </c>
      <c r="E223" s="87" t="s">
        <v>26</v>
      </c>
      <c r="F223" s="87" t="s">
        <v>250</v>
      </c>
      <c r="G223" s="94">
        <v>1.4137674E7</v>
      </c>
      <c r="H223" s="87"/>
      <c r="I223" s="87"/>
    </row>
    <row r="224">
      <c r="A224" s="87">
        <v>565.0</v>
      </c>
      <c r="B224" s="87" t="s">
        <v>239</v>
      </c>
      <c r="C224" s="93">
        <v>1.0</v>
      </c>
      <c r="D224" s="87" t="s">
        <v>39</v>
      </c>
      <c r="E224" s="87" t="s">
        <v>26</v>
      </c>
      <c r="F224" s="87" t="s">
        <v>250</v>
      </c>
      <c r="G224" s="94">
        <v>1.413769E7</v>
      </c>
      <c r="H224" s="87"/>
      <c r="I224" s="87"/>
    </row>
    <row r="225">
      <c r="A225" s="87">
        <v>566.0</v>
      </c>
      <c r="B225" s="87" t="s">
        <v>239</v>
      </c>
      <c r="C225" s="93">
        <v>1.0</v>
      </c>
      <c r="D225" s="87" t="s">
        <v>39</v>
      </c>
      <c r="E225" s="87" t="s">
        <v>26</v>
      </c>
      <c r="F225" s="87" t="s">
        <v>250</v>
      </c>
      <c r="G225" s="94">
        <v>1.4137739E7</v>
      </c>
      <c r="H225" s="87"/>
      <c r="I225" s="87"/>
    </row>
    <row r="226">
      <c r="A226" s="87">
        <v>839.0</v>
      </c>
      <c r="B226" s="87" t="s">
        <v>252</v>
      </c>
      <c r="C226" s="93">
        <v>1.0</v>
      </c>
      <c r="D226" s="87" t="s">
        <v>39</v>
      </c>
      <c r="E226" s="87" t="s">
        <v>253</v>
      </c>
      <c r="F226" s="87" t="s">
        <v>254</v>
      </c>
      <c r="G226" s="94">
        <v>2.8173929E7</v>
      </c>
      <c r="H226" s="87"/>
      <c r="I226" s="87" t="s">
        <v>240</v>
      </c>
    </row>
    <row r="227">
      <c r="A227" s="87">
        <v>830.0</v>
      </c>
      <c r="B227" s="87" t="s">
        <v>255</v>
      </c>
      <c r="C227" s="93">
        <v>1.0</v>
      </c>
      <c r="D227" s="87" t="s">
        <v>39</v>
      </c>
      <c r="E227" s="87" t="s">
        <v>253</v>
      </c>
      <c r="F227" s="87" t="s">
        <v>254</v>
      </c>
      <c r="G227" s="94">
        <v>1.4127903E7</v>
      </c>
      <c r="H227" s="87"/>
      <c r="I227" s="87"/>
    </row>
    <row r="228">
      <c r="A228" s="87">
        <v>403.0</v>
      </c>
      <c r="B228" s="87" t="s">
        <v>77</v>
      </c>
      <c r="C228" s="93">
        <v>1.0</v>
      </c>
      <c r="D228" s="87" t="s">
        <v>39</v>
      </c>
      <c r="E228" s="87" t="s">
        <v>253</v>
      </c>
      <c r="F228" s="87" t="s">
        <v>254</v>
      </c>
      <c r="G228" s="94">
        <v>4.0270327E7</v>
      </c>
      <c r="H228" s="87" t="s">
        <v>256</v>
      </c>
      <c r="I228" s="87"/>
    </row>
    <row r="229">
      <c r="A229" s="87">
        <v>888.0</v>
      </c>
      <c r="B229" s="87" t="s">
        <v>77</v>
      </c>
      <c r="C229" s="93">
        <v>1.0</v>
      </c>
      <c r="D229" s="87" t="s">
        <v>39</v>
      </c>
      <c r="E229" s="87" t="s">
        <v>253</v>
      </c>
      <c r="F229" s="87" t="s">
        <v>254</v>
      </c>
      <c r="G229" s="94">
        <v>4.0212815E7</v>
      </c>
      <c r="H229" s="87"/>
      <c r="I229" s="87"/>
    </row>
    <row r="230">
      <c r="A230" s="87">
        <v>531.0</v>
      </c>
      <c r="B230" s="87" t="s">
        <v>257</v>
      </c>
      <c r="C230" s="93">
        <v>1.0</v>
      </c>
      <c r="D230" s="87" t="s">
        <v>39</v>
      </c>
      <c r="E230" s="87" t="s">
        <v>258</v>
      </c>
      <c r="F230" s="87" t="s">
        <v>259</v>
      </c>
      <c r="G230" s="94">
        <v>1.3930109E7</v>
      </c>
      <c r="H230" s="87"/>
      <c r="I230" s="87"/>
    </row>
    <row r="231">
      <c r="A231" s="87">
        <v>486.0</v>
      </c>
      <c r="B231" s="87" t="s">
        <v>260</v>
      </c>
      <c r="C231" s="93">
        <v>1.0</v>
      </c>
      <c r="D231" s="87" t="s">
        <v>39</v>
      </c>
      <c r="E231" s="87" t="s">
        <v>258</v>
      </c>
      <c r="F231" s="87" t="s">
        <v>259</v>
      </c>
      <c r="G231" s="94">
        <v>1.279829E7</v>
      </c>
      <c r="H231" s="87"/>
      <c r="I231" s="87"/>
    </row>
    <row r="232">
      <c r="A232" s="87">
        <v>753.0</v>
      </c>
      <c r="B232" s="87" t="s">
        <v>261</v>
      </c>
      <c r="C232" s="93">
        <v>1.0</v>
      </c>
      <c r="D232" s="87" t="s">
        <v>39</v>
      </c>
      <c r="E232" s="87" t="s">
        <v>258</v>
      </c>
      <c r="F232" s="87" t="s">
        <v>259</v>
      </c>
      <c r="G232" s="94">
        <v>1.0867457E7</v>
      </c>
      <c r="H232" s="87"/>
      <c r="I232" s="87"/>
    </row>
    <row r="233">
      <c r="A233" s="87">
        <v>788.0</v>
      </c>
      <c r="B233" s="87" t="s">
        <v>261</v>
      </c>
      <c r="C233" s="93">
        <v>1.0</v>
      </c>
      <c r="D233" s="87" t="s">
        <v>39</v>
      </c>
      <c r="E233" s="87" t="s">
        <v>258</v>
      </c>
      <c r="F233" s="87" t="s">
        <v>259</v>
      </c>
      <c r="G233" s="94">
        <v>4.0216756E7</v>
      </c>
      <c r="H233" s="87"/>
      <c r="I233" s="87"/>
    </row>
    <row r="234">
      <c r="A234" s="87">
        <v>1467.0</v>
      </c>
      <c r="B234" s="87" t="s">
        <v>261</v>
      </c>
      <c r="C234" s="93">
        <v>1.0</v>
      </c>
      <c r="D234" s="87" t="s">
        <v>39</v>
      </c>
      <c r="E234" s="87" t="s">
        <v>258</v>
      </c>
      <c r="F234" s="87" t="s">
        <v>259</v>
      </c>
      <c r="G234" s="94">
        <v>2.3122331E7</v>
      </c>
      <c r="H234" s="87"/>
      <c r="I234" s="87"/>
    </row>
    <row r="235">
      <c r="A235" s="87">
        <v>1468.0</v>
      </c>
      <c r="B235" s="87" t="s">
        <v>261</v>
      </c>
      <c r="C235" s="93">
        <v>1.0</v>
      </c>
      <c r="D235" s="87" t="s">
        <v>39</v>
      </c>
      <c r="E235" s="87" t="s">
        <v>258</v>
      </c>
      <c r="F235" s="87" t="s">
        <v>259</v>
      </c>
      <c r="G235" s="94">
        <v>2.3252774E7</v>
      </c>
      <c r="H235" s="87"/>
      <c r="I235" s="87"/>
    </row>
    <row r="236">
      <c r="A236" s="87">
        <v>755.0</v>
      </c>
      <c r="B236" s="87" t="s">
        <v>262</v>
      </c>
      <c r="C236" s="93">
        <v>1.0</v>
      </c>
      <c r="D236" s="87" t="s">
        <v>39</v>
      </c>
      <c r="E236" s="87" t="s">
        <v>258</v>
      </c>
      <c r="F236" s="87" t="s">
        <v>259</v>
      </c>
      <c r="G236" s="94">
        <v>1.2190063E7</v>
      </c>
      <c r="H236" s="87"/>
      <c r="I236" s="87"/>
    </row>
    <row r="237">
      <c r="A237" s="87">
        <v>756.0</v>
      </c>
      <c r="B237" s="87" t="s">
        <v>262</v>
      </c>
      <c r="C237" s="93">
        <v>1.0</v>
      </c>
      <c r="D237" s="87" t="s">
        <v>39</v>
      </c>
      <c r="E237" s="87" t="s">
        <v>258</v>
      </c>
      <c r="F237" s="87" t="s">
        <v>259</v>
      </c>
      <c r="G237" s="94">
        <v>1.219016E7</v>
      </c>
      <c r="H237" s="87"/>
      <c r="I237" s="87"/>
    </row>
    <row r="238">
      <c r="A238" s="87">
        <v>757.0</v>
      </c>
      <c r="B238" s="87" t="s">
        <v>262</v>
      </c>
      <c r="C238" s="93">
        <v>1.0</v>
      </c>
      <c r="D238" s="87" t="s">
        <v>39</v>
      </c>
      <c r="E238" s="87" t="s">
        <v>258</v>
      </c>
      <c r="F238" s="87" t="s">
        <v>259</v>
      </c>
      <c r="G238" s="94">
        <v>1.2190217E7</v>
      </c>
      <c r="H238" s="87"/>
      <c r="I238" s="87"/>
    </row>
    <row r="239">
      <c r="A239" s="87">
        <v>763.0</v>
      </c>
      <c r="B239" s="87" t="s">
        <v>262</v>
      </c>
      <c r="C239" s="93">
        <v>1.0</v>
      </c>
      <c r="D239" s="87" t="s">
        <v>39</v>
      </c>
      <c r="E239" s="87" t="s">
        <v>258</v>
      </c>
      <c r="F239" s="87" t="s">
        <v>259</v>
      </c>
      <c r="G239" s="94">
        <v>1.3766465E7</v>
      </c>
      <c r="H239" s="87"/>
      <c r="I239" s="87"/>
    </row>
    <row r="240">
      <c r="A240" s="87">
        <v>801.0</v>
      </c>
      <c r="B240" s="87" t="s">
        <v>262</v>
      </c>
      <c r="C240" s="93">
        <v>1.0</v>
      </c>
      <c r="D240" s="87" t="s">
        <v>39</v>
      </c>
      <c r="E240" s="87" t="s">
        <v>258</v>
      </c>
      <c r="F240" s="87" t="s">
        <v>259</v>
      </c>
      <c r="G240" s="94">
        <v>6752764.0</v>
      </c>
      <c r="H240" s="87"/>
      <c r="I240" s="87"/>
    </row>
    <row r="241">
      <c r="A241" s="87">
        <v>802.0</v>
      </c>
      <c r="B241" s="87" t="s">
        <v>262</v>
      </c>
      <c r="C241" s="93">
        <v>1.0</v>
      </c>
      <c r="D241" s="87" t="s">
        <v>39</v>
      </c>
      <c r="E241" s="87" t="s">
        <v>258</v>
      </c>
      <c r="F241" s="87" t="s">
        <v>259</v>
      </c>
      <c r="G241" s="94">
        <v>6752772.0</v>
      </c>
      <c r="H241" s="87"/>
      <c r="I241" s="87"/>
    </row>
    <row r="242">
      <c r="A242" s="87">
        <v>803.0</v>
      </c>
      <c r="B242" s="87" t="s">
        <v>262</v>
      </c>
      <c r="C242" s="93">
        <v>1.0</v>
      </c>
      <c r="D242" s="87" t="s">
        <v>39</v>
      </c>
      <c r="E242" s="87" t="s">
        <v>258</v>
      </c>
      <c r="F242" s="87" t="s">
        <v>259</v>
      </c>
      <c r="G242" s="94">
        <v>6752780.0</v>
      </c>
      <c r="H242" s="87"/>
      <c r="I242" s="87"/>
    </row>
    <row r="243">
      <c r="A243" s="87">
        <v>804.0</v>
      </c>
      <c r="B243" s="87" t="s">
        <v>263</v>
      </c>
      <c r="C243" s="93">
        <v>1.0</v>
      </c>
      <c r="D243" s="87" t="s">
        <v>39</v>
      </c>
      <c r="E243" s="87" t="s">
        <v>258</v>
      </c>
      <c r="F243" s="87" t="s">
        <v>259</v>
      </c>
      <c r="G243" s="94">
        <v>944777.0</v>
      </c>
      <c r="H243" s="87"/>
      <c r="I243" s="87"/>
    </row>
    <row r="244">
      <c r="A244" s="87">
        <v>762.0</v>
      </c>
      <c r="B244" s="87" t="s">
        <v>264</v>
      </c>
      <c r="C244" s="93">
        <v>1.0</v>
      </c>
      <c r="D244" s="87" t="s">
        <v>39</v>
      </c>
      <c r="E244" s="87" t="s">
        <v>258</v>
      </c>
      <c r="F244" s="87" t="s">
        <v>259</v>
      </c>
      <c r="G244" s="94">
        <v>1.3765019E7</v>
      </c>
      <c r="H244" s="87"/>
      <c r="I244" s="87"/>
    </row>
    <row r="245">
      <c r="A245" s="87">
        <v>776.0</v>
      </c>
      <c r="B245" s="87" t="s">
        <v>265</v>
      </c>
      <c r="C245" s="93">
        <v>1.0</v>
      </c>
      <c r="D245" s="87" t="s">
        <v>39</v>
      </c>
      <c r="E245" s="87" t="s">
        <v>258</v>
      </c>
      <c r="F245" s="87" t="s">
        <v>259</v>
      </c>
      <c r="G245" s="94">
        <v>3.5450983E7</v>
      </c>
      <c r="H245" s="87"/>
      <c r="I245" s="87"/>
    </row>
    <row r="246">
      <c r="A246" s="87">
        <v>1140.0</v>
      </c>
      <c r="B246" s="87" t="s">
        <v>153</v>
      </c>
      <c r="C246" s="93">
        <v>1.0</v>
      </c>
      <c r="D246" s="87" t="s">
        <v>39</v>
      </c>
      <c r="E246" s="87" t="s">
        <v>53</v>
      </c>
      <c r="F246" s="87" t="s">
        <v>266</v>
      </c>
      <c r="G246" s="94">
        <v>7.6831523E7</v>
      </c>
      <c r="H246" s="87" t="s">
        <v>267</v>
      </c>
      <c r="I246" s="87" t="s">
        <v>268</v>
      </c>
    </row>
    <row r="247">
      <c r="A247" s="87">
        <v>1295.0</v>
      </c>
      <c r="B247" s="87" t="s">
        <v>153</v>
      </c>
      <c r="C247" s="93">
        <v>1.0</v>
      </c>
      <c r="D247" s="87" t="s">
        <v>39</v>
      </c>
      <c r="E247" s="87" t="s">
        <v>53</v>
      </c>
      <c r="F247" s="87" t="s">
        <v>266</v>
      </c>
      <c r="G247" s="94">
        <v>7.6857387E7</v>
      </c>
      <c r="H247" s="87" t="s">
        <v>269</v>
      </c>
      <c r="I247" s="87" t="s">
        <v>270</v>
      </c>
    </row>
    <row r="248">
      <c r="A248" s="87">
        <v>1126.0</v>
      </c>
      <c r="B248" s="87" t="s">
        <v>271</v>
      </c>
      <c r="C248" s="93">
        <v>1.0</v>
      </c>
      <c r="D248" s="87" t="s">
        <v>39</v>
      </c>
      <c r="E248" s="87" t="s">
        <v>40</v>
      </c>
      <c r="F248" s="87" t="s">
        <v>266</v>
      </c>
      <c r="G248" s="94">
        <v>7.6828409E7</v>
      </c>
      <c r="H248" s="87" t="s">
        <v>272</v>
      </c>
      <c r="I248" s="87" t="s">
        <v>273</v>
      </c>
    </row>
    <row r="249">
      <c r="A249" s="87">
        <v>375.0</v>
      </c>
      <c r="B249" s="87" t="s">
        <v>274</v>
      </c>
      <c r="C249" s="93">
        <v>1.0</v>
      </c>
      <c r="D249" s="87" t="s">
        <v>275</v>
      </c>
      <c r="E249" s="87" t="s">
        <v>16</v>
      </c>
      <c r="F249" s="87" t="s">
        <v>276</v>
      </c>
      <c r="G249" s="94">
        <v>45533.0</v>
      </c>
      <c r="H249" s="87"/>
      <c r="I249" s="87"/>
    </row>
    <row r="250">
      <c r="A250" s="87">
        <v>404.0</v>
      </c>
      <c r="B250" s="87" t="s">
        <v>277</v>
      </c>
      <c r="C250" s="93">
        <v>1.0</v>
      </c>
      <c r="D250" s="87" t="s">
        <v>275</v>
      </c>
      <c r="E250" s="87" t="s">
        <v>16</v>
      </c>
      <c r="F250" s="87" t="s">
        <v>276</v>
      </c>
      <c r="G250" s="94">
        <v>45533.0</v>
      </c>
      <c r="H250" s="87"/>
      <c r="I250" s="87"/>
    </row>
    <row r="251">
      <c r="A251" s="87">
        <v>958.0</v>
      </c>
      <c r="B251" s="87" t="s">
        <v>108</v>
      </c>
      <c r="C251" s="93">
        <v>1.0</v>
      </c>
      <c r="D251" s="87" t="s">
        <v>275</v>
      </c>
      <c r="E251" s="87" t="s">
        <v>16</v>
      </c>
      <c r="F251" s="87" t="s">
        <v>276</v>
      </c>
      <c r="G251" s="94">
        <v>7.6670244E7</v>
      </c>
      <c r="H251" s="87"/>
      <c r="I251" s="87" t="s">
        <v>278</v>
      </c>
    </row>
    <row r="252">
      <c r="A252" s="87">
        <v>961.0</v>
      </c>
      <c r="B252" s="87" t="s">
        <v>108</v>
      </c>
      <c r="C252" s="93">
        <v>1.0</v>
      </c>
      <c r="D252" s="87" t="s">
        <v>275</v>
      </c>
      <c r="E252" s="87" t="s">
        <v>16</v>
      </c>
      <c r="F252" s="87" t="s">
        <v>276</v>
      </c>
      <c r="G252" s="94">
        <v>7.6670279E7</v>
      </c>
      <c r="H252" s="87"/>
      <c r="I252" s="87" t="s">
        <v>279</v>
      </c>
    </row>
    <row r="253">
      <c r="A253" s="87">
        <v>382.0</v>
      </c>
      <c r="B253" s="87" t="s">
        <v>280</v>
      </c>
      <c r="C253" s="93">
        <v>4.0</v>
      </c>
      <c r="D253" s="87" t="s">
        <v>275</v>
      </c>
      <c r="E253" s="87" t="s">
        <v>16</v>
      </c>
      <c r="F253" s="87" t="s">
        <v>276</v>
      </c>
      <c r="G253" s="94">
        <v>45533.0</v>
      </c>
      <c r="H253" s="87"/>
      <c r="I253" s="87"/>
    </row>
    <row r="254">
      <c r="A254" s="87">
        <v>381.0</v>
      </c>
      <c r="B254" s="87" t="s">
        <v>281</v>
      </c>
      <c r="C254" s="93">
        <v>1.0</v>
      </c>
      <c r="D254" s="87" t="s">
        <v>275</v>
      </c>
      <c r="E254" s="87" t="s">
        <v>16</v>
      </c>
      <c r="F254" s="87" t="s">
        <v>276</v>
      </c>
      <c r="G254" s="94">
        <v>45533.0</v>
      </c>
      <c r="H254" s="87"/>
      <c r="I254" s="87"/>
    </row>
    <row r="255">
      <c r="A255" s="87">
        <v>380.0</v>
      </c>
      <c r="B255" s="87" t="s">
        <v>282</v>
      </c>
      <c r="C255" s="93">
        <v>2.0</v>
      </c>
      <c r="D255" s="87" t="s">
        <v>275</v>
      </c>
      <c r="E255" s="87" t="s">
        <v>16</v>
      </c>
      <c r="F255" s="87" t="s">
        <v>276</v>
      </c>
      <c r="G255" s="94">
        <v>45533.0</v>
      </c>
      <c r="H255" s="87"/>
      <c r="I255" s="87"/>
    </row>
    <row r="256">
      <c r="A256" s="87">
        <v>379.0</v>
      </c>
      <c r="B256" s="87" t="s">
        <v>283</v>
      </c>
      <c r="C256" s="93">
        <v>1.0</v>
      </c>
      <c r="D256" s="87" t="s">
        <v>275</v>
      </c>
      <c r="E256" s="87" t="s">
        <v>16</v>
      </c>
      <c r="F256" s="87" t="s">
        <v>276</v>
      </c>
      <c r="G256" s="94">
        <v>45533.0</v>
      </c>
      <c r="H256" s="87"/>
      <c r="I256" s="87"/>
    </row>
    <row r="257">
      <c r="A257" s="87">
        <v>369.0</v>
      </c>
      <c r="B257" s="87" t="s">
        <v>284</v>
      </c>
      <c r="C257" s="93">
        <v>1.0</v>
      </c>
      <c r="D257" s="87" t="s">
        <v>275</v>
      </c>
      <c r="E257" s="87" t="s">
        <v>16</v>
      </c>
      <c r="F257" s="87" t="s">
        <v>276</v>
      </c>
      <c r="G257" s="94">
        <v>45533.0</v>
      </c>
      <c r="H257" s="87"/>
      <c r="I257" s="87"/>
    </row>
    <row r="258">
      <c r="A258" s="87">
        <v>403.0</v>
      </c>
      <c r="B258" s="87" t="s">
        <v>173</v>
      </c>
      <c r="C258" s="93">
        <v>1.0</v>
      </c>
      <c r="D258" s="87" t="s">
        <v>275</v>
      </c>
      <c r="E258" s="87" t="s">
        <v>16</v>
      </c>
      <c r="F258" s="87" t="s">
        <v>276</v>
      </c>
      <c r="G258" s="94">
        <v>45533.0</v>
      </c>
      <c r="H258" s="87"/>
      <c r="I258" s="87" t="s">
        <v>285</v>
      </c>
    </row>
    <row r="259">
      <c r="A259" s="87">
        <v>376.0</v>
      </c>
      <c r="B259" s="87" t="s">
        <v>286</v>
      </c>
      <c r="C259" s="93">
        <v>4.0</v>
      </c>
      <c r="D259" s="87" t="s">
        <v>275</v>
      </c>
      <c r="E259" s="87" t="s">
        <v>16</v>
      </c>
      <c r="F259" s="87" t="s">
        <v>276</v>
      </c>
      <c r="G259" s="94">
        <v>45533.0</v>
      </c>
      <c r="H259" s="87"/>
      <c r="I259" s="87"/>
    </row>
    <row r="260">
      <c r="A260" s="87">
        <v>377.0</v>
      </c>
      <c r="B260" s="87" t="s">
        <v>287</v>
      </c>
      <c r="C260" s="93">
        <v>1.0</v>
      </c>
      <c r="D260" s="87" t="s">
        <v>275</v>
      </c>
      <c r="E260" s="87" t="s">
        <v>16</v>
      </c>
      <c r="F260" s="87" t="s">
        <v>276</v>
      </c>
      <c r="G260" s="94"/>
      <c r="H260" s="87"/>
      <c r="I260" s="87"/>
    </row>
    <row r="261">
      <c r="A261" s="87">
        <v>378.0</v>
      </c>
      <c r="B261" s="87" t="s">
        <v>288</v>
      </c>
      <c r="C261" s="93">
        <v>2.0</v>
      </c>
      <c r="D261" s="87" t="s">
        <v>275</v>
      </c>
      <c r="E261" s="87" t="s">
        <v>16</v>
      </c>
      <c r="F261" s="87" t="s">
        <v>276</v>
      </c>
      <c r="G261" s="94">
        <v>45533.0</v>
      </c>
      <c r="H261" s="87"/>
      <c r="I261" s="87"/>
    </row>
    <row r="262">
      <c r="A262" s="87">
        <v>383.0</v>
      </c>
      <c r="B262" s="87" t="s">
        <v>289</v>
      </c>
      <c r="C262" s="93">
        <v>2.0</v>
      </c>
      <c r="D262" s="87" t="s">
        <v>275</v>
      </c>
      <c r="E262" s="87" t="s">
        <v>16</v>
      </c>
      <c r="F262" s="87" t="s">
        <v>276</v>
      </c>
      <c r="G262" s="94">
        <v>45533.0</v>
      </c>
      <c r="H262" s="87"/>
      <c r="I262" s="87" t="s">
        <v>290</v>
      </c>
    </row>
    <row r="263">
      <c r="A263" s="87">
        <v>775.0</v>
      </c>
      <c r="B263" s="87" t="s">
        <v>265</v>
      </c>
      <c r="C263" s="93">
        <v>1.0</v>
      </c>
      <c r="D263" s="87" t="s">
        <v>39</v>
      </c>
      <c r="E263" s="87" t="s">
        <v>40</v>
      </c>
      <c r="F263" s="87" t="s">
        <v>291</v>
      </c>
      <c r="G263" s="94">
        <v>3.5450592E7</v>
      </c>
      <c r="H263" s="87"/>
      <c r="I263" s="87"/>
    </row>
    <row r="264">
      <c r="A264" s="87">
        <v>367.0</v>
      </c>
      <c r="B264" s="87" t="s">
        <v>292</v>
      </c>
      <c r="C264" s="93">
        <v>1.0</v>
      </c>
      <c r="D264" s="87" t="s">
        <v>275</v>
      </c>
      <c r="E264" s="87" t="s">
        <v>16</v>
      </c>
      <c r="F264" s="87" t="s">
        <v>293</v>
      </c>
      <c r="G264" s="94">
        <v>45533.0</v>
      </c>
      <c r="H264" s="87"/>
      <c r="I264" s="87"/>
    </row>
    <row r="265">
      <c r="A265" s="87">
        <v>368.0</v>
      </c>
      <c r="B265" s="87" t="s">
        <v>294</v>
      </c>
      <c r="C265" s="93">
        <v>1.0</v>
      </c>
      <c r="D265" s="87" t="s">
        <v>275</v>
      </c>
      <c r="E265" s="87" t="s">
        <v>16</v>
      </c>
      <c r="F265" s="87" t="s">
        <v>293</v>
      </c>
      <c r="G265" s="94">
        <v>45533.0</v>
      </c>
      <c r="H265" s="87"/>
      <c r="I265" s="87"/>
    </row>
    <row r="266">
      <c r="A266" s="87">
        <v>950.0</v>
      </c>
      <c r="B266" s="87" t="s">
        <v>86</v>
      </c>
      <c r="C266" s="93">
        <v>1.0</v>
      </c>
      <c r="D266" s="87" t="s">
        <v>275</v>
      </c>
      <c r="E266" s="87" t="s">
        <v>16</v>
      </c>
      <c r="F266" s="87" t="s">
        <v>293</v>
      </c>
      <c r="G266" s="94">
        <v>7.6666778E7</v>
      </c>
      <c r="H266" s="87"/>
      <c r="I266" s="87"/>
    </row>
    <row r="267">
      <c r="A267" s="87">
        <v>168.0</v>
      </c>
      <c r="B267" s="87" t="s">
        <v>295</v>
      </c>
      <c r="C267" s="93">
        <v>1.0</v>
      </c>
      <c r="D267" s="87" t="s">
        <v>275</v>
      </c>
      <c r="E267" s="87" t="s">
        <v>19</v>
      </c>
      <c r="F267" s="87" t="s">
        <v>296</v>
      </c>
      <c r="G267" s="94">
        <v>45525.0</v>
      </c>
      <c r="H267" s="87"/>
      <c r="I267" s="87"/>
    </row>
    <row r="268">
      <c r="A268" s="87">
        <v>396.0</v>
      </c>
      <c r="B268" s="87" t="s">
        <v>295</v>
      </c>
      <c r="C268" s="93">
        <v>1.0</v>
      </c>
      <c r="D268" s="87" t="s">
        <v>275</v>
      </c>
      <c r="E268" s="87" t="s">
        <v>16</v>
      </c>
      <c r="F268" s="87" t="s">
        <v>296</v>
      </c>
      <c r="G268" s="94">
        <v>45533.0</v>
      </c>
      <c r="H268" s="87"/>
      <c r="I268" s="87"/>
    </row>
    <row r="269">
      <c r="A269" s="87">
        <v>607.0</v>
      </c>
      <c r="B269" s="87" t="s">
        <v>295</v>
      </c>
      <c r="C269" s="93">
        <v>1.0</v>
      </c>
      <c r="D269" s="87" t="s">
        <v>39</v>
      </c>
      <c r="E269" s="87" t="s">
        <v>245</v>
      </c>
      <c r="F269" s="87" t="s">
        <v>296</v>
      </c>
      <c r="G269" s="94">
        <v>45625.0</v>
      </c>
      <c r="H269" s="87"/>
      <c r="I269" s="87"/>
    </row>
    <row r="270">
      <c r="A270" s="87">
        <v>617.0</v>
      </c>
      <c r="B270" s="87" t="s">
        <v>297</v>
      </c>
      <c r="C270" s="93">
        <v>1.0</v>
      </c>
      <c r="D270" s="87" t="s">
        <v>39</v>
      </c>
      <c r="E270" s="87" t="s">
        <v>245</v>
      </c>
      <c r="F270" s="87" t="s">
        <v>296</v>
      </c>
      <c r="G270" s="94">
        <v>45625.0</v>
      </c>
      <c r="H270" s="87"/>
      <c r="I270" s="87"/>
    </row>
    <row r="271">
      <c r="A271" s="87">
        <v>18.0</v>
      </c>
      <c r="B271" s="87" t="s">
        <v>298</v>
      </c>
      <c r="C271" s="93">
        <v>1.0</v>
      </c>
      <c r="D271" s="87" t="s">
        <v>275</v>
      </c>
      <c r="E271" s="87" t="s">
        <v>12</v>
      </c>
      <c r="F271" s="87" t="s">
        <v>296</v>
      </c>
      <c r="G271" s="94">
        <v>45527.0</v>
      </c>
      <c r="H271" s="87"/>
      <c r="I271" s="87"/>
    </row>
    <row r="272">
      <c r="A272" s="87">
        <v>151.0</v>
      </c>
      <c r="B272" s="87" t="s">
        <v>298</v>
      </c>
      <c r="C272" s="93">
        <v>1.0</v>
      </c>
      <c r="D272" s="87" t="s">
        <v>275</v>
      </c>
      <c r="E272" s="87" t="s">
        <v>19</v>
      </c>
      <c r="F272" s="87" t="s">
        <v>296</v>
      </c>
      <c r="G272" s="94">
        <v>45525.0</v>
      </c>
      <c r="H272" s="87"/>
      <c r="I272" s="87"/>
    </row>
    <row r="273">
      <c r="A273" s="87">
        <v>397.0</v>
      </c>
      <c r="B273" s="87" t="s">
        <v>298</v>
      </c>
      <c r="C273" s="93">
        <v>1.0</v>
      </c>
      <c r="D273" s="87" t="s">
        <v>275</v>
      </c>
      <c r="E273" s="87" t="s">
        <v>16</v>
      </c>
      <c r="F273" s="87" t="s">
        <v>296</v>
      </c>
      <c r="G273" s="94">
        <v>45533.0</v>
      </c>
      <c r="H273" s="87"/>
      <c r="I273" s="87"/>
    </row>
    <row r="274">
      <c r="A274" s="87">
        <v>593.0</v>
      </c>
      <c r="B274" s="87" t="s">
        <v>298</v>
      </c>
      <c r="C274" s="93">
        <v>1.0</v>
      </c>
      <c r="D274" s="87" t="s">
        <v>39</v>
      </c>
      <c r="E274" s="87" t="s">
        <v>245</v>
      </c>
      <c r="F274" s="87" t="s">
        <v>296</v>
      </c>
      <c r="G274" s="94">
        <v>45625.0</v>
      </c>
      <c r="H274" s="87"/>
      <c r="I274" s="87"/>
    </row>
    <row r="275">
      <c r="A275" s="87">
        <v>398.0</v>
      </c>
      <c r="B275" s="87" t="s">
        <v>299</v>
      </c>
      <c r="C275" s="93">
        <v>1.0</v>
      </c>
      <c r="D275" s="87" t="s">
        <v>275</v>
      </c>
      <c r="E275" s="87" t="s">
        <v>16</v>
      </c>
      <c r="F275" s="87" t="s">
        <v>296</v>
      </c>
      <c r="G275" s="94">
        <v>45533.0</v>
      </c>
      <c r="H275" s="87"/>
      <c r="I275" s="87"/>
    </row>
    <row r="276">
      <c r="A276" s="87">
        <v>594.0</v>
      </c>
      <c r="B276" s="87" t="s">
        <v>299</v>
      </c>
      <c r="C276" s="93">
        <v>1.0</v>
      </c>
      <c r="D276" s="87" t="s">
        <v>39</v>
      </c>
      <c r="E276" s="87" t="s">
        <v>245</v>
      </c>
      <c r="F276" s="87" t="s">
        <v>296</v>
      </c>
      <c r="G276" s="94">
        <v>45625.0</v>
      </c>
      <c r="H276" s="87"/>
      <c r="I276" s="87"/>
    </row>
    <row r="277">
      <c r="A277" s="87">
        <v>152.0</v>
      </c>
      <c r="B277" s="87" t="s">
        <v>300</v>
      </c>
      <c r="C277" s="93">
        <v>1.0</v>
      </c>
      <c r="D277" s="87" t="s">
        <v>275</v>
      </c>
      <c r="E277" s="87" t="s">
        <v>19</v>
      </c>
      <c r="F277" s="87" t="s">
        <v>296</v>
      </c>
      <c r="G277" s="94">
        <v>45525.0</v>
      </c>
      <c r="H277" s="87"/>
      <c r="I277" s="87"/>
    </row>
    <row r="278">
      <c r="A278" s="87">
        <v>400.0</v>
      </c>
      <c r="B278" s="87" t="s">
        <v>300</v>
      </c>
      <c r="C278" s="93">
        <v>1.0</v>
      </c>
      <c r="D278" s="87" t="s">
        <v>275</v>
      </c>
      <c r="E278" s="87" t="s">
        <v>16</v>
      </c>
      <c r="F278" s="87" t="s">
        <v>296</v>
      </c>
      <c r="G278" s="94">
        <v>45533.0</v>
      </c>
      <c r="H278" s="87"/>
      <c r="I278" s="87"/>
    </row>
    <row r="279">
      <c r="A279" s="87">
        <v>596.0</v>
      </c>
      <c r="B279" s="87" t="s">
        <v>300</v>
      </c>
      <c r="C279" s="93">
        <v>1.0</v>
      </c>
      <c r="D279" s="87" t="s">
        <v>39</v>
      </c>
      <c r="E279" s="87" t="s">
        <v>245</v>
      </c>
      <c r="F279" s="87" t="s">
        <v>296</v>
      </c>
      <c r="G279" s="94">
        <v>45625.0</v>
      </c>
      <c r="H279" s="87"/>
      <c r="I279" s="87"/>
    </row>
    <row r="280">
      <c r="A280" s="87">
        <v>160.0</v>
      </c>
      <c r="B280" s="87" t="s">
        <v>301</v>
      </c>
      <c r="C280" s="93">
        <v>10.0</v>
      </c>
      <c r="D280" s="87" t="s">
        <v>275</v>
      </c>
      <c r="E280" s="87" t="s">
        <v>19</v>
      </c>
      <c r="F280" s="87" t="s">
        <v>296</v>
      </c>
      <c r="G280" s="94">
        <v>45525.0</v>
      </c>
      <c r="H280" s="87"/>
      <c r="I280" s="87"/>
    </row>
    <row r="281">
      <c r="A281" s="87">
        <v>768.0</v>
      </c>
      <c r="B281" s="87" t="s">
        <v>296</v>
      </c>
      <c r="C281" s="93">
        <v>1.0</v>
      </c>
      <c r="D281" s="87" t="s">
        <v>275</v>
      </c>
      <c r="E281" s="87" t="s">
        <v>17</v>
      </c>
      <c r="F281" s="87" t="s">
        <v>296</v>
      </c>
      <c r="G281" s="94"/>
      <c r="H281" s="87"/>
      <c r="I281" s="87" t="s">
        <v>302</v>
      </c>
    </row>
    <row r="282">
      <c r="A282" s="87">
        <v>161.0</v>
      </c>
      <c r="B282" s="87" t="s">
        <v>45</v>
      </c>
      <c r="C282" s="93">
        <v>1.0</v>
      </c>
      <c r="D282" s="87" t="s">
        <v>275</v>
      </c>
      <c r="E282" s="87" t="s">
        <v>19</v>
      </c>
      <c r="F282" s="87" t="s">
        <v>296</v>
      </c>
      <c r="G282" s="94">
        <v>45525.0</v>
      </c>
      <c r="H282" s="87"/>
      <c r="I282" s="87"/>
    </row>
    <row r="283">
      <c r="A283" s="87">
        <v>162.0</v>
      </c>
      <c r="B283" s="87" t="s">
        <v>46</v>
      </c>
      <c r="C283" s="93">
        <v>1.0</v>
      </c>
      <c r="D283" s="87" t="s">
        <v>275</v>
      </c>
      <c r="E283" s="87" t="s">
        <v>19</v>
      </c>
      <c r="F283" s="87" t="s">
        <v>296</v>
      </c>
      <c r="G283" s="94">
        <v>45525.0</v>
      </c>
      <c r="H283" s="87"/>
      <c r="I283" s="87"/>
    </row>
    <row r="284">
      <c r="A284" s="87">
        <v>600.0</v>
      </c>
      <c r="B284" s="87" t="s">
        <v>46</v>
      </c>
      <c r="C284" s="93">
        <v>1.0</v>
      </c>
      <c r="D284" s="87" t="s">
        <v>39</v>
      </c>
      <c r="E284" s="87" t="s">
        <v>245</v>
      </c>
      <c r="F284" s="87" t="s">
        <v>296</v>
      </c>
      <c r="G284" s="94">
        <v>45625.0</v>
      </c>
      <c r="H284" s="87"/>
      <c r="I284" s="87"/>
    </row>
    <row r="285">
      <c r="A285" s="87">
        <v>163.0</v>
      </c>
      <c r="B285" s="87" t="s">
        <v>303</v>
      </c>
      <c r="C285" s="93">
        <v>1.0</v>
      </c>
      <c r="D285" s="87" t="s">
        <v>275</v>
      </c>
      <c r="E285" s="87" t="s">
        <v>19</v>
      </c>
      <c r="F285" s="87" t="s">
        <v>296</v>
      </c>
      <c r="G285" s="94">
        <v>45525.0</v>
      </c>
      <c r="H285" s="87"/>
      <c r="I285" s="87"/>
    </row>
    <row r="286">
      <c r="A286" s="87">
        <v>597.0</v>
      </c>
      <c r="B286" s="87" t="s">
        <v>303</v>
      </c>
      <c r="C286" s="93">
        <v>1.0</v>
      </c>
      <c r="D286" s="87" t="s">
        <v>39</v>
      </c>
      <c r="E286" s="87" t="s">
        <v>245</v>
      </c>
      <c r="F286" s="87" t="s">
        <v>296</v>
      </c>
      <c r="G286" s="94">
        <v>45625.0</v>
      </c>
      <c r="H286" s="87"/>
      <c r="I286" s="87"/>
    </row>
    <row r="287">
      <c r="A287" s="87">
        <v>159.0</v>
      </c>
      <c r="B287" s="87" t="s">
        <v>304</v>
      </c>
      <c r="C287" s="93">
        <v>2.0</v>
      </c>
      <c r="D287" s="87" t="s">
        <v>275</v>
      </c>
      <c r="E287" s="87" t="s">
        <v>19</v>
      </c>
      <c r="F287" s="87" t="s">
        <v>296</v>
      </c>
      <c r="G287" s="94">
        <v>45525.0</v>
      </c>
      <c r="H287" s="87"/>
      <c r="I287" s="87"/>
    </row>
    <row r="288">
      <c r="A288" s="87">
        <v>609.0</v>
      </c>
      <c r="B288" s="87" t="s">
        <v>304</v>
      </c>
      <c r="C288" s="93">
        <v>11.0</v>
      </c>
      <c r="D288" s="87" t="s">
        <v>39</v>
      </c>
      <c r="E288" s="87" t="s">
        <v>245</v>
      </c>
      <c r="F288" s="87" t="s">
        <v>296</v>
      </c>
      <c r="G288" s="94">
        <v>45625.0</v>
      </c>
      <c r="H288" s="87"/>
      <c r="I288" s="87"/>
    </row>
    <row r="289">
      <c r="A289" s="87">
        <v>395.0</v>
      </c>
      <c r="B289" s="87" t="s">
        <v>305</v>
      </c>
      <c r="C289" s="93">
        <v>1.0</v>
      </c>
      <c r="D289" s="87" t="s">
        <v>275</v>
      </c>
      <c r="E289" s="87" t="s">
        <v>16</v>
      </c>
      <c r="F289" s="87" t="s">
        <v>296</v>
      </c>
      <c r="G289" s="94">
        <v>45533.0</v>
      </c>
      <c r="H289" s="87"/>
      <c r="I289" s="87"/>
    </row>
    <row r="290">
      <c r="A290" s="87">
        <v>390.0</v>
      </c>
      <c r="B290" s="87" t="s">
        <v>306</v>
      </c>
      <c r="C290" s="93">
        <v>12.0</v>
      </c>
      <c r="D290" s="87" t="s">
        <v>275</v>
      </c>
      <c r="E290" s="87" t="s">
        <v>16</v>
      </c>
      <c r="F290" s="87" t="s">
        <v>296</v>
      </c>
      <c r="G290" s="94">
        <v>45533.0</v>
      </c>
      <c r="H290" s="87"/>
      <c r="I290" s="87"/>
    </row>
    <row r="291">
      <c r="A291" s="87">
        <v>608.0</v>
      </c>
      <c r="B291" s="87" t="s">
        <v>306</v>
      </c>
      <c r="C291" s="93">
        <v>8.0</v>
      </c>
      <c r="D291" s="87" t="s">
        <v>39</v>
      </c>
      <c r="E291" s="87" t="s">
        <v>245</v>
      </c>
      <c r="F291" s="87" t="s">
        <v>296</v>
      </c>
      <c r="G291" s="94">
        <v>45625.0</v>
      </c>
      <c r="H291" s="87"/>
      <c r="I291" s="87"/>
    </row>
    <row r="292">
      <c r="A292" s="87">
        <v>155.0</v>
      </c>
      <c r="B292" s="87" t="s">
        <v>307</v>
      </c>
      <c r="C292" s="93">
        <v>5.0</v>
      </c>
      <c r="D292" s="87" t="s">
        <v>275</v>
      </c>
      <c r="E292" s="87" t="s">
        <v>19</v>
      </c>
      <c r="F292" s="87" t="s">
        <v>296</v>
      </c>
      <c r="G292" s="94">
        <v>45525.0</v>
      </c>
      <c r="H292" s="87"/>
      <c r="I292" s="87"/>
    </row>
    <row r="293">
      <c r="A293" s="87">
        <v>615.0</v>
      </c>
      <c r="B293" s="87" t="s">
        <v>308</v>
      </c>
      <c r="C293" s="93">
        <v>1.0</v>
      </c>
      <c r="D293" s="87" t="s">
        <v>39</v>
      </c>
      <c r="E293" s="87" t="s">
        <v>245</v>
      </c>
      <c r="F293" s="87" t="s">
        <v>296</v>
      </c>
      <c r="G293" s="94">
        <v>45625.0</v>
      </c>
      <c r="H293" s="87"/>
      <c r="I293" s="87"/>
    </row>
    <row r="294">
      <c r="A294" s="87">
        <v>167.0</v>
      </c>
      <c r="B294" s="87" t="s">
        <v>309</v>
      </c>
      <c r="C294" s="93">
        <v>3.0</v>
      </c>
      <c r="D294" s="87" t="s">
        <v>275</v>
      </c>
      <c r="E294" s="87" t="s">
        <v>19</v>
      </c>
      <c r="F294" s="87" t="s">
        <v>296</v>
      </c>
      <c r="G294" s="94">
        <v>45525.0</v>
      </c>
      <c r="H294" s="87"/>
      <c r="I294" s="87"/>
    </row>
    <row r="295">
      <c r="A295" s="87">
        <v>605.0</v>
      </c>
      <c r="B295" s="87" t="s">
        <v>310</v>
      </c>
      <c r="C295" s="93">
        <v>1.0</v>
      </c>
      <c r="D295" s="87" t="s">
        <v>39</v>
      </c>
      <c r="E295" s="87" t="s">
        <v>245</v>
      </c>
      <c r="F295" s="87" t="s">
        <v>296</v>
      </c>
      <c r="G295" s="94">
        <v>45625.0</v>
      </c>
      <c r="H295" s="87"/>
      <c r="I295" s="87"/>
    </row>
    <row r="296">
      <c r="A296" s="87">
        <v>604.0</v>
      </c>
      <c r="B296" s="87" t="s">
        <v>311</v>
      </c>
      <c r="C296" s="93">
        <v>1.0</v>
      </c>
      <c r="D296" s="87" t="s">
        <v>39</v>
      </c>
      <c r="E296" s="87" t="s">
        <v>245</v>
      </c>
      <c r="F296" s="87" t="s">
        <v>296</v>
      </c>
      <c r="G296" s="94">
        <v>45625.0</v>
      </c>
      <c r="H296" s="87"/>
      <c r="I296" s="87"/>
    </row>
    <row r="297">
      <c r="A297" s="87">
        <v>616.0</v>
      </c>
      <c r="B297" s="87" t="s">
        <v>312</v>
      </c>
      <c r="C297" s="93">
        <v>1.0</v>
      </c>
      <c r="D297" s="87" t="s">
        <v>39</v>
      </c>
      <c r="E297" s="87" t="s">
        <v>245</v>
      </c>
      <c r="F297" s="87" t="s">
        <v>296</v>
      </c>
      <c r="G297" s="94">
        <v>45625.0</v>
      </c>
      <c r="H297" s="87"/>
      <c r="I297" s="87"/>
    </row>
    <row r="298">
      <c r="A298" s="87">
        <v>613.0</v>
      </c>
      <c r="B298" s="87" t="s">
        <v>313</v>
      </c>
      <c r="C298" s="93">
        <v>3.0</v>
      </c>
      <c r="D298" s="87" t="s">
        <v>39</v>
      </c>
      <c r="E298" s="87" t="s">
        <v>245</v>
      </c>
      <c r="F298" s="87" t="s">
        <v>296</v>
      </c>
      <c r="G298" s="94">
        <v>45625.0</v>
      </c>
      <c r="H298" s="87"/>
      <c r="I298" s="87"/>
    </row>
    <row r="299">
      <c r="A299" s="87">
        <v>394.0</v>
      </c>
      <c r="B299" s="87" t="s">
        <v>314</v>
      </c>
      <c r="C299" s="93">
        <v>1.0</v>
      </c>
      <c r="D299" s="87" t="s">
        <v>275</v>
      </c>
      <c r="E299" s="87" t="s">
        <v>16</v>
      </c>
      <c r="F299" s="87" t="s">
        <v>296</v>
      </c>
      <c r="G299" s="94"/>
      <c r="H299" s="87"/>
      <c r="I299" s="87"/>
    </row>
    <row r="300">
      <c r="A300" s="87">
        <v>26.0</v>
      </c>
      <c r="B300" s="87" t="s">
        <v>60</v>
      </c>
      <c r="C300" s="93">
        <v>1.0</v>
      </c>
      <c r="D300" s="87" t="s">
        <v>39</v>
      </c>
      <c r="E300" s="87" t="s">
        <v>315</v>
      </c>
      <c r="F300" s="87" t="s">
        <v>296</v>
      </c>
      <c r="G300" s="94">
        <v>7.6742393E7</v>
      </c>
      <c r="H300" s="87"/>
      <c r="I300" s="87"/>
    </row>
    <row r="301">
      <c r="A301" s="87">
        <v>27.0</v>
      </c>
      <c r="B301" s="87" t="s">
        <v>60</v>
      </c>
      <c r="C301" s="93">
        <v>1.0</v>
      </c>
      <c r="D301" s="87" t="s">
        <v>39</v>
      </c>
      <c r="E301" s="87" t="s">
        <v>72</v>
      </c>
      <c r="F301" s="87" t="s">
        <v>296</v>
      </c>
      <c r="G301" s="94">
        <v>7.674244E7</v>
      </c>
      <c r="H301" s="87"/>
      <c r="I301" s="87"/>
    </row>
    <row r="302">
      <c r="A302" s="87">
        <v>28.0</v>
      </c>
      <c r="B302" s="87" t="s">
        <v>60</v>
      </c>
      <c r="C302" s="93">
        <v>1.0</v>
      </c>
      <c r="D302" s="87" t="s">
        <v>275</v>
      </c>
      <c r="E302" s="87" t="s">
        <v>316</v>
      </c>
      <c r="F302" s="87" t="s">
        <v>296</v>
      </c>
      <c r="G302" s="94">
        <v>7.6742695E7</v>
      </c>
      <c r="H302" s="87"/>
      <c r="I302" s="87" t="s">
        <v>317</v>
      </c>
    </row>
    <row r="303">
      <c r="A303" s="87">
        <v>29.0</v>
      </c>
      <c r="B303" s="87" t="s">
        <v>60</v>
      </c>
      <c r="C303" s="93">
        <v>1.0</v>
      </c>
      <c r="D303" s="87" t="s">
        <v>275</v>
      </c>
      <c r="E303" s="87" t="s">
        <v>19</v>
      </c>
      <c r="F303" s="87" t="s">
        <v>296</v>
      </c>
      <c r="G303" s="94">
        <v>7.674289E7</v>
      </c>
      <c r="H303" s="87"/>
      <c r="I303" s="87"/>
    </row>
    <row r="304">
      <c r="A304" s="87">
        <v>30.0</v>
      </c>
      <c r="B304" s="87" t="s">
        <v>60</v>
      </c>
      <c r="C304" s="93">
        <v>1.0</v>
      </c>
      <c r="D304" s="87" t="s">
        <v>275</v>
      </c>
      <c r="E304" s="87" t="s">
        <v>318</v>
      </c>
      <c r="F304" s="87" t="s">
        <v>296</v>
      </c>
      <c r="G304" s="94">
        <v>7.6743985E7</v>
      </c>
      <c r="H304" s="87"/>
      <c r="I304" s="87"/>
    </row>
    <row r="305">
      <c r="A305" s="87">
        <v>1027.0</v>
      </c>
      <c r="B305" s="87" t="s">
        <v>60</v>
      </c>
      <c r="C305" s="93">
        <v>1.0</v>
      </c>
      <c r="D305" s="87" t="s">
        <v>275</v>
      </c>
      <c r="E305" s="87" t="s">
        <v>12</v>
      </c>
      <c r="F305" s="87" t="s">
        <v>296</v>
      </c>
      <c r="G305" s="94">
        <v>7.6736032E7</v>
      </c>
      <c r="H305" s="87"/>
      <c r="I305" s="87"/>
    </row>
    <row r="306">
      <c r="A306" s="87">
        <v>1030.0</v>
      </c>
      <c r="B306" s="87" t="s">
        <v>60</v>
      </c>
      <c r="C306" s="93">
        <v>1.0</v>
      </c>
      <c r="D306" s="87" t="s">
        <v>275</v>
      </c>
      <c r="E306" s="87" t="s">
        <v>16</v>
      </c>
      <c r="F306" s="87" t="s">
        <v>296</v>
      </c>
      <c r="G306" s="94">
        <v>7.6736067E7</v>
      </c>
      <c r="H306" s="87"/>
      <c r="I306" s="87" t="s">
        <v>319</v>
      </c>
    </row>
    <row r="307">
      <c r="A307" s="87">
        <v>1033.0</v>
      </c>
      <c r="B307" s="87" t="s">
        <v>60</v>
      </c>
      <c r="C307" s="93">
        <v>1.0</v>
      </c>
      <c r="D307" s="87" t="s">
        <v>275</v>
      </c>
      <c r="E307" s="87" t="s">
        <v>16</v>
      </c>
      <c r="F307" s="87" t="s">
        <v>296</v>
      </c>
      <c r="G307" s="94">
        <v>7.6737225E7</v>
      </c>
      <c r="H307" s="87"/>
      <c r="I307" s="87" t="s">
        <v>61</v>
      </c>
    </row>
    <row r="308">
      <c r="A308" s="87">
        <v>164.0</v>
      </c>
      <c r="B308" s="87" t="s">
        <v>320</v>
      </c>
      <c r="C308" s="93">
        <v>1.0</v>
      </c>
      <c r="D308" s="87" t="s">
        <v>275</v>
      </c>
      <c r="E308" s="87" t="s">
        <v>19</v>
      </c>
      <c r="F308" s="87" t="s">
        <v>296</v>
      </c>
      <c r="G308" s="94">
        <v>45525.0</v>
      </c>
      <c r="H308" s="87"/>
      <c r="I308" s="87"/>
    </row>
    <row r="309">
      <c r="A309" s="87">
        <v>35.0</v>
      </c>
      <c r="B309" s="87" t="s">
        <v>67</v>
      </c>
      <c r="C309" s="93">
        <v>1.0</v>
      </c>
      <c r="D309" s="87" t="s">
        <v>39</v>
      </c>
      <c r="E309" s="87" t="s">
        <v>245</v>
      </c>
      <c r="F309" s="87" t="s">
        <v>296</v>
      </c>
      <c r="G309" s="94">
        <v>7.6755169E7</v>
      </c>
      <c r="H309" s="87"/>
      <c r="I309" s="87"/>
    </row>
    <row r="310">
      <c r="A310" s="87">
        <v>36.0</v>
      </c>
      <c r="B310" s="87" t="s">
        <v>67</v>
      </c>
      <c r="C310" s="93">
        <v>1.0</v>
      </c>
      <c r="D310" s="87" t="s">
        <v>275</v>
      </c>
      <c r="E310" s="87" t="s">
        <v>318</v>
      </c>
      <c r="F310" s="87" t="s">
        <v>296</v>
      </c>
      <c r="G310" s="94">
        <v>7.6757463E7</v>
      </c>
      <c r="H310" s="87"/>
      <c r="I310" s="87"/>
    </row>
    <row r="311">
      <c r="A311" s="87">
        <v>40.0</v>
      </c>
      <c r="B311" s="87" t="s">
        <v>67</v>
      </c>
      <c r="C311" s="93">
        <v>1.0</v>
      </c>
      <c r="D311" s="87" t="s">
        <v>275</v>
      </c>
      <c r="E311" s="87" t="s">
        <v>19</v>
      </c>
      <c r="F311" s="87" t="s">
        <v>296</v>
      </c>
      <c r="G311" s="94">
        <v>7.6757595E7</v>
      </c>
      <c r="H311" s="87"/>
      <c r="I311" s="87"/>
    </row>
    <row r="312">
      <c r="A312" s="87">
        <v>41.0</v>
      </c>
      <c r="B312" s="87" t="s">
        <v>67</v>
      </c>
      <c r="C312" s="93">
        <v>1.0</v>
      </c>
      <c r="D312" s="87" t="s">
        <v>275</v>
      </c>
      <c r="E312" s="87" t="s">
        <v>315</v>
      </c>
      <c r="F312" s="87" t="s">
        <v>296</v>
      </c>
      <c r="G312" s="94">
        <v>7.6757617E7</v>
      </c>
      <c r="H312" s="87"/>
      <c r="I312" s="87"/>
    </row>
    <row r="313">
      <c r="A313" s="87">
        <v>1020.0</v>
      </c>
      <c r="B313" s="87" t="s">
        <v>67</v>
      </c>
      <c r="C313" s="93">
        <v>1.0</v>
      </c>
      <c r="D313" s="87" t="s">
        <v>275</v>
      </c>
      <c r="E313" s="87" t="s">
        <v>16</v>
      </c>
      <c r="F313" s="87" t="s">
        <v>296</v>
      </c>
      <c r="G313" s="94">
        <v>7.6731693E7</v>
      </c>
      <c r="H313" s="87"/>
      <c r="I313" s="87"/>
    </row>
    <row r="314">
      <c r="A314" s="87">
        <v>1021.0</v>
      </c>
      <c r="B314" s="87" t="s">
        <v>67</v>
      </c>
      <c r="C314" s="93">
        <v>1.0</v>
      </c>
      <c r="D314" s="87" t="s">
        <v>275</v>
      </c>
      <c r="E314" s="87" t="s">
        <v>12</v>
      </c>
      <c r="F314" s="87" t="s">
        <v>296</v>
      </c>
      <c r="G314" s="94">
        <v>7.6731707E7</v>
      </c>
      <c r="H314" s="87"/>
      <c r="I314" s="87"/>
    </row>
    <row r="315">
      <c r="A315" s="87">
        <v>601.0</v>
      </c>
      <c r="B315" s="87" t="s">
        <v>321</v>
      </c>
      <c r="C315" s="93">
        <v>2.0</v>
      </c>
      <c r="D315" s="87" t="s">
        <v>39</v>
      </c>
      <c r="E315" s="87" t="s">
        <v>245</v>
      </c>
      <c r="F315" s="87" t="s">
        <v>296</v>
      </c>
      <c r="G315" s="94">
        <v>45625.0</v>
      </c>
      <c r="H315" s="87"/>
      <c r="I315" s="87"/>
    </row>
    <row r="316">
      <c r="A316" s="87">
        <v>158.0</v>
      </c>
      <c r="B316" s="87" t="s">
        <v>322</v>
      </c>
      <c r="C316" s="93">
        <v>2.0</v>
      </c>
      <c r="D316" s="87" t="s">
        <v>275</v>
      </c>
      <c r="E316" s="87" t="s">
        <v>19</v>
      </c>
      <c r="F316" s="87" t="s">
        <v>296</v>
      </c>
      <c r="G316" s="94">
        <v>45525.0</v>
      </c>
      <c r="H316" s="87"/>
      <c r="I316" s="87"/>
    </row>
    <row r="317">
      <c r="A317" s="87">
        <v>157.0</v>
      </c>
      <c r="B317" s="87" t="s">
        <v>323</v>
      </c>
      <c r="C317" s="93">
        <v>1.0</v>
      </c>
      <c r="D317" s="87" t="s">
        <v>275</v>
      </c>
      <c r="E317" s="87" t="s">
        <v>19</v>
      </c>
      <c r="F317" s="87" t="s">
        <v>296</v>
      </c>
      <c r="G317" s="94">
        <v>45525.0</v>
      </c>
      <c r="H317" s="87"/>
      <c r="I317" s="87"/>
    </row>
    <row r="318">
      <c r="A318" s="87">
        <v>602.0</v>
      </c>
      <c r="B318" s="87" t="s">
        <v>323</v>
      </c>
      <c r="C318" s="93">
        <v>2.0</v>
      </c>
      <c r="D318" s="87" t="s">
        <v>39</v>
      </c>
      <c r="E318" s="87" t="s">
        <v>245</v>
      </c>
      <c r="F318" s="87" t="s">
        <v>296</v>
      </c>
      <c r="G318" s="94">
        <v>45625.0</v>
      </c>
      <c r="H318" s="87"/>
      <c r="I318" s="87"/>
    </row>
    <row r="319">
      <c r="A319" s="87">
        <v>156.0</v>
      </c>
      <c r="B319" s="87" t="s">
        <v>324</v>
      </c>
      <c r="C319" s="93">
        <v>1.0</v>
      </c>
      <c r="D319" s="87" t="s">
        <v>275</v>
      </c>
      <c r="E319" s="87" t="s">
        <v>19</v>
      </c>
      <c r="F319" s="87" t="s">
        <v>296</v>
      </c>
      <c r="G319" s="94">
        <v>45525.0</v>
      </c>
      <c r="H319" s="87"/>
      <c r="I319" s="87"/>
    </row>
    <row r="320">
      <c r="A320" s="87">
        <v>603.0</v>
      </c>
      <c r="B320" s="87" t="s">
        <v>324</v>
      </c>
      <c r="C320" s="93">
        <v>1.0</v>
      </c>
      <c r="D320" s="87" t="s">
        <v>39</v>
      </c>
      <c r="E320" s="87" t="s">
        <v>245</v>
      </c>
      <c r="F320" s="87" t="s">
        <v>296</v>
      </c>
      <c r="G320" s="94">
        <v>45625.0</v>
      </c>
      <c r="H320" s="87"/>
      <c r="I320" s="87"/>
    </row>
    <row r="321">
      <c r="A321" s="87">
        <v>406.0</v>
      </c>
      <c r="B321" s="87" t="s">
        <v>325</v>
      </c>
      <c r="C321" s="93">
        <v>3.0</v>
      </c>
      <c r="D321" s="87" t="s">
        <v>275</v>
      </c>
      <c r="E321" s="87" t="s">
        <v>16</v>
      </c>
      <c r="F321" s="87" t="s">
        <v>296</v>
      </c>
      <c r="G321" s="94">
        <v>45533.0</v>
      </c>
      <c r="H321" s="87"/>
      <c r="I321" s="87"/>
    </row>
    <row r="322">
      <c r="A322" s="87">
        <v>165.0</v>
      </c>
      <c r="B322" s="87" t="s">
        <v>326</v>
      </c>
      <c r="C322" s="93">
        <v>1.0</v>
      </c>
      <c r="D322" s="87" t="s">
        <v>275</v>
      </c>
      <c r="E322" s="87" t="s">
        <v>19</v>
      </c>
      <c r="F322" s="87" t="s">
        <v>296</v>
      </c>
      <c r="G322" s="94">
        <v>45525.0</v>
      </c>
      <c r="H322" s="87"/>
      <c r="I322" s="87"/>
    </row>
    <row r="323">
      <c r="A323" s="87">
        <v>606.0</v>
      </c>
      <c r="B323" s="87" t="s">
        <v>326</v>
      </c>
      <c r="C323" s="93">
        <v>2.0</v>
      </c>
      <c r="D323" s="87" t="s">
        <v>39</v>
      </c>
      <c r="E323" s="87" t="s">
        <v>245</v>
      </c>
      <c r="F323" s="87" t="s">
        <v>296</v>
      </c>
      <c r="G323" s="94">
        <v>45625.0</v>
      </c>
      <c r="H323" s="87"/>
      <c r="I323" s="87"/>
    </row>
    <row r="324">
      <c r="A324" s="87">
        <v>17.0</v>
      </c>
      <c r="B324" s="87" t="s">
        <v>327</v>
      </c>
      <c r="C324" s="93">
        <v>1.0</v>
      </c>
      <c r="D324" s="87" t="s">
        <v>275</v>
      </c>
      <c r="E324" s="87" t="s">
        <v>12</v>
      </c>
      <c r="F324" s="87" t="s">
        <v>296</v>
      </c>
      <c r="G324" s="94">
        <v>45527.0</v>
      </c>
      <c r="H324" s="87"/>
      <c r="I324" s="87"/>
    </row>
    <row r="325">
      <c r="A325" s="87">
        <v>401.0</v>
      </c>
      <c r="B325" s="87" t="s">
        <v>327</v>
      </c>
      <c r="C325" s="93">
        <v>1.0</v>
      </c>
      <c r="D325" s="87" t="s">
        <v>275</v>
      </c>
      <c r="E325" s="87" t="s">
        <v>16</v>
      </c>
      <c r="F325" s="87" t="s">
        <v>296</v>
      </c>
      <c r="G325" s="94">
        <v>45533.0</v>
      </c>
      <c r="H325" s="87"/>
      <c r="I325" s="87"/>
    </row>
    <row r="326">
      <c r="A326" s="87">
        <v>599.0</v>
      </c>
      <c r="B326" s="87" t="s">
        <v>327</v>
      </c>
      <c r="C326" s="93">
        <v>1.0</v>
      </c>
      <c r="D326" s="87" t="s">
        <v>39</v>
      </c>
      <c r="E326" s="87" t="s">
        <v>245</v>
      </c>
      <c r="F326" s="87" t="s">
        <v>296</v>
      </c>
      <c r="G326" s="94">
        <v>45625.0</v>
      </c>
      <c r="H326" s="87"/>
      <c r="I326" s="87"/>
    </row>
    <row r="327">
      <c r="A327" s="87">
        <v>612.0</v>
      </c>
      <c r="B327" s="87" t="s">
        <v>328</v>
      </c>
      <c r="C327" s="93">
        <v>12.0</v>
      </c>
      <c r="D327" s="87" t="s">
        <v>39</v>
      </c>
      <c r="E327" s="87" t="s">
        <v>245</v>
      </c>
      <c r="F327" s="87" t="s">
        <v>296</v>
      </c>
      <c r="G327" s="94">
        <v>45625.0</v>
      </c>
      <c r="H327" s="87"/>
      <c r="I327" s="87" t="s">
        <v>329</v>
      </c>
    </row>
    <row r="328">
      <c r="A328" s="87">
        <v>154.0</v>
      </c>
      <c r="B328" s="87" t="s">
        <v>330</v>
      </c>
      <c r="C328" s="93">
        <v>3.0</v>
      </c>
      <c r="D328" s="87" t="s">
        <v>275</v>
      </c>
      <c r="E328" s="87" t="s">
        <v>19</v>
      </c>
      <c r="F328" s="87" t="s">
        <v>296</v>
      </c>
      <c r="G328" s="94">
        <v>45525.0</v>
      </c>
      <c r="H328" s="87"/>
      <c r="I328" s="87"/>
    </row>
    <row r="329">
      <c r="A329" s="87">
        <v>389.0</v>
      </c>
      <c r="B329" s="87" t="s">
        <v>331</v>
      </c>
      <c r="C329" s="93">
        <v>3.0</v>
      </c>
      <c r="D329" s="87" t="s">
        <v>275</v>
      </c>
      <c r="E329" s="87" t="s">
        <v>16</v>
      </c>
      <c r="F329" s="87" t="s">
        <v>296</v>
      </c>
      <c r="G329" s="94">
        <v>45533.0</v>
      </c>
      <c r="H329" s="87"/>
      <c r="I329" s="87"/>
    </row>
    <row r="330">
      <c r="A330" s="87">
        <v>595.0</v>
      </c>
      <c r="B330" s="87" t="s">
        <v>331</v>
      </c>
      <c r="C330" s="93">
        <v>3.0</v>
      </c>
      <c r="D330" s="87" t="s">
        <v>39</v>
      </c>
      <c r="E330" s="87" t="s">
        <v>245</v>
      </c>
      <c r="F330" s="87" t="s">
        <v>296</v>
      </c>
      <c r="G330" s="94">
        <v>45625.0</v>
      </c>
      <c r="H330" s="87"/>
      <c r="I330" s="87"/>
    </row>
    <row r="331">
      <c r="A331" s="87">
        <v>388.0</v>
      </c>
      <c r="B331" s="87" t="s">
        <v>332</v>
      </c>
      <c r="C331" s="93">
        <v>1.0</v>
      </c>
      <c r="D331" s="87" t="s">
        <v>275</v>
      </c>
      <c r="E331" s="87" t="s">
        <v>16</v>
      </c>
      <c r="F331" s="87" t="s">
        <v>296</v>
      </c>
      <c r="G331" s="94">
        <v>45533.0</v>
      </c>
      <c r="H331" s="87"/>
      <c r="I331" s="87"/>
    </row>
    <row r="332">
      <c r="A332" s="87">
        <v>31.0</v>
      </c>
      <c r="B332" s="87" t="s">
        <v>77</v>
      </c>
      <c r="C332" s="93">
        <v>1.0</v>
      </c>
      <c r="D332" s="87" t="s">
        <v>39</v>
      </c>
      <c r="E332" s="87" t="s">
        <v>245</v>
      </c>
      <c r="F332" s="87" t="s">
        <v>296</v>
      </c>
      <c r="G332" s="94">
        <v>7.67444E7</v>
      </c>
      <c r="H332" s="87" t="s">
        <v>333</v>
      </c>
      <c r="I332" s="87" t="s">
        <v>79</v>
      </c>
    </row>
    <row r="333">
      <c r="A333" s="87">
        <v>32.0</v>
      </c>
      <c r="B333" s="87" t="s">
        <v>77</v>
      </c>
      <c r="C333" s="93">
        <v>1.0</v>
      </c>
      <c r="D333" s="87" t="s">
        <v>275</v>
      </c>
      <c r="E333" s="87" t="s">
        <v>315</v>
      </c>
      <c r="F333" s="87" t="s">
        <v>296</v>
      </c>
      <c r="G333" s="94">
        <v>7.674445E7</v>
      </c>
      <c r="H333" s="87" t="s">
        <v>334</v>
      </c>
      <c r="I333" s="87" t="s">
        <v>79</v>
      </c>
    </row>
    <row r="334">
      <c r="A334" s="87">
        <v>886.0</v>
      </c>
      <c r="B334" s="87" t="s">
        <v>77</v>
      </c>
      <c r="C334" s="93">
        <v>1.0</v>
      </c>
      <c r="D334" s="87" t="s">
        <v>275</v>
      </c>
      <c r="E334" s="87" t="s">
        <v>318</v>
      </c>
      <c r="F334" s="87" t="s">
        <v>296</v>
      </c>
      <c r="G334" s="94">
        <v>4.0212793E7</v>
      </c>
      <c r="H334" s="87" t="s">
        <v>335</v>
      </c>
      <c r="I334" s="87" t="s">
        <v>79</v>
      </c>
    </row>
    <row r="335">
      <c r="A335" s="87">
        <v>1024.0</v>
      </c>
      <c r="B335" s="87" t="s">
        <v>77</v>
      </c>
      <c r="C335" s="93">
        <v>1.0</v>
      </c>
      <c r="D335" s="87" t="s">
        <v>275</v>
      </c>
      <c r="E335" s="87" t="s">
        <v>336</v>
      </c>
      <c r="F335" s="87" t="s">
        <v>296</v>
      </c>
      <c r="G335" s="94">
        <v>7.6734749E7</v>
      </c>
      <c r="H335" s="87" t="s">
        <v>337</v>
      </c>
      <c r="I335" s="87"/>
    </row>
    <row r="336">
      <c r="A336" s="87">
        <v>1461.0</v>
      </c>
      <c r="B336" s="87" t="s">
        <v>77</v>
      </c>
      <c r="C336" s="93">
        <v>1.0</v>
      </c>
      <c r="D336" s="87" t="s">
        <v>39</v>
      </c>
      <c r="E336" s="87" t="s">
        <v>72</v>
      </c>
      <c r="F336" s="87" t="s">
        <v>296</v>
      </c>
      <c r="G336" s="94">
        <v>7.6880109E7</v>
      </c>
      <c r="H336" s="87"/>
      <c r="I336" s="87"/>
    </row>
    <row r="337">
      <c r="A337" s="87">
        <v>166.0</v>
      </c>
      <c r="B337" s="87" t="s">
        <v>338</v>
      </c>
      <c r="C337" s="93">
        <v>1.0</v>
      </c>
      <c r="D337" s="87" t="s">
        <v>275</v>
      </c>
      <c r="E337" s="87" t="s">
        <v>19</v>
      </c>
      <c r="F337" s="87" t="s">
        <v>296</v>
      </c>
      <c r="G337" s="94">
        <v>45525.0</v>
      </c>
      <c r="H337" s="87"/>
      <c r="I337" s="87"/>
    </row>
    <row r="338">
      <c r="A338" s="87">
        <v>393.0</v>
      </c>
      <c r="B338" s="87" t="s">
        <v>339</v>
      </c>
      <c r="C338" s="93">
        <v>1.0</v>
      </c>
      <c r="D338" s="87" t="s">
        <v>275</v>
      </c>
      <c r="E338" s="87" t="s">
        <v>16</v>
      </c>
      <c r="F338" s="87" t="s">
        <v>296</v>
      </c>
      <c r="G338" s="94">
        <v>45533.0</v>
      </c>
      <c r="H338" s="87"/>
      <c r="I338" s="87"/>
    </row>
    <row r="339">
      <c r="A339" s="87">
        <v>392.0</v>
      </c>
      <c r="B339" s="87" t="s">
        <v>340</v>
      </c>
      <c r="C339" s="93">
        <v>1.0</v>
      </c>
      <c r="D339" s="87" t="s">
        <v>275</v>
      </c>
      <c r="E339" s="87" t="s">
        <v>16</v>
      </c>
      <c r="F339" s="87" t="s">
        <v>296</v>
      </c>
      <c r="G339" s="94">
        <v>45533.0</v>
      </c>
      <c r="H339" s="87"/>
      <c r="I339" s="87"/>
    </row>
    <row r="340">
      <c r="A340" s="87">
        <v>614.0</v>
      </c>
      <c r="B340" s="87" t="s">
        <v>289</v>
      </c>
      <c r="C340" s="93">
        <v>1.0</v>
      </c>
      <c r="D340" s="87" t="s">
        <v>39</v>
      </c>
      <c r="E340" s="87" t="s">
        <v>245</v>
      </c>
      <c r="F340" s="87" t="s">
        <v>296</v>
      </c>
      <c r="G340" s="94">
        <v>45625.0</v>
      </c>
      <c r="H340" s="87"/>
      <c r="I340" s="87" t="s">
        <v>341</v>
      </c>
    </row>
    <row r="341">
      <c r="A341" s="87">
        <v>399.0</v>
      </c>
      <c r="B341" s="87" t="s">
        <v>342</v>
      </c>
      <c r="C341" s="93">
        <v>1.0</v>
      </c>
      <c r="D341" s="87" t="s">
        <v>275</v>
      </c>
      <c r="E341" s="87" t="s">
        <v>16</v>
      </c>
      <c r="F341" s="87" t="s">
        <v>296</v>
      </c>
      <c r="G341" s="94">
        <v>45533.0</v>
      </c>
      <c r="H341" s="87"/>
      <c r="I341" s="87"/>
    </row>
    <row r="342">
      <c r="A342" s="87">
        <v>610.0</v>
      </c>
      <c r="B342" s="87" t="s">
        <v>343</v>
      </c>
      <c r="C342" s="93">
        <v>1.0</v>
      </c>
      <c r="D342" s="87" t="s">
        <v>39</v>
      </c>
      <c r="E342" s="87" t="s">
        <v>245</v>
      </c>
      <c r="F342" s="87" t="s">
        <v>296</v>
      </c>
      <c r="G342" s="94">
        <v>45625.0</v>
      </c>
      <c r="H342" s="87"/>
      <c r="I342" s="87"/>
    </row>
    <row r="343">
      <c r="A343" s="87">
        <v>407.0</v>
      </c>
      <c r="B343" s="87" t="s">
        <v>344</v>
      </c>
      <c r="C343" s="93">
        <v>1.0</v>
      </c>
      <c r="D343" s="87" t="s">
        <v>275</v>
      </c>
      <c r="E343" s="87" t="s">
        <v>16</v>
      </c>
      <c r="F343" s="87" t="s">
        <v>296</v>
      </c>
      <c r="G343" s="94">
        <v>45533.0</v>
      </c>
      <c r="H343" s="87"/>
      <c r="I343" s="87"/>
    </row>
    <row r="344">
      <c r="A344" s="87">
        <v>598.0</v>
      </c>
      <c r="B344" s="87" t="s">
        <v>344</v>
      </c>
      <c r="C344" s="93">
        <v>1.0</v>
      </c>
      <c r="D344" s="87" t="s">
        <v>39</v>
      </c>
      <c r="E344" s="87" t="s">
        <v>245</v>
      </c>
      <c r="F344" s="87" t="s">
        <v>296</v>
      </c>
      <c r="G344" s="94">
        <v>45625.0</v>
      </c>
      <c r="H344" s="87"/>
      <c r="I344" s="87"/>
    </row>
    <row r="345">
      <c r="A345" s="87">
        <v>387.0</v>
      </c>
      <c r="B345" s="87" t="s">
        <v>345</v>
      </c>
      <c r="C345" s="93">
        <v>2.0</v>
      </c>
      <c r="D345" s="87" t="s">
        <v>275</v>
      </c>
      <c r="E345" s="87" t="s">
        <v>16</v>
      </c>
      <c r="F345" s="87" t="s">
        <v>296</v>
      </c>
      <c r="G345" s="94">
        <v>45533.0</v>
      </c>
      <c r="H345" s="87"/>
      <c r="I345" s="87"/>
    </row>
    <row r="346">
      <c r="A346" s="87">
        <v>391.0</v>
      </c>
      <c r="B346" s="87" t="s">
        <v>346</v>
      </c>
      <c r="C346" s="93">
        <v>1.0</v>
      </c>
      <c r="D346" s="87" t="s">
        <v>275</v>
      </c>
      <c r="E346" s="87" t="s">
        <v>16</v>
      </c>
      <c r="F346" s="87" t="s">
        <v>296</v>
      </c>
      <c r="G346" s="94">
        <v>45533.0</v>
      </c>
      <c r="H346" s="87"/>
      <c r="I346" s="87"/>
    </row>
    <row r="347">
      <c r="A347" s="87">
        <v>153.0</v>
      </c>
      <c r="B347" s="87" t="s">
        <v>347</v>
      </c>
      <c r="C347" s="93">
        <v>1.0</v>
      </c>
      <c r="D347" s="87" t="s">
        <v>275</v>
      </c>
      <c r="E347" s="87" t="s">
        <v>19</v>
      </c>
      <c r="F347" s="87" t="s">
        <v>296</v>
      </c>
      <c r="G347" s="94">
        <v>45525.0</v>
      </c>
      <c r="H347" s="87"/>
      <c r="I347" s="87"/>
    </row>
    <row r="348">
      <c r="A348" s="87">
        <v>405.0</v>
      </c>
      <c r="B348" s="87" t="s">
        <v>347</v>
      </c>
      <c r="C348" s="93">
        <v>1.0</v>
      </c>
      <c r="D348" s="87" t="s">
        <v>275</v>
      </c>
      <c r="E348" s="87" t="s">
        <v>16</v>
      </c>
      <c r="F348" s="87" t="s">
        <v>296</v>
      </c>
      <c r="G348" s="94">
        <v>45533.0</v>
      </c>
      <c r="H348" s="87"/>
      <c r="I348" s="87"/>
    </row>
    <row r="349">
      <c r="A349" s="87">
        <v>611.0</v>
      </c>
      <c r="B349" s="87" t="s">
        <v>347</v>
      </c>
      <c r="C349" s="93">
        <v>1.0</v>
      </c>
      <c r="D349" s="87" t="s">
        <v>39</v>
      </c>
      <c r="E349" s="87" t="s">
        <v>245</v>
      </c>
      <c r="F349" s="87" t="s">
        <v>296</v>
      </c>
      <c r="G349" s="94">
        <v>45625.0</v>
      </c>
      <c r="H349" s="87"/>
      <c r="I349" s="87"/>
    </row>
    <row r="350">
      <c r="A350" s="87">
        <v>133.0</v>
      </c>
      <c r="B350" s="87" t="s">
        <v>348</v>
      </c>
      <c r="C350" s="93">
        <v>6.0</v>
      </c>
      <c r="D350" s="87" t="s">
        <v>275</v>
      </c>
      <c r="E350" s="87" t="s">
        <v>19</v>
      </c>
      <c r="F350" s="87" t="s">
        <v>349</v>
      </c>
      <c r="G350" s="94">
        <v>45525.0</v>
      </c>
      <c r="H350" s="87"/>
      <c r="I350" s="87"/>
    </row>
    <row r="351">
      <c r="A351" s="87">
        <v>203.0</v>
      </c>
      <c r="B351" s="87" t="s">
        <v>348</v>
      </c>
      <c r="C351" s="93">
        <v>3.0</v>
      </c>
      <c r="D351" s="87" t="s">
        <v>275</v>
      </c>
      <c r="E351" s="87" t="s">
        <v>17</v>
      </c>
      <c r="F351" s="87" t="s">
        <v>349</v>
      </c>
      <c r="G351" s="94"/>
      <c r="H351" s="87"/>
      <c r="I351" s="87"/>
    </row>
    <row r="352">
      <c r="A352" s="87">
        <v>135.0</v>
      </c>
      <c r="B352" s="87" t="s">
        <v>350</v>
      </c>
      <c r="C352" s="93">
        <v>3.0</v>
      </c>
      <c r="D352" s="87" t="s">
        <v>275</v>
      </c>
      <c r="E352" s="87" t="s">
        <v>19</v>
      </c>
      <c r="F352" s="87" t="s">
        <v>349</v>
      </c>
      <c r="G352" s="94">
        <v>45525.0</v>
      </c>
      <c r="H352" s="87"/>
      <c r="I352" s="87"/>
    </row>
    <row r="353">
      <c r="A353" s="87">
        <v>205.0</v>
      </c>
      <c r="B353" s="87" t="s">
        <v>350</v>
      </c>
      <c r="C353" s="93">
        <v>3.0</v>
      </c>
      <c r="D353" s="87" t="s">
        <v>275</v>
      </c>
      <c r="E353" s="87" t="s">
        <v>17</v>
      </c>
      <c r="F353" s="87" t="s">
        <v>349</v>
      </c>
      <c r="G353" s="94"/>
      <c r="H353" s="87"/>
      <c r="I353" s="87"/>
    </row>
    <row r="354">
      <c r="A354" s="87">
        <v>134.0</v>
      </c>
      <c r="B354" s="87" t="s">
        <v>351</v>
      </c>
      <c r="C354" s="93">
        <v>3.0</v>
      </c>
      <c r="D354" s="87" t="s">
        <v>275</v>
      </c>
      <c r="E354" s="87" t="s">
        <v>19</v>
      </c>
      <c r="F354" s="87" t="s">
        <v>349</v>
      </c>
      <c r="G354" s="94">
        <v>45525.0</v>
      </c>
      <c r="H354" s="87"/>
      <c r="I354" s="87"/>
    </row>
    <row r="355">
      <c r="A355" s="87">
        <v>204.0</v>
      </c>
      <c r="B355" s="87" t="s">
        <v>351</v>
      </c>
      <c r="C355" s="93">
        <v>3.0</v>
      </c>
      <c r="D355" s="87" t="s">
        <v>275</v>
      </c>
      <c r="E355" s="87" t="s">
        <v>17</v>
      </c>
      <c r="F355" s="87" t="s">
        <v>349</v>
      </c>
      <c r="G355" s="94"/>
      <c r="H355" s="87"/>
      <c r="I355" s="87"/>
    </row>
    <row r="356">
      <c r="A356" s="87">
        <v>240.0</v>
      </c>
      <c r="B356" s="87" t="s">
        <v>352</v>
      </c>
      <c r="C356" s="93">
        <v>1.0</v>
      </c>
      <c r="D356" s="87" t="s">
        <v>275</v>
      </c>
      <c r="E356" s="87" t="s">
        <v>17</v>
      </c>
      <c r="F356" s="87" t="s">
        <v>349</v>
      </c>
      <c r="G356" s="94"/>
      <c r="H356" s="87"/>
      <c r="I356" s="87"/>
    </row>
    <row r="357">
      <c r="A357" s="87">
        <v>219.0</v>
      </c>
      <c r="B357" s="87" t="s">
        <v>353</v>
      </c>
      <c r="C357" s="93">
        <v>3.0</v>
      </c>
      <c r="D357" s="87" t="s">
        <v>275</v>
      </c>
      <c r="E357" s="87" t="s">
        <v>17</v>
      </c>
      <c r="F357" s="87" t="s">
        <v>349</v>
      </c>
      <c r="G357" s="94"/>
      <c r="H357" s="87"/>
      <c r="I357" s="87"/>
    </row>
    <row r="358">
      <c r="A358" s="87">
        <v>202.0</v>
      </c>
      <c r="B358" s="87" t="s">
        <v>354</v>
      </c>
      <c r="C358" s="93">
        <v>2.0</v>
      </c>
      <c r="D358" s="87" t="s">
        <v>275</v>
      </c>
      <c r="E358" s="87" t="s">
        <v>17</v>
      </c>
      <c r="F358" s="87" t="s">
        <v>349</v>
      </c>
      <c r="G358" s="94"/>
      <c r="H358" s="87"/>
      <c r="I358" s="87" t="s">
        <v>355</v>
      </c>
    </row>
    <row r="359">
      <c r="A359" s="87">
        <v>218.0</v>
      </c>
      <c r="B359" s="87" t="s">
        <v>281</v>
      </c>
      <c r="C359" s="93">
        <v>1.0</v>
      </c>
      <c r="D359" s="87" t="s">
        <v>275</v>
      </c>
      <c r="E359" s="87" t="s">
        <v>17</v>
      </c>
      <c r="F359" s="87" t="s">
        <v>349</v>
      </c>
      <c r="G359" s="94"/>
      <c r="H359" s="87"/>
      <c r="I359" s="87" t="s">
        <v>356</v>
      </c>
    </row>
    <row r="360">
      <c r="A360" s="87">
        <v>217.0</v>
      </c>
      <c r="B360" s="87" t="s">
        <v>357</v>
      </c>
      <c r="C360" s="93">
        <v>1.0</v>
      </c>
      <c r="D360" s="87" t="s">
        <v>275</v>
      </c>
      <c r="E360" s="87" t="s">
        <v>17</v>
      </c>
      <c r="F360" s="87" t="s">
        <v>349</v>
      </c>
      <c r="G360" s="94"/>
      <c r="H360" s="87"/>
      <c r="I360" s="87" t="s">
        <v>358</v>
      </c>
    </row>
    <row r="361">
      <c r="A361" s="87">
        <v>212.0</v>
      </c>
      <c r="B361" s="87" t="s">
        <v>359</v>
      </c>
      <c r="C361" s="93">
        <v>2.0</v>
      </c>
      <c r="D361" s="87" t="s">
        <v>275</v>
      </c>
      <c r="E361" s="87" t="s">
        <v>17</v>
      </c>
      <c r="F361" s="87" t="s">
        <v>349</v>
      </c>
      <c r="G361" s="94"/>
      <c r="H361" s="87"/>
      <c r="I361" s="87" t="s">
        <v>360</v>
      </c>
    </row>
    <row r="362">
      <c r="A362" s="87">
        <v>241.0</v>
      </c>
      <c r="B362" s="87" t="s">
        <v>361</v>
      </c>
      <c r="C362" s="93">
        <v>1.0</v>
      </c>
      <c r="D362" s="87" t="s">
        <v>275</v>
      </c>
      <c r="E362" s="87" t="s">
        <v>17</v>
      </c>
      <c r="F362" s="87" t="s">
        <v>349</v>
      </c>
      <c r="G362" s="94"/>
      <c r="H362" s="87"/>
      <c r="I362" s="87" t="s">
        <v>362</v>
      </c>
    </row>
    <row r="363">
      <c r="A363" s="87">
        <v>96.0</v>
      </c>
      <c r="B363" s="87" t="s">
        <v>283</v>
      </c>
      <c r="C363" s="93">
        <v>1.0</v>
      </c>
      <c r="D363" s="87" t="s">
        <v>275</v>
      </c>
      <c r="E363" s="87" t="s">
        <v>19</v>
      </c>
      <c r="F363" s="87" t="s">
        <v>349</v>
      </c>
      <c r="G363" s="94">
        <v>45583.0</v>
      </c>
      <c r="H363" s="87"/>
      <c r="I363" s="87"/>
    </row>
    <row r="364">
      <c r="A364" s="87">
        <v>206.0</v>
      </c>
      <c r="B364" s="87" t="s">
        <v>283</v>
      </c>
      <c r="C364" s="93">
        <v>4.0</v>
      </c>
      <c r="D364" s="87" t="s">
        <v>275</v>
      </c>
      <c r="E364" s="87" t="s">
        <v>17</v>
      </c>
      <c r="F364" s="87" t="s">
        <v>349</v>
      </c>
      <c r="G364" s="94"/>
      <c r="H364" s="87"/>
      <c r="I364" s="87"/>
    </row>
    <row r="365">
      <c r="A365" s="87">
        <v>207.0</v>
      </c>
      <c r="B365" s="87" t="s">
        <v>363</v>
      </c>
      <c r="C365" s="93">
        <v>2.0</v>
      </c>
      <c r="D365" s="87" t="s">
        <v>275</v>
      </c>
      <c r="E365" s="87" t="s">
        <v>17</v>
      </c>
      <c r="F365" s="87" t="s">
        <v>349</v>
      </c>
      <c r="G365" s="94"/>
      <c r="H365" s="87"/>
      <c r="I365" s="87"/>
    </row>
    <row r="366">
      <c r="A366" s="87">
        <v>139.0</v>
      </c>
      <c r="B366" s="87" t="s">
        <v>286</v>
      </c>
      <c r="C366" s="93">
        <v>4.0</v>
      </c>
      <c r="D366" s="87" t="s">
        <v>275</v>
      </c>
      <c r="E366" s="87" t="s">
        <v>19</v>
      </c>
      <c r="F366" s="87" t="s">
        <v>349</v>
      </c>
      <c r="G366" s="94">
        <v>45525.0</v>
      </c>
      <c r="H366" s="87"/>
      <c r="I366" s="87"/>
    </row>
    <row r="367">
      <c r="A367" s="87">
        <v>211.0</v>
      </c>
      <c r="B367" s="87" t="s">
        <v>286</v>
      </c>
      <c r="C367" s="93">
        <v>2.0</v>
      </c>
      <c r="D367" s="87" t="s">
        <v>275</v>
      </c>
      <c r="E367" s="87" t="s">
        <v>17</v>
      </c>
      <c r="F367" s="87" t="s">
        <v>349</v>
      </c>
      <c r="G367" s="94"/>
      <c r="H367" s="87"/>
      <c r="I367" s="87"/>
    </row>
    <row r="368">
      <c r="A368" s="87">
        <v>140.0</v>
      </c>
      <c r="B368" s="87" t="s">
        <v>287</v>
      </c>
      <c r="C368" s="93">
        <v>2.0</v>
      </c>
      <c r="D368" s="87" t="s">
        <v>275</v>
      </c>
      <c r="E368" s="87" t="s">
        <v>19</v>
      </c>
      <c r="F368" s="87" t="s">
        <v>349</v>
      </c>
      <c r="G368" s="94">
        <v>45525.0</v>
      </c>
      <c r="H368" s="87"/>
      <c r="I368" s="87"/>
    </row>
    <row r="369">
      <c r="A369" s="87">
        <v>208.0</v>
      </c>
      <c r="B369" s="87" t="s">
        <v>287</v>
      </c>
      <c r="C369" s="93">
        <v>6.0</v>
      </c>
      <c r="D369" s="87" t="s">
        <v>275</v>
      </c>
      <c r="E369" s="87" t="s">
        <v>17</v>
      </c>
      <c r="F369" s="87" t="s">
        <v>349</v>
      </c>
      <c r="G369" s="94"/>
      <c r="H369" s="87"/>
      <c r="I369" s="87" t="s">
        <v>364</v>
      </c>
    </row>
    <row r="370">
      <c r="A370" s="87">
        <v>209.0</v>
      </c>
      <c r="B370" s="87" t="s">
        <v>287</v>
      </c>
      <c r="C370" s="93">
        <v>2.0</v>
      </c>
      <c r="D370" s="87" t="s">
        <v>275</v>
      </c>
      <c r="E370" s="87" t="s">
        <v>17</v>
      </c>
      <c r="F370" s="87" t="s">
        <v>349</v>
      </c>
      <c r="G370" s="94"/>
      <c r="H370" s="87"/>
      <c r="I370" s="87" t="s">
        <v>365</v>
      </c>
    </row>
    <row r="371">
      <c r="A371" s="87">
        <v>210.0</v>
      </c>
      <c r="B371" s="87" t="s">
        <v>366</v>
      </c>
      <c r="C371" s="93">
        <v>3.0</v>
      </c>
      <c r="D371" s="87" t="s">
        <v>275</v>
      </c>
      <c r="E371" s="87" t="s">
        <v>17</v>
      </c>
      <c r="F371" s="87" t="s">
        <v>349</v>
      </c>
      <c r="G371" s="94"/>
      <c r="H371" s="87"/>
      <c r="I371" s="87"/>
    </row>
    <row r="372">
      <c r="A372" s="87">
        <v>215.0</v>
      </c>
      <c r="B372" s="87" t="s">
        <v>367</v>
      </c>
      <c r="C372" s="93">
        <v>1.0</v>
      </c>
      <c r="D372" s="87" t="s">
        <v>275</v>
      </c>
      <c r="E372" s="87" t="s">
        <v>17</v>
      </c>
      <c r="F372" s="87" t="s">
        <v>349</v>
      </c>
      <c r="G372" s="94"/>
      <c r="H372" s="87"/>
      <c r="I372" s="87" t="s">
        <v>368</v>
      </c>
    </row>
    <row r="373">
      <c r="A373" s="87">
        <v>216.0</v>
      </c>
      <c r="B373" s="87" t="s">
        <v>369</v>
      </c>
      <c r="C373" s="93">
        <v>1.0</v>
      </c>
      <c r="D373" s="87" t="s">
        <v>275</v>
      </c>
      <c r="E373" s="87" t="s">
        <v>17</v>
      </c>
      <c r="F373" s="87" t="s">
        <v>349</v>
      </c>
      <c r="G373" s="94"/>
      <c r="H373" s="87"/>
      <c r="I373" s="87" t="s">
        <v>370</v>
      </c>
    </row>
    <row r="374">
      <c r="A374" s="87">
        <v>136.0</v>
      </c>
      <c r="B374" s="87" t="s">
        <v>371</v>
      </c>
      <c r="C374" s="93">
        <v>2.0</v>
      </c>
      <c r="D374" s="87" t="s">
        <v>275</v>
      </c>
      <c r="E374" s="87" t="s">
        <v>19</v>
      </c>
      <c r="F374" s="87" t="s">
        <v>349</v>
      </c>
      <c r="G374" s="94">
        <v>45525.0</v>
      </c>
      <c r="H374" s="87"/>
      <c r="I374" s="87"/>
    </row>
    <row r="375">
      <c r="A375" s="87">
        <v>214.0</v>
      </c>
      <c r="B375" s="87" t="s">
        <v>371</v>
      </c>
      <c r="C375" s="93">
        <v>2.0</v>
      </c>
      <c r="D375" s="87" t="s">
        <v>275</v>
      </c>
      <c r="E375" s="87" t="s">
        <v>17</v>
      </c>
      <c r="F375" s="87" t="s">
        <v>349</v>
      </c>
      <c r="G375" s="94"/>
      <c r="H375" s="87"/>
      <c r="I375" s="87" t="s">
        <v>372</v>
      </c>
    </row>
    <row r="376">
      <c r="A376" s="87">
        <v>137.0</v>
      </c>
      <c r="B376" s="87" t="s">
        <v>373</v>
      </c>
      <c r="C376" s="93">
        <v>3.0</v>
      </c>
      <c r="D376" s="87" t="s">
        <v>275</v>
      </c>
      <c r="E376" s="87" t="s">
        <v>19</v>
      </c>
      <c r="F376" s="87" t="s">
        <v>349</v>
      </c>
      <c r="G376" s="94">
        <v>45525.0</v>
      </c>
      <c r="H376" s="87"/>
      <c r="I376" s="87"/>
    </row>
    <row r="377">
      <c r="A377" s="87">
        <v>213.0</v>
      </c>
      <c r="B377" s="87" t="s">
        <v>374</v>
      </c>
      <c r="C377" s="93">
        <v>2.0</v>
      </c>
      <c r="D377" s="87" t="s">
        <v>275</v>
      </c>
      <c r="E377" s="87" t="s">
        <v>17</v>
      </c>
      <c r="F377" s="87" t="s">
        <v>349</v>
      </c>
      <c r="G377" s="94"/>
      <c r="H377" s="87"/>
      <c r="I377" s="87" t="s">
        <v>375</v>
      </c>
    </row>
    <row r="378">
      <c r="A378" s="87">
        <v>138.0</v>
      </c>
      <c r="B378" s="87" t="s">
        <v>376</v>
      </c>
      <c r="C378" s="93">
        <v>1.0</v>
      </c>
      <c r="D378" s="87" t="s">
        <v>275</v>
      </c>
      <c r="E378" s="87" t="s">
        <v>19</v>
      </c>
      <c r="F378" s="87" t="s">
        <v>349</v>
      </c>
      <c r="G378" s="94">
        <v>45525.0</v>
      </c>
      <c r="H378" s="87"/>
      <c r="I378" s="87"/>
    </row>
    <row r="379">
      <c r="A379" s="87">
        <v>242.0</v>
      </c>
      <c r="B379" s="87" t="s">
        <v>348</v>
      </c>
      <c r="C379" s="93">
        <v>3.0</v>
      </c>
      <c r="D379" s="87" t="s">
        <v>275</v>
      </c>
      <c r="E379" s="87" t="s">
        <v>1</v>
      </c>
      <c r="F379" s="87" t="s">
        <v>377</v>
      </c>
      <c r="G379" s="94"/>
      <c r="H379" s="87"/>
      <c r="I379" s="87"/>
    </row>
    <row r="380">
      <c r="A380" s="87">
        <v>249.0</v>
      </c>
      <c r="B380" s="87" t="s">
        <v>350</v>
      </c>
      <c r="C380" s="93">
        <v>1.0</v>
      </c>
      <c r="D380" s="87" t="s">
        <v>275</v>
      </c>
      <c r="E380" s="87" t="s">
        <v>1</v>
      </c>
      <c r="F380" s="87" t="s">
        <v>377</v>
      </c>
      <c r="G380" s="94"/>
      <c r="H380" s="87"/>
      <c r="I380" s="87"/>
    </row>
    <row r="381">
      <c r="A381" s="87">
        <v>248.0</v>
      </c>
      <c r="B381" s="87" t="s">
        <v>351</v>
      </c>
      <c r="C381" s="93">
        <v>2.0</v>
      </c>
      <c r="D381" s="87" t="s">
        <v>275</v>
      </c>
      <c r="E381" s="87" t="s">
        <v>1</v>
      </c>
      <c r="F381" s="87" t="s">
        <v>377</v>
      </c>
      <c r="G381" s="94"/>
      <c r="H381" s="87"/>
      <c r="I381" s="87"/>
    </row>
    <row r="382">
      <c r="A382" s="87">
        <v>253.0</v>
      </c>
      <c r="B382" s="87" t="s">
        <v>352</v>
      </c>
      <c r="C382" s="93">
        <v>1.0</v>
      </c>
      <c r="D382" s="87" t="s">
        <v>275</v>
      </c>
      <c r="E382" s="87" t="s">
        <v>1</v>
      </c>
      <c r="F382" s="87" t="s">
        <v>377</v>
      </c>
      <c r="G382" s="94"/>
      <c r="H382" s="87"/>
      <c r="I382" s="87"/>
    </row>
    <row r="383">
      <c r="A383" s="87">
        <v>245.0</v>
      </c>
      <c r="B383" s="87" t="s">
        <v>282</v>
      </c>
      <c r="C383" s="93">
        <v>7.0</v>
      </c>
      <c r="D383" s="87" t="s">
        <v>275</v>
      </c>
      <c r="E383" s="87" t="s">
        <v>1</v>
      </c>
      <c r="F383" s="87" t="s">
        <v>377</v>
      </c>
      <c r="G383" s="94"/>
      <c r="H383" s="87"/>
      <c r="I383" s="87"/>
    </row>
    <row r="384">
      <c r="A384" s="87">
        <v>244.0</v>
      </c>
      <c r="B384" s="87" t="s">
        <v>283</v>
      </c>
      <c r="C384" s="93">
        <v>4.0</v>
      </c>
      <c r="D384" s="87" t="s">
        <v>275</v>
      </c>
      <c r="E384" s="87" t="s">
        <v>1</v>
      </c>
      <c r="F384" s="87" t="s">
        <v>377</v>
      </c>
      <c r="G384" s="94"/>
      <c r="H384" s="87"/>
      <c r="I384" s="87"/>
    </row>
    <row r="385">
      <c r="A385" s="87">
        <v>246.0</v>
      </c>
      <c r="B385" s="87" t="s">
        <v>286</v>
      </c>
      <c r="C385" s="93">
        <v>7.0</v>
      </c>
      <c r="D385" s="87" t="s">
        <v>275</v>
      </c>
      <c r="E385" s="87" t="s">
        <v>1</v>
      </c>
      <c r="F385" s="87" t="s">
        <v>377</v>
      </c>
      <c r="G385" s="94"/>
      <c r="H385" s="87"/>
      <c r="I385" s="87"/>
    </row>
    <row r="386">
      <c r="A386" s="87">
        <v>243.0</v>
      </c>
      <c r="B386" s="87" t="s">
        <v>287</v>
      </c>
      <c r="C386" s="93">
        <v>6.0</v>
      </c>
      <c r="D386" s="87" t="s">
        <v>275</v>
      </c>
      <c r="E386" s="87" t="s">
        <v>1</v>
      </c>
      <c r="F386" s="87" t="s">
        <v>377</v>
      </c>
      <c r="G386" s="94"/>
      <c r="H386" s="87"/>
      <c r="I386" s="87"/>
    </row>
    <row r="387">
      <c r="A387" s="87">
        <v>247.0</v>
      </c>
      <c r="B387" s="87" t="s">
        <v>288</v>
      </c>
      <c r="C387" s="93">
        <v>3.0</v>
      </c>
      <c r="D387" s="87" t="s">
        <v>275</v>
      </c>
      <c r="E387" s="87" t="s">
        <v>1</v>
      </c>
      <c r="F387" s="87" t="s">
        <v>377</v>
      </c>
      <c r="G387" s="94"/>
      <c r="H387" s="87"/>
      <c r="I387" s="87"/>
    </row>
    <row r="388">
      <c r="A388" s="87">
        <v>331.0</v>
      </c>
      <c r="B388" s="87" t="s">
        <v>348</v>
      </c>
      <c r="C388" s="93">
        <v>1.0</v>
      </c>
      <c r="D388" s="87" t="s">
        <v>275</v>
      </c>
      <c r="E388" s="87" t="s">
        <v>21</v>
      </c>
      <c r="F388" s="87" t="s">
        <v>378</v>
      </c>
      <c r="G388" s="94">
        <v>45580.0</v>
      </c>
      <c r="H388" s="87"/>
      <c r="I388" s="87"/>
    </row>
    <row r="389">
      <c r="A389" s="87">
        <v>146.0</v>
      </c>
      <c r="B389" s="87" t="s">
        <v>379</v>
      </c>
      <c r="C389" s="93">
        <v>2.0</v>
      </c>
      <c r="D389" s="87" t="s">
        <v>275</v>
      </c>
      <c r="E389" s="87" t="s">
        <v>1</v>
      </c>
      <c r="F389" s="87" t="s">
        <v>378</v>
      </c>
      <c r="G389" s="94">
        <v>45723.0</v>
      </c>
      <c r="H389" s="87"/>
      <c r="I389" s="87"/>
    </row>
    <row r="390">
      <c r="A390" s="87">
        <v>89.0</v>
      </c>
      <c r="B390" s="87" t="s">
        <v>380</v>
      </c>
      <c r="C390" s="93">
        <v>2.0</v>
      </c>
      <c r="D390" s="87" t="s">
        <v>275</v>
      </c>
      <c r="E390" s="87" t="s">
        <v>19</v>
      </c>
      <c r="F390" s="87" t="s">
        <v>378</v>
      </c>
      <c r="G390" s="94">
        <v>45525.0</v>
      </c>
      <c r="H390" s="87"/>
      <c r="I390" s="87"/>
    </row>
    <row r="391">
      <c r="A391" s="87">
        <v>147.0</v>
      </c>
      <c r="B391" s="87" t="s">
        <v>380</v>
      </c>
      <c r="C391" s="93">
        <v>3.0</v>
      </c>
      <c r="D391" s="87" t="s">
        <v>275</v>
      </c>
      <c r="E391" s="87" t="s">
        <v>1</v>
      </c>
      <c r="F391" s="87" t="s">
        <v>378</v>
      </c>
      <c r="G391" s="94">
        <v>45525.0</v>
      </c>
      <c r="H391" s="87"/>
      <c r="I391" s="87"/>
    </row>
    <row r="392">
      <c r="A392" s="87">
        <v>254.0</v>
      </c>
      <c r="B392" s="87" t="s">
        <v>381</v>
      </c>
      <c r="C392" s="93">
        <v>3.0</v>
      </c>
      <c r="D392" s="87" t="s">
        <v>275</v>
      </c>
      <c r="E392" s="87" t="s">
        <v>1</v>
      </c>
      <c r="F392" s="87" t="s">
        <v>378</v>
      </c>
      <c r="G392" s="94"/>
      <c r="H392" s="87"/>
      <c r="I392" s="87" t="s">
        <v>285</v>
      </c>
    </row>
    <row r="393">
      <c r="A393" s="87">
        <v>325.0</v>
      </c>
      <c r="B393" s="87" t="s">
        <v>353</v>
      </c>
      <c r="C393" s="93">
        <v>1.0</v>
      </c>
      <c r="D393" s="87" t="s">
        <v>275</v>
      </c>
      <c r="E393" s="87" t="s">
        <v>21</v>
      </c>
      <c r="F393" s="87" t="s">
        <v>378</v>
      </c>
      <c r="G393" s="94">
        <v>45580.0</v>
      </c>
      <c r="H393" s="87"/>
      <c r="I393" s="87"/>
    </row>
    <row r="394">
      <c r="A394" s="87">
        <v>327.0</v>
      </c>
      <c r="B394" s="87" t="s">
        <v>274</v>
      </c>
      <c r="C394" s="93">
        <v>1.0</v>
      </c>
      <c r="D394" s="87" t="s">
        <v>275</v>
      </c>
      <c r="E394" s="87" t="s">
        <v>21</v>
      </c>
      <c r="F394" s="87" t="s">
        <v>378</v>
      </c>
      <c r="G394" s="94">
        <v>45580.0</v>
      </c>
      <c r="H394" s="87"/>
      <c r="I394" s="87"/>
    </row>
    <row r="395">
      <c r="A395" s="87">
        <v>282.0</v>
      </c>
      <c r="B395" s="87" t="s">
        <v>382</v>
      </c>
      <c r="C395" s="93">
        <v>2.0</v>
      </c>
      <c r="D395" s="87" t="s">
        <v>275</v>
      </c>
      <c r="E395" s="87" t="s">
        <v>1</v>
      </c>
      <c r="F395" s="87" t="s">
        <v>378</v>
      </c>
      <c r="G395" s="94"/>
      <c r="H395" s="87"/>
      <c r="I395" s="87"/>
    </row>
    <row r="396">
      <c r="A396" s="87">
        <v>87.0</v>
      </c>
      <c r="B396" s="87" t="s">
        <v>383</v>
      </c>
      <c r="C396" s="93">
        <v>1.0</v>
      </c>
      <c r="D396" s="87" t="s">
        <v>275</v>
      </c>
      <c r="E396" s="87" t="s">
        <v>19</v>
      </c>
      <c r="F396" s="87" t="s">
        <v>378</v>
      </c>
      <c r="G396" s="94">
        <v>45525.0</v>
      </c>
      <c r="H396" s="87"/>
      <c r="I396" s="87"/>
    </row>
    <row r="397">
      <c r="A397" s="87">
        <v>764.0</v>
      </c>
      <c r="B397" s="87" t="s">
        <v>113</v>
      </c>
      <c r="C397" s="93">
        <v>2.0</v>
      </c>
      <c r="D397" s="87" t="s">
        <v>275</v>
      </c>
      <c r="E397" s="87" t="s">
        <v>13</v>
      </c>
      <c r="F397" s="87" t="s">
        <v>378</v>
      </c>
      <c r="G397" s="94"/>
      <c r="H397" s="87"/>
      <c r="I397" s="87"/>
    </row>
    <row r="398">
      <c r="A398" s="87">
        <v>1538.0</v>
      </c>
      <c r="B398" s="87" t="s">
        <v>122</v>
      </c>
      <c r="C398" s="93">
        <v>1.0</v>
      </c>
      <c r="D398" s="87" t="s">
        <v>39</v>
      </c>
      <c r="E398" s="87" t="s">
        <v>19</v>
      </c>
      <c r="F398" s="87" t="s">
        <v>378</v>
      </c>
      <c r="G398" s="94">
        <v>7.6950727E7</v>
      </c>
      <c r="H398" s="87"/>
      <c r="I398" s="87" t="s">
        <v>384</v>
      </c>
    </row>
    <row r="399">
      <c r="A399" s="87">
        <v>83.0</v>
      </c>
      <c r="B399" s="87" t="s">
        <v>385</v>
      </c>
      <c r="C399" s="93">
        <v>5.0</v>
      </c>
      <c r="D399" s="87" t="s">
        <v>275</v>
      </c>
      <c r="E399" s="87" t="s">
        <v>19</v>
      </c>
      <c r="F399" s="87" t="s">
        <v>378</v>
      </c>
      <c r="G399" s="94">
        <v>45525.0</v>
      </c>
      <c r="H399" s="87"/>
      <c r="I399" s="87"/>
    </row>
    <row r="400">
      <c r="A400" s="87">
        <v>326.0</v>
      </c>
      <c r="B400" s="87" t="s">
        <v>385</v>
      </c>
      <c r="C400" s="93">
        <v>1.0</v>
      </c>
      <c r="D400" s="87" t="s">
        <v>275</v>
      </c>
      <c r="E400" s="87" t="s">
        <v>21</v>
      </c>
      <c r="F400" s="87" t="s">
        <v>378</v>
      </c>
      <c r="G400" s="94">
        <v>45580.0</v>
      </c>
      <c r="H400" s="87"/>
      <c r="I400" s="87" t="s">
        <v>386</v>
      </c>
    </row>
    <row r="401">
      <c r="A401" s="87">
        <v>332.0</v>
      </c>
      <c r="B401" s="87" t="s">
        <v>282</v>
      </c>
      <c r="C401" s="93">
        <v>2.0</v>
      </c>
      <c r="D401" s="87" t="s">
        <v>275</v>
      </c>
      <c r="E401" s="87" t="s">
        <v>21</v>
      </c>
      <c r="F401" s="87" t="s">
        <v>378</v>
      </c>
      <c r="G401" s="94">
        <v>45580.0</v>
      </c>
      <c r="H401" s="87"/>
      <c r="I401" s="87"/>
    </row>
    <row r="402">
      <c r="A402" s="87">
        <v>372.0</v>
      </c>
      <c r="B402" s="87" t="s">
        <v>127</v>
      </c>
      <c r="C402" s="93">
        <v>1.0</v>
      </c>
      <c r="D402" s="87" t="s">
        <v>39</v>
      </c>
      <c r="E402" s="87" t="s">
        <v>387</v>
      </c>
      <c r="F402" s="87" t="s">
        <v>378</v>
      </c>
      <c r="G402" s="94">
        <v>1.3985914E7</v>
      </c>
      <c r="H402" s="87"/>
      <c r="I402" s="87"/>
    </row>
    <row r="403">
      <c r="A403" s="87">
        <v>88.0</v>
      </c>
      <c r="B403" s="87" t="s">
        <v>388</v>
      </c>
      <c r="C403" s="93">
        <v>1.0</v>
      </c>
      <c r="D403" s="87" t="s">
        <v>275</v>
      </c>
      <c r="E403" s="87" t="s">
        <v>19</v>
      </c>
      <c r="F403" s="87" t="s">
        <v>378</v>
      </c>
      <c r="G403" s="94">
        <v>45525.0</v>
      </c>
      <c r="H403" s="87"/>
      <c r="I403" s="87" t="s">
        <v>389</v>
      </c>
    </row>
    <row r="404">
      <c r="A404" s="87">
        <v>52.0</v>
      </c>
      <c r="B404" s="87" t="s">
        <v>390</v>
      </c>
      <c r="C404" s="93">
        <v>1.0</v>
      </c>
      <c r="D404" s="87" t="s">
        <v>275</v>
      </c>
      <c r="E404" s="87" t="s">
        <v>19</v>
      </c>
      <c r="F404" s="87" t="s">
        <v>378</v>
      </c>
      <c r="G404" s="94"/>
      <c r="H404" s="87"/>
      <c r="I404" s="87"/>
    </row>
    <row r="405">
      <c r="A405" s="87">
        <v>85.0</v>
      </c>
      <c r="B405" s="87" t="s">
        <v>391</v>
      </c>
      <c r="C405" s="93">
        <v>1.0</v>
      </c>
      <c r="D405" s="87" t="s">
        <v>275</v>
      </c>
      <c r="E405" s="87" t="s">
        <v>19</v>
      </c>
      <c r="F405" s="87" t="s">
        <v>378</v>
      </c>
      <c r="G405" s="94">
        <v>45525.0</v>
      </c>
      <c r="H405" s="87"/>
      <c r="I405" s="87" t="s">
        <v>392</v>
      </c>
    </row>
    <row r="406">
      <c r="A406" s="87">
        <v>86.0</v>
      </c>
      <c r="B406" s="87" t="s">
        <v>393</v>
      </c>
      <c r="C406" s="93">
        <v>1.0</v>
      </c>
      <c r="D406" s="87" t="s">
        <v>275</v>
      </c>
      <c r="E406" s="87" t="s">
        <v>19</v>
      </c>
      <c r="F406" s="87" t="s">
        <v>378</v>
      </c>
      <c r="G406" s="94">
        <v>45525.0</v>
      </c>
      <c r="H406" s="87"/>
      <c r="I406" s="87"/>
    </row>
    <row r="407">
      <c r="A407" s="87">
        <v>1196.0</v>
      </c>
      <c r="B407" s="87" t="s">
        <v>153</v>
      </c>
      <c r="C407" s="93">
        <v>1.0</v>
      </c>
      <c r="D407" s="87" t="s">
        <v>275</v>
      </c>
      <c r="E407" s="87" t="s">
        <v>1</v>
      </c>
      <c r="F407" s="87" t="s">
        <v>378</v>
      </c>
      <c r="G407" s="94">
        <v>7.6832872E7</v>
      </c>
      <c r="H407" s="87" t="s">
        <v>394</v>
      </c>
      <c r="I407" s="87" t="s">
        <v>270</v>
      </c>
    </row>
    <row r="408">
      <c r="A408" s="87">
        <v>1290.0</v>
      </c>
      <c r="B408" s="87" t="s">
        <v>153</v>
      </c>
      <c r="C408" s="93">
        <v>1.0</v>
      </c>
      <c r="D408" s="87" t="s">
        <v>275</v>
      </c>
      <c r="E408" s="87" t="s">
        <v>1</v>
      </c>
      <c r="F408" s="87" t="s">
        <v>378</v>
      </c>
      <c r="G408" s="94">
        <v>7.685793E7</v>
      </c>
      <c r="H408" s="87" t="s">
        <v>395</v>
      </c>
      <c r="I408" s="87" t="s">
        <v>396</v>
      </c>
    </row>
    <row r="409">
      <c r="A409" s="87">
        <v>1291.0</v>
      </c>
      <c r="B409" s="87" t="s">
        <v>153</v>
      </c>
      <c r="C409" s="93">
        <v>1.0</v>
      </c>
      <c r="D409" s="87" t="s">
        <v>275</v>
      </c>
      <c r="E409" s="87" t="s">
        <v>1</v>
      </c>
      <c r="F409" s="87" t="s">
        <v>378</v>
      </c>
      <c r="G409" s="94">
        <v>7.6857131E7</v>
      </c>
      <c r="H409" s="87" t="s">
        <v>397</v>
      </c>
      <c r="I409" s="87" t="s">
        <v>398</v>
      </c>
    </row>
    <row r="410">
      <c r="A410" s="87">
        <v>329.0</v>
      </c>
      <c r="B410" s="87" t="s">
        <v>283</v>
      </c>
      <c r="C410" s="93">
        <v>1.0</v>
      </c>
      <c r="D410" s="87" t="s">
        <v>275</v>
      </c>
      <c r="E410" s="87" t="s">
        <v>21</v>
      </c>
      <c r="F410" s="87" t="s">
        <v>378</v>
      </c>
      <c r="G410" s="94">
        <v>45580.0</v>
      </c>
      <c r="H410" s="87"/>
      <c r="I410" s="87"/>
    </row>
    <row r="411">
      <c r="A411" s="87">
        <v>1129.0</v>
      </c>
      <c r="B411" s="87" t="s">
        <v>271</v>
      </c>
      <c r="C411" s="93">
        <v>1.0</v>
      </c>
      <c r="D411" s="87" t="s">
        <v>275</v>
      </c>
      <c r="E411" s="87" t="s">
        <v>19</v>
      </c>
      <c r="F411" s="87" t="s">
        <v>378</v>
      </c>
      <c r="G411" s="94">
        <v>7.6829391E7</v>
      </c>
      <c r="H411" s="87"/>
      <c r="I411" s="87" t="s">
        <v>399</v>
      </c>
    </row>
    <row r="412">
      <c r="A412" s="87">
        <v>328.0</v>
      </c>
      <c r="B412" s="87" t="s">
        <v>173</v>
      </c>
      <c r="C412" s="93">
        <v>1.0</v>
      </c>
      <c r="D412" s="87" t="s">
        <v>275</v>
      </c>
      <c r="E412" s="87" t="s">
        <v>21</v>
      </c>
      <c r="F412" s="87" t="s">
        <v>378</v>
      </c>
      <c r="G412" s="94">
        <v>45580.0</v>
      </c>
      <c r="H412" s="87"/>
      <c r="I412" s="87"/>
    </row>
    <row r="413">
      <c r="A413" s="87">
        <v>174.0</v>
      </c>
      <c r="B413" s="87" t="s">
        <v>400</v>
      </c>
      <c r="C413" s="93">
        <v>3.0</v>
      </c>
      <c r="D413" s="87" t="s">
        <v>275</v>
      </c>
      <c r="E413" s="87" t="s">
        <v>13</v>
      </c>
      <c r="F413" s="87" t="s">
        <v>378</v>
      </c>
      <c r="G413" s="94">
        <v>45819.0</v>
      </c>
      <c r="H413" s="87"/>
      <c r="I413" s="87"/>
    </row>
    <row r="414">
      <c r="A414" s="87">
        <v>315.0</v>
      </c>
      <c r="B414" s="87" t="s">
        <v>401</v>
      </c>
      <c r="C414" s="93">
        <v>1.0</v>
      </c>
      <c r="D414" s="87" t="s">
        <v>275</v>
      </c>
      <c r="E414" s="87" t="s">
        <v>1</v>
      </c>
      <c r="F414" s="87" t="s">
        <v>378</v>
      </c>
      <c r="G414" s="94"/>
      <c r="H414" s="87"/>
      <c r="I414" s="87" t="s">
        <v>402</v>
      </c>
    </row>
    <row r="415">
      <c r="A415" s="87">
        <v>508.0</v>
      </c>
      <c r="B415" s="87" t="s">
        <v>401</v>
      </c>
      <c r="C415" s="93">
        <v>1.0</v>
      </c>
      <c r="D415" s="87" t="s">
        <v>39</v>
      </c>
      <c r="E415" s="87" t="s">
        <v>19</v>
      </c>
      <c r="F415" s="87" t="s">
        <v>378</v>
      </c>
      <c r="G415" s="94"/>
      <c r="H415" s="87"/>
      <c r="I415" s="87"/>
    </row>
    <row r="416">
      <c r="A416" s="87">
        <v>1011.0</v>
      </c>
      <c r="B416" s="87" t="s">
        <v>403</v>
      </c>
      <c r="C416" s="93">
        <v>1.0</v>
      </c>
      <c r="D416" s="87" t="s">
        <v>275</v>
      </c>
      <c r="E416" s="87" t="s">
        <v>13</v>
      </c>
      <c r="F416" s="87" t="s">
        <v>378</v>
      </c>
      <c r="G416" s="94">
        <v>7.6725529E7</v>
      </c>
      <c r="H416" s="87"/>
      <c r="I416" s="87" t="s">
        <v>403</v>
      </c>
    </row>
    <row r="417">
      <c r="A417" s="87">
        <v>330.0</v>
      </c>
      <c r="B417" s="87" t="s">
        <v>287</v>
      </c>
      <c r="C417" s="93">
        <v>1.0</v>
      </c>
      <c r="D417" s="87" t="s">
        <v>275</v>
      </c>
      <c r="E417" s="87" t="s">
        <v>21</v>
      </c>
      <c r="F417" s="87" t="s">
        <v>378</v>
      </c>
      <c r="G417" s="94">
        <v>45580.0</v>
      </c>
      <c r="H417" s="87"/>
      <c r="I417" s="87"/>
    </row>
    <row r="418">
      <c r="A418" s="87">
        <v>765.0</v>
      </c>
      <c r="B418" s="87" t="s">
        <v>206</v>
      </c>
      <c r="C418" s="93">
        <v>1.0</v>
      </c>
      <c r="D418" s="87" t="s">
        <v>275</v>
      </c>
      <c r="E418" s="87" t="s">
        <v>13</v>
      </c>
      <c r="F418" s="87" t="s">
        <v>378</v>
      </c>
      <c r="G418" s="94"/>
      <c r="H418" s="87"/>
      <c r="I418" s="87"/>
    </row>
    <row r="419">
      <c r="A419" s="87">
        <v>1293.0</v>
      </c>
      <c r="B419" s="87" t="s">
        <v>404</v>
      </c>
      <c r="C419" s="93">
        <v>1.0</v>
      </c>
      <c r="D419" s="87" t="s">
        <v>275</v>
      </c>
      <c r="E419" s="87" t="s">
        <v>1</v>
      </c>
      <c r="F419" s="87" t="s">
        <v>378</v>
      </c>
      <c r="G419" s="94"/>
      <c r="H419" s="87" t="s">
        <v>405</v>
      </c>
      <c r="I419" s="87" t="s">
        <v>406</v>
      </c>
    </row>
    <row r="420">
      <c r="A420" s="87">
        <v>742.0</v>
      </c>
      <c r="B420" s="87" t="s">
        <v>353</v>
      </c>
      <c r="C420" s="93">
        <v>0.0</v>
      </c>
      <c r="D420" s="87" t="s">
        <v>275</v>
      </c>
      <c r="E420" s="87"/>
      <c r="F420" s="87" t="s">
        <v>407</v>
      </c>
      <c r="G420" s="94">
        <v>45527.0</v>
      </c>
      <c r="H420" s="87"/>
      <c r="I420" s="87"/>
    </row>
    <row r="421">
      <c r="A421" s="87">
        <v>20.0</v>
      </c>
      <c r="B421" s="87" t="s">
        <v>380</v>
      </c>
      <c r="C421" s="93">
        <v>1.0</v>
      </c>
      <c r="D421" s="87" t="s">
        <v>275</v>
      </c>
      <c r="E421" s="87" t="s">
        <v>12</v>
      </c>
      <c r="F421" s="87" t="s">
        <v>408</v>
      </c>
      <c r="G421" s="94">
        <v>45901.0</v>
      </c>
      <c r="H421" s="87"/>
      <c r="I421" s="87" t="s">
        <v>409</v>
      </c>
    </row>
    <row r="422">
      <c r="A422" s="87">
        <v>16.0</v>
      </c>
      <c r="B422" s="87" t="s">
        <v>296</v>
      </c>
      <c r="C422" s="93">
        <v>1.0</v>
      </c>
      <c r="D422" s="87" t="s">
        <v>275</v>
      </c>
      <c r="E422" s="87" t="s">
        <v>12</v>
      </c>
      <c r="F422" s="87" t="s">
        <v>408</v>
      </c>
      <c r="G422" s="94">
        <v>45527.0</v>
      </c>
      <c r="H422" s="87"/>
      <c r="I422" s="87"/>
    </row>
    <row r="423">
      <c r="A423" s="87">
        <v>487.0</v>
      </c>
      <c r="B423" s="87" t="s">
        <v>410</v>
      </c>
      <c r="C423" s="93">
        <v>3.0</v>
      </c>
      <c r="D423" s="87" t="s">
        <v>275</v>
      </c>
      <c r="E423" s="87" t="s">
        <v>1</v>
      </c>
      <c r="F423" s="87" t="s">
        <v>408</v>
      </c>
      <c r="G423" s="94"/>
      <c r="H423" s="87"/>
      <c r="I423" s="87"/>
    </row>
    <row r="424">
      <c r="A424" s="87">
        <v>95.0</v>
      </c>
      <c r="B424" s="87" t="s">
        <v>353</v>
      </c>
      <c r="C424" s="93">
        <v>4.0</v>
      </c>
      <c r="D424" s="87" t="s">
        <v>275</v>
      </c>
      <c r="E424" s="87" t="s">
        <v>19</v>
      </c>
      <c r="F424" s="87" t="s">
        <v>408</v>
      </c>
      <c r="G424" s="94">
        <v>45525.0</v>
      </c>
      <c r="H424" s="87"/>
      <c r="I424" s="87"/>
    </row>
    <row r="425">
      <c r="A425" s="87">
        <v>8.0</v>
      </c>
      <c r="B425" s="87" t="s">
        <v>411</v>
      </c>
      <c r="C425" s="93">
        <v>2.0</v>
      </c>
      <c r="D425" s="87" t="s">
        <v>275</v>
      </c>
      <c r="E425" s="87" t="s">
        <v>19</v>
      </c>
      <c r="F425" s="87" t="s">
        <v>408</v>
      </c>
      <c r="G425" s="94">
        <v>45527.0</v>
      </c>
      <c r="H425" s="87"/>
      <c r="I425" s="87"/>
    </row>
    <row r="426">
      <c r="A426" s="87">
        <v>51.0</v>
      </c>
      <c r="B426" s="87" t="s">
        <v>412</v>
      </c>
      <c r="C426" s="93">
        <v>2.0</v>
      </c>
      <c r="D426" s="87" t="s">
        <v>275</v>
      </c>
      <c r="E426" s="87" t="s">
        <v>12</v>
      </c>
      <c r="F426" s="87" t="s">
        <v>408</v>
      </c>
      <c r="G426" s="94">
        <v>45527.0</v>
      </c>
      <c r="H426" s="87"/>
      <c r="I426" s="87" t="s">
        <v>413</v>
      </c>
    </row>
    <row r="427">
      <c r="A427" s="87">
        <v>93.0</v>
      </c>
      <c r="B427" s="87" t="s">
        <v>414</v>
      </c>
      <c r="C427" s="93">
        <v>1.0</v>
      </c>
      <c r="D427" s="87" t="s">
        <v>275</v>
      </c>
      <c r="E427" s="87" t="s">
        <v>19</v>
      </c>
      <c r="F427" s="87" t="s">
        <v>408</v>
      </c>
      <c r="G427" s="94">
        <v>45525.0</v>
      </c>
      <c r="H427" s="87"/>
      <c r="I427" s="87"/>
    </row>
    <row r="428">
      <c r="A428" s="87">
        <v>94.0</v>
      </c>
      <c r="B428" s="87" t="s">
        <v>415</v>
      </c>
      <c r="C428" s="93">
        <v>1.0</v>
      </c>
      <c r="D428" s="87" t="s">
        <v>275</v>
      </c>
      <c r="E428" s="87" t="s">
        <v>19</v>
      </c>
      <c r="F428" s="87" t="s">
        <v>408</v>
      </c>
      <c r="G428" s="94">
        <v>45525.0</v>
      </c>
      <c r="H428" s="87"/>
      <c r="I428" s="87"/>
    </row>
    <row r="429">
      <c r="A429" s="87">
        <v>92.0</v>
      </c>
      <c r="B429" s="87" t="s">
        <v>416</v>
      </c>
      <c r="C429" s="93">
        <v>1.0</v>
      </c>
      <c r="D429" s="87" t="s">
        <v>275</v>
      </c>
      <c r="E429" s="87" t="s">
        <v>19</v>
      </c>
      <c r="F429" s="87" t="s">
        <v>408</v>
      </c>
      <c r="G429" s="94">
        <v>45525.0</v>
      </c>
      <c r="H429" s="87"/>
      <c r="I429" s="87"/>
    </row>
    <row r="430">
      <c r="A430" s="87">
        <v>84.0</v>
      </c>
      <c r="B430" s="87" t="s">
        <v>417</v>
      </c>
      <c r="C430" s="93">
        <v>1.0</v>
      </c>
      <c r="D430" s="87" t="s">
        <v>275</v>
      </c>
      <c r="E430" s="87" t="s">
        <v>1</v>
      </c>
      <c r="F430" s="87" t="s">
        <v>408</v>
      </c>
      <c r="G430" s="94"/>
      <c r="H430" s="87"/>
      <c r="I430" s="87"/>
    </row>
    <row r="431">
      <c r="A431" s="87">
        <v>273.0</v>
      </c>
      <c r="B431" s="87" t="s">
        <v>418</v>
      </c>
      <c r="C431" s="93">
        <v>1.0</v>
      </c>
      <c r="D431" s="87" t="s">
        <v>275</v>
      </c>
      <c r="E431" s="87" t="s">
        <v>1</v>
      </c>
      <c r="F431" s="87" t="s">
        <v>408</v>
      </c>
      <c r="G431" s="94"/>
      <c r="H431" s="87"/>
      <c r="I431" s="87" t="s">
        <v>419</v>
      </c>
    </row>
    <row r="432">
      <c r="A432" s="87">
        <v>1144.0</v>
      </c>
      <c r="B432" s="87" t="s">
        <v>153</v>
      </c>
      <c r="C432" s="93">
        <v>1.0</v>
      </c>
      <c r="D432" s="87" t="s">
        <v>275</v>
      </c>
      <c r="E432" s="87" t="s">
        <v>12</v>
      </c>
      <c r="F432" s="87" t="s">
        <v>408</v>
      </c>
      <c r="G432" s="94">
        <v>7.6838617E7</v>
      </c>
      <c r="H432" s="87" t="s">
        <v>420</v>
      </c>
      <c r="I432" s="87" t="s">
        <v>421</v>
      </c>
    </row>
    <row r="433">
      <c r="A433" s="87">
        <v>19.0</v>
      </c>
      <c r="B433" s="87" t="s">
        <v>156</v>
      </c>
      <c r="C433" s="93">
        <v>1.0</v>
      </c>
      <c r="D433" s="87" t="s">
        <v>275</v>
      </c>
      <c r="E433" s="87" t="s">
        <v>12</v>
      </c>
      <c r="F433" s="87" t="s">
        <v>408</v>
      </c>
      <c r="G433" s="94">
        <v>45527.0</v>
      </c>
      <c r="H433" s="87"/>
      <c r="I433" s="87"/>
    </row>
    <row r="434">
      <c r="A434" s="87">
        <v>277.0</v>
      </c>
      <c r="B434" s="87" t="s">
        <v>156</v>
      </c>
      <c r="C434" s="93">
        <v>1.0</v>
      </c>
      <c r="D434" s="87" t="s">
        <v>275</v>
      </c>
      <c r="E434" s="87" t="s">
        <v>1</v>
      </c>
      <c r="F434" s="87" t="s">
        <v>408</v>
      </c>
      <c r="G434" s="94">
        <v>45526.0</v>
      </c>
      <c r="H434" s="87"/>
      <c r="I434" s="87" t="s">
        <v>422</v>
      </c>
    </row>
    <row r="435">
      <c r="A435" s="87">
        <v>238.0</v>
      </c>
      <c r="B435" s="87" t="s">
        <v>423</v>
      </c>
      <c r="C435" s="93">
        <v>2.0</v>
      </c>
      <c r="D435" s="87" t="s">
        <v>275</v>
      </c>
      <c r="E435" s="87" t="s">
        <v>17</v>
      </c>
      <c r="F435" s="87" t="s">
        <v>408</v>
      </c>
      <c r="G435" s="94"/>
      <c r="H435" s="87" t="s">
        <v>424</v>
      </c>
      <c r="I435" s="87"/>
    </row>
    <row r="436">
      <c r="A436" s="87">
        <v>338.0</v>
      </c>
      <c r="B436" s="87" t="s">
        <v>400</v>
      </c>
      <c r="C436" s="93">
        <v>4.0</v>
      </c>
      <c r="D436" s="87" t="s">
        <v>275</v>
      </c>
      <c r="E436" s="87" t="s">
        <v>21</v>
      </c>
      <c r="F436" s="87" t="s">
        <v>408</v>
      </c>
      <c r="G436" s="94">
        <v>45580.0</v>
      </c>
      <c r="H436" s="87"/>
      <c r="I436" s="87"/>
    </row>
    <row r="437">
      <c r="A437" s="87">
        <v>339.0</v>
      </c>
      <c r="B437" s="87" t="s">
        <v>425</v>
      </c>
      <c r="C437" s="93">
        <v>3.0</v>
      </c>
      <c r="D437" s="87" t="s">
        <v>275</v>
      </c>
      <c r="E437" s="87" t="s">
        <v>21</v>
      </c>
      <c r="F437" s="87" t="s">
        <v>408</v>
      </c>
      <c r="G437" s="94">
        <v>45580.0</v>
      </c>
      <c r="H437" s="87"/>
      <c r="I437" s="87"/>
    </row>
    <row r="438">
      <c r="A438" s="87">
        <v>272.0</v>
      </c>
      <c r="B438" s="87" t="s">
        <v>401</v>
      </c>
      <c r="C438" s="93">
        <v>1.0</v>
      </c>
      <c r="D438" s="87" t="s">
        <v>275</v>
      </c>
      <c r="E438" s="87" t="s">
        <v>12</v>
      </c>
      <c r="F438" s="87" t="s">
        <v>408</v>
      </c>
      <c r="G438" s="94">
        <v>45580.0</v>
      </c>
      <c r="H438" s="87"/>
      <c r="I438" s="87"/>
    </row>
    <row r="439">
      <c r="A439" s="87">
        <v>279.0</v>
      </c>
      <c r="B439" s="87" t="s">
        <v>426</v>
      </c>
      <c r="C439" s="93">
        <v>2.0</v>
      </c>
      <c r="D439" s="87" t="s">
        <v>275</v>
      </c>
      <c r="E439" s="87" t="s">
        <v>1</v>
      </c>
      <c r="F439" s="87" t="s">
        <v>408</v>
      </c>
      <c r="G439" s="94">
        <v>45526.0</v>
      </c>
      <c r="H439" s="87"/>
      <c r="I439" s="87" t="s">
        <v>427</v>
      </c>
    </row>
    <row r="440">
      <c r="A440" s="87">
        <v>15.0</v>
      </c>
      <c r="B440" s="87" t="s">
        <v>428</v>
      </c>
      <c r="C440" s="93">
        <v>2.0</v>
      </c>
      <c r="D440" s="87" t="s">
        <v>275</v>
      </c>
      <c r="E440" s="87" t="s">
        <v>12</v>
      </c>
      <c r="F440" s="87" t="s">
        <v>408</v>
      </c>
      <c r="G440" s="94">
        <v>45527.0</v>
      </c>
      <c r="H440" s="87"/>
      <c r="I440" s="87"/>
    </row>
    <row r="441">
      <c r="A441" s="87">
        <v>21.0</v>
      </c>
      <c r="B441" s="87" t="s">
        <v>429</v>
      </c>
      <c r="C441" s="93">
        <v>2.0</v>
      </c>
      <c r="D441" s="87" t="s">
        <v>275</v>
      </c>
      <c r="E441" s="87" t="s">
        <v>12</v>
      </c>
      <c r="F441" s="87" t="s">
        <v>408</v>
      </c>
      <c r="G441" s="94">
        <v>45527.0</v>
      </c>
      <c r="H441" s="87"/>
      <c r="I441" s="87"/>
    </row>
    <row r="442">
      <c r="A442" s="87">
        <v>280.0</v>
      </c>
      <c r="B442" s="87" t="s">
        <v>429</v>
      </c>
      <c r="C442" s="93">
        <v>2.0</v>
      </c>
      <c r="D442" s="87" t="s">
        <v>275</v>
      </c>
      <c r="E442" s="87" t="s">
        <v>1</v>
      </c>
      <c r="F442" s="87" t="s">
        <v>408</v>
      </c>
      <c r="G442" s="94">
        <v>45526.0</v>
      </c>
      <c r="H442" s="87"/>
      <c r="I442" s="87" t="s">
        <v>212</v>
      </c>
    </row>
    <row r="443">
      <c r="A443" s="87">
        <v>544.0</v>
      </c>
      <c r="B443" s="87" t="s">
        <v>430</v>
      </c>
      <c r="C443" s="93">
        <v>1.0</v>
      </c>
      <c r="D443" s="87" t="s">
        <v>275</v>
      </c>
      <c r="E443" s="87" t="s">
        <v>19</v>
      </c>
      <c r="F443" s="87" t="s">
        <v>408</v>
      </c>
      <c r="G443" s="94">
        <v>1.396438E7</v>
      </c>
      <c r="H443" s="87"/>
      <c r="I443" s="87"/>
    </row>
    <row r="444">
      <c r="A444" s="87">
        <v>511.0</v>
      </c>
      <c r="B444" s="87" t="s">
        <v>431</v>
      </c>
      <c r="C444" s="93">
        <v>1.0</v>
      </c>
      <c r="D444" s="87" t="s">
        <v>39</v>
      </c>
      <c r="E444" s="87" t="s">
        <v>40</v>
      </c>
      <c r="F444" s="87" t="s">
        <v>432</v>
      </c>
      <c r="G444" s="94"/>
      <c r="H444" s="87"/>
      <c r="I444" s="87"/>
    </row>
    <row r="445">
      <c r="A445" s="87">
        <v>340.0</v>
      </c>
      <c r="B445" s="87" t="s">
        <v>433</v>
      </c>
      <c r="C445" s="93">
        <v>1.0</v>
      </c>
      <c r="D445" s="87" t="s">
        <v>275</v>
      </c>
      <c r="E445" s="87" t="s">
        <v>21</v>
      </c>
      <c r="F445" s="87" t="s">
        <v>432</v>
      </c>
      <c r="G445" s="94">
        <v>45580.0</v>
      </c>
      <c r="H445" s="87"/>
      <c r="I445" s="87"/>
    </row>
    <row r="446">
      <c r="A446" s="87">
        <v>14.0</v>
      </c>
      <c r="B446" s="87" t="s">
        <v>434</v>
      </c>
      <c r="C446" s="93">
        <v>1.0</v>
      </c>
      <c r="D446" s="87" t="s">
        <v>275</v>
      </c>
      <c r="E446" s="87" t="s">
        <v>12</v>
      </c>
      <c r="F446" s="87" t="s">
        <v>432</v>
      </c>
      <c r="G446" s="94">
        <v>45527.0</v>
      </c>
      <c r="H446" s="87"/>
      <c r="I446" s="87"/>
    </row>
    <row r="447">
      <c r="A447" s="87">
        <v>98.0</v>
      </c>
      <c r="B447" s="87" t="s">
        <v>435</v>
      </c>
      <c r="C447" s="93">
        <v>1.0</v>
      </c>
      <c r="D447" s="87" t="s">
        <v>275</v>
      </c>
      <c r="E447" s="87" t="s">
        <v>19</v>
      </c>
      <c r="F447" s="87" t="s">
        <v>432</v>
      </c>
      <c r="G447" s="94">
        <v>45525.0</v>
      </c>
      <c r="H447" s="87"/>
      <c r="I447" s="87"/>
    </row>
    <row r="448">
      <c r="A448" s="87">
        <v>91.0</v>
      </c>
      <c r="B448" s="87" t="s">
        <v>436</v>
      </c>
      <c r="C448" s="93">
        <v>3.0</v>
      </c>
      <c r="D448" s="87" t="s">
        <v>275</v>
      </c>
      <c r="E448" s="87" t="s">
        <v>1</v>
      </c>
      <c r="F448" s="87" t="s">
        <v>432</v>
      </c>
      <c r="G448" s="94">
        <v>45525.0</v>
      </c>
      <c r="H448" s="87"/>
      <c r="I448" s="87"/>
    </row>
    <row r="449">
      <c r="A449" s="87">
        <v>99.0</v>
      </c>
      <c r="B449" s="87" t="s">
        <v>437</v>
      </c>
      <c r="C449" s="93">
        <v>1.0</v>
      </c>
      <c r="D449" s="87" t="s">
        <v>275</v>
      </c>
      <c r="E449" s="87" t="s">
        <v>19</v>
      </c>
      <c r="F449" s="87" t="s">
        <v>432</v>
      </c>
      <c r="G449" s="94">
        <v>45525.0</v>
      </c>
      <c r="H449" s="87"/>
      <c r="I449" s="87"/>
    </row>
    <row r="450">
      <c r="A450" s="87">
        <v>518.0</v>
      </c>
      <c r="B450" s="87" t="s">
        <v>438</v>
      </c>
      <c r="C450" s="93">
        <v>1.0</v>
      </c>
      <c r="D450" s="87" t="s">
        <v>39</v>
      </c>
      <c r="E450" s="87" t="s">
        <v>40</v>
      </c>
      <c r="F450" s="87" t="s">
        <v>432</v>
      </c>
      <c r="G450" s="94"/>
      <c r="H450" s="87"/>
      <c r="I450" s="87" t="s">
        <v>439</v>
      </c>
    </row>
    <row r="451">
      <c r="A451" s="87">
        <v>509.0</v>
      </c>
      <c r="B451" s="87" t="s">
        <v>381</v>
      </c>
      <c r="C451" s="93">
        <v>5.0</v>
      </c>
      <c r="D451" s="87" t="s">
        <v>39</v>
      </c>
      <c r="E451" s="87" t="s">
        <v>40</v>
      </c>
      <c r="F451" s="87" t="s">
        <v>432</v>
      </c>
      <c r="G451" s="94"/>
      <c r="H451" s="87"/>
      <c r="I451" s="87" t="s">
        <v>439</v>
      </c>
    </row>
    <row r="452">
      <c r="A452" s="87">
        <v>4.0</v>
      </c>
      <c r="B452" s="87" t="s">
        <v>440</v>
      </c>
      <c r="C452" s="93">
        <v>1.0</v>
      </c>
      <c r="D452" s="87" t="s">
        <v>275</v>
      </c>
      <c r="E452" s="87" t="s">
        <v>12</v>
      </c>
      <c r="F452" s="87" t="s">
        <v>432</v>
      </c>
      <c r="G452" s="94">
        <v>45527.0</v>
      </c>
      <c r="H452" s="87"/>
      <c r="I452" s="87"/>
    </row>
    <row r="453">
      <c r="A453" s="87">
        <v>265.0</v>
      </c>
      <c r="B453" s="87" t="s">
        <v>274</v>
      </c>
      <c r="C453" s="93">
        <v>1.0</v>
      </c>
      <c r="D453" s="87" t="s">
        <v>275</v>
      </c>
      <c r="E453" s="87" t="s">
        <v>1</v>
      </c>
      <c r="F453" s="87" t="s">
        <v>432</v>
      </c>
      <c r="G453" s="94"/>
      <c r="H453" s="87"/>
      <c r="I453" s="87"/>
    </row>
    <row r="454">
      <c r="A454" s="87">
        <v>504.0</v>
      </c>
      <c r="B454" s="87" t="s">
        <v>274</v>
      </c>
      <c r="C454" s="93">
        <v>7.0</v>
      </c>
      <c r="D454" s="87" t="s">
        <v>39</v>
      </c>
      <c r="E454" s="87" t="s">
        <v>40</v>
      </c>
      <c r="F454" s="87" t="s">
        <v>432</v>
      </c>
      <c r="G454" s="94"/>
      <c r="H454" s="87"/>
      <c r="I454" s="87"/>
    </row>
    <row r="455">
      <c r="A455" s="87">
        <v>527.0</v>
      </c>
      <c r="B455" s="87" t="s">
        <v>441</v>
      </c>
      <c r="C455" s="93">
        <v>1.0</v>
      </c>
      <c r="D455" s="87" t="s">
        <v>39</v>
      </c>
      <c r="E455" s="87" t="s">
        <v>40</v>
      </c>
      <c r="F455" s="87" t="s">
        <v>432</v>
      </c>
      <c r="G455" s="94"/>
      <c r="H455" s="87"/>
      <c r="I455" s="87"/>
    </row>
    <row r="456">
      <c r="A456" s="87">
        <v>347.0</v>
      </c>
      <c r="B456" s="87" t="s">
        <v>442</v>
      </c>
      <c r="C456" s="93">
        <v>1.0</v>
      </c>
      <c r="D456" s="87" t="s">
        <v>275</v>
      </c>
      <c r="E456" s="87" t="s">
        <v>21</v>
      </c>
      <c r="F456" s="87" t="s">
        <v>432</v>
      </c>
      <c r="G456" s="94">
        <v>45580.0</v>
      </c>
      <c r="H456" s="87"/>
      <c r="I456" s="87"/>
    </row>
    <row r="457">
      <c r="A457" s="87">
        <v>349.0</v>
      </c>
      <c r="B457" s="87" t="s">
        <v>113</v>
      </c>
      <c r="C457" s="93">
        <v>3.0</v>
      </c>
      <c r="D457" s="87" t="s">
        <v>275</v>
      </c>
      <c r="E457" s="87" t="s">
        <v>21</v>
      </c>
      <c r="F457" s="87" t="s">
        <v>432</v>
      </c>
      <c r="G457" s="94">
        <v>45580.0</v>
      </c>
      <c r="H457" s="87"/>
      <c r="I457" s="87"/>
    </row>
    <row r="458">
      <c r="A458" s="87">
        <v>507.0</v>
      </c>
      <c r="B458" s="87" t="s">
        <v>443</v>
      </c>
      <c r="C458" s="93">
        <v>2.0</v>
      </c>
      <c r="D458" s="87" t="s">
        <v>39</v>
      </c>
      <c r="E458" s="87" t="s">
        <v>40</v>
      </c>
      <c r="F458" s="87" t="s">
        <v>432</v>
      </c>
      <c r="G458" s="94"/>
      <c r="H458" s="87"/>
      <c r="I458" s="87"/>
    </row>
    <row r="459">
      <c r="A459" s="87">
        <v>522.0</v>
      </c>
      <c r="B459" s="87" t="s">
        <v>443</v>
      </c>
      <c r="C459" s="93">
        <v>2.0</v>
      </c>
      <c r="D459" s="87" t="s">
        <v>39</v>
      </c>
      <c r="E459" s="87" t="s">
        <v>40</v>
      </c>
      <c r="F459" s="87" t="s">
        <v>432</v>
      </c>
      <c r="G459" s="94"/>
      <c r="H459" s="87"/>
      <c r="I459" s="87"/>
    </row>
    <row r="460">
      <c r="A460" s="87">
        <v>100.0</v>
      </c>
      <c r="B460" s="87" t="s">
        <v>115</v>
      </c>
      <c r="C460" s="93">
        <v>4.0</v>
      </c>
      <c r="D460" s="87" t="s">
        <v>275</v>
      </c>
      <c r="E460" s="87" t="s">
        <v>19</v>
      </c>
      <c r="F460" s="87" t="s">
        <v>432</v>
      </c>
      <c r="G460" s="94">
        <v>45525.0</v>
      </c>
      <c r="H460" s="87"/>
      <c r="I460" s="87"/>
    </row>
    <row r="461">
      <c r="A461" s="87">
        <v>345.0</v>
      </c>
      <c r="B461" s="87" t="s">
        <v>115</v>
      </c>
      <c r="C461" s="93">
        <v>1.0</v>
      </c>
      <c r="D461" s="87" t="s">
        <v>275</v>
      </c>
      <c r="E461" s="87" t="s">
        <v>21</v>
      </c>
      <c r="F461" s="87" t="s">
        <v>432</v>
      </c>
      <c r="G461" s="94">
        <v>45580.0</v>
      </c>
      <c r="H461" s="87"/>
      <c r="I461" s="87"/>
    </row>
    <row r="462">
      <c r="A462" s="87">
        <v>267.0</v>
      </c>
      <c r="B462" s="87" t="s">
        <v>354</v>
      </c>
      <c r="C462" s="93">
        <v>2.0</v>
      </c>
      <c r="D462" s="87" t="s">
        <v>275</v>
      </c>
      <c r="E462" s="87" t="s">
        <v>1</v>
      </c>
      <c r="F462" s="87" t="s">
        <v>432</v>
      </c>
      <c r="G462" s="94"/>
      <c r="H462" s="87"/>
      <c r="I462" s="87"/>
    </row>
    <row r="463">
      <c r="A463" s="87">
        <v>274.0</v>
      </c>
      <c r="B463" s="87" t="s">
        <v>280</v>
      </c>
      <c r="C463" s="93">
        <v>5.0</v>
      </c>
      <c r="D463" s="87" t="s">
        <v>275</v>
      </c>
      <c r="E463" s="87" t="s">
        <v>1</v>
      </c>
      <c r="F463" s="87" t="s">
        <v>432</v>
      </c>
      <c r="G463" s="94"/>
      <c r="H463" s="87"/>
      <c r="I463" s="87"/>
    </row>
    <row r="464">
      <c r="A464" s="87">
        <v>10.0</v>
      </c>
      <c r="B464" s="87" t="s">
        <v>123</v>
      </c>
      <c r="C464" s="93">
        <v>1.0</v>
      </c>
      <c r="D464" s="87" t="s">
        <v>275</v>
      </c>
      <c r="E464" s="87" t="s">
        <v>12</v>
      </c>
      <c r="F464" s="87" t="s">
        <v>432</v>
      </c>
      <c r="G464" s="94">
        <v>45527.0</v>
      </c>
      <c r="H464" s="87"/>
      <c r="I464" s="87"/>
    </row>
    <row r="465">
      <c r="A465" s="87">
        <v>519.0</v>
      </c>
      <c r="B465" s="87" t="s">
        <v>123</v>
      </c>
      <c r="C465" s="93">
        <v>1.0</v>
      </c>
      <c r="D465" s="87" t="s">
        <v>39</v>
      </c>
      <c r="E465" s="87" t="s">
        <v>40</v>
      </c>
      <c r="F465" s="87" t="s">
        <v>432</v>
      </c>
      <c r="G465" s="94"/>
      <c r="H465" s="87"/>
      <c r="I465" s="87"/>
    </row>
    <row r="466">
      <c r="A466" s="87">
        <v>526.0</v>
      </c>
      <c r="B466" s="87" t="s">
        <v>444</v>
      </c>
      <c r="C466" s="93">
        <v>1.0</v>
      </c>
      <c r="D466" s="87" t="s">
        <v>39</v>
      </c>
      <c r="E466" s="87" t="s">
        <v>40</v>
      </c>
      <c r="F466" s="87" t="s">
        <v>432</v>
      </c>
      <c r="G466" s="94"/>
      <c r="H466" s="87"/>
      <c r="I466" s="87"/>
    </row>
    <row r="467">
      <c r="A467" s="87">
        <v>346.0</v>
      </c>
      <c r="B467" s="87" t="s">
        <v>445</v>
      </c>
      <c r="C467" s="93">
        <v>1.0</v>
      </c>
      <c r="D467" s="87" t="s">
        <v>275</v>
      </c>
      <c r="E467" s="87" t="s">
        <v>21</v>
      </c>
      <c r="F467" s="87" t="s">
        <v>432</v>
      </c>
      <c r="G467" s="94">
        <v>45580.0</v>
      </c>
      <c r="H467" s="87"/>
      <c r="I467" s="87"/>
    </row>
    <row r="468">
      <c r="A468" s="87">
        <v>503.0</v>
      </c>
      <c r="B468" s="87" t="s">
        <v>445</v>
      </c>
      <c r="C468" s="93">
        <v>1.0</v>
      </c>
      <c r="D468" s="87" t="s">
        <v>39</v>
      </c>
      <c r="E468" s="87" t="s">
        <v>40</v>
      </c>
      <c r="F468" s="87" t="s">
        <v>432</v>
      </c>
      <c r="G468" s="94"/>
      <c r="H468" s="87"/>
      <c r="I468" s="87"/>
    </row>
    <row r="469">
      <c r="A469" s="87">
        <v>104.0</v>
      </c>
      <c r="B469" s="87" t="s">
        <v>446</v>
      </c>
      <c r="C469" s="93">
        <v>1.0</v>
      </c>
      <c r="D469" s="87" t="s">
        <v>275</v>
      </c>
      <c r="E469" s="87" t="s">
        <v>19</v>
      </c>
      <c r="F469" s="87" t="s">
        <v>432</v>
      </c>
      <c r="G469" s="94">
        <v>45525.0</v>
      </c>
      <c r="H469" s="87"/>
      <c r="I469" s="87"/>
    </row>
    <row r="470">
      <c r="A470" s="87">
        <v>977.0</v>
      </c>
      <c r="B470" s="87" t="s">
        <v>127</v>
      </c>
      <c r="C470" s="93">
        <v>1.0</v>
      </c>
      <c r="D470" s="87" t="s">
        <v>275</v>
      </c>
      <c r="E470" s="87" t="s">
        <v>1</v>
      </c>
      <c r="F470" s="87" t="s">
        <v>432</v>
      </c>
      <c r="G470" s="94">
        <v>7.6830713E7</v>
      </c>
      <c r="H470" s="87"/>
      <c r="I470" s="87" t="s">
        <v>447</v>
      </c>
    </row>
    <row r="471">
      <c r="A471" s="87">
        <v>980.0</v>
      </c>
      <c r="B471" s="87" t="s">
        <v>127</v>
      </c>
      <c r="C471" s="93">
        <v>1.0</v>
      </c>
      <c r="D471" s="87" t="s">
        <v>275</v>
      </c>
      <c r="E471" s="87" t="s">
        <v>1</v>
      </c>
      <c r="F471" s="87" t="s">
        <v>432</v>
      </c>
      <c r="G471" s="94">
        <v>7.681307E7</v>
      </c>
      <c r="H471" s="87" t="s">
        <v>448</v>
      </c>
      <c r="I471" s="87" t="s">
        <v>447</v>
      </c>
    </row>
    <row r="472">
      <c r="A472" s="87">
        <v>1061.0</v>
      </c>
      <c r="B472" s="87" t="s">
        <v>127</v>
      </c>
      <c r="C472" s="93">
        <v>1.0</v>
      </c>
      <c r="D472" s="87" t="s">
        <v>275</v>
      </c>
      <c r="E472" s="87" t="s">
        <v>1</v>
      </c>
      <c r="F472" s="87" t="s">
        <v>432</v>
      </c>
      <c r="G472" s="94">
        <v>7.6808076E7</v>
      </c>
      <c r="H472" s="87"/>
      <c r="I472" s="87" t="s">
        <v>447</v>
      </c>
    </row>
    <row r="473">
      <c r="A473" s="87">
        <v>342.0</v>
      </c>
      <c r="B473" s="87" t="s">
        <v>449</v>
      </c>
      <c r="C473" s="93">
        <v>1.0</v>
      </c>
      <c r="D473" s="87" t="s">
        <v>275</v>
      </c>
      <c r="E473" s="87" t="s">
        <v>21</v>
      </c>
      <c r="F473" s="87" t="s">
        <v>432</v>
      </c>
      <c r="G473" s="94">
        <v>45580.0</v>
      </c>
      <c r="H473" s="87"/>
      <c r="I473" s="87"/>
    </row>
    <row r="474">
      <c r="A474" s="87">
        <v>343.0</v>
      </c>
      <c r="B474" s="87" t="s">
        <v>450</v>
      </c>
      <c r="C474" s="93">
        <v>1.0</v>
      </c>
      <c r="D474" s="87" t="s">
        <v>275</v>
      </c>
      <c r="E474" s="87" t="s">
        <v>21</v>
      </c>
      <c r="F474" s="87" t="s">
        <v>432</v>
      </c>
      <c r="G474" s="94">
        <v>45580.0</v>
      </c>
      <c r="H474" s="87"/>
      <c r="I474" s="87"/>
    </row>
    <row r="475">
      <c r="A475" s="87">
        <v>523.0</v>
      </c>
      <c r="B475" s="87" t="s">
        <v>450</v>
      </c>
      <c r="C475" s="93">
        <v>2.0</v>
      </c>
      <c r="D475" s="87" t="s">
        <v>39</v>
      </c>
      <c r="E475" s="87" t="s">
        <v>40</v>
      </c>
      <c r="F475" s="87" t="s">
        <v>432</v>
      </c>
      <c r="G475" s="94"/>
      <c r="H475" s="87"/>
      <c r="I475" s="87"/>
    </row>
    <row r="476">
      <c r="A476" s="87">
        <v>513.0</v>
      </c>
      <c r="B476" s="87" t="s">
        <v>451</v>
      </c>
      <c r="C476" s="93">
        <v>1.0</v>
      </c>
      <c r="D476" s="87" t="s">
        <v>39</v>
      </c>
      <c r="E476" s="87" t="s">
        <v>40</v>
      </c>
      <c r="F476" s="87" t="s">
        <v>432</v>
      </c>
      <c r="G476" s="94"/>
      <c r="H476" s="87"/>
      <c r="I476" s="87" t="s">
        <v>439</v>
      </c>
    </row>
    <row r="477">
      <c r="A477" s="87">
        <v>529.0</v>
      </c>
      <c r="B477" s="87" t="s">
        <v>452</v>
      </c>
      <c r="C477" s="93">
        <v>1.0</v>
      </c>
      <c r="D477" s="87" t="s">
        <v>39</v>
      </c>
      <c r="E477" s="87" t="s">
        <v>40</v>
      </c>
      <c r="F477" s="87" t="s">
        <v>432</v>
      </c>
      <c r="G477" s="94"/>
      <c r="H477" s="87"/>
      <c r="I477" s="87"/>
    </row>
    <row r="478">
      <c r="A478" s="87">
        <v>275.0</v>
      </c>
      <c r="B478" s="87" t="s">
        <v>390</v>
      </c>
      <c r="C478" s="93">
        <v>1.0</v>
      </c>
      <c r="D478" s="87" t="s">
        <v>275</v>
      </c>
      <c r="E478" s="87" t="s">
        <v>1</v>
      </c>
      <c r="F478" s="87" t="s">
        <v>432</v>
      </c>
      <c r="G478" s="94"/>
      <c r="H478" s="87"/>
      <c r="I478" s="87" t="s">
        <v>453</v>
      </c>
    </row>
    <row r="479">
      <c r="A479" s="87">
        <v>505.0</v>
      </c>
      <c r="B479" s="87" t="s">
        <v>390</v>
      </c>
      <c r="C479" s="93">
        <v>1.0</v>
      </c>
      <c r="D479" s="87" t="s">
        <v>39</v>
      </c>
      <c r="E479" s="87" t="s">
        <v>40</v>
      </c>
      <c r="F479" s="87" t="s">
        <v>432</v>
      </c>
      <c r="G479" s="94"/>
      <c r="H479" s="87"/>
      <c r="I479" s="87" t="s">
        <v>454</v>
      </c>
    </row>
    <row r="480">
      <c r="A480" s="87">
        <v>530.0</v>
      </c>
      <c r="B480" s="87" t="s">
        <v>390</v>
      </c>
      <c r="C480" s="93">
        <v>1.0</v>
      </c>
      <c r="D480" s="87" t="s">
        <v>39</v>
      </c>
      <c r="E480" s="87" t="s">
        <v>40</v>
      </c>
      <c r="F480" s="87" t="s">
        <v>432</v>
      </c>
      <c r="G480" s="94"/>
      <c r="H480" s="87"/>
      <c r="I480" s="87"/>
    </row>
    <row r="481">
      <c r="A481" s="87">
        <v>9.0</v>
      </c>
      <c r="B481" s="87" t="s">
        <v>455</v>
      </c>
      <c r="C481" s="93">
        <v>4.0</v>
      </c>
      <c r="D481" s="87" t="s">
        <v>275</v>
      </c>
      <c r="E481" s="87" t="s">
        <v>12</v>
      </c>
      <c r="F481" s="87" t="s">
        <v>432</v>
      </c>
      <c r="G481" s="94">
        <v>45527.0</v>
      </c>
      <c r="H481" s="87"/>
      <c r="I481" s="87"/>
    </row>
    <row r="482">
      <c r="A482" s="87">
        <v>528.0</v>
      </c>
      <c r="B482" s="87" t="s">
        <v>456</v>
      </c>
      <c r="C482" s="93">
        <v>1.0</v>
      </c>
      <c r="D482" s="87" t="s">
        <v>39</v>
      </c>
      <c r="E482" s="87" t="s">
        <v>40</v>
      </c>
      <c r="F482" s="87" t="s">
        <v>432</v>
      </c>
      <c r="G482" s="94"/>
      <c r="H482" s="87"/>
      <c r="I482" s="87"/>
    </row>
    <row r="483">
      <c r="A483" s="87">
        <v>103.0</v>
      </c>
      <c r="B483" s="87" t="s">
        <v>457</v>
      </c>
      <c r="C483" s="93">
        <v>1.0</v>
      </c>
      <c r="D483" s="87" t="s">
        <v>275</v>
      </c>
      <c r="E483" s="87" t="s">
        <v>19</v>
      </c>
      <c r="F483" s="87" t="s">
        <v>432</v>
      </c>
      <c r="G483" s="94">
        <v>45525.0</v>
      </c>
      <c r="H483" s="87"/>
      <c r="I483" s="87"/>
    </row>
    <row r="484">
      <c r="A484" s="87">
        <v>502.0</v>
      </c>
      <c r="B484" s="87" t="s">
        <v>283</v>
      </c>
      <c r="C484" s="93">
        <v>5.0</v>
      </c>
      <c r="D484" s="87" t="s">
        <v>39</v>
      </c>
      <c r="E484" s="87" t="s">
        <v>40</v>
      </c>
      <c r="F484" s="87" t="s">
        <v>432</v>
      </c>
      <c r="G484" s="94"/>
      <c r="H484" s="87"/>
      <c r="I484" s="87"/>
    </row>
    <row r="485">
      <c r="A485" s="87">
        <v>525.0</v>
      </c>
      <c r="B485" s="87" t="s">
        <v>458</v>
      </c>
      <c r="C485" s="93">
        <v>3.0</v>
      </c>
      <c r="D485" s="87" t="s">
        <v>39</v>
      </c>
      <c r="E485" s="87" t="s">
        <v>40</v>
      </c>
      <c r="F485" s="87" t="s">
        <v>432</v>
      </c>
      <c r="G485" s="94"/>
      <c r="H485" s="87"/>
      <c r="I485" s="87"/>
    </row>
    <row r="486">
      <c r="A486" s="87">
        <v>102.0</v>
      </c>
      <c r="B486" s="87" t="s">
        <v>459</v>
      </c>
      <c r="C486" s="93">
        <v>1.0</v>
      </c>
      <c r="D486" s="87" t="s">
        <v>275</v>
      </c>
      <c r="E486" s="87" t="s">
        <v>19</v>
      </c>
      <c r="F486" s="87" t="s">
        <v>432</v>
      </c>
      <c r="G486" s="94">
        <v>45525.0</v>
      </c>
      <c r="H486" s="87"/>
      <c r="I486" s="87"/>
    </row>
    <row r="487">
      <c r="A487" s="87">
        <v>524.0</v>
      </c>
      <c r="B487" s="87" t="s">
        <v>460</v>
      </c>
      <c r="C487" s="93">
        <v>1.0</v>
      </c>
      <c r="D487" s="87" t="s">
        <v>39</v>
      </c>
      <c r="E487" s="87" t="s">
        <v>40</v>
      </c>
      <c r="F487" s="87" t="s">
        <v>432</v>
      </c>
      <c r="G487" s="94"/>
      <c r="H487" s="87"/>
      <c r="I487" s="87"/>
    </row>
    <row r="488">
      <c r="A488" s="87">
        <v>6.0</v>
      </c>
      <c r="B488" s="87" t="s">
        <v>461</v>
      </c>
      <c r="C488" s="93">
        <v>1.0</v>
      </c>
      <c r="D488" s="87" t="s">
        <v>275</v>
      </c>
      <c r="E488" s="87" t="s">
        <v>12</v>
      </c>
      <c r="F488" s="87" t="s">
        <v>432</v>
      </c>
      <c r="G488" s="94">
        <v>45527.0</v>
      </c>
      <c r="H488" s="87"/>
      <c r="I488" s="87" t="s">
        <v>462</v>
      </c>
    </row>
    <row r="489">
      <c r="A489" s="87">
        <v>531.0</v>
      </c>
      <c r="B489" s="87" t="s">
        <v>170</v>
      </c>
      <c r="C489" s="93">
        <v>10.0</v>
      </c>
      <c r="D489" s="87" t="s">
        <v>39</v>
      </c>
      <c r="E489" s="87" t="s">
        <v>40</v>
      </c>
      <c r="F489" s="87" t="s">
        <v>432</v>
      </c>
      <c r="G489" s="94"/>
      <c r="H489" s="87"/>
      <c r="I489" s="87"/>
    </row>
    <row r="490">
      <c r="A490" s="87">
        <v>515.0</v>
      </c>
      <c r="B490" s="87" t="s">
        <v>463</v>
      </c>
      <c r="C490" s="93">
        <v>1.0</v>
      </c>
      <c r="D490" s="87" t="s">
        <v>39</v>
      </c>
      <c r="E490" s="87" t="s">
        <v>40</v>
      </c>
      <c r="F490" s="87" t="s">
        <v>432</v>
      </c>
      <c r="G490" s="94"/>
      <c r="H490" s="87"/>
      <c r="I490" s="87" t="s">
        <v>439</v>
      </c>
    </row>
    <row r="491">
      <c r="A491" s="87">
        <v>101.0</v>
      </c>
      <c r="B491" s="87" t="s">
        <v>464</v>
      </c>
      <c r="C491" s="93">
        <v>1.0</v>
      </c>
      <c r="D491" s="87" t="s">
        <v>275</v>
      </c>
      <c r="E491" s="87" t="s">
        <v>19</v>
      </c>
      <c r="F491" s="87" t="s">
        <v>432</v>
      </c>
      <c r="G491" s="94">
        <v>45525.0</v>
      </c>
      <c r="H491" s="87"/>
      <c r="I491" s="87"/>
    </row>
    <row r="492">
      <c r="A492" s="87">
        <v>506.0</v>
      </c>
      <c r="B492" s="87" t="s">
        <v>174</v>
      </c>
      <c r="C492" s="93">
        <v>2.0</v>
      </c>
      <c r="D492" s="87" t="s">
        <v>39</v>
      </c>
      <c r="E492" s="87" t="s">
        <v>40</v>
      </c>
      <c r="F492" s="87" t="s">
        <v>432</v>
      </c>
      <c r="G492" s="94"/>
      <c r="H492" s="87"/>
      <c r="I492" s="87" t="s">
        <v>439</v>
      </c>
    </row>
    <row r="493">
      <c r="A493" s="87">
        <v>520.0</v>
      </c>
      <c r="B493" s="87" t="s">
        <v>230</v>
      </c>
      <c r="C493" s="93">
        <v>2.0</v>
      </c>
      <c r="D493" s="87" t="s">
        <v>39</v>
      </c>
      <c r="E493" s="87" t="s">
        <v>40</v>
      </c>
      <c r="F493" s="87" t="s">
        <v>432</v>
      </c>
      <c r="G493" s="94"/>
      <c r="H493" s="87"/>
      <c r="I493" s="87"/>
    </row>
    <row r="494">
      <c r="A494" s="87">
        <v>281.0</v>
      </c>
      <c r="B494" s="87" t="s">
        <v>465</v>
      </c>
      <c r="C494" s="93">
        <v>3.0</v>
      </c>
      <c r="D494" s="87" t="s">
        <v>275</v>
      </c>
      <c r="E494" s="87" t="s">
        <v>1</v>
      </c>
      <c r="F494" s="87" t="s">
        <v>432</v>
      </c>
      <c r="G494" s="94">
        <v>45580.0</v>
      </c>
      <c r="H494" s="87"/>
      <c r="I494" s="87" t="s">
        <v>466</v>
      </c>
    </row>
    <row r="495">
      <c r="A495" s="87">
        <v>516.0</v>
      </c>
      <c r="B495" s="87" t="s">
        <v>467</v>
      </c>
      <c r="C495" s="93">
        <v>3.0</v>
      </c>
      <c r="D495" s="87" t="s">
        <v>39</v>
      </c>
      <c r="E495" s="87" t="s">
        <v>40</v>
      </c>
      <c r="F495" s="87" t="s">
        <v>432</v>
      </c>
      <c r="G495" s="94"/>
      <c r="H495" s="87"/>
      <c r="I495" s="87" t="s">
        <v>439</v>
      </c>
    </row>
    <row r="496">
      <c r="A496" s="87">
        <v>517.0</v>
      </c>
      <c r="B496" s="87" t="s">
        <v>467</v>
      </c>
      <c r="C496" s="93">
        <v>3.0</v>
      </c>
      <c r="D496" s="87" t="s">
        <v>39</v>
      </c>
      <c r="E496" s="87" t="s">
        <v>40</v>
      </c>
      <c r="F496" s="87" t="s">
        <v>432</v>
      </c>
      <c r="G496" s="94"/>
      <c r="H496" s="87"/>
      <c r="I496" s="87" t="s">
        <v>439</v>
      </c>
    </row>
    <row r="497">
      <c r="A497" s="87">
        <v>344.0</v>
      </c>
      <c r="B497" s="87" t="s">
        <v>468</v>
      </c>
      <c r="C497" s="93">
        <v>2.0</v>
      </c>
      <c r="D497" s="87" t="s">
        <v>275</v>
      </c>
      <c r="E497" s="87" t="s">
        <v>21</v>
      </c>
      <c r="F497" s="87" t="s">
        <v>432</v>
      </c>
      <c r="G497" s="94">
        <v>45580.0</v>
      </c>
      <c r="H497" s="87"/>
      <c r="I497" s="87"/>
    </row>
    <row r="498">
      <c r="A498" s="87">
        <v>514.0</v>
      </c>
      <c r="B498" s="87" t="s">
        <v>468</v>
      </c>
      <c r="C498" s="93">
        <v>4.0</v>
      </c>
      <c r="D498" s="87" t="s">
        <v>39</v>
      </c>
      <c r="E498" s="87" t="s">
        <v>40</v>
      </c>
      <c r="F498" s="87" t="s">
        <v>432</v>
      </c>
      <c r="G498" s="94"/>
      <c r="H498" s="87"/>
      <c r="I498" s="87" t="s">
        <v>439</v>
      </c>
    </row>
    <row r="499">
      <c r="A499" s="87">
        <v>501.0</v>
      </c>
      <c r="B499" s="87" t="s">
        <v>469</v>
      </c>
      <c r="C499" s="93">
        <v>20.0</v>
      </c>
      <c r="D499" s="87" t="s">
        <v>39</v>
      </c>
      <c r="E499" s="87" t="s">
        <v>40</v>
      </c>
      <c r="F499" s="87" t="s">
        <v>432</v>
      </c>
      <c r="G499" s="94">
        <v>45513.0</v>
      </c>
      <c r="H499" s="87"/>
      <c r="I499" s="87"/>
    </row>
    <row r="500">
      <c r="A500" s="87">
        <v>348.0</v>
      </c>
      <c r="B500" s="87" t="s">
        <v>470</v>
      </c>
      <c r="C500" s="93">
        <v>1.0</v>
      </c>
      <c r="D500" s="87" t="s">
        <v>275</v>
      </c>
      <c r="E500" s="87" t="s">
        <v>21</v>
      </c>
      <c r="F500" s="87" t="s">
        <v>432</v>
      </c>
      <c r="G500" s="94">
        <v>45580.0</v>
      </c>
      <c r="H500" s="87"/>
      <c r="I500" s="87"/>
    </row>
    <row r="501">
      <c r="A501" s="87">
        <v>341.0</v>
      </c>
      <c r="B501" s="87" t="s">
        <v>206</v>
      </c>
      <c r="C501" s="93">
        <v>2.0</v>
      </c>
      <c r="D501" s="87" t="s">
        <v>275</v>
      </c>
      <c r="E501" s="87" t="s">
        <v>21</v>
      </c>
      <c r="F501" s="87" t="s">
        <v>432</v>
      </c>
      <c r="G501" s="94">
        <v>45580.0</v>
      </c>
      <c r="H501" s="87"/>
      <c r="I501" s="87"/>
    </row>
    <row r="502">
      <c r="A502" s="87">
        <v>512.0</v>
      </c>
      <c r="B502" s="87" t="s">
        <v>206</v>
      </c>
      <c r="C502" s="93">
        <v>1.0</v>
      </c>
      <c r="D502" s="87" t="s">
        <v>39</v>
      </c>
      <c r="E502" s="87" t="s">
        <v>40</v>
      </c>
      <c r="F502" s="87" t="s">
        <v>432</v>
      </c>
      <c r="G502" s="94"/>
      <c r="H502" s="87"/>
      <c r="I502" s="87"/>
    </row>
    <row r="503">
      <c r="A503" s="87">
        <v>337.0</v>
      </c>
      <c r="B503" s="87" t="s">
        <v>471</v>
      </c>
      <c r="C503" s="93">
        <v>3.0</v>
      </c>
      <c r="D503" s="87" t="s">
        <v>275</v>
      </c>
      <c r="E503" s="87" t="s">
        <v>1</v>
      </c>
      <c r="F503" s="87" t="s">
        <v>432</v>
      </c>
      <c r="G503" s="94">
        <v>45526.0</v>
      </c>
      <c r="H503" s="87"/>
      <c r="I503" s="87" t="s">
        <v>472</v>
      </c>
    </row>
    <row r="504">
      <c r="A504" s="87">
        <v>1049.0</v>
      </c>
      <c r="B504" s="87" t="s">
        <v>430</v>
      </c>
      <c r="C504" s="93">
        <v>1.0</v>
      </c>
      <c r="D504" s="87" t="s">
        <v>275</v>
      </c>
      <c r="E504" s="87" t="s">
        <v>12</v>
      </c>
      <c r="F504" s="87" t="s">
        <v>432</v>
      </c>
      <c r="G504" s="94">
        <v>7.679239E7</v>
      </c>
      <c r="H504" s="87" t="s">
        <v>473</v>
      </c>
      <c r="I504" s="87" t="s">
        <v>474</v>
      </c>
    </row>
    <row r="505">
      <c r="A505" s="87">
        <v>510.0</v>
      </c>
      <c r="B505" s="87" t="s">
        <v>475</v>
      </c>
      <c r="C505" s="93">
        <v>1.0</v>
      </c>
      <c r="D505" s="87" t="s">
        <v>39</v>
      </c>
      <c r="E505" s="87" t="s">
        <v>40</v>
      </c>
      <c r="F505" s="87" t="s">
        <v>432</v>
      </c>
      <c r="G505" s="94"/>
      <c r="H505" s="87"/>
      <c r="I505" s="87"/>
    </row>
    <row r="506">
      <c r="A506" s="87">
        <v>521.0</v>
      </c>
      <c r="B506" s="87" t="s">
        <v>476</v>
      </c>
      <c r="C506" s="93">
        <v>1.0</v>
      </c>
      <c r="D506" s="87" t="s">
        <v>39</v>
      </c>
      <c r="E506" s="87" t="s">
        <v>40</v>
      </c>
      <c r="F506" s="87" t="s">
        <v>432</v>
      </c>
      <c r="G506" s="94"/>
      <c r="H506" s="87"/>
      <c r="I506" s="87"/>
    </row>
    <row r="507">
      <c r="A507" s="87">
        <v>5.0</v>
      </c>
      <c r="B507" s="87" t="s">
        <v>477</v>
      </c>
      <c r="C507" s="93">
        <v>1.0</v>
      </c>
      <c r="D507" s="87" t="s">
        <v>275</v>
      </c>
      <c r="E507" s="87" t="s">
        <v>12</v>
      </c>
      <c r="F507" s="87" t="s">
        <v>432</v>
      </c>
      <c r="G507" s="94">
        <v>45527.0</v>
      </c>
      <c r="H507" s="87"/>
      <c r="I507" s="87"/>
    </row>
    <row r="508">
      <c r="A508" s="87">
        <v>441.0</v>
      </c>
      <c r="B508" s="87" t="s">
        <v>230</v>
      </c>
      <c r="C508" s="93">
        <v>1.0</v>
      </c>
      <c r="D508" s="87" t="s">
        <v>39</v>
      </c>
      <c r="E508" s="87" t="s">
        <v>26</v>
      </c>
      <c r="F508" s="87" t="s">
        <v>478</v>
      </c>
      <c r="G508" s="94">
        <v>45527.0</v>
      </c>
      <c r="H508" s="87"/>
      <c r="I508" s="87"/>
    </row>
    <row r="509">
      <c r="A509" s="87">
        <v>440.0</v>
      </c>
      <c r="B509" s="87" t="s">
        <v>479</v>
      </c>
      <c r="C509" s="93">
        <v>2.0</v>
      </c>
      <c r="D509" s="87" t="s">
        <v>39</v>
      </c>
      <c r="E509" s="87" t="s">
        <v>26</v>
      </c>
      <c r="F509" s="87" t="s">
        <v>478</v>
      </c>
      <c r="G509" s="94">
        <v>45527.0</v>
      </c>
      <c r="H509" s="87"/>
      <c r="I509" s="87"/>
    </row>
    <row r="510">
      <c r="A510" s="87">
        <v>770.0</v>
      </c>
      <c r="B510" s="87" t="s">
        <v>480</v>
      </c>
      <c r="C510" s="93">
        <v>1.0</v>
      </c>
      <c r="D510" s="87" t="s">
        <v>275</v>
      </c>
      <c r="E510" s="87" t="s">
        <v>12</v>
      </c>
      <c r="F510" s="87" t="s">
        <v>481</v>
      </c>
      <c r="G510" s="94"/>
      <c r="H510" s="87"/>
      <c r="I510" s="87"/>
    </row>
    <row r="511">
      <c r="A511" s="87">
        <v>311.0</v>
      </c>
      <c r="B511" s="87" t="s">
        <v>482</v>
      </c>
      <c r="C511" s="93">
        <v>1.0</v>
      </c>
      <c r="D511" s="87" t="s">
        <v>275</v>
      </c>
      <c r="E511" s="87" t="s">
        <v>1</v>
      </c>
      <c r="F511" s="87" t="s">
        <v>481</v>
      </c>
      <c r="G511" s="94">
        <v>45558.0</v>
      </c>
      <c r="H511" s="87"/>
      <c r="I511" s="87"/>
    </row>
    <row r="512">
      <c r="A512" s="87">
        <v>283.0</v>
      </c>
      <c r="B512" s="87" t="s">
        <v>411</v>
      </c>
      <c r="C512" s="93">
        <v>2.0</v>
      </c>
      <c r="D512" s="87" t="s">
        <v>275</v>
      </c>
      <c r="E512" s="87" t="s">
        <v>1</v>
      </c>
      <c r="F512" s="87" t="s">
        <v>481</v>
      </c>
      <c r="G512" s="94"/>
      <c r="H512" s="87"/>
      <c r="I512" s="87"/>
    </row>
    <row r="513">
      <c r="A513" s="87">
        <v>309.0</v>
      </c>
      <c r="B513" s="87" t="s">
        <v>483</v>
      </c>
      <c r="C513" s="93">
        <v>2.0</v>
      </c>
      <c r="D513" s="87" t="s">
        <v>275</v>
      </c>
      <c r="E513" s="87" t="s">
        <v>1</v>
      </c>
      <c r="F513" s="87" t="s">
        <v>481</v>
      </c>
      <c r="G513" s="94">
        <v>45527.0</v>
      </c>
      <c r="H513" s="87"/>
      <c r="I513" s="87"/>
    </row>
    <row r="514">
      <c r="A514" s="87">
        <v>141.0</v>
      </c>
      <c r="B514" s="87" t="s">
        <v>484</v>
      </c>
      <c r="C514" s="93">
        <v>1.0</v>
      </c>
      <c r="D514" s="87" t="s">
        <v>275</v>
      </c>
      <c r="E514" s="87" t="s">
        <v>1</v>
      </c>
      <c r="F514" s="87" t="s">
        <v>481</v>
      </c>
      <c r="G514" s="94">
        <v>45525.0</v>
      </c>
      <c r="H514" s="87"/>
      <c r="I514" s="87"/>
    </row>
    <row r="515">
      <c r="A515" s="87">
        <v>317.0</v>
      </c>
      <c r="B515" s="87" t="s">
        <v>485</v>
      </c>
      <c r="C515" s="93">
        <v>1.0</v>
      </c>
      <c r="D515" s="87" t="s">
        <v>275</v>
      </c>
      <c r="E515" s="87" t="s">
        <v>1</v>
      </c>
      <c r="F515" s="87" t="s">
        <v>481</v>
      </c>
      <c r="G515" s="94"/>
      <c r="H515" s="87"/>
      <c r="I515" s="87"/>
    </row>
    <row r="516">
      <c r="A516" s="87">
        <v>303.0</v>
      </c>
      <c r="B516" s="87" t="s">
        <v>486</v>
      </c>
      <c r="C516" s="93">
        <v>2.0</v>
      </c>
      <c r="D516" s="87" t="s">
        <v>275</v>
      </c>
      <c r="E516" s="87" t="s">
        <v>1</v>
      </c>
      <c r="F516" s="87" t="s">
        <v>481</v>
      </c>
      <c r="G516" s="94">
        <v>45527.0</v>
      </c>
      <c r="H516" s="87"/>
      <c r="I516" s="87"/>
    </row>
    <row r="517">
      <c r="A517" s="87">
        <v>304.0</v>
      </c>
      <c r="B517" s="87" t="s">
        <v>487</v>
      </c>
      <c r="C517" s="93">
        <v>1.0</v>
      </c>
      <c r="D517" s="87" t="s">
        <v>275</v>
      </c>
      <c r="E517" s="87" t="s">
        <v>1</v>
      </c>
      <c r="F517" s="87" t="s">
        <v>481</v>
      </c>
      <c r="G517" s="94"/>
      <c r="H517" s="87"/>
      <c r="I517" s="87"/>
    </row>
    <row r="518">
      <c r="A518" s="87">
        <v>308.0</v>
      </c>
      <c r="B518" s="87" t="s">
        <v>418</v>
      </c>
      <c r="C518" s="93">
        <v>0.0</v>
      </c>
      <c r="D518" s="87" t="s">
        <v>275</v>
      </c>
      <c r="E518" s="87" t="s">
        <v>1</v>
      </c>
      <c r="F518" s="87" t="s">
        <v>481</v>
      </c>
      <c r="G518" s="94"/>
      <c r="H518" s="87"/>
      <c r="I518" s="87"/>
    </row>
    <row r="519">
      <c r="A519" s="87">
        <v>276.0</v>
      </c>
      <c r="B519" s="87" t="s">
        <v>152</v>
      </c>
      <c r="C519" s="93">
        <v>1.0</v>
      </c>
      <c r="D519" s="87" t="s">
        <v>275</v>
      </c>
      <c r="E519" s="87" t="s">
        <v>1</v>
      </c>
      <c r="F519" s="87" t="s">
        <v>481</v>
      </c>
      <c r="G519" s="94">
        <v>45525.0</v>
      </c>
      <c r="H519" s="87"/>
      <c r="I519" s="87"/>
    </row>
    <row r="520">
      <c r="A520" s="87">
        <v>302.0</v>
      </c>
      <c r="B520" s="87" t="s">
        <v>488</v>
      </c>
      <c r="C520" s="93">
        <v>4.0</v>
      </c>
      <c r="D520" s="87" t="s">
        <v>275</v>
      </c>
      <c r="E520" s="87" t="s">
        <v>1</v>
      </c>
      <c r="F520" s="87" t="s">
        <v>481</v>
      </c>
      <c r="G520" s="94">
        <v>45527.0</v>
      </c>
      <c r="H520" s="87"/>
      <c r="I520" s="87"/>
    </row>
    <row r="521">
      <c r="A521" s="87">
        <v>1292.0</v>
      </c>
      <c r="B521" s="87" t="s">
        <v>185</v>
      </c>
      <c r="C521" s="93">
        <v>1.0</v>
      </c>
      <c r="D521" s="87" t="s">
        <v>275</v>
      </c>
      <c r="E521" s="87" t="s">
        <v>1</v>
      </c>
      <c r="F521" s="87" t="s">
        <v>481</v>
      </c>
      <c r="G521" s="94">
        <v>7.6666484E7</v>
      </c>
      <c r="H521" s="87"/>
      <c r="I521" s="87" t="s">
        <v>192</v>
      </c>
    </row>
    <row r="522">
      <c r="A522" s="87">
        <v>25.0</v>
      </c>
      <c r="B522" s="87" t="s">
        <v>348</v>
      </c>
      <c r="C522" s="93">
        <v>4.0</v>
      </c>
      <c r="D522" s="87" t="s">
        <v>275</v>
      </c>
      <c r="E522" s="87" t="s">
        <v>12</v>
      </c>
      <c r="F522" s="87" t="s">
        <v>489</v>
      </c>
      <c r="G522" s="94">
        <v>45527.0</v>
      </c>
      <c r="H522" s="87"/>
      <c r="I522" s="87"/>
    </row>
    <row r="523">
      <c r="A523" s="87">
        <v>26.0</v>
      </c>
      <c r="B523" s="87" t="s">
        <v>351</v>
      </c>
      <c r="C523" s="93">
        <v>2.0</v>
      </c>
      <c r="D523" s="87" t="s">
        <v>275</v>
      </c>
      <c r="E523" s="87" t="s">
        <v>12</v>
      </c>
      <c r="F523" s="87" t="s">
        <v>489</v>
      </c>
      <c r="G523" s="94">
        <v>45527.0</v>
      </c>
      <c r="H523" s="87"/>
      <c r="I523" s="87"/>
    </row>
    <row r="524">
      <c r="A524" s="87">
        <v>34.0</v>
      </c>
      <c r="B524" s="87" t="s">
        <v>490</v>
      </c>
      <c r="C524" s="93">
        <v>4.0</v>
      </c>
      <c r="D524" s="87" t="s">
        <v>275</v>
      </c>
      <c r="E524" s="87" t="s">
        <v>12</v>
      </c>
      <c r="F524" s="87" t="s">
        <v>489</v>
      </c>
      <c r="G524" s="94">
        <v>45527.0</v>
      </c>
      <c r="H524" s="87"/>
      <c r="I524" s="87"/>
    </row>
    <row r="525">
      <c r="A525" s="87">
        <v>117.0</v>
      </c>
      <c r="B525" s="87" t="s">
        <v>491</v>
      </c>
      <c r="C525" s="93">
        <v>1.0</v>
      </c>
      <c r="D525" s="87" t="s">
        <v>275</v>
      </c>
      <c r="E525" s="87" t="s">
        <v>19</v>
      </c>
      <c r="F525" s="87" t="s">
        <v>489</v>
      </c>
      <c r="G525" s="94">
        <v>45525.0</v>
      </c>
      <c r="H525" s="87"/>
      <c r="I525" s="87"/>
    </row>
    <row r="526">
      <c r="A526" s="87">
        <v>24.0</v>
      </c>
      <c r="B526" s="87" t="s">
        <v>492</v>
      </c>
      <c r="C526" s="93">
        <v>1.0</v>
      </c>
      <c r="D526" s="87" t="s">
        <v>275</v>
      </c>
      <c r="E526" s="87" t="s">
        <v>12</v>
      </c>
      <c r="F526" s="87" t="s">
        <v>489</v>
      </c>
      <c r="G526" s="94">
        <v>45527.0</v>
      </c>
      <c r="H526" s="87"/>
      <c r="I526" s="87"/>
    </row>
    <row r="527">
      <c r="A527" s="87">
        <v>38.0</v>
      </c>
      <c r="B527" s="87" t="s">
        <v>353</v>
      </c>
      <c r="C527" s="93">
        <v>1.0</v>
      </c>
      <c r="D527" s="87" t="s">
        <v>275</v>
      </c>
      <c r="E527" s="87" t="s">
        <v>12</v>
      </c>
      <c r="F527" s="87" t="s">
        <v>489</v>
      </c>
      <c r="G527" s="94"/>
      <c r="H527" s="87"/>
      <c r="I527" s="87"/>
    </row>
    <row r="528">
      <c r="A528" s="87">
        <v>552.0</v>
      </c>
      <c r="B528" s="87" t="s">
        <v>493</v>
      </c>
      <c r="C528" s="93">
        <v>1.0</v>
      </c>
      <c r="D528" s="87" t="s">
        <v>275</v>
      </c>
      <c r="E528" s="87" t="s">
        <v>19</v>
      </c>
      <c r="F528" s="87" t="s">
        <v>489</v>
      </c>
      <c r="G528" s="94">
        <v>1.399901E7</v>
      </c>
      <c r="H528" s="87"/>
      <c r="I528" s="87"/>
    </row>
    <row r="529">
      <c r="A529" s="87">
        <v>115.0</v>
      </c>
      <c r="B529" s="87" t="s">
        <v>494</v>
      </c>
      <c r="C529" s="93">
        <v>2.0</v>
      </c>
      <c r="D529" s="87" t="s">
        <v>275</v>
      </c>
      <c r="E529" s="87" t="s">
        <v>19</v>
      </c>
      <c r="F529" s="87" t="s">
        <v>489</v>
      </c>
      <c r="G529" s="94">
        <v>45525.0</v>
      </c>
      <c r="H529" s="87"/>
      <c r="I529" s="87"/>
    </row>
    <row r="530">
      <c r="A530" s="87">
        <v>116.0</v>
      </c>
      <c r="B530" s="87" t="s">
        <v>442</v>
      </c>
      <c r="C530" s="93">
        <v>1.0</v>
      </c>
      <c r="D530" s="87" t="s">
        <v>275</v>
      </c>
      <c r="E530" s="87" t="s">
        <v>19</v>
      </c>
      <c r="F530" s="87" t="s">
        <v>489</v>
      </c>
      <c r="G530" s="94">
        <v>45525.0</v>
      </c>
      <c r="H530" s="87"/>
      <c r="I530" s="87"/>
    </row>
    <row r="531">
      <c r="A531" s="87">
        <v>109.0</v>
      </c>
      <c r="B531" s="87" t="s">
        <v>113</v>
      </c>
      <c r="C531" s="93">
        <v>4.0</v>
      </c>
      <c r="D531" s="87" t="s">
        <v>275</v>
      </c>
      <c r="E531" s="87" t="s">
        <v>19</v>
      </c>
      <c r="F531" s="87" t="s">
        <v>489</v>
      </c>
      <c r="G531" s="94">
        <v>45525.0</v>
      </c>
      <c r="H531" s="87"/>
      <c r="I531" s="87"/>
    </row>
    <row r="532">
      <c r="A532" s="87">
        <v>118.0</v>
      </c>
      <c r="B532" s="87" t="s">
        <v>495</v>
      </c>
      <c r="C532" s="93">
        <v>1.0</v>
      </c>
      <c r="D532" s="87" t="s">
        <v>275</v>
      </c>
      <c r="E532" s="87" t="s">
        <v>19</v>
      </c>
      <c r="F532" s="87" t="s">
        <v>489</v>
      </c>
      <c r="G532" s="94">
        <v>45525.0</v>
      </c>
      <c r="H532" s="87"/>
      <c r="I532" s="87"/>
    </row>
    <row r="533">
      <c r="A533" s="87">
        <v>269.0</v>
      </c>
      <c r="B533" s="87" t="s">
        <v>496</v>
      </c>
      <c r="C533" s="93">
        <v>2.0</v>
      </c>
      <c r="D533" s="87" t="s">
        <v>275</v>
      </c>
      <c r="E533" s="87" t="s">
        <v>1</v>
      </c>
      <c r="F533" s="87" t="s">
        <v>489</v>
      </c>
      <c r="G533" s="94">
        <v>45526.0</v>
      </c>
      <c r="H533" s="87"/>
      <c r="I533" s="87"/>
    </row>
    <row r="534">
      <c r="A534" s="87">
        <v>23.0</v>
      </c>
      <c r="B534" s="87" t="s">
        <v>354</v>
      </c>
      <c r="C534" s="93">
        <v>3.0</v>
      </c>
      <c r="D534" s="87" t="s">
        <v>275</v>
      </c>
      <c r="E534" s="87" t="s">
        <v>12</v>
      </c>
      <c r="F534" s="87" t="s">
        <v>489</v>
      </c>
      <c r="G534" s="94">
        <v>45527.0</v>
      </c>
      <c r="H534" s="87"/>
      <c r="I534" s="87"/>
    </row>
    <row r="535">
      <c r="A535" s="87">
        <v>658.0</v>
      </c>
      <c r="B535" s="87" t="s">
        <v>497</v>
      </c>
      <c r="C535" s="93">
        <v>1.0</v>
      </c>
      <c r="D535" s="87" t="s">
        <v>275</v>
      </c>
      <c r="E535" s="87" t="s">
        <v>1</v>
      </c>
      <c r="F535" s="87" t="s">
        <v>489</v>
      </c>
      <c r="G535" s="94">
        <v>4.026615E7</v>
      </c>
      <c r="H535" s="87"/>
      <c r="I535" s="87" t="s">
        <v>498</v>
      </c>
    </row>
    <row r="536">
      <c r="A536" s="87">
        <v>22.0</v>
      </c>
      <c r="B536" s="87" t="s">
        <v>385</v>
      </c>
      <c r="C536" s="93">
        <v>2.0</v>
      </c>
      <c r="D536" s="87" t="s">
        <v>275</v>
      </c>
      <c r="E536" s="87" t="s">
        <v>12</v>
      </c>
      <c r="F536" s="87" t="s">
        <v>489</v>
      </c>
      <c r="G536" s="94">
        <v>45527.0</v>
      </c>
      <c r="H536" s="87"/>
      <c r="I536" s="87"/>
    </row>
    <row r="537">
      <c r="A537" s="87">
        <v>1.0</v>
      </c>
      <c r="B537" s="87" t="s">
        <v>282</v>
      </c>
      <c r="C537" s="93">
        <v>9.0</v>
      </c>
      <c r="D537" s="87" t="s">
        <v>275</v>
      </c>
      <c r="E537" s="87" t="s">
        <v>12</v>
      </c>
      <c r="F537" s="87" t="s">
        <v>489</v>
      </c>
      <c r="G537" s="94">
        <v>45527.0</v>
      </c>
      <c r="H537" s="87"/>
      <c r="I537" s="87"/>
    </row>
    <row r="538">
      <c r="A538" s="87">
        <v>110.0</v>
      </c>
      <c r="B538" s="87" t="s">
        <v>445</v>
      </c>
      <c r="C538" s="93">
        <v>1.0</v>
      </c>
      <c r="D538" s="87" t="s">
        <v>275</v>
      </c>
      <c r="E538" s="87" t="s">
        <v>19</v>
      </c>
      <c r="F538" s="87" t="s">
        <v>489</v>
      </c>
      <c r="G538" s="94">
        <v>45525.0</v>
      </c>
      <c r="H538" s="87"/>
      <c r="I538" s="87"/>
    </row>
    <row r="539">
      <c r="A539" s="87">
        <v>1160.0</v>
      </c>
      <c r="B539" s="87" t="s">
        <v>137</v>
      </c>
      <c r="C539" s="93">
        <v>1.0</v>
      </c>
      <c r="D539" s="87" t="s">
        <v>275</v>
      </c>
      <c r="E539" s="87" t="s">
        <v>19</v>
      </c>
      <c r="F539" s="87" t="s">
        <v>489</v>
      </c>
      <c r="G539" s="94">
        <v>7.685633E7</v>
      </c>
      <c r="H539" s="87" t="s">
        <v>499</v>
      </c>
      <c r="I539" s="87" t="s">
        <v>142</v>
      </c>
    </row>
    <row r="540">
      <c r="A540" s="87">
        <v>1162.0</v>
      </c>
      <c r="B540" s="87" t="s">
        <v>153</v>
      </c>
      <c r="C540" s="93">
        <v>1.0</v>
      </c>
      <c r="D540" s="87" t="s">
        <v>275</v>
      </c>
      <c r="E540" s="87" t="s">
        <v>19</v>
      </c>
      <c r="F540" s="87" t="s">
        <v>489</v>
      </c>
      <c r="G540" s="94">
        <v>7.6857638E7</v>
      </c>
      <c r="H540" s="87" t="s">
        <v>500</v>
      </c>
      <c r="I540" s="87" t="s">
        <v>501</v>
      </c>
    </row>
    <row r="541">
      <c r="A541" s="87">
        <v>28.0</v>
      </c>
      <c r="B541" s="87" t="s">
        <v>283</v>
      </c>
      <c r="C541" s="93">
        <v>4.0</v>
      </c>
      <c r="D541" s="87" t="s">
        <v>275</v>
      </c>
      <c r="E541" s="87" t="s">
        <v>12</v>
      </c>
      <c r="F541" s="87" t="s">
        <v>489</v>
      </c>
      <c r="G541" s="94">
        <v>45527.0</v>
      </c>
      <c r="H541" s="87"/>
      <c r="I541" s="87"/>
    </row>
    <row r="542">
      <c r="A542" s="87">
        <v>256.0</v>
      </c>
      <c r="B542" s="87" t="s">
        <v>502</v>
      </c>
      <c r="C542" s="93">
        <v>2.0</v>
      </c>
      <c r="D542" s="87" t="s">
        <v>275</v>
      </c>
      <c r="E542" s="87" t="s">
        <v>1</v>
      </c>
      <c r="F542" s="87" t="s">
        <v>489</v>
      </c>
      <c r="G542" s="94"/>
      <c r="H542" s="87"/>
      <c r="I542" s="87" t="s">
        <v>503</v>
      </c>
    </row>
    <row r="543">
      <c r="A543" s="87">
        <v>250.0</v>
      </c>
      <c r="B543" s="87" t="s">
        <v>504</v>
      </c>
      <c r="C543" s="93">
        <v>2.0</v>
      </c>
      <c r="D543" s="87" t="s">
        <v>275</v>
      </c>
      <c r="E543" s="87" t="s">
        <v>1</v>
      </c>
      <c r="F543" s="87" t="s">
        <v>489</v>
      </c>
      <c r="G543" s="94">
        <v>45526.0</v>
      </c>
      <c r="H543" s="87"/>
      <c r="I543" s="87"/>
    </row>
    <row r="544">
      <c r="A544" s="87">
        <v>30.0</v>
      </c>
      <c r="B544" s="87" t="s">
        <v>286</v>
      </c>
      <c r="C544" s="93">
        <v>4.0</v>
      </c>
      <c r="D544" s="87" t="s">
        <v>275</v>
      </c>
      <c r="E544" s="87" t="s">
        <v>12</v>
      </c>
      <c r="F544" s="87" t="s">
        <v>489</v>
      </c>
      <c r="G544" s="94">
        <v>45527.0</v>
      </c>
      <c r="H544" s="87"/>
      <c r="I544" s="87"/>
    </row>
    <row r="545">
      <c r="A545" s="87">
        <v>29.0</v>
      </c>
      <c r="B545" s="87" t="s">
        <v>287</v>
      </c>
      <c r="C545" s="93">
        <v>12.0</v>
      </c>
      <c r="D545" s="87" t="s">
        <v>275</v>
      </c>
      <c r="E545" s="87" t="s">
        <v>12</v>
      </c>
      <c r="F545" s="87" t="s">
        <v>489</v>
      </c>
      <c r="G545" s="94">
        <v>45527.0</v>
      </c>
      <c r="H545" s="87"/>
      <c r="I545" s="87"/>
    </row>
    <row r="546">
      <c r="A546" s="87">
        <v>108.0</v>
      </c>
      <c r="B546" s="87" t="s">
        <v>468</v>
      </c>
      <c r="C546" s="93">
        <v>3.0</v>
      </c>
      <c r="D546" s="87" t="s">
        <v>275</v>
      </c>
      <c r="E546" s="87" t="s">
        <v>19</v>
      </c>
      <c r="F546" s="87" t="s">
        <v>489</v>
      </c>
      <c r="G546" s="94">
        <v>45603.0</v>
      </c>
      <c r="H546" s="87"/>
      <c r="I546" s="87"/>
    </row>
    <row r="547">
      <c r="A547" s="87">
        <v>36.0</v>
      </c>
      <c r="B547" s="87" t="s">
        <v>367</v>
      </c>
      <c r="C547" s="93">
        <v>1.0</v>
      </c>
      <c r="D547" s="87" t="s">
        <v>275</v>
      </c>
      <c r="E547" s="87" t="s">
        <v>12</v>
      </c>
      <c r="F547" s="87" t="s">
        <v>489</v>
      </c>
      <c r="G547" s="94">
        <v>45527.0</v>
      </c>
      <c r="H547" s="87"/>
      <c r="I547" s="87"/>
    </row>
    <row r="548">
      <c r="A548" s="87">
        <v>35.0</v>
      </c>
      <c r="B548" s="87" t="s">
        <v>369</v>
      </c>
      <c r="C548" s="93">
        <v>1.0</v>
      </c>
      <c r="D548" s="87" t="s">
        <v>275</v>
      </c>
      <c r="E548" s="87" t="s">
        <v>12</v>
      </c>
      <c r="F548" s="87" t="s">
        <v>489</v>
      </c>
      <c r="G548" s="94">
        <v>45527.0</v>
      </c>
      <c r="H548" s="87"/>
      <c r="I548" s="87"/>
    </row>
    <row r="549">
      <c r="A549" s="87">
        <v>31.0</v>
      </c>
      <c r="B549" s="87" t="s">
        <v>505</v>
      </c>
      <c r="C549" s="93">
        <v>1.0</v>
      </c>
      <c r="D549" s="87" t="s">
        <v>275</v>
      </c>
      <c r="E549" s="87" t="s">
        <v>12</v>
      </c>
      <c r="F549" s="87" t="s">
        <v>489</v>
      </c>
      <c r="G549" s="94">
        <v>45527.0</v>
      </c>
      <c r="H549" s="87"/>
      <c r="I549" s="87"/>
    </row>
    <row r="550">
      <c r="A550" s="87">
        <v>251.0</v>
      </c>
      <c r="B550" s="87" t="s">
        <v>506</v>
      </c>
      <c r="C550" s="93">
        <v>1.0</v>
      </c>
      <c r="D550" s="87" t="s">
        <v>275</v>
      </c>
      <c r="E550" s="87" t="s">
        <v>1</v>
      </c>
      <c r="F550" s="87" t="s">
        <v>489</v>
      </c>
      <c r="G550" s="94">
        <v>45526.0</v>
      </c>
      <c r="H550" s="87"/>
      <c r="I550" s="87"/>
    </row>
    <row r="551">
      <c r="A551" s="87">
        <v>33.0</v>
      </c>
      <c r="B551" s="87" t="s">
        <v>288</v>
      </c>
      <c r="C551" s="93">
        <v>1.0</v>
      </c>
      <c r="D551" s="87" t="s">
        <v>275</v>
      </c>
      <c r="E551" s="87" t="s">
        <v>12</v>
      </c>
      <c r="F551" s="87" t="s">
        <v>489</v>
      </c>
      <c r="G551" s="94">
        <v>45527.0</v>
      </c>
      <c r="H551" s="87"/>
      <c r="I551" s="87"/>
    </row>
    <row r="552">
      <c r="A552" s="87">
        <v>32.0</v>
      </c>
      <c r="B552" s="87" t="s">
        <v>507</v>
      </c>
      <c r="C552" s="93">
        <v>1.0</v>
      </c>
      <c r="D552" s="87" t="s">
        <v>275</v>
      </c>
      <c r="E552" s="87" t="s">
        <v>12</v>
      </c>
      <c r="F552" s="87" t="s">
        <v>489</v>
      </c>
      <c r="G552" s="94">
        <v>45527.0</v>
      </c>
      <c r="H552" s="87"/>
      <c r="I552" s="87"/>
    </row>
    <row r="553">
      <c r="A553" s="87">
        <v>37.0</v>
      </c>
      <c r="B553" s="87" t="s">
        <v>508</v>
      </c>
      <c r="C553" s="93">
        <v>1.0</v>
      </c>
      <c r="D553" s="87" t="s">
        <v>275</v>
      </c>
      <c r="E553" s="87" t="s">
        <v>12</v>
      </c>
      <c r="F553" s="87" t="s">
        <v>489</v>
      </c>
      <c r="G553" s="94">
        <v>45527.0</v>
      </c>
      <c r="H553" s="87"/>
      <c r="I553" s="87"/>
    </row>
    <row r="554">
      <c r="A554" s="87">
        <v>312.0</v>
      </c>
      <c r="B554" s="87" t="s">
        <v>509</v>
      </c>
      <c r="C554" s="93">
        <v>3.0</v>
      </c>
      <c r="D554" s="87" t="s">
        <v>275</v>
      </c>
      <c r="E554" s="87" t="s">
        <v>1</v>
      </c>
      <c r="F554" s="87" t="s">
        <v>489</v>
      </c>
      <c r="G554" s="94">
        <v>45726.0</v>
      </c>
      <c r="H554" s="87"/>
      <c r="I554" s="87"/>
    </row>
    <row r="555">
      <c r="A555" s="87">
        <v>313.0</v>
      </c>
      <c r="B555" s="87" t="s">
        <v>510</v>
      </c>
      <c r="C555" s="93">
        <v>2.0</v>
      </c>
      <c r="D555" s="87" t="s">
        <v>275</v>
      </c>
      <c r="E555" s="87" t="s">
        <v>1</v>
      </c>
      <c r="F555" s="87" t="s">
        <v>489</v>
      </c>
      <c r="G555" s="94">
        <v>45726.0</v>
      </c>
      <c r="H555" s="87"/>
      <c r="I555" s="87"/>
    </row>
    <row r="556">
      <c r="A556" s="87">
        <v>114.0</v>
      </c>
      <c r="B556" s="87" t="s">
        <v>511</v>
      </c>
      <c r="C556" s="93">
        <v>1.0</v>
      </c>
      <c r="D556" s="87" t="s">
        <v>275</v>
      </c>
      <c r="E556" s="87" t="s">
        <v>19</v>
      </c>
      <c r="F556" s="87" t="s">
        <v>489</v>
      </c>
      <c r="G556" s="94">
        <v>45525.0</v>
      </c>
      <c r="H556" s="87"/>
      <c r="I556" s="87"/>
    </row>
    <row r="557">
      <c r="A557" s="87">
        <v>255.0</v>
      </c>
      <c r="B557" s="87" t="s">
        <v>512</v>
      </c>
      <c r="C557" s="93">
        <v>1.0</v>
      </c>
      <c r="D557" s="87" t="s">
        <v>275</v>
      </c>
      <c r="E557" s="87" t="s">
        <v>1</v>
      </c>
      <c r="F557" s="87" t="s">
        <v>489</v>
      </c>
      <c r="G557" s="94"/>
      <c r="H557" s="87"/>
      <c r="I557" s="87"/>
    </row>
    <row r="558">
      <c r="A558" s="87">
        <v>111.0</v>
      </c>
      <c r="B558" s="87" t="s">
        <v>206</v>
      </c>
      <c r="C558" s="93">
        <v>2.0</v>
      </c>
      <c r="D558" s="87" t="s">
        <v>275</v>
      </c>
      <c r="E558" s="87" t="s">
        <v>19</v>
      </c>
      <c r="F558" s="87" t="s">
        <v>489</v>
      </c>
      <c r="G558" s="94">
        <v>45525.0</v>
      </c>
      <c r="H558" s="87"/>
      <c r="I558" s="87"/>
    </row>
    <row r="559">
      <c r="A559" s="87">
        <v>318.0</v>
      </c>
      <c r="B559" s="87" t="s">
        <v>428</v>
      </c>
      <c r="C559" s="93">
        <v>2.0</v>
      </c>
      <c r="D559" s="87" t="s">
        <v>275</v>
      </c>
      <c r="E559" s="87" t="s">
        <v>1</v>
      </c>
      <c r="F559" s="87" t="s">
        <v>489</v>
      </c>
      <c r="G559" s="94"/>
      <c r="H559" s="87"/>
      <c r="I559" s="87"/>
    </row>
    <row r="560">
      <c r="A560" s="87">
        <v>113.0</v>
      </c>
      <c r="B560" s="87" t="s">
        <v>513</v>
      </c>
      <c r="C560" s="93">
        <v>1.0</v>
      </c>
      <c r="D560" s="87" t="s">
        <v>275</v>
      </c>
      <c r="E560" s="87" t="s">
        <v>19</v>
      </c>
      <c r="F560" s="87" t="s">
        <v>489</v>
      </c>
      <c r="G560" s="94">
        <v>45525.0</v>
      </c>
      <c r="H560" s="87"/>
      <c r="I560" s="87"/>
    </row>
    <row r="561">
      <c r="A561" s="87">
        <v>119.0</v>
      </c>
      <c r="B561" s="87" t="s">
        <v>354</v>
      </c>
      <c r="C561" s="93">
        <v>2.0</v>
      </c>
      <c r="D561" s="87" t="s">
        <v>275</v>
      </c>
      <c r="E561" s="87" t="s">
        <v>19</v>
      </c>
      <c r="F561" s="87" t="s">
        <v>514</v>
      </c>
      <c r="G561" s="94">
        <v>45525.0</v>
      </c>
      <c r="H561" s="87"/>
      <c r="I561" s="87"/>
    </row>
    <row r="562">
      <c r="A562" s="87">
        <v>121.0</v>
      </c>
      <c r="B562" s="87" t="s">
        <v>515</v>
      </c>
      <c r="C562" s="93">
        <v>2.0</v>
      </c>
      <c r="D562" s="87" t="s">
        <v>275</v>
      </c>
      <c r="E562" s="87" t="s">
        <v>19</v>
      </c>
      <c r="F562" s="87" t="s">
        <v>514</v>
      </c>
      <c r="G562" s="94">
        <v>45525.0</v>
      </c>
      <c r="H562" s="87"/>
      <c r="I562" s="87"/>
    </row>
    <row r="563">
      <c r="A563" s="87">
        <v>1145.0</v>
      </c>
      <c r="B563" s="87" t="s">
        <v>153</v>
      </c>
      <c r="C563" s="93">
        <v>1.0</v>
      </c>
      <c r="D563" s="87" t="s">
        <v>275</v>
      </c>
      <c r="E563" s="87" t="s">
        <v>19</v>
      </c>
      <c r="F563" s="87" t="s">
        <v>514</v>
      </c>
      <c r="G563" s="94">
        <v>7.6839168E7</v>
      </c>
      <c r="H563" s="87"/>
      <c r="I563" s="87" t="s">
        <v>516</v>
      </c>
    </row>
    <row r="564">
      <c r="A564" s="87">
        <v>956.0</v>
      </c>
      <c r="B564" s="87" t="s">
        <v>517</v>
      </c>
      <c r="C564" s="93">
        <v>1.0</v>
      </c>
      <c r="D564" s="87" t="s">
        <v>275</v>
      </c>
      <c r="E564" s="87" t="s">
        <v>19</v>
      </c>
      <c r="F564" s="87" t="s">
        <v>514</v>
      </c>
      <c r="G564" s="94">
        <v>7.6669718E7</v>
      </c>
      <c r="H564" s="87"/>
      <c r="I564" s="87" t="s">
        <v>403</v>
      </c>
    </row>
    <row r="565">
      <c r="A565" s="87">
        <v>957.0</v>
      </c>
      <c r="B565" s="87" t="s">
        <v>517</v>
      </c>
      <c r="C565" s="93">
        <v>1.0</v>
      </c>
      <c r="D565" s="87" t="s">
        <v>275</v>
      </c>
      <c r="E565" s="87" t="s">
        <v>19</v>
      </c>
      <c r="F565" s="87" t="s">
        <v>514</v>
      </c>
      <c r="G565" s="94">
        <v>7.6669726E7</v>
      </c>
      <c r="H565" s="87"/>
      <c r="I565" s="87" t="s">
        <v>403</v>
      </c>
    </row>
    <row r="566">
      <c r="A566" s="87">
        <v>120.0</v>
      </c>
      <c r="B566" s="87" t="s">
        <v>212</v>
      </c>
      <c r="C566" s="93">
        <v>2.0</v>
      </c>
      <c r="D566" s="87" t="s">
        <v>275</v>
      </c>
      <c r="E566" s="87" t="s">
        <v>19</v>
      </c>
      <c r="F566" s="87" t="s">
        <v>514</v>
      </c>
      <c r="G566" s="94">
        <v>45525.0</v>
      </c>
      <c r="H566" s="87"/>
      <c r="I566" s="87"/>
    </row>
    <row r="567">
      <c r="A567" s="87">
        <v>39.0</v>
      </c>
      <c r="B567" s="87" t="s">
        <v>518</v>
      </c>
      <c r="C567" s="93">
        <v>1.0</v>
      </c>
      <c r="D567" s="87" t="s">
        <v>275</v>
      </c>
      <c r="E567" s="87" t="s">
        <v>12</v>
      </c>
      <c r="F567" s="87" t="s">
        <v>519</v>
      </c>
      <c r="G567" s="94">
        <v>45527.0</v>
      </c>
      <c r="H567" s="87"/>
      <c r="I567" s="87"/>
    </row>
    <row r="568">
      <c r="A568" s="87">
        <v>7.0</v>
      </c>
      <c r="B568" s="87" t="s">
        <v>280</v>
      </c>
      <c r="C568" s="93">
        <v>5.0</v>
      </c>
      <c r="D568" s="87" t="s">
        <v>275</v>
      </c>
      <c r="E568" s="87" t="s">
        <v>12</v>
      </c>
      <c r="F568" s="87" t="s">
        <v>519</v>
      </c>
      <c r="G568" s="94">
        <v>45527.0</v>
      </c>
      <c r="H568" s="87"/>
      <c r="I568" s="87"/>
    </row>
    <row r="569">
      <c r="A569" s="87">
        <v>124.0</v>
      </c>
      <c r="B569" s="87" t="s">
        <v>280</v>
      </c>
      <c r="C569" s="93">
        <v>5.0</v>
      </c>
      <c r="D569" s="87" t="s">
        <v>275</v>
      </c>
      <c r="E569" s="87" t="s">
        <v>19</v>
      </c>
      <c r="F569" s="87" t="s">
        <v>519</v>
      </c>
      <c r="G569" s="94">
        <v>45525.0</v>
      </c>
      <c r="H569" s="87"/>
      <c r="I569" s="87"/>
    </row>
    <row r="570">
      <c r="A570" s="87">
        <v>40.0</v>
      </c>
      <c r="B570" s="87" t="s">
        <v>445</v>
      </c>
      <c r="C570" s="93">
        <v>1.0</v>
      </c>
      <c r="D570" s="87" t="s">
        <v>275</v>
      </c>
      <c r="E570" s="87" t="s">
        <v>12</v>
      </c>
      <c r="F570" s="87" t="s">
        <v>519</v>
      </c>
      <c r="G570" s="94">
        <v>45527.0</v>
      </c>
      <c r="H570" s="87"/>
      <c r="I570" s="87"/>
    </row>
    <row r="571">
      <c r="A571" s="87">
        <v>122.0</v>
      </c>
      <c r="B571" s="87" t="s">
        <v>400</v>
      </c>
      <c r="C571" s="93">
        <v>9.0</v>
      </c>
      <c r="D571" s="87" t="s">
        <v>275</v>
      </c>
      <c r="E571" s="87" t="s">
        <v>19</v>
      </c>
      <c r="F571" s="87" t="s">
        <v>519</v>
      </c>
      <c r="G571" s="94">
        <v>45525.0</v>
      </c>
      <c r="H571" s="87"/>
      <c r="I571" s="87"/>
    </row>
    <row r="572">
      <c r="A572" s="87">
        <v>123.0</v>
      </c>
      <c r="B572" s="87" t="s">
        <v>425</v>
      </c>
      <c r="C572" s="93">
        <v>2.0</v>
      </c>
      <c r="D572" s="87" t="s">
        <v>275</v>
      </c>
      <c r="E572" s="87" t="s">
        <v>19</v>
      </c>
      <c r="F572" s="87" t="s">
        <v>519</v>
      </c>
      <c r="G572" s="94">
        <v>45525.0</v>
      </c>
      <c r="H572" s="87"/>
      <c r="I572" s="87"/>
    </row>
    <row r="573">
      <c r="A573" s="87">
        <v>27.0</v>
      </c>
      <c r="B573" s="87" t="s">
        <v>520</v>
      </c>
      <c r="C573" s="93">
        <v>1.0</v>
      </c>
      <c r="D573" s="87" t="s">
        <v>275</v>
      </c>
      <c r="E573" s="87" t="s">
        <v>12</v>
      </c>
      <c r="F573" s="87" t="s">
        <v>521</v>
      </c>
      <c r="G573" s="94">
        <v>45544.0</v>
      </c>
      <c r="H573" s="87"/>
      <c r="I573" s="87"/>
    </row>
    <row r="574">
      <c r="A574" s="87">
        <v>45.0</v>
      </c>
      <c r="B574" s="87" t="s">
        <v>442</v>
      </c>
      <c r="C574" s="93">
        <v>2.0</v>
      </c>
      <c r="D574" s="87" t="s">
        <v>275</v>
      </c>
      <c r="E574" s="87" t="s">
        <v>12</v>
      </c>
      <c r="F574" s="87" t="s">
        <v>521</v>
      </c>
      <c r="G574" s="94">
        <v>45527.0</v>
      </c>
      <c r="H574" s="87"/>
      <c r="I574" s="87"/>
    </row>
    <row r="575">
      <c r="A575" s="87">
        <v>44.0</v>
      </c>
      <c r="B575" s="87" t="s">
        <v>113</v>
      </c>
      <c r="C575" s="93">
        <v>2.0</v>
      </c>
      <c r="D575" s="87" t="s">
        <v>275</v>
      </c>
      <c r="E575" s="87" t="s">
        <v>12</v>
      </c>
      <c r="F575" s="87" t="s">
        <v>521</v>
      </c>
      <c r="G575" s="94">
        <v>45527.0</v>
      </c>
      <c r="H575" s="87"/>
      <c r="I575" s="87"/>
    </row>
    <row r="576">
      <c r="A576" s="87">
        <v>46.0</v>
      </c>
      <c r="B576" s="87" t="s">
        <v>115</v>
      </c>
      <c r="C576" s="93">
        <v>1.0</v>
      </c>
      <c r="D576" s="87" t="s">
        <v>275</v>
      </c>
      <c r="E576" s="87" t="s">
        <v>12</v>
      </c>
      <c r="F576" s="87" t="s">
        <v>521</v>
      </c>
      <c r="G576" s="94">
        <v>45717.0</v>
      </c>
      <c r="H576" s="87"/>
      <c r="I576" s="87"/>
    </row>
    <row r="577">
      <c r="A577" s="87">
        <v>48.0</v>
      </c>
      <c r="B577" s="87" t="s">
        <v>449</v>
      </c>
      <c r="C577" s="93">
        <v>2.0</v>
      </c>
      <c r="D577" s="87" t="s">
        <v>275</v>
      </c>
      <c r="E577" s="87" t="s">
        <v>12</v>
      </c>
      <c r="F577" s="87" t="s">
        <v>521</v>
      </c>
      <c r="G577" s="94">
        <v>45527.0</v>
      </c>
      <c r="H577" s="87"/>
      <c r="I577" s="87"/>
    </row>
    <row r="578">
      <c r="A578" s="87">
        <v>2.0</v>
      </c>
      <c r="B578" s="87" t="s">
        <v>400</v>
      </c>
      <c r="C578" s="93">
        <v>9.0</v>
      </c>
      <c r="D578" s="87" t="s">
        <v>275</v>
      </c>
      <c r="E578" s="87" t="s">
        <v>12</v>
      </c>
      <c r="F578" s="87" t="s">
        <v>521</v>
      </c>
      <c r="G578" s="94">
        <v>45527.0</v>
      </c>
      <c r="H578" s="87"/>
      <c r="I578" s="87"/>
    </row>
    <row r="579">
      <c r="A579" s="87">
        <v>3.0</v>
      </c>
      <c r="B579" s="87" t="s">
        <v>425</v>
      </c>
      <c r="C579" s="93">
        <v>2.0</v>
      </c>
      <c r="D579" s="87" t="s">
        <v>275</v>
      </c>
      <c r="E579" s="87" t="s">
        <v>12</v>
      </c>
      <c r="F579" s="87" t="s">
        <v>521</v>
      </c>
      <c r="G579" s="94">
        <v>45527.0</v>
      </c>
      <c r="H579" s="87"/>
      <c r="I579" s="87"/>
    </row>
    <row r="580">
      <c r="A580" s="87">
        <v>47.0</v>
      </c>
      <c r="B580" s="87" t="s">
        <v>468</v>
      </c>
      <c r="C580" s="93">
        <v>3.0</v>
      </c>
      <c r="D580" s="87" t="s">
        <v>275</v>
      </c>
      <c r="E580" s="87" t="s">
        <v>12</v>
      </c>
      <c r="F580" s="87" t="s">
        <v>521</v>
      </c>
      <c r="G580" s="94"/>
      <c r="H580" s="87"/>
      <c r="I580" s="87"/>
    </row>
    <row r="581">
      <c r="A581" s="87">
        <v>50.0</v>
      </c>
      <c r="B581" s="87" t="s">
        <v>206</v>
      </c>
      <c r="C581" s="93">
        <v>1.0</v>
      </c>
      <c r="D581" s="87" t="s">
        <v>275</v>
      </c>
      <c r="E581" s="87" t="s">
        <v>12</v>
      </c>
      <c r="F581" s="87" t="s">
        <v>521</v>
      </c>
      <c r="G581" s="94">
        <v>45527.0</v>
      </c>
      <c r="H581" s="87"/>
      <c r="I581" s="87"/>
    </row>
    <row r="582">
      <c r="A582" s="87">
        <v>57.0</v>
      </c>
      <c r="B582" s="87" t="s">
        <v>522</v>
      </c>
      <c r="C582" s="93">
        <v>1.0</v>
      </c>
      <c r="D582" s="87" t="s">
        <v>275</v>
      </c>
      <c r="E582" s="87" t="s">
        <v>12</v>
      </c>
      <c r="F582" s="87" t="s">
        <v>521</v>
      </c>
      <c r="G582" s="94">
        <v>45543.0</v>
      </c>
      <c r="H582" s="87"/>
      <c r="I582" s="87"/>
    </row>
    <row r="583">
      <c r="A583" s="87">
        <v>55.0</v>
      </c>
      <c r="B583" s="87" t="s">
        <v>222</v>
      </c>
      <c r="C583" s="93">
        <v>1.0</v>
      </c>
      <c r="D583" s="87" t="s">
        <v>275</v>
      </c>
      <c r="E583" s="87" t="s">
        <v>12</v>
      </c>
      <c r="F583" s="87" t="s">
        <v>521</v>
      </c>
      <c r="G583" s="94">
        <v>45527.0</v>
      </c>
      <c r="H583" s="87"/>
      <c r="I583" s="87"/>
    </row>
    <row r="584">
      <c r="A584" s="87">
        <v>268.0</v>
      </c>
      <c r="B584" s="87" t="s">
        <v>492</v>
      </c>
      <c r="C584" s="93">
        <v>1.0</v>
      </c>
      <c r="D584" s="87" t="s">
        <v>275</v>
      </c>
      <c r="E584" s="87" t="s">
        <v>1</v>
      </c>
      <c r="F584" s="87" t="s">
        <v>523</v>
      </c>
      <c r="G584" s="94"/>
      <c r="H584" s="87"/>
      <c r="I584" s="87"/>
    </row>
    <row r="585">
      <c r="A585" s="87">
        <v>264.0</v>
      </c>
      <c r="B585" s="87" t="s">
        <v>353</v>
      </c>
      <c r="C585" s="93">
        <v>4.0</v>
      </c>
      <c r="D585" s="87" t="s">
        <v>275</v>
      </c>
      <c r="E585" s="87" t="s">
        <v>1</v>
      </c>
      <c r="F585" s="87" t="s">
        <v>523</v>
      </c>
      <c r="G585" s="94"/>
      <c r="H585" s="87"/>
      <c r="I585" s="87"/>
    </row>
    <row r="586">
      <c r="A586" s="87">
        <v>257.0</v>
      </c>
      <c r="B586" s="87" t="s">
        <v>385</v>
      </c>
      <c r="C586" s="93">
        <v>2.0</v>
      </c>
      <c r="D586" s="87" t="s">
        <v>275</v>
      </c>
      <c r="E586" s="87" t="s">
        <v>1</v>
      </c>
      <c r="F586" s="87" t="s">
        <v>523</v>
      </c>
      <c r="G586" s="94"/>
      <c r="H586" s="87"/>
      <c r="I586" s="87" t="s">
        <v>524</v>
      </c>
    </row>
    <row r="587">
      <c r="A587" s="87">
        <v>258.0</v>
      </c>
      <c r="B587" s="87" t="s">
        <v>385</v>
      </c>
      <c r="C587" s="93">
        <v>2.0</v>
      </c>
      <c r="D587" s="87" t="s">
        <v>275</v>
      </c>
      <c r="E587" s="87" t="s">
        <v>1</v>
      </c>
      <c r="F587" s="87" t="s">
        <v>523</v>
      </c>
      <c r="G587" s="94"/>
      <c r="H587" s="87"/>
      <c r="I587" s="87" t="s">
        <v>525</v>
      </c>
    </row>
    <row r="588">
      <c r="A588" s="87">
        <v>266.0</v>
      </c>
      <c r="B588" s="87" t="s">
        <v>385</v>
      </c>
      <c r="C588" s="93">
        <v>2.0</v>
      </c>
      <c r="D588" s="87" t="s">
        <v>275</v>
      </c>
      <c r="E588" s="87" t="s">
        <v>1</v>
      </c>
      <c r="F588" s="87" t="s">
        <v>523</v>
      </c>
      <c r="G588" s="94"/>
      <c r="H588" s="87"/>
      <c r="I588" s="87" t="s">
        <v>526</v>
      </c>
    </row>
    <row r="589">
      <c r="A589" s="87">
        <v>316.0</v>
      </c>
      <c r="B589" s="87" t="s">
        <v>527</v>
      </c>
      <c r="C589" s="93">
        <v>3.0</v>
      </c>
      <c r="D589" s="87" t="s">
        <v>275</v>
      </c>
      <c r="E589" s="87" t="s">
        <v>1</v>
      </c>
      <c r="F589" s="87" t="s">
        <v>523</v>
      </c>
      <c r="G589" s="94">
        <v>45723.0</v>
      </c>
      <c r="H589" s="87"/>
      <c r="I589" s="87" t="s">
        <v>528</v>
      </c>
    </row>
    <row r="590">
      <c r="A590" s="87">
        <v>314.0</v>
      </c>
      <c r="B590" s="87" t="s">
        <v>529</v>
      </c>
      <c r="C590" s="93">
        <v>1.0</v>
      </c>
      <c r="D590" s="87" t="s">
        <v>275</v>
      </c>
      <c r="E590" s="87" t="s">
        <v>1</v>
      </c>
      <c r="F590" s="87" t="s">
        <v>523</v>
      </c>
      <c r="G590" s="94"/>
      <c r="H590" s="87"/>
      <c r="I590" s="87" t="s">
        <v>530</v>
      </c>
    </row>
    <row r="591">
      <c r="A591" s="87">
        <v>263.0</v>
      </c>
      <c r="B591" s="87" t="s">
        <v>286</v>
      </c>
      <c r="C591" s="93">
        <v>2.0</v>
      </c>
      <c r="D591" s="87" t="s">
        <v>275</v>
      </c>
      <c r="E591" s="87" t="s">
        <v>1</v>
      </c>
      <c r="F591" s="87" t="s">
        <v>523</v>
      </c>
      <c r="G591" s="94"/>
      <c r="H591" s="87"/>
      <c r="I591" s="87"/>
    </row>
    <row r="592">
      <c r="A592" s="87">
        <v>261.0</v>
      </c>
      <c r="B592" s="87" t="s">
        <v>371</v>
      </c>
      <c r="C592" s="93">
        <v>1.0</v>
      </c>
      <c r="D592" s="87" t="s">
        <v>275</v>
      </c>
      <c r="E592" s="87" t="s">
        <v>1</v>
      </c>
      <c r="F592" s="87" t="s">
        <v>523</v>
      </c>
      <c r="G592" s="94"/>
      <c r="H592" s="87"/>
      <c r="I592" s="87"/>
    </row>
    <row r="593">
      <c r="A593" s="87">
        <v>259.0</v>
      </c>
      <c r="B593" s="87" t="s">
        <v>531</v>
      </c>
      <c r="C593" s="93">
        <v>1.0</v>
      </c>
      <c r="D593" s="87" t="s">
        <v>275</v>
      </c>
      <c r="E593" s="87" t="s">
        <v>1</v>
      </c>
      <c r="F593" s="87" t="s">
        <v>523</v>
      </c>
      <c r="G593" s="94"/>
      <c r="H593" s="87"/>
      <c r="I593" s="87"/>
    </row>
    <row r="594">
      <c r="A594" s="87">
        <v>260.0</v>
      </c>
      <c r="B594" s="87" t="s">
        <v>532</v>
      </c>
      <c r="C594" s="93">
        <v>1.0</v>
      </c>
      <c r="D594" s="87" t="s">
        <v>275</v>
      </c>
      <c r="E594" s="87" t="s">
        <v>1</v>
      </c>
      <c r="F594" s="87" t="s">
        <v>523</v>
      </c>
      <c r="G594" s="94"/>
      <c r="H594" s="87"/>
      <c r="I594" s="87"/>
    </row>
    <row r="595">
      <c r="A595" s="87">
        <v>262.0</v>
      </c>
      <c r="B595" s="87" t="s">
        <v>376</v>
      </c>
      <c r="C595" s="93">
        <v>1.0</v>
      </c>
      <c r="D595" s="87" t="s">
        <v>275</v>
      </c>
      <c r="E595" s="87" t="s">
        <v>1</v>
      </c>
      <c r="F595" s="87" t="s">
        <v>523</v>
      </c>
      <c r="G595" s="94"/>
      <c r="H595" s="87"/>
      <c r="I595" s="87"/>
    </row>
    <row r="596">
      <c r="A596" s="87">
        <v>271.0</v>
      </c>
      <c r="B596" s="87" t="s">
        <v>289</v>
      </c>
      <c r="C596" s="93">
        <v>1.0</v>
      </c>
      <c r="D596" s="87" t="s">
        <v>275</v>
      </c>
      <c r="E596" s="87" t="s">
        <v>1</v>
      </c>
      <c r="F596" s="87" t="s">
        <v>523</v>
      </c>
      <c r="G596" s="94">
        <v>45526.0</v>
      </c>
      <c r="H596" s="87"/>
      <c r="I596" s="87" t="s">
        <v>533</v>
      </c>
    </row>
    <row r="597">
      <c r="A597" s="87">
        <v>41.0</v>
      </c>
      <c r="B597" s="87" t="s">
        <v>224</v>
      </c>
      <c r="C597" s="93">
        <v>4.0</v>
      </c>
      <c r="D597" s="87" t="s">
        <v>275</v>
      </c>
      <c r="E597" s="87" t="s">
        <v>12</v>
      </c>
      <c r="F597" s="87" t="s">
        <v>534</v>
      </c>
      <c r="G597" s="94">
        <v>45562.0</v>
      </c>
      <c r="H597" s="87"/>
      <c r="I597" s="87"/>
    </row>
    <row r="598">
      <c r="A598" s="87">
        <v>125.0</v>
      </c>
      <c r="B598" s="87" t="s">
        <v>224</v>
      </c>
      <c r="C598" s="93">
        <v>3.0</v>
      </c>
      <c r="D598" s="87" t="s">
        <v>275</v>
      </c>
      <c r="E598" s="87" t="s">
        <v>19</v>
      </c>
      <c r="F598" s="87" t="s">
        <v>534</v>
      </c>
      <c r="G598" s="94">
        <v>45525.0</v>
      </c>
      <c r="H598" s="87"/>
      <c r="I598" s="87"/>
    </row>
    <row r="599">
      <c r="A599" s="87">
        <v>286.0</v>
      </c>
      <c r="B599" s="87" t="s">
        <v>224</v>
      </c>
      <c r="C599" s="93">
        <v>3.0</v>
      </c>
      <c r="D599" s="87" t="s">
        <v>275</v>
      </c>
      <c r="E599" s="87" t="s">
        <v>1</v>
      </c>
      <c r="F599" s="87" t="s">
        <v>534</v>
      </c>
      <c r="G599" s="94"/>
      <c r="H599" s="87"/>
      <c r="I599" s="87"/>
    </row>
    <row r="600">
      <c r="A600" s="87">
        <v>127.0</v>
      </c>
      <c r="B600" s="87" t="s">
        <v>535</v>
      </c>
      <c r="C600" s="93">
        <v>1.0</v>
      </c>
      <c r="D600" s="87" t="s">
        <v>275</v>
      </c>
      <c r="E600" s="87" t="s">
        <v>19</v>
      </c>
      <c r="F600" s="87" t="s">
        <v>534</v>
      </c>
      <c r="G600" s="94">
        <v>45525.0</v>
      </c>
      <c r="H600" s="87"/>
      <c r="I600" s="87"/>
    </row>
    <row r="601">
      <c r="A601" s="87">
        <v>353.0</v>
      </c>
      <c r="B601" s="87" t="s">
        <v>535</v>
      </c>
      <c r="C601" s="93">
        <v>1.0</v>
      </c>
      <c r="D601" s="87" t="s">
        <v>275</v>
      </c>
      <c r="E601" s="87" t="s">
        <v>21</v>
      </c>
      <c r="F601" s="87" t="s">
        <v>534</v>
      </c>
      <c r="G601" s="94">
        <v>45580.0</v>
      </c>
      <c r="H601" s="87"/>
      <c r="I601" s="87"/>
    </row>
    <row r="602">
      <c r="A602" s="87">
        <v>355.0</v>
      </c>
      <c r="B602" s="87" t="s">
        <v>434</v>
      </c>
      <c r="C602" s="93">
        <v>1.0</v>
      </c>
      <c r="D602" s="87" t="s">
        <v>275</v>
      </c>
      <c r="E602" s="87" t="s">
        <v>21</v>
      </c>
      <c r="F602" s="87" t="s">
        <v>534</v>
      </c>
      <c r="G602" s="94">
        <v>45580.0</v>
      </c>
      <c r="H602" s="87"/>
      <c r="I602" s="87"/>
    </row>
    <row r="603">
      <c r="A603" s="87">
        <v>294.0</v>
      </c>
      <c r="B603" s="87" t="s">
        <v>536</v>
      </c>
      <c r="C603" s="93">
        <v>1.0</v>
      </c>
      <c r="D603" s="87" t="s">
        <v>275</v>
      </c>
      <c r="E603" s="87" t="s">
        <v>1</v>
      </c>
      <c r="F603" s="87" t="s">
        <v>534</v>
      </c>
      <c r="G603" s="94"/>
      <c r="H603" s="87"/>
      <c r="I603" s="87"/>
    </row>
    <row r="604">
      <c r="A604" s="87">
        <v>771.0</v>
      </c>
      <c r="B604" s="87" t="s">
        <v>536</v>
      </c>
      <c r="C604" s="93">
        <v>1.0</v>
      </c>
      <c r="D604" s="87" t="s">
        <v>275</v>
      </c>
      <c r="E604" s="87" t="s">
        <v>12</v>
      </c>
      <c r="F604" s="87" t="s">
        <v>534</v>
      </c>
      <c r="G604" s="94"/>
      <c r="H604" s="87"/>
      <c r="I604" s="87"/>
    </row>
    <row r="605">
      <c r="A605" s="87">
        <v>301.0</v>
      </c>
      <c r="B605" s="87" t="s">
        <v>106</v>
      </c>
      <c r="C605" s="93">
        <v>2.0</v>
      </c>
      <c r="D605" s="87" t="s">
        <v>275</v>
      </c>
      <c r="E605" s="87" t="s">
        <v>1</v>
      </c>
      <c r="F605" s="87" t="s">
        <v>534</v>
      </c>
      <c r="G605" s="94"/>
      <c r="H605" s="87"/>
      <c r="I605" s="87"/>
    </row>
    <row r="606">
      <c r="A606" s="87">
        <v>49.0</v>
      </c>
      <c r="B606" s="87" t="s">
        <v>537</v>
      </c>
      <c r="C606" s="93">
        <v>1.0</v>
      </c>
      <c r="D606" s="87" t="s">
        <v>275</v>
      </c>
      <c r="E606" s="87" t="s">
        <v>12</v>
      </c>
      <c r="F606" s="87" t="s">
        <v>534</v>
      </c>
      <c r="G606" s="94">
        <v>45527.0</v>
      </c>
      <c r="H606" s="87"/>
      <c r="I606" s="87"/>
    </row>
    <row r="607">
      <c r="A607" s="87">
        <v>359.0</v>
      </c>
      <c r="B607" s="87" t="s">
        <v>443</v>
      </c>
      <c r="C607" s="93">
        <v>1.0</v>
      </c>
      <c r="D607" s="87" t="s">
        <v>275</v>
      </c>
      <c r="E607" s="87" t="s">
        <v>21</v>
      </c>
      <c r="F607" s="87" t="s">
        <v>534</v>
      </c>
      <c r="G607" s="94">
        <v>45580.0</v>
      </c>
      <c r="H607" s="87"/>
      <c r="I607" s="87"/>
    </row>
    <row r="608">
      <c r="A608" s="87">
        <v>42.0</v>
      </c>
      <c r="B608" s="87" t="s">
        <v>226</v>
      </c>
      <c r="C608" s="93">
        <v>1.0</v>
      </c>
      <c r="D608" s="87" t="s">
        <v>275</v>
      </c>
      <c r="E608" s="87" t="s">
        <v>12</v>
      </c>
      <c r="F608" s="87" t="s">
        <v>534</v>
      </c>
      <c r="G608" s="94">
        <v>45562.0</v>
      </c>
      <c r="H608" s="87"/>
      <c r="I608" s="87"/>
    </row>
    <row r="609">
      <c r="A609" s="87">
        <v>354.0</v>
      </c>
      <c r="B609" s="87" t="s">
        <v>538</v>
      </c>
      <c r="C609" s="93">
        <v>1.0</v>
      </c>
      <c r="D609" s="87" t="s">
        <v>275</v>
      </c>
      <c r="E609" s="87" t="s">
        <v>21</v>
      </c>
      <c r="F609" s="87" t="s">
        <v>534</v>
      </c>
      <c r="G609" s="94">
        <v>45580.0</v>
      </c>
      <c r="H609" s="87"/>
      <c r="I609" s="87"/>
    </row>
    <row r="610">
      <c r="A610" s="87">
        <v>13.0</v>
      </c>
      <c r="B610" s="87" t="s">
        <v>539</v>
      </c>
      <c r="C610" s="93">
        <v>1.0</v>
      </c>
      <c r="D610" s="87" t="s">
        <v>275</v>
      </c>
      <c r="E610" s="87" t="s">
        <v>12</v>
      </c>
      <c r="F610" s="87" t="s">
        <v>534</v>
      </c>
      <c r="G610" s="94"/>
      <c r="H610" s="87"/>
      <c r="I610" s="87"/>
    </row>
    <row r="611">
      <c r="A611" s="87">
        <v>292.0</v>
      </c>
      <c r="B611" s="87" t="s">
        <v>540</v>
      </c>
      <c r="C611" s="93">
        <v>1.0</v>
      </c>
      <c r="D611" s="87" t="s">
        <v>275</v>
      </c>
      <c r="E611" s="87" t="s">
        <v>1</v>
      </c>
      <c r="F611" s="87" t="s">
        <v>534</v>
      </c>
      <c r="G611" s="94"/>
      <c r="H611" s="87"/>
      <c r="I611" s="87"/>
    </row>
    <row r="612">
      <c r="A612" s="87">
        <v>350.0</v>
      </c>
      <c r="B612" s="87" t="s">
        <v>540</v>
      </c>
      <c r="C612" s="93">
        <v>2.0</v>
      </c>
      <c r="D612" s="87" t="s">
        <v>275</v>
      </c>
      <c r="E612" s="87" t="s">
        <v>21</v>
      </c>
      <c r="F612" s="87" t="s">
        <v>534</v>
      </c>
      <c r="G612" s="94">
        <v>45580.0</v>
      </c>
      <c r="H612" s="87"/>
      <c r="I612" s="87"/>
    </row>
    <row r="613">
      <c r="A613" s="87">
        <v>53.0</v>
      </c>
      <c r="B613" s="87" t="s">
        <v>541</v>
      </c>
      <c r="C613" s="93">
        <v>3.0</v>
      </c>
      <c r="D613" s="87" t="s">
        <v>275</v>
      </c>
      <c r="E613" s="87" t="s">
        <v>12</v>
      </c>
      <c r="F613" s="87" t="s">
        <v>534</v>
      </c>
      <c r="G613" s="94">
        <v>45527.0</v>
      </c>
      <c r="H613" s="87"/>
      <c r="I613" s="87"/>
    </row>
    <row r="614">
      <c r="A614" s="87">
        <v>126.0</v>
      </c>
      <c r="B614" s="87" t="s">
        <v>541</v>
      </c>
      <c r="C614" s="93">
        <v>2.0</v>
      </c>
      <c r="D614" s="87" t="s">
        <v>275</v>
      </c>
      <c r="E614" s="87" t="s">
        <v>19</v>
      </c>
      <c r="F614" s="87" t="s">
        <v>534</v>
      </c>
      <c r="G614" s="94">
        <v>45525.0</v>
      </c>
      <c r="H614" s="87"/>
      <c r="I614" s="87"/>
    </row>
    <row r="615">
      <c r="A615" s="87">
        <v>291.0</v>
      </c>
      <c r="B615" s="87" t="s">
        <v>446</v>
      </c>
      <c r="C615" s="93">
        <v>1.0</v>
      </c>
      <c r="D615" s="87" t="s">
        <v>275</v>
      </c>
      <c r="E615" s="87" t="s">
        <v>1</v>
      </c>
      <c r="F615" s="87" t="s">
        <v>534</v>
      </c>
      <c r="G615" s="94"/>
      <c r="H615" s="87"/>
      <c r="I615" s="87"/>
    </row>
    <row r="616">
      <c r="A616" s="87">
        <v>296.0</v>
      </c>
      <c r="B616" s="87" t="s">
        <v>542</v>
      </c>
      <c r="C616" s="93">
        <v>1.0</v>
      </c>
      <c r="D616" s="87" t="s">
        <v>275</v>
      </c>
      <c r="E616" s="87" t="s">
        <v>1</v>
      </c>
      <c r="F616" s="87" t="s">
        <v>534</v>
      </c>
      <c r="G616" s="94"/>
      <c r="H616" s="87"/>
      <c r="I616" s="87"/>
    </row>
    <row r="617">
      <c r="A617" s="87">
        <v>362.0</v>
      </c>
      <c r="B617" s="87" t="s">
        <v>542</v>
      </c>
      <c r="C617" s="93">
        <v>1.0</v>
      </c>
      <c r="D617" s="87" t="s">
        <v>275</v>
      </c>
      <c r="E617" s="87" t="s">
        <v>21</v>
      </c>
      <c r="F617" s="87" t="s">
        <v>534</v>
      </c>
      <c r="G617" s="94">
        <v>45580.0</v>
      </c>
      <c r="H617" s="87"/>
      <c r="I617" s="87"/>
    </row>
    <row r="618">
      <c r="A618" s="87">
        <v>1340.0</v>
      </c>
      <c r="B618" s="87" t="s">
        <v>543</v>
      </c>
      <c r="C618" s="93">
        <v>1.0</v>
      </c>
      <c r="D618" s="87" t="s">
        <v>275</v>
      </c>
      <c r="E618" s="87" t="s">
        <v>12</v>
      </c>
      <c r="F618" s="87" t="s">
        <v>534</v>
      </c>
      <c r="G618" s="94">
        <v>4.0068684E7</v>
      </c>
      <c r="H618" s="87"/>
      <c r="I618" s="87"/>
    </row>
    <row r="619">
      <c r="A619" s="87">
        <v>1034.0</v>
      </c>
      <c r="B619" s="87" t="s">
        <v>134</v>
      </c>
      <c r="C619" s="93">
        <v>1.0</v>
      </c>
      <c r="D619" s="87" t="s">
        <v>275</v>
      </c>
      <c r="E619" s="87" t="s">
        <v>12</v>
      </c>
      <c r="F619" s="87" t="s">
        <v>534</v>
      </c>
      <c r="G619" s="94">
        <v>7.6737942E7</v>
      </c>
      <c r="H619" s="87"/>
      <c r="I619" s="87"/>
    </row>
    <row r="620">
      <c r="A620" s="87">
        <v>1104.0</v>
      </c>
      <c r="B620" s="87" t="s">
        <v>134</v>
      </c>
      <c r="C620" s="93">
        <v>1.0</v>
      </c>
      <c r="D620" s="87" t="s">
        <v>275</v>
      </c>
      <c r="E620" s="87" t="s">
        <v>1</v>
      </c>
      <c r="F620" s="87" t="s">
        <v>534</v>
      </c>
      <c r="G620" s="94">
        <v>7.6878546E7</v>
      </c>
      <c r="H620" s="87"/>
      <c r="I620" s="87"/>
    </row>
    <row r="621">
      <c r="A621" s="87">
        <v>285.0</v>
      </c>
      <c r="B621" s="87" t="s">
        <v>544</v>
      </c>
      <c r="C621" s="93">
        <v>6.0</v>
      </c>
      <c r="D621" s="87" t="s">
        <v>275</v>
      </c>
      <c r="E621" s="87" t="s">
        <v>1</v>
      </c>
      <c r="F621" s="87" t="s">
        <v>534</v>
      </c>
      <c r="G621" s="94"/>
      <c r="H621" s="87"/>
      <c r="I621" s="87"/>
    </row>
    <row r="622">
      <c r="A622" s="87">
        <v>128.0</v>
      </c>
      <c r="B622" s="87" t="s">
        <v>455</v>
      </c>
      <c r="C622" s="93">
        <v>4.0</v>
      </c>
      <c r="D622" s="87" t="s">
        <v>275</v>
      </c>
      <c r="E622" s="87" t="s">
        <v>19</v>
      </c>
      <c r="F622" s="87" t="s">
        <v>534</v>
      </c>
      <c r="G622" s="94">
        <v>45525.0</v>
      </c>
      <c r="H622" s="87"/>
      <c r="I622" s="87"/>
    </row>
    <row r="623">
      <c r="A623" s="87">
        <v>300.0</v>
      </c>
      <c r="B623" s="87" t="s">
        <v>455</v>
      </c>
      <c r="C623" s="93">
        <v>2.0</v>
      </c>
      <c r="D623" s="87" t="s">
        <v>275</v>
      </c>
      <c r="E623" s="87" t="s">
        <v>1</v>
      </c>
      <c r="F623" s="87" t="s">
        <v>534</v>
      </c>
      <c r="G623" s="94"/>
      <c r="H623" s="87"/>
      <c r="I623" s="87"/>
    </row>
    <row r="624">
      <c r="A624" s="87">
        <v>361.0</v>
      </c>
      <c r="B624" s="87" t="s">
        <v>455</v>
      </c>
      <c r="C624" s="93">
        <v>2.0</v>
      </c>
      <c r="D624" s="87" t="s">
        <v>275</v>
      </c>
      <c r="E624" s="87" t="s">
        <v>21</v>
      </c>
      <c r="F624" s="87" t="s">
        <v>534</v>
      </c>
      <c r="G624" s="94">
        <v>45580.0</v>
      </c>
      <c r="H624" s="87"/>
      <c r="I624" s="87"/>
    </row>
    <row r="625">
      <c r="A625" s="87">
        <v>12.0</v>
      </c>
      <c r="B625" s="87" t="s">
        <v>457</v>
      </c>
      <c r="C625" s="93">
        <v>1.0</v>
      </c>
      <c r="D625" s="87" t="s">
        <v>275</v>
      </c>
      <c r="E625" s="87" t="s">
        <v>12</v>
      </c>
      <c r="F625" s="87" t="s">
        <v>534</v>
      </c>
      <c r="G625" s="94">
        <v>45562.0</v>
      </c>
      <c r="H625" s="87"/>
      <c r="I625" s="87"/>
    </row>
    <row r="626">
      <c r="A626" s="87">
        <v>293.0</v>
      </c>
      <c r="B626" s="87" t="s">
        <v>457</v>
      </c>
      <c r="C626" s="93">
        <v>1.0</v>
      </c>
      <c r="D626" s="87" t="s">
        <v>275</v>
      </c>
      <c r="E626" s="87" t="s">
        <v>1</v>
      </c>
      <c r="F626" s="87" t="s">
        <v>534</v>
      </c>
      <c r="G626" s="94"/>
      <c r="H626" s="87"/>
      <c r="I626" s="87"/>
    </row>
    <row r="627">
      <c r="A627" s="87">
        <v>360.0</v>
      </c>
      <c r="B627" s="87" t="s">
        <v>457</v>
      </c>
      <c r="C627" s="93">
        <v>1.0</v>
      </c>
      <c r="D627" s="87" t="s">
        <v>275</v>
      </c>
      <c r="E627" s="87" t="s">
        <v>21</v>
      </c>
      <c r="F627" s="87" t="s">
        <v>534</v>
      </c>
      <c r="G627" s="94">
        <v>45580.0</v>
      </c>
      <c r="H627" s="87"/>
      <c r="I627" s="87"/>
    </row>
    <row r="628">
      <c r="A628" s="87">
        <v>43.0</v>
      </c>
      <c r="B628" s="87" t="s">
        <v>459</v>
      </c>
      <c r="C628" s="93">
        <v>2.0</v>
      </c>
      <c r="D628" s="87" t="s">
        <v>275</v>
      </c>
      <c r="E628" s="87" t="s">
        <v>12</v>
      </c>
      <c r="F628" s="87" t="s">
        <v>534</v>
      </c>
      <c r="G628" s="94"/>
      <c r="H628" s="87"/>
      <c r="I628" s="87"/>
    </row>
    <row r="629">
      <c r="A629" s="87">
        <v>351.0</v>
      </c>
      <c r="B629" s="87" t="s">
        <v>459</v>
      </c>
      <c r="C629" s="93">
        <v>2.0</v>
      </c>
      <c r="D629" s="87" t="s">
        <v>275</v>
      </c>
      <c r="E629" s="87" t="s">
        <v>21</v>
      </c>
      <c r="F629" s="87" t="s">
        <v>534</v>
      </c>
      <c r="G629" s="94">
        <v>45580.0</v>
      </c>
      <c r="H629" s="87"/>
      <c r="I629" s="87"/>
    </row>
    <row r="630">
      <c r="A630" s="87">
        <v>299.0</v>
      </c>
      <c r="B630" s="87" t="s">
        <v>423</v>
      </c>
      <c r="C630" s="93">
        <v>1.0</v>
      </c>
      <c r="D630" s="87" t="s">
        <v>275</v>
      </c>
      <c r="E630" s="87" t="s">
        <v>1</v>
      </c>
      <c r="F630" s="87" t="s">
        <v>534</v>
      </c>
      <c r="G630" s="94"/>
      <c r="H630" s="87"/>
      <c r="I630" s="87"/>
    </row>
    <row r="631">
      <c r="A631" s="87">
        <v>131.0</v>
      </c>
      <c r="B631" s="87" t="s">
        <v>228</v>
      </c>
      <c r="C631" s="93">
        <v>1.0</v>
      </c>
      <c r="D631" s="87" t="s">
        <v>275</v>
      </c>
      <c r="E631" s="87" t="s">
        <v>19</v>
      </c>
      <c r="F631" s="87" t="s">
        <v>534</v>
      </c>
      <c r="G631" s="94">
        <v>45525.0</v>
      </c>
      <c r="H631" s="87"/>
      <c r="I631" s="87"/>
    </row>
    <row r="632">
      <c r="A632" s="87">
        <v>352.0</v>
      </c>
      <c r="B632" s="87" t="s">
        <v>228</v>
      </c>
      <c r="C632" s="93">
        <v>1.0</v>
      </c>
      <c r="D632" s="87" t="s">
        <v>275</v>
      </c>
      <c r="E632" s="87" t="s">
        <v>21</v>
      </c>
      <c r="F632" s="87" t="s">
        <v>534</v>
      </c>
      <c r="G632" s="94">
        <v>45580.0</v>
      </c>
      <c r="H632" s="87"/>
      <c r="I632" s="87"/>
    </row>
    <row r="633">
      <c r="A633" s="87">
        <v>132.0</v>
      </c>
      <c r="B633" s="87" t="s">
        <v>229</v>
      </c>
      <c r="C633" s="93">
        <v>1.0</v>
      </c>
      <c r="D633" s="87" t="s">
        <v>275</v>
      </c>
      <c r="E633" s="87" t="s">
        <v>19</v>
      </c>
      <c r="F633" s="87" t="s">
        <v>534</v>
      </c>
      <c r="G633" s="94">
        <v>45525.0</v>
      </c>
      <c r="H633" s="87"/>
      <c r="I633" s="87"/>
    </row>
    <row r="634">
      <c r="A634" s="87">
        <v>298.0</v>
      </c>
      <c r="B634" s="87" t="s">
        <v>229</v>
      </c>
      <c r="C634" s="93">
        <v>2.0</v>
      </c>
      <c r="D634" s="87" t="s">
        <v>275</v>
      </c>
      <c r="E634" s="87" t="s">
        <v>1</v>
      </c>
      <c r="F634" s="87" t="s">
        <v>534</v>
      </c>
      <c r="G634" s="94"/>
      <c r="H634" s="87"/>
      <c r="I634" s="87"/>
    </row>
    <row r="635">
      <c r="A635" s="87">
        <v>297.0</v>
      </c>
      <c r="B635" s="87" t="s">
        <v>464</v>
      </c>
      <c r="C635" s="93">
        <v>1.0</v>
      </c>
      <c r="D635" s="87" t="s">
        <v>275</v>
      </c>
      <c r="E635" s="87" t="s">
        <v>1</v>
      </c>
      <c r="F635" s="87" t="s">
        <v>534</v>
      </c>
      <c r="G635" s="94"/>
      <c r="H635" s="87"/>
      <c r="I635" s="87"/>
    </row>
    <row r="636">
      <c r="A636" s="87">
        <v>289.0</v>
      </c>
      <c r="B636" s="87" t="s">
        <v>174</v>
      </c>
      <c r="C636" s="93">
        <v>1.0</v>
      </c>
      <c r="D636" s="87" t="s">
        <v>275</v>
      </c>
      <c r="E636" s="87" t="s">
        <v>1</v>
      </c>
      <c r="F636" s="87" t="s">
        <v>534</v>
      </c>
      <c r="G636" s="94"/>
      <c r="H636" s="87"/>
      <c r="I636" s="87"/>
    </row>
    <row r="637">
      <c r="A637" s="87">
        <v>357.0</v>
      </c>
      <c r="B637" s="87" t="s">
        <v>174</v>
      </c>
      <c r="C637" s="93">
        <v>1.0</v>
      </c>
      <c r="D637" s="87" t="s">
        <v>275</v>
      </c>
      <c r="E637" s="87" t="s">
        <v>21</v>
      </c>
      <c r="F637" s="87" t="s">
        <v>534</v>
      </c>
      <c r="G637" s="94">
        <v>45580.0</v>
      </c>
      <c r="H637" s="87"/>
      <c r="I637" s="87"/>
    </row>
    <row r="638">
      <c r="A638" s="87">
        <v>290.0</v>
      </c>
      <c r="B638" s="87" t="s">
        <v>545</v>
      </c>
      <c r="C638" s="93">
        <v>1.0</v>
      </c>
      <c r="D638" s="87" t="s">
        <v>275</v>
      </c>
      <c r="E638" s="87" t="s">
        <v>1</v>
      </c>
      <c r="F638" s="87" t="s">
        <v>534</v>
      </c>
      <c r="G638" s="94"/>
      <c r="H638" s="87"/>
      <c r="I638" s="87"/>
    </row>
    <row r="639">
      <c r="A639" s="87">
        <v>358.0</v>
      </c>
      <c r="B639" s="87" t="s">
        <v>545</v>
      </c>
      <c r="C639" s="93">
        <v>1.0</v>
      </c>
      <c r="D639" s="87" t="s">
        <v>275</v>
      </c>
      <c r="E639" s="87" t="s">
        <v>21</v>
      </c>
      <c r="F639" s="87" t="s">
        <v>534</v>
      </c>
      <c r="G639" s="94">
        <v>45580.0</v>
      </c>
      <c r="H639" s="87"/>
      <c r="I639" s="87"/>
    </row>
    <row r="640">
      <c r="A640" s="87">
        <v>54.0</v>
      </c>
      <c r="B640" s="87" t="s">
        <v>231</v>
      </c>
      <c r="C640" s="93">
        <v>1.0</v>
      </c>
      <c r="D640" s="87" t="s">
        <v>275</v>
      </c>
      <c r="E640" s="87" t="s">
        <v>12</v>
      </c>
      <c r="F640" s="87" t="s">
        <v>534</v>
      </c>
      <c r="G640" s="94">
        <v>45527.0</v>
      </c>
      <c r="H640" s="87"/>
      <c r="I640" s="87"/>
    </row>
    <row r="641">
      <c r="A641" s="87">
        <v>129.0</v>
      </c>
      <c r="B641" s="87" t="s">
        <v>231</v>
      </c>
      <c r="C641" s="93">
        <v>1.0</v>
      </c>
      <c r="D641" s="87" t="s">
        <v>275</v>
      </c>
      <c r="E641" s="87" t="s">
        <v>19</v>
      </c>
      <c r="F641" s="87" t="s">
        <v>534</v>
      </c>
      <c r="G641" s="94">
        <v>45525.0</v>
      </c>
      <c r="H641" s="87"/>
      <c r="I641" s="87"/>
    </row>
    <row r="642">
      <c r="A642" s="87">
        <v>288.0</v>
      </c>
      <c r="B642" s="87" t="s">
        <v>231</v>
      </c>
      <c r="C642" s="93">
        <v>1.0</v>
      </c>
      <c r="D642" s="87" t="s">
        <v>275</v>
      </c>
      <c r="E642" s="87" t="s">
        <v>1</v>
      </c>
      <c r="F642" s="87" t="s">
        <v>534</v>
      </c>
      <c r="G642" s="94"/>
      <c r="H642" s="87"/>
      <c r="I642" s="87"/>
    </row>
    <row r="643">
      <c r="A643" s="87">
        <v>356.0</v>
      </c>
      <c r="B643" s="87" t="s">
        <v>231</v>
      </c>
      <c r="C643" s="93">
        <v>2.0</v>
      </c>
      <c r="D643" s="87" t="s">
        <v>275</v>
      </c>
      <c r="E643" s="87" t="s">
        <v>21</v>
      </c>
      <c r="F643" s="87" t="s">
        <v>534</v>
      </c>
      <c r="G643" s="94">
        <v>45580.0</v>
      </c>
      <c r="H643" s="87"/>
      <c r="I643" s="87"/>
    </row>
    <row r="644">
      <c r="A644" s="87">
        <v>287.0</v>
      </c>
      <c r="B644" s="87" t="s">
        <v>232</v>
      </c>
      <c r="C644" s="93">
        <v>2.0</v>
      </c>
      <c r="D644" s="87" t="s">
        <v>275</v>
      </c>
      <c r="E644" s="87" t="s">
        <v>1</v>
      </c>
      <c r="F644" s="87" t="s">
        <v>534</v>
      </c>
      <c r="G644" s="94"/>
      <c r="H644" s="87"/>
      <c r="I644" s="87"/>
    </row>
    <row r="645">
      <c r="A645" s="87">
        <v>130.0</v>
      </c>
      <c r="B645" s="87" t="s">
        <v>233</v>
      </c>
      <c r="C645" s="93">
        <v>1.0</v>
      </c>
      <c r="D645" s="87" t="s">
        <v>275</v>
      </c>
      <c r="E645" s="87" t="s">
        <v>19</v>
      </c>
      <c r="F645" s="87" t="s">
        <v>534</v>
      </c>
      <c r="G645" s="94">
        <v>45525.0</v>
      </c>
      <c r="H645" s="87"/>
      <c r="I645" s="87"/>
    </row>
    <row r="646">
      <c r="A646" s="87">
        <v>295.0</v>
      </c>
      <c r="B646" s="87" t="s">
        <v>233</v>
      </c>
      <c r="C646" s="93">
        <v>1.0</v>
      </c>
      <c r="D646" s="87" t="s">
        <v>275</v>
      </c>
      <c r="E646" s="87" t="s">
        <v>1</v>
      </c>
      <c r="F646" s="87" t="s">
        <v>534</v>
      </c>
      <c r="G646" s="94"/>
      <c r="H646" s="87"/>
      <c r="I646" s="87"/>
    </row>
    <row r="647">
      <c r="A647" s="87">
        <v>270.0</v>
      </c>
      <c r="B647" s="87" t="s">
        <v>546</v>
      </c>
      <c r="C647" s="93">
        <v>2.0</v>
      </c>
      <c r="D647" s="87" t="s">
        <v>275</v>
      </c>
      <c r="E647" s="87" t="s">
        <v>1</v>
      </c>
      <c r="F647" s="87" t="s">
        <v>534</v>
      </c>
      <c r="G647" s="94"/>
      <c r="H647" s="87"/>
      <c r="I647" s="87"/>
    </row>
    <row r="648">
      <c r="A648" s="87">
        <v>63.0</v>
      </c>
      <c r="B648" s="87" t="s">
        <v>289</v>
      </c>
      <c r="C648" s="93">
        <v>1.0</v>
      </c>
      <c r="D648" s="87" t="s">
        <v>275</v>
      </c>
      <c r="E648" s="87" t="s">
        <v>12</v>
      </c>
      <c r="F648" s="87" t="s">
        <v>534</v>
      </c>
      <c r="G648" s="94"/>
      <c r="H648" s="87"/>
      <c r="I648" s="87"/>
    </row>
    <row r="649">
      <c r="A649" s="87">
        <v>333.0</v>
      </c>
      <c r="B649" s="87" t="s">
        <v>381</v>
      </c>
      <c r="C649" s="93">
        <v>2.0</v>
      </c>
      <c r="D649" s="87" t="s">
        <v>275</v>
      </c>
      <c r="E649" s="87" t="s">
        <v>21</v>
      </c>
      <c r="F649" s="87" t="s">
        <v>547</v>
      </c>
      <c r="G649" s="94">
        <v>45580.0</v>
      </c>
      <c r="H649" s="87"/>
      <c r="I649" s="87"/>
    </row>
    <row r="650">
      <c r="A650" s="87">
        <v>336.0</v>
      </c>
      <c r="B650" s="87" t="s">
        <v>280</v>
      </c>
      <c r="C650" s="93">
        <v>6.0</v>
      </c>
      <c r="D650" s="87" t="s">
        <v>275</v>
      </c>
      <c r="E650" s="87" t="s">
        <v>21</v>
      </c>
      <c r="F650" s="87" t="s">
        <v>547</v>
      </c>
      <c r="G650" s="94">
        <v>45580.0</v>
      </c>
      <c r="H650" s="87"/>
      <c r="I650" s="87"/>
    </row>
    <row r="651">
      <c r="A651" s="87">
        <v>335.0</v>
      </c>
      <c r="B651" s="87" t="s">
        <v>169</v>
      </c>
      <c r="C651" s="93">
        <v>1.0</v>
      </c>
      <c r="D651" s="87" t="s">
        <v>275</v>
      </c>
      <c r="E651" s="87" t="s">
        <v>21</v>
      </c>
      <c r="F651" s="87" t="s">
        <v>547</v>
      </c>
      <c r="G651" s="94">
        <v>45580.0</v>
      </c>
      <c r="H651" s="87"/>
      <c r="I651" s="87"/>
    </row>
    <row r="652">
      <c r="A652" s="87">
        <v>334.0</v>
      </c>
      <c r="B652" s="87" t="s">
        <v>170</v>
      </c>
      <c r="C652" s="93">
        <v>2.0</v>
      </c>
      <c r="D652" s="87" t="s">
        <v>275</v>
      </c>
      <c r="E652" s="87" t="s">
        <v>21</v>
      </c>
      <c r="F652" s="87" t="s">
        <v>547</v>
      </c>
      <c r="G652" s="94">
        <v>45580.0</v>
      </c>
      <c r="H652" s="87"/>
      <c r="I652" s="87"/>
    </row>
    <row r="653">
      <c r="A653" s="87">
        <v>106.0</v>
      </c>
      <c r="B653" s="87" t="s">
        <v>548</v>
      </c>
      <c r="C653" s="93">
        <v>1.0</v>
      </c>
      <c r="D653" s="87" t="s">
        <v>275</v>
      </c>
      <c r="E653" s="87" t="s">
        <v>19</v>
      </c>
      <c r="F653" s="87" t="s">
        <v>547</v>
      </c>
      <c r="G653" s="94">
        <v>45525.0</v>
      </c>
      <c r="H653" s="87"/>
      <c r="I653" s="87"/>
    </row>
    <row r="654">
      <c r="A654" s="87">
        <v>176.0</v>
      </c>
      <c r="B654" s="87" t="s">
        <v>433</v>
      </c>
      <c r="C654" s="93">
        <v>1.0</v>
      </c>
      <c r="D654" s="87" t="s">
        <v>275</v>
      </c>
      <c r="E654" s="87" t="s">
        <v>13</v>
      </c>
      <c r="F654" s="87" t="s">
        <v>549</v>
      </c>
      <c r="G654" s="94"/>
      <c r="H654" s="87"/>
      <c r="I654" s="87"/>
    </row>
    <row r="655">
      <c r="A655" s="87">
        <v>69.0</v>
      </c>
      <c r="B655" s="87" t="s">
        <v>550</v>
      </c>
      <c r="C655" s="93">
        <v>1.0</v>
      </c>
      <c r="D655" s="87" t="s">
        <v>275</v>
      </c>
      <c r="E655" s="87" t="s">
        <v>19</v>
      </c>
      <c r="F655" s="87" t="s">
        <v>549</v>
      </c>
      <c r="G655" s="94">
        <v>45525.0</v>
      </c>
      <c r="H655" s="87"/>
      <c r="I655" s="87"/>
    </row>
    <row r="656">
      <c r="A656" s="87">
        <v>70.0</v>
      </c>
      <c r="B656" s="87" t="s">
        <v>551</v>
      </c>
      <c r="C656" s="93">
        <v>2.0</v>
      </c>
      <c r="D656" s="87" t="s">
        <v>275</v>
      </c>
      <c r="E656" s="87" t="s">
        <v>19</v>
      </c>
      <c r="F656" s="87" t="s">
        <v>549</v>
      </c>
      <c r="G656" s="94">
        <v>45525.0</v>
      </c>
      <c r="H656" s="87"/>
      <c r="I656" s="87"/>
    </row>
    <row r="657">
      <c r="A657" s="87">
        <v>324.0</v>
      </c>
      <c r="B657" s="87" t="s">
        <v>551</v>
      </c>
      <c r="C657" s="93">
        <v>1.0</v>
      </c>
      <c r="D657" s="87" t="s">
        <v>275</v>
      </c>
      <c r="E657" s="87" t="s">
        <v>21</v>
      </c>
      <c r="F657" s="87" t="s">
        <v>549</v>
      </c>
      <c r="G657" s="94">
        <v>45580.0</v>
      </c>
      <c r="H657" s="87"/>
      <c r="I657" s="87"/>
    </row>
    <row r="658">
      <c r="A658" s="87">
        <v>71.0</v>
      </c>
      <c r="B658" s="87" t="s">
        <v>552</v>
      </c>
      <c r="C658" s="93">
        <v>1.0</v>
      </c>
      <c r="D658" s="87" t="s">
        <v>275</v>
      </c>
      <c r="E658" s="87" t="s">
        <v>19</v>
      </c>
      <c r="F658" s="87" t="s">
        <v>549</v>
      </c>
      <c r="G658" s="94">
        <v>45525.0</v>
      </c>
      <c r="H658" s="87"/>
      <c r="I658" s="87"/>
    </row>
    <row r="659">
      <c r="A659" s="87">
        <v>97.0</v>
      </c>
      <c r="B659" s="87" t="s">
        <v>443</v>
      </c>
      <c r="C659" s="93">
        <v>1.0</v>
      </c>
      <c r="D659" s="87" t="s">
        <v>275</v>
      </c>
      <c r="E659" s="87" t="s">
        <v>13</v>
      </c>
      <c r="F659" s="87" t="s">
        <v>549</v>
      </c>
      <c r="G659" s="94">
        <v>45525.0</v>
      </c>
      <c r="H659" s="87"/>
      <c r="I659" s="87"/>
    </row>
    <row r="660">
      <c r="A660" s="87">
        <v>72.0</v>
      </c>
      <c r="B660" s="87" t="s">
        <v>553</v>
      </c>
      <c r="C660" s="93">
        <v>1.0</v>
      </c>
      <c r="D660" s="87" t="s">
        <v>275</v>
      </c>
      <c r="E660" s="87" t="s">
        <v>19</v>
      </c>
      <c r="F660" s="87" t="s">
        <v>549</v>
      </c>
      <c r="G660" s="94">
        <v>45525.0</v>
      </c>
      <c r="H660" s="87"/>
      <c r="I660" s="87"/>
    </row>
    <row r="661">
      <c r="A661" s="87">
        <v>73.0</v>
      </c>
      <c r="B661" s="87" t="s">
        <v>554</v>
      </c>
      <c r="C661" s="93">
        <v>1.0</v>
      </c>
      <c r="D661" s="87" t="s">
        <v>275</v>
      </c>
      <c r="E661" s="87" t="s">
        <v>19</v>
      </c>
      <c r="F661" s="87" t="s">
        <v>549</v>
      </c>
      <c r="G661" s="94">
        <v>45525.0</v>
      </c>
      <c r="H661" s="87"/>
      <c r="I661" s="87"/>
    </row>
    <row r="662">
      <c r="A662" s="87">
        <v>491.0</v>
      </c>
      <c r="B662" s="87" t="s">
        <v>127</v>
      </c>
      <c r="C662" s="93">
        <v>1.0</v>
      </c>
      <c r="D662" s="87" t="s">
        <v>275</v>
      </c>
      <c r="E662" s="87" t="s">
        <v>19</v>
      </c>
      <c r="F662" s="87" t="s">
        <v>549</v>
      </c>
      <c r="G662" s="94">
        <v>7.6808068E7</v>
      </c>
      <c r="H662" s="87" t="s">
        <v>448</v>
      </c>
      <c r="I662" s="87" t="s">
        <v>447</v>
      </c>
    </row>
    <row r="663">
      <c r="A663" s="87">
        <v>492.0</v>
      </c>
      <c r="B663" s="87" t="s">
        <v>127</v>
      </c>
      <c r="C663" s="93">
        <v>1.0</v>
      </c>
      <c r="D663" s="87" t="s">
        <v>275</v>
      </c>
      <c r="E663" s="87" t="s">
        <v>19</v>
      </c>
      <c r="F663" s="87" t="s">
        <v>549</v>
      </c>
      <c r="G663" s="94">
        <v>7.6704904E7</v>
      </c>
      <c r="H663" s="87"/>
      <c r="I663" s="87" t="s">
        <v>447</v>
      </c>
    </row>
    <row r="664">
      <c r="A664" s="87">
        <v>493.0</v>
      </c>
      <c r="B664" s="87" t="s">
        <v>127</v>
      </c>
      <c r="C664" s="93">
        <v>1.0</v>
      </c>
      <c r="D664" s="87" t="s">
        <v>275</v>
      </c>
      <c r="E664" s="87" t="s">
        <v>19</v>
      </c>
      <c r="F664" s="87" t="s">
        <v>549</v>
      </c>
      <c r="G664" s="94">
        <v>7.685512E7</v>
      </c>
      <c r="H664" s="87"/>
      <c r="I664" s="87" t="s">
        <v>447</v>
      </c>
    </row>
    <row r="665">
      <c r="A665" s="87">
        <v>494.0</v>
      </c>
      <c r="B665" s="87" t="s">
        <v>127</v>
      </c>
      <c r="C665" s="93">
        <v>1.0</v>
      </c>
      <c r="D665" s="87" t="s">
        <v>275</v>
      </c>
      <c r="E665" s="87" t="s">
        <v>19</v>
      </c>
      <c r="F665" s="87" t="s">
        <v>549</v>
      </c>
      <c r="G665" s="94">
        <v>7.6855201E7</v>
      </c>
      <c r="H665" s="87"/>
      <c r="I665" s="87" t="s">
        <v>447</v>
      </c>
    </row>
    <row r="666">
      <c r="A666" s="87">
        <v>556.0</v>
      </c>
      <c r="B666" s="87" t="s">
        <v>127</v>
      </c>
      <c r="C666" s="93">
        <v>1.0</v>
      </c>
      <c r="D666" s="87" t="s">
        <v>275</v>
      </c>
      <c r="E666" s="87" t="s">
        <v>19</v>
      </c>
      <c r="F666" s="87" t="s">
        <v>549</v>
      </c>
      <c r="G666" s="94">
        <v>7.693755E7</v>
      </c>
      <c r="H666" s="87"/>
      <c r="I666" s="87" t="s">
        <v>132</v>
      </c>
    </row>
    <row r="667">
      <c r="A667" s="87">
        <v>557.0</v>
      </c>
      <c r="B667" s="87" t="s">
        <v>127</v>
      </c>
      <c r="C667" s="93">
        <v>1.0</v>
      </c>
      <c r="D667" s="87" t="s">
        <v>275</v>
      </c>
      <c r="E667" s="87" t="s">
        <v>19</v>
      </c>
      <c r="F667" s="87" t="s">
        <v>549</v>
      </c>
      <c r="G667" s="94">
        <v>7.6937569E7</v>
      </c>
      <c r="H667" s="87"/>
      <c r="I667" s="87" t="s">
        <v>132</v>
      </c>
    </row>
    <row r="668">
      <c r="A668" s="87">
        <v>978.0</v>
      </c>
      <c r="B668" s="87" t="s">
        <v>127</v>
      </c>
      <c r="C668" s="93">
        <v>1.0</v>
      </c>
      <c r="D668" s="87" t="s">
        <v>275</v>
      </c>
      <c r="E668" s="87" t="s">
        <v>19</v>
      </c>
      <c r="F668" s="87" t="s">
        <v>549</v>
      </c>
      <c r="G668" s="94">
        <v>7.6937577E7</v>
      </c>
      <c r="H668" s="87"/>
      <c r="I668" s="87" t="s">
        <v>132</v>
      </c>
    </row>
    <row r="669">
      <c r="A669" s="87">
        <v>1237.0</v>
      </c>
      <c r="B669" s="87" t="s">
        <v>137</v>
      </c>
      <c r="C669" s="93">
        <v>1.0</v>
      </c>
      <c r="D669" s="87" t="s">
        <v>275</v>
      </c>
      <c r="E669" s="87" t="s">
        <v>13</v>
      </c>
      <c r="F669" s="87" t="s">
        <v>549</v>
      </c>
      <c r="G669" s="94">
        <v>7.6904164E7</v>
      </c>
      <c r="H669" s="87" t="s">
        <v>555</v>
      </c>
      <c r="I669" s="87" t="s">
        <v>142</v>
      </c>
    </row>
    <row r="670">
      <c r="A670" s="87">
        <v>320.0</v>
      </c>
      <c r="B670" s="87" t="s">
        <v>152</v>
      </c>
      <c r="C670" s="93">
        <v>1.0</v>
      </c>
      <c r="D670" s="87" t="s">
        <v>275</v>
      </c>
      <c r="E670" s="87" t="s">
        <v>21</v>
      </c>
      <c r="F670" s="87" t="s">
        <v>549</v>
      </c>
      <c r="G670" s="94"/>
      <c r="H670" s="87"/>
      <c r="I670" s="87"/>
    </row>
    <row r="671">
      <c r="A671" s="87">
        <v>322.0</v>
      </c>
      <c r="B671" s="87" t="s">
        <v>556</v>
      </c>
      <c r="C671" s="93">
        <v>1.0</v>
      </c>
      <c r="D671" s="87" t="s">
        <v>275</v>
      </c>
      <c r="E671" s="87" t="s">
        <v>21</v>
      </c>
      <c r="F671" s="87" t="s">
        <v>549</v>
      </c>
      <c r="G671" s="94"/>
      <c r="H671" s="87"/>
      <c r="I671" s="87"/>
    </row>
    <row r="672">
      <c r="A672" s="87">
        <v>74.0</v>
      </c>
      <c r="B672" s="87" t="s">
        <v>557</v>
      </c>
      <c r="C672" s="93">
        <v>1.0</v>
      </c>
      <c r="D672" s="87" t="s">
        <v>275</v>
      </c>
      <c r="E672" s="87" t="s">
        <v>19</v>
      </c>
      <c r="F672" s="87" t="s">
        <v>549</v>
      </c>
      <c r="G672" s="94">
        <v>45525.0</v>
      </c>
      <c r="H672" s="87"/>
      <c r="I672" s="87"/>
    </row>
    <row r="673">
      <c r="A673" s="87">
        <v>284.0</v>
      </c>
      <c r="B673" s="87" t="s">
        <v>558</v>
      </c>
      <c r="C673" s="93">
        <v>1.0</v>
      </c>
      <c r="D673" s="87" t="s">
        <v>275</v>
      </c>
      <c r="E673" s="87" t="s">
        <v>1</v>
      </c>
      <c r="F673" s="87" t="s">
        <v>549</v>
      </c>
      <c r="G673" s="94"/>
      <c r="H673" s="87"/>
      <c r="I673" s="87" t="s">
        <v>559</v>
      </c>
    </row>
    <row r="674">
      <c r="A674" s="87">
        <v>75.0</v>
      </c>
      <c r="B674" s="87" t="s">
        <v>560</v>
      </c>
      <c r="C674" s="93">
        <v>5.0</v>
      </c>
      <c r="D674" s="87" t="s">
        <v>275</v>
      </c>
      <c r="E674" s="87" t="s">
        <v>19</v>
      </c>
      <c r="F674" s="87" t="s">
        <v>549</v>
      </c>
      <c r="G674" s="94">
        <v>45525.0</v>
      </c>
      <c r="H674" s="87"/>
      <c r="I674" s="87"/>
    </row>
    <row r="675">
      <c r="A675" s="87">
        <v>177.0</v>
      </c>
      <c r="B675" s="87" t="s">
        <v>561</v>
      </c>
      <c r="C675" s="93">
        <v>1.0</v>
      </c>
      <c r="D675" s="87" t="s">
        <v>275</v>
      </c>
      <c r="E675" s="87" t="s">
        <v>13</v>
      </c>
      <c r="F675" s="87" t="s">
        <v>549</v>
      </c>
      <c r="G675" s="94"/>
      <c r="H675" s="87"/>
      <c r="I675" s="87"/>
    </row>
    <row r="676">
      <c r="A676" s="87">
        <v>750.0</v>
      </c>
      <c r="B676" s="87" t="s">
        <v>561</v>
      </c>
      <c r="C676" s="93">
        <v>1.0</v>
      </c>
      <c r="D676" s="87" t="s">
        <v>275</v>
      </c>
      <c r="E676" s="87" t="s">
        <v>1</v>
      </c>
      <c r="F676" s="87" t="s">
        <v>549</v>
      </c>
      <c r="G676" s="94"/>
      <c r="H676" s="87"/>
      <c r="I676" s="87"/>
    </row>
    <row r="677">
      <c r="A677" s="87">
        <v>76.0</v>
      </c>
      <c r="B677" s="87" t="s">
        <v>562</v>
      </c>
      <c r="C677" s="93">
        <v>1.0</v>
      </c>
      <c r="D677" s="87" t="s">
        <v>275</v>
      </c>
      <c r="E677" s="87" t="s">
        <v>19</v>
      </c>
      <c r="F677" s="87" t="s">
        <v>549</v>
      </c>
      <c r="G677" s="94">
        <v>45525.0</v>
      </c>
      <c r="H677" s="87"/>
      <c r="I677" s="87"/>
    </row>
    <row r="678">
      <c r="A678" s="87">
        <v>77.0</v>
      </c>
      <c r="B678" s="87" t="s">
        <v>563</v>
      </c>
      <c r="C678" s="93">
        <v>1.0</v>
      </c>
      <c r="D678" s="87" t="s">
        <v>275</v>
      </c>
      <c r="E678" s="87" t="s">
        <v>19</v>
      </c>
      <c r="F678" s="87" t="s">
        <v>549</v>
      </c>
      <c r="G678" s="94">
        <v>45525.0</v>
      </c>
      <c r="H678" s="87"/>
      <c r="I678" s="87"/>
    </row>
    <row r="679">
      <c r="A679" s="87">
        <v>80.0</v>
      </c>
      <c r="B679" s="87" t="s">
        <v>564</v>
      </c>
      <c r="C679" s="93">
        <v>1.0</v>
      </c>
      <c r="D679" s="87" t="s">
        <v>275</v>
      </c>
      <c r="E679" s="87" t="s">
        <v>19</v>
      </c>
      <c r="F679" s="87" t="s">
        <v>549</v>
      </c>
      <c r="G679" s="94">
        <v>45525.0</v>
      </c>
      <c r="H679" s="87"/>
      <c r="I679" s="87"/>
    </row>
    <row r="680">
      <c r="A680" s="87">
        <v>321.0</v>
      </c>
      <c r="B680" s="87" t="s">
        <v>565</v>
      </c>
      <c r="C680" s="93">
        <v>1.0</v>
      </c>
      <c r="D680" s="87" t="s">
        <v>275</v>
      </c>
      <c r="E680" s="87" t="s">
        <v>21</v>
      </c>
      <c r="F680" s="87" t="s">
        <v>549</v>
      </c>
      <c r="G680" s="94"/>
      <c r="H680" s="87"/>
      <c r="I680" s="87"/>
    </row>
    <row r="681">
      <c r="A681" s="87">
        <v>81.0</v>
      </c>
      <c r="B681" s="87" t="s">
        <v>566</v>
      </c>
      <c r="C681" s="93">
        <v>1.0</v>
      </c>
      <c r="D681" s="87" t="s">
        <v>275</v>
      </c>
      <c r="E681" s="87" t="s">
        <v>19</v>
      </c>
      <c r="F681" s="87" t="s">
        <v>549</v>
      </c>
      <c r="G681" s="94">
        <v>45525.0</v>
      </c>
      <c r="H681" s="87"/>
      <c r="I681" s="87"/>
    </row>
    <row r="682">
      <c r="A682" s="87">
        <v>78.0</v>
      </c>
      <c r="B682" s="87" t="s">
        <v>567</v>
      </c>
      <c r="C682" s="93">
        <v>1.0</v>
      </c>
      <c r="D682" s="87" t="s">
        <v>275</v>
      </c>
      <c r="E682" s="87" t="s">
        <v>19</v>
      </c>
      <c r="F682" s="87" t="s">
        <v>549</v>
      </c>
      <c r="G682" s="94">
        <v>45525.0</v>
      </c>
      <c r="H682" s="87"/>
      <c r="I682" s="87"/>
    </row>
    <row r="683">
      <c r="A683" s="87">
        <v>323.0</v>
      </c>
      <c r="B683" s="87" t="s">
        <v>567</v>
      </c>
      <c r="C683" s="93">
        <v>1.0</v>
      </c>
      <c r="D683" s="87" t="s">
        <v>275</v>
      </c>
      <c r="E683" s="87" t="s">
        <v>21</v>
      </c>
      <c r="F683" s="87" t="s">
        <v>549</v>
      </c>
      <c r="G683" s="94"/>
      <c r="H683" s="87"/>
      <c r="I683" s="87"/>
    </row>
    <row r="684">
      <c r="A684" s="87">
        <v>1542.0</v>
      </c>
      <c r="B684" s="87" t="s">
        <v>568</v>
      </c>
      <c r="C684" s="93">
        <v>1.0</v>
      </c>
      <c r="D684" s="87" t="s">
        <v>275</v>
      </c>
      <c r="E684" s="87" t="s">
        <v>13</v>
      </c>
      <c r="F684" s="87" t="s">
        <v>549</v>
      </c>
      <c r="G684" s="94">
        <v>5.5961134E7</v>
      </c>
      <c r="H684" s="87"/>
      <c r="I684" s="87"/>
    </row>
    <row r="685">
      <c r="A685" s="87">
        <v>82.0</v>
      </c>
      <c r="B685" s="87" t="s">
        <v>569</v>
      </c>
      <c r="C685" s="93">
        <v>1.0</v>
      </c>
      <c r="D685" s="87" t="s">
        <v>275</v>
      </c>
      <c r="E685" s="87" t="s">
        <v>19</v>
      </c>
      <c r="F685" s="87" t="s">
        <v>549</v>
      </c>
      <c r="G685" s="94">
        <v>45525.0</v>
      </c>
      <c r="H685" s="87"/>
      <c r="I685" s="87"/>
    </row>
    <row r="686">
      <c r="A686" s="87">
        <v>79.0</v>
      </c>
      <c r="B686" s="87" t="s">
        <v>570</v>
      </c>
      <c r="C686" s="93">
        <v>1.0</v>
      </c>
      <c r="D686" s="87" t="s">
        <v>275</v>
      </c>
      <c r="E686" s="87" t="s">
        <v>19</v>
      </c>
      <c r="F686" s="87" t="s">
        <v>549</v>
      </c>
      <c r="G686" s="94">
        <v>45525.0</v>
      </c>
      <c r="H686" s="87"/>
      <c r="I686" s="87"/>
    </row>
    <row r="687">
      <c r="A687" s="87">
        <v>319.0</v>
      </c>
      <c r="B687" s="87" t="s">
        <v>570</v>
      </c>
      <c r="C687" s="93">
        <v>1.0</v>
      </c>
      <c r="D687" s="87" t="s">
        <v>275</v>
      </c>
      <c r="E687" s="87" t="s">
        <v>21</v>
      </c>
      <c r="F687" s="87" t="s">
        <v>549</v>
      </c>
      <c r="G687" s="94"/>
      <c r="H687" s="87"/>
      <c r="I687" s="87"/>
    </row>
    <row r="688">
      <c r="A688" s="87">
        <v>234.0</v>
      </c>
      <c r="B688" s="87" t="s">
        <v>571</v>
      </c>
      <c r="C688" s="93">
        <v>1.0</v>
      </c>
      <c r="D688" s="87" t="s">
        <v>275</v>
      </c>
      <c r="E688" s="87" t="s">
        <v>17</v>
      </c>
      <c r="F688" s="87" t="s">
        <v>11</v>
      </c>
      <c r="G688" s="94"/>
      <c r="H688" s="87"/>
      <c r="I688" s="87"/>
    </row>
    <row r="689">
      <c r="A689" s="87">
        <v>148.0</v>
      </c>
      <c r="B689" s="87" t="s">
        <v>572</v>
      </c>
      <c r="C689" s="93">
        <v>1.0</v>
      </c>
      <c r="D689" s="87" t="s">
        <v>275</v>
      </c>
      <c r="E689" s="87" t="s">
        <v>1</v>
      </c>
      <c r="F689" s="87" t="s">
        <v>11</v>
      </c>
      <c r="G689" s="94">
        <v>45525.0</v>
      </c>
      <c r="H689" s="87"/>
      <c r="I689" s="87"/>
    </row>
    <row r="690">
      <c r="A690" s="87">
        <v>143.0</v>
      </c>
      <c r="B690" s="87" t="s">
        <v>573</v>
      </c>
      <c r="C690" s="93">
        <v>1.0</v>
      </c>
      <c r="D690" s="87" t="s">
        <v>275</v>
      </c>
      <c r="E690" s="87" t="s">
        <v>1</v>
      </c>
      <c r="F690" s="87" t="s">
        <v>11</v>
      </c>
      <c r="G690" s="94">
        <v>45525.0</v>
      </c>
      <c r="H690" s="87"/>
      <c r="I690" s="87"/>
    </row>
    <row r="691">
      <c r="A691" s="87">
        <v>233.0</v>
      </c>
      <c r="B691" s="87" t="s">
        <v>573</v>
      </c>
      <c r="C691" s="93">
        <v>1.0</v>
      </c>
      <c r="D691" s="87" t="s">
        <v>275</v>
      </c>
      <c r="E691" s="87" t="s">
        <v>17</v>
      </c>
      <c r="F691" s="87" t="s">
        <v>11</v>
      </c>
      <c r="G691" s="94"/>
      <c r="H691" s="87"/>
      <c r="I691" s="87"/>
    </row>
    <row r="692">
      <c r="A692" s="87">
        <v>60.0</v>
      </c>
      <c r="B692" s="87" t="s">
        <v>574</v>
      </c>
      <c r="C692" s="93">
        <v>2.0</v>
      </c>
      <c r="D692" s="87" t="s">
        <v>275</v>
      </c>
      <c r="E692" s="87" t="s">
        <v>19</v>
      </c>
      <c r="F692" s="87" t="s">
        <v>11</v>
      </c>
      <c r="G692" s="94">
        <v>45527.0</v>
      </c>
      <c r="H692" s="87"/>
      <c r="I692" s="87"/>
    </row>
    <row r="693">
      <c r="A693" s="87">
        <v>144.0</v>
      </c>
      <c r="B693" s="87" t="s">
        <v>574</v>
      </c>
      <c r="C693" s="93">
        <v>1.0</v>
      </c>
      <c r="D693" s="87" t="s">
        <v>275</v>
      </c>
      <c r="E693" s="87" t="s">
        <v>1</v>
      </c>
      <c r="F693" s="87" t="s">
        <v>11</v>
      </c>
      <c r="G693" s="94">
        <v>45525.0</v>
      </c>
      <c r="H693" s="87"/>
      <c r="I693" s="87"/>
    </row>
    <row r="694">
      <c r="A694" s="87">
        <v>232.0</v>
      </c>
      <c r="B694" s="87" t="s">
        <v>574</v>
      </c>
      <c r="C694" s="93">
        <v>2.0</v>
      </c>
      <c r="D694" s="87" t="s">
        <v>275</v>
      </c>
      <c r="E694" s="87" t="s">
        <v>17</v>
      </c>
      <c r="F694" s="87" t="s">
        <v>11</v>
      </c>
      <c r="G694" s="94"/>
      <c r="H694" s="87"/>
      <c r="I694" s="87"/>
    </row>
    <row r="695">
      <c r="A695" s="87">
        <v>230.0</v>
      </c>
      <c r="B695" s="87" t="s">
        <v>575</v>
      </c>
      <c r="C695" s="93">
        <v>3.0</v>
      </c>
      <c r="D695" s="87" t="s">
        <v>275</v>
      </c>
      <c r="E695" s="87" t="s">
        <v>17</v>
      </c>
      <c r="F695" s="87" t="s">
        <v>11</v>
      </c>
      <c r="G695" s="94"/>
      <c r="H695" s="87"/>
      <c r="I695" s="87"/>
    </row>
    <row r="696">
      <c r="A696" s="87">
        <v>237.0</v>
      </c>
      <c r="B696" s="87" t="s">
        <v>483</v>
      </c>
      <c r="C696" s="93">
        <v>2.0</v>
      </c>
      <c r="D696" s="87" t="s">
        <v>275</v>
      </c>
      <c r="E696" s="87" t="s">
        <v>17</v>
      </c>
      <c r="F696" s="87" t="s">
        <v>11</v>
      </c>
      <c r="G696" s="94"/>
      <c r="H696" s="87"/>
      <c r="I696" s="87"/>
    </row>
    <row r="697">
      <c r="A697" s="87">
        <v>62.0</v>
      </c>
      <c r="B697" s="87" t="s">
        <v>576</v>
      </c>
      <c r="C697" s="93">
        <v>9.0</v>
      </c>
      <c r="D697" s="87" t="s">
        <v>275</v>
      </c>
      <c r="E697" s="87" t="s">
        <v>19</v>
      </c>
      <c r="F697" s="87" t="s">
        <v>11</v>
      </c>
      <c r="G697" s="94">
        <v>45527.0</v>
      </c>
      <c r="H697" s="87"/>
      <c r="I697" s="87"/>
    </row>
    <row r="698">
      <c r="A698" s="87">
        <v>224.0</v>
      </c>
      <c r="B698" s="87" t="s">
        <v>576</v>
      </c>
      <c r="C698" s="93">
        <v>6.0</v>
      </c>
      <c r="D698" s="87" t="s">
        <v>275</v>
      </c>
      <c r="E698" s="87" t="s">
        <v>17</v>
      </c>
      <c r="F698" s="87" t="s">
        <v>11</v>
      </c>
      <c r="G698" s="94"/>
      <c r="H698" s="87"/>
      <c r="I698" s="87"/>
    </row>
    <row r="699">
      <c r="A699" s="87">
        <v>223.0</v>
      </c>
      <c r="B699" s="87" t="s">
        <v>292</v>
      </c>
      <c r="C699" s="93">
        <v>10.0</v>
      </c>
      <c r="D699" s="87" t="s">
        <v>275</v>
      </c>
      <c r="E699" s="87" t="s">
        <v>17</v>
      </c>
      <c r="F699" s="87" t="s">
        <v>11</v>
      </c>
      <c r="G699" s="94"/>
      <c r="H699" s="87"/>
      <c r="I699" s="87"/>
    </row>
    <row r="700">
      <c r="A700" s="87">
        <v>225.0</v>
      </c>
      <c r="B700" s="87" t="s">
        <v>577</v>
      </c>
      <c r="C700" s="93">
        <v>1.0</v>
      </c>
      <c r="D700" s="87" t="s">
        <v>275</v>
      </c>
      <c r="E700" s="87" t="s">
        <v>17</v>
      </c>
      <c r="F700" s="87" t="s">
        <v>11</v>
      </c>
      <c r="G700" s="94"/>
      <c r="H700" s="87"/>
      <c r="I700" s="87"/>
    </row>
    <row r="701">
      <c r="A701" s="87">
        <v>59.0</v>
      </c>
      <c r="B701" s="87" t="s">
        <v>484</v>
      </c>
      <c r="C701" s="93">
        <v>6.0</v>
      </c>
      <c r="D701" s="87" t="s">
        <v>275</v>
      </c>
      <c r="E701" s="87" t="s">
        <v>19</v>
      </c>
      <c r="F701" s="87" t="s">
        <v>11</v>
      </c>
      <c r="G701" s="94">
        <v>45527.0</v>
      </c>
      <c r="H701" s="87"/>
      <c r="I701" s="87" t="s">
        <v>578</v>
      </c>
    </row>
    <row r="702">
      <c r="A702" s="87">
        <v>228.0</v>
      </c>
      <c r="B702" s="87" t="s">
        <v>484</v>
      </c>
      <c r="C702" s="93">
        <v>2.0</v>
      </c>
      <c r="D702" s="87" t="s">
        <v>275</v>
      </c>
      <c r="E702" s="87" t="s">
        <v>17</v>
      </c>
      <c r="F702" s="87" t="s">
        <v>11</v>
      </c>
      <c r="G702" s="94"/>
      <c r="H702" s="87"/>
      <c r="I702" s="87"/>
    </row>
    <row r="703">
      <c r="A703" s="87">
        <v>306.0</v>
      </c>
      <c r="B703" s="87" t="s">
        <v>484</v>
      </c>
      <c r="C703" s="93">
        <v>5.0</v>
      </c>
      <c r="D703" s="87" t="s">
        <v>275</v>
      </c>
      <c r="E703" s="87" t="s">
        <v>1</v>
      </c>
      <c r="F703" s="87" t="s">
        <v>11</v>
      </c>
      <c r="G703" s="94"/>
      <c r="H703" s="87"/>
      <c r="I703" s="87" t="s">
        <v>578</v>
      </c>
    </row>
    <row r="704">
      <c r="A704" s="87">
        <v>227.0</v>
      </c>
      <c r="B704" s="87" t="s">
        <v>579</v>
      </c>
      <c r="C704" s="93">
        <v>1.0</v>
      </c>
      <c r="D704" s="87" t="s">
        <v>275</v>
      </c>
      <c r="E704" s="87" t="s">
        <v>17</v>
      </c>
      <c r="F704" s="87" t="s">
        <v>11</v>
      </c>
      <c r="G704" s="94"/>
      <c r="H704" s="87"/>
      <c r="I704" s="87"/>
    </row>
    <row r="705">
      <c r="A705" s="87">
        <v>61.0</v>
      </c>
      <c r="B705" s="87" t="s">
        <v>580</v>
      </c>
      <c r="C705" s="93">
        <v>1.0</v>
      </c>
      <c r="D705" s="87" t="s">
        <v>275</v>
      </c>
      <c r="E705" s="87" t="s">
        <v>19</v>
      </c>
      <c r="F705" s="87" t="s">
        <v>11</v>
      </c>
      <c r="G705" s="94">
        <v>45527.0</v>
      </c>
      <c r="H705" s="87"/>
      <c r="I705" s="87"/>
    </row>
    <row r="706">
      <c r="A706" s="87">
        <v>150.0</v>
      </c>
      <c r="B706" s="87" t="s">
        <v>580</v>
      </c>
      <c r="C706" s="93">
        <v>1.0</v>
      </c>
      <c r="D706" s="87" t="s">
        <v>275</v>
      </c>
      <c r="E706" s="87" t="s">
        <v>1</v>
      </c>
      <c r="F706" s="87" t="s">
        <v>11</v>
      </c>
      <c r="G706" s="94">
        <v>45525.0</v>
      </c>
      <c r="H706" s="87"/>
      <c r="I706" s="87"/>
    </row>
    <row r="707">
      <c r="A707" s="87">
        <v>226.0</v>
      </c>
      <c r="B707" s="87" t="s">
        <v>486</v>
      </c>
      <c r="C707" s="93">
        <v>3.0</v>
      </c>
      <c r="D707" s="87" t="s">
        <v>275</v>
      </c>
      <c r="E707" s="87" t="s">
        <v>17</v>
      </c>
      <c r="F707" s="87" t="s">
        <v>11</v>
      </c>
      <c r="G707" s="94"/>
      <c r="H707" s="87"/>
      <c r="I707" s="87"/>
    </row>
    <row r="708">
      <c r="A708" s="87">
        <v>231.0</v>
      </c>
      <c r="B708" s="87" t="s">
        <v>581</v>
      </c>
      <c r="C708" s="93">
        <v>1.0</v>
      </c>
      <c r="D708" s="87" t="s">
        <v>275</v>
      </c>
      <c r="E708" s="87" t="s">
        <v>17</v>
      </c>
      <c r="F708" s="87" t="s">
        <v>11</v>
      </c>
      <c r="G708" s="94"/>
      <c r="H708" s="87"/>
      <c r="I708" s="87"/>
    </row>
    <row r="709">
      <c r="A709" s="87">
        <v>58.0</v>
      </c>
      <c r="B709" s="87" t="s">
        <v>487</v>
      </c>
      <c r="C709" s="93">
        <v>4.0</v>
      </c>
      <c r="D709" s="87" t="s">
        <v>275</v>
      </c>
      <c r="E709" s="87" t="s">
        <v>19</v>
      </c>
      <c r="F709" s="87" t="s">
        <v>11</v>
      </c>
      <c r="G709" s="94">
        <v>45527.0</v>
      </c>
      <c r="H709" s="87"/>
      <c r="I709" s="87"/>
    </row>
    <row r="710">
      <c r="A710" s="87">
        <v>142.0</v>
      </c>
      <c r="B710" s="87" t="s">
        <v>487</v>
      </c>
      <c r="C710" s="93">
        <v>4.0</v>
      </c>
      <c r="D710" s="87" t="s">
        <v>275</v>
      </c>
      <c r="E710" s="87" t="s">
        <v>1</v>
      </c>
      <c r="F710" s="87" t="s">
        <v>11</v>
      </c>
      <c r="G710" s="94">
        <v>45525.0</v>
      </c>
      <c r="H710" s="87"/>
      <c r="I710" s="87"/>
    </row>
    <row r="711">
      <c r="A711" s="87">
        <v>229.0</v>
      </c>
      <c r="B711" s="87" t="s">
        <v>487</v>
      </c>
      <c r="C711" s="93">
        <v>3.0</v>
      </c>
      <c r="D711" s="87" t="s">
        <v>275</v>
      </c>
      <c r="E711" s="87" t="s">
        <v>17</v>
      </c>
      <c r="F711" s="87" t="s">
        <v>11</v>
      </c>
      <c r="G711" s="94"/>
      <c r="H711" s="87"/>
      <c r="I711" s="87"/>
    </row>
    <row r="712">
      <c r="A712" s="87">
        <v>149.0</v>
      </c>
      <c r="B712" s="87" t="s">
        <v>582</v>
      </c>
      <c r="C712" s="93">
        <v>1.0</v>
      </c>
      <c r="D712" s="87" t="s">
        <v>275</v>
      </c>
      <c r="E712" s="87" t="s">
        <v>1</v>
      </c>
      <c r="F712" s="87" t="s">
        <v>11</v>
      </c>
      <c r="G712" s="94">
        <v>45525.0</v>
      </c>
      <c r="H712" s="87"/>
      <c r="I712" s="87"/>
    </row>
    <row r="713">
      <c r="A713" s="87">
        <v>307.0</v>
      </c>
      <c r="B713" s="87" t="s">
        <v>583</v>
      </c>
      <c r="C713" s="93">
        <v>1.0</v>
      </c>
      <c r="D713" s="87" t="s">
        <v>275</v>
      </c>
      <c r="E713" s="87" t="s">
        <v>1</v>
      </c>
      <c r="F713" s="87" t="s">
        <v>11</v>
      </c>
      <c r="G713" s="94"/>
      <c r="H713" s="87"/>
      <c r="I713" s="87"/>
    </row>
    <row r="714">
      <c r="A714" s="87">
        <v>173.0</v>
      </c>
      <c r="B714" s="87" t="s">
        <v>584</v>
      </c>
      <c r="C714" s="93">
        <v>1.0</v>
      </c>
      <c r="D714" s="87" t="s">
        <v>275</v>
      </c>
      <c r="E714" s="87" t="s">
        <v>1</v>
      </c>
      <c r="F714" s="87" t="s">
        <v>11</v>
      </c>
      <c r="G714" s="94"/>
      <c r="H714" s="87"/>
      <c r="I714" s="87"/>
    </row>
    <row r="715">
      <c r="A715" s="87">
        <v>236.0</v>
      </c>
      <c r="B715" s="87" t="s">
        <v>488</v>
      </c>
      <c r="C715" s="93">
        <v>2.0</v>
      </c>
      <c r="D715" s="87" t="s">
        <v>275</v>
      </c>
      <c r="E715" s="87" t="s">
        <v>17</v>
      </c>
      <c r="F715" s="87" t="s">
        <v>11</v>
      </c>
      <c r="G715" s="94"/>
      <c r="H715" s="87"/>
      <c r="I715" s="87"/>
    </row>
    <row r="716">
      <c r="A716" s="87">
        <v>235.0</v>
      </c>
      <c r="B716" s="87" t="s">
        <v>585</v>
      </c>
      <c r="C716" s="93">
        <v>1.0</v>
      </c>
      <c r="D716" s="87" t="s">
        <v>275</v>
      </c>
      <c r="E716" s="87" t="s">
        <v>17</v>
      </c>
      <c r="F716" s="87" t="s">
        <v>11</v>
      </c>
      <c r="G716" s="94"/>
      <c r="H716" s="87"/>
      <c r="I716" s="87"/>
    </row>
    <row r="717">
      <c r="A717" s="87">
        <v>64.0</v>
      </c>
      <c r="B717" s="87" t="s">
        <v>586</v>
      </c>
      <c r="C717" s="93">
        <v>1.0</v>
      </c>
      <c r="D717" s="87" t="s">
        <v>275</v>
      </c>
      <c r="E717" s="87" t="s">
        <v>19</v>
      </c>
      <c r="F717" s="87" t="s">
        <v>11</v>
      </c>
      <c r="G717" s="94"/>
      <c r="H717" s="87"/>
      <c r="I717" s="87"/>
    </row>
    <row r="718">
      <c r="A718" s="87">
        <v>145.0</v>
      </c>
      <c r="B718" s="87" t="s">
        <v>586</v>
      </c>
      <c r="C718" s="93">
        <v>1.0</v>
      </c>
      <c r="D718" s="87" t="s">
        <v>275</v>
      </c>
      <c r="E718" s="87" t="s">
        <v>1</v>
      </c>
      <c r="F718" s="87" t="s">
        <v>11</v>
      </c>
      <c r="G718" s="94">
        <v>45525.0</v>
      </c>
      <c r="H718" s="87"/>
      <c r="I718" s="87"/>
    </row>
    <row r="719">
      <c r="A719" s="87">
        <v>305.0</v>
      </c>
      <c r="B719" s="87" t="s">
        <v>401</v>
      </c>
      <c r="C719" s="93">
        <v>1.0</v>
      </c>
      <c r="D719" s="87" t="s">
        <v>275</v>
      </c>
      <c r="E719" s="87" t="s">
        <v>1</v>
      </c>
      <c r="F719" s="87" t="s">
        <v>11</v>
      </c>
      <c r="G719" s="94"/>
      <c r="H719" s="87"/>
      <c r="I719" s="87"/>
    </row>
    <row r="720">
      <c r="A720" s="87">
        <v>1368.0</v>
      </c>
      <c r="B720" s="87" t="s">
        <v>587</v>
      </c>
      <c r="C720" s="93">
        <v>1.0</v>
      </c>
      <c r="D720" s="87" t="s">
        <v>39</v>
      </c>
      <c r="E720" s="87" t="s">
        <v>40</v>
      </c>
      <c r="F720" s="87" t="s">
        <v>588</v>
      </c>
      <c r="G720" s="94">
        <v>7.691732E7</v>
      </c>
      <c r="H720" s="87"/>
      <c r="I720" s="87"/>
    </row>
    <row r="721">
      <c r="A721" s="87">
        <v>1369.0</v>
      </c>
      <c r="B721" s="87" t="s">
        <v>587</v>
      </c>
      <c r="C721" s="93">
        <v>1.0</v>
      </c>
      <c r="D721" s="87" t="s">
        <v>39</v>
      </c>
      <c r="E721" s="87" t="s">
        <v>40</v>
      </c>
      <c r="F721" s="87" t="s">
        <v>588</v>
      </c>
      <c r="G721" s="94">
        <v>7.6917339E7</v>
      </c>
      <c r="H721" s="87"/>
      <c r="I721" s="87"/>
    </row>
    <row r="722">
      <c r="A722" s="87">
        <v>1370.0</v>
      </c>
      <c r="B722" s="87" t="s">
        <v>587</v>
      </c>
      <c r="C722" s="93">
        <v>1.0</v>
      </c>
      <c r="D722" s="87" t="s">
        <v>39</v>
      </c>
      <c r="E722" s="87" t="s">
        <v>40</v>
      </c>
      <c r="F722" s="87" t="s">
        <v>588</v>
      </c>
      <c r="G722" s="94">
        <v>7.6917347E7</v>
      </c>
      <c r="H722" s="87"/>
      <c r="I722" s="87"/>
    </row>
    <row r="723">
      <c r="A723" s="87">
        <v>1371.0</v>
      </c>
      <c r="B723" s="87" t="s">
        <v>587</v>
      </c>
      <c r="C723" s="93">
        <v>1.0</v>
      </c>
      <c r="D723" s="87" t="s">
        <v>39</v>
      </c>
      <c r="E723" s="87" t="s">
        <v>40</v>
      </c>
      <c r="F723" s="87" t="s">
        <v>588</v>
      </c>
      <c r="G723" s="94">
        <v>7.6917355E7</v>
      </c>
      <c r="H723" s="87"/>
      <c r="I723" s="87"/>
    </row>
    <row r="724">
      <c r="A724" s="87">
        <v>1372.0</v>
      </c>
      <c r="B724" s="87" t="s">
        <v>587</v>
      </c>
      <c r="C724" s="93">
        <v>1.0</v>
      </c>
      <c r="D724" s="87" t="s">
        <v>39</v>
      </c>
      <c r="E724" s="87" t="s">
        <v>40</v>
      </c>
      <c r="F724" s="87" t="s">
        <v>588</v>
      </c>
      <c r="G724" s="94">
        <v>7.6917363E7</v>
      </c>
      <c r="H724" s="87"/>
      <c r="I724" s="87"/>
    </row>
    <row r="725">
      <c r="A725" s="87">
        <v>1373.0</v>
      </c>
      <c r="B725" s="87" t="s">
        <v>587</v>
      </c>
      <c r="C725" s="93">
        <v>1.0</v>
      </c>
      <c r="D725" s="87" t="s">
        <v>39</v>
      </c>
      <c r="E725" s="87" t="s">
        <v>40</v>
      </c>
      <c r="F725" s="87" t="s">
        <v>588</v>
      </c>
      <c r="G725" s="94">
        <v>7.6917371E7</v>
      </c>
      <c r="H725" s="87"/>
      <c r="I725" s="87"/>
    </row>
    <row r="726">
      <c r="A726" s="87">
        <v>1374.0</v>
      </c>
      <c r="B726" s="87" t="s">
        <v>587</v>
      </c>
      <c r="C726" s="93">
        <v>1.0</v>
      </c>
      <c r="D726" s="87" t="s">
        <v>39</v>
      </c>
      <c r="E726" s="87" t="s">
        <v>40</v>
      </c>
      <c r="F726" s="87" t="s">
        <v>588</v>
      </c>
      <c r="G726" s="94">
        <v>7.691738E7</v>
      </c>
      <c r="H726" s="87"/>
      <c r="I726" s="87"/>
    </row>
    <row r="727">
      <c r="A727" s="87">
        <v>1375.0</v>
      </c>
      <c r="B727" s="87" t="s">
        <v>587</v>
      </c>
      <c r="C727" s="93">
        <v>1.0</v>
      </c>
      <c r="D727" s="87" t="s">
        <v>39</v>
      </c>
      <c r="E727" s="87" t="s">
        <v>40</v>
      </c>
      <c r="F727" s="87" t="s">
        <v>588</v>
      </c>
      <c r="G727" s="94">
        <v>7.6917398E7</v>
      </c>
      <c r="H727" s="87"/>
      <c r="I727" s="87"/>
    </row>
    <row r="728">
      <c r="A728" s="87">
        <v>1376.0</v>
      </c>
      <c r="B728" s="87" t="s">
        <v>587</v>
      </c>
      <c r="C728" s="93">
        <v>1.0</v>
      </c>
      <c r="D728" s="87" t="s">
        <v>39</v>
      </c>
      <c r="E728" s="87" t="s">
        <v>40</v>
      </c>
      <c r="F728" s="87" t="s">
        <v>588</v>
      </c>
      <c r="G728" s="94">
        <v>7.6917401E7</v>
      </c>
      <c r="H728" s="87"/>
      <c r="I728" s="87"/>
    </row>
    <row r="729">
      <c r="A729" s="87">
        <v>1377.0</v>
      </c>
      <c r="B729" s="87" t="s">
        <v>587</v>
      </c>
      <c r="C729" s="93">
        <v>1.0</v>
      </c>
      <c r="D729" s="87" t="s">
        <v>39</v>
      </c>
      <c r="E729" s="87" t="s">
        <v>40</v>
      </c>
      <c r="F729" s="87" t="s">
        <v>588</v>
      </c>
      <c r="G729" s="94">
        <v>7.691741E7</v>
      </c>
      <c r="H729" s="87"/>
      <c r="I729" s="87"/>
    </row>
    <row r="730">
      <c r="A730" s="87">
        <v>1378.0</v>
      </c>
      <c r="B730" s="87" t="s">
        <v>587</v>
      </c>
      <c r="C730" s="93">
        <v>1.0</v>
      </c>
      <c r="D730" s="87" t="s">
        <v>39</v>
      </c>
      <c r="E730" s="87" t="s">
        <v>40</v>
      </c>
      <c r="F730" s="87" t="s">
        <v>588</v>
      </c>
      <c r="G730" s="94">
        <v>7.6917428E7</v>
      </c>
      <c r="H730" s="87"/>
      <c r="I730" s="87"/>
    </row>
    <row r="731">
      <c r="A731" s="87">
        <v>1379.0</v>
      </c>
      <c r="B731" s="87" t="s">
        <v>587</v>
      </c>
      <c r="C731" s="93">
        <v>1.0</v>
      </c>
      <c r="D731" s="87" t="s">
        <v>39</v>
      </c>
      <c r="E731" s="87" t="s">
        <v>40</v>
      </c>
      <c r="F731" s="87" t="s">
        <v>588</v>
      </c>
      <c r="G731" s="94">
        <v>7.6917436E7</v>
      </c>
      <c r="H731" s="87"/>
      <c r="I731" s="87"/>
    </row>
    <row r="732">
      <c r="A732" s="87">
        <v>1380.0</v>
      </c>
      <c r="B732" s="87" t="s">
        <v>587</v>
      </c>
      <c r="C732" s="93">
        <v>1.0</v>
      </c>
      <c r="D732" s="87" t="s">
        <v>39</v>
      </c>
      <c r="E732" s="87" t="s">
        <v>40</v>
      </c>
      <c r="F732" s="87" t="s">
        <v>588</v>
      </c>
      <c r="G732" s="94">
        <v>7.6917444E7</v>
      </c>
      <c r="H732" s="87"/>
      <c r="I732" s="87"/>
    </row>
    <row r="733">
      <c r="A733" s="87">
        <v>1381.0</v>
      </c>
      <c r="B733" s="87" t="s">
        <v>587</v>
      </c>
      <c r="C733" s="93">
        <v>1.0</v>
      </c>
      <c r="D733" s="87" t="s">
        <v>39</v>
      </c>
      <c r="E733" s="87" t="s">
        <v>40</v>
      </c>
      <c r="F733" s="87" t="s">
        <v>588</v>
      </c>
      <c r="G733" s="94">
        <v>7.6917452E7</v>
      </c>
      <c r="H733" s="87"/>
      <c r="I733" s="87"/>
    </row>
    <row r="734">
      <c r="A734" s="87">
        <v>1382.0</v>
      </c>
      <c r="B734" s="87" t="s">
        <v>587</v>
      </c>
      <c r="C734" s="93">
        <v>1.0</v>
      </c>
      <c r="D734" s="87" t="s">
        <v>39</v>
      </c>
      <c r="E734" s="87" t="s">
        <v>40</v>
      </c>
      <c r="F734" s="87" t="s">
        <v>588</v>
      </c>
      <c r="G734" s="94">
        <v>7.691746E7</v>
      </c>
      <c r="H734" s="87"/>
      <c r="I734" s="87"/>
    </row>
    <row r="735">
      <c r="A735" s="87">
        <v>1383.0</v>
      </c>
      <c r="B735" s="87" t="s">
        <v>587</v>
      </c>
      <c r="C735" s="93">
        <v>1.0</v>
      </c>
      <c r="D735" s="87" t="s">
        <v>39</v>
      </c>
      <c r="E735" s="87" t="s">
        <v>40</v>
      </c>
      <c r="F735" s="87" t="s">
        <v>588</v>
      </c>
      <c r="G735" s="94">
        <v>7.6917479E7</v>
      </c>
      <c r="H735" s="87"/>
      <c r="I735" s="87"/>
    </row>
    <row r="736">
      <c r="A736" s="87">
        <v>1384.0</v>
      </c>
      <c r="B736" s="87" t="s">
        <v>587</v>
      </c>
      <c r="C736" s="93">
        <v>1.0</v>
      </c>
      <c r="D736" s="87" t="s">
        <v>39</v>
      </c>
      <c r="E736" s="87" t="s">
        <v>40</v>
      </c>
      <c r="F736" s="87" t="s">
        <v>588</v>
      </c>
      <c r="G736" s="94">
        <v>7.6917487E7</v>
      </c>
      <c r="H736" s="87"/>
      <c r="I736" s="87"/>
    </row>
    <row r="737">
      <c r="A737" s="87">
        <v>1385.0</v>
      </c>
      <c r="B737" s="87" t="s">
        <v>587</v>
      </c>
      <c r="C737" s="93">
        <v>1.0</v>
      </c>
      <c r="D737" s="87" t="s">
        <v>39</v>
      </c>
      <c r="E737" s="87" t="s">
        <v>40</v>
      </c>
      <c r="F737" s="87" t="s">
        <v>588</v>
      </c>
      <c r="G737" s="94">
        <v>7.6917495E7</v>
      </c>
      <c r="H737" s="87"/>
      <c r="I737" s="87"/>
    </row>
    <row r="738">
      <c r="A738" s="87">
        <v>1386.0</v>
      </c>
      <c r="B738" s="87" t="s">
        <v>587</v>
      </c>
      <c r="C738" s="93">
        <v>1.0</v>
      </c>
      <c r="D738" s="87" t="s">
        <v>39</v>
      </c>
      <c r="E738" s="87" t="s">
        <v>40</v>
      </c>
      <c r="F738" s="87" t="s">
        <v>588</v>
      </c>
      <c r="G738" s="94">
        <v>7.6917509E7</v>
      </c>
      <c r="H738" s="87"/>
      <c r="I738" s="87"/>
    </row>
    <row r="739">
      <c r="A739" s="87">
        <v>1387.0</v>
      </c>
      <c r="B739" s="87" t="s">
        <v>587</v>
      </c>
      <c r="C739" s="93">
        <v>1.0</v>
      </c>
      <c r="D739" s="87" t="s">
        <v>39</v>
      </c>
      <c r="E739" s="87" t="s">
        <v>40</v>
      </c>
      <c r="F739" s="87" t="s">
        <v>588</v>
      </c>
      <c r="G739" s="94">
        <v>7.6917517E7</v>
      </c>
      <c r="H739" s="87"/>
      <c r="I739" s="87"/>
    </row>
    <row r="740">
      <c r="A740" s="87">
        <v>1388.0</v>
      </c>
      <c r="B740" s="87" t="s">
        <v>587</v>
      </c>
      <c r="C740" s="93">
        <v>1.0</v>
      </c>
      <c r="D740" s="87" t="s">
        <v>39</v>
      </c>
      <c r="E740" s="87" t="s">
        <v>40</v>
      </c>
      <c r="F740" s="87" t="s">
        <v>588</v>
      </c>
      <c r="G740" s="94">
        <v>7.6917525E7</v>
      </c>
      <c r="H740" s="87"/>
      <c r="I740" s="87"/>
    </row>
    <row r="741">
      <c r="A741" s="87">
        <v>1389.0</v>
      </c>
      <c r="B741" s="87" t="s">
        <v>587</v>
      </c>
      <c r="C741" s="93">
        <v>1.0</v>
      </c>
      <c r="D741" s="87" t="s">
        <v>39</v>
      </c>
      <c r="E741" s="87" t="s">
        <v>40</v>
      </c>
      <c r="F741" s="87" t="s">
        <v>588</v>
      </c>
      <c r="G741" s="94">
        <v>7.6917533E7</v>
      </c>
      <c r="H741" s="87"/>
      <c r="I741" s="87"/>
    </row>
    <row r="742">
      <c r="A742" s="87">
        <v>1390.0</v>
      </c>
      <c r="B742" s="87" t="s">
        <v>587</v>
      </c>
      <c r="C742" s="93">
        <v>1.0</v>
      </c>
      <c r="D742" s="87" t="s">
        <v>39</v>
      </c>
      <c r="E742" s="87" t="s">
        <v>40</v>
      </c>
      <c r="F742" s="87" t="s">
        <v>588</v>
      </c>
      <c r="G742" s="94">
        <v>7.6917541E7</v>
      </c>
      <c r="H742" s="87"/>
      <c r="I742" s="87"/>
    </row>
    <row r="743">
      <c r="A743" s="87">
        <v>1391.0</v>
      </c>
      <c r="B743" s="87" t="s">
        <v>587</v>
      </c>
      <c r="C743" s="93">
        <v>1.0</v>
      </c>
      <c r="D743" s="87" t="s">
        <v>39</v>
      </c>
      <c r="E743" s="87" t="s">
        <v>40</v>
      </c>
      <c r="F743" s="87" t="s">
        <v>588</v>
      </c>
      <c r="G743" s="94">
        <v>7.691755E7</v>
      </c>
      <c r="H743" s="87"/>
      <c r="I743" s="87"/>
    </row>
    <row r="744">
      <c r="A744" s="87">
        <v>1392.0</v>
      </c>
      <c r="B744" s="87" t="s">
        <v>587</v>
      </c>
      <c r="C744" s="93">
        <v>1.0</v>
      </c>
      <c r="D744" s="87" t="s">
        <v>39</v>
      </c>
      <c r="E744" s="87" t="s">
        <v>40</v>
      </c>
      <c r="F744" s="87" t="s">
        <v>588</v>
      </c>
      <c r="G744" s="94">
        <v>7.6917568E7</v>
      </c>
      <c r="H744" s="87"/>
      <c r="I744" s="87"/>
    </row>
    <row r="745">
      <c r="A745" s="87">
        <v>1393.0</v>
      </c>
      <c r="B745" s="87" t="s">
        <v>587</v>
      </c>
      <c r="C745" s="93">
        <v>1.0</v>
      </c>
      <c r="D745" s="87" t="s">
        <v>39</v>
      </c>
      <c r="E745" s="87" t="s">
        <v>40</v>
      </c>
      <c r="F745" s="87" t="s">
        <v>588</v>
      </c>
      <c r="G745" s="94">
        <v>7.6917576E7</v>
      </c>
      <c r="H745" s="87"/>
      <c r="I745" s="87"/>
    </row>
    <row r="746">
      <c r="A746" s="87">
        <v>1394.0</v>
      </c>
      <c r="B746" s="87" t="s">
        <v>587</v>
      </c>
      <c r="C746" s="93">
        <v>1.0</v>
      </c>
      <c r="D746" s="87" t="s">
        <v>39</v>
      </c>
      <c r="E746" s="87" t="s">
        <v>40</v>
      </c>
      <c r="F746" s="87" t="s">
        <v>588</v>
      </c>
      <c r="G746" s="94">
        <v>7.6917584E7</v>
      </c>
      <c r="H746" s="87"/>
      <c r="I746" s="87"/>
    </row>
    <row r="747">
      <c r="A747" s="87">
        <v>1395.0</v>
      </c>
      <c r="B747" s="87" t="s">
        <v>587</v>
      </c>
      <c r="C747" s="93">
        <v>1.0</v>
      </c>
      <c r="D747" s="87" t="s">
        <v>39</v>
      </c>
      <c r="E747" s="87" t="s">
        <v>40</v>
      </c>
      <c r="F747" s="87" t="s">
        <v>588</v>
      </c>
      <c r="G747" s="94">
        <v>7.6917592E7</v>
      </c>
      <c r="H747" s="87"/>
      <c r="I747" s="87"/>
    </row>
    <row r="748">
      <c r="A748" s="87">
        <v>1396.0</v>
      </c>
      <c r="B748" s="87" t="s">
        <v>587</v>
      </c>
      <c r="C748" s="93">
        <v>1.0</v>
      </c>
      <c r="D748" s="87" t="s">
        <v>39</v>
      </c>
      <c r="E748" s="87" t="s">
        <v>40</v>
      </c>
      <c r="F748" s="87" t="s">
        <v>588</v>
      </c>
      <c r="G748" s="94">
        <v>7.6917606E7</v>
      </c>
      <c r="H748" s="87"/>
      <c r="I748" s="87"/>
    </row>
    <row r="749">
      <c r="A749" s="87">
        <v>1397.0</v>
      </c>
      <c r="B749" s="87" t="s">
        <v>587</v>
      </c>
      <c r="C749" s="93">
        <v>1.0</v>
      </c>
      <c r="D749" s="87" t="s">
        <v>39</v>
      </c>
      <c r="E749" s="87" t="s">
        <v>40</v>
      </c>
      <c r="F749" s="87" t="s">
        <v>588</v>
      </c>
      <c r="G749" s="94">
        <v>7.6917614E7</v>
      </c>
      <c r="H749" s="87"/>
      <c r="I749" s="87"/>
    </row>
    <row r="750">
      <c r="A750" s="87">
        <v>1398.0</v>
      </c>
      <c r="B750" s="87" t="s">
        <v>587</v>
      </c>
      <c r="C750" s="93">
        <v>1.0</v>
      </c>
      <c r="D750" s="87" t="s">
        <v>39</v>
      </c>
      <c r="E750" s="87" t="s">
        <v>40</v>
      </c>
      <c r="F750" s="87" t="s">
        <v>588</v>
      </c>
      <c r="G750" s="94">
        <v>7.6917622E7</v>
      </c>
      <c r="H750" s="87"/>
      <c r="I750" s="87"/>
    </row>
    <row r="751">
      <c r="A751" s="87">
        <v>1399.0</v>
      </c>
      <c r="B751" s="87" t="s">
        <v>587</v>
      </c>
      <c r="C751" s="93">
        <v>1.0</v>
      </c>
      <c r="D751" s="87" t="s">
        <v>39</v>
      </c>
      <c r="E751" s="87" t="s">
        <v>40</v>
      </c>
      <c r="F751" s="87" t="s">
        <v>588</v>
      </c>
      <c r="G751" s="94">
        <v>7.691763E7</v>
      </c>
      <c r="H751" s="87"/>
      <c r="I751" s="87"/>
    </row>
    <row r="752">
      <c r="A752" s="87">
        <v>1400.0</v>
      </c>
      <c r="B752" s="87" t="s">
        <v>587</v>
      </c>
      <c r="C752" s="93">
        <v>1.0</v>
      </c>
      <c r="D752" s="87" t="s">
        <v>39</v>
      </c>
      <c r="E752" s="87" t="s">
        <v>40</v>
      </c>
      <c r="F752" s="87" t="s">
        <v>588</v>
      </c>
      <c r="G752" s="94">
        <v>7.6917649E7</v>
      </c>
      <c r="H752" s="87"/>
      <c r="I752" s="87"/>
    </row>
    <row r="753">
      <c r="A753" s="87">
        <v>1401.0</v>
      </c>
      <c r="B753" s="87" t="s">
        <v>587</v>
      </c>
      <c r="C753" s="93">
        <v>1.0</v>
      </c>
      <c r="D753" s="87" t="s">
        <v>39</v>
      </c>
      <c r="E753" s="87" t="s">
        <v>40</v>
      </c>
      <c r="F753" s="87" t="s">
        <v>588</v>
      </c>
      <c r="G753" s="94">
        <v>7.6917657E7</v>
      </c>
      <c r="H753" s="87"/>
      <c r="I753" s="87"/>
    </row>
    <row r="754">
      <c r="A754" s="87">
        <v>1402.0</v>
      </c>
      <c r="B754" s="87" t="s">
        <v>587</v>
      </c>
      <c r="C754" s="93">
        <v>1.0</v>
      </c>
      <c r="D754" s="87" t="s">
        <v>39</v>
      </c>
      <c r="E754" s="87" t="s">
        <v>40</v>
      </c>
      <c r="F754" s="87" t="s">
        <v>588</v>
      </c>
      <c r="G754" s="94">
        <v>7.6917665E7</v>
      </c>
      <c r="H754" s="87"/>
      <c r="I754" s="87"/>
    </row>
    <row r="755">
      <c r="A755" s="87">
        <v>1403.0</v>
      </c>
      <c r="B755" s="87" t="s">
        <v>587</v>
      </c>
      <c r="C755" s="93">
        <v>1.0</v>
      </c>
      <c r="D755" s="87" t="s">
        <v>39</v>
      </c>
      <c r="E755" s="87" t="s">
        <v>40</v>
      </c>
      <c r="F755" s="87" t="s">
        <v>588</v>
      </c>
      <c r="G755" s="94">
        <v>7.6917673E7</v>
      </c>
      <c r="H755" s="87"/>
      <c r="I755" s="87"/>
    </row>
    <row r="756">
      <c r="A756" s="87">
        <v>1404.0</v>
      </c>
      <c r="B756" s="87" t="s">
        <v>587</v>
      </c>
      <c r="C756" s="93">
        <v>1.0</v>
      </c>
      <c r="D756" s="87" t="s">
        <v>39</v>
      </c>
      <c r="E756" s="87" t="s">
        <v>40</v>
      </c>
      <c r="F756" s="87" t="s">
        <v>588</v>
      </c>
      <c r="G756" s="94">
        <v>7.6917681E7</v>
      </c>
      <c r="H756" s="87"/>
      <c r="I756" s="87"/>
    </row>
    <row r="757">
      <c r="A757" s="87">
        <v>1405.0</v>
      </c>
      <c r="B757" s="87" t="s">
        <v>587</v>
      </c>
      <c r="C757" s="93">
        <v>1.0</v>
      </c>
      <c r="D757" s="87" t="s">
        <v>39</v>
      </c>
      <c r="E757" s="87" t="s">
        <v>40</v>
      </c>
      <c r="F757" s="87" t="s">
        <v>588</v>
      </c>
      <c r="G757" s="94">
        <v>7.691769E7</v>
      </c>
      <c r="H757" s="87"/>
      <c r="I757" s="87"/>
    </row>
    <row r="758">
      <c r="A758" s="87">
        <v>1406.0</v>
      </c>
      <c r="B758" s="87" t="s">
        <v>587</v>
      </c>
      <c r="C758" s="93">
        <v>1.0</v>
      </c>
      <c r="D758" s="87" t="s">
        <v>39</v>
      </c>
      <c r="E758" s="87" t="s">
        <v>40</v>
      </c>
      <c r="F758" s="87" t="s">
        <v>588</v>
      </c>
      <c r="G758" s="94">
        <v>7.6917703E7</v>
      </c>
      <c r="H758" s="87"/>
      <c r="I758" s="87"/>
    </row>
    <row r="759">
      <c r="A759" s="87">
        <v>1407.0</v>
      </c>
      <c r="B759" s="87" t="s">
        <v>587</v>
      </c>
      <c r="C759" s="93">
        <v>1.0</v>
      </c>
      <c r="D759" s="87" t="s">
        <v>39</v>
      </c>
      <c r="E759" s="87" t="s">
        <v>40</v>
      </c>
      <c r="F759" s="87" t="s">
        <v>588</v>
      </c>
      <c r="G759" s="94">
        <v>7.6917711E7</v>
      </c>
      <c r="H759" s="87"/>
      <c r="I759" s="87"/>
    </row>
    <row r="760">
      <c r="A760" s="87">
        <v>1408.0</v>
      </c>
      <c r="B760" s="87" t="s">
        <v>587</v>
      </c>
      <c r="C760" s="93">
        <v>1.0</v>
      </c>
      <c r="D760" s="87" t="s">
        <v>39</v>
      </c>
      <c r="E760" s="87" t="s">
        <v>40</v>
      </c>
      <c r="F760" s="87" t="s">
        <v>588</v>
      </c>
      <c r="G760" s="94">
        <v>7.691772E7</v>
      </c>
      <c r="H760" s="87"/>
      <c r="I760" s="87"/>
    </row>
    <row r="761">
      <c r="A761" s="87">
        <v>1409.0</v>
      </c>
      <c r="B761" s="87" t="s">
        <v>587</v>
      </c>
      <c r="C761" s="93">
        <v>1.0</v>
      </c>
      <c r="D761" s="87" t="s">
        <v>39</v>
      </c>
      <c r="E761" s="87" t="s">
        <v>40</v>
      </c>
      <c r="F761" s="87" t="s">
        <v>588</v>
      </c>
      <c r="G761" s="94">
        <v>7.6917738E7</v>
      </c>
      <c r="H761" s="87"/>
      <c r="I761" s="87"/>
    </row>
    <row r="762">
      <c r="A762" s="87">
        <v>1410.0</v>
      </c>
      <c r="B762" s="87" t="s">
        <v>587</v>
      </c>
      <c r="C762" s="93">
        <v>1.0</v>
      </c>
      <c r="D762" s="87" t="s">
        <v>39</v>
      </c>
      <c r="E762" s="87" t="s">
        <v>40</v>
      </c>
      <c r="F762" s="87" t="s">
        <v>588</v>
      </c>
      <c r="G762" s="94">
        <v>7.6917746E7</v>
      </c>
      <c r="H762" s="87"/>
      <c r="I762" s="87"/>
    </row>
    <row r="763">
      <c r="A763" s="87">
        <v>1411.0</v>
      </c>
      <c r="B763" s="87" t="s">
        <v>587</v>
      </c>
      <c r="C763" s="93">
        <v>1.0</v>
      </c>
      <c r="D763" s="87" t="s">
        <v>39</v>
      </c>
      <c r="E763" s="87" t="s">
        <v>40</v>
      </c>
      <c r="F763" s="87" t="s">
        <v>588</v>
      </c>
      <c r="G763" s="94">
        <v>7.6917754E7</v>
      </c>
      <c r="H763" s="87"/>
      <c r="I763" s="87"/>
    </row>
    <row r="764">
      <c r="A764" s="87">
        <v>1412.0</v>
      </c>
      <c r="B764" s="87" t="s">
        <v>587</v>
      </c>
      <c r="C764" s="93">
        <v>1.0</v>
      </c>
      <c r="D764" s="87" t="s">
        <v>39</v>
      </c>
      <c r="E764" s="87" t="s">
        <v>40</v>
      </c>
      <c r="F764" s="87" t="s">
        <v>588</v>
      </c>
      <c r="G764" s="94">
        <v>7.6917762E7</v>
      </c>
      <c r="H764" s="87"/>
      <c r="I764" s="87"/>
    </row>
    <row r="765">
      <c r="A765" s="87">
        <v>1413.0</v>
      </c>
      <c r="B765" s="87" t="s">
        <v>587</v>
      </c>
      <c r="C765" s="93">
        <v>1.0</v>
      </c>
      <c r="D765" s="87" t="s">
        <v>39</v>
      </c>
      <c r="E765" s="87" t="s">
        <v>40</v>
      </c>
      <c r="F765" s="87" t="s">
        <v>588</v>
      </c>
      <c r="G765" s="94">
        <v>7.691777E7</v>
      </c>
      <c r="H765" s="87"/>
      <c r="I765" s="87"/>
    </row>
    <row r="766">
      <c r="A766" s="87">
        <v>1414.0</v>
      </c>
      <c r="B766" s="87" t="s">
        <v>587</v>
      </c>
      <c r="C766" s="93">
        <v>1.0</v>
      </c>
      <c r="D766" s="87" t="s">
        <v>39</v>
      </c>
      <c r="E766" s="87" t="s">
        <v>40</v>
      </c>
      <c r="F766" s="87" t="s">
        <v>588</v>
      </c>
      <c r="G766" s="94">
        <v>7.6917789E7</v>
      </c>
      <c r="H766" s="87"/>
      <c r="I766" s="87"/>
    </row>
    <row r="767">
      <c r="A767" s="87">
        <v>1415.0</v>
      </c>
      <c r="B767" s="87" t="s">
        <v>587</v>
      </c>
      <c r="C767" s="93">
        <v>1.0</v>
      </c>
      <c r="D767" s="87" t="s">
        <v>39</v>
      </c>
      <c r="E767" s="87" t="s">
        <v>40</v>
      </c>
      <c r="F767" s="87" t="s">
        <v>588</v>
      </c>
      <c r="G767" s="94">
        <v>7.6917797E7</v>
      </c>
      <c r="H767" s="87"/>
      <c r="I767" s="87"/>
    </row>
    <row r="768">
      <c r="A768" s="87">
        <v>1416.0</v>
      </c>
      <c r="B768" s="87" t="s">
        <v>587</v>
      </c>
      <c r="C768" s="93">
        <v>1.0</v>
      </c>
      <c r="D768" s="87" t="s">
        <v>39</v>
      </c>
      <c r="E768" s="87" t="s">
        <v>40</v>
      </c>
      <c r="F768" s="87" t="s">
        <v>588</v>
      </c>
      <c r="G768" s="94">
        <v>7.69178E7</v>
      </c>
      <c r="H768" s="87"/>
      <c r="I768" s="87"/>
    </row>
    <row r="769">
      <c r="A769" s="87">
        <v>1417.0</v>
      </c>
      <c r="B769" s="87" t="s">
        <v>587</v>
      </c>
      <c r="C769" s="93">
        <v>1.0</v>
      </c>
      <c r="D769" s="87" t="s">
        <v>39</v>
      </c>
      <c r="E769" s="87" t="s">
        <v>40</v>
      </c>
      <c r="F769" s="87" t="s">
        <v>588</v>
      </c>
      <c r="G769" s="94">
        <v>7.6917819E7</v>
      </c>
      <c r="H769" s="87"/>
      <c r="I769" s="87"/>
    </row>
    <row r="770">
      <c r="A770" s="87">
        <v>1418.0</v>
      </c>
      <c r="B770" s="87" t="s">
        <v>587</v>
      </c>
      <c r="C770" s="93">
        <v>1.0</v>
      </c>
      <c r="D770" s="87" t="s">
        <v>39</v>
      </c>
      <c r="E770" s="87" t="s">
        <v>40</v>
      </c>
      <c r="F770" s="87" t="s">
        <v>588</v>
      </c>
      <c r="G770" s="94">
        <v>7.6917827E7</v>
      </c>
      <c r="H770" s="87"/>
      <c r="I770" s="87"/>
    </row>
    <row r="771">
      <c r="A771" s="87">
        <v>1419.0</v>
      </c>
      <c r="B771" s="87" t="s">
        <v>587</v>
      </c>
      <c r="C771" s="93">
        <v>1.0</v>
      </c>
      <c r="D771" s="87" t="s">
        <v>39</v>
      </c>
      <c r="E771" s="87" t="s">
        <v>40</v>
      </c>
      <c r="F771" s="87" t="s">
        <v>588</v>
      </c>
      <c r="G771" s="94">
        <v>7.6917835E7</v>
      </c>
      <c r="H771" s="87"/>
      <c r="I771" s="87"/>
    </row>
    <row r="772">
      <c r="A772" s="87">
        <v>1420.0</v>
      </c>
      <c r="B772" s="87" t="s">
        <v>587</v>
      </c>
      <c r="C772" s="93">
        <v>1.0</v>
      </c>
      <c r="D772" s="87" t="s">
        <v>39</v>
      </c>
      <c r="E772" s="87" t="s">
        <v>40</v>
      </c>
      <c r="F772" s="87" t="s">
        <v>588</v>
      </c>
      <c r="G772" s="94">
        <v>7.6917843E7</v>
      </c>
      <c r="H772" s="87"/>
      <c r="I772" s="87"/>
    </row>
    <row r="773">
      <c r="A773" s="87">
        <v>1421.0</v>
      </c>
      <c r="B773" s="87" t="s">
        <v>587</v>
      </c>
      <c r="C773" s="93">
        <v>1.0</v>
      </c>
      <c r="D773" s="87" t="s">
        <v>39</v>
      </c>
      <c r="E773" s="87" t="s">
        <v>40</v>
      </c>
      <c r="F773" s="87" t="s">
        <v>588</v>
      </c>
      <c r="G773" s="94">
        <v>7.6917851E7</v>
      </c>
      <c r="H773" s="87"/>
      <c r="I773" s="87"/>
    </row>
    <row r="774">
      <c r="A774" s="87">
        <v>1422.0</v>
      </c>
      <c r="B774" s="87" t="s">
        <v>587</v>
      </c>
      <c r="C774" s="93">
        <v>1.0</v>
      </c>
      <c r="D774" s="87" t="s">
        <v>39</v>
      </c>
      <c r="E774" s="87" t="s">
        <v>40</v>
      </c>
      <c r="F774" s="87" t="s">
        <v>588</v>
      </c>
      <c r="G774" s="94">
        <v>7.691786E7</v>
      </c>
      <c r="H774" s="87"/>
      <c r="I774" s="87"/>
    </row>
    <row r="775">
      <c r="A775" s="87">
        <v>1423.0</v>
      </c>
      <c r="B775" s="87" t="s">
        <v>587</v>
      </c>
      <c r="C775" s="93">
        <v>1.0</v>
      </c>
      <c r="D775" s="87" t="s">
        <v>39</v>
      </c>
      <c r="E775" s="87" t="s">
        <v>40</v>
      </c>
      <c r="F775" s="87" t="s">
        <v>588</v>
      </c>
      <c r="G775" s="94">
        <v>7.6917878E7</v>
      </c>
      <c r="H775" s="87"/>
      <c r="I775" s="87"/>
    </row>
    <row r="776">
      <c r="A776" s="87">
        <v>1424.0</v>
      </c>
      <c r="B776" s="87" t="s">
        <v>587</v>
      </c>
      <c r="C776" s="93">
        <v>1.0</v>
      </c>
      <c r="D776" s="87" t="s">
        <v>39</v>
      </c>
      <c r="E776" s="87" t="s">
        <v>40</v>
      </c>
      <c r="F776" s="87" t="s">
        <v>588</v>
      </c>
      <c r="G776" s="94">
        <v>7.6917886E7</v>
      </c>
      <c r="H776" s="87"/>
      <c r="I776" s="87"/>
    </row>
    <row r="777">
      <c r="A777" s="87">
        <v>1425.0</v>
      </c>
      <c r="B777" s="87" t="s">
        <v>587</v>
      </c>
      <c r="C777" s="93">
        <v>1.0</v>
      </c>
      <c r="D777" s="87" t="s">
        <v>39</v>
      </c>
      <c r="E777" s="87" t="s">
        <v>40</v>
      </c>
      <c r="F777" s="87" t="s">
        <v>588</v>
      </c>
      <c r="G777" s="94">
        <v>7.6917894E7</v>
      </c>
      <c r="H777" s="87"/>
      <c r="I777" s="87"/>
    </row>
    <row r="778">
      <c r="A778" s="87">
        <v>1426.0</v>
      </c>
      <c r="B778" s="87" t="s">
        <v>587</v>
      </c>
      <c r="C778" s="93">
        <v>1.0</v>
      </c>
      <c r="D778" s="87" t="s">
        <v>39</v>
      </c>
      <c r="E778" s="87" t="s">
        <v>40</v>
      </c>
      <c r="F778" s="87" t="s">
        <v>588</v>
      </c>
      <c r="G778" s="94">
        <v>7.6917908E7</v>
      </c>
      <c r="H778" s="87"/>
      <c r="I778" s="87"/>
    </row>
    <row r="779">
      <c r="A779" s="87">
        <v>1427.0</v>
      </c>
      <c r="B779" s="87" t="s">
        <v>587</v>
      </c>
      <c r="C779" s="93">
        <v>1.0</v>
      </c>
      <c r="D779" s="87" t="s">
        <v>39</v>
      </c>
      <c r="E779" s="87" t="s">
        <v>40</v>
      </c>
      <c r="F779" s="87" t="s">
        <v>588</v>
      </c>
      <c r="G779" s="94">
        <v>7.6917916E7</v>
      </c>
      <c r="H779" s="87"/>
      <c r="I779" s="87"/>
    </row>
    <row r="780">
      <c r="A780" s="87">
        <v>1428.0</v>
      </c>
      <c r="B780" s="87" t="s">
        <v>587</v>
      </c>
      <c r="C780" s="93">
        <v>1.0</v>
      </c>
      <c r="D780" s="87" t="s">
        <v>39</v>
      </c>
      <c r="E780" s="87" t="s">
        <v>40</v>
      </c>
      <c r="F780" s="87" t="s">
        <v>588</v>
      </c>
      <c r="G780" s="94">
        <v>7.6917924E7</v>
      </c>
      <c r="H780" s="87"/>
      <c r="I780" s="87"/>
    </row>
    <row r="781">
      <c r="A781" s="87">
        <v>1429.0</v>
      </c>
      <c r="B781" s="87" t="s">
        <v>587</v>
      </c>
      <c r="C781" s="93">
        <v>1.0</v>
      </c>
      <c r="D781" s="87" t="s">
        <v>39</v>
      </c>
      <c r="E781" s="87" t="s">
        <v>40</v>
      </c>
      <c r="F781" s="87" t="s">
        <v>588</v>
      </c>
      <c r="G781" s="94">
        <v>7.6917932E7</v>
      </c>
      <c r="H781" s="87"/>
      <c r="I781" s="87"/>
    </row>
    <row r="782">
      <c r="A782" s="87">
        <v>1430.0</v>
      </c>
      <c r="B782" s="87" t="s">
        <v>587</v>
      </c>
      <c r="C782" s="93">
        <v>1.0</v>
      </c>
      <c r="D782" s="87" t="s">
        <v>39</v>
      </c>
      <c r="E782" s="87" t="s">
        <v>40</v>
      </c>
      <c r="F782" s="87" t="s">
        <v>588</v>
      </c>
      <c r="G782" s="94">
        <v>7.691794E7</v>
      </c>
      <c r="H782" s="87"/>
      <c r="I782" s="87"/>
    </row>
    <row r="783">
      <c r="A783" s="87">
        <v>1431.0</v>
      </c>
      <c r="B783" s="87" t="s">
        <v>587</v>
      </c>
      <c r="C783" s="93">
        <v>1.0</v>
      </c>
      <c r="D783" s="87" t="s">
        <v>39</v>
      </c>
      <c r="E783" s="87" t="s">
        <v>40</v>
      </c>
      <c r="F783" s="87" t="s">
        <v>588</v>
      </c>
      <c r="G783" s="94">
        <v>7.6917959E7</v>
      </c>
      <c r="H783" s="87"/>
      <c r="I783" s="87"/>
    </row>
    <row r="784">
      <c r="A784" s="87">
        <v>1432.0</v>
      </c>
      <c r="B784" s="87" t="s">
        <v>587</v>
      </c>
      <c r="C784" s="93">
        <v>1.0</v>
      </c>
      <c r="D784" s="87" t="s">
        <v>39</v>
      </c>
      <c r="E784" s="87" t="s">
        <v>40</v>
      </c>
      <c r="F784" s="87" t="s">
        <v>588</v>
      </c>
      <c r="G784" s="94">
        <v>7.6917967E7</v>
      </c>
      <c r="H784" s="87"/>
      <c r="I784" s="87"/>
    </row>
    <row r="785">
      <c r="A785" s="87">
        <v>1433.0</v>
      </c>
      <c r="B785" s="87" t="s">
        <v>587</v>
      </c>
      <c r="C785" s="93">
        <v>1.0</v>
      </c>
      <c r="D785" s="87" t="s">
        <v>39</v>
      </c>
      <c r="E785" s="87" t="s">
        <v>40</v>
      </c>
      <c r="F785" s="87" t="s">
        <v>588</v>
      </c>
      <c r="G785" s="94">
        <v>7.6917975E7</v>
      </c>
      <c r="H785" s="87"/>
      <c r="I785" s="87"/>
    </row>
    <row r="786">
      <c r="A786" s="87">
        <v>1434.0</v>
      </c>
      <c r="B786" s="87" t="s">
        <v>587</v>
      </c>
      <c r="C786" s="93">
        <v>1.0</v>
      </c>
      <c r="D786" s="87" t="s">
        <v>39</v>
      </c>
      <c r="E786" s="87" t="s">
        <v>40</v>
      </c>
      <c r="F786" s="87" t="s">
        <v>588</v>
      </c>
      <c r="G786" s="94">
        <v>7.6917983E7</v>
      </c>
      <c r="H786" s="87"/>
      <c r="I786" s="87"/>
    </row>
    <row r="787">
      <c r="A787" s="87">
        <v>1435.0</v>
      </c>
      <c r="B787" s="87" t="s">
        <v>587</v>
      </c>
      <c r="C787" s="93">
        <v>1.0</v>
      </c>
      <c r="D787" s="87" t="s">
        <v>39</v>
      </c>
      <c r="E787" s="87" t="s">
        <v>40</v>
      </c>
      <c r="F787" s="87" t="s">
        <v>588</v>
      </c>
      <c r="G787" s="94">
        <v>7.6917991E7</v>
      </c>
      <c r="H787" s="87"/>
      <c r="I787" s="87"/>
    </row>
    <row r="788">
      <c r="A788" s="87">
        <v>1436.0</v>
      </c>
      <c r="B788" s="87" t="s">
        <v>587</v>
      </c>
      <c r="C788" s="93">
        <v>1.0</v>
      </c>
      <c r="D788" s="87" t="s">
        <v>39</v>
      </c>
      <c r="E788" s="87" t="s">
        <v>40</v>
      </c>
      <c r="F788" s="87" t="s">
        <v>588</v>
      </c>
      <c r="G788" s="94">
        <v>7.6918009E7</v>
      </c>
      <c r="H788" s="87"/>
      <c r="I788" s="87"/>
    </row>
    <row r="789">
      <c r="A789" s="87">
        <v>1437.0</v>
      </c>
      <c r="B789" s="87" t="s">
        <v>587</v>
      </c>
      <c r="C789" s="93">
        <v>1.0</v>
      </c>
      <c r="D789" s="87" t="s">
        <v>39</v>
      </c>
      <c r="E789" s="87" t="s">
        <v>40</v>
      </c>
      <c r="F789" s="87" t="s">
        <v>588</v>
      </c>
      <c r="G789" s="94">
        <v>7.6918017E7</v>
      </c>
      <c r="H789" s="87"/>
      <c r="I789" s="87"/>
    </row>
    <row r="790">
      <c r="A790" s="87">
        <v>1438.0</v>
      </c>
      <c r="B790" s="87" t="s">
        <v>587</v>
      </c>
      <c r="C790" s="93">
        <v>1.0</v>
      </c>
      <c r="D790" s="87" t="s">
        <v>39</v>
      </c>
      <c r="E790" s="87" t="s">
        <v>40</v>
      </c>
      <c r="F790" s="87" t="s">
        <v>588</v>
      </c>
      <c r="G790" s="94">
        <v>7.6918025E7</v>
      </c>
      <c r="H790" s="87"/>
      <c r="I790" s="87"/>
    </row>
    <row r="791">
      <c r="A791" s="87">
        <v>1439.0</v>
      </c>
      <c r="B791" s="87" t="s">
        <v>587</v>
      </c>
      <c r="C791" s="93">
        <v>1.0</v>
      </c>
      <c r="D791" s="87" t="s">
        <v>39</v>
      </c>
      <c r="E791" s="87" t="s">
        <v>40</v>
      </c>
      <c r="F791" s="87" t="s">
        <v>588</v>
      </c>
      <c r="G791" s="94">
        <v>7.6918033E7</v>
      </c>
      <c r="H791" s="87"/>
      <c r="I791" s="87"/>
    </row>
    <row r="792">
      <c r="A792" s="87">
        <v>1440.0</v>
      </c>
      <c r="B792" s="87" t="s">
        <v>587</v>
      </c>
      <c r="C792" s="93">
        <v>1.0</v>
      </c>
      <c r="D792" s="87" t="s">
        <v>39</v>
      </c>
      <c r="E792" s="87" t="s">
        <v>40</v>
      </c>
      <c r="F792" s="87" t="s">
        <v>588</v>
      </c>
      <c r="G792" s="94">
        <v>7.6918041E7</v>
      </c>
      <c r="H792" s="87"/>
      <c r="I792" s="87"/>
    </row>
    <row r="793">
      <c r="A793" s="87">
        <v>1441.0</v>
      </c>
      <c r="B793" s="87" t="s">
        <v>587</v>
      </c>
      <c r="C793" s="93">
        <v>1.0</v>
      </c>
      <c r="D793" s="87" t="s">
        <v>39</v>
      </c>
      <c r="E793" s="87" t="s">
        <v>40</v>
      </c>
      <c r="F793" s="87" t="s">
        <v>588</v>
      </c>
      <c r="G793" s="94">
        <v>7.691805E7</v>
      </c>
      <c r="H793" s="87"/>
      <c r="I793" s="87"/>
    </row>
    <row r="794">
      <c r="A794" s="87">
        <v>1442.0</v>
      </c>
      <c r="B794" s="87" t="s">
        <v>587</v>
      </c>
      <c r="C794" s="93">
        <v>1.0</v>
      </c>
      <c r="D794" s="87" t="s">
        <v>39</v>
      </c>
      <c r="E794" s="87" t="s">
        <v>40</v>
      </c>
      <c r="F794" s="87" t="s">
        <v>588</v>
      </c>
      <c r="G794" s="94">
        <v>7.6918068E7</v>
      </c>
      <c r="H794" s="87"/>
      <c r="I794" s="87"/>
    </row>
    <row r="795">
      <c r="A795" s="87">
        <v>1443.0</v>
      </c>
      <c r="B795" s="87" t="s">
        <v>587</v>
      </c>
      <c r="C795" s="93">
        <v>1.0</v>
      </c>
      <c r="D795" s="87" t="s">
        <v>39</v>
      </c>
      <c r="E795" s="87" t="s">
        <v>40</v>
      </c>
      <c r="F795" s="87" t="s">
        <v>588</v>
      </c>
      <c r="G795" s="94">
        <v>7.6918076E7</v>
      </c>
      <c r="H795" s="87"/>
      <c r="I795" s="87"/>
    </row>
    <row r="796">
      <c r="A796" s="87">
        <v>1444.0</v>
      </c>
      <c r="B796" s="87" t="s">
        <v>587</v>
      </c>
      <c r="C796" s="93">
        <v>1.0</v>
      </c>
      <c r="D796" s="87" t="s">
        <v>39</v>
      </c>
      <c r="E796" s="87" t="s">
        <v>40</v>
      </c>
      <c r="F796" s="87" t="s">
        <v>588</v>
      </c>
      <c r="G796" s="94">
        <v>7.6918084E7</v>
      </c>
      <c r="H796" s="87"/>
      <c r="I796" s="87"/>
    </row>
    <row r="797">
      <c r="A797" s="87">
        <v>1445.0</v>
      </c>
      <c r="B797" s="87" t="s">
        <v>587</v>
      </c>
      <c r="C797" s="93">
        <v>1.0</v>
      </c>
      <c r="D797" s="87" t="s">
        <v>39</v>
      </c>
      <c r="E797" s="87" t="s">
        <v>40</v>
      </c>
      <c r="F797" s="87" t="s">
        <v>588</v>
      </c>
      <c r="G797" s="94">
        <v>7.6918092E7</v>
      </c>
      <c r="H797" s="87"/>
      <c r="I797" s="87"/>
    </row>
    <row r="798">
      <c r="A798" s="87">
        <v>1447.0</v>
      </c>
      <c r="B798" s="87" t="s">
        <v>589</v>
      </c>
      <c r="C798" s="93">
        <v>1.0</v>
      </c>
      <c r="D798" s="87" t="s">
        <v>39</v>
      </c>
      <c r="E798" s="87" t="s">
        <v>40</v>
      </c>
      <c r="F798" s="87" t="s">
        <v>588</v>
      </c>
      <c r="G798" s="94">
        <v>7.691715E7</v>
      </c>
      <c r="H798" s="87"/>
      <c r="I798" s="87"/>
    </row>
    <row r="799">
      <c r="A799" s="87">
        <v>1448.0</v>
      </c>
      <c r="B799" s="87" t="s">
        <v>589</v>
      </c>
      <c r="C799" s="93">
        <v>1.0</v>
      </c>
      <c r="D799" s="87" t="s">
        <v>39</v>
      </c>
      <c r="E799" s="87" t="s">
        <v>40</v>
      </c>
      <c r="F799" s="87" t="s">
        <v>588</v>
      </c>
      <c r="G799" s="94">
        <v>7.6917169E7</v>
      </c>
      <c r="H799" s="87"/>
      <c r="I799" s="87"/>
    </row>
    <row r="800">
      <c r="A800" s="87">
        <v>1449.0</v>
      </c>
      <c r="B800" s="87" t="s">
        <v>589</v>
      </c>
      <c r="C800" s="93">
        <v>1.0</v>
      </c>
      <c r="D800" s="87" t="s">
        <v>39</v>
      </c>
      <c r="E800" s="87" t="s">
        <v>40</v>
      </c>
      <c r="F800" s="87" t="s">
        <v>588</v>
      </c>
      <c r="G800" s="94">
        <v>7.6917177E7</v>
      </c>
      <c r="H800" s="87"/>
      <c r="I800" s="87"/>
    </row>
    <row r="801">
      <c r="A801" s="87">
        <v>1450.0</v>
      </c>
      <c r="B801" s="87" t="s">
        <v>589</v>
      </c>
      <c r="C801" s="93">
        <v>1.0</v>
      </c>
      <c r="D801" s="87" t="s">
        <v>39</v>
      </c>
      <c r="E801" s="87" t="s">
        <v>40</v>
      </c>
      <c r="F801" s="87" t="s">
        <v>588</v>
      </c>
      <c r="G801" s="94">
        <v>7.6917207E7</v>
      </c>
      <c r="H801" s="87"/>
      <c r="I801" s="87"/>
    </row>
    <row r="802">
      <c r="A802" s="87">
        <v>1455.0</v>
      </c>
      <c r="B802" s="87" t="s">
        <v>134</v>
      </c>
      <c r="C802" s="93">
        <v>1.0</v>
      </c>
      <c r="D802" s="87" t="s">
        <v>39</v>
      </c>
      <c r="E802" s="87" t="s">
        <v>40</v>
      </c>
      <c r="F802" s="87" t="s">
        <v>588</v>
      </c>
      <c r="G802" s="94">
        <v>7.693599E7</v>
      </c>
      <c r="H802" s="87"/>
      <c r="I802" s="87"/>
    </row>
    <row r="803">
      <c r="A803" s="87">
        <v>1456.0</v>
      </c>
      <c r="B803" s="87" t="s">
        <v>590</v>
      </c>
      <c r="C803" s="93">
        <v>1.0</v>
      </c>
      <c r="D803" s="87" t="s">
        <v>39</v>
      </c>
      <c r="E803" s="87" t="s">
        <v>40</v>
      </c>
      <c r="F803" s="87" t="s">
        <v>588</v>
      </c>
      <c r="G803" s="94">
        <v>7.6917142E7</v>
      </c>
      <c r="H803" s="87"/>
      <c r="I803" s="87"/>
    </row>
    <row r="804">
      <c r="A804" s="87">
        <v>1463.0</v>
      </c>
      <c r="B804" s="87" t="s">
        <v>591</v>
      </c>
      <c r="C804" s="93">
        <v>1.0</v>
      </c>
      <c r="D804" s="87" t="s">
        <v>39</v>
      </c>
      <c r="E804" s="87" t="s">
        <v>40</v>
      </c>
      <c r="F804" s="87" t="s">
        <v>588</v>
      </c>
      <c r="G804" s="94">
        <v>7.6918106E7</v>
      </c>
      <c r="H804" s="87"/>
      <c r="I804" s="87"/>
    </row>
    <row r="805">
      <c r="A805" s="87">
        <v>1464.0</v>
      </c>
      <c r="B805" s="87" t="s">
        <v>591</v>
      </c>
      <c r="C805" s="93">
        <v>1.0</v>
      </c>
      <c r="D805" s="87" t="s">
        <v>39</v>
      </c>
      <c r="E805" s="87" t="s">
        <v>40</v>
      </c>
      <c r="F805" s="87" t="s">
        <v>588</v>
      </c>
      <c r="G805" s="94">
        <v>7.6918114E7</v>
      </c>
      <c r="H805" s="87"/>
      <c r="I805" s="87"/>
    </row>
    <row r="806">
      <c r="A806" s="87">
        <v>1465.0</v>
      </c>
      <c r="B806" s="87" t="s">
        <v>591</v>
      </c>
      <c r="C806" s="93">
        <v>1.0</v>
      </c>
      <c r="D806" s="87" t="s">
        <v>39</v>
      </c>
      <c r="E806" s="87" t="s">
        <v>40</v>
      </c>
      <c r="F806" s="87" t="s">
        <v>588</v>
      </c>
      <c r="G806" s="94">
        <v>7.6918122E7</v>
      </c>
      <c r="H806" s="87"/>
      <c r="I806" s="87"/>
    </row>
    <row r="807">
      <c r="A807" s="87">
        <v>1274.0</v>
      </c>
      <c r="B807" s="87" t="s">
        <v>215</v>
      </c>
      <c r="C807" s="93">
        <v>1.0</v>
      </c>
      <c r="D807" s="87" t="s">
        <v>275</v>
      </c>
      <c r="E807" s="87" t="s">
        <v>40</v>
      </c>
      <c r="F807" s="87" t="s">
        <v>588</v>
      </c>
      <c r="G807" s="94">
        <v>7.6902153E7</v>
      </c>
      <c r="H807" s="87" t="s">
        <v>592</v>
      </c>
      <c r="I807" s="87"/>
    </row>
    <row r="808">
      <c r="A808" s="87">
        <v>1276.0</v>
      </c>
      <c r="B808" s="87" t="s">
        <v>215</v>
      </c>
      <c r="C808" s="93">
        <v>1.0</v>
      </c>
      <c r="D808" s="87" t="s">
        <v>275</v>
      </c>
      <c r="E808" s="87" t="s">
        <v>40</v>
      </c>
      <c r="F808" s="87" t="s">
        <v>588</v>
      </c>
      <c r="G808" s="94">
        <v>7.6940934E7</v>
      </c>
      <c r="H808" s="87" t="s">
        <v>593</v>
      </c>
      <c r="I808" s="87"/>
    </row>
    <row r="809">
      <c r="A809" s="87">
        <v>1157.0</v>
      </c>
      <c r="B809" s="87" t="s">
        <v>594</v>
      </c>
      <c r="C809" s="93">
        <v>1.0</v>
      </c>
      <c r="D809" s="87" t="s">
        <v>275</v>
      </c>
      <c r="E809" s="87" t="s">
        <v>20</v>
      </c>
      <c r="F809" s="87" t="s">
        <v>595</v>
      </c>
      <c r="G809" s="94">
        <v>7.6856011E7</v>
      </c>
      <c r="H809" s="87" t="s">
        <v>596</v>
      </c>
      <c r="I809" s="87" t="s">
        <v>597</v>
      </c>
    </row>
    <row r="810">
      <c r="A810" s="87">
        <v>1319.0</v>
      </c>
      <c r="B810" s="87" t="s">
        <v>594</v>
      </c>
      <c r="C810" s="93">
        <v>1.0</v>
      </c>
      <c r="D810" s="87" t="s">
        <v>275</v>
      </c>
      <c r="E810" s="87" t="s">
        <v>598</v>
      </c>
      <c r="F810" s="87" t="s">
        <v>595</v>
      </c>
      <c r="G810" s="94">
        <v>7.6941493E7</v>
      </c>
      <c r="H810" s="87" t="s">
        <v>599</v>
      </c>
      <c r="I810" s="87" t="s">
        <v>600</v>
      </c>
    </row>
    <row r="811">
      <c r="A811" s="87">
        <v>1545.0</v>
      </c>
      <c r="B811" s="87" t="s">
        <v>594</v>
      </c>
      <c r="C811" s="93">
        <v>1.0</v>
      </c>
      <c r="D811" s="87" t="s">
        <v>275</v>
      </c>
      <c r="E811" s="87" t="s">
        <v>18</v>
      </c>
      <c r="F811" s="87" t="s">
        <v>595</v>
      </c>
      <c r="G811" s="94">
        <v>7.69312E7</v>
      </c>
      <c r="H811" s="87"/>
      <c r="I811" s="87" t="s">
        <v>597</v>
      </c>
    </row>
    <row r="812">
      <c r="A812" s="87">
        <v>188.0</v>
      </c>
      <c r="B812" s="87" t="s">
        <v>224</v>
      </c>
      <c r="C812" s="93">
        <v>2.0</v>
      </c>
      <c r="D812" s="87" t="s">
        <v>275</v>
      </c>
      <c r="E812" s="87" t="s">
        <v>17</v>
      </c>
      <c r="F812" s="87" t="s">
        <v>595</v>
      </c>
      <c r="G812" s="94"/>
      <c r="H812" s="87"/>
      <c r="I812" s="87"/>
    </row>
    <row r="813">
      <c r="A813" s="87">
        <v>748.0</v>
      </c>
      <c r="B813" s="87" t="s">
        <v>224</v>
      </c>
      <c r="C813" s="93">
        <v>3.0</v>
      </c>
      <c r="D813" s="87" t="s">
        <v>275</v>
      </c>
      <c r="E813" s="87" t="s">
        <v>20</v>
      </c>
      <c r="F813" s="87" t="s">
        <v>595</v>
      </c>
      <c r="G813" s="94"/>
      <c r="H813" s="87"/>
      <c r="I813" s="87"/>
    </row>
    <row r="814">
      <c r="A814" s="87">
        <v>194.0</v>
      </c>
      <c r="B814" s="87" t="s">
        <v>434</v>
      </c>
      <c r="C814" s="93">
        <v>1.0</v>
      </c>
      <c r="D814" s="87" t="s">
        <v>275</v>
      </c>
      <c r="E814" s="87" t="s">
        <v>17</v>
      </c>
      <c r="F814" s="87" t="s">
        <v>595</v>
      </c>
      <c r="G814" s="94"/>
      <c r="H814" s="87"/>
      <c r="I814" s="87"/>
    </row>
    <row r="815">
      <c r="A815" s="87">
        <v>201.0</v>
      </c>
      <c r="B815" s="87" t="s">
        <v>437</v>
      </c>
      <c r="C815" s="93">
        <v>1.0</v>
      </c>
      <c r="D815" s="87" t="s">
        <v>275</v>
      </c>
      <c r="E815" s="87" t="s">
        <v>17</v>
      </c>
      <c r="F815" s="87" t="s">
        <v>595</v>
      </c>
      <c r="G815" s="94"/>
      <c r="H815" s="87"/>
      <c r="I815" s="87"/>
    </row>
    <row r="816">
      <c r="A816" s="87">
        <v>198.0</v>
      </c>
      <c r="B816" s="87" t="s">
        <v>97</v>
      </c>
      <c r="C816" s="93">
        <v>1.0</v>
      </c>
      <c r="D816" s="87" t="s">
        <v>275</v>
      </c>
      <c r="E816" s="87" t="s">
        <v>17</v>
      </c>
      <c r="F816" s="87" t="s">
        <v>595</v>
      </c>
      <c r="G816" s="94"/>
      <c r="H816" s="87"/>
      <c r="I816" s="87"/>
    </row>
    <row r="817">
      <c r="A817" s="87">
        <v>745.0</v>
      </c>
      <c r="B817" s="87" t="s">
        <v>482</v>
      </c>
      <c r="C817" s="93">
        <v>1.0</v>
      </c>
      <c r="D817" s="87" t="s">
        <v>275</v>
      </c>
      <c r="E817" s="87" t="s">
        <v>20</v>
      </c>
      <c r="F817" s="87" t="s">
        <v>595</v>
      </c>
      <c r="G817" s="94"/>
      <c r="H817" s="87"/>
      <c r="I817" s="87"/>
    </row>
    <row r="818">
      <c r="A818" s="87">
        <v>197.0</v>
      </c>
      <c r="B818" s="87" t="s">
        <v>601</v>
      </c>
      <c r="C818" s="93">
        <v>1.0</v>
      </c>
      <c r="D818" s="87" t="s">
        <v>275</v>
      </c>
      <c r="E818" s="87" t="s">
        <v>17</v>
      </c>
      <c r="F818" s="87" t="s">
        <v>595</v>
      </c>
      <c r="G818" s="94"/>
      <c r="H818" s="87"/>
      <c r="I818" s="87"/>
    </row>
    <row r="819">
      <c r="A819" s="87">
        <v>190.0</v>
      </c>
      <c r="B819" s="87" t="s">
        <v>602</v>
      </c>
      <c r="C819" s="93">
        <v>1.0</v>
      </c>
      <c r="D819" s="87" t="s">
        <v>275</v>
      </c>
      <c r="E819" s="87" t="s">
        <v>17</v>
      </c>
      <c r="F819" s="87" t="s">
        <v>595</v>
      </c>
      <c r="G819" s="94"/>
      <c r="H819" s="87"/>
      <c r="I819" s="87" t="s">
        <v>603</v>
      </c>
    </row>
    <row r="820">
      <c r="A820" s="87">
        <v>189.0</v>
      </c>
      <c r="B820" s="87" t="s">
        <v>491</v>
      </c>
      <c r="C820" s="93">
        <v>1.0</v>
      </c>
      <c r="D820" s="87" t="s">
        <v>275</v>
      </c>
      <c r="E820" s="87" t="s">
        <v>17</v>
      </c>
      <c r="F820" s="87" t="s">
        <v>595</v>
      </c>
      <c r="G820" s="94"/>
      <c r="H820" s="87"/>
      <c r="I820" s="87" t="s">
        <v>604</v>
      </c>
    </row>
    <row r="821">
      <c r="A821" s="87">
        <v>747.0</v>
      </c>
      <c r="B821" s="87" t="s">
        <v>438</v>
      </c>
      <c r="C821" s="93">
        <v>2.0</v>
      </c>
      <c r="D821" s="87" t="s">
        <v>275</v>
      </c>
      <c r="E821" s="87" t="s">
        <v>20</v>
      </c>
      <c r="F821" s="87" t="s">
        <v>595</v>
      </c>
      <c r="G821" s="94"/>
      <c r="H821" s="87"/>
      <c r="I821" s="87"/>
    </row>
    <row r="822">
      <c r="A822" s="87">
        <v>749.0</v>
      </c>
      <c r="B822" s="87" t="s">
        <v>353</v>
      </c>
      <c r="C822" s="93">
        <v>2.0</v>
      </c>
      <c r="D822" s="87" t="s">
        <v>275</v>
      </c>
      <c r="E822" s="87" t="s">
        <v>20</v>
      </c>
      <c r="F822" s="87" t="s">
        <v>595</v>
      </c>
      <c r="G822" s="94"/>
      <c r="H822" s="87"/>
      <c r="I822" s="87"/>
    </row>
    <row r="823">
      <c r="A823" s="87">
        <v>551.0</v>
      </c>
      <c r="B823" s="87" t="s">
        <v>493</v>
      </c>
      <c r="C823" s="93">
        <v>1.0</v>
      </c>
      <c r="D823" s="87" t="s">
        <v>275</v>
      </c>
      <c r="E823" s="87" t="s">
        <v>17</v>
      </c>
      <c r="F823" s="87" t="s">
        <v>595</v>
      </c>
      <c r="G823" s="94">
        <v>1.3999001E7</v>
      </c>
      <c r="H823" s="87"/>
      <c r="I823" s="87" t="s">
        <v>605</v>
      </c>
    </row>
    <row r="824">
      <c r="A824" s="87">
        <v>769.0</v>
      </c>
      <c r="B824" s="87" t="s">
        <v>382</v>
      </c>
      <c r="C824" s="93">
        <v>1.0</v>
      </c>
      <c r="D824" s="87" t="s">
        <v>275</v>
      </c>
      <c r="E824" s="87" t="s">
        <v>17</v>
      </c>
      <c r="F824" s="87" t="s">
        <v>595</v>
      </c>
      <c r="G824" s="94"/>
      <c r="H824" s="87"/>
      <c r="I824" s="87"/>
    </row>
    <row r="825">
      <c r="A825" s="87">
        <v>1470.0</v>
      </c>
      <c r="B825" s="87" t="s">
        <v>106</v>
      </c>
      <c r="C825" s="93">
        <v>1.0</v>
      </c>
      <c r="D825" s="87" t="s">
        <v>275</v>
      </c>
      <c r="E825" s="87" t="s">
        <v>17</v>
      </c>
      <c r="F825" s="87" t="s">
        <v>595</v>
      </c>
      <c r="G825" s="94">
        <v>7.6947009E7</v>
      </c>
      <c r="H825" s="87"/>
      <c r="I825" s="87"/>
    </row>
    <row r="826">
      <c r="A826" s="87">
        <v>239.0</v>
      </c>
      <c r="B826" s="87" t="s">
        <v>106</v>
      </c>
      <c r="C826" s="93">
        <v>1.0</v>
      </c>
      <c r="D826" s="87" t="s">
        <v>275</v>
      </c>
      <c r="E826" s="87" t="s">
        <v>17</v>
      </c>
      <c r="F826" s="87" t="s">
        <v>595</v>
      </c>
      <c r="G826" s="94"/>
      <c r="H826" s="87" t="s">
        <v>424</v>
      </c>
      <c r="I826" s="87"/>
    </row>
    <row r="827">
      <c r="A827" s="87">
        <v>222.0</v>
      </c>
      <c r="B827" s="87" t="s">
        <v>606</v>
      </c>
      <c r="C827" s="93">
        <v>2.0</v>
      </c>
      <c r="D827" s="87" t="s">
        <v>275</v>
      </c>
      <c r="E827" s="87" t="s">
        <v>17</v>
      </c>
      <c r="F827" s="87" t="s">
        <v>595</v>
      </c>
      <c r="G827" s="94"/>
      <c r="H827" s="87"/>
      <c r="I827" s="87"/>
    </row>
    <row r="828">
      <c r="A828" s="87">
        <v>744.0</v>
      </c>
      <c r="B828" s="87" t="s">
        <v>415</v>
      </c>
      <c r="C828" s="93">
        <v>2.0</v>
      </c>
      <c r="D828" s="87" t="s">
        <v>275</v>
      </c>
      <c r="E828" s="87" t="s">
        <v>20</v>
      </c>
      <c r="F828" s="87" t="s">
        <v>595</v>
      </c>
      <c r="G828" s="94"/>
      <c r="H828" s="87"/>
      <c r="I828" s="87"/>
    </row>
    <row r="829">
      <c r="A829" s="87">
        <v>195.0</v>
      </c>
      <c r="B829" s="87" t="s">
        <v>280</v>
      </c>
      <c r="C829" s="93">
        <v>5.0</v>
      </c>
      <c r="D829" s="87" t="s">
        <v>275</v>
      </c>
      <c r="E829" s="87" t="s">
        <v>17</v>
      </c>
      <c r="F829" s="87" t="s">
        <v>595</v>
      </c>
      <c r="G829" s="94"/>
      <c r="H829" s="87"/>
      <c r="I829" s="87"/>
    </row>
    <row r="830">
      <c r="A830" s="87">
        <v>814.0</v>
      </c>
      <c r="B830" s="87" t="s">
        <v>281</v>
      </c>
      <c r="C830" s="93">
        <v>1.0</v>
      </c>
      <c r="D830" s="87" t="s">
        <v>275</v>
      </c>
      <c r="E830" s="87" t="s">
        <v>17</v>
      </c>
      <c r="F830" s="87" t="s">
        <v>595</v>
      </c>
      <c r="G830" s="94"/>
      <c r="H830" s="87"/>
      <c r="I830" s="87"/>
    </row>
    <row r="831">
      <c r="A831" s="87">
        <v>192.0</v>
      </c>
      <c r="B831" s="87" t="s">
        <v>538</v>
      </c>
      <c r="C831" s="93">
        <v>1.0</v>
      </c>
      <c r="D831" s="87" t="s">
        <v>275</v>
      </c>
      <c r="E831" s="87" t="s">
        <v>17</v>
      </c>
      <c r="F831" s="87" t="s">
        <v>595</v>
      </c>
      <c r="G831" s="94"/>
      <c r="H831" s="87"/>
      <c r="I831" s="87"/>
    </row>
    <row r="832">
      <c r="A832" s="87">
        <v>199.0</v>
      </c>
      <c r="B832" s="87" t="s">
        <v>123</v>
      </c>
      <c r="C832" s="93">
        <v>1.0</v>
      </c>
      <c r="D832" s="87" t="s">
        <v>275</v>
      </c>
      <c r="E832" s="87" t="s">
        <v>17</v>
      </c>
      <c r="F832" s="87" t="s">
        <v>595</v>
      </c>
      <c r="G832" s="94"/>
      <c r="H832" s="87"/>
      <c r="I832" s="87"/>
    </row>
    <row r="833">
      <c r="A833" s="87">
        <v>1294.0</v>
      </c>
      <c r="B833" s="87" t="s">
        <v>607</v>
      </c>
      <c r="C833" s="93">
        <v>1.0</v>
      </c>
      <c r="D833" s="87" t="s">
        <v>275</v>
      </c>
      <c r="E833" s="87" t="s">
        <v>17</v>
      </c>
      <c r="F833" s="87" t="s">
        <v>595</v>
      </c>
      <c r="G833" s="94"/>
      <c r="H833" s="87"/>
      <c r="I833" s="87"/>
    </row>
    <row r="834">
      <c r="A834" s="87">
        <v>954.0</v>
      </c>
      <c r="B834" s="87" t="s">
        <v>134</v>
      </c>
      <c r="C834" s="93">
        <v>1.0</v>
      </c>
      <c r="D834" s="87" t="s">
        <v>275</v>
      </c>
      <c r="E834" s="87" t="s">
        <v>17</v>
      </c>
      <c r="F834" s="87" t="s">
        <v>595</v>
      </c>
      <c r="G834" s="94">
        <v>7.6669173E7</v>
      </c>
      <c r="H834" s="87"/>
      <c r="I834" s="87"/>
    </row>
    <row r="835">
      <c r="A835" s="87">
        <v>191.0</v>
      </c>
      <c r="B835" s="87" t="s">
        <v>455</v>
      </c>
      <c r="C835" s="93">
        <v>2.0</v>
      </c>
      <c r="D835" s="87" t="s">
        <v>275</v>
      </c>
      <c r="E835" s="87" t="s">
        <v>17</v>
      </c>
      <c r="F835" s="87" t="s">
        <v>595</v>
      </c>
      <c r="G835" s="94"/>
      <c r="H835" s="87"/>
      <c r="I835" s="87"/>
    </row>
    <row r="836">
      <c r="A836" s="87">
        <v>200.0</v>
      </c>
      <c r="B836" s="87" t="s">
        <v>608</v>
      </c>
      <c r="C836" s="93">
        <v>1.0</v>
      </c>
      <c r="D836" s="87" t="s">
        <v>275</v>
      </c>
      <c r="E836" s="87" t="s">
        <v>17</v>
      </c>
      <c r="F836" s="87" t="s">
        <v>595</v>
      </c>
      <c r="G836" s="94"/>
      <c r="H836" s="87"/>
      <c r="I836" s="87"/>
    </row>
    <row r="837">
      <c r="A837" s="87">
        <v>1296.0</v>
      </c>
      <c r="B837" s="87" t="s">
        <v>153</v>
      </c>
      <c r="C837" s="93">
        <v>1.0</v>
      </c>
      <c r="D837" s="87" t="s">
        <v>275</v>
      </c>
      <c r="E837" s="87" t="s">
        <v>17</v>
      </c>
      <c r="F837" s="87" t="s">
        <v>595</v>
      </c>
      <c r="G837" s="94">
        <v>7.670162E7</v>
      </c>
      <c r="H837" s="87" t="s">
        <v>609</v>
      </c>
      <c r="I837" s="87" t="s">
        <v>610</v>
      </c>
    </row>
    <row r="838">
      <c r="A838" s="87">
        <v>196.0</v>
      </c>
      <c r="B838" s="87" t="s">
        <v>156</v>
      </c>
      <c r="C838" s="93">
        <v>1.0</v>
      </c>
      <c r="D838" s="87" t="s">
        <v>275</v>
      </c>
      <c r="E838" s="87" t="s">
        <v>17</v>
      </c>
      <c r="F838" s="87" t="s">
        <v>595</v>
      </c>
      <c r="G838" s="94"/>
      <c r="H838" s="87"/>
      <c r="I838" s="87"/>
    </row>
    <row r="839">
      <c r="A839" s="87">
        <v>824.0</v>
      </c>
      <c r="B839" s="87" t="s">
        <v>529</v>
      </c>
      <c r="C839" s="93">
        <v>1.0</v>
      </c>
      <c r="D839" s="87" t="s">
        <v>275</v>
      </c>
      <c r="E839" s="87" t="s">
        <v>17</v>
      </c>
      <c r="F839" s="87" t="s">
        <v>595</v>
      </c>
      <c r="G839" s="94"/>
      <c r="H839" s="87"/>
      <c r="I839" s="87" t="s">
        <v>611</v>
      </c>
    </row>
    <row r="840">
      <c r="A840" s="87">
        <v>746.0</v>
      </c>
      <c r="B840" s="87" t="s">
        <v>612</v>
      </c>
      <c r="C840" s="93">
        <v>1.0</v>
      </c>
      <c r="D840" s="87" t="s">
        <v>275</v>
      </c>
      <c r="E840" s="87" t="s">
        <v>20</v>
      </c>
      <c r="F840" s="87" t="s">
        <v>595</v>
      </c>
      <c r="G840" s="94"/>
      <c r="H840" s="87"/>
      <c r="I840" s="87"/>
    </row>
    <row r="841">
      <c r="A841" s="87">
        <v>221.0</v>
      </c>
      <c r="B841" s="87" t="s">
        <v>289</v>
      </c>
      <c r="C841" s="93">
        <v>1.0</v>
      </c>
      <c r="D841" s="87" t="s">
        <v>275</v>
      </c>
      <c r="E841" s="87" t="s">
        <v>17</v>
      </c>
      <c r="F841" s="87" t="s">
        <v>595</v>
      </c>
      <c r="G841" s="94"/>
      <c r="H841" s="87"/>
      <c r="I841" s="87" t="s">
        <v>613</v>
      </c>
    </row>
    <row r="842">
      <c r="A842" s="87">
        <v>220.0</v>
      </c>
      <c r="B842" s="87" t="s">
        <v>614</v>
      </c>
      <c r="C842" s="93">
        <v>1.0</v>
      </c>
      <c r="D842" s="87" t="s">
        <v>275</v>
      </c>
      <c r="E842" s="87" t="s">
        <v>17</v>
      </c>
      <c r="F842" s="87" t="s">
        <v>595</v>
      </c>
      <c r="G842" s="94"/>
      <c r="H842" s="87"/>
      <c r="I842" s="87"/>
    </row>
    <row r="843">
      <c r="A843" s="87">
        <v>1105.0</v>
      </c>
      <c r="B843" s="87" t="s">
        <v>615</v>
      </c>
      <c r="C843" s="93">
        <v>1.0</v>
      </c>
      <c r="D843" s="87" t="s">
        <v>275</v>
      </c>
      <c r="E843" s="87" t="s">
        <v>17</v>
      </c>
      <c r="F843" s="87" t="s">
        <v>595</v>
      </c>
      <c r="G843" s="94">
        <v>7.6815137E7</v>
      </c>
      <c r="H843" s="87"/>
      <c r="I843" s="87"/>
    </row>
    <row r="844">
      <c r="A844" s="87">
        <v>193.0</v>
      </c>
      <c r="B844" s="87" t="s">
        <v>429</v>
      </c>
      <c r="C844" s="93">
        <v>2.0</v>
      </c>
      <c r="D844" s="87" t="s">
        <v>275</v>
      </c>
      <c r="E844" s="87" t="s">
        <v>17</v>
      </c>
      <c r="F844" s="87" t="s">
        <v>595</v>
      </c>
      <c r="G844" s="94"/>
      <c r="H844" s="87"/>
      <c r="I844" s="87"/>
    </row>
    <row r="845">
      <c r="A845" s="87">
        <v>722.0</v>
      </c>
      <c r="B845" s="87" t="s">
        <v>616</v>
      </c>
      <c r="C845" s="93">
        <v>1.0</v>
      </c>
      <c r="D845" s="87" t="s">
        <v>39</v>
      </c>
      <c r="E845" s="87" t="s">
        <v>23</v>
      </c>
      <c r="F845" s="87" t="s">
        <v>617</v>
      </c>
      <c r="G845" s="94"/>
      <c r="H845" s="87"/>
      <c r="I845" s="87"/>
    </row>
    <row r="846">
      <c r="A846" s="87">
        <v>721.0</v>
      </c>
      <c r="B846" s="87" t="s">
        <v>618</v>
      </c>
      <c r="C846" s="93">
        <v>1.0</v>
      </c>
      <c r="D846" s="87" t="s">
        <v>39</v>
      </c>
      <c r="E846" s="87" t="s">
        <v>23</v>
      </c>
      <c r="F846" s="87" t="s">
        <v>617</v>
      </c>
      <c r="G846" s="94"/>
      <c r="H846" s="87"/>
      <c r="I846" s="87"/>
    </row>
    <row r="847">
      <c r="A847" s="87">
        <v>726.0</v>
      </c>
      <c r="B847" s="87" t="s">
        <v>619</v>
      </c>
      <c r="C847" s="93">
        <v>2.0</v>
      </c>
      <c r="D847" s="87" t="s">
        <v>39</v>
      </c>
      <c r="E847" s="87" t="s">
        <v>23</v>
      </c>
      <c r="F847" s="87" t="s">
        <v>617</v>
      </c>
      <c r="G847" s="94"/>
      <c r="H847" s="87"/>
      <c r="I847" s="87"/>
    </row>
    <row r="848">
      <c r="A848" s="87">
        <v>719.0</v>
      </c>
      <c r="B848" s="87" t="s">
        <v>620</v>
      </c>
      <c r="C848" s="93">
        <v>13.0</v>
      </c>
      <c r="D848" s="87" t="s">
        <v>39</v>
      </c>
      <c r="E848" s="87" t="s">
        <v>23</v>
      </c>
      <c r="F848" s="87" t="s">
        <v>617</v>
      </c>
      <c r="G848" s="94"/>
      <c r="H848" s="87"/>
      <c r="I848" s="87"/>
    </row>
    <row r="849">
      <c r="A849" s="87">
        <v>720.0</v>
      </c>
      <c r="B849" s="87" t="s">
        <v>621</v>
      </c>
      <c r="C849" s="93">
        <v>3.0</v>
      </c>
      <c r="D849" s="87" t="s">
        <v>39</v>
      </c>
      <c r="E849" s="87" t="s">
        <v>23</v>
      </c>
      <c r="F849" s="87" t="s">
        <v>617</v>
      </c>
      <c r="G849" s="94"/>
      <c r="H849" s="87"/>
      <c r="I849" s="87"/>
    </row>
    <row r="850">
      <c r="A850" s="87">
        <v>729.0</v>
      </c>
      <c r="B850" s="87" t="s">
        <v>622</v>
      </c>
      <c r="C850" s="93">
        <v>1.0</v>
      </c>
      <c r="D850" s="87" t="s">
        <v>39</v>
      </c>
      <c r="E850" s="87" t="s">
        <v>23</v>
      </c>
      <c r="F850" s="87" t="s">
        <v>617</v>
      </c>
      <c r="G850" s="94"/>
      <c r="H850" s="87"/>
      <c r="I850" s="87"/>
    </row>
    <row r="851">
      <c r="A851" s="87">
        <v>728.0</v>
      </c>
      <c r="B851" s="87" t="s">
        <v>623</v>
      </c>
      <c r="C851" s="93">
        <v>2.0</v>
      </c>
      <c r="D851" s="87" t="s">
        <v>39</v>
      </c>
      <c r="E851" s="87" t="s">
        <v>23</v>
      </c>
      <c r="F851" s="87" t="s">
        <v>617</v>
      </c>
      <c r="G851" s="94"/>
      <c r="H851" s="87"/>
      <c r="I851" s="87"/>
    </row>
    <row r="852">
      <c r="A852" s="87">
        <v>730.0</v>
      </c>
      <c r="B852" s="87" t="s">
        <v>624</v>
      </c>
      <c r="C852" s="93">
        <v>1.0</v>
      </c>
      <c r="D852" s="87" t="s">
        <v>39</v>
      </c>
      <c r="E852" s="87" t="s">
        <v>23</v>
      </c>
      <c r="F852" s="87" t="s">
        <v>617</v>
      </c>
      <c r="G852" s="94"/>
      <c r="H852" s="87"/>
      <c r="I852" s="87"/>
    </row>
    <row r="853">
      <c r="A853" s="87">
        <v>717.0</v>
      </c>
      <c r="B853" s="87" t="s">
        <v>625</v>
      </c>
      <c r="C853" s="93">
        <v>1.0</v>
      </c>
      <c r="D853" s="87" t="s">
        <v>39</v>
      </c>
      <c r="E853" s="87" t="s">
        <v>23</v>
      </c>
      <c r="F853" s="87" t="s">
        <v>617</v>
      </c>
      <c r="G853" s="94"/>
      <c r="H853" s="87"/>
      <c r="I853" s="87"/>
    </row>
    <row r="854">
      <c r="A854" s="87">
        <v>727.0</v>
      </c>
      <c r="B854" s="87" t="s">
        <v>626</v>
      </c>
      <c r="C854" s="93">
        <v>2.0</v>
      </c>
      <c r="D854" s="87" t="s">
        <v>39</v>
      </c>
      <c r="E854" s="87" t="s">
        <v>23</v>
      </c>
      <c r="F854" s="87" t="s">
        <v>617</v>
      </c>
      <c r="G854" s="94"/>
      <c r="H854" s="87"/>
      <c r="I854" s="87"/>
    </row>
    <row r="855">
      <c r="A855" s="87">
        <v>724.0</v>
      </c>
      <c r="B855" s="87" t="s">
        <v>627</v>
      </c>
      <c r="C855" s="93">
        <v>11.0</v>
      </c>
      <c r="D855" s="87" t="s">
        <v>39</v>
      </c>
      <c r="E855" s="87" t="s">
        <v>23</v>
      </c>
      <c r="F855" s="87" t="s">
        <v>617</v>
      </c>
      <c r="G855" s="94"/>
      <c r="H855" s="87"/>
      <c r="I855" s="87"/>
    </row>
    <row r="856">
      <c r="A856" s="87">
        <v>725.0</v>
      </c>
      <c r="B856" s="87" t="s">
        <v>628</v>
      </c>
      <c r="C856" s="93">
        <v>2.0</v>
      </c>
      <c r="D856" s="87" t="s">
        <v>39</v>
      </c>
      <c r="E856" s="87" t="s">
        <v>23</v>
      </c>
      <c r="F856" s="87" t="s">
        <v>617</v>
      </c>
      <c r="G856" s="94"/>
      <c r="H856" s="87"/>
      <c r="I856" s="87"/>
    </row>
    <row r="857">
      <c r="A857" s="87">
        <v>723.0</v>
      </c>
      <c r="B857" s="87" t="s">
        <v>629</v>
      </c>
      <c r="C857" s="93">
        <v>2.0</v>
      </c>
      <c r="D857" s="87" t="s">
        <v>39</v>
      </c>
      <c r="E857" s="87" t="s">
        <v>23</v>
      </c>
      <c r="F857" s="87" t="s">
        <v>617</v>
      </c>
      <c r="G857" s="94"/>
      <c r="H857" s="87"/>
      <c r="I857" s="87"/>
    </row>
    <row r="858">
      <c r="A858" s="87">
        <v>718.0</v>
      </c>
      <c r="B858" s="87" t="s">
        <v>630</v>
      </c>
      <c r="C858" s="93">
        <v>1.0</v>
      </c>
      <c r="D858" s="87" t="s">
        <v>39</v>
      </c>
      <c r="E858" s="87" t="s">
        <v>23</v>
      </c>
      <c r="F858" s="87" t="s">
        <v>617</v>
      </c>
      <c r="G858" s="94"/>
      <c r="H858" s="87"/>
      <c r="I858" s="87"/>
    </row>
    <row r="859">
      <c r="A859" s="87">
        <v>724.0</v>
      </c>
      <c r="B859" s="87" t="s">
        <v>631</v>
      </c>
      <c r="C859" s="93">
        <v>1.0</v>
      </c>
      <c r="D859" s="87" t="s">
        <v>39</v>
      </c>
      <c r="E859" s="87" t="s">
        <v>26</v>
      </c>
      <c r="F859" s="87" t="s">
        <v>632</v>
      </c>
      <c r="G859" s="94">
        <v>4.0145379E7</v>
      </c>
      <c r="H859" s="87"/>
      <c r="I859" s="87" t="s">
        <v>633</v>
      </c>
    </row>
    <row r="860">
      <c r="A860" s="87">
        <v>899.0</v>
      </c>
      <c r="B860" s="87" t="s">
        <v>634</v>
      </c>
      <c r="C860" s="93">
        <v>1.0</v>
      </c>
      <c r="D860" s="87" t="s">
        <v>39</v>
      </c>
      <c r="E860" s="87" t="s">
        <v>26</v>
      </c>
      <c r="F860" s="87" t="s">
        <v>632</v>
      </c>
      <c r="G860" s="94">
        <v>4.034911E7</v>
      </c>
      <c r="H860" s="87" t="s">
        <v>635</v>
      </c>
      <c r="I860" s="87" t="s">
        <v>636</v>
      </c>
    </row>
    <row r="861">
      <c r="A861" s="87">
        <v>1148.0</v>
      </c>
      <c r="B861" s="87" t="s">
        <v>637</v>
      </c>
      <c r="C861" s="93">
        <v>1.0</v>
      </c>
      <c r="D861" s="87" t="s">
        <v>39</v>
      </c>
      <c r="E861" s="87" t="s">
        <v>26</v>
      </c>
      <c r="F861" s="87" t="s">
        <v>632</v>
      </c>
      <c r="G861" s="94">
        <v>7.6839621E7</v>
      </c>
      <c r="H861" s="87" t="s">
        <v>638</v>
      </c>
      <c r="I861" s="87" t="s">
        <v>639</v>
      </c>
    </row>
    <row r="862">
      <c r="A862" s="87">
        <v>1175.0</v>
      </c>
      <c r="B862" s="87" t="s">
        <v>640</v>
      </c>
      <c r="C862" s="93">
        <v>1.0</v>
      </c>
      <c r="D862" s="87" t="s">
        <v>39</v>
      </c>
      <c r="E862" s="87" t="s">
        <v>26</v>
      </c>
      <c r="F862" s="87" t="s">
        <v>632</v>
      </c>
      <c r="G862" s="94">
        <v>7.6866475E7</v>
      </c>
      <c r="H862" s="87" t="s">
        <v>641</v>
      </c>
      <c r="I862" s="87"/>
    </row>
    <row r="863">
      <c r="A863" s="87">
        <v>1198.0</v>
      </c>
      <c r="B863" s="87" t="s">
        <v>634</v>
      </c>
      <c r="C863" s="93">
        <v>1.0</v>
      </c>
      <c r="D863" s="87" t="s">
        <v>39</v>
      </c>
      <c r="E863" s="87" t="s">
        <v>258</v>
      </c>
      <c r="F863" s="87" t="s">
        <v>642</v>
      </c>
      <c r="G863" s="94">
        <v>7.6878953E7</v>
      </c>
      <c r="H863" s="87"/>
      <c r="I863" s="87" t="s">
        <v>643</v>
      </c>
    </row>
    <row r="864">
      <c r="A864" s="87">
        <v>1526.0</v>
      </c>
      <c r="B864" s="87" t="s">
        <v>644</v>
      </c>
      <c r="C864" s="93">
        <v>1.0</v>
      </c>
      <c r="D864" s="87" t="s">
        <v>39</v>
      </c>
      <c r="E864" s="87" t="s">
        <v>23</v>
      </c>
      <c r="F864" s="87" t="s">
        <v>645</v>
      </c>
      <c r="G864" s="94">
        <v>7.693117E7</v>
      </c>
      <c r="H864" s="87"/>
      <c r="I864" s="87" t="s">
        <v>646</v>
      </c>
    </row>
    <row r="865">
      <c r="A865" s="87">
        <v>1143.0</v>
      </c>
      <c r="B865" s="87" t="s">
        <v>647</v>
      </c>
      <c r="C865" s="93">
        <v>1.0</v>
      </c>
      <c r="D865" s="87" t="s">
        <v>39</v>
      </c>
      <c r="E865" s="87" t="s">
        <v>23</v>
      </c>
      <c r="F865" s="87" t="s">
        <v>645</v>
      </c>
      <c r="G865" s="94">
        <v>7.6838005E7</v>
      </c>
      <c r="H865" s="87"/>
      <c r="I865" s="87" t="s">
        <v>648</v>
      </c>
    </row>
    <row r="866">
      <c r="A866" s="87">
        <v>783.0</v>
      </c>
      <c r="B866" s="87" t="s">
        <v>631</v>
      </c>
      <c r="C866" s="93">
        <v>1.0</v>
      </c>
      <c r="D866" s="87" t="s">
        <v>39</v>
      </c>
      <c r="E866" s="87" t="s">
        <v>26</v>
      </c>
      <c r="F866" s="87" t="s">
        <v>645</v>
      </c>
      <c r="G866" s="94">
        <v>4.0109895E7</v>
      </c>
      <c r="H866" s="87"/>
      <c r="I866" s="87" t="s">
        <v>649</v>
      </c>
    </row>
    <row r="867">
      <c r="A867" s="87">
        <v>784.0</v>
      </c>
      <c r="B867" s="87" t="s">
        <v>631</v>
      </c>
      <c r="C867" s="93">
        <v>1.0</v>
      </c>
      <c r="D867" s="87" t="s">
        <v>39</v>
      </c>
      <c r="E867" s="87" t="s">
        <v>26</v>
      </c>
      <c r="F867" s="87" t="s">
        <v>645</v>
      </c>
      <c r="G867" s="94">
        <v>4.0145387E7</v>
      </c>
      <c r="H867" s="87"/>
      <c r="I867" s="87" t="s">
        <v>650</v>
      </c>
    </row>
    <row r="868">
      <c r="A868" s="87">
        <v>4.0</v>
      </c>
      <c r="B868" s="87" t="s">
        <v>252</v>
      </c>
      <c r="C868" s="93">
        <v>1.0</v>
      </c>
      <c r="D868" s="87" t="s">
        <v>39</v>
      </c>
      <c r="E868" s="87" t="s">
        <v>26</v>
      </c>
      <c r="F868" s="87" t="s">
        <v>645</v>
      </c>
      <c r="G868" s="94">
        <v>3.0470056E7</v>
      </c>
      <c r="H868" s="87"/>
      <c r="I868" s="87" t="s">
        <v>651</v>
      </c>
    </row>
    <row r="869">
      <c r="A869" s="87">
        <v>857.0</v>
      </c>
      <c r="B869" s="87" t="s">
        <v>652</v>
      </c>
      <c r="C869" s="93">
        <v>1.0</v>
      </c>
      <c r="D869" s="87" t="s">
        <v>39</v>
      </c>
      <c r="E869" s="87" t="s">
        <v>23</v>
      </c>
      <c r="F869" s="87" t="s">
        <v>645</v>
      </c>
      <c r="G869" s="94"/>
      <c r="H869" s="87"/>
      <c r="I869" s="87" t="s">
        <v>653</v>
      </c>
    </row>
    <row r="870">
      <c r="A870" s="87">
        <v>1527.0</v>
      </c>
      <c r="B870" s="87" t="s">
        <v>654</v>
      </c>
      <c r="C870" s="93">
        <v>1.0</v>
      </c>
      <c r="D870" s="87" t="s">
        <v>39</v>
      </c>
      <c r="E870" s="87" t="s">
        <v>23</v>
      </c>
      <c r="F870" s="87" t="s">
        <v>645</v>
      </c>
      <c r="G870" s="94">
        <v>7.6931188E7</v>
      </c>
      <c r="H870" s="87"/>
      <c r="I870" s="87" t="s">
        <v>655</v>
      </c>
    </row>
    <row r="871">
      <c r="A871" s="87">
        <v>1528.0</v>
      </c>
      <c r="B871" s="87" t="s">
        <v>654</v>
      </c>
      <c r="C871" s="93">
        <v>1.0</v>
      </c>
      <c r="D871" s="87" t="s">
        <v>39</v>
      </c>
      <c r="E871" s="87" t="s">
        <v>23</v>
      </c>
      <c r="F871" s="87" t="s">
        <v>645</v>
      </c>
      <c r="G871" s="94">
        <v>7.6931196E7</v>
      </c>
      <c r="H871" s="87"/>
      <c r="I871" s="87" t="s">
        <v>656</v>
      </c>
    </row>
    <row r="872">
      <c r="A872" s="87">
        <v>532.0</v>
      </c>
      <c r="B872" s="87" t="s">
        <v>657</v>
      </c>
      <c r="C872" s="93">
        <v>1.0</v>
      </c>
      <c r="D872" s="87" t="s">
        <v>39</v>
      </c>
      <c r="E872" s="87" t="s">
        <v>26</v>
      </c>
      <c r="F872" s="87" t="s">
        <v>645</v>
      </c>
      <c r="G872" s="94">
        <v>1.3947338E7</v>
      </c>
      <c r="H872" s="87"/>
      <c r="I872" s="87"/>
    </row>
    <row r="873">
      <c r="A873" s="87">
        <v>894.0</v>
      </c>
      <c r="B873" s="87" t="s">
        <v>657</v>
      </c>
      <c r="C873" s="93">
        <v>1.0</v>
      </c>
      <c r="D873" s="87" t="s">
        <v>39</v>
      </c>
      <c r="E873" s="87" t="s">
        <v>40</v>
      </c>
      <c r="F873" s="87" t="s">
        <v>645</v>
      </c>
      <c r="G873" s="94">
        <v>4.0281256E7</v>
      </c>
      <c r="H873" s="87"/>
      <c r="I873" s="87"/>
    </row>
    <row r="874">
      <c r="A874" s="87">
        <v>733.0</v>
      </c>
      <c r="B874" s="87" t="s">
        <v>634</v>
      </c>
      <c r="C874" s="93">
        <v>1.0</v>
      </c>
      <c r="D874" s="87" t="s">
        <v>39</v>
      </c>
      <c r="E874" s="87" t="s">
        <v>40</v>
      </c>
      <c r="F874" s="87" t="s">
        <v>645</v>
      </c>
      <c r="G874" s="94">
        <v>4.0349047E7</v>
      </c>
      <c r="H874" s="87" t="s">
        <v>658</v>
      </c>
      <c r="I874" s="87" t="s">
        <v>659</v>
      </c>
    </row>
    <row r="875">
      <c r="A875" s="87">
        <v>809.0</v>
      </c>
      <c r="B875" s="87" t="s">
        <v>634</v>
      </c>
      <c r="C875" s="93">
        <v>1.0</v>
      </c>
      <c r="D875" s="87" t="s">
        <v>39</v>
      </c>
      <c r="E875" s="87" t="s">
        <v>26</v>
      </c>
      <c r="F875" s="87" t="s">
        <v>645</v>
      </c>
      <c r="G875" s="94">
        <v>1.3896539E7</v>
      </c>
      <c r="H875" s="87" t="s">
        <v>660</v>
      </c>
      <c r="I875" s="87" t="s">
        <v>661</v>
      </c>
    </row>
    <row r="876">
      <c r="A876" s="87">
        <v>901.0</v>
      </c>
      <c r="B876" s="87" t="s">
        <v>634</v>
      </c>
      <c r="C876" s="93">
        <v>1.0</v>
      </c>
      <c r="D876" s="87" t="s">
        <v>39</v>
      </c>
      <c r="E876" s="87" t="s">
        <v>40</v>
      </c>
      <c r="F876" s="87" t="s">
        <v>645</v>
      </c>
      <c r="G876" s="94">
        <v>4.0352684E7</v>
      </c>
      <c r="H876" s="87" t="s">
        <v>662</v>
      </c>
      <c r="I876" s="87" t="s">
        <v>663</v>
      </c>
    </row>
    <row r="877">
      <c r="A877" s="87">
        <v>902.0</v>
      </c>
      <c r="B877" s="87" t="s">
        <v>634</v>
      </c>
      <c r="C877" s="93">
        <v>1.0</v>
      </c>
      <c r="D877" s="87" t="s">
        <v>39</v>
      </c>
      <c r="E877" s="87" t="s">
        <v>664</v>
      </c>
      <c r="F877" s="87" t="s">
        <v>645</v>
      </c>
      <c r="G877" s="94">
        <v>4.0364593E7</v>
      </c>
      <c r="H877" s="87"/>
      <c r="I877" s="87" t="s">
        <v>665</v>
      </c>
    </row>
    <row r="878">
      <c r="A878" s="87">
        <v>935.0</v>
      </c>
      <c r="B878" s="87" t="s">
        <v>634</v>
      </c>
      <c r="C878" s="93">
        <v>1.0</v>
      </c>
      <c r="D878" s="87" t="s">
        <v>39</v>
      </c>
      <c r="E878" s="87" t="s">
        <v>253</v>
      </c>
      <c r="F878" s="87" t="s">
        <v>645</v>
      </c>
      <c r="G878" s="94">
        <v>6.2841998E7</v>
      </c>
      <c r="H878" s="87" t="s">
        <v>666</v>
      </c>
      <c r="I878" s="87" t="s">
        <v>667</v>
      </c>
    </row>
    <row r="879">
      <c r="A879" s="87">
        <v>1208.0</v>
      </c>
      <c r="B879" s="87" t="s">
        <v>634</v>
      </c>
      <c r="C879" s="93">
        <v>1.0</v>
      </c>
      <c r="D879" s="87" t="s">
        <v>39</v>
      </c>
      <c r="E879" s="87" t="s">
        <v>40</v>
      </c>
      <c r="F879" s="87" t="s">
        <v>645</v>
      </c>
      <c r="G879" s="94">
        <v>8.4192038E7</v>
      </c>
      <c r="H879" s="87" t="s">
        <v>668</v>
      </c>
      <c r="I879" s="87" t="s">
        <v>669</v>
      </c>
    </row>
    <row r="880">
      <c r="A880" s="87">
        <v>1495.0</v>
      </c>
      <c r="B880" s="87" t="s">
        <v>670</v>
      </c>
      <c r="C880" s="93">
        <v>1.0</v>
      </c>
      <c r="D880" s="87" t="s">
        <v>39</v>
      </c>
      <c r="E880" s="87" t="s">
        <v>23</v>
      </c>
      <c r="F880" s="87" t="s">
        <v>645</v>
      </c>
      <c r="G880" s="94">
        <v>7.6975614E7</v>
      </c>
      <c r="H880" s="87"/>
      <c r="I880" s="87" t="s">
        <v>671</v>
      </c>
    </row>
    <row r="881">
      <c r="A881" s="87">
        <v>898.0</v>
      </c>
      <c r="B881" s="87" t="s">
        <v>672</v>
      </c>
      <c r="C881" s="93">
        <v>1.0</v>
      </c>
      <c r="D881" s="87" t="s">
        <v>39</v>
      </c>
      <c r="E881" s="87" t="s">
        <v>26</v>
      </c>
      <c r="F881" s="87" t="s">
        <v>645</v>
      </c>
      <c r="G881" s="94">
        <v>4.0304426E7</v>
      </c>
      <c r="H881" s="87"/>
      <c r="I881" s="87" t="s">
        <v>673</v>
      </c>
    </row>
    <row r="882">
      <c r="A882" s="87">
        <v>90.0</v>
      </c>
      <c r="B882" s="87" t="s">
        <v>674</v>
      </c>
      <c r="C882" s="93">
        <v>1.0</v>
      </c>
      <c r="D882" s="87" t="s">
        <v>39</v>
      </c>
      <c r="E882" s="87" t="s">
        <v>26</v>
      </c>
      <c r="F882" s="87" t="s">
        <v>645</v>
      </c>
      <c r="G882" s="94">
        <v>4.0304175E7</v>
      </c>
      <c r="H882" s="87"/>
      <c r="I882" s="87"/>
    </row>
    <row r="883">
      <c r="A883" s="87">
        <v>1496.0</v>
      </c>
      <c r="B883" s="87" t="s">
        <v>675</v>
      </c>
      <c r="C883" s="93">
        <v>1.0</v>
      </c>
      <c r="D883" s="87" t="s">
        <v>39</v>
      </c>
      <c r="E883" s="87" t="s">
        <v>23</v>
      </c>
      <c r="F883" s="87" t="s">
        <v>645</v>
      </c>
      <c r="G883" s="94">
        <v>7.697546E7</v>
      </c>
      <c r="H883" s="87"/>
      <c r="I883" s="87" t="s">
        <v>676</v>
      </c>
    </row>
    <row r="884">
      <c r="A884" s="87">
        <v>1008.0</v>
      </c>
      <c r="B884" s="87" t="s">
        <v>677</v>
      </c>
      <c r="C884" s="93">
        <v>1.0</v>
      </c>
      <c r="D884" s="87" t="s">
        <v>39</v>
      </c>
      <c r="E884" s="87" t="s">
        <v>40</v>
      </c>
      <c r="F884" s="87" t="s">
        <v>645</v>
      </c>
      <c r="G884" s="94">
        <v>7.6723283E7</v>
      </c>
      <c r="H884" s="87"/>
      <c r="I884" s="87" t="s">
        <v>645</v>
      </c>
    </row>
    <row r="885">
      <c r="A885" s="87">
        <v>1009.0</v>
      </c>
      <c r="B885" s="87" t="s">
        <v>677</v>
      </c>
      <c r="C885" s="93">
        <v>1.0</v>
      </c>
      <c r="D885" s="87" t="s">
        <v>39</v>
      </c>
      <c r="E885" s="87" t="s">
        <v>26</v>
      </c>
      <c r="F885" s="87" t="s">
        <v>645</v>
      </c>
      <c r="G885" s="94">
        <v>7.6723291E7</v>
      </c>
      <c r="H885" s="87"/>
      <c r="I885" s="87"/>
    </row>
    <row r="886">
      <c r="A886" s="87">
        <v>1694.0</v>
      </c>
      <c r="B886" s="87" t="s">
        <v>678</v>
      </c>
      <c r="C886" s="93">
        <v>1.0</v>
      </c>
      <c r="D886" s="87" t="s">
        <v>39</v>
      </c>
      <c r="E886" s="87" t="s">
        <v>26</v>
      </c>
      <c r="F886" s="87" t="s">
        <v>645</v>
      </c>
      <c r="G886" s="94">
        <v>7.697711E7</v>
      </c>
      <c r="H886" s="87"/>
      <c r="I886" s="87"/>
    </row>
    <row r="887">
      <c r="A887" s="87">
        <v>495.0</v>
      </c>
      <c r="B887" s="87" t="s">
        <v>260</v>
      </c>
      <c r="C887" s="93">
        <v>1.0</v>
      </c>
      <c r="D887" s="87" t="s">
        <v>39</v>
      </c>
      <c r="E887" s="87" t="s">
        <v>26</v>
      </c>
      <c r="F887" s="87" t="s">
        <v>679</v>
      </c>
      <c r="G887" s="94">
        <v>1.3763903E7</v>
      </c>
      <c r="H887" s="87"/>
      <c r="I887" s="87" t="s">
        <v>680</v>
      </c>
    </row>
    <row r="888">
      <c r="A888" s="87">
        <v>508.0</v>
      </c>
      <c r="B888" s="87" t="s">
        <v>681</v>
      </c>
      <c r="C888" s="93">
        <v>1.0</v>
      </c>
      <c r="D888" s="87" t="s">
        <v>39</v>
      </c>
      <c r="E888" s="87" t="s">
        <v>26</v>
      </c>
      <c r="F888" s="87" t="s">
        <v>679</v>
      </c>
      <c r="G888" s="94">
        <v>1.3796917E7</v>
      </c>
      <c r="H888" s="87"/>
      <c r="I888" s="87"/>
    </row>
    <row r="889">
      <c r="A889" s="87">
        <v>582.0</v>
      </c>
      <c r="B889" s="87" t="s">
        <v>265</v>
      </c>
      <c r="C889" s="93">
        <v>1.0</v>
      </c>
      <c r="D889" s="87" t="s">
        <v>39</v>
      </c>
      <c r="E889" s="87" t="s">
        <v>26</v>
      </c>
      <c r="F889" s="87" t="s">
        <v>679</v>
      </c>
      <c r="G889" s="94">
        <v>3.5451432E7</v>
      </c>
      <c r="H889" s="87"/>
      <c r="I889" s="87"/>
    </row>
    <row r="890">
      <c r="A890" s="87">
        <v>781.0</v>
      </c>
      <c r="B890" s="87" t="s">
        <v>682</v>
      </c>
      <c r="C890" s="93"/>
      <c r="D890" s="87" t="s">
        <v>275</v>
      </c>
      <c r="E890" s="87" t="s">
        <v>16</v>
      </c>
      <c r="F890" s="87" t="s">
        <v>683</v>
      </c>
      <c r="G890" s="94"/>
      <c r="H890" s="87"/>
      <c r="I890" s="87"/>
    </row>
    <row r="891">
      <c r="A891" s="87">
        <v>780.0</v>
      </c>
      <c r="B891" s="87" t="s">
        <v>684</v>
      </c>
      <c r="C891" s="93"/>
      <c r="D891" s="87" t="s">
        <v>275</v>
      </c>
      <c r="E891" s="87" t="s">
        <v>16</v>
      </c>
      <c r="F891" s="87" t="s">
        <v>683</v>
      </c>
      <c r="G891" s="94"/>
      <c r="H891" s="87"/>
      <c r="I891" s="87"/>
    </row>
    <row r="892">
      <c r="A892" s="87">
        <v>778.0</v>
      </c>
      <c r="B892" s="87" t="s">
        <v>301</v>
      </c>
      <c r="C892" s="93"/>
      <c r="D892" s="87" t="s">
        <v>275</v>
      </c>
      <c r="E892" s="87" t="s">
        <v>16</v>
      </c>
      <c r="F892" s="87" t="s">
        <v>683</v>
      </c>
      <c r="G892" s="94"/>
      <c r="H892" s="87"/>
      <c r="I892" s="87"/>
    </row>
    <row r="893">
      <c r="A893" s="87">
        <v>774.0</v>
      </c>
      <c r="B893" s="87" t="s">
        <v>46</v>
      </c>
      <c r="C893" s="93">
        <v>5.0</v>
      </c>
      <c r="D893" s="87" t="s">
        <v>275</v>
      </c>
      <c r="E893" s="87" t="s">
        <v>16</v>
      </c>
      <c r="F893" s="87" t="s">
        <v>683</v>
      </c>
      <c r="G893" s="94"/>
      <c r="H893" s="87"/>
      <c r="I893" s="87"/>
    </row>
    <row r="894">
      <c r="A894" s="87">
        <v>775.0</v>
      </c>
      <c r="B894" s="87" t="s">
        <v>303</v>
      </c>
      <c r="C894" s="93"/>
      <c r="D894" s="87" t="s">
        <v>275</v>
      </c>
      <c r="E894" s="87" t="s">
        <v>16</v>
      </c>
      <c r="F894" s="87" t="s">
        <v>683</v>
      </c>
      <c r="G894" s="94"/>
      <c r="H894" s="87"/>
      <c r="I894" s="87"/>
    </row>
    <row r="895">
      <c r="A895" s="87">
        <v>776.0</v>
      </c>
      <c r="B895" s="87" t="s">
        <v>304</v>
      </c>
      <c r="C895" s="93"/>
      <c r="D895" s="87" t="s">
        <v>275</v>
      </c>
      <c r="E895" s="87" t="s">
        <v>16</v>
      </c>
      <c r="F895" s="87" t="s">
        <v>683</v>
      </c>
      <c r="G895" s="94"/>
      <c r="H895" s="87"/>
      <c r="I895" s="87"/>
    </row>
    <row r="896">
      <c r="A896" s="87">
        <v>784.0</v>
      </c>
      <c r="B896" s="87" t="s">
        <v>685</v>
      </c>
      <c r="C896" s="93"/>
      <c r="D896" s="87" t="s">
        <v>275</v>
      </c>
      <c r="E896" s="87" t="s">
        <v>16</v>
      </c>
      <c r="F896" s="87" t="s">
        <v>683</v>
      </c>
      <c r="G896" s="94"/>
      <c r="H896" s="87"/>
      <c r="I896" s="87"/>
    </row>
    <row r="897">
      <c r="A897" s="87">
        <v>755.0</v>
      </c>
      <c r="B897" s="87" t="s">
        <v>309</v>
      </c>
      <c r="C897" s="93"/>
      <c r="D897" s="87" t="s">
        <v>275</v>
      </c>
      <c r="E897" s="87" t="s">
        <v>16</v>
      </c>
      <c r="F897" s="87" t="s">
        <v>683</v>
      </c>
      <c r="G897" s="94"/>
      <c r="H897" s="87"/>
      <c r="I897" s="87"/>
    </row>
    <row r="898">
      <c r="A898" s="87">
        <v>779.0</v>
      </c>
      <c r="B898" s="87" t="s">
        <v>320</v>
      </c>
      <c r="C898" s="93"/>
      <c r="D898" s="87" t="s">
        <v>275</v>
      </c>
      <c r="E898" s="87" t="s">
        <v>16</v>
      </c>
      <c r="F898" s="87" t="s">
        <v>683</v>
      </c>
      <c r="G898" s="94"/>
      <c r="H898" s="87"/>
      <c r="I898" s="87"/>
    </row>
    <row r="899">
      <c r="A899" s="87">
        <v>777.0</v>
      </c>
      <c r="B899" s="87" t="s">
        <v>686</v>
      </c>
      <c r="C899" s="93"/>
      <c r="D899" s="87" t="s">
        <v>275</v>
      </c>
      <c r="E899" s="87" t="s">
        <v>16</v>
      </c>
      <c r="F899" s="87" t="s">
        <v>683</v>
      </c>
      <c r="G899" s="94"/>
      <c r="H899" s="87"/>
      <c r="I899" s="87"/>
    </row>
    <row r="900">
      <c r="A900" s="87">
        <v>783.0</v>
      </c>
      <c r="B900" s="87" t="s">
        <v>323</v>
      </c>
      <c r="C900" s="93"/>
      <c r="D900" s="87" t="s">
        <v>275</v>
      </c>
      <c r="E900" s="87" t="s">
        <v>16</v>
      </c>
      <c r="F900" s="87" t="s">
        <v>683</v>
      </c>
      <c r="G900" s="94"/>
      <c r="H900" s="87"/>
      <c r="I900" s="87"/>
    </row>
    <row r="901">
      <c r="A901" s="87">
        <v>782.0</v>
      </c>
      <c r="B901" s="87" t="s">
        <v>324</v>
      </c>
      <c r="C901" s="93"/>
      <c r="D901" s="87" t="s">
        <v>275</v>
      </c>
      <c r="E901" s="87" t="s">
        <v>16</v>
      </c>
      <c r="F901" s="87" t="s">
        <v>683</v>
      </c>
      <c r="G901" s="94"/>
      <c r="H901" s="87"/>
      <c r="I901" s="87"/>
    </row>
    <row r="902">
      <c r="A902" s="87">
        <v>787.0</v>
      </c>
      <c r="B902" s="87" t="s">
        <v>687</v>
      </c>
      <c r="C902" s="93"/>
      <c r="D902" s="87" t="s">
        <v>275</v>
      </c>
      <c r="E902" s="87" t="s">
        <v>16</v>
      </c>
      <c r="F902" s="87" t="s">
        <v>683</v>
      </c>
      <c r="G902" s="94"/>
      <c r="H902" s="87"/>
      <c r="I902" s="87"/>
    </row>
    <row r="903">
      <c r="A903" s="87">
        <v>785.0</v>
      </c>
      <c r="B903" s="87" t="s">
        <v>688</v>
      </c>
      <c r="C903" s="93"/>
      <c r="D903" s="87" t="s">
        <v>275</v>
      </c>
      <c r="E903" s="87" t="s">
        <v>16</v>
      </c>
      <c r="F903" s="87" t="s">
        <v>683</v>
      </c>
      <c r="G903" s="94"/>
      <c r="H903" s="87"/>
      <c r="I903" s="87"/>
    </row>
    <row r="904">
      <c r="A904" s="87">
        <v>788.0</v>
      </c>
      <c r="B904" s="87" t="s">
        <v>343</v>
      </c>
      <c r="C904" s="93"/>
      <c r="D904" s="87" t="s">
        <v>275</v>
      </c>
      <c r="E904" s="87" t="s">
        <v>16</v>
      </c>
      <c r="F904" s="87" t="s">
        <v>683</v>
      </c>
      <c r="G904" s="94"/>
      <c r="H904" s="87"/>
      <c r="I904" s="87"/>
    </row>
    <row r="905">
      <c r="A905" s="87">
        <v>773.0</v>
      </c>
      <c r="B905" s="87" t="s">
        <v>87</v>
      </c>
      <c r="C905" s="93"/>
      <c r="D905" s="87" t="s">
        <v>275</v>
      </c>
      <c r="E905" s="87" t="s">
        <v>16</v>
      </c>
      <c r="F905" s="87" t="s">
        <v>683</v>
      </c>
      <c r="G905" s="94"/>
      <c r="H905" s="87"/>
      <c r="I905" s="87"/>
    </row>
    <row r="906">
      <c r="A906" s="87">
        <v>786.0</v>
      </c>
      <c r="B906" s="87" t="s">
        <v>221</v>
      </c>
      <c r="C906" s="93"/>
      <c r="D906" s="87" t="s">
        <v>275</v>
      </c>
      <c r="E906" s="87" t="s">
        <v>16</v>
      </c>
      <c r="F906" s="87" t="s">
        <v>683</v>
      </c>
      <c r="G906" s="94"/>
      <c r="H906" s="87"/>
      <c r="I906" s="87"/>
    </row>
    <row r="907">
      <c r="A907" s="87">
        <v>39.0</v>
      </c>
      <c r="B907" s="87" t="s">
        <v>262</v>
      </c>
      <c r="C907" s="93">
        <v>1.0</v>
      </c>
      <c r="D907" s="87" t="s">
        <v>39</v>
      </c>
      <c r="E907" s="87" t="s">
        <v>25</v>
      </c>
      <c r="F907" s="87" t="s">
        <v>689</v>
      </c>
      <c r="G907" s="94">
        <v>1.2190241E7</v>
      </c>
      <c r="H907" s="87"/>
      <c r="I907" s="87" t="s">
        <v>690</v>
      </c>
    </row>
    <row r="908">
      <c r="A908" s="87">
        <v>452.0</v>
      </c>
      <c r="B908" s="87" t="s">
        <v>536</v>
      </c>
      <c r="C908" s="93">
        <v>1.0</v>
      </c>
      <c r="D908" s="87" t="s">
        <v>39</v>
      </c>
      <c r="E908" s="87" t="s">
        <v>25</v>
      </c>
      <c r="F908" s="87" t="s">
        <v>689</v>
      </c>
      <c r="G908" s="94">
        <v>45623.0</v>
      </c>
      <c r="H908" s="87"/>
      <c r="I908" s="87" t="s">
        <v>691</v>
      </c>
    </row>
    <row r="909">
      <c r="A909" s="87">
        <v>453.0</v>
      </c>
      <c r="B909" s="87" t="s">
        <v>692</v>
      </c>
      <c r="C909" s="93">
        <v>1.0</v>
      </c>
      <c r="D909" s="87" t="s">
        <v>39</v>
      </c>
      <c r="E909" s="87" t="s">
        <v>25</v>
      </c>
      <c r="F909" s="87" t="s">
        <v>689</v>
      </c>
      <c r="G909" s="94">
        <v>45786.0</v>
      </c>
      <c r="H909" s="87"/>
      <c r="I909" s="87"/>
    </row>
    <row r="910">
      <c r="A910" s="87">
        <v>454.0</v>
      </c>
      <c r="B910" s="87" t="s">
        <v>601</v>
      </c>
      <c r="C910" s="93">
        <v>1.0</v>
      </c>
      <c r="D910" s="87" t="s">
        <v>39</v>
      </c>
      <c r="E910" s="87" t="s">
        <v>25</v>
      </c>
      <c r="F910" s="87" t="s">
        <v>689</v>
      </c>
      <c r="G910" s="94">
        <v>45623.0</v>
      </c>
      <c r="H910" s="87"/>
      <c r="I910" s="87"/>
    </row>
    <row r="911">
      <c r="A911" s="87">
        <v>456.0</v>
      </c>
      <c r="B911" s="87" t="s">
        <v>296</v>
      </c>
      <c r="C911" s="93">
        <v>1.0</v>
      </c>
      <c r="D911" s="87" t="s">
        <v>39</v>
      </c>
      <c r="E911" s="87" t="s">
        <v>25</v>
      </c>
      <c r="F911" s="87" t="s">
        <v>689</v>
      </c>
      <c r="G911" s="94">
        <v>45623.0</v>
      </c>
      <c r="H911" s="87"/>
      <c r="I911" s="87" t="s">
        <v>693</v>
      </c>
    </row>
    <row r="912">
      <c r="A912" s="87">
        <v>457.0</v>
      </c>
      <c r="B912" s="87" t="s">
        <v>694</v>
      </c>
      <c r="C912" s="93">
        <v>1.0</v>
      </c>
      <c r="D912" s="87" t="s">
        <v>39</v>
      </c>
      <c r="E912" s="87" t="s">
        <v>25</v>
      </c>
      <c r="F912" s="87" t="s">
        <v>689</v>
      </c>
      <c r="G912" s="94"/>
      <c r="H912" s="87"/>
      <c r="I912" s="87"/>
    </row>
    <row r="913">
      <c r="A913" s="87">
        <v>483.0</v>
      </c>
      <c r="B913" s="87" t="s">
        <v>695</v>
      </c>
      <c r="C913" s="93">
        <v>1.0</v>
      </c>
      <c r="D913" s="87" t="s">
        <v>39</v>
      </c>
      <c r="E913" s="87" t="s">
        <v>25</v>
      </c>
      <c r="F913" s="87" t="s">
        <v>689</v>
      </c>
      <c r="G913" s="94">
        <v>7.6837548E7</v>
      </c>
      <c r="H913" s="87"/>
      <c r="I913" s="87" t="s">
        <v>696</v>
      </c>
    </row>
    <row r="914">
      <c r="A914" s="87">
        <v>458.0</v>
      </c>
      <c r="B914" s="87" t="s">
        <v>353</v>
      </c>
      <c r="C914" s="93">
        <v>8.0</v>
      </c>
      <c r="D914" s="87" t="s">
        <v>39</v>
      </c>
      <c r="E914" s="87" t="s">
        <v>25</v>
      </c>
      <c r="F914" s="87" t="s">
        <v>689</v>
      </c>
      <c r="G914" s="94">
        <v>45623.0</v>
      </c>
      <c r="H914" s="87"/>
      <c r="I914" s="87" t="s">
        <v>697</v>
      </c>
    </row>
    <row r="915">
      <c r="A915" s="87">
        <v>459.0</v>
      </c>
      <c r="B915" s="87" t="s">
        <v>698</v>
      </c>
      <c r="C915" s="93">
        <v>2.0</v>
      </c>
      <c r="D915" s="87" t="s">
        <v>39</v>
      </c>
      <c r="E915" s="87" t="s">
        <v>25</v>
      </c>
      <c r="F915" s="87" t="s">
        <v>689</v>
      </c>
      <c r="G915" s="94">
        <v>45786.0</v>
      </c>
      <c r="H915" s="87"/>
      <c r="I915" s="87"/>
    </row>
    <row r="916">
      <c r="A916" s="87">
        <v>460.0</v>
      </c>
      <c r="B916" s="87" t="s">
        <v>699</v>
      </c>
      <c r="C916" s="93">
        <v>1.0</v>
      </c>
      <c r="D916" s="87" t="s">
        <v>39</v>
      </c>
      <c r="E916" s="87" t="s">
        <v>25</v>
      </c>
      <c r="F916" s="87" t="s">
        <v>689</v>
      </c>
      <c r="G916" s="94"/>
      <c r="H916" s="87"/>
      <c r="I916" s="87"/>
    </row>
    <row r="917">
      <c r="A917" s="87">
        <v>461.0</v>
      </c>
      <c r="B917" s="87" t="s">
        <v>414</v>
      </c>
      <c r="C917" s="93">
        <v>1.0</v>
      </c>
      <c r="D917" s="87" t="s">
        <v>39</v>
      </c>
      <c r="E917" s="87" t="s">
        <v>25</v>
      </c>
      <c r="F917" s="87" t="s">
        <v>689</v>
      </c>
      <c r="G917" s="94">
        <v>45729.0</v>
      </c>
      <c r="H917" s="87"/>
      <c r="I917" s="87"/>
    </row>
    <row r="918">
      <c r="A918" s="87">
        <v>462.0</v>
      </c>
      <c r="B918" s="87" t="s">
        <v>415</v>
      </c>
      <c r="C918" s="93">
        <v>1.0</v>
      </c>
      <c r="D918" s="87" t="s">
        <v>39</v>
      </c>
      <c r="E918" s="87" t="s">
        <v>25</v>
      </c>
      <c r="F918" s="87" t="s">
        <v>689</v>
      </c>
      <c r="G918" s="94">
        <v>45729.0</v>
      </c>
      <c r="H918" s="87"/>
      <c r="I918" s="87"/>
    </row>
    <row r="919">
      <c r="A919" s="87">
        <v>463.0</v>
      </c>
      <c r="B919" s="87" t="s">
        <v>700</v>
      </c>
      <c r="C919" s="93">
        <v>1.0</v>
      </c>
      <c r="D919" s="87" t="s">
        <v>39</v>
      </c>
      <c r="E919" s="87" t="s">
        <v>25</v>
      </c>
      <c r="F919" s="87" t="s">
        <v>689</v>
      </c>
      <c r="G919" s="94"/>
      <c r="H919" s="87"/>
      <c r="I919" s="87"/>
    </row>
    <row r="920">
      <c r="A920" s="87">
        <v>464.0</v>
      </c>
      <c r="B920" s="87" t="s">
        <v>292</v>
      </c>
      <c r="C920" s="93">
        <v>2.0</v>
      </c>
      <c r="D920" s="87" t="s">
        <v>39</v>
      </c>
      <c r="E920" s="87" t="s">
        <v>25</v>
      </c>
      <c r="F920" s="87" t="s">
        <v>689</v>
      </c>
      <c r="G920" s="94">
        <v>45623.0</v>
      </c>
      <c r="H920" s="87"/>
      <c r="I920" s="87" t="s">
        <v>701</v>
      </c>
    </row>
    <row r="921">
      <c r="A921" s="87">
        <v>465.0</v>
      </c>
      <c r="B921" s="87" t="s">
        <v>702</v>
      </c>
      <c r="C921" s="93">
        <v>1.0</v>
      </c>
      <c r="D921" s="87" t="s">
        <v>39</v>
      </c>
      <c r="E921" s="87" t="s">
        <v>25</v>
      </c>
      <c r="F921" s="87" t="s">
        <v>689</v>
      </c>
      <c r="G921" s="94">
        <v>45623.0</v>
      </c>
      <c r="H921" s="87"/>
      <c r="I921" s="87"/>
    </row>
    <row r="922">
      <c r="A922" s="87">
        <v>466.0</v>
      </c>
      <c r="B922" s="87" t="s">
        <v>703</v>
      </c>
      <c r="C922" s="93">
        <v>7.0</v>
      </c>
      <c r="D922" s="87" t="s">
        <v>39</v>
      </c>
      <c r="E922" s="87" t="s">
        <v>25</v>
      </c>
      <c r="F922" s="87" t="s">
        <v>689</v>
      </c>
      <c r="G922" s="94">
        <v>45623.0</v>
      </c>
      <c r="H922" s="87"/>
      <c r="I922" s="87"/>
    </row>
    <row r="923">
      <c r="A923" s="87">
        <v>467.0</v>
      </c>
      <c r="B923" s="87" t="s">
        <v>704</v>
      </c>
      <c r="C923" s="93">
        <v>3.0</v>
      </c>
      <c r="D923" s="87" t="s">
        <v>39</v>
      </c>
      <c r="E923" s="87" t="s">
        <v>25</v>
      </c>
      <c r="F923" s="87" t="s">
        <v>689</v>
      </c>
      <c r="G923" s="94"/>
      <c r="H923" s="87"/>
      <c r="I923" s="87" t="s">
        <v>705</v>
      </c>
    </row>
    <row r="924">
      <c r="A924" s="87">
        <v>468.0</v>
      </c>
      <c r="B924" s="87" t="s">
        <v>417</v>
      </c>
      <c r="C924" s="93">
        <v>3.0</v>
      </c>
      <c r="D924" s="87" t="s">
        <v>39</v>
      </c>
      <c r="E924" s="87" t="s">
        <v>25</v>
      </c>
      <c r="F924" s="87" t="s">
        <v>689</v>
      </c>
      <c r="G924" s="94">
        <v>45623.0</v>
      </c>
      <c r="H924" s="87"/>
      <c r="I924" s="87" t="s">
        <v>706</v>
      </c>
    </row>
    <row r="925">
      <c r="A925" s="87">
        <v>503.0</v>
      </c>
      <c r="B925" s="87" t="s">
        <v>120</v>
      </c>
      <c r="C925" s="93">
        <v>1.0</v>
      </c>
      <c r="D925" s="87" t="s">
        <v>39</v>
      </c>
      <c r="E925" s="87" t="s">
        <v>25</v>
      </c>
      <c r="F925" s="87" t="s">
        <v>689</v>
      </c>
      <c r="G925" s="94">
        <v>1.3766473E7</v>
      </c>
      <c r="H925" s="87"/>
      <c r="I925" s="87"/>
    </row>
    <row r="926">
      <c r="A926" s="87">
        <v>529.0</v>
      </c>
      <c r="B926" s="87" t="s">
        <v>120</v>
      </c>
      <c r="C926" s="93">
        <v>1.0</v>
      </c>
      <c r="D926" s="87" t="s">
        <v>39</v>
      </c>
      <c r="E926" s="87" t="s">
        <v>25</v>
      </c>
      <c r="F926" s="87" t="s">
        <v>689</v>
      </c>
      <c r="G926" s="94">
        <v>1.3917021E7</v>
      </c>
      <c r="H926" s="87"/>
      <c r="I926" s="87"/>
    </row>
    <row r="927">
      <c r="A927" s="87">
        <v>530.0</v>
      </c>
      <c r="B927" s="87" t="s">
        <v>120</v>
      </c>
      <c r="C927" s="93">
        <v>1.0</v>
      </c>
      <c r="D927" s="87" t="s">
        <v>39</v>
      </c>
      <c r="E927" s="87" t="s">
        <v>25</v>
      </c>
      <c r="F927" s="87" t="s">
        <v>689</v>
      </c>
      <c r="G927" s="94">
        <v>1.391703E7</v>
      </c>
      <c r="H927" s="87"/>
      <c r="I927" s="87"/>
    </row>
    <row r="928">
      <c r="A928" s="87">
        <v>469.0</v>
      </c>
      <c r="B928" s="87" t="s">
        <v>281</v>
      </c>
      <c r="C928" s="93">
        <v>2.0</v>
      </c>
      <c r="D928" s="87" t="s">
        <v>39</v>
      </c>
      <c r="E928" s="87" t="s">
        <v>25</v>
      </c>
      <c r="F928" s="87" t="s">
        <v>689</v>
      </c>
      <c r="G928" s="94"/>
      <c r="H928" s="87"/>
      <c r="I928" s="87" t="s">
        <v>707</v>
      </c>
    </row>
    <row r="929">
      <c r="A929" s="87">
        <v>470.0</v>
      </c>
      <c r="B929" s="87" t="s">
        <v>708</v>
      </c>
      <c r="C929" s="93">
        <v>1.0</v>
      </c>
      <c r="D929" s="87" t="s">
        <v>39</v>
      </c>
      <c r="E929" s="87" t="s">
        <v>25</v>
      </c>
      <c r="F929" s="87" t="s">
        <v>689</v>
      </c>
      <c r="G929" s="94">
        <v>45623.0</v>
      </c>
      <c r="H929" s="87"/>
      <c r="I929" s="87" t="s">
        <v>709</v>
      </c>
    </row>
    <row r="930">
      <c r="A930" s="87">
        <v>471.0</v>
      </c>
      <c r="B930" s="87" t="s">
        <v>710</v>
      </c>
      <c r="C930" s="93">
        <v>1.0</v>
      </c>
      <c r="D930" s="87" t="s">
        <v>39</v>
      </c>
      <c r="E930" s="87" t="s">
        <v>25</v>
      </c>
      <c r="F930" s="87" t="s">
        <v>689</v>
      </c>
      <c r="G930" s="94">
        <v>45786.0</v>
      </c>
      <c r="H930" s="87"/>
      <c r="I930" s="87" t="s">
        <v>711</v>
      </c>
    </row>
    <row r="931">
      <c r="A931" s="87">
        <v>472.0</v>
      </c>
      <c r="B931" s="87" t="s">
        <v>710</v>
      </c>
      <c r="C931" s="93">
        <v>1.0</v>
      </c>
      <c r="D931" s="87" t="s">
        <v>39</v>
      </c>
      <c r="E931" s="87" t="s">
        <v>25</v>
      </c>
      <c r="F931" s="87" t="s">
        <v>689</v>
      </c>
      <c r="G931" s="94">
        <v>45786.0</v>
      </c>
      <c r="H931" s="87"/>
      <c r="I931" s="87" t="s">
        <v>712</v>
      </c>
    </row>
    <row r="932">
      <c r="A932" s="87">
        <v>473.0</v>
      </c>
      <c r="B932" s="87" t="s">
        <v>713</v>
      </c>
      <c r="C932" s="93">
        <v>1.0</v>
      </c>
      <c r="D932" s="87" t="s">
        <v>39</v>
      </c>
      <c r="E932" s="87" t="s">
        <v>25</v>
      </c>
      <c r="F932" s="87" t="s">
        <v>689</v>
      </c>
      <c r="G932" s="94">
        <v>45623.0</v>
      </c>
      <c r="H932" s="87"/>
      <c r="I932" s="87"/>
    </row>
    <row r="933">
      <c r="A933" s="87">
        <v>1025.0</v>
      </c>
      <c r="B933" s="87" t="s">
        <v>67</v>
      </c>
      <c r="C933" s="93">
        <v>1.0</v>
      </c>
      <c r="D933" s="87" t="s">
        <v>39</v>
      </c>
      <c r="E933" s="87" t="s">
        <v>25</v>
      </c>
      <c r="F933" s="87" t="s">
        <v>689</v>
      </c>
      <c r="G933" s="94">
        <v>7.6757587E7</v>
      </c>
      <c r="H933" s="87"/>
      <c r="I933" s="87" t="s">
        <v>714</v>
      </c>
    </row>
    <row r="934">
      <c r="A934" s="87">
        <v>474.0</v>
      </c>
      <c r="B934" s="87" t="s">
        <v>715</v>
      </c>
      <c r="C934" s="93">
        <v>2.0</v>
      </c>
      <c r="D934" s="87" t="s">
        <v>39</v>
      </c>
      <c r="E934" s="87" t="s">
        <v>25</v>
      </c>
      <c r="F934" s="87" t="s">
        <v>689</v>
      </c>
      <c r="G934" s="94">
        <v>45786.0</v>
      </c>
      <c r="H934" s="87"/>
      <c r="I934" s="87"/>
    </row>
    <row r="935">
      <c r="A935" s="87">
        <v>475.0</v>
      </c>
      <c r="B935" s="87" t="s">
        <v>156</v>
      </c>
      <c r="C935" s="93">
        <v>2.0</v>
      </c>
      <c r="D935" s="87" t="s">
        <v>39</v>
      </c>
      <c r="E935" s="87" t="s">
        <v>25</v>
      </c>
      <c r="F935" s="87" t="s">
        <v>689</v>
      </c>
      <c r="G935" s="94">
        <v>45623.0</v>
      </c>
      <c r="H935" s="87"/>
      <c r="I935" s="87" t="s">
        <v>716</v>
      </c>
    </row>
    <row r="936">
      <c r="A936" s="87">
        <v>476.0</v>
      </c>
      <c r="B936" s="87" t="s">
        <v>717</v>
      </c>
      <c r="C936" s="93">
        <v>2.0</v>
      </c>
      <c r="D936" s="87" t="s">
        <v>39</v>
      </c>
      <c r="E936" s="87" t="s">
        <v>25</v>
      </c>
      <c r="F936" s="87" t="s">
        <v>689</v>
      </c>
      <c r="G936" s="94">
        <v>45623.0</v>
      </c>
      <c r="H936" s="87"/>
      <c r="I936" s="87"/>
    </row>
    <row r="937">
      <c r="A937" s="87">
        <v>477.0</v>
      </c>
      <c r="B937" s="87" t="s">
        <v>718</v>
      </c>
      <c r="C937" s="93">
        <v>2.0</v>
      </c>
      <c r="D937" s="87" t="s">
        <v>39</v>
      </c>
      <c r="E937" s="87" t="s">
        <v>25</v>
      </c>
      <c r="F937" s="87" t="s">
        <v>689</v>
      </c>
      <c r="G937" s="94">
        <v>45786.0</v>
      </c>
      <c r="H937" s="87"/>
      <c r="I937" s="87"/>
    </row>
    <row r="938">
      <c r="A938" s="87">
        <v>478.0</v>
      </c>
      <c r="B938" s="87" t="s">
        <v>719</v>
      </c>
      <c r="C938" s="93">
        <v>1.0</v>
      </c>
      <c r="D938" s="87" t="s">
        <v>39</v>
      </c>
      <c r="E938" s="87" t="s">
        <v>25</v>
      </c>
      <c r="F938" s="87" t="s">
        <v>689</v>
      </c>
      <c r="G938" s="94">
        <v>45786.0</v>
      </c>
      <c r="H938" s="87"/>
      <c r="I938" s="87"/>
    </row>
    <row r="939">
      <c r="A939" s="87">
        <v>479.0</v>
      </c>
      <c r="B939" s="87" t="s">
        <v>720</v>
      </c>
      <c r="C939" s="93">
        <v>1.0</v>
      </c>
      <c r="D939" s="87" t="s">
        <v>39</v>
      </c>
      <c r="E939" s="87" t="s">
        <v>25</v>
      </c>
      <c r="F939" s="87" t="s">
        <v>689</v>
      </c>
      <c r="G939" s="94">
        <v>45623.0</v>
      </c>
      <c r="H939" s="87"/>
      <c r="I939" s="87"/>
    </row>
    <row r="940">
      <c r="A940" s="87">
        <v>480.0</v>
      </c>
      <c r="B940" s="87" t="s">
        <v>176</v>
      </c>
      <c r="C940" s="93">
        <v>3.0</v>
      </c>
      <c r="D940" s="87" t="s">
        <v>39</v>
      </c>
      <c r="E940" s="87" t="s">
        <v>25</v>
      </c>
      <c r="F940" s="87" t="s">
        <v>689</v>
      </c>
      <c r="G940" s="94">
        <v>45623.0</v>
      </c>
      <c r="H940" s="87"/>
      <c r="I940" s="87"/>
    </row>
    <row r="941">
      <c r="A941" s="87">
        <v>1179.0</v>
      </c>
      <c r="B941" s="87" t="s">
        <v>179</v>
      </c>
      <c r="C941" s="93">
        <v>1.0</v>
      </c>
      <c r="D941" s="87" t="s">
        <v>39</v>
      </c>
      <c r="E941" s="87" t="s">
        <v>25</v>
      </c>
      <c r="F941" s="87" t="s">
        <v>689</v>
      </c>
      <c r="G941" s="94">
        <v>7.687155E7</v>
      </c>
      <c r="H941" s="87"/>
      <c r="I941" s="87" t="s">
        <v>721</v>
      </c>
    </row>
    <row r="942">
      <c r="A942" s="87">
        <v>1272.0</v>
      </c>
      <c r="B942" s="87" t="s">
        <v>179</v>
      </c>
      <c r="C942" s="93">
        <v>1.0</v>
      </c>
      <c r="D942" s="87" t="s">
        <v>39</v>
      </c>
      <c r="E942" s="87" t="s">
        <v>25</v>
      </c>
      <c r="F942" s="87" t="s">
        <v>689</v>
      </c>
      <c r="G942" s="94">
        <v>7.693769E7</v>
      </c>
      <c r="H942" s="87"/>
      <c r="I942" s="87"/>
    </row>
    <row r="943">
      <c r="A943" s="87">
        <v>481.0</v>
      </c>
      <c r="B943" s="87" t="s">
        <v>426</v>
      </c>
      <c r="C943" s="93">
        <v>2.0</v>
      </c>
      <c r="D943" s="87" t="s">
        <v>39</v>
      </c>
      <c r="E943" s="87" t="s">
        <v>25</v>
      </c>
      <c r="F943" s="87" t="s">
        <v>689</v>
      </c>
      <c r="G943" s="94">
        <v>45623.0</v>
      </c>
      <c r="H943" s="87"/>
      <c r="I943" s="87"/>
    </row>
    <row r="944">
      <c r="A944" s="87">
        <v>482.0</v>
      </c>
      <c r="B944" s="87" t="s">
        <v>722</v>
      </c>
      <c r="C944" s="93">
        <v>30.0</v>
      </c>
      <c r="D944" s="87" t="s">
        <v>39</v>
      </c>
      <c r="E944" s="87" t="s">
        <v>25</v>
      </c>
      <c r="F944" s="87" t="s">
        <v>689</v>
      </c>
      <c r="G944" s="94">
        <v>45623.0</v>
      </c>
      <c r="H944" s="87"/>
      <c r="I944" s="87"/>
    </row>
    <row r="945">
      <c r="A945" s="87">
        <v>483.0</v>
      </c>
      <c r="B945" s="87" t="s">
        <v>723</v>
      </c>
      <c r="C945" s="93">
        <v>7.0</v>
      </c>
      <c r="D945" s="87" t="s">
        <v>39</v>
      </c>
      <c r="E945" s="87" t="s">
        <v>25</v>
      </c>
      <c r="F945" s="87" t="s">
        <v>689</v>
      </c>
      <c r="G945" s="94"/>
      <c r="H945" s="87"/>
      <c r="I945" s="87"/>
    </row>
    <row r="946">
      <c r="A946" s="87">
        <v>484.0</v>
      </c>
      <c r="B946" s="87" t="s">
        <v>724</v>
      </c>
      <c r="C946" s="93">
        <v>3.0</v>
      </c>
      <c r="D946" s="87" t="s">
        <v>39</v>
      </c>
      <c r="E946" s="87" t="s">
        <v>25</v>
      </c>
      <c r="F946" s="87" t="s">
        <v>689</v>
      </c>
      <c r="G946" s="94">
        <v>45623.0</v>
      </c>
      <c r="H946" s="87"/>
      <c r="I946" s="87" t="s">
        <v>725</v>
      </c>
    </row>
    <row r="947">
      <c r="A947" s="87">
        <v>486.0</v>
      </c>
      <c r="B947" s="87" t="s">
        <v>235</v>
      </c>
      <c r="C947" s="93">
        <v>6.0</v>
      </c>
      <c r="D947" s="87" t="s">
        <v>39</v>
      </c>
      <c r="E947" s="87" t="s">
        <v>25</v>
      </c>
      <c r="F947" s="87" t="s">
        <v>689</v>
      </c>
      <c r="G947" s="94">
        <v>45623.0</v>
      </c>
      <c r="H947" s="87"/>
      <c r="I947" s="87"/>
    </row>
    <row r="948">
      <c r="A948" s="87">
        <v>489.0</v>
      </c>
      <c r="B948" s="87" t="s">
        <v>726</v>
      </c>
      <c r="C948" s="93">
        <v>1.0</v>
      </c>
      <c r="D948" s="87" t="s">
        <v>39</v>
      </c>
      <c r="E948" s="87" t="s">
        <v>25</v>
      </c>
      <c r="F948" s="87" t="s">
        <v>689</v>
      </c>
      <c r="G948" s="94"/>
      <c r="H948" s="87"/>
      <c r="I948" s="87" t="s">
        <v>727</v>
      </c>
    </row>
    <row r="949">
      <c r="A949" s="87">
        <v>490.0</v>
      </c>
      <c r="B949" s="87" t="s">
        <v>728</v>
      </c>
      <c r="C949" s="93">
        <v>6.0</v>
      </c>
      <c r="D949" s="87" t="s">
        <v>39</v>
      </c>
      <c r="E949" s="87" t="s">
        <v>25</v>
      </c>
      <c r="F949" s="87" t="s">
        <v>689</v>
      </c>
      <c r="G949" s="94">
        <v>45623.0</v>
      </c>
      <c r="H949" s="87"/>
      <c r="I949" s="87" t="s">
        <v>729</v>
      </c>
    </row>
    <row r="950">
      <c r="A950" s="87">
        <v>492.0</v>
      </c>
      <c r="B950" s="87" t="s">
        <v>730</v>
      </c>
      <c r="C950" s="93">
        <v>3.0</v>
      </c>
      <c r="D950" s="87" t="s">
        <v>39</v>
      </c>
      <c r="E950" s="87" t="s">
        <v>25</v>
      </c>
      <c r="F950" s="87" t="s">
        <v>689</v>
      </c>
      <c r="G950" s="94">
        <v>45623.0</v>
      </c>
      <c r="H950" s="87"/>
      <c r="I950" s="87"/>
    </row>
    <row r="951">
      <c r="A951" s="87">
        <v>493.0</v>
      </c>
      <c r="B951" s="87" t="s">
        <v>569</v>
      </c>
      <c r="C951" s="93">
        <v>2.0</v>
      </c>
      <c r="D951" s="87" t="s">
        <v>39</v>
      </c>
      <c r="E951" s="87" t="s">
        <v>25</v>
      </c>
      <c r="F951" s="87" t="s">
        <v>689</v>
      </c>
      <c r="G951" s="94">
        <v>45623.0</v>
      </c>
      <c r="H951" s="87"/>
      <c r="I951" s="87"/>
    </row>
    <row r="952">
      <c r="A952" s="87">
        <v>494.0</v>
      </c>
      <c r="B952" s="87" t="s">
        <v>214</v>
      </c>
      <c r="C952" s="93">
        <v>6.0</v>
      </c>
      <c r="D952" s="87" t="s">
        <v>39</v>
      </c>
      <c r="E952" s="87" t="s">
        <v>25</v>
      </c>
      <c r="F952" s="87" t="s">
        <v>689</v>
      </c>
      <c r="G952" s="94">
        <v>45623.0</v>
      </c>
      <c r="H952" s="87"/>
      <c r="I952" s="87"/>
    </row>
    <row r="953">
      <c r="A953" s="87">
        <v>495.0</v>
      </c>
      <c r="B953" s="87" t="s">
        <v>731</v>
      </c>
      <c r="C953" s="93">
        <v>1.0</v>
      </c>
      <c r="D953" s="87" t="s">
        <v>39</v>
      </c>
      <c r="E953" s="87" t="s">
        <v>25</v>
      </c>
      <c r="F953" s="87" t="s">
        <v>689</v>
      </c>
      <c r="G953" s="94"/>
      <c r="H953" s="87"/>
      <c r="I953" s="87"/>
    </row>
    <row r="954">
      <c r="A954" s="87">
        <v>496.0</v>
      </c>
      <c r="B954" s="87" t="s">
        <v>732</v>
      </c>
      <c r="C954" s="93">
        <v>2.0</v>
      </c>
      <c r="D954" s="87" t="s">
        <v>39</v>
      </c>
      <c r="E954" s="87" t="s">
        <v>25</v>
      </c>
      <c r="F954" s="87" t="s">
        <v>689</v>
      </c>
      <c r="G954" s="94">
        <v>45897.0</v>
      </c>
      <c r="H954" s="87"/>
      <c r="I954" s="87"/>
    </row>
    <row r="955">
      <c r="A955" s="87">
        <v>497.0</v>
      </c>
      <c r="B955" s="87" t="s">
        <v>733</v>
      </c>
      <c r="C955" s="93">
        <v>2.0</v>
      </c>
      <c r="D955" s="87" t="s">
        <v>39</v>
      </c>
      <c r="E955" s="87" t="s">
        <v>25</v>
      </c>
      <c r="F955" s="87" t="s">
        <v>689</v>
      </c>
      <c r="G955" s="94"/>
      <c r="H955" s="87"/>
      <c r="I955" s="87" t="s">
        <v>734</v>
      </c>
    </row>
    <row r="956">
      <c r="A956" s="87">
        <v>1344.0</v>
      </c>
      <c r="B956" s="87" t="s">
        <v>735</v>
      </c>
      <c r="C956" s="93">
        <v>1.0</v>
      </c>
      <c r="D956" s="87" t="s">
        <v>39</v>
      </c>
      <c r="E956" s="87" t="s">
        <v>25</v>
      </c>
      <c r="F956" s="87" t="s">
        <v>689</v>
      </c>
      <c r="G956" s="94">
        <v>4.0080935E7</v>
      </c>
      <c r="H956" s="87"/>
      <c r="I956" s="87"/>
    </row>
    <row r="957">
      <c r="A957" s="87">
        <v>498.0</v>
      </c>
      <c r="B957" s="87" t="s">
        <v>736</v>
      </c>
      <c r="C957" s="93">
        <v>2.0</v>
      </c>
      <c r="D957" s="87" t="s">
        <v>39</v>
      </c>
      <c r="E957" s="87" t="s">
        <v>25</v>
      </c>
      <c r="F957" s="87" t="s">
        <v>689</v>
      </c>
      <c r="G957" s="94">
        <v>45623.0</v>
      </c>
      <c r="H957" s="87"/>
      <c r="I957" s="87"/>
    </row>
    <row r="958">
      <c r="A958" s="87">
        <v>772.0</v>
      </c>
      <c r="B958" s="87" t="s">
        <v>737</v>
      </c>
      <c r="C958" s="93">
        <v>1.0</v>
      </c>
      <c r="D958" s="87" t="s">
        <v>39</v>
      </c>
      <c r="E958" s="87" t="s">
        <v>25</v>
      </c>
      <c r="F958" s="87" t="s">
        <v>689</v>
      </c>
      <c r="G958" s="94">
        <v>45623.0</v>
      </c>
      <c r="H958" s="87"/>
      <c r="I958" s="87"/>
    </row>
    <row r="959">
      <c r="A959" s="87">
        <v>484.0</v>
      </c>
      <c r="B959" s="87" t="s">
        <v>738</v>
      </c>
      <c r="C959" s="93">
        <v>1.0</v>
      </c>
      <c r="D959" s="87" t="s">
        <v>39</v>
      </c>
      <c r="E959" s="87" t="s">
        <v>26</v>
      </c>
      <c r="F959" s="87" t="s">
        <v>28</v>
      </c>
      <c r="G959" s="94">
        <v>1.2220396E7</v>
      </c>
      <c r="H959" s="87" t="s">
        <v>739</v>
      </c>
      <c r="I959" s="87" t="s">
        <v>740</v>
      </c>
    </row>
    <row r="960">
      <c r="A960" s="87">
        <v>1532.0</v>
      </c>
      <c r="B960" s="87" t="s">
        <v>110</v>
      </c>
      <c r="C960" s="93">
        <v>1.0</v>
      </c>
      <c r="D960" s="87" t="s">
        <v>39</v>
      </c>
      <c r="E960" s="87" t="s">
        <v>26</v>
      </c>
      <c r="F960" s="87" t="s">
        <v>28</v>
      </c>
      <c r="G960" s="94">
        <v>7.6990494E7</v>
      </c>
      <c r="H960" s="87"/>
      <c r="I960" s="87"/>
    </row>
    <row r="961">
      <c r="A961" s="87">
        <v>488.0</v>
      </c>
      <c r="B961" s="87" t="s">
        <v>741</v>
      </c>
      <c r="C961" s="93">
        <v>1.0</v>
      </c>
      <c r="D961" s="87" t="s">
        <v>39</v>
      </c>
      <c r="E961" s="87" t="s">
        <v>26</v>
      </c>
      <c r="F961" s="87" t="s">
        <v>28</v>
      </c>
      <c r="G961" s="94"/>
      <c r="H961" s="87"/>
      <c r="I961" s="87" t="s">
        <v>742</v>
      </c>
    </row>
    <row r="962">
      <c r="A962" s="87">
        <v>485.0</v>
      </c>
      <c r="B962" s="87" t="s">
        <v>743</v>
      </c>
      <c r="C962" s="93">
        <v>2.0</v>
      </c>
      <c r="D962" s="87" t="s">
        <v>39</v>
      </c>
      <c r="E962" s="87" t="s">
        <v>26</v>
      </c>
      <c r="F962" s="87" t="s">
        <v>28</v>
      </c>
      <c r="G962" s="94"/>
      <c r="H962" s="87"/>
      <c r="I962" s="87"/>
    </row>
    <row r="963">
      <c r="A963" s="87">
        <v>491.0</v>
      </c>
      <c r="B963" s="87" t="s">
        <v>744</v>
      </c>
      <c r="C963" s="93">
        <v>3.0</v>
      </c>
      <c r="D963" s="87" t="s">
        <v>39</v>
      </c>
      <c r="E963" s="87" t="s">
        <v>26</v>
      </c>
      <c r="F963" s="87" t="s">
        <v>28</v>
      </c>
      <c r="G963" s="94"/>
      <c r="H963" s="87"/>
      <c r="I963" s="87" t="s">
        <v>745</v>
      </c>
    </row>
    <row r="964">
      <c r="A964" s="87">
        <v>1491.0</v>
      </c>
      <c r="B964" s="87" t="s">
        <v>746</v>
      </c>
      <c r="C964" s="93">
        <v>1.0</v>
      </c>
      <c r="D964" s="87" t="s">
        <v>39</v>
      </c>
      <c r="E964" s="87" t="s">
        <v>26</v>
      </c>
      <c r="F964" s="87" t="s">
        <v>28</v>
      </c>
      <c r="G964" s="94">
        <v>7.6987051E7</v>
      </c>
      <c r="H964" s="87"/>
      <c r="I964" s="87"/>
    </row>
    <row r="965">
      <c r="A965" s="87">
        <v>513.0</v>
      </c>
      <c r="B965" s="87" t="s">
        <v>747</v>
      </c>
      <c r="C965" s="93">
        <v>1.0</v>
      </c>
      <c r="D965" s="87" t="s">
        <v>275</v>
      </c>
      <c r="E965" s="87" t="s">
        <v>26</v>
      </c>
      <c r="F965" s="87" t="s">
        <v>28</v>
      </c>
      <c r="G965" s="94">
        <v>1.3863533E7</v>
      </c>
      <c r="H965" s="87" t="s">
        <v>748</v>
      </c>
      <c r="I965" s="87" t="s">
        <v>749</v>
      </c>
    </row>
    <row r="966">
      <c r="A966" s="87">
        <v>762.0</v>
      </c>
      <c r="B966" s="87" t="s">
        <v>224</v>
      </c>
      <c r="C966" s="93">
        <v>2.0</v>
      </c>
      <c r="D966" s="87" t="s">
        <v>275</v>
      </c>
      <c r="E966" s="87" t="s">
        <v>13</v>
      </c>
      <c r="F966" s="87" t="s">
        <v>750</v>
      </c>
      <c r="G966" s="94"/>
      <c r="H966" s="87"/>
      <c r="I966" s="87"/>
    </row>
    <row r="967">
      <c r="A967" s="87">
        <v>763.0</v>
      </c>
      <c r="B967" s="87" t="s">
        <v>353</v>
      </c>
      <c r="C967" s="93">
        <v>2.0</v>
      </c>
      <c r="D967" s="87" t="s">
        <v>275</v>
      </c>
      <c r="E967" s="87" t="s">
        <v>13</v>
      </c>
      <c r="F967" s="87" t="s">
        <v>750</v>
      </c>
      <c r="G967" s="94"/>
      <c r="H967" s="87"/>
      <c r="I967" s="87" t="s">
        <v>751</v>
      </c>
    </row>
    <row r="968">
      <c r="A968" s="87">
        <v>761.0</v>
      </c>
      <c r="B968" s="87" t="s">
        <v>280</v>
      </c>
      <c r="C968" s="93">
        <v>2.0</v>
      </c>
      <c r="D968" s="87" t="s">
        <v>275</v>
      </c>
      <c r="E968" s="87" t="s">
        <v>13</v>
      </c>
      <c r="F968" s="87" t="s">
        <v>750</v>
      </c>
      <c r="G968" s="94"/>
      <c r="H968" s="87"/>
      <c r="I968" s="87"/>
    </row>
    <row r="969">
      <c r="A969" s="87">
        <v>580.0</v>
      </c>
      <c r="B969" s="87" t="s">
        <v>752</v>
      </c>
      <c r="C969" s="93">
        <v>1.0</v>
      </c>
      <c r="D969" s="87" t="s">
        <v>39</v>
      </c>
      <c r="E969" s="87" t="s">
        <v>26</v>
      </c>
      <c r="F969" s="87" t="s">
        <v>753</v>
      </c>
      <c r="G969" s="94">
        <v>2.2962948E7</v>
      </c>
      <c r="H969" s="87"/>
      <c r="I969" s="87"/>
    </row>
    <row r="970">
      <c r="A970" s="87">
        <v>1088.0</v>
      </c>
      <c r="B970" s="87" t="s">
        <v>754</v>
      </c>
      <c r="C970" s="93">
        <v>1.0</v>
      </c>
      <c r="D970" s="87" t="s">
        <v>39</v>
      </c>
      <c r="E970" s="87" t="s">
        <v>26</v>
      </c>
      <c r="F970" s="87" t="s">
        <v>753</v>
      </c>
      <c r="G970" s="94">
        <v>7.6808459E7</v>
      </c>
      <c r="H970" s="87"/>
      <c r="I970" s="87"/>
    </row>
    <row r="971">
      <c r="A971" s="87">
        <v>1089.0</v>
      </c>
      <c r="B971" s="87" t="s">
        <v>754</v>
      </c>
      <c r="C971" s="93">
        <v>1.0</v>
      </c>
      <c r="D971" s="87" t="s">
        <v>39</v>
      </c>
      <c r="E971" s="87" t="s">
        <v>26</v>
      </c>
      <c r="F971" s="87" t="s">
        <v>753</v>
      </c>
      <c r="G971" s="94">
        <v>7.6808467E7</v>
      </c>
      <c r="H971" s="87"/>
      <c r="I971" s="87"/>
    </row>
    <row r="972">
      <c r="A972" s="87">
        <v>1090.0</v>
      </c>
      <c r="B972" s="87" t="s">
        <v>754</v>
      </c>
      <c r="C972" s="93">
        <v>1.0</v>
      </c>
      <c r="D972" s="87" t="s">
        <v>39</v>
      </c>
      <c r="E972" s="87" t="s">
        <v>26</v>
      </c>
      <c r="F972" s="87" t="s">
        <v>753</v>
      </c>
      <c r="G972" s="94">
        <v>7.6808475E7</v>
      </c>
      <c r="H972" s="87"/>
      <c r="I972" s="87"/>
    </row>
    <row r="973">
      <c r="A973" s="87">
        <v>1091.0</v>
      </c>
      <c r="B973" s="87" t="s">
        <v>754</v>
      </c>
      <c r="C973" s="93">
        <v>1.0</v>
      </c>
      <c r="D973" s="87" t="s">
        <v>39</v>
      </c>
      <c r="E973" s="87" t="s">
        <v>26</v>
      </c>
      <c r="F973" s="87" t="s">
        <v>753</v>
      </c>
      <c r="G973" s="94">
        <v>7.6808483E7</v>
      </c>
      <c r="H973" s="87"/>
      <c r="I973" s="87"/>
    </row>
    <row r="974">
      <c r="A974" s="87">
        <v>1092.0</v>
      </c>
      <c r="B974" s="87" t="s">
        <v>754</v>
      </c>
      <c r="C974" s="93">
        <v>1.0</v>
      </c>
      <c r="D974" s="87" t="s">
        <v>39</v>
      </c>
      <c r="E974" s="87" t="s">
        <v>26</v>
      </c>
      <c r="F974" s="87" t="s">
        <v>753</v>
      </c>
      <c r="G974" s="94">
        <v>7.6808491E7</v>
      </c>
      <c r="H974" s="87"/>
      <c r="I974" s="87"/>
    </row>
    <row r="975">
      <c r="A975" s="87">
        <v>1093.0</v>
      </c>
      <c r="B975" s="87" t="s">
        <v>754</v>
      </c>
      <c r="C975" s="93">
        <v>1.0</v>
      </c>
      <c r="D975" s="87" t="s">
        <v>39</v>
      </c>
      <c r="E975" s="87" t="s">
        <v>26</v>
      </c>
      <c r="F975" s="87" t="s">
        <v>753</v>
      </c>
      <c r="G975" s="94">
        <v>7.6808505E7</v>
      </c>
      <c r="H975" s="87"/>
      <c r="I975" s="87"/>
    </row>
    <row r="976">
      <c r="A976" s="87">
        <v>1094.0</v>
      </c>
      <c r="B976" s="87" t="s">
        <v>754</v>
      </c>
      <c r="C976" s="93">
        <v>1.0</v>
      </c>
      <c r="D976" s="87" t="s">
        <v>39</v>
      </c>
      <c r="E976" s="87" t="s">
        <v>26</v>
      </c>
      <c r="F976" s="87" t="s">
        <v>753</v>
      </c>
      <c r="G976" s="94">
        <v>7.6808513E7</v>
      </c>
      <c r="H976" s="87"/>
      <c r="I976" s="87"/>
    </row>
    <row r="977">
      <c r="A977" s="87">
        <v>1095.0</v>
      </c>
      <c r="B977" s="87" t="s">
        <v>754</v>
      </c>
      <c r="C977" s="93">
        <v>1.0</v>
      </c>
      <c r="D977" s="87" t="s">
        <v>39</v>
      </c>
      <c r="E977" s="87" t="s">
        <v>26</v>
      </c>
      <c r="F977" s="87" t="s">
        <v>753</v>
      </c>
      <c r="G977" s="94">
        <v>7.6808521E7</v>
      </c>
      <c r="H977" s="87"/>
      <c r="I977" s="87"/>
    </row>
    <row r="978">
      <c r="A978" s="87">
        <v>760.0</v>
      </c>
      <c r="B978" s="87" t="s">
        <v>755</v>
      </c>
      <c r="C978" s="93">
        <v>1.0</v>
      </c>
      <c r="D978" s="87" t="s">
        <v>39</v>
      </c>
      <c r="E978" s="87" t="s">
        <v>26</v>
      </c>
      <c r="F978" s="87" t="s">
        <v>753</v>
      </c>
      <c r="G978" s="94">
        <v>1.3273795E7</v>
      </c>
      <c r="H978" s="87"/>
      <c r="I978" s="87"/>
    </row>
    <row r="979">
      <c r="A979" s="87">
        <v>584.0</v>
      </c>
      <c r="B979" s="87" t="s">
        <v>265</v>
      </c>
      <c r="C979" s="93">
        <v>1.0</v>
      </c>
      <c r="D979" s="87" t="s">
        <v>39</v>
      </c>
      <c r="E979" s="87" t="s">
        <v>26</v>
      </c>
      <c r="F979" s="87" t="s">
        <v>753</v>
      </c>
      <c r="G979" s="94">
        <v>3.5451637E7</v>
      </c>
      <c r="H979" s="87"/>
      <c r="I979" s="87"/>
    </row>
    <row r="980">
      <c r="A980" s="87">
        <v>578.0</v>
      </c>
      <c r="B980" s="87" t="s">
        <v>756</v>
      </c>
      <c r="C980" s="93">
        <v>1.0</v>
      </c>
      <c r="D980" s="87" t="s">
        <v>39</v>
      </c>
      <c r="E980" s="87" t="s">
        <v>40</v>
      </c>
      <c r="F980" s="87" t="s">
        <v>753</v>
      </c>
      <c r="G980" s="94">
        <v>2110199.0</v>
      </c>
      <c r="H980" s="87"/>
      <c r="I980" s="87"/>
    </row>
    <row r="981">
      <c r="A981" s="87">
        <v>599.0</v>
      </c>
      <c r="B981" s="87" t="s">
        <v>91</v>
      </c>
      <c r="C981" s="93">
        <v>1.0</v>
      </c>
      <c r="D981" s="87" t="s">
        <v>39</v>
      </c>
      <c r="E981" s="87" t="s">
        <v>26</v>
      </c>
      <c r="F981" s="87" t="s">
        <v>753</v>
      </c>
      <c r="G981" s="94">
        <v>4.0086097E7</v>
      </c>
      <c r="H981" s="87"/>
      <c r="I981" s="87"/>
    </row>
    <row r="982">
      <c r="A982" s="87">
        <v>24.0</v>
      </c>
      <c r="B982" s="87" t="s">
        <v>757</v>
      </c>
      <c r="C982" s="93">
        <v>1.0</v>
      </c>
      <c r="D982" s="87" t="s">
        <v>275</v>
      </c>
      <c r="E982" s="87" t="s">
        <v>16</v>
      </c>
      <c r="F982" s="87" t="s">
        <v>758</v>
      </c>
      <c r="G982" s="94">
        <v>7.6740536E7</v>
      </c>
      <c r="H982" s="87"/>
      <c r="I982" s="87"/>
    </row>
    <row r="983">
      <c r="A983" s="87">
        <v>412.0</v>
      </c>
      <c r="B983" s="87" t="s">
        <v>49</v>
      </c>
      <c r="C983" s="93">
        <v>1.0</v>
      </c>
      <c r="D983" s="87" t="s">
        <v>275</v>
      </c>
      <c r="E983" s="87" t="s">
        <v>16</v>
      </c>
      <c r="F983" s="87" t="s">
        <v>758</v>
      </c>
      <c r="G983" s="94">
        <v>46062.0</v>
      </c>
      <c r="H983" s="87"/>
      <c r="I983" s="87"/>
    </row>
    <row r="984">
      <c r="A984" s="87">
        <v>1037.0</v>
      </c>
      <c r="B984" s="87" t="s">
        <v>50</v>
      </c>
      <c r="C984" s="93">
        <v>1.0</v>
      </c>
      <c r="D984" s="87" t="s">
        <v>275</v>
      </c>
      <c r="E984" s="87" t="s">
        <v>16</v>
      </c>
      <c r="F984" s="87" t="s">
        <v>758</v>
      </c>
      <c r="G984" s="94">
        <v>7.6750507E7</v>
      </c>
      <c r="H984" s="87" t="s">
        <v>759</v>
      </c>
      <c r="I984" s="87" t="s">
        <v>760</v>
      </c>
    </row>
    <row r="985">
      <c r="A985" s="87">
        <v>364.0</v>
      </c>
      <c r="B985" s="87" t="s">
        <v>69</v>
      </c>
      <c r="C985" s="93">
        <v>1.0</v>
      </c>
      <c r="D985" s="87" t="s">
        <v>275</v>
      </c>
      <c r="E985" s="87" t="s">
        <v>16</v>
      </c>
      <c r="F985" s="87" t="s">
        <v>758</v>
      </c>
      <c r="G985" s="94">
        <v>45533.0</v>
      </c>
      <c r="H985" s="87"/>
      <c r="I985" s="87"/>
    </row>
    <row r="986">
      <c r="A986" s="87">
        <v>408.0</v>
      </c>
      <c r="B986" s="87" t="s">
        <v>558</v>
      </c>
      <c r="C986" s="93">
        <v>1.0</v>
      </c>
      <c r="D986" s="87" t="s">
        <v>275</v>
      </c>
      <c r="E986" s="87" t="s">
        <v>16</v>
      </c>
      <c r="F986" s="87" t="s">
        <v>758</v>
      </c>
      <c r="G986" s="94">
        <v>45533.0</v>
      </c>
      <c r="H986" s="87"/>
      <c r="I986" s="87" t="s">
        <v>761</v>
      </c>
    </row>
    <row r="987">
      <c r="A987" s="87">
        <v>365.0</v>
      </c>
      <c r="B987" s="87" t="s">
        <v>89</v>
      </c>
      <c r="C987" s="93">
        <v>1.0</v>
      </c>
      <c r="D987" s="87" t="s">
        <v>275</v>
      </c>
      <c r="E987" s="87" t="s">
        <v>16</v>
      </c>
      <c r="F987" s="87" t="s">
        <v>758</v>
      </c>
      <c r="G987" s="94">
        <v>45533.0</v>
      </c>
      <c r="H987" s="87"/>
      <c r="I987" s="87"/>
    </row>
    <row r="988">
      <c r="A988" s="87">
        <v>849.0</v>
      </c>
      <c r="B988" s="87" t="s">
        <v>762</v>
      </c>
      <c r="C988" s="93">
        <v>1.0</v>
      </c>
      <c r="D988" s="87" t="s">
        <v>39</v>
      </c>
      <c r="E988" s="87" t="s">
        <v>763</v>
      </c>
      <c r="F988" s="87" t="s">
        <v>764</v>
      </c>
      <c r="G988" s="94"/>
      <c r="H988" s="87"/>
      <c r="I988" s="87"/>
    </row>
    <row r="989">
      <c r="A989" s="87">
        <v>734.0</v>
      </c>
      <c r="B989" s="87" t="s">
        <v>634</v>
      </c>
      <c r="C989" s="93">
        <v>1.0</v>
      </c>
      <c r="D989" s="87" t="s">
        <v>39</v>
      </c>
      <c r="E989" s="87" t="s">
        <v>763</v>
      </c>
      <c r="F989" s="87" t="s">
        <v>764</v>
      </c>
      <c r="G989" s="94">
        <v>4.0350096E7</v>
      </c>
      <c r="H989" s="87"/>
      <c r="I989" s="87" t="s">
        <v>765</v>
      </c>
    </row>
    <row r="990">
      <c r="A990" s="87">
        <v>778.0</v>
      </c>
      <c r="B990" s="87" t="s">
        <v>766</v>
      </c>
      <c r="C990" s="93">
        <v>1.0</v>
      </c>
      <c r="D990" s="87" t="s">
        <v>39</v>
      </c>
      <c r="E990" s="87" t="s">
        <v>763</v>
      </c>
      <c r="F990" s="87" t="s">
        <v>764</v>
      </c>
      <c r="G990" s="94">
        <v>4.0088375E7</v>
      </c>
      <c r="H990" s="87"/>
      <c r="I990" s="87"/>
    </row>
    <row r="991">
      <c r="A991" s="87">
        <v>850.0</v>
      </c>
      <c r="B991" s="87" t="s">
        <v>767</v>
      </c>
      <c r="C991" s="93">
        <v>1.0</v>
      </c>
      <c r="D991" s="87" t="s">
        <v>39</v>
      </c>
      <c r="E991" s="87" t="s">
        <v>763</v>
      </c>
      <c r="F991" s="87" t="s">
        <v>764</v>
      </c>
      <c r="G991" s="94"/>
      <c r="H991" s="87"/>
      <c r="I991" s="87"/>
    </row>
    <row r="992">
      <c r="A992" s="87">
        <v>1183.0</v>
      </c>
      <c r="B992" s="87" t="s">
        <v>640</v>
      </c>
      <c r="C992" s="93">
        <v>1.0</v>
      </c>
      <c r="D992" s="87" t="s">
        <v>39</v>
      </c>
      <c r="E992" s="87" t="s">
        <v>763</v>
      </c>
      <c r="F992" s="87" t="s">
        <v>764</v>
      </c>
      <c r="G992" s="94">
        <v>7.6871967E7</v>
      </c>
      <c r="H992" s="87"/>
      <c r="I992" s="87" t="s">
        <v>768</v>
      </c>
    </row>
    <row r="993">
      <c r="A993" s="87">
        <v>714.0</v>
      </c>
      <c r="B993" s="87" t="s">
        <v>769</v>
      </c>
      <c r="C993" s="93">
        <v>2.0</v>
      </c>
      <c r="D993" s="87" t="s">
        <v>39</v>
      </c>
      <c r="E993" s="87" t="s">
        <v>23</v>
      </c>
      <c r="F993" s="87" t="s">
        <v>770</v>
      </c>
      <c r="G993" s="94">
        <v>45596.0</v>
      </c>
      <c r="H993" s="87"/>
      <c r="I993" s="87"/>
    </row>
    <row r="994">
      <c r="A994" s="87">
        <v>1268.0</v>
      </c>
      <c r="B994" s="87" t="s">
        <v>771</v>
      </c>
      <c r="C994" s="93">
        <v>1.0</v>
      </c>
      <c r="D994" s="87" t="s">
        <v>39</v>
      </c>
      <c r="E994" s="87" t="s">
        <v>23</v>
      </c>
      <c r="F994" s="87" t="s">
        <v>770</v>
      </c>
      <c r="G994" s="94"/>
      <c r="H994" s="87" t="s">
        <v>772</v>
      </c>
      <c r="I994" s="87" t="s">
        <v>773</v>
      </c>
    </row>
    <row r="995">
      <c r="A995" s="87">
        <v>1269.0</v>
      </c>
      <c r="B995" s="87" t="s">
        <v>771</v>
      </c>
      <c r="C995" s="93">
        <v>1.0</v>
      </c>
      <c r="D995" s="87" t="s">
        <v>39</v>
      </c>
      <c r="E995" s="87" t="s">
        <v>23</v>
      </c>
      <c r="F995" s="87" t="s">
        <v>770</v>
      </c>
      <c r="G995" s="94"/>
      <c r="H995" s="87" t="s">
        <v>774</v>
      </c>
      <c r="I995" s="87" t="s">
        <v>773</v>
      </c>
    </row>
    <row r="996">
      <c r="A996" s="87">
        <v>1270.0</v>
      </c>
      <c r="B996" s="87" t="s">
        <v>771</v>
      </c>
      <c r="C996" s="93">
        <v>1.0</v>
      </c>
      <c r="D996" s="87" t="s">
        <v>39</v>
      </c>
      <c r="E996" s="87" t="s">
        <v>23</v>
      </c>
      <c r="F996" s="87" t="s">
        <v>770</v>
      </c>
      <c r="G996" s="94"/>
      <c r="H996" s="87" t="s">
        <v>775</v>
      </c>
      <c r="I996" s="87" t="s">
        <v>773</v>
      </c>
    </row>
    <row r="997">
      <c r="A997" s="87">
        <v>705.0</v>
      </c>
      <c r="B997" s="87" t="s">
        <v>776</v>
      </c>
      <c r="C997" s="93">
        <v>1.0</v>
      </c>
      <c r="D997" s="87" t="s">
        <v>39</v>
      </c>
      <c r="E997" s="87" t="s">
        <v>23</v>
      </c>
      <c r="F997" s="87" t="s">
        <v>770</v>
      </c>
      <c r="G997" s="94">
        <v>45558.0</v>
      </c>
      <c r="H997" s="87"/>
      <c r="I997" s="87" t="s">
        <v>777</v>
      </c>
    </row>
    <row r="998">
      <c r="A998" s="87">
        <v>709.0</v>
      </c>
      <c r="B998" s="87" t="s">
        <v>778</v>
      </c>
      <c r="C998" s="93">
        <v>1.0</v>
      </c>
      <c r="D998" s="87" t="s">
        <v>39</v>
      </c>
      <c r="E998" s="87" t="s">
        <v>23</v>
      </c>
      <c r="F998" s="87" t="s">
        <v>770</v>
      </c>
      <c r="G998" s="94">
        <v>45558.0</v>
      </c>
      <c r="H998" s="87"/>
      <c r="I998" s="87"/>
    </row>
    <row r="999">
      <c r="A999" s="87">
        <v>708.0</v>
      </c>
      <c r="B999" s="87" t="s">
        <v>779</v>
      </c>
      <c r="C999" s="93">
        <v>1.0</v>
      </c>
      <c r="D999" s="87" t="s">
        <v>39</v>
      </c>
      <c r="E999" s="87" t="s">
        <v>23</v>
      </c>
      <c r="F999" s="87" t="s">
        <v>770</v>
      </c>
      <c r="G999" s="94">
        <v>45533.0</v>
      </c>
      <c r="H999" s="87"/>
      <c r="I999" s="87"/>
    </row>
    <row r="1000">
      <c r="A1000" s="87">
        <v>707.0</v>
      </c>
      <c r="B1000" s="87" t="s">
        <v>780</v>
      </c>
      <c r="C1000" s="93">
        <v>2.0</v>
      </c>
      <c r="D1000" s="87" t="s">
        <v>39</v>
      </c>
      <c r="E1000" s="87" t="s">
        <v>23</v>
      </c>
      <c r="F1000" s="87" t="s">
        <v>770</v>
      </c>
      <c r="G1000" s="94">
        <v>45533.0</v>
      </c>
      <c r="H1000" s="87"/>
      <c r="I1000" s="87"/>
    </row>
    <row r="1001">
      <c r="A1001" s="87">
        <v>1259.0</v>
      </c>
      <c r="B1001" s="87" t="s">
        <v>781</v>
      </c>
      <c r="C1001" s="93">
        <v>3.0</v>
      </c>
      <c r="D1001" s="87" t="s">
        <v>39</v>
      </c>
      <c r="E1001" s="87" t="s">
        <v>23</v>
      </c>
      <c r="F1001" s="87" t="s">
        <v>770</v>
      </c>
      <c r="G1001" s="94"/>
      <c r="H1001" s="87"/>
      <c r="I1001" s="87" t="s">
        <v>782</v>
      </c>
    </row>
    <row r="1002">
      <c r="A1002" s="87">
        <v>1261.0</v>
      </c>
      <c r="B1002" s="87" t="s">
        <v>783</v>
      </c>
      <c r="C1002" s="93">
        <v>1.0</v>
      </c>
      <c r="D1002" s="87" t="s">
        <v>39</v>
      </c>
      <c r="E1002" s="87" t="s">
        <v>23</v>
      </c>
      <c r="F1002" s="87" t="s">
        <v>770</v>
      </c>
      <c r="G1002" s="94"/>
      <c r="H1002" s="87" t="s">
        <v>784</v>
      </c>
      <c r="I1002" s="87" t="s">
        <v>785</v>
      </c>
    </row>
    <row r="1003">
      <c r="A1003" s="87">
        <v>1262.0</v>
      </c>
      <c r="B1003" s="87" t="s">
        <v>783</v>
      </c>
      <c r="C1003" s="93">
        <v>1.0</v>
      </c>
      <c r="D1003" s="87" t="s">
        <v>39</v>
      </c>
      <c r="E1003" s="87" t="s">
        <v>23</v>
      </c>
      <c r="F1003" s="87" t="s">
        <v>770</v>
      </c>
      <c r="G1003" s="94"/>
      <c r="H1003" s="87" t="s">
        <v>786</v>
      </c>
      <c r="I1003" s="87" t="s">
        <v>785</v>
      </c>
    </row>
    <row r="1004">
      <c r="A1004" s="87">
        <v>1263.0</v>
      </c>
      <c r="B1004" s="87" t="s">
        <v>783</v>
      </c>
      <c r="C1004" s="93">
        <v>1.0</v>
      </c>
      <c r="D1004" s="87" t="s">
        <v>39</v>
      </c>
      <c r="E1004" s="87" t="s">
        <v>23</v>
      </c>
      <c r="F1004" s="87" t="s">
        <v>770</v>
      </c>
      <c r="G1004" s="94"/>
      <c r="H1004" s="87" t="s">
        <v>787</v>
      </c>
      <c r="I1004" s="87" t="s">
        <v>785</v>
      </c>
    </row>
    <row r="1005">
      <c r="A1005" s="87">
        <v>1264.0</v>
      </c>
      <c r="B1005" s="87" t="s">
        <v>783</v>
      </c>
      <c r="C1005" s="93">
        <v>1.0</v>
      </c>
      <c r="D1005" s="87" t="s">
        <v>39</v>
      </c>
      <c r="E1005" s="87" t="s">
        <v>23</v>
      </c>
      <c r="F1005" s="87" t="s">
        <v>770</v>
      </c>
      <c r="G1005" s="94"/>
      <c r="H1005" s="87"/>
      <c r="I1005" s="87" t="s">
        <v>788</v>
      </c>
    </row>
    <row r="1006">
      <c r="A1006" s="87">
        <v>1271.0</v>
      </c>
      <c r="B1006" s="87" t="s">
        <v>789</v>
      </c>
      <c r="C1006" s="93">
        <v>1.0</v>
      </c>
      <c r="D1006" s="87" t="s">
        <v>39</v>
      </c>
      <c r="E1006" s="87" t="s">
        <v>23</v>
      </c>
      <c r="F1006" s="87" t="s">
        <v>770</v>
      </c>
      <c r="G1006" s="94"/>
      <c r="H1006" s="87" t="s">
        <v>790</v>
      </c>
      <c r="I1006" s="87" t="s">
        <v>791</v>
      </c>
    </row>
    <row r="1007">
      <c r="A1007" s="87">
        <v>713.0</v>
      </c>
      <c r="B1007" s="87" t="s">
        <v>792</v>
      </c>
      <c r="C1007" s="93">
        <v>1.0</v>
      </c>
      <c r="D1007" s="87" t="s">
        <v>39</v>
      </c>
      <c r="E1007" s="87" t="s">
        <v>23</v>
      </c>
      <c r="F1007" s="87" t="s">
        <v>770</v>
      </c>
      <c r="G1007" s="94">
        <v>45561.0</v>
      </c>
      <c r="H1007" s="87"/>
      <c r="I1007" s="87"/>
    </row>
    <row r="1008">
      <c r="A1008" s="87">
        <v>711.0</v>
      </c>
      <c r="B1008" s="87" t="s">
        <v>793</v>
      </c>
      <c r="C1008" s="93">
        <v>1.0</v>
      </c>
      <c r="D1008" s="87" t="s">
        <v>39</v>
      </c>
      <c r="E1008" s="87" t="s">
        <v>23</v>
      </c>
      <c r="F1008" s="87" t="s">
        <v>770</v>
      </c>
      <c r="G1008" s="94">
        <v>45533.0</v>
      </c>
      <c r="H1008" s="87"/>
      <c r="I1008" s="87"/>
    </row>
    <row r="1009">
      <c r="A1009" s="87">
        <v>696.0</v>
      </c>
      <c r="B1009" s="87" t="s">
        <v>312</v>
      </c>
      <c r="C1009" s="93">
        <v>2.0</v>
      </c>
      <c r="D1009" s="87" t="s">
        <v>39</v>
      </c>
      <c r="E1009" s="87" t="s">
        <v>23</v>
      </c>
      <c r="F1009" s="87" t="s">
        <v>770</v>
      </c>
      <c r="G1009" s="94">
        <v>45532.0</v>
      </c>
      <c r="H1009" s="87"/>
      <c r="I1009" s="87"/>
    </row>
    <row r="1010">
      <c r="A1010" s="87">
        <v>706.0</v>
      </c>
      <c r="B1010" s="87" t="s">
        <v>313</v>
      </c>
      <c r="C1010" s="93">
        <v>3.0</v>
      </c>
      <c r="D1010" s="87" t="s">
        <v>39</v>
      </c>
      <c r="E1010" s="87" t="s">
        <v>23</v>
      </c>
      <c r="F1010" s="87" t="s">
        <v>770</v>
      </c>
      <c r="G1010" s="94">
        <v>45533.0</v>
      </c>
      <c r="H1010" s="87"/>
      <c r="I1010" s="87"/>
    </row>
    <row r="1011">
      <c r="A1011" s="87">
        <v>1247.0</v>
      </c>
      <c r="B1011" s="87" t="s">
        <v>634</v>
      </c>
      <c r="C1011" s="93">
        <v>1.0</v>
      </c>
      <c r="D1011" s="87" t="s">
        <v>39</v>
      </c>
      <c r="E1011" s="87" t="s">
        <v>23</v>
      </c>
      <c r="F1011" s="87" t="s">
        <v>770</v>
      </c>
      <c r="G1011" s="94">
        <v>1.01065124E8</v>
      </c>
      <c r="H1011" s="87" t="s">
        <v>794</v>
      </c>
      <c r="I1011" s="87" t="s">
        <v>795</v>
      </c>
    </row>
    <row r="1012">
      <c r="A1012" s="87">
        <v>710.0</v>
      </c>
      <c r="B1012" s="87" t="s">
        <v>796</v>
      </c>
      <c r="C1012" s="93">
        <v>1.0</v>
      </c>
      <c r="D1012" s="87" t="s">
        <v>39</v>
      </c>
      <c r="E1012" s="87" t="s">
        <v>23</v>
      </c>
      <c r="F1012" s="87" t="s">
        <v>770</v>
      </c>
      <c r="G1012" s="94">
        <v>45533.0</v>
      </c>
      <c r="H1012" s="87"/>
      <c r="I1012" s="87"/>
    </row>
    <row r="1013">
      <c r="A1013" s="87">
        <v>91.0</v>
      </c>
      <c r="B1013" s="87" t="s">
        <v>797</v>
      </c>
      <c r="C1013" s="93">
        <v>1.0</v>
      </c>
      <c r="D1013" s="87" t="s">
        <v>39</v>
      </c>
      <c r="E1013" s="87" t="s">
        <v>23</v>
      </c>
      <c r="F1013" s="87" t="s">
        <v>770</v>
      </c>
      <c r="G1013" s="94">
        <v>5.352996E7</v>
      </c>
      <c r="H1013" s="87"/>
      <c r="I1013" s="87" t="s">
        <v>798</v>
      </c>
    </row>
    <row r="1014">
      <c r="A1014" s="87">
        <v>851.0</v>
      </c>
      <c r="B1014" s="87" t="s">
        <v>799</v>
      </c>
      <c r="C1014" s="93">
        <v>1.0</v>
      </c>
      <c r="D1014" s="87" t="s">
        <v>39</v>
      </c>
      <c r="E1014" s="87" t="s">
        <v>23</v>
      </c>
      <c r="F1014" s="87" t="s">
        <v>770</v>
      </c>
      <c r="G1014" s="94">
        <v>4.0148483E7</v>
      </c>
      <c r="H1014" s="87"/>
      <c r="I1014" s="87"/>
    </row>
    <row r="1015">
      <c r="A1015" s="87">
        <v>1258.0</v>
      </c>
      <c r="B1015" s="87" t="s">
        <v>800</v>
      </c>
      <c r="C1015" s="93">
        <v>1.0</v>
      </c>
      <c r="D1015" s="87" t="s">
        <v>39</v>
      </c>
      <c r="E1015" s="87" t="s">
        <v>23</v>
      </c>
      <c r="F1015" s="87" t="s">
        <v>770</v>
      </c>
      <c r="G1015" s="94"/>
      <c r="H1015" s="87" t="s">
        <v>801</v>
      </c>
      <c r="I1015" s="87" t="s">
        <v>802</v>
      </c>
    </row>
    <row r="1016">
      <c r="A1016" s="87">
        <v>715.0</v>
      </c>
      <c r="B1016" s="87" t="s">
        <v>803</v>
      </c>
      <c r="C1016" s="93">
        <v>1.0</v>
      </c>
      <c r="D1016" s="87" t="s">
        <v>39</v>
      </c>
      <c r="E1016" s="87" t="s">
        <v>23</v>
      </c>
      <c r="F1016" s="87" t="s">
        <v>770</v>
      </c>
      <c r="G1016" s="94">
        <v>45980.0</v>
      </c>
      <c r="H1016" s="87"/>
      <c r="I1016" s="87"/>
    </row>
    <row r="1017">
      <c r="A1017" s="87">
        <v>1260.0</v>
      </c>
      <c r="B1017" s="87" t="s">
        <v>804</v>
      </c>
      <c r="C1017" s="93">
        <v>2.0</v>
      </c>
      <c r="D1017" s="87" t="s">
        <v>39</v>
      </c>
      <c r="E1017" s="87" t="s">
        <v>23</v>
      </c>
      <c r="F1017" s="87" t="s">
        <v>770</v>
      </c>
      <c r="G1017" s="94"/>
      <c r="H1017" s="87"/>
      <c r="I1017" s="87" t="s">
        <v>805</v>
      </c>
    </row>
    <row r="1018">
      <c r="A1018" s="87">
        <v>837.0</v>
      </c>
      <c r="B1018" s="87" t="s">
        <v>806</v>
      </c>
      <c r="C1018" s="93">
        <v>1.0</v>
      </c>
      <c r="D1018" s="87" t="s">
        <v>39</v>
      </c>
      <c r="E1018" s="87" t="s">
        <v>23</v>
      </c>
      <c r="F1018" s="87" t="s">
        <v>770</v>
      </c>
      <c r="G1018" s="94">
        <v>1.8933556E7</v>
      </c>
      <c r="H1018" s="87"/>
      <c r="I1018" s="87" t="s">
        <v>807</v>
      </c>
    </row>
    <row r="1019">
      <c r="A1019" s="87">
        <v>709.0</v>
      </c>
      <c r="B1019" s="87" t="s">
        <v>808</v>
      </c>
      <c r="C1019" s="93">
        <v>1.0</v>
      </c>
      <c r="D1019" s="87" t="s">
        <v>39</v>
      </c>
      <c r="E1019" s="87" t="s">
        <v>23</v>
      </c>
      <c r="F1019" s="87" t="s">
        <v>770</v>
      </c>
      <c r="G1019" s="94">
        <v>1.5009912E7</v>
      </c>
      <c r="H1019" s="87"/>
      <c r="I1019" s="87" t="s">
        <v>809</v>
      </c>
    </row>
    <row r="1020">
      <c r="A1020" s="87">
        <v>45.0</v>
      </c>
      <c r="B1020" s="87" t="s">
        <v>810</v>
      </c>
      <c r="C1020" s="93">
        <v>1.0</v>
      </c>
      <c r="D1020" s="87" t="s">
        <v>39</v>
      </c>
      <c r="E1020" s="87" t="s">
        <v>23</v>
      </c>
      <c r="F1020" s="87" t="s">
        <v>770</v>
      </c>
      <c r="G1020" s="94">
        <v>7.6783456E7</v>
      </c>
      <c r="H1020" s="87"/>
      <c r="I1020" s="87"/>
    </row>
    <row r="1021">
      <c r="A1021" s="87">
        <v>712.0</v>
      </c>
      <c r="B1021" s="87" t="s">
        <v>811</v>
      </c>
      <c r="C1021" s="93">
        <v>6.0</v>
      </c>
      <c r="D1021" s="87" t="s">
        <v>39</v>
      </c>
      <c r="E1021" s="87" t="s">
        <v>23</v>
      </c>
      <c r="F1021" s="87" t="s">
        <v>770</v>
      </c>
      <c r="G1021" s="94">
        <v>45533.0</v>
      </c>
      <c r="H1021" s="87"/>
      <c r="I1021" s="87" t="s">
        <v>777</v>
      </c>
    </row>
    <row r="1022">
      <c r="A1022" s="87">
        <v>695.0</v>
      </c>
      <c r="B1022" s="87" t="s">
        <v>328</v>
      </c>
      <c r="C1022" s="93">
        <v>12.0</v>
      </c>
      <c r="D1022" s="87" t="s">
        <v>39</v>
      </c>
      <c r="E1022" s="87" t="s">
        <v>23</v>
      </c>
      <c r="F1022" s="87" t="s">
        <v>770</v>
      </c>
      <c r="G1022" s="94">
        <v>45532.0</v>
      </c>
      <c r="H1022" s="87"/>
      <c r="I1022" s="87"/>
    </row>
    <row r="1023">
      <c r="A1023" s="87">
        <v>1050.0</v>
      </c>
      <c r="B1023" s="87" t="s">
        <v>615</v>
      </c>
      <c r="C1023" s="93">
        <v>1.0</v>
      </c>
      <c r="D1023" s="87" t="s">
        <v>39</v>
      </c>
      <c r="E1023" s="87" t="s">
        <v>23</v>
      </c>
      <c r="F1023" s="87" t="s">
        <v>770</v>
      </c>
      <c r="G1023" s="94">
        <v>7.679273E7</v>
      </c>
      <c r="H1023" s="87"/>
      <c r="I1023" s="87" t="s">
        <v>812</v>
      </c>
    </row>
    <row r="1024">
      <c r="A1024" s="87">
        <v>693.0</v>
      </c>
      <c r="B1024" s="87" t="s">
        <v>813</v>
      </c>
      <c r="C1024" s="93">
        <v>1.0</v>
      </c>
      <c r="D1024" s="87" t="s">
        <v>39</v>
      </c>
      <c r="E1024" s="87" t="s">
        <v>23</v>
      </c>
      <c r="F1024" s="87" t="s">
        <v>770</v>
      </c>
      <c r="G1024" s="94">
        <v>1.4012944E7</v>
      </c>
      <c r="H1024" s="87" t="s">
        <v>814</v>
      </c>
      <c r="I1024" s="87" t="s">
        <v>815</v>
      </c>
    </row>
    <row r="1025">
      <c r="A1025" s="87">
        <v>694.0</v>
      </c>
      <c r="B1025" s="87" t="s">
        <v>816</v>
      </c>
      <c r="C1025" s="93">
        <v>4.0</v>
      </c>
      <c r="D1025" s="87" t="s">
        <v>39</v>
      </c>
      <c r="E1025" s="87" t="s">
        <v>23</v>
      </c>
      <c r="F1025" s="87" t="s">
        <v>770</v>
      </c>
      <c r="G1025" s="94">
        <v>45532.0</v>
      </c>
      <c r="H1025" s="87"/>
      <c r="I1025" s="87"/>
    </row>
    <row r="1026">
      <c r="A1026" s="87">
        <v>1471.0</v>
      </c>
      <c r="B1026" s="87" t="s">
        <v>817</v>
      </c>
      <c r="C1026" s="93">
        <v>1.0</v>
      </c>
      <c r="D1026" s="87" t="s">
        <v>39</v>
      </c>
      <c r="E1026" s="87" t="s">
        <v>26</v>
      </c>
      <c r="F1026" s="87" t="s">
        <v>818</v>
      </c>
      <c r="G1026" s="94">
        <v>7.6982319E7</v>
      </c>
      <c r="H1026" s="87"/>
      <c r="I1026" s="87"/>
    </row>
    <row r="1027">
      <c r="A1027" s="87">
        <v>1472.0</v>
      </c>
      <c r="B1027" s="87" t="s">
        <v>817</v>
      </c>
      <c r="C1027" s="93">
        <v>1.0</v>
      </c>
      <c r="D1027" s="87" t="s">
        <v>39</v>
      </c>
      <c r="E1027" s="87" t="s">
        <v>26</v>
      </c>
      <c r="F1027" s="87" t="s">
        <v>818</v>
      </c>
      <c r="G1027" s="94">
        <v>7.6982327E7</v>
      </c>
      <c r="H1027" s="87"/>
      <c r="I1027" s="87"/>
    </row>
    <row r="1028">
      <c r="A1028" s="87">
        <v>1473.0</v>
      </c>
      <c r="B1028" s="87" t="s">
        <v>817</v>
      </c>
      <c r="C1028" s="93">
        <v>1.0</v>
      </c>
      <c r="D1028" s="87" t="s">
        <v>39</v>
      </c>
      <c r="E1028" s="87" t="s">
        <v>26</v>
      </c>
      <c r="F1028" s="87" t="s">
        <v>818</v>
      </c>
      <c r="G1028" s="94">
        <v>7.6982335E7</v>
      </c>
      <c r="H1028" s="87"/>
      <c r="I1028" s="87"/>
    </row>
    <row r="1029">
      <c r="A1029" s="87">
        <v>1474.0</v>
      </c>
      <c r="B1029" s="87" t="s">
        <v>817</v>
      </c>
      <c r="C1029" s="93">
        <v>1.0</v>
      </c>
      <c r="D1029" s="87" t="s">
        <v>39</v>
      </c>
      <c r="E1029" s="87" t="s">
        <v>26</v>
      </c>
      <c r="F1029" s="87" t="s">
        <v>818</v>
      </c>
      <c r="G1029" s="94">
        <v>7.6982343E7</v>
      </c>
      <c r="H1029" s="87"/>
      <c r="I1029" s="87"/>
    </row>
    <row r="1030">
      <c r="A1030" s="87">
        <v>1475.0</v>
      </c>
      <c r="B1030" s="87" t="s">
        <v>817</v>
      </c>
      <c r="C1030" s="93">
        <v>1.0</v>
      </c>
      <c r="D1030" s="87" t="s">
        <v>39</v>
      </c>
      <c r="E1030" s="87" t="s">
        <v>26</v>
      </c>
      <c r="F1030" s="87" t="s">
        <v>818</v>
      </c>
      <c r="G1030" s="94">
        <v>7.698244E7</v>
      </c>
      <c r="H1030" s="87"/>
      <c r="I1030" s="87"/>
    </row>
    <row r="1031">
      <c r="A1031" s="87">
        <v>1476.0</v>
      </c>
      <c r="B1031" s="87" t="s">
        <v>817</v>
      </c>
      <c r="C1031" s="93">
        <v>1.0</v>
      </c>
      <c r="D1031" s="87" t="s">
        <v>39</v>
      </c>
      <c r="E1031" s="87" t="s">
        <v>26</v>
      </c>
      <c r="F1031" s="87" t="s">
        <v>818</v>
      </c>
      <c r="G1031" s="94">
        <v>7.6982351E7</v>
      </c>
      <c r="H1031" s="87"/>
      <c r="I1031" s="87"/>
    </row>
    <row r="1032">
      <c r="A1032" s="87">
        <v>1477.0</v>
      </c>
      <c r="B1032" s="87" t="s">
        <v>817</v>
      </c>
      <c r="C1032" s="93">
        <v>1.0</v>
      </c>
      <c r="D1032" s="87" t="s">
        <v>39</v>
      </c>
      <c r="E1032" s="87" t="s">
        <v>26</v>
      </c>
      <c r="F1032" s="87" t="s">
        <v>818</v>
      </c>
      <c r="G1032" s="94">
        <v>7.698236E7</v>
      </c>
      <c r="H1032" s="87"/>
      <c r="I1032" s="87"/>
    </row>
    <row r="1033">
      <c r="A1033" s="87">
        <v>1478.0</v>
      </c>
      <c r="B1033" s="87" t="s">
        <v>817</v>
      </c>
      <c r="C1033" s="93">
        <v>1.0</v>
      </c>
      <c r="D1033" s="87" t="s">
        <v>39</v>
      </c>
      <c r="E1033" s="87" t="s">
        <v>26</v>
      </c>
      <c r="F1033" s="87" t="s">
        <v>818</v>
      </c>
      <c r="G1033" s="94">
        <v>7.6982378E7</v>
      </c>
      <c r="H1033" s="87"/>
      <c r="I1033" s="87"/>
    </row>
    <row r="1034">
      <c r="A1034" s="87">
        <v>1479.0</v>
      </c>
      <c r="B1034" s="87" t="s">
        <v>817</v>
      </c>
      <c r="C1034" s="93">
        <v>1.0</v>
      </c>
      <c r="D1034" s="87" t="s">
        <v>39</v>
      </c>
      <c r="E1034" s="87" t="s">
        <v>26</v>
      </c>
      <c r="F1034" s="87" t="s">
        <v>818</v>
      </c>
      <c r="G1034" s="94">
        <v>7.6982386E7</v>
      </c>
      <c r="H1034" s="87"/>
      <c r="I1034" s="87"/>
    </row>
    <row r="1035">
      <c r="A1035" s="87">
        <v>1480.0</v>
      </c>
      <c r="B1035" s="87" t="s">
        <v>817</v>
      </c>
      <c r="C1035" s="93">
        <v>1.0</v>
      </c>
      <c r="D1035" s="87" t="s">
        <v>39</v>
      </c>
      <c r="E1035" s="87" t="s">
        <v>26</v>
      </c>
      <c r="F1035" s="87" t="s">
        <v>818</v>
      </c>
      <c r="G1035" s="94">
        <v>7.6982394E7</v>
      </c>
      <c r="H1035" s="87"/>
      <c r="I1035" s="87"/>
    </row>
    <row r="1036">
      <c r="A1036" s="87">
        <v>1481.0</v>
      </c>
      <c r="B1036" s="87" t="s">
        <v>817</v>
      </c>
      <c r="C1036" s="93">
        <v>1.0</v>
      </c>
      <c r="D1036" s="87" t="s">
        <v>39</v>
      </c>
      <c r="E1036" s="87" t="s">
        <v>26</v>
      </c>
      <c r="F1036" s="87" t="s">
        <v>818</v>
      </c>
      <c r="G1036" s="94">
        <v>7.6982408E7</v>
      </c>
      <c r="H1036" s="87"/>
      <c r="I1036" s="87"/>
    </row>
    <row r="1037">
      <c r="A1037" s="87">
        <v>1482.0</v>
      </c>
      <c r="B1037" s="87" t="s">
        <v>817</v>
      </c>
      <c r="C1037" s="93">
        <v>1.0</v>
      </c>
      <c r="D1037" s="87" t="s">
        <v>39</v>
      </c>
      <c r="E1037" s="87" t="s">
        <v>26</v>
      </c>
      <c r="F1037" s="87" t="s">
        <v>818</v>
      </c>
      <c r="G1037" s="94">
        <v>7.6982416E7</v>
      </c>
      <c r="H1037" s="87"/>
      <c r="I1037" s="87"/>
    </row>
    <row r="1038">
      <c r="A1038" s="87">
        <v>1483.0</v>
      </c>
      <c r="B1038" s="87" t="s">
        <v>817</v>
      </c>
      <c r="C1038" s="93">
        <v>1.0</v>
      </c>
      <c r="D1038" s="87" t="s">
        <v>39</v>
      </c>
      <c r="E1038" s="87" t="s">
        <v>26</v>
      </c>
      <c r="F1038" s="87" t="s">
        <v>818</v>
      </c>
      <c r="G1038" s="94">
        <v>7.6982424E7</v>
      </c>
      <c r="H1038" s="87"/>
      <c r="I1038" s="87"/>
    </row>
    <row r="1039">
      <c r="A1039" s="87">
        <v>1484.0</v>
      </c>
      <c r="B1039" s="87" t="s">
        <v>817</v>
      </c>
      <c r="C1039" s="93">
        <v>1.0</v>
      </c>
      <c r="D1039" s="87" t="s">
        <v>39</v>
      </c>
      <c r="E1039" s="87" t="s">
        <v>26</v>
      </c>
      <c r="F1039" s="87" t="s">
        <v>818</v>
      </c>
      <c r="G1039" s="94">
        <v>7.6982432E7</v>
      </c>
      <c r="H1039" s="87"/>
      <c r="I1039" s="87"/>
    </row>
    <row r="1040">
      <c r="A1040" s="87">
        <v>1485.0</v>
      </c>
      <c r="B1040" s="87" t="s">
        <v>817</v>
      </c>
      <c r="C1040" s="93">
        <v>1.0</v>
      </c>
      <c r="D1040" s="87" t="s">
        <v>39</v>
      </c>
      <c r="E1040" s="87" t="s">
        <v>26</v>
      </c>
      <c r="F1040" s="87" t="s">
        <v>818</v>
      </c>
      <c r="G1040" s="94">
        <v>7.6982459E7</v>
      </c>
      <c r="H1040" s="87"/>
      <c r="I1040" s="87"/>
    </row>
    <row r="1041">
      <c r="A1041" s="87">
        <v>1486.0</v>
      </c>
      <c r="B1041" s="87" t="s">
        <v>817</v>
      </c>
      <c r="C1041" s="93">
        <v>1.0</v>
      </c>
      <c r="D1041" s="87" t="s">
        <v>39</v>
      </c>
      <c r="E1041" s="87" t="s">
        <v>26</v>
      </c>
      <c r="F1041" s="87" t="s">
        <v>818</v>
      </c>
      <c r="G1041" s="94">
        <v>7.69823E7</v>
      </c>
      <c r="H1041" s="87"/>
      <c r="I1041" s="87"/>
    </row>
    <row r="1042">
      <c r="A1042" s="87">
        <v>1487.0</v>
      </c>
      <c r="B1042" s="87" t="s">
        <v>817</v>
      </c>
      <c r="C1042" s="93">
        <v>1.0</v>
      </c>
      <c r="D1042" s="87" t="s">
        <v>39</v>
      </c>
      <c r="E1042" s="87" t="s">
        <v>26</v>
      </c>
      <c r="F1042" s="87" t="s">
        <v>818</v>
      </c>
      <c r="G1042" s="94">
        <v>7.6982467E7</v>
      </c>
      <c r="H1042" s="87"/>
      <c r="I1042" s="87"/>
    </row>
    <row r="1043">
      <c r="A1043" s="87">
        <v>1488.0</v>
      </c>
      <c r="B1043" s="87" t="s">
        <v>817</v>
      </c>
      <c r="C1043" s="93">
        <v>1.0</v>
      </c>
      <c r="D1043" s="87" t="s">
        <v>39</v>
      </c>
      <c r="E1043" s="87" t="s">
        <v>26</v>
      </c>
      <c r="F1043" s="87" t="s">
        <v>818</v>
      </c>
      <c r="G1043" s="94">
        <v>7.6982475E7</v>
      </c>
      <c r="H1043" s="87"/>
      <c r="I1043" s="87"/>
    </row>
    <row r="1044">
      <c r="A1044" s="87">
        <v>1489.0</v>
      </c>
      <c r="B1044" s="87" t="s">
        <v>817</v>
      </c>
      <c r="C1044" s="93">
        <v>1.0</v>
      </c>
      <c r="D1044" s="87" t="s">
        <v>39</v>
      </c>
      <c r="E1044" s="87" t="s">
        <v>26</v>
      </c>
      <c r="F1044" s="87" t="s">
        <v>818</v>
      </c>
      <c r="G1044" s="94">
        <v>7.6982483E7</v>
      </c>
      <c r="H1044" s="87"/>
      <c r="I1044" s="87"/>
    </row>
    <row r="1045">
      <c r="A1045" s="87">
        <v>1490.0</v>
      </c>
      <c r="B1045" s="87" t="s">
        <v>817</v>
      </c>
      <c r="C1045" s="93">
        <v>1.0</v>
      </c>
      <c r="D1045" s="87" t="s">
        <v>39</v>
      </c>
      <c r="E1045" s="87" t="s">
        <v>26</v>
      </c>
      <c r="F1045" s="87" t="s">
        <v>818</v>
      </c>
      <c r="G1045" s="94">
        <v>7.6982491E7</v>
      </c>
      <c r="H1045" s="87"/>
      <c r="I1045" s="87"/>
    </row>
    <row r="1046">
      <c r="A1046" s="87">
        <v>1354.0</v>
      </c>
      <c r="B1046" s="87" t="s">
        <v>819</v>
      </c>
      <c r="C1046" s="93">
        <v>1.0</v>
      </c>
      <c r="D1046" s="87" t="s">
        <v>39</v>
      </c>
      <c r="E1046" s="87" t="s">
        <v>26</v>
      </c>
      <c r="F1046" s="87" t="s">
        <v>818</v>
      </c>
      <c r="G1046" s="94">
        <v>7.6926184E7</v>
      </c>
      <c r="H1046" s="87"/>
      <c r="I1046" s="87" t="s">
        <v>820</v>
      </c>
    </row>
    <row r="1047">
      <c r="A1047" s="87">
        <v>948.0</v>
      </c>
      <c r="B1047" s="87" t="s">
        <v>821</v>
      </c>
      <c r="C1047" s="93">
        <v>1.0</v>
      </c>
      <c r="D1047" s="87" t="s">
        <v>39</v>
      </c>
      <c r="E1047" s="87" t="s">
        <v>26</v>
      </c>
      <c r="F1047" s="87" t="s">
        <v>818</v>
      </c>
      <c r="G1047" s="94">
        <v>7.6666115E7</v>
      </c>
      <c r="H1047" s="87"/>
      <c r="I1047" s="87"/>
    </row>
    <row r="1048">
      <c r="A1048" s="87">
        <v>265.0</v>
      </c>
      <c r="B1048" s="87" t="s">
        <v>634</v>
      </c>
      <c r="C1048" s="93">
        <v>1.0</v>
      </c>
      <c r="D1048" s="87" t="s">
        <v>39</v>
      </c>
      <c r="E1048" s="87" t="s">
        <v>83</v>
      </c>
      <c r="F1048" s="87" t="s">
        <v>822</v>
      </c>
      <c r="G1048" s="94">
        <v>7.6730735E7</v>
      </c>
      <c r="H1048" s="87"/>
      <c r="I1048" s="87" t="s">
        <v>823</v>
      </c>
    </row>
    <row r="1049">
      <c r="A1049" s="87">
        <v>384.0</v>
      </c>
      <c r="B1049" s="87" t="s">
        <v>824</v>
      </c>
      <c r="C1049" s="93">
        <v>3.0</v>
      </c>
      <c r="D1049" s="87" t="s">
        <v>275</v>
      </c>
      <c r="E1049" s="87" t="s">
        <v>16</v>
      </c>
      <c r="F1049" s="87" t="s">
        <v>825</v>
      </c>
      <c r="G1049" s="94">
        <v>45579.0</v>
      </c>
      <c r="H1049" s="87"/>
      <c r="I1049" s="87" t="s">
        <v>826</v>
      </c>
    </row>
    <row r="1050">
      <c r="A1050" s="87">
        <v>450.0</v>
      </c>
      <c r="B1050" s="87" t="s">
        <v>827</v>
      </c>
      <c r="C1050" s="93">
        <v>8.0</v>
      </c>
      <c r="D1050" s="87" t="s">
        <v>39</v>
      </c>
      <c r="E1050" s="87" t="s">
        <v>26</v>
      </c>
      <c r="F1050" s="87" t="s">
        <v>27</v>
      </c>
      <c r="G1050" s="94">
        <v>45912.0</v>
      </c>
      <c r="H1050" s="87"/>
      <c r="I1050" s="87"/>
    </row>
    <row r="1051">
      <c r="A1051" s="87">
        <v>449.0</v>
      </c>
      <c r="B1051" s="87" t="s">
        <v>828</v>
      </c>
      <c r="C1051" s="93">
        <v>26.0</v>
      </c>
      <c r="D1051" s="87" t="s">
        <v>39</v>
      </c>
      <c r="E1051" s="87" t="s">
        <v>26</v>
      </c>
      <c r="F1051" s="87" t="s">
        <v>27</v>
      </c>
      <c r="G1051" s="94">
        <v>45623.0</v>
      </c>
      <c r="H1051" s="87"/>
      <c r="I1051" s="87" t="s">
        <v>829</v>
      </c>
    </row>
    <row r="1052">
      <c r="A1052" s="87">
        <v>1364.0</v>
      </c>
      <c r="B1052" s="87" t="s">
        <v>830</v>
      </c>
      <c r="C1052" s="93">
        <v>1.0</v>
      </c>
      <c r="D1052" s="87" t="s">
        <v>39</v>
      </c>
      <c r="E1052" s="87" t="s">
        <v>26</v>
      </c>
      <c r="F1052" s="87" t="s">
        <v>27</v>
      </c>
      <c r="G1052" s="94">
        <v>7.6898733E7</v>
      </c>
      <c r="H1052" s="87"/>
      <c r="I1052" s="87" t="s">
        <v>831</v>
      </c>
    </row>
    <row r="1053">
      <c r="A1053" s="87">
        <v>733.0</v>
      </c>
      <c r="B1053" s="87" t="s">
        <v>832</v>
      </c>
      <c r="C1053" s="93">
        <v>1.0</v>
      </c>
      <c r="D1053" s="87" t="s">
        <v>39</v>
      </c>
      <c r="E1053" s="87" t="s">
        <v>23</v>
      </c>
      <c r="F1053" s="87" t="s">
        <v>833</v>
      </c>
      <c r="G1053" s="94"/>
      <c r="H1053" s="87"/>
      <c r="I1053" s="87"/>
    </row>
    <row r="1054">
      <c r="A1054" s="87">
        <v>699.0</v>
      </c>
      <c r="B1054" s="87" t="s">
        <v>834</v>
      </c>
      <c r="C1054" s="93">
        <v>1.0</v>
      </c>
      <c r="D1054" s="87" t="s">
        <v>39</v>
      </c>
      <c r="E1054" s="87" t="s">
        <v>23</v>
      </c>
      <c r="F1054" s="87" t="s">
        <v>833</v>
      </c>
      <c r="G1054" s="94">
        <v>45533.0</v>
      </c>
      <c r="H1054" s="87"/>
      <c r="I1054" s="87"/>
    </row>
    <row r="1055">
      <c r="A1055" s="87">
        <v>702.0</v>
      </c>
      <c r="B1055" s="87" t="s">
        <v>835</v>
      </c>
      <c r="C1055" s="93">
        <v>1.0</v>
      </c>
      <c r="D1055" s="87" t="s">
        <v>39</v>
      </c>
      <c r="E1055" s="87" t="s">
        <v>23</v>
      </c>
      <c r="F1055" s="87" t="s">
        <v>833</v>
      </c>
      <c r="G1055" s="94">
        <v>45533.0</v>
      </c>
      <c r="H1055" s="87"/>
      <c r="I1055" s="87"/>
    </row>
    <row r="1056">
      <c r="A1056" s="87">
        <v>824.0</v>
      </c>
      <c r="B1056" s="87" t="s">
        <v>38</v>
      </c>
      <c r="C1056" s="93">
        <v>1.0</v>
      </c>
      <c r="D1056" s="87" t="s">
        <v>39</v>
      </c>
      <c r="E1056" s="87" t="s">
        <v>23</v>
      </c>
      <c r="F1056" s="87" t="s">
        <v>833</v>
      </c>
      <c r="G1056" s="94">
        <v>1.4094207E7</v>
      </c>
      <c r="H1056" s="87"/>
      <c r="I1056" s="87"/>
    </row>
    <row r="1057">
      <c r="A1057" s="87">
        <v>704.0</v>
      </c>
      <c r="B1057" s="87" t="s">
        <v>836</v>
      </c>
      <c r="C1057" s="93">
        <v>2.0</v>
      </c>
      <c r="D1057" s="87" t="s">
        <v>39</v>
      </c>
      <c r="E1057" s="87" t="s">
        <v>23</v>
      </c>
      <c r="F1057" s="87" t="s">
        <v>833</v>
      </c>
      <c r="G1057" s="94">
        <v>45533.0</v>
      </c>
      <c r="H1057" s="87"/>
      <c r="I1057" s="87"/>
    </row>
    <row r="1058">
      <c r="A1058" s="87">
        <v>703.0</v>
      </c>
      <c r="B1058" s="87" t="s">
        <v>837</v>
      </c>
      <c r="C1058" s="93">
        <v>2.0</v>
      </c>
      <c r="D1058" s="87" t="s">
        <v>39</v>
      </c>
      <c r="E1058" s="87" t="s">
        <v>23</v>
      </c>
      <c r="F1058" s="87" t="s">
        <v>833</v>
      </c>
      <c r="G1058" s="94">
        <v>45533.0</v>
      </c>
      <c r="H1058" s="87"/>
      <c r="I1058" s="87"/>
    </row>
    <row r="1059">
      <c r="A1059" s="87">
        <v>535.0</v>
      </c>
      <c r="B1059" s="87" t="s">
        <v>838</v>
      </c>
      <c r="C1059" s="93">
        <v>1.0</v>
      </c>
      <c r="D1059" s="87" t="s">
        <v>39</v>
      </c>
      <c r="E1059" s="87" t="s">
        <v>23</v>
      </c>
      <c r="F1059" s="87" t="s">
        <v>833</v>
      </c>
      <c r="G1059" s="94">
        <v>1.3954539E7</v>
      </c>
      <c r="H1059" s="87"/>
      <c r="I1059" s="87" t="s">
        <v>839</v>
      </c>
    </row>
    <row r="1060">
      <c r="A1060" s="87">
        <v>510.0</v>
      </c>
      <c r="B1060" s="87" t="s">
        <v>840</v>
      </c>
      <c r="C1060" s="93">
        <v>1.0</v>
      </c>
      <c r="D1060" s="87" t="s">
        <v>39</v>
      </c>
      <c r="E1060" s="87" t="s">
        <v>23</v>
      </c>
      <c r="F1060" s="87" t="s">
        <v>833</v>
      </c>
      <c r="G1060" s="94">
        <v>1.3857142E7</v>
      </c>
      <c r="H1060" s="87"/>
      <c r="I1060" s="87" t="s">
        <v>841</v>
      </c>
    </row>
    <row r="1061">
      <c r="A1061" s="87">
        <v>1355.0</v>
      </c>
      <c r="B1061" s="87" t="s">
        <v>842</v>
      </c>
      <c r="C1061" s="93">
        <v>1.0</v>
      </c>
      <c r="D1061" s="87" t="s">
        <v>39</v>
      </c>
      <c r="E1061" s="87" t="s">
        <v>23</v>
      </c>
      <c r="F1061" s="87" t="s">
        <v>833</v>
      </c>
      <c r="G1061" s="94">
        <v>7.6961494E7</v>
      </c>
      <c r="H1061" s="87"/>
      <c r="I1061" s="87"/>
    </row>
    <row r="1062">
      <c r="A1062" s="87">
        <v>1356.0</v>
      </c>
      <c r="B1062" s="87" t="s">
        <v>842</v>
      </c>
      <c r="C1062" s="93">
        <v>1.0</v>
      </c>
      <c r="D1062" s="87" t="s">
        <v>39</v>
      </c>
      <c r="E1062" s="87" t="s">
        <v>23</v>
      </c>
      <c r="F1062" s="87" t="s">
        <v>833</v>
      </c>
      <c r="G1062" s="94">
        <v>7.6961508E7</v>
      </c>
      <c r="H1062" s="87"/>
      <c r="I1062" s="87"/>
    </row>
    <row r="1063">
      <c r="A1063" s="87">
        <v>1357.0</v>
      </c>
      <c r="B1063" s="87" t="s">
        <v>842</v>
      </c>
      <c r="C1063" s="93">
        <v>1.0</v>
      </c>
      <c r="D1063" s="87" t="s">
        <v>39</v>
      </c>
      <c r="E1063" s="87" t="s">
        <v>23</v>
      </c>
      <c r="F1063" s="87" t="s">
        <v>833</v>
      </c>
      <c r="G1063" s="94">
        <v>7.6961516E7</v>
      </c>
      <c r="H1063" s="87"/>
      <c r="I1063" s="87"/>
    </row>
    <row r="1064">
      <c r="A1064" s="87">
        <v>731.0</v>
      </c>
      <c r="B1064" s="87" t="s">
        <v>843</v>
      </c>
      <c r="C1064" s="93">
        <v>2.0</v>
      </c>
      <c r="D1064" s="87" t="s">
        <v>39</v>
      </c>
      <c r="E1064" s="87" t="s">
        <v>23</v>
      </c>
      <c r="F1064" s="87" t="s">
        <v>833</v>
      </c>
      <c r="G1064" s="94">
        <v>45679.0</v>
      </c>
      <c r="H1064" s="87"/>
      <c r="I1064" s="87"/>
    </row>
    <row r="1065">
      <c r="A1065" s="87">
        <v>757.0</v>
      </c>
      <c r="B1065" s="87" t="s">
        <v>844</v>
      </c>
      <c r="C1065" s="93">
        <v>2.0</v>
      </c>
      <c r="D1065" s="87" t="s">
        <v>39</v>
      </c>
      <c r="E1065" s="87" t="s">
        <v>23</v>
      </c>
      <c r="F1065" s="87" t="s">
        <v>833</v>
      </c>
      <c r="G1065" s="94"/>
      <c r="H1065" s="87"/>
      <c r="I1065" s="87" t="s">
        <v>845</v>
      </c>
    </row>
    <row r="1066">
      <c r="A1066" s="87">
        <v>732.0</v>
      </c>
      <c r="B1066" s="87" t="s">
        <v>846</v>
      </c>
      <c r="C1066" s="93">
        <v>1.0</v>
      </c>
      <c r="D1066" s="87" t="s">
        <v>39</v>
      </c>
      <c r="E1066" s="87" t="s">
        <v>23</v>
      </c>
      <c r="F1066" s="87" t="s">
        <v>833</v>
      </c>
      <c r="G1066" s="94"/>
      <c r="H1066" s="87"/>
      <c r="I1066" s="87"/>
    </row>
    <row r="1067">
      <c r="A1067" s="87">
        <v>700.0</v>
      </c>
      <c r="B1067" s="87" t="s">
        <v>847</v>
      </c>
      <c r="C1067" s="93">
        <v>1.0</v>
      </c>
      <c r="D1067" s="87" t="s">
        <v>39</v>
      </c>
      <c r="E1067" s="87" t="s">
        <v>23</v>
      </c>
      <c r="F1067" s="87" t="s">
        <v>833</v>
      </c>
      <c r="G1067" s="94">
        <v>45579.0</v>
      </c>
      <c r="H1067" s="87"/>
      <c r="I1067" s="87"/>
    </row>
    <row r="1068">
      <c r="A1068" s="87">
        <v>698.0</v>
      </c>
      <c r="B1068" s="87" t="s">
        <v>848</v>
      </c>
      <c r="C1068" s="93">
        <v>1.0</v>
      </c>
      <c r="D1068" s="87" t="s">
        <v>39</v>
      </c>
      <c r="E1068" s="87" t="s">
        <v>23</v>
      </c>
      <c r="F1068" s="87" t="s">
        <v>833</v>
      </c>
      <c r="G1068" s="94">
        <v>45723.0</v>
      </c>
      <c r="H1068" s="87"/>
      <c r="I1068" s="87" t="s">
        <v>849</v>
      </c>
    </row>
    <row r="1069">
      <c r="A1069" s="87">
        <v>697.0</v>
      </c>
      <c r="B1069" s="87" t="s">
        <v>850</v>
      </c>
      <c r="C1069" s="93">
        <v>2.0</v>
      </c>
      <c r="D1069" s="87" t="s">
        <v>39</v>
      </c>
      <c r="E1069" s="87" t="s">
        <v>23</v>
      </c>
      <c r="F1069" s="87" t="s">
        <v>833</v>
      </c>
      <c r="G1069" s="94">
        <v>45532.0</v>
      </c>
      <c r="H1069" s="87"/>
      <c r="I1069" s="87"/>
    </row>
    <row r="1070">
      <c r="A1070" s="87">
        <v>743.0</v>
      </c>
      <c r="B1070" s="87" t="s">
        <v>634</v>
      </c>
      <c r="C1070" s="93">
        <v>1.0</v>
      </c>
      <c r="D1070" s="87" t="s">
        <v>39</v>
      </c>
      <c r="E1070" s="87" t="s">
        <v>23</v>
      </c>
      <c r="F1070" s="87" t="s">
        <v>833</v>
      </c>
      <c r="G1070" s="94">
        <v>7.686921E7</v>
      </c>
      <c r="H1070" s="87" t="s">
        <v>851</v>
      </c>
      <c r="I1070" s="87" t="s">
        <v>852</v>
      </c>
    </row>
    <row r="1071">
      <c r="A1071" s="87">
        <v>745.0</v>
      </c>
      <c r="B1071" s="87" t="s">
        <v>634</v>
      </c>
      <c r="C1071" s="93">
        <v>1.0</v>
      </c>
      <c r="D1071" s="87" t="s">
        <v>39</v>
      </c>
      <c r="E1071" s="87" t="s">
        <v>23</v>
      </c>
      <c r="F1071" s="87" t="s">
        <v>833</v>
      </c>
      <c r="G1071" s="94">
        <v>7.6869237E7</v>
      </c>
      <c r="H1071" s="87" t="s">
        <v>853</v>
      </c>
      <c r="I1071" s="87" t="s">
        <v>854</v>
      </c>
    </row>
    <row r="1072">
      <c r="A1072" s="87">
        <v>1335.0</v>
      </c>
      <c r="B1072" s="87" t="s">
        <v>271</v>
      </c>
      <c r="C1072" s="93">
        <v>1.0</v>
      </c>
      <c r="D1072" s="87" t="s">
        <v>39</v>
      </c>
      <c r="E1072" s="87" t="s">
        <v>23</v>
      </c>
      <c r="F1072" s="87" t="s">
        <v>833</v>
      </c>
      <c r="G1072" s="94">
        <v>7.6889629E7</v>
      </c>
      <c r="H1072" s="87"/>
      <c r="I1072" s="87" t="s">
        <v>855</v>
      </c>
    </row>
    <row r="1073">
      <c r="A1073" s="87">
        <v>1347.0</v>
      </c>
      <c r="B1073" s="87" t="s">
        <v>615</v>
      </c>
      <c r="C1073" s="93">
        <v>1.0</v>
      </c>
      <c r="D1073" s="87" t="s">
        <v>39</v>
      </c>
      <c r="E1073" s="87" t="s">
        <v>23</v>
      </c>
      <c r="F1073" s="87" t="s">
        <v>833</v>
      </c>
      <c r="G1073" s="94">
        <v>7.6849805E7</v>
      </c>
      <c r="H1073" s="87" t="s">
        <v>856</v>
      </c>
      <c r="I1073" s="87" t="s">
        <v>857</v>
      </c>
    </row>
    <row r="1074">
      <c r="A1074" s="87">
        <v>1348.0</v>
      </c>
      <c r="B1074" s="87" t="s">
        <v>615</v>
      </c>
      <c r="C1074" s="93">
        <v>1.0</v>
      </c>
      <c r="D1074" s="87" t="s">
        <v>39</v>
      </c>
      <c r="E1074" s="87" t="s">
        <v>23</v>
      </c>
      <c r="F1074" s="87" t="s">
        <v>833</v>
      </c>
      <c r="G1074" s="94">
        <v>7.684997E7</v>
      </c>
      <c r="H1074" s="87" t="s">
        <v>858</v>
      </c>
      <c r="I1074" s="87" t="s">
        <v>857</v>
      </c>
    </row>
    <row r="1075">
      <c r="A1075" s="87">
        <v>1349.0</v>
      </c>
      <c r="B1075" s="87" t="s">
        <v>615</v>
      </c>
      <c r="C1075" s="93">
        <v>1.0</v>
      </c>
      <c r="D1075" s="87" t="s">
        <v>39</v>
      </c>
      <c r="E1075" s="87" t="s">
        <v>23</v>
      </c>
      <c r="F1075" s="87" t="s">
        <v>833</v>
      </c>
      <c r="G1075" s="94">
        <v>7.6849929E7</v>
      </c>
      <c r="H1075" s="87" t="s">
        <v>859</v>
      </c>
      <c r="I1075" s="87" t="s">
        <v>857</v>
      </c>
    </row>
    <row r="1076">
      <c r="A1076" s="87">
        <v>1350.0</v>
      </c>
      <c r="B1076" s="87" t="s">
        <v>615</v>
      </c>
      <c r="C1076" s="93">
        <v>1.0</v>
      </c>
      <c r="D1076" s="87" t="s">
        <v>39</v>
      </c>
      <c r="E1076" s="87" t="s">
        <v>23</v>
      </c>
      <c r="F1076" s="87" t="s">
        <v>833</v>
      </c>
      <c r="G1076" s="94">
        <v>7.6849783E7</v>
      </c>
      <c r="H1076" s="87" t="s">
        <v>860</v>
      </c>
      <c r="I1076" s="87" t="s">
        <v>857</v>
      </c>
    </row>
    <row r="1077">
      <c r="A1077" s="87">
        <v>1351.0</v>
      </c>
      <c r="B1077" s="87" t="s">
        <v>615</v>
      </c>
      <c r="C1077" s="93">
        <v>1.0</v>
      </c>
      <c r="D1077" s="87" t="s">
        <v>39</v>
      </c>
      <c r="E1077" s="87" t="s">
        <v>23</v>
      </c>
      <c r="F1077" s="87" t="s">
        <v>833</v>
      </c>
      <c r="G1077" s="94">
        <v>7.6849759E7</v>
      </c>
      <c r="H1077" s="87" t="s">
        <v>861</v>
      </c>
      <c r="I1077" s="87" t="s">
        <v>857</v>
      </c>
    </row>
    <row r="1078">
      <c r="A1078" s="87">
        <v>1180.0</v>
      </c>
      <c r="B1078" s="87" t="s">
        <v>640</v>
      </c>
      <c r="C1078" s="93">
        <v>1.0</v>
      </c>
      <c r="D1078" s="87" t="s">
        <v>39</v>
      </c>
      <c r="E1078" s="87" t="s">
        <v>26</v>
      </c>
      <c r="F1078" s="87" t="s">
        <v>833</v>
      </c>
      <c r="G1078" s="94">
        <v>7.6871924E7</v>
      </c>
      <c r="H1078" s="87" t="s">
        <v>862</v>
      </c>
      <c r="I1078" s="87"/>
    </row>
    <row r="1079">
      <c r="A1079" s="87">
        <v>600.0</v>
      </c>
      <c r="B1079" s="87" t="s">
        <v>863</v>
      </c>
      <c r="C1079" s="93">
        <v>1.0</v>
      </c>
      <c r="D1079" s="87" t="s">
        <v>39</v>
      </c>
      <c r="E1079" s="87" t="s">
        <v>40</v>
      </c>
      <c r="F1079" s="87" t="s">
        <v>864</v>
      </c>
      <c r="G1079" s="94">
        <v>4.0090752E7</v>
      </c>
      <c r="H1079" s="87"/>
      <c r="I1079" s="87"/>
    </row>
    <row r="1080">
      <c r="A1080" s="87">
        <v>1323.0</v>
      </c>
      <c r="B1080" s="87" t="s">
        <v>865</v>
      </c>
      <c r="C1080" s="93">
        <v>1.0</v>
      </c>
      <c r="D1080" s="87" t="s">
        <v>39</v>
      </c>
      <c r="E1080" s="87" t="s">
        <v>40</v>
      </c>
      <c r="F1080" s="87" t="s">
        <v>864</v>
      </c>
      <c r="G1080" s="94">
        <v>1.01074972E8</v>
      </c>
      <c r="H1080" s="87"/>
      <c r="I1080" s="87" t="s">
        <v>866</v>
      </c>
    </row>
    <row r="1081">
      <c r="A1081" s="87">
        <v>583.0</v>
      </c>
      <c r="B1081" s="87" t="s">
        <v>265</v>
      </c>
      <c r="C1081" s="93">
        <v>1.0</v>
      </c>
      <c r="D1081" s="87" t="s">
        <v>39</v>
      </c>
      <c r="E1081" s="87" t="s">
        <v>40</v>
      </c>
      <c r="F1081" s="87" t="s">
        <v>864</v>
      </c>
      <c r="G1081" s="94">
        <v>3.5451548E7</v>
      </c>
      <c r="H1081" s="87"/>
      <c r="I1081" s="87" t="s">
        <v>867</v>
      </c>
    </row>
    <row r="1082">
      <c r="A1082" s="87">
        <v>579.0</v>
      </c>
      <c r="B1082" s="87" t="s">
        <v>756</v>
      </c>
      <c r="C1082" s="93">
        <v>1.0</v>
      </c>
      <c r="D1082" s="87" t="s">
        <v>39</v>
      </c>
      <c r="E1082" s="87" t="s">
        <v>40</v>
      </c>
      <c r="F1082" s="87" t="s">
        <v>864</v>
      </c>
      <c r="G1082" s="94">
        <v>2110296.0</v>
      </c>
      <c r="H1082" s="87"/>
      <c r="I1082" s="87"/>
    </row>
    <row r="1083">
      <c r="A1083" s="87">
        <v>758.0</v>
      </c>
      <c r="B1083" s="87" t="s">
        <v>868</v>
      </c>
      <c r="C1083" s="93">
        <v>1.0</v>
      </c>
      <c r="D1083" s="87" t="s">
        <v>39</v>
      </c>
      <c r="E1083" s="87" t="s">
        <v>40</v>
      </c>
      <c r="F1083" s="87" t="s">
        <v>864</v>
      </c>
      <c r="G1083" s="94">
        <v>1.2707155E7</v>
      </c>
      <c r="H1083" s="87"/>
      <c r="I1083" s="87" t="s">
        <v>869</v>
      </c>
    </row>
    <row r="1084">
      <c r="A1084" s="87">
        <v>759.0</v>
      </c>
      <c r="B1084" s="87" t="s">
        <v>868</v>
      </c>
      <c r="C1084" s="93">
        <v>1.0</v>
      </c>
      <c r="D1084" s="87" t="s">
        <v>39</v>
      </c>
      <c r="E1084" s="87" t="s">
        <v>40</v>
      </c>
      <c r="F1084" s="87" t="s">
        <v>864</v>
      </c>
      <c r="G1084" s="94">
        <v>1.2711195E7</v>
      </c>
      <c r="H1084" s="87"/>
      <c r="I1084" s="87"/>
    </row>
    <row r="1085">
      <c r="A1085" s="87">
        <v>596.0</v>
      </c>
      <c r="B1085" s="87" t="s">
        <v>870</v>
      </c>
      <c r="C1085" s="93">
        <v>1.0</v>
      </c>
      <c r="D1085" s="87" t="s">
        <v>39</v>
      </c>
      <c r="E1085" s="87" t="s">
        <v>40</v>
      </c>
      <c r="F1085" s="87" t="s">
        <v>864</v>
      </c>
      <c r="G1085" s="94">
        <v>4.0081982E7</v>
      </c>
      <c r="H1085" s="87"/>
      <c r="I1085" s="87"/>
    </row>
    <row r="1086">
      <c r="A1086" s="87">
        <v>562.0</v>
      </c>
      <c r="B1086" s="87" t="s">
        <v>871</v>
      </c>
      <c r="C1086" s="93">
        <v>10.0</v>
      </c>
      <c r="D1086" s="87" t="s">
        <v>39</v>
      </c>
      <c r="E1086" s="87" t="s">
        <v>40</v>
      </c>
      <c r="F1086" s="87" t="s">
        <v>186</v>
      </c>
      <c r="G1086" s="94">
        <v>45511.0</v>
      </c>
      <c r="H1086" s="87"/>
      <c r="I1086" s="87"/>
    </row>
    <row r="1087">
      <c r="A1087" s="87">
        <v>567.0</v>
      </c>
      <c r="B1087" s="87" t="s">
        <v>872</v>
      </c>
      <c r="C1087" s="93">
        <v>3.0</v>
      </c>
      <c r="D1087" s="87" t="s">
        <v>39</v>
      </c>
      <c r="E1087" s="87" t="s">
        <v>40</v>
      </c>
      <c r="F1087" s="87" t="s">
        <v>186</v>
      </c>
      <c r="G1087" s="94">
        <v>45511.0</v>
      </c>
      <c r="H1087" s="87"/>
      <c r="I1087" s="87"/>
    </row>
    <row r="1088">
      <c r="A1088" s="87">
        <v>750.0</v>
      </c>
      <c r="B1088" s="87" t="s">
        <v>262</v>
      </c>
      <c r="C1088" s="93">
        <v>1.0</v>
      </c>
      <c r="D1088" s="87" t="s">
        <v>39</v>
      </c>
      <c r="E1088" s="87" t="s">
        <v>40</v>
      </c>
      <c r="F1088" s="87" t="s">
        <v>186</v>
      </c>
      <c r="G1088" s="94">
        <v>7901461.0</v>
      </c>
      <c r="H1088" s="87"/>
      <c r="I1088" s="87"/>
    </row>
    <row r="1089">
      <c r="A1089" s="87">
        <v>563.0</v>
      </c>
      <c r="B1089" s="87" t="s">
        <v>873</v>
      </c>
      <c r="C1089" s="93">
        <v>15.0</v>
      </c>
      <c r="D1089" s="87" t="s">
        <v>39</v>
      </c>
      <c r="E1089" s="87" t="s">
        <v>40</v>
      </c>
      <c r="F1089" s="87" t="s">
        <v>186</v>
      </c>
      <c r="G1089" s="94">
        <v>45511.0</v>
      </c>
      <c r="H1089" s="87"/>
      <c r="I1089" s="87"/>
    </row>
    <row r="1090">
      <c r="A1090" s="87">
        <v>813.0</v>
      </c>
      <c r="B1090" s="87" t="s">
        <v>874</v>
      </c>
      <c r="C1090" s="93">
        <v>5.0</v>
      </c>
      <c r="D1090" s="87" t="s">
        <v>39</v>
      </c>
      <c r="E1090" s="87" t="s">
        <v>40</v>
      </c>
      <c r="F1090" s="87" t="s">
        <v>186</v>
      </c>
      <c r="G1090" s="94">
        <v>46086.0</v>
      </c>
      <c r="H1090" s="87"/>
      <c r="I1090" s="87"/>
    </row>
    <row r="1091">
      <c r="A1091" s="87">
        <v>808.0</v>
      </c>
      <c r="B1091" s="87" t="s">
        <v>490</v>
      </c>
      <c r="C1091" s="93">
        <v>2.0</v>
      </c>
      <c r="D1091" s="87" t="s">
        <v>39</v>
      </c>
      <c r="E1091" s="87" t="s">
        <v>40</v>
      </c>
      <c r="F1091" s="87" t="s">
        <v>186</v>
      </c>
      <c r="G1091" s="94">
        <v>46083.0</v>
      </c>
      <c r="H1091" s="87"/>
      <c r="I1091" s="87"/>
    </row>
    <row r="1092">
      <c r="A1092" s="87">
        <v>511.0</v>
      </c>
      <c r="B1092" s="87" t="s">
        <v>838</v>
      </c>
      <c r="C1092" s="93">
        <v>1.0</v>
      </c>
      <c r="D1092" s="87" t="s">
        <v>39</v>
      </c>
      <c r="E1092" s="87" t="s">
        <v>40</v>
      </c>
      <c r="F1092" s="87" t="s">
        <v>186</v>
      </c>
      <c r="G1092" s="94">
        <v>1.3857827E7</v>
      </c>
      <c r="H1092" s="87"/>
      <c r="I1092" s="87" t="s">
        <v>875</v>
      </c>
    </row>
    <row r="1093">
      <c r="A1093" s="87">
        <v>534.0</v>
      </c>
      <c r="B1093" s="87" t="s">
        <v>838</v>
      </c>
      <c r="C1093" s="93">
        <v>1.0</v>
      </c>
      <c r="D1093" s="87" t="s">
        <v>39</v>
      </c>
      <c r="E1093" s="87" t="s">
        <v>40</v>
      </c>
      <c r="F1093" s="87" t="s">
        <v>186</v>
      </c>
      <c r="G1093" s="94">
        <v>1.3954229E7</v>
      </c>
      <c r="H1093" s="87"/>
      <c r="I1093" s="87" t="s">
        <v>875</v>
      </c>
    </row>
    <row r="1094">
      <c r="A1094" s="87">
        <v>657.0</v>
      </c>
      <c r="B1094" s="87" t="s">
        <v>104</v>
      </c>
      <c r="C1094" s="93">
        <v>1.0</v>
      </c>
      <c r="D1094" s="87" t="s">
        <v>39</v>
      </c>
      <c r="E1094" s="87" t="s">
        <v>40</v>
      </c>
      <c r="F1094" s="87" t="s">
        <v>186</v>
      </c>
      <c r="G1094" s="94">
        <v>4.0225682E7</v>
      </c>
      <c r="H1094" s="87"/>
      <c r="I1094" s="87"/>
    </row>
    <row r="1095">
      <c r="A1095" s="87">
        <v>568.0</v>
      </c>
      <c r="B1095" s="87" t="s">
        <v>876</v>
      </c>
      <c r="C1095" s="93">
        <v>3.0</v>
      </c>
      <c r="D1095" s="87" t="s">
        <v>39</v>
      </c>
      <c r="E1095" s="87" t="s">
        <v>40</v>
      </c>
      <c r="F1095" s="87" t="s">
        <v>186</v>
      </c>
      <c r="G1095" s="94">
        <v>45511.0</v>
      </c>
      <c r="H1095" s="87"/>
      <c r="I1095" s="87"/>
    </row>
    <row r="1096">
      <c r="A1096" s="87">
        <v>743.0</v>
      </c>
      <c r="B1096" s="87" t="s">
        <v>274</v>
      </c>
      <c r="C1096" s="93">
        <v>2.0</v>
      </c>
      <c r="D1096" s="87" t="s">
        <v>39</v>
      </c>
      <c r="E1096" s="87" t="s">
        <v>40</v>
      </c>
      <c r="F1096" s="87" t="s">
        <v>186</v>
      </c>
      <c r="G1096" s="94">
        <v>45527.0</v>
      </c>
      <c r="H1096" s="87"/>
      <c r="I1096" s="87" t="s">
        <v>877</v>
      </c>
    </row>
    <row r="1097">
      <c r="A1097" s="87">
        <v>570.0</v>
      </c>
      <c r="B1097" s="87" t="s">
        <v>277</v>
      </c>
      <c r="C1097" s="93">
        <v>14.0</v>
      </c>
      <c r="D1097" s="87" t="s">
        <v>39</v>
      </c>
      <c r="E1097" s="87" t="s">
        <v>40</v>
      </c>
      <c r="F1097" s="87" t="s">
        <v>186</v>
      </c>
      <c r="G1097" s="94"/>
      <c r="H1097" s="87"/>
      <c r="I1097" s="87"/>
    </row>
    <row r="1098">
      <c r="A1098" s="87">
        <v>1315.0</v>
      </c>
      <c r="B1098" s="87" t="s">
        <v>106</v>
      </c>
      <c r="C1098" s="93">
        <v>1.0</v>
      </c>
      <c r="D1098" s="87" t="s">
        <v>39</v>
      </c>
      <c r="E1098" s="87" t="s">
        <v>40</v>
      </c>
      <c r="F1098" s="87" t="s">
        <v>186</v>
      </c>
      <c r="G1098" s="94">
        <v>7.6904881E7</v>
      </c>
      <c r="H1098" s="87"/>
      <c r="I1098" s="87"/>
    </row>
    <row r="1099">
      <c r="A1099" s="87">
        <v>1316.0</v>
      </c>
      <c r="B1099" s="87" t="s">
        <v>106</v>
      </c>
      <c r="C1099" s="93">
        <v>1.0</v>
      </c>
      <c r="D1099" s="87" t="s">
        <v>39</v>
      </c>
      <c r="E1099" s="87" t="s">
        <v>40</v>
      </c>
      <c r="F1099" s="87" t="s">
        <v>186</v>
      </c>
      <c r="G1099" s="94">
        <v>7.6904903E7</v>
      </c>
      <c r="H1099" s="87"/>
      <c r="I1099" s="87"/>
    </row>
    <row r="1100">
      <c r="A1100" s="87">
        <v>641.0</v>
      </c>
      <c r="B1100" s="87" t="s">
        <v>108</v>
      </c>
      <c r="C1100" s="93">
        <v>1.0</v>
      </c>
      <c r="D1100" s="87" t="s">
        <v>39</v>
      </c>
      <c r="E1100" s="87" t="s">
        <v>40</v>
      </c>
      <c r="F1100" s="87" t="s">
        <v>186</v>
      </c>
      <c r="G1100" s="94">
        <v>4.0219119E7</v>
      </c>
      <c r="H1100" s="87"/>
      <c r="I1100" s="87"/>
    </row>
    <row r="1101">
      <c r="A1101" s="87">
        <v>660.0</v>
      </c>
      <c r="B1101" s="87" t="s">
        <v>108</v>
      </c>
      <c r="C1101" s="93">
        <v>1.0</v>
      </c>
      <c r="D1101" s="87" t="s">
        <v>39</v>
      </c>
      <c r="E1101" s="87" t="s">
        <v>40</v>
      </c>
      <c r="F1101" s="87" t="s">
        <v>186</v>
      </c>
      <c r="G1101" s="94">
        <v>4.0285995E7</v>
      </c>
      <c r="H1101" s="87"/>
      <c r="I1101" s="87"/>
    </row>
    <row r="1102">
      <c r="A1102" s="87">
        <v>885.0</v>
      </c>
      <c r="B1102" s="87" t="s">
        <v>108</v>
      </c>
      <c r="C1102" s="93">
        <v>1.0</v>
      </c>
      <c r="D1102" s="87" t="s">
        <v>39</v>
      </c>
      <c r="E1102" s="87" t="s">
        <v>40</v>
      </c>
      <c r="F1102" s="87" t="s">
        <v>186</v>
      </c>
      <c r="G1102" s="94">
        <v>4.0205339E7</v>
      </c>
      <c r="H1102" s="87"/>
      <c r="I1102" s="87"/>
    </row>
    <row r="1103">
      <c r="A1103" s="87">
        <v>959.0</v>
      </c>
      <c r="B1103" s="87" t="s">
        <v>108</v>
      </c>
      <c r="C1103" s="93">
        <v>1.0</v>
      </c>
      <c r="D1103" s="87" t="s">
        <v>39</v>
      </c>
      <c r="E1103" s="87" t="s">
        <v>40</v>
      </c>
      <c r="F1103" s="87" t="s">
        <v>186</v>
      </c>
      <c r="G1103" s="94">
        <v>7.6670252E7</v>
      </c>
      <c r="H1103" s="87"/>
      <c r="I1103" s="87"/>
    </row>
    <row r="1104">
      <c r="A1104" s="87">
        <v>960.0</v>
      </c>
      <c r="B1104" s="87" t="s">
        <v>108</v>
      </c>
      <c r="C1104" s="93">
        <v>1.0</v>
      </c>
      <c r="D1104" s="87" t="s">
        <v>39</v>
      </c>
      <c r="E1104" s="87" t="s">
        <v>40</v>
      </c>
      <c r="F1104" s="87" t="s">
        <v>186</v>
      </c>
      <c r="G1104" s="94">
        <v>7.667026E7</v>
      </c>
      <c r="H1104" s="87"/>
      <c r="I1104" s="87"/>
    </row>
    <row r="1105">
      <c r="A1105" s="87">
        <v>962.0</v>
      </c>
      <c r="B1105" s="87" t="s">
        <v>108</v>
      </c>
      <c r="C1105" s="93">
        <v>1.0</v>
      </c>
      <c r="D1105" s="87" t="s">
        <v>39</v>
      </c>
      <c r="E1105" s="87" t="s">
        <v>40</v>
      </c>
      <c r="F1105" s="87" t="s">
        <v>186</v>
      </c>
      <c r="G1105" s="94">
        <v>7.6670287E7</v>
      </c>
      <c r="H1105" s="87"/>
      <c r="I1105" s="87"/>
    </row>
    <row r="1106">
      <c r="A1106" s="87">
        <v>963.0</v>
      </c>
      <c r="B1106" s="87" t="s">
        <v>108</v>
      </c>
      <c r="C1106" s="93">
        <v>1.0</v>
      </c>
      <c r="D1106" s="87" t="s">
        <v>39</v>
      </c>
      <c r="E1106" s="87" t="s">
        <v>40</v>
      </c>
      <c r="F1106" s="87" t="s">
        <v>186</v>
      </c>
      <c r="G1106" s="94">
        <v>7.6670295E7</v>
      </c>
      <c r="H1106" s="87"/>
      <c r="I1106" s="87"/>
    </row>
    <row r="1107">
      <c r="A1107" s="87">
        <v>964.0</v>
      </c>
      <c r="B1107" s="87" t="s">
        <v>108</v>
      </c>
      <c r="C1107" s="93">
        <v>1.0</v>
      </c>
      <c r="D1107" s="87" t="s">
        <v>39</v>
      </c>
      <c r="E1107" s="87" t="s">
        <v>40</v>
      </c>
      <c r="F1107" s="87" t="s">
        <v>186</v>
      </c>
      <c r="G1107" s="94">
        <v>7.6670309E7</v>
      </c>
      <c r="H1107" s="87"/>
      <c r="I1107" s="87"/>
    </row>
    <row r="1108">
      <c r="A1108" s="87">
        <v>965.0</v>
      </c>
      <c r="B1108" s="87" t="s">
        <v>108</v>
      </c>
      <c r="C1108" s="93">
        <v>1.0</v>
      </c>
      <c r="D1108" s="87" t="s">
        <v>39</v>
      </c>
      <c r="E1108" s="87" t="s">
        <v>40</v>
      </c>
      <c r="F1108" s="87" t="s">
        <v>186</v>
      </c>
      <c r="G1108" s="94">
        <v>7.6670317E7</v>
      </c>
      <c r="H1108" s="87"/>
      <c r="I1108" s="87"/>
    </row>
    <row r="1109">
      <c r="A1109" s="87">
        <v>16.0</v>
      </c>
      <c r="B1109" s="87" t="s">
        <v>878</v>
      </c>
      <c r="C1109" s="93">
        <v>1.0</v>
      </c>
      <c r="D1109" s="87" t="s">
        <v>39</v>
      </c>
      <c r="E1109" s="87" t="s">
        <v>40</v>
      </c>
      <c r="F1109" s="87" t="s">
        <v>186</v>
      </c>
      <c r="G1109" s="94">
        <v>7.6679357E7</v>
      </c>
      <c r="H1109" s="87"/>
      <c r="I1109" s="87"/>
    </row>
    <row r="1110">
      <c r="A1110" s="87">
        <v>18.0</v>
      </c>
      <c r="B1110" s="87" t="s">
        <v>878</v>
      </c>
      <c r="C1110" s="93">
        <v>1.0</v>
      </c>
      <c r="D1110" s="87" t="s">
        <v>39</v>
      </c>
      <c r="E1110" s="87" t="s">
        <v>40</v>
      </c>
      <c r="F1110" s="87" t="s">
        <v>186</v>
      </c>
      <c r="G1110" s="94">
        <v>7.667964E7</v>
      </c>
      <c r="H1110" s="87"/>
      <c r="I1110" s="87"/>
    </row>
    <row r="1111">
      <c r="A1111" s="87">
        <v>19.0</v>
      </c>
      <c r="B1111" s="87" t="s">
        <v>878</v>
      </c>
      <c r="C1111" s="93">
        <v>1.0</v>
      </c>
      <c r="D1111" s="87" t="s">
        <v>39</v>
      </c>
      <c r="E1111" s="87" t="s">
        <v>40</v>
      </c>
      <c r="F1111" s="87" t="s">
        <v>186</v>
      </c>
      <c r="G1111" s="94">
        <v>7.6679659E7</v>
      </c>
      <c r="H1111" s="87"/>
      <c r="I1111" s="87"/>
    </row>
    <row r="1112">
      <c r="A1112" s="87">
        <v>42.0</v>
      </c>
      <c r="B1112" s="87" t="s">
        <v>878</v>
      </c>
      <c r="C1112" s="93">
        <v>1.0</v>
      </c>
      <c r="D1112" s="87" t="s">
        <v>39</v>
      </c>
      <c r="E1112" s="87" t="s">
        <v>40</v>
      </c>
      <c r="F1112" s="87" t="s">
        <v>186</v>
      </c>
      <c r="G1112" s="94">
        <v>7.6782972E7</v>
      </c>
      <c r="H1112" s="87"/>
      <c r="I1112" s="87"/>
    </row>
    <row r="1113">
      <c r="A1113" s="87">
        <v>43.0</v>
      </c>
      <c r="B1113" s="87" t="s">
        <v>878</v>
      </c>
      <c r="C1113" s="93">
        <v>1.0</v>
      </c>
      <c r="D1113" s="87" t="s">
        <v>39</v>
      </c>
      <c r="E1113" s="87" t="s">
        <v>40</v>
      </c>
      <c r="F1113" s="87" t="s">
        <v>186</v>
      </c>
      <c r="G1113" s="94">
        <v>7.678298E7</v>
      </c>
      <c r="H1113" s="87"/>
      <c r="I1113" s="87"/>
    </row>
    <row r="1114">
      <c r="A1114" s="87">
        <v>44.0</v>
      </c>
      <c r="B1114" s="87" t="s">
        <v>878</v>
      </c>
      <c r="C1114" s="93">
        <v>1.0</v>
      </c>
      <c r="D1114" s="87" t="s">
        <v>39</v>
      </c>
      <c r="E1114" s="87" t="s">
        <v>40</v>
      </c>
      <c r="F1114" s="87" t="s">
        <v>186</v>
      </c>
      <c r="G1114" s="94">
        <v>7.6782999E7</v>
      </c>
      <c r="H1114" s="87"/>
      <c r="I1114" s="87"/>
    </row>
    <row r="1115">
      <c r="A1115" s="87">
        <v>65.0</v>
      </c>
      <c r="B1115" s="87" t="s">
        <v>878</v>
      </c>
      <c r="C1115" s="93">
        <v>1.0</v>
      </c>
      <c r="D1115" s="87" t="s">
        <v>39</v>
      </c>
      <c r="E1115" s="87" t="s">
        <v>40</v>
      </c>
      <c r="F1115" s="87" t="s">
        <v>186</v>
      </c>
      <c r="G1115" s="94">
        <v>4.017405E7</v>
      </c>
      <c r="H1115" s="87"/>
      <c r="I1115" s="87" t="s">
        <v>879</v>
      </c>
    </row>
    <row r="1116">
      <c r="A1116" s="87">
        <v>68.0</v>
      </c>
      <c r="B1116" s="87" t="s">
        <v>878</v>
      </c>
      <c r="C1116" s="93">
        <v>1.0</v>
      </c>
      <c r="D1116" s="87" t="s">
        <v>39</v>
      </c>
      <c r="E1116" s="87" t="s">
        <v>40</v>
      </c>
      <c r="F1116" s="87" t="s">
        <v>186</v>
      </c>
      <c r="G1116" s="94">
        <v>4.0174581E7</v>
      </c>
      <c r="H1116" s="87"/>
      <c r="I1116" s="87" t="s">
        <v>880</v>
      </c>
    </row>
    <row r="1117">
      <c r="A1117" s="87">
        <v>69.0</v>
      </c>
      <c r="B1117" s="87" t="s">
        <v>878</v>
      </c>
      <c r="C1117" s="93">
        <v>1.0</v>
      </c>
      <c r="D1117" s="87" t="s">
        <v>39</v>
      </c>
      <c r="E1117" s="87" t="s">
        <v>40</v>
      </c>
      <c r="F1117" s="87" t="s">
        <v>186</v>
      </c>
      <c r="G1117" s="94">
        <v>4.017459E7</v>
      </c>
      <c r="H1117" s="87"/>
      <c r="I1117" s="87" t="s">
        <v>881</v>
      </c>
    </row>
    <row r="1118">
      <c r="A1118" s="87">
        <v>75.0</v>
      </c>
      <c r="B1118" s="87" t="s">
        <v>878</v>
      </c>
      <c r="C1118" s="93">
        <v>1.0</v>
      </c>
      <c r="D1118" s="87" t="s">
        <v>39</v>
      </c>
      <c r="E1118" s="87" t="s">
        <v>40</v>
      </c>
      <c r="F1118" s="87" t="s">
        <v>186</v>
      </c>
      <c r="G1118" s="94">
        <v>4.017672E7</v>
      </c>
      <c r="H1118" s="87"/>
      <c r="I1118" s="87" t="s">
        <v>879</v>
      </c>
    </row>
    <row r="1119">
      <c r="A1119" s="87">
        <v>77.0</v>
      </c>
      <c r="B1119" s="87" t="s">
        <v>878</v>
      </c>
      <c r="C1119" s="93">
        <v>1.0</v>
      </c>
      <c r="D1119" s="87" t="s">
        <v>39</v>
      </c>
      <c r="E1119" s="87" t="s">
        <v>40</v>
      </c>
      <c r="F1119" s="87" t="s">
        <v>186</v>
      </c>
      <c r="G1119" s="94">
        <v>4.01773E7</v>
      </c>
      <c r="H1119" s="87"/>
      <c r="I1119" s="87" t="s">
        <v>879</v>
      </c>
    </row>
    <row r="1120">
      <c r="A1120" s="87">
        <v>79.0</v>
      </c>
      <c r="B1120" s="87" t="s">
        <v>878</v>
      </c>
      <c r="C1120" s="93">
        <v>1.0</v>
      </c>
      <c r="D1120" s="87" t="s">
        <v>39</v>
      </c>
      <c r="E1120" s="87" t="s">
        <v>40</v>
      </c>
      <c r="F1120" s="87" t="s">
        <v>186</v>
      </c>
      <c r="G1120" s="94">
        <v>4.0177858E7</v>
      </c>
      <c r="H1120" s="87"/>
      <c r="I1120" s="87" t="s">
        <v>879</v>
      </c>
    </row>
    <row r="1121">
      <c r="A1121" s="87">
        <v>80.0</v>
      </c>
      <c r="B1121" s="87" t="s">
        <v>878</v>
      </c>
      <c r="C1121" s="93">
        <v>1.0</v>
      </c>
      <c r="D1121" s="87" t="s">
        <v>39</v>
      </c>
      <c r="E1121" s="87" t="s">
        <v>40</v>
      </c>
      <c r="F1121" s="87" t="s">
        <v>186</v>
      </c>
      <c r="G1121" s="94">
        <v>4.017789E7</v>
      </c>
      <c r="H1121" s="87"/>
      <c r="I1121" s="87" t="s">
        <v>882</v>
      </c>
    </row>
    <row r="1122">
      <c r="A1122" s="87">
        <v>81.0</v>
      </c>
      <c r="B1122" s="87" t="s">
        <v>878</v>
      </c>
      <c r="C1122" s="93">
        <v>1.0</v>
      </c>
      <c r="D1122" s="87" t="s">
        <v>39</v>
      </c>
      <c r="E1122" s="87" t="s">
        <v>40</v>
      </c>
      <c r="F1122" s="87" t="s">
        <v>186</v>
      </c>
      <c r="G1122" s="94">
        <v>4.0178153E7</v>
      </c>
      <c r="H1122" s="87"/>
      <c r="I1122" s="87" t="s">
        <v>882</v>
      </c>
    </row>
    <row r="1123">
      <c r="A1123" s="87">
        <v>88.0</v>
      </c>
      <c r="B1123" s="87" t="s">
        <v>878</v>
      </c>
      <c r="C1123" s="93">
        <v>1.0</v>
      </c>
      <c r="D1123" s="87" t="s">
        <v>39</v>
      </c>
      <c r="E1123" s="87" t="s">
        <v>40</v>
      </c>
      <c r="F1123" s="87" t="s">
        <v>186</v>
      </c>
      <c r="G1123" s="94">
        <v>4.018697E7</v>
      </c>
      <c r="H1123" s="87"/>
      <c r="I1123" s="87" t="s">
        <v>883</v>
      </c>
    </row>
    <row r="1124">
      <c r="A1124" s="87">
        <v>671.0</v>
      </c>
      <c r="B1124" s="87" t="s">
        <v>878</v>
      </c>
      <c r="C1124" s="93">
        <v>1.0</v>
      </c>
      <c r="D1124" s="87" t="s">
        <v>39</v>
      </c>
      <c r="E1124" s="87" t="s">
        <v>40</v>
      </c>
      <c r="F1124" s="87" t="s">
        <v>186</v>
      </c>
      <c r="G1124" s="94">
        <v>7.6664678E7</v>
      </c>
      <c r="H1124" s="87"/>
      <c r="I1124" s="87" t="s">
        <v>884</v>
      </c>
    </row>
    <row r="1125">
      <c r="A1125" s="87">
        <v>715.0</v>
      </c>
      <c r="B1125" s="87" t="s">
        <v>878</v>
      </c>
      <c r="C1125" s="93">
        <v>1.0</v>
      </c>
      <c r="D1125" s="87" t="s">
        <v>39</v>
      </c>
      <c r="E1125" s="87" t="s">
        <v>40</v>
      </c>
      <c r="F1125" s="87" t="s">
        <v>186</v>
      </c>
      <c r="G1125" s="94">
        <v>3.9951235E7</v>
      </c>
      <c r="H1125" s="87"/>
      <c r="I1125" s="87" t="s">
        <v>879</v>
      </c>
    </row>
    <row r="1126">
      <c r="A1126" s="87">
        <v>716.0</v>
      </c>
      <c r="B1126" s="87" t="s">
        <v>878</v>
      </c>
      <c r="C1126" s="93">
        <v>1.0</v>
      </c>
      <c r="D1126" s="87" t="s">
        <v>39</v>
      </c>
      <c r="E1126" s="87" t="s">
        <v>40</v>
      </c>
      <c r="F1126" s="87" t="s">
        <v>186</v>
      </c>
      <c r="G1126" s="94">
        <v>3.9951723E7</v>
      </c>
      <c r="H1126" s="87"/>
      <c r="I1126" s="87" t="s">
        <v>879</v>
      </c>
    </row>
    <row r="1127">
      <c r="A1127" s="87">
        <v>727.0</v>
      </c>
      <c r="B1127" s="87" t="s">
        <v>878</v>
      </c>
      <c r="C1127" s="93">
        <v>1.0</v>
      </c>
      <c r="D1127" s="87" t="s">
        <v>39</v>
      </c>
      <c r="E1127" s="87" t="s">
        <v>40</v>
      </c>
      <c r="F1127" s="87" t="s">
        <v>186</v>
      </c>
      <c r="G1127" s="94">
        <v>4.017534E7</v>
      </c>
      <c r="H1127" s="87"/>
      <c r="I1127" s="87"/>
    </row>
    <row r="1128">
      <c r="A1128" s="87">
        <v>845.0</v>
      </c>
      <c r="B1128" s="87" t="s">
        <v>878</v>
      </c>
      <c r="C1128" s="93">
        <v>1.0</v>
      </c>
      <c r="D1128" s="87" t="s">
        <v>39</v>
      </c>
      <c r="E1128" s="87" t="s">
        <v>40</v>
      </c>
      <c r="F1128" s="87" t="s">
        <v>186</v>
      </c>
      <c r="G1128" s="94">
        <v>3.9951766E7</v>
      </c>
      <c r="H1128" s="87"/>
      <c r="I1128" s="87" t="s">
        <v>240</v>
      </c>
    </row>
    <row r="1129">
      <c r="A1129" s="87">
        <v>860.0</v>
      </c>
      <c r="B1129" s="87" t="s">
        <v>878</v>
      </c>
      <c r="C1129" s="93">
        <v>1.0</v>
      </c>
      <c r="D1129" s="87" t="s">
        <v>39</v>
      </c>
      <c r="E1129" s="87" t="s">
        <v>40</v>
      </c>
      <c r="F1129" s="87" t="s">
        <v>186</v>
      </c>
      <c r="G1129" s="94">
        <v>4.0174719E7</v>
      </c>
      <c r="H1129" s="87"/>
      <c r="I1129" s="87"/>
    </row>
    <row r="1130">
      <c r="A1130" s="87">
        <v>873.0</v>
      </c>
      <c r="B1130" s="87" t="s">
        <v>878</v>
      </c>
      <c r="C1130" s="93">
        <v>1.0</v>
      </c>
      <c r="D1130" s="87" t="s">
        <v>39</v>
      </c>
      <c r="E1130" s="87" t="s">
        <v>40</v>
      </c>
      <c r="F1130" s="87" t="s">
        <v>186</v>
      </c>
      <c r="G1130" s="94">
        <v>4.0176843E7</v>
      </c>
      <c r="H1130" s="87"/>
      <c r="I1130" s="87" t="s">
        <v>879</v>
      </c>
    </row>
    <row r="1131">
      <c r="A1131" s="87">
        <v>874.0</v>
      </c>
      <c r="B1131" s="87" t="s">
        <v>878</v>
      </c>
      <c r="C1131" s="93">
        <v>1.0</v>
      </c>
      <c r="D1131" s="87" t="s">
        <v>39</v>
      </c>
      <c r="E1131" s="87" t="s">
        <v>40</v>
      </c>
      <c r="F1131" s="87" t="s">
        <v>186</v>
      </c>
      <c r="G1131" s="94">
        <v>4.0176886E7</v>
      </c>
      <c r="H1131" s="87"/>
      <c r="I1131" s="87" t="s">
        <v>879</v>
      </c>
    </row>
    <row r="1132">
      <c r="A1132" s="87">
        <v>875.0</v>
      </c>
      <c r="B1132" s="87" t="s">
        <v>878</v>
      </c>
      <c r="C1132" s="93">
        <v>1.0</v>
      </c>
      <c r="D1132" s="87" t="s">
        <v>39</v>
      </c>
      <c r="E1132" s="87" t="s">
        <v>40</v>
      </c>
      <c r="F1132" s="87" t="s">
        <v>186</v>
      </c>
      <c r="G1132" s="94">
        <v>4.0176991E7</v>
      </c>
      <c r="H1132" s="87"/>
      <c r="I1132" s="87" t="s">
        <v>879</v>
      </c>
    </row>
    <row r="1133">
      <c r="A1133" s="87">
        <v>876.0</v>
      </c>
      <c r="B1133" s="87" t="s">
        <v>878</v>
      </c>
      <c r="C1133" s="93">
        <v>1.0</v>
      </c>
      <c r="D1133" s="87" t="s">
        <v>39</v>
      </c>
      <c r="E1133" s="87" t="s">
        <v>40</v>
      </c>
      <c r="F1133" s="87" t="s">
        <v>186</v>
      </c>
      <c r="G1133" s="94">
        <v>4.0177017E7</v>
      </c>
      <c r="H1133" s="87"/>
      <c r="I1133" s="87" t="s">
        <v>879</v>
      </c>
    </row>
    <row r="1134">
      <c r="A1134" s="87">
        <v>878.0</v>
      </c>
      <c r="B1134" s="87" t="s">
        <v>878</v>
      </c>
      <c r="C1134" s="93">
        <v>1.0</v>
      </c>
      <c r="D1134" s="87" t="s">
        <v>39</v>
      </c>
      <c r="E1134" s="87" t="s">
        <v>40</v>
      </c>
      <c r="F1134" s="87" t="s">
        <v>186</v>
      </c>
      <c r="G1134" s="94">
        <v>4.0177114E7</v>
      </c>
      <c r="H1134" s="87"/>
      <c r="I1134" s="87" t="s">
        <v>885</v>
      </c>
    </row>
    <row r="1135">
      <c r="A1135" s="87">
        <v>879.0</v>
      </c>
      <c r="B1135" s="87" t="s">
        <v>878</v>
      </c>
      <c r="C1135" s="93">
        <v>1.0</v>
      </c>
      <c r="D1135" s="87" t="s">
        <v>39</v>
      </c>
      <c r="E1135" s="87" t="s">
        <v>40</v>
      </c>
      <c r="F1135" s="87" t="s">
        <v>186</v>
      </c>
      <c r="G1135" s="94">
        <v>4.017719E7</v>
      </c>
      <c r="H1135" s="87"/>
      <c r="I1135" s="87" t="s">
        <v>885</v>
      </c>
    </row>
    <row r="1136">
      <c r="A1136" s="87">
        <v>880.0</v>
      </c>
      <c r="B1136" s="87" t="s">
        <v>878</v>
      </c>
      <c r="C1136" s="93">
        <v>1.0</v>
      </c>
      <c r="D1136" s="87" t="s">
        <v>39</v>
      </c>
      <c r="E1136" s="87" t="s">
        <v>40</v>
      </c>
      <c r="F1136" s="87" t="s">
        <v>186</v>
      </c>
      <c r="G1136" s="94">
        <v>4.0177254E7</v>
      </c>
      <c r="H1136" s="87"/>
      <c r="I1136" s="87" t="s">
        <v>885</v>
      </c>
    </row>
    <row r="1137">
      <c r="A1137" s="87">
        <v>882.0</v>
      </c>
      <c r="B1137" s="87" t="s">
        <v>878</v>
      </c>
      <c r="C1137" s="93">
        <v>1.0</v>
      </c>
      <c r="D1137" s="87" t="s">
        <v>39</v>
      </c>
      <c r="E1137" s="87" t="s">
        <v>40</v>
      </c>
      <c r="F1137" s="87" t="s">
        <v>186</v>
      </c>
      <c r="G1137" s="94">
        <v>4.0177335E7</v>
      </c>
      <c r="H1137" s="87"/>
      <c r="I1137" s="87" t="s">
        <v>885</v>
      </c>
    </row>
    <row r="1138">
      <c r="A1138" s="87">
        <v>884.0</v>
      </c>
      <c r="B1138" s="87" t="s">
        <v>878</v>
      </c>
      <c r="C1138" s="93">
        <v>1.0</v>
      </c>
      <c r="D1138" s="87" t="s">
        <v>39</v>
      </c>
      <c r="E1138" s="87" t="s">
        <v>40</v>
      </c>
      <c r="F1138" s="87" t="s">
        <v>186</v>
      </c>
      <c r="G1138" s="94">
        <v>4.019543E7</v>
      </c>
      <c r="H1138" s="87"/>
      <c r="I1138" s="87" t="s">
        <v>885</v>
      </c>
    </row>
    <row r="1139">
      <c r="A1139" s="87">
        <v>895.0</v>
      </c>
      <c r="B1139" s="87" t="s">
        <v>878</v>
      </c>
      <c r="C1139" s="93">
        <v>1.0</v>
      </c>
      <c r="D1139" s="87" t="s">
        <v>39</v>
      </c>
      <c r="E1139" s="87" t="s">
        <v>40</v>
      </c>
      <c r="F1139" s="87" t="s">
        <v>186</v>
      </c>
      <c r="G1139" s="94">
        <v>4.0298574E7</v>
      </c>
      <c r="H1139" s="87"/>
      <c r="I1139" s="87" t="s">
        <v>886</v>
      </c>
    </row>
    <row r="1140">
      <c r="A1140" s="87">
        <v>916.0</v>
      </c>
      <c r="B1140" s="87" t="s">
        <v>878</v>
      </c>
      <c r="C1140" s="93">
        <v>1.0</v>
      </c>
      <c r="D1140" s="87" t="s">
        <v>39</v>
      </c>
      <c r="E1140" s="87" t="s">
        <v>40</v>
      </c>
      <c r="F1140" s="87" t="s">
        <v>186</v>
      </c>
      <c r="G1140" s="94">
        <v>5.9317477E7</v>
      </c>
      <c r="H1140" s="87"/>
      <c r="I1140" s="87" t="s">
        <v>887</v>
      </c>
    </row>
    <row r="1141">
      <c r="A1141" s="87">
        <v>917.0</v>
      </c>
      <c r="B1141" s="87" t="s">
        <v>878</v>
      </c>
      <c r="C1141" s="93">
        <v>1.0</v>
      </c>
      <c r="D1141" s="87" t="s">
        <v>39</v>
      </c>
      <c r="E1141" s="87" t="s">
        <v>40</v>
      </c>
      <c r="F1141" s="87" t="s">
        <v>186</v>
      </c>
      <c r="G1141" s="94">
        <v>5.9317485E7</v>
      </c>
      <c r="H1141" s="87"/>
      <c r="I1141" s="87" t="s">
        <v>879</v>
      </c>
    </row>
    <row r="1142">
      <c r="A1142" s="87">
        <v>918.0</v>
      </c>
      <c r="B1142" s="87" t="s">
        <v>878</v>
      </c>
      <c r="C1142" s="93">
        <v>1.0</v>
      </c>
      <c r="D1142" s="87" t="s">
        <v>39</v>
      </c>
      <c r="E1142" s="87" t="s">
        <v>40</v>
      </c>
      <c r="F1142" s="87" t="s">
        <v>186</v>
      </c>
      <c r="G1142" s="94">
        <v>5.9317493E7</v>
      </c>
      <c r="H1142" s="87"/>
      <c r="I1142" s="87"/>
    </row>
    <row r="1143">
      <c r="A1143" s="87">
        <v>919.0</v>
      </c>
      <c r="B1143" s="87" t="s">
        <v>878</v>
      </c>
      <c r="C1143" s="93">
        <v>1.0</v>
      </c>
      <c r="D1143" s="87" t="s">
        <v>39</v>
      </c>
      <c r="E1143" s="87" t="s">
        <v>40</v>
      </c>
      <c r="F1143" s="87" t="s">
        <v>186</v>
      </c>
      <c r="G1143" s="94">
        <v>5.9317841E7</v>
      </c>
      <c r="H1143" s="87"/>
      <c r="I1143" s="87"/>
    </row>
    <row r="1144">
      <c r="A1144" s="87">
        <v>921.0</v>
      </c>
      <c r="B1144" s="87" t="s">
        <v>878</v>
      </c>
      <c r="C1144" s="93">
        <v>1.0</v>
      </c>
      <c r="D1144" s="87" t="s">
        <v>39</v>
      </c>
      <c r="E1144" s="87" t="s">
        <v>40</v>
      </c>
      <c r="F1144" s="87" t="s">
        <v>186</v>
      </c>
      <c r="G1144" s="94">
        <v>5.9317868E7</v>
      </c>
      <c r="H1144" s="87"/>
      <c r="I1144" s="87"/>
    </row>
    <row r="1145">
      <c r="A1145" s="87">
        <v>922.0</v>
      </c>
      <c r="B1145" s="87" t="s">
        <v>878</v>
      </c>
      <c r="C1145" s="93">
        <v>1.0</v>
      </c>
      <c r="D1145" s="87" t="s">
        <v>39</v>
      </c>
      <c r="E1145" s="87" t="s">
        <v>40</v>
      </c>
      <c r="F1145" s="87" t="s">
        <v>186</v>
      </c>
      <c r="G1145" s="94">
        <v>5.9317876E7</v>
      </c>
      <c r="H1145" s="87"/>
      <c r="I1145" s="87"/>
    </row>
    <row r="1146">
      <c r="A1146" s="87">
        <v>923.0</v>
      </c>
      <c r="B1146" s="87" t="s">
        <v>878</v>
      </c>
      <c r="C1146" s="93">
        <v>1.0</v>
      </c>
      <c r="D1146" s="87" t="s">
        <v>39</v>
      </c>
      <c r="E1146" s="87" t="s">
        <v>40</v>
      </c>
      <c r="F1146" s="87" t="s">
        <v>186</v>
      </c>
      <c r="G1146" s="94">
        <v>5.9317884E7</v>
      </c>
      <c r="H1146" s="87"/>
      <c r="I1146" s="87"/>
    </row>
    <row r="1147">
      <c r="A1147" s="87">
        <v>1310.0</v>
      </c>
      <c r="B1147" s="87" t="s">
        <v>878</v>
      </c>
      <c r="C1147" s="93">
        <v>1.0</v>
      </c>
      <c r="D1147" s="87" t="s">
        <v>39</v>
      </c>
      <c r="E1147" s="87" t="s">
        <v>40</v>
      </c>
      <c r="F1147" s="87" t="s">
        <v>186</v>
      </c>
      <c r="G1147" s="94">
        <v>1.01063954E8</v>
      </c>
      <c r="H1147" s="87"/>
      <c r="I1147" s="87"/>
    </row>
    <row r="1148">
      <c r="A1148" s="87">
        <v>1311.0</v>
      </c>
      <c r="B1148" s="87" t="s">
        <v>878</v>
      </c>
      <c r="C1148" s="93">
        <v>1.0</v>
      </c>
      <c r="D1148" s="87" t="s">
        <v>39</v>
      </c>
      <c r="E1148" s="87" t="s">
        <v>40</v>
      </c>
      <c r="F1148" s="87" t="s">
        <v>186</v>
      </c>
      <c r="G1148" s="94">
        <v>1.0106397E8</v>
      </c>
      <c r="H1148" s="87"/>
      <c r="I1148" s="87"/>
    </row>
    <row r="1149">
      <c r="A1149" s="87">
        <v>1312.0</v>
      </c>
      <c r="B1149" s="87" t="s">
        <v>878</v>
      </c>
      <c r="C1149" s="93">
        <v>1.0</v>
      </c>
      <c r="D1149" s="87" t="s">
        <v>39</v>
      </c>
      <c r="E1149" s="87" t="s">
        <v>40</v>
      </c>
      <c r="F1149" s="87" t="s">
        <v>186</v>
      </c>
      <c r="G1149" s="94">
        <v>1.01063997E8</v>
      </c>
      <c r="H1149" s="87"/>
      <c r="I1149" s="87"/>
    </row>
    <row r="1150">
      <c r="A1150" s="87">
        <v>1327.0</v>
      </c>
      <c r="B1150" s="87" t="s">
        <v>878</v>
      </c>
      <c r="C1150" s="93">
        <v>1.0</v>
      </c>
      <c r="D1150" s="87" t="s">
        <v>39</v>
      </c>
      <c r="E1150" s="87" t="s">
        <v>40</v>
      </c>
      <c r="F1150" s="87" t="s">
        <v>186</v>
      </c>
      <c r="G1150" s="94">
        <v>1.01063946E8</v>
      </c>
      <c r="H1150" s="87"/>
      <c r="I1150" s="87"/>
    </row>
    <row r="1151">
      <c r="A1151" s="87">
        <v>1328.0</v>
      </c>
      <c r="B1151" s="87" t="s">
        <v>878</v>
      </c>
      <c r="C1151" s="93">
        <v>1.0</v>
      </c>
      <c r="D1151" s="87" t="s">
        <v>39</v>
      </c>
      <c r="E1151" s="87" t="s">
        <v>40</v>
      </c>
      <c r="F1151" s="87" t="s">
        <v>186</v>
      </c>
      <c r="G1151" s="94">
        <v>1.01063962E8</v>
      </c>
      <c r="H1151" s="87"/>
      <c r="I1151" s="87"/>
    </row>
    <row r="1152">
      <c r="A1152" s="87">
        <v>1329.0</v>
      </c>
      <c r="B1152" s="87" t="s">
        <v>878</v>
      </c>
      <c r="C1152" s="93">
        <v>1.0</v>
      </c>
      <c r="D1152" s="87" t="s">
        <v>39</v>
      </c>
      <c r="E1152" s="87" t="s">
        <v>40</v>
      </c>
      <c r="F1152" s="87" t="s">
        <v>186</v>
      </c>
      <c r="G1152" s="94">
        <v>1.01063989E8</v>
      </c>
      <c r="H1152" s="87"/>
      <c r="I1152" s="87"/>
    </row>
    <row r="1153">
      <c r="A1153" s="87">
        <v>1330.0</v>
      </c>
      <c r="B1153" s="87" t="s">
        <v>878</v>
      </c>
      <c r="C1153" s="93">
        <v>1.0</v>
      </c>
      <c r="D1153" s="87" t="s">
        <v>39</v>
      </c>
      <c r="E1153" s="87" t="s">
        <v>40</v>
      </c>
      <c r="F1153" s="87" t="s">
        <v>186</v>
      </c>
      <c r="G1153" s="94">
        <v>1.01064004E8</v>
      </c>
      <c r="H1153" s="87"/>
      <c r="I1153" s="87"/>
    </row>
    <row r="1154">
      <c r="A1154" s="87">
        <v>1654.0</v>
      </c>
      <c r="B1154" s="87" t="s">
        <v>878</v>
      </c>
      <c r="C1154" s="93">
        <v>1.0</v>
      </c>
      <c r="D1154" s="87" t="s">
        <v>39</v>
      </c>
      <c r="E1154" s="87" t="s">
        <v>40</v>
      </c>
      <c r="F1154" s="87" t="s">
        <v>186</v>
      </c>
      <c r="G1154" s="94">
        <v>7.6906205E7</v>
      </c>
      <c r="H1154" s="87"/>
      <c r="I1154" s="87"/>
    </row>
    <row r="1155">
      <c r="A1155" s="87">
        <v>1280.0</v>
      </c>
      <c r="B1155" s="87" t="s">
        <v>888</v>
      </c>
      <c r="C1155" s="93">
        <v>1.0</v>
      </c>
      <c r="D1155" s="87" t="s">
        <v>39</v>
      </c>
      <c r="E1155" s="87" t="s">
        <v>40</v>
      </c>
      <c r="F1155" s="87" t="s">
        <v>186</v>
      </c>
      <c r="G1155" s="94">
        <v>3.9951235E7</v>
      </c>
      <c r="H1155" s="87"/>
      <c r="I1155" s="87"/>
    </row>
    <row r="1156">
      <c r="A1156" s="87">
        <v>564.0</v>
      </c>
      <c r="B1156" s="87" t="s">
        <v>889</v>
      </c>
      <c r="C1156" s="93">
        <v>2.0</v>
      </c>
      <c r="D1156" s="87" t="s">
        <v>39</v>
      </c>
      <c r="E1156" s="87" t="s">
        <v>40</v>
      </c>
      <c r="F1156" s="87" t="s">
        <v>186</v>
      </c>
      <c r="G1156" s="94">
        <v>45511.0</v>
      </c>
      <c r="H1156" s="87"/>
      <c r="I1156" s="87"/>
    </row>
    <row r="1157">
      <c r="A1157" s="87">
        <v>569.0</v>
      </c>
      <c r="B1157" s="87" t="s">
        <v>890</v>
      </c>
      <c r="C1157" s="93">
        <v>50.0</v>
      </c>
      <c r="D1157" s="87" t="s">
        <v>39</v>
      </c>
      <c r="E1157" s="87" t="s">
        <v>40</v>
      </c>
      <c r="F1157" s="87" t="s">
        <v>186</v>
      </c>
      <c r="G1157" s="94">
        <v>45511.0</v>
      </c>
      <c r="H1157" s="87"/>
      <c r="I1157" s="87"/>
    </row>
    <row r="1158">
      <c r="A1158" s="87">
        <v>809.0</v>
      </c>
      <c r="B1158" s="87" t="s">
        <v>385</v>
      </c>
      <c r="C1158" s="93">
        <v>200.0</v>
      </c>
      <c r="D1158" s="87" t="s">
        <v>39</v>
      </c>
      <c r="E1158" s="87" t="s">
        <v>40</v>
      </c>
      <c r="F1158" s="87" t="s">
        <v>186</v>
      </c>
      <c r="G1158" s="94">
        <v>46083.0</v>
      </c>
      <c r="H1158" s="87" t="s">
        <v>891</v>
      </c>
      <c r="I1158" s="87"/>
    </row>
    <row r="1159">
      <c r="A1159" s="87">
        <v>1158.0</v>
      </c>
      <c r="B1159" s="87" t="s">
        <v>670</v>
      </c>
      <c r="C1159" s="93">
        <v>1.0</v>
      </c>
      <c r="D1159" s="87" t="s">
        <v>39</v>
      </c>
      <c r="E1159" s="87" t="s">
        <v>40</v>
      </c>
      <c r="F1159" s="87" t="s">
        <v>186</v>
      </c>
      <c r="G1159" s="94">
        <v>7.68561E7</v>
      </c>
      <c r="H1159" s="87"/>
      <c r="I1159" s="87"/>
    </row>
    <row r="1160">
      <c r="A1160" s="87">
        <v>1240.0</v>
      </c>
      <c r="B1160" s="87" t="s">
        <v>137</v>
      </c>
      <c r="C1160" s="93">
        <v>1.0</v>
      </c>
      <c r="D1160" s="87" t="s">
        <v>39</v>
      </c>
      <c r="E1160" s="87" t="s">
        <v>40</v>
      </c>
      <c r="F1160" s="87" t="s">
        <v>186</v>
      </c>
      <c r="G1160" s="94">
        <v>7.6904199E7</v>
      </c>
      <c r="H1160" s="87" t="s">
        <v>892</v>
      </c>
      <c r="I1160" s="87" t="s">
        <v>144</v>
      </c>
    </row>
    <row r="1161">
      <c r="A1161" s="87">
        <v>1242.0</v>
      </c>
      <c r="B1161" s="87" t="s">
        <v>137</v>
      </c>
      <c r="C1161" s="93">
        <v>1.0</v>
      </c>
      <c r="D1161" s="87" t="s">
        <v>39</v>
      </c>
      <c r="E1161" s="87" t="s">
        <v>40</v>
      </c>
      <c r="F1161" s="87" t="s">
        <v>186</v>
      </c>
      <c r="G1161" s="94">
        <v>7.690234E7</v>
      </c>
      <c r="H1161" s="87" t="s">
        <v>893</v>
      </c>
      <c r="I1161" s="87" t="s">
        <v>894</v>
      </c>
    </row>
    <row r="1162">
      <c r="A1162" s="87">
        <v>1243.0</v>
      </c>
      <c r="B1162" s="87" t="s">
        <v>137</v>
      </c>
      <c r="C1162" s="93">
        <v>1.0</v>
      </c>
      <c r="D1162" s="87" t="s">
        <v>39</v>
      </c>
      <c r="E1162" s="87" t="s">
        <v>40</v>
      </c>
      <c r="F1162" s="87" t="s">
        <v>186</v>
      </c>
      <c r="G1162" s="94">
        <v>7.690421E7</v>
      </c>
      <c r="H1162" s="87" t="s">
        <v>895</v>
      </c>
      <c r="I1162" s="87" t="s">
        <v>144</v>
      </c>
    </row>
    <row r="1163">
      <c r="A1163" s="87">
        <v>581.0</v>
      </c>
      <c r="B1163" s="87" t="s">
        <v>265</v>
      </c>
      <c r="C1163" s="93">
        <v>1.0</v>
      </c>
      <c r="D1163" s="87" t="s">
        <v>39</v>
      </c>
      <c r="E1163" s="87" t="s">
        <v>40</v>
      </c>
      <c r="F1163" s="87" t="s">
        <v>186</v>
      </c>
      <c r="G1163" s="94">
        <v>3.5451386E7</v>
      </c>
      <c r="H1163" s="87"/>
      <c r="I1163" s="87"/>
    </row>
    <row r="1164">
      <c r="A1164" s="87">
        <v>576.0</v>
      </c>
      <c r="B1164" s="87" t="s">
        <v>896</v>
      </c>
      <c r="C1164" s="93">
        <v>1.0</v>
      </c>
      <c r="D1164" s="87" t="s">
        <v>39</v>
      </c>
      <c r="E1164" s="87" t="s">
        <v>40</v>
      </c>
      <c r="F1164" s="87" t="s">
        <v>186</v>
      </c>
      <c r="G1164" s="94">
        <v>1.4142309E7</v>
      </c>
      <c r="H1164" s="87"/>
      <c r="I1164" s="87"/>
    </row>
    <row r="1165">
      <c r="A1165" s="87">
        <v>565.0</v>
      </c>
      <c r="B1165" s="87" t="s">
        <v>897</v>
      </c>
      <c r="C1165" s="93">
        <v>2.0</v>
      </c>
      <c r="D1165" s="87" t="s">
        <v>39</v>
      </c>
      <c r="E1165" s="87" t="s">
        <v>40</v>
      </c>
      <c r="F1165" s="87" t="s">
        <v>186</v>
      </c>
      <c r="G1165" s="94">
        <v>45511.0</v>
      </c>
      <c r="H1165" s="87"/>
      <c r="I1165" s="87"/>
    </row>
    <row r="1166">
      <c r="A1166" s="87">
        <v>1191.0</v>
      </c>
      <c r="B1166" s="87" t="s">
        <v>271</v>
      </c>
      <c r="C1166" s="93">
        <v>1.0</v>
      </c>
      <c r="D1166" s="87" t="s">
        <v>39</v>
      </c>
      <c r="E1166" s="87" t="s">
        <v>40</v>
      </c>
      <c r="F1166" s="87" t="s">
        <v>186</v>
      </c>
      <c r="G1166" s="94">
        <v>7.6875407E7</v>
      </c>
      <c r="H1166" s="87" t="s">
        <v>898</v>
      </c>
      <c r="I1166" s="87"/>
    </row>
    <row r="1167">
      <c r="A1167" s="87">
        <v>832.0</v>
      </c>
      <c r="B1167" s="87" t="s">
        <v>899</v>
      </c>
      <c r="C1167" s="93">
        <v>1.0</v>
      </c>
      <c r="D1167" s="87" t="s">
        <v>39</v>
      </c>
      <c r="E1167" s="87" t="s">
        <v>40</v>
      </c>
      <c r="F1167" s="87" t="s">
        <v>186</v>
      </c>
      <c r="G1167" s="94"/>
      <c r="H1167" s="87" t="s">
        <v>900</v>
      </c>
      <c r="I1167" s="87"/>
    </row>
    <row r="1168">
      <c r="A1168" s="87">
        <v>833.0</v>
      </c>
      <c r="B1168" s="87" t="s">
        <v>899</v>
      </c>
      <c r="C1168" s="93">
        <v>1.0</v>
      </c>
      <c r="D1168" s="87" t="s">
        <v>39</v>
      </c>
      <c r="E1168" s="87" t="s">
        <v>40</v>
      </c>
      <c r="F1168" s="87" t="s">
        <v>186</v>
      </c>
      <c r="G1168" s="94"/>
      <c r="H1168" s="87" t="s">
        <v>901</v>
      </c>
      <c r="I1168" s="87"/>
    </row>
    <row r="1169">
      <c r="A1169" s="87">
        <v>834.0</v>
      </c>
      <c r="B1169" s="87" t="s">
        <v>899</v>
      </c>
      <c r="C1169" s="93">
        <v>1.0</v>
      </c>
      <c r="D1169" s="87" t="s">
        <v>39</v>
      </c>
      <c r="E1169" s="87" t="s">
        <v>40</v>
      </c>
      <c r="F1169" s="87" t="s">
        <v>186</v>
      </c>
      <c r="G1169" s="94"/>
      <c r="H1169" s="87" t="s">
        <v>902</v>
      </c>
      <c r="I1169" s="87"/>
    </row>
    <row r="1170">
      <c r="A1170" s="87">
        <v>835.0</v>
      </c>
      <c r="B1170" s="87" t="s">
        <v>899</v>
      </c>
      <c r="C1170" s="93">
        <v>1.0</v>
      </c>
      <c r="D1170" s="87" t="s">
        <v>39</v>
      </c>
      <c r="E1170" s="87" t="s">
        <v>40</v>
      </c>
      <c r="F1170" s="87" t="s">
        <v>186</v>
      </c>
      <c r="G1170" s="94"/>
      <c r="H1170" s="87" t="s">
        <v>903</v>
      </c>
      <c r="I1170" s="87"/>
    </row>
    <row r="1171">
      <c r="A1171" s="87">
        <v>836.0</v>
      </c>
      <c r="B1171" s="87" t="s">
        <v>899</v>
      </c>
      <c r="C1171" s="93">
        <v>1.0</v>
      </c>
      <c r="D1171" s="87" t="s">
        <v>39</v>
      </c>
      <c r="E1171" s="87" t="s">
        <v>40</v>
      </c>
      <c r="F1171" s="87" t="s">
        <v>186</v>
      </c>
      <c r="G1171" s="94"/>
      <c r="H1171" s="87" t="s">
        <v>904</v>
      </c>
      <c r="I1171" s="87"/>
    </row>
    <row r="1172">
      <c r="A1172" s="87">
        <v>837.0</v>
      </c>
      <c r="B1172" s="87" t="s">
        <v>899</v>
      </c>
      <c r="C1172" s="93">
        <v>1.0</v>
      </c>
      <c r="D1172" s="87" t="s">
        <v>39</v>
      </c>
      <c r="E1172" s="87" t="s">
        <v>40</v>
      </c>
      <c r="F1172" s="87" t="s">
        <v>186</v>
      </c>
      <c r="G1172" s="94"/>
      <c r="H1172" s="87" t="s">
        <v>905</v>
      </c>
      <c r="I1172" s="87"/>
    </row>
    <row r="1173">
      <c r="A1173" s="87">
        <v>46.0</v>
      </c>
      <c r="B1173" s="87" t="s">
        <v>810</v>
      </c>
      <c r="C1173" s="93">
        <v>1.0</v>
      </c>
      <c r="D1173" s="87" t="s">
        <v>39</v>
      </c>
      <c r="E1173" s="87" t="s">
        <v>40</v>
      </c>
      <c r="F1173" s="87" t="s">
        <v>186</v>
      </c>
      <c r="G1173" s="94">
        <v>7.678351E7</v>
      </c>
      <c r="H1173" s="87"/>
      <c r="I1173" s="87"/>
    </row>
    <row r="1174">
      <c r="A1174" s="87">
        <v>1123.0</v>
      </c>
      <c r="B1174" s="87" t="s">
        <v>810</v>
      </c>
      <c r="C1174" s="93">
        <v>1.0</v>
      </c>
      <c r="D1174" s="87" t="s">
        <v>39</v>
      </c>
      <c r="E1174" s="87" t="s">
        <v>40</v>
      </c>
      <c r="F1174" s="87" t="s">
        <v>186</v>
      </c>
      <c r="G1174" s="94">
        <v>7.6823822E7</v>
      </c>
      <c r="H1174" s="87"/>
      <c r="I1174" s="87"/>
    </row>
    <row r="1175">
      <c r="A1175" s="87">
        <v>1124.0</v>
      </c>
      <c r="B1175" s="87" t="s">
        <v>810</v>
      </c>
      <c r="C1175" s="93">
        <v>1.0</v>
      </c>
      <c r="D1175" s="87" t="s">
        <v>39</v>
      </c>
      <c r="E1175" s="87" t="s">
        <v>40</v>
      </c>
      <c r="F1175" s="87" t="s">
        <v>186</v>
      </c>
      <c r="G1175" s="94">
        <v>7.682383E7</v>
      </c>
      <c r="H1175" s="87"/>
      <c r="I1175" s="87"/>
    </row>
    <row r="1176">
      <c r="A1176" s="87">
        <v>1492.0</v>
      </c>
      <c r="B1176" s="87" t="s">
        <v>810</v>
      </c>
      <c r="C1176" s="93">
        <v>1.0</v>
      </c>
      <c r="D1176" s="87" t="s">
        <v>39</v>
      </c>
      <c r="E1176" s="87" t="s">
        <v>40</v>
      </c>
      <c r="F1176" s="87" t="s">
        <v>186</v>
      </c>
      <c r="G1176" s="94">
        <v>7.6973646E7</v>
      </c>
      <c r="H1176" s="87"/>
      <c r="I1176" s="87"/>
    </row>
    <row r="1177">
      <c r="A1177" s="87">
        <v>1493.0</v>
      </c>
      <c r="B1177" s="87" t="s">
        <v>810</v>
      </c>
      <c r="C1177" s="93">
        <v>1.0</v>
      </c>
      <c r="D1177" s="87" t="s">
        <v>39</v>
      </c>
      <c r="E1177" s="87" t="s">
        <v>40</v>
      </c>
      <c r="F1177" s="87" t="s">
        <v>186</v>
      </c>
      <c r="G1177" s="94">
        <v>7.6973654E7</v>
      </c>
      <c r="H1177" s="87"/>
      <c r="I1177" s="87"/>
    </row>
    <row r="1178">
      <c r="A1178" s="87">
        <v>561.0</v>
      </c>
      <c r="B1178" s="87" t="s">
        <v>906</v>
      </c>
      <c r="C1178" s="93">
        <v>21.0</v>
      </c>
      <c r="D1178" s="87" t="s">
        <v>39</v>
      </c>
      <c r="E1178" s="87" t="s">
        <v>40</v>
      </c>
      <c r="F1178" s="87" t="s">
        <v>186</v>
      </c>
      <c r="G1178" s="94">
        <v>45511.0</v>
      </c>
      <c r="H1178" s="87"/>
      <c r="I1178" s="87"/>
    </row>
    <row r="1179">
      <c r="A1179" s="87">
        <v>566.0</v>
      </c>
      <c r="B1179" s="87" t="s">
        <v>907</v>
      </c>
      <c r="C1179" s="93">
        <v>3.0</v>
      </c>
      <c r="D1179" s="87" t="s">
        <v>39</v>
      </c>
      <c r="E1179" s="87" t="s">
        <v>40</v>
      </c>
      <c r="F1179" s="87" t="s">
        <v>186</v>
      </c>
      <c r="G1179" s="94">
        <v>45511.0</v>
      </c>
      <c r="H1179" s="87"/>
      <c r="I1179" s="87"/>
    </row>
    <row r="1180">
      <c r="A1180" s="87">
        <v>547.0</v>
      </c>
      <c r="B1180" s="87" t="s">
        <v>908</v>
      </c>
      <c r="C1180" s="93">
        <v>8.0</v>
      </c>
      <c r="D1180" s="87" t="s">
        <v>39</v>
      </c>
      <c r="E1180" s="87" t="s">
        <v>40</v>
      </c>
      <c r="F1180" s="87" t="s">
        <v>186</v>
      </c>
      <c r="G1180" s="94">
        <v>45511.0</v>
      </c>
      <c r="H1180" s="87"/>
      <c r="I1180" s="87"/>
    </row>
    <row r="1181">
      <c r="A1181" s="87">
        <v>1103.0</v>
      </c>
      <c r="B1181" s="87" t="s">
        <v>909</v>
      </c>
      <c r="C1181" s="93">
        <v>1.0</v>
      </c>
      <c r="D1181" s="87" t="s">
        <v>39</v>
      </c>
      <c r="E1181" s="87" t="s">
        <v>40</v>
      </c>
      <c r="F1181" s="87" t="s">
        <v>186</v>
      </c>
      <c r="G1181" s="94">
        <v>7.6812766E7</v>
      </c>
      <c r="H1181" s="87" t="s">
        <v>910</v>
      </c>
      <c r="I1181" s="87" t="s">
        <v>911</v>
      </c>
    </row>
    <row r="1182">
      <c r="A1182" s="87">
        <v>1122.0</v>
      </c>
      <c r="B1182" s="87" t="s">
        <v>404</v>
      </c>
      <c r="C1182" s="93">
        <v>1.0</v>
      </c>
      <c r="D1182" s="87" t="s">
        <v>39</v>
      </c>
      <c r="E1182" s="87" t="s">
        <v>40</v>
      </c>
      <c r="F1182" s="87" t="s">
        <v>186</v>
      </c>
      <c r="G1182" s="94">
        <v>7.6823776E7</v>
      </c>
      <c r="H1182" s="87"/>
      <c r="I1182" s="87"/>
    </row>
    <row r="1183">
      <c r="A1183" s="87">
        <v>1125.0</v>
      </c>
      <c r="B1183" s="87" t="s">
        <v>404</v>
      </c>
      <c r="C1183" s="93">
        <v>1.0</v>
      </c>
      <c r="D1183" s="87" t="s">
        <v>39</v>
      </c>
      <c r="E1183" s="87" t="s">
        <v>40</v>
      </c>
      <c r="F1183" s="87" t="s">
        <v>186</v>
      </c>
      <c r="G1183" s="94">
        <v>7.6826023E7</v>
      </c>
      <c r="H1183" s="87"/>
      <c r="I1183" s="87"/>
    </row>
    <row r="1184">
      <c r="A1184" s="87">
        <v>1580.0</v>
      </c>
      <c r="B1184" s="87" t="s">
        <v>404</v>
      </c>
      <c r="C1184" s="93">
        <v>1.0</v>
      </c>
      <c r="D1184" s="87" t="s">
        <v>39</v>
      </c>
      <c r="E1184" s="87" t="s">
        <v>40</v>
      </c>
      <c r="F1184" s="87" t="s">
        <v>186</v>
      </c>
      <c r="G1184" s="94">
        <v>7.6978656E7</v>
      </c>
      <c r="H1184" s="87"/>
      <c r="I1184" s="87"/>
    </row>
    <row r="1185">
      <c r="A1185" s="87">
        <v>1581.0</v>
      </c>
      <c r="B1185" s="87" t="s">
        <v>404</v>
      </c>
      <c r="C1185" s="93">
        <v>1.0</v>
      </c>
      <c r="D1185" s="87" t="s">
        <v>39</v>
      </c>
      <c r="E1185" s="87" t="s">
        <v>40</v>
      </c>
      <c r="F1185" s="87" t="s">
        <v>186</v>
      </c>
      <c r="G1185" s="94">
        <v>7.6978664E7</v>
      </c>
      <c r="H1185" s="87"/>
      <c r="I1185" s="87"/>
    </row>
    <row r="1186">
      <c r="A1186" s="87">
        <v>1582.0</v>
      </c>
      <c r="B1186" s="87" t="s">
        <v>404</v>
      </c>
      <c r="C1186" s="93">
        <v>1.0</v>
      </c>
      <c r="D1186" s="87" t="s">
        <v>39</v>
      </c>
      <c r="E1186" s="87" t="s">
        <v>40</v>
      </c>
      <c r="F1186" s="87" t="s">
        <v>186</v>
      </c>
      <c r="G1186" s="94">
        <v>7.6978672E7</v>
      </c>
      <c r="H1186" s="87"/>
      <c r="I1186" s="87"/>
    </row>
    <row r="1187">
      <c r="A1187" s="87">
        <v>1583.0</v>
      </c>
      <c r="B1187" s="87" t="s">
        <v>404</v>
      </c>
      <c r="C1187" s="93">
        <v>1.0</v>
      </c>
      <c r="D1187" s="87" t="s">
        <v>39</v>
      </c>
      <c r="E1187" s="87" t="s">
        <v>40</v>
      </c>
      <c r="F1187" s="87" t="s">
        <v>186</v>
      </c>
      <c r="G1187" s="94">
        <v>7.697868E7</v>
      </c>
      <c r="H1187" s="87"/>
      <c r="I1187" s="87"/>
    </row>
    <row r="1188">
      <c r="A1188" s="87">
        <v>816.0</v>
      </c>
      <c r="B1188" s="87" t="s">
        <v>215</v>
      </c>
      <c r="C1188" s="93">
        <v>1.0</v>
      </c>
      <c r="D1188" s="87" t="s">
        <v>39</v>
      </c>
      <c r="E1188" s="87" t="s">
        <v>40</v>
      </c>
      <c r="F1188" s="87" t="s">
        <v>186</v>
      </c>
      <c r="G1188" s="94"/>
      <c r="H1188" s="87" t="s">
        <v>912</v>
      </c>
      <c r="I1188" s="87" t="s">
        <v>217</v>
      </c>
    </row>
    <row r="1189">
      <c r="A1189" s="87">
        <v>817.0</v>
      </c>
      <c r="B1189" s="87" t="s">
        <v>215</v>
      </c>
      <c r="C1189" s="93">
        <v>1.0</v>
      </c>
      <c r="D1189" s="87" t="s">
        <v>39</v>
      </c>
      <c r="E1189" s="87" t="s">
        <v>40</v>
      </c>
      <c r="F1189" s="87" t="s">
        <v>186</v>
      </c>
      <c r="G1189" s="94"/>
      <c r="H1189" s="87" t="s">
        <v>913</v>
      </c>
      <c r="I1189" s="87" t="s">
        <v>217</v>
      </c>
    </row>
    <row r="1190">
      <c r="A1190" s="87">
        <v>818.0</v>
      </c>
      <c r="B1190" s="87" t="s">
        <v>215</v>
      </c>
      <c r="C1190" s="93">
        <v>1.0</v>
      </c>
      <c r="D1190" s="87" t="s">
        <v>39</v>
      </c>
      <c r="E1190" s="87" t="s">
        <v>40</v>
      </c>
      <c r="F1190" s="87" t="s">
        <v>186</v>
      </c>
      <c r="G1190" s="94"/>
      <c r="H1190" s="87" t="s">
        <v>914</v>
      </c>
      <c r="I1190" s="87" t="s">
        <v>217</v>
      </c>
    </row>
    <row r="1191">
      <c r="A1191" s="87">
        <v>1701.0</v>
      </c>
      <c r="B1191" s="87" t="s">
        <v>915</v>
      </c>
      <c r="C1191" s="93">
        <v>1.0</v>
      </c>
      <c r="D1191" s="87" t="s">
        <v>39</v>
      </c>
      <c r="E1191" s="87" t="s">
        <v>40</v>
      </c>
      <c r="F1191" s="87" t="s">
        <v>186</v>
      </c>
      <c r="G1191" s="94">
        <v>7.6979202E7</v>
      </c>
      <c r="H1191" s="87"/>
      <c r="I1191" s="87"/>
    </row>
    <row r="1192">
      <c r="A1192" s="87">
        <v>1702.0</v>
      </c>
      <c r="B1192" s="87" t="s">
        <v>915</v>
      </c>
      <c r="C1192" s="93">
        <v>1.0</v>
      </c>
      <c r="D1192" s="87" t="s">
        <v>39</v>
      </c>
      <c r="E1192" s="87" t="s">
        <v>40</v>
      </c>
      <c r="F1192" s="87" t="s">
        <v>186</v>
      </c>
      <c r="G1192" s="94">
        <v>7.697921E7</v>
      </c>
      <c r="H1192" s="87"/>
      <c r="I1192" s="87"/>
    </row>
    <row r="1193">
      <c r="A1193" s="87">
        <v>1703.0</v>
      </c>
      <c r="B1193" s="87" t="s">
        <v>915</v>
      </c>
      <c r="C1193" s="93">
        <v>1.0</v>
      </c>
      <c r="D1193" s="87" t="s">
        <v>39</v>
      </c>
      <c r="E1193" s="87" t="s">
        <v>40</v>
      </c>
      <c r="F1193" s="87" t="s">
        <v>186</v>
      </c>
      <c r="G1193" s="94">
        <v>7.6979229E7</v>
      </c>
      <c r="H1193" s="87"/>
      <c r="I1193" s="87"/>
    </row>
    <row r="1194">
      <c r="A1194" s="87">
        <v>560.0</v>
      </c>
      <c r="B1194" s="87" t="s">
        <v>916</v>
      </c>
      <c r="C1194" s="93">
        <v>3.0</v>
      </c>
      <c r="D1194" s="87" t="s">
        <v>39</v>
      </c>
      <c r="E1194" s="87" t="s">
        <v>40</v>
      </c>
      <c r="F1194" s="87" t="s">
        <v>186</v>
      </c>
      <c r="G1194" s="94">
        <v>45511.0</v>
      </c>
      <c r="H1194" s="87"/>
      <c r="I1194" s="87"/>
    </row>
    <row r="1195">
      <c r="A1195" s="87">
        <v>569.0</v>
      </c>
      <c r="B1195" s="87" t="s">
        <v>917</v>
      </c>
      <c r="C1195" s="93">
        <v>1.0</v>
      </c>
      <c r="D1195" s="87" t="s">
        <v>39</v>
      </c>
      <c r="E1195" s="87" t="s">
        <v>40</v>
      </c>
      <c r="F1195" s="87" t="s">
        <v>186</v>
      </c>
      <c r="G1195" s="94">
        <v>1.4139189E7</v>
      </c>
      <c r="H1195" s="87"/>
      <c r="I1195" s="87"/>
    </row>
    <row r="1196">
      <c r="A1196" s="87">
        <v>1337.0</v>
      </c>
      <c r="B1196" s="87" t="s">
        <v>917</v>
      </c>
      <c r="C1196" s="93">
        <v>1.0</v>
      </c>
      <c r="D1196" s="87" t="s">
        <v>39</v>
      </c>
      <c r="E1196" s="87" t="s">
        <v>40</v>
      </c>
      <c r="F1196" s="87" t="s">
        <v>186</v>
      </c>
      <c r="G1196" s="94">
        <v>7.6837564E7</v>
      </c>
      <c r="H1196" s="87"/>
      <c r="I1196" s="87" t="s">
        <v>918</v>
      </c>
    </row>
    <row r="1197">
      <c r="A1197" s="87">
        <v>1043.0</v>
      </c>
      <c r="B1197" s="87" t="s">
        <v>919</v>
      </c>
      <c r="C1197" s="93">
        <v>1.0</v>
      </c>
      <c r="D1197" s="87" t="s">
        <v>39</v>
      </c>
      <c r="E1197" s="87" t="s">
        <v>40</v>
      </c>
      <c r="F1197" s="87" t="s">
        <v>186</v>
      </c>
      <c r="G1197" s="94">
        <v>7.6767906E7</v>
      </c>
      <c r="H1197" s="87"/>
      <c r="I1197" s="87" t="s">
        <v>920</v>
      </c>
    </row>
    <row r="1198">
      <c r="A1198" s="87">
        <v>761.0</v>
      </c>
      <c r="B1198" s="87" t="s">
        <v>260</v>
      </c>
      <c r="C1198" s="93">
        <v>1.0</v>
      </c>
      <c r="D1198" s="87" t="s">
        <v>39</v>
      </c>
      <c r="E1198" s="87" t="s">
        <v>26</v>
      </c>
      <c r="F1198" s="87" t="s">
        <v>921</v>
      </c>
      <c r="G1198" s="94">
        <v>1.3763881E7</v>
      </c>
      <c r="H1198" s="87"/>
      <c r="I1198" s="87" t="s">
        <v>921</v>
      </c>
    </row>
    <row r="1199">
      <c r="A1199" s="87">
        <v>1045.0</v>
      </c>
      <c r="B1199" s="87" t="s">
        <v>922</v>
      </c>
      <c r="C1199" s="93">
        <v>1.0</v>
      </c>
      <c r="D1199" s="87" t="s">
        <v>39</v>
      </c>
      <c r="E1199" s="87" t="s">
        <v>26</v>
      </c>
      <c r="F1199" s="87" t="s">
        <v>921</v>
      </c>
      <c r="G1199" s="94">
        <v>7.6777774E7</v>
      </c>
      <c r="H1199" s="87"/>
      <c r="I1199" s="87"/>
    </row>
    <row r="1200">
      <c r="A1200" s="87">
        <v>744.0</v>
      </c>
      <c r="B1200" s="87" t="s">
        <v>634</v>
      </c>
      <c r="C1200" s="93">
        <v>1.0</v>
      </c>
      <c r="D1200" s="87" t="s">
        <v>39</v>
      </c>
      <c r="E1200" s="87" t="s">
        <v>26</v>
      </c>
      <c r="F1200" s="87" t="s">
        <v>921</v>
      </c>
      <c r="G1200" s="94">
        <v>7.6869229E7</v>
      </c>
      <c r="H1200" s="87"/>
      <c r="I1200" s="87" t="s">
        <v>923</v>
      </c>
    </row>
    <row r="1201">
      <c r="A1201" s="87">
        <v>931.0</v>
      </c>
      <c r="B1201" s="87" t="s">
        <v>634</v>
      </c>
      <c r="C1201" s="93">
        <v>1.0</v>
      </c>
      <c r="D1201" s="87" t="s">
        <v>39</v>
      </c>
      <c r="E1201" s="87" t="s">
        <v>26</v>
      </c>
      <c r="F1201" s="87" t="s">
        <v>921</v>
      </c>
      <c r="G1201" s="94">
        <v>6.2841122E7</v>
      </c>
      <c r="H1201" s="87" t="s">
        <v>924</v>
      </c>
      <c r="I1201" s="87" t="s">
        <v>925</v>
      </c>
    </row>
    <row r="1202">
      <c r="A1202" s="87">
        <v>1042.0</v>
      </c>
      <c r="B1202" s="87" t="s">
        <v>926</v>
      </c>
      <c r="C1202" s="93">
        <v>1.0</v>
      </c>
      <c r="D1202" s="87" t="s">
        <v>39</v>
      </c>
      <c r="E1202" s="87" t="s">
        <v>26</v>
      </c>
      <c r="F1202" s="87" t="s">
        <v>921</v>
      </c>
      <c r="G1202" s="94">
        <v>7.6765075E7</v>
      </c>
      <c r="H1202" s="87"/>
      <c r="I1202" s="87"/>
    </row>
    <row r="1203">
      <c r="A1203" s="87">
        <v>833.0</v>
      </c>
      <c r="B1203" s="87" t="s">
        <v>806</v>
      </c>
      <c r="C1203" s="93">
        <v>1.0</v>
      </c>
      <c r="D1203" s="87" t="s">
        <v>39</v>
      </c>
      <c r="E1203" s="87" t="s">
        <v>26</v>
      </c>
      <c r="F1203" s="87" t="s">
        <v>921</v>
      </c>
      <c r="G1203" s="94">
        <v>1.8933025E7</v>
      </c>
      <c r="H1203" s="87"/>
      <c r="I1203" s="87"/>
    </row>
    <row r="1204">
      <c r="A1204" s="87">
        <v>620.0</v>
      </c>
      <c r="B1204" s="87" t="s">
        <v>244</v>
      </c>
      <c r="C1204" s="93">
        <v>1.0</v>
      </c>
      <c r="D1204" s="87" t="s">
        <v>39</v>
      </c>
      <c r="E1204" s="87" t="s">
        <v>26</v>
      </c>
      <c r="F1204" s="87" t="s">
        <v>921</v>
      </c>
      <c r="G1204" s="94">
        <v>4.0157466E7</v>
      </c>
      <c r="H1204" s="87"/>
      <c r="I1204" s="87"/>
    </row>
    <row r="1205">
      <c r="A1205" s="87">
        <v>1044.0</v>
      </c>
      <c r="B1205" s="87" t="s">
        <v>637</v>
      </c>
      <c r="C1205" s="93">
        <v>1.0</v>
      </c>
      <c r="D1205" s="87" t="s">
        <v>39</v>
      </c>
      <c r="E1205" s="87" t="s">
        <v>26</v>
      </c>
      <c r="F1205" s="87" t="s">
        <v>921</v>
      </c>
      <c r="G1205" s="94">
        <v>7.6776999E7</v>
      </c>
      <c r="H1205" s="87"/>
      <c r="I1205" s="87" t="s">
        <v>927</v>
      </c>
    </row>
    <row r="1206">
      <c r="A1206" s="87">
        <v>684.0</v>
      </c>
      <c r="B1206" s="87" t="s">
        <v>909</v>
      </c>
      <c r="C1206" s="93">
        <v>1.0</v>
      </c>
      <c r="D1206" s="87" t="s">
        <v>39</v>
      </c>
      <c r="E1206" s="87" t="s">
        <v>26</v>
      </c>
      <c r="F1206" s="87" t="s">
        <v>921</v>
      </c>
      <c r="G1206" s="94">
        <v>1.3940058E7</v>
      </c>
      <c r="H1206" s="87"/>
      <c r="I1206" s="87"/>
    </row>
    <row r="1207">
      <c r="A1207" s="87">
        <v>1047.0</v>
      </c>
      <c r="B1207" s="87" t="s">
        <v>909</v>
      </c>
      <c r="C1207" s="93">
        <v>1.0</v>
      </c>
      <c r="D1207" s="87" t="s">
        <v>39</v>
      </c>
      <c r="E1207" s="87" t="s">
        <v>26</v>
      </c>
      <c r="F1207" s="87" t="s">
        <v>921</v>
      </c>
      <c r="G1207" s="94">
        <v>7.6778215E7</v>
      </c>
      <c r="H1207" s="87"/>
      <c r="I1207" s="87"/>
    </row>
    <row r="1208">
      <c r="A1208" s="87">
        <v>1184.0</v>
      </c>
      <c r="B1208" s="87" t="s">
        <v>640</v>
      </c>
      <c r="C1208" s="93">
        <v>1.0</v>
      </c>
      <c r="D1208" s="87" t="s">
        <v>39</v>
      </c>
      <c r="E1208" s="87" t="s">
        <v>26</v>
      </c>
      <c r="F1208" s="87" t="s">
        <v>921</v>
      </c>
      <c r="G1208" s="94">
        <v>7.6871975E7</v>
      </c>
      <c r="H1208" s="87"/>
      <c r="I1208" s="87"/>
    </row>
    <row r="1209">
      <c r="A1209" s="87">
        <v>1186.0</v>
      </c>
      <c r="B1209" s="87" t="s">
        <v>640</v>
      </c>
      <c r="C1209" s="93">
        <v>1.0</v>
      </c>
      <c r="D1209" s="87" t="s">
        <v>39</v>
      </c>
      <c r="E1209" s="87" t="s">
        <v>26</v>
      </c>
      <c r="F1209" s="87" t="s">
        <v>921</v>
      </c>
      <c r="G1209" s="94">
        <v>7.6872009E7</v>
      </c>
      <c r="H1209" s="87"/>
      <c r="I1209" s="87"/>
    </row>
    <row r="1210">
      <c r="A1210" s="87">
        <v>646.0</v>
      </c>
      <c r="B1210" s="87" t="s">
        <v>434</v>
      </c>
      <c r="C1210" s="93">
        <v>2.0</v>
      </c>
      <c r="D1210" s="87" t="s">
        <v>39</v>
      </c>
      <c r="E1210" s="87" t="s">
        <v>25</v>
      </c>
      <c r="F1210" s="87" t="s">
        <v>928</v>
      </c>
      <c r="G1210" s="94"/>
      <c r="H1210" s="87"/>
      <c r="I1210" s="87"/>
    </row>
    <row r="1211">
      <c r="A1211" s="87">
        <v>647.0</v>
      </c>
      <c r="B1211" s="87" t="s">
        <v>572</v>
      </c>
      <c r="C1211" s="93">
        <v>1.0</v>
      </c>
      <c r="D1211" s="87" t="s">
        <v>39</v>
      </c>
      <c r="E1211" s="87" t="s">
        <v>25</v>
      </c>
      <c r="F1211" s="87" t="s">
        <v>928</v>
      </c>
      <c r="G1211" s="94"/>
      <c r="H1211" s="87"/>
      <c r="I1211" s="87"/>
    </row>
    <row r="1212">
      <c r="A1212" s="87">
        <v>514.0</v>
      </c>
      <c r="B1212" s="87" t="s">
        <v>929</v>
      </c>
      <c r="C1212" s="93">
        <v>1.0</v>
      </c>
      <c r="D1212" s="87" t="s">
        <v>39</v>
      </c>
      <c r="E1212" s="87" t="s">
        <v>26</v>
      </c>
      <c r="F1212" s="87" t="s">
        <v>928</v>
      </c>
      <c r="G1212" s="94">
        <v>1.3874268E7</v>
      </c>
      <c r="H1212" s="87"/>
      <c r="I1212" s="87" t="s">
        <v>930</v>
      </c>
    </row>
    <row r="1213">
      <c r="A1213" s="87">
        <v>48.0</v>
      </c>
      <c r="B1213" s="87" t="s">
        <v>104</v>
      </c>
      <c r="C1213" s="93">
        <v>1.0</v>
      </c>
      <c r="D1213" s="87" t="s">
        <v>39</v>
      </c>
      <c r="E1213" s="87" t="s">
        <v>25</v>
      </c>
      <c r="F1213" s="87" t="s">
        <v>928</v>
      </c>
      <c r="G1213" s="94">
        <v>7.6788954E7</v>
      </c>
      <c r="H1213" s="87"/>
      <c r="I1213" s="87" t="s">
        <v>931</v>
      </c>
    </row>
    <row r="1214">
      <c r="A1214" s="87">
        <v>49.0</v>
      </c>
      <c r="B1214" s="87" t="s">
        <v>104</v>
      </c>
      <c r="C1214" s="93">
        <v>1.0</v>
      </c>
      <c r="D1214" s="87" t="s">
        <v>39</v>
      </c>
      <c r="E1214" s="87" t="s">
        <v>40</v>
      </c>
      <c r="F1214" s="87" t="s">
        <v>928</v>
      </c>
      <c r="G1214" s="94">
        <v>7.6788962E7</v>
      </c>
      <c r="H1214" s="87"/>
      <c r="I1214" s="87" t="s">
        <v>931</v>
      </c>
    </row>
    <row r="1215">
      <c r="A1215" s="87">
        <v>1010.0</v>
      </c>
      <c r="B1215" s="87" t="s">
        <v>104</v>
      </c>
      <c r="C1215" s="93">
        <v>1.0</v>
      </c>
      <c r="D1215" s="87" t="s">
        <v>39</v>
      </c>
      <c r="E1215" s="87" t="s">
        <v>26</v>
      </c>
      <c r="F1215" s="87" t="s">
        <v>928</v>
      </c>
      <c r="G1215" s="94">
        <v>7.672551E7</v>
      </c>
      <c r="H1215" s="87"/>
      <c r="I1215" s="87" t="s">
        <v>932</v>
      </c>
    </row>
    <row r="1216">
      <c r="A1216" s="87">
        <v>649.0</v>
      </c>
      <c r="B1216" s="87" t="s">
        <v>933</v>
      </c>
      <c r="C1216" s="93">
        <v>1.0</v>
      </c>
      <c r="D1216" s="87" t="s">
        <v>39</v>
      </c>
      <c r="E1216" s="87" t="s">
        <v>25</v>
      </c>
      <c r="F1216" s="87" t="s">
        <v>928</v>
      </c>
      <c r="G1216" s="94"/>
      <c r="H1216" s="87"/>
      <c r="I1216" s="87"/>
    </row>
    <row r="1217">
      <c r="A1217" s="87">
        <v>650.0</v>
      </c>
      <c r="B1217" s="87" t="s">
        <v>934</v>
      </c>
      <c r="C1217" s="93">
        <v>1.0</v>
      </c>
      <c r="D1217" s="87" t="s">
        <v>39</v>
      </c>
      <c r="E1217" s="87" t="s">
        <v>25</v>
      </c>
      <c r="F1217" s="87" t="s">
        <v>928</v>
      </c>
      <c r="G1217" s="94"/>
      <c r="H1217" s="87"/>
      <c r="I1217" s="87"/>
    </row>
    <row r="1218">
      <c r="A1218" s="87">
        <v>651.0</v>
      </c>
      <c r="B1218" s="87" t="s">
        <v>935</v>
      </c>
      <c r="C1218" s="93">
        <v>1.0</v>
      </c>
      <c r="D1218" s="87" t="s">
        <v>39</v>
      </c>
      <c r="E1218" s="87" t="s">
        <v>25</v>
      </c>
      <c r="F1218" s="87" t="s">
        <v>928</v>
      </c>
      <c r="G1218" s="94"/>
      <c r="H1218" s="87"/>
      <c r="I1218" s="87" t="s">
        <v>936</v>
      </c>
    </row>
    <row r="1219">
      <c r="A1219" s="87">
        <v>648.0</v>
      </c>
      <c r="B1219" s="87" t="s">
        <v>937</v>
      </c>
      <c r="C1219" s="93">
        <v>6.0</v>
      </c>
      <c r="D1219" s="87" t="s">
        <v>39</v>
      </c>
      <c r="E1219" s="87" t="s">
        <v>25</v>
      </c>
      <c r="F1219" s="87" t="s">
        <v>928</v>
      </c>
      <c r="G1219" s="94">
        <v>45527.0</v>
      </c>
      <c r="H1219" s="87"/>
      <c r="I1219" s="87"/>
    </row>
    <row r="1220">
      <c r="A1220" s="87">
        <v>652.0</v>
      </c>
      <c r="B1220" s="87" t="s">
        <v>575</v>
      </c>
      <c r="C1220" s="93">
        <v>2.0</v>
      </c>
      <c r="D1220" s="87" t="s">
        <v>39</v>
      </c>
      <c r="E1220" s="87" t="s">
        <v>25</v>
      </c>
      <c r="F1220" s="87" t="s">
        <v>928</v>
      </c>
      <c r="G1220" s="94"/>
      <c r="H1220" s="87"/>
      <c r="I1220" s="87"/>
    </row>
    <row r="1221">
      <c r="A1221" s="87">
        <v>653.0</v>
      </c>
      <c r="B1221" s="87" t="s">
        <v>576</v>
      </c>
      <c r="C1221" s="93">
        <v>10.0</v>
      </c>
      <c r="D1221" s="87" t="s">
        <v>39</v>
      </c>
      <c r="E1221" s="87" t="s">
        <v>25</v>
      </c>
      <c r="F1221" s="87" t="s">
        <v>928</v>
      </c>
      <c r="G1221" s="94"/>
      <c r="H1221" s="87"/>
      <c r="I1221" s="87"/>
    </row>
    <row r="1222">
      <c r="A1222" s="87">
        <v>654.0</v>
      </c>
      <c r="B1222" s="87" t="s">
        <v>292</v>
      </c>
      <c r="C1222" s="93">
        <v>2.0</v>
      </c>
      <c r="D1222" s="87" t="s">
        <v>39</v>
      </c>
      <c r="E1222" s="87" t="s">
        <v>25</v>
      </c>
      <c r="F1222" s="87" t="s">
        <v>928</v>
      </c>
      <c r="G1222" s="94"/>
      <c r="H1222" s="87"/>
      <c r="I1222" s="87"/>
    </row>
    <row r="1223">
      <c r="A1223" s="87">
        <v>655.0</v>
      </c>
      <c r="B1223" s="87" t="s">
        <v>577</v>
      </c>
      <c r="C1223" s="93">
        <v>5.0</v>
      </c>
      <c r="D1223" s="87" t="s">
        <v>39</v>
      </c>
      <c r="E1223" s="87" t="s">
        <v>25</v>
      </c>
      <c r="F1223" s="87" t="s">
        <v>928</v>
      </c>
      <c r="G1223" s="94"/>
      <c r="H1223" s="87"/>
      <c r="I1223" s="87"/>
    </row>
    <row r="1224">
      <c r="A1224" s="87">
        <v>656.0</v>
      </c>
      <c r="B1224" s="87" t="s">
        <v>553</v>
      </c>
      <c r="C1224" s="93">
        <v>3.0</v>
      </c>
      <c r="D1224" s="87" t="s">
        <v>39</v>
      </c>
      <c r="E1224" s="87" t="s">
        <v>25</v>
      </c>
      <c r="F1224" s="87" t="s">
        <v>928</v>
      </c>
      <c r="G1224" s="94"/>
      <c r="H1224" s="87"/>
      <c r="I1224" s="87"/>
    </row>
    <row r="1225">
      <c r="A1225" s="87">
        <v>657.0</v>
      </c>
      <c r="B1225" s="87" t="s">
        <v>486</v>
      </c>
      <c r="C1225" s="93">
        <v>1.0</v>
      </c>
      <c r="D1225" s="87" t="s">
        <v>39</v>
      </c>
      <c r="E1225" s="87" t="s">
        <v>25</v>
      </c>
      <c r="F1225" s="87" t="s">
        <v>928</v>
      </c>
      <c r="G1225" s="94"/>
      <c r="H1225" s="87"/>
      <c r="I1225" s="87"/>
    </row>
    <row r="1226">
      <c r="A1226" s="87">
        <v>658.0</v>
      </c>
      <c r="B1226" s="87" t="s">
        <v>385</v>
      </c>
      <c r="C1226" s="93">
        <v>1.0</v>
      </c>
      <c r="D1226" s="87" t="s">
        <v>39</v>
      </c>
      <c r="E1226" s="87" t="s">
        <v>25</v>
      </c>
      <c r="F1226" s="87" t="s">
        <v>928</v>
      </c>
      <c r="G1226" s="94"/>
      <c r="H1226" s="87"/>
      <c r="I1226" s="87" t="s">
        <v>938</v>
      </c>
    </row>
    <row r="1227">
      <c r="A1227" s="87">
        <v>659.0</v>
      </c>
      <c r="B1227" s="87" t="s">
        <v>939</v>
      </c>
      <c r="C1227" s="93">
        <v>1.0</v>
      </c>
      <c r="D1227" s="87" t="s">
        <v>39</v>
      </c>
      <c r="E1227" s="87" t="s">
        <v>25</v>
      </c>
      <c r="F1227" s="87" t="s">
        <v>928</v>
      </c>
      <c r="G1227" s="94"/>
      <c r="H1227" s="87"/>
      <c r="I1227" s="87"/>
    </row>
    <row r="1228">
      <c r="A1228" s="87">
        <v>660.0</v>
      </c>
      <c r="B1228" s="87" t="s">
        <v>940</v>
      </c>
      <c r="C1228" s="93">
        <v>2.0</v>
      </c>
      <c r="D1228" s="87" t="s">
        <v>39</v>
      </c>
      <c r="E1228" s="87" t="s">
        <v>25</v>
      </c>
      <c r="F1228" s="87" t="s">
        <v>928</v>
      </c>
      <c r="G1228" s="94">
        <v>45527.0</v>
      </c>
      <c r="H1228" s="87"/>
      <c r="I1228" s="87" t="s">
        <v>941</v>
      </c>
    </row>
    <row r="1229">
      <c r="A1229" s="87">
        <v>662.0</v>
      </c>
      <c r="B1229" s="87" t="s">
        <v>540</v>
      </c>
      <c r="C1229" s="93">
        <v>2.0</v>
      </c>
      <c r="D1229" s="87" t="s">
        <v>39</v>
      </c>
      <c r="E1229" s="87" t="s">
        <v>25</v>
      </c>
      <c r="F1229" s="87" t="s">
        <v>928</v>
      </c>
      <c r="G1229" s="94"/>
      <c r="H1229" s="87"/>
      <c r="I1229" s="87"/>
    </row>
    <row r="1230">
      <c r="A1230" s="87">
        <v>663.0</v>
      </c>
      <c r="B1230" s="87" t="s">
        <v>942</v>
      </c>
      <c r="C1230" s="93">
        <v>2.0</v>
      </c>
      <c r="D1230" s="87" t="s">
        <v>39</v>
      </c>
      <c r="E1230" s="87" t="s">
        <v>25</v>
      </c>
      <c r="F1230" s="87" t="s">
        <v>928</v>
      </c>
      <c r="G1230" s="94"/>
      <c r="H1230" s="87"/>
      <c r="I1230" s="87"/>
    </row>
    <row r="1231">
      <c r="A1231" s="87">
        <v>664.0</v>
      </c>
      <c r="B1231" s="87" t="s">
        <v>713</v>
      </c>
      <c r="C1231" s="93">
        <v>3.0</v>
      </c>
      <c r="D1231" s="87" t="s">
        <v>39</v>
      </c>
      <c r="E1231" s="87" t="s">
        <v>25</v>
      </c>
      <c r="F1231" s="87" t="s">
        <v>928</v>
      </c>
      <c r="G1231" s="94"/>
      <c r="H1231" s="87"/>
      <c r="I1231" s="87"/>
    </row>
    <row r="1232">
      <c r="A1232" s="87">
        <v>665.0</v>
      </c>
      <c r="B1232" s="87" t="s">
        <v>457</v>
      </c>
      <c r="C1232" s="93">
        <v>2.0</v>
      </c>
      <c r="D1232" s="87" t="s">
        <v>39</v>
      </c>
      <c r="E1232" s="87" t="s">
        <v>25</v>
      </c>
      <c r="F1232" s="87" t="s">
        <v>928</v>
      </c>
      <c r="G1232" s="94"/>
      <c r="H1232" s="87"/>
      <c r="I1232" s="87"/>
    </row>
    <row r="1233">
      <c r="A1233" s="87">
        <v>666.0</v>
      </c>
      <c r="B1233" s="87" t="s">
        <v>943</v>
      </c>
      <c r="C1233" s="93">
        <v>4.0</v>
      </c>
      <c r="D1233" s="87" t="s">
        <v>39</v>
      </c>
      <c r="E1233" s="87" t="s">
        <v>25</v>
      </c>
      <c r="F1233" s="87" t="s">
        <v>928</v>
      </c>
      <c r="G1233" s="94">
        <v>45597.0</v>
      </c>
      <c r="H1233" s="87"/>
      <c r="I1233" s="87" t="s">
        <v>944</v>
      </c>
    </row>
    <row r="1234">
      <c r="A1234" s="87">
        <v>668.0</v>
      </c>
      <c r="B1234" s="87" t="s">
        <v>228</v>
      </c>
      <c r="C1234" s="93">
        <v>2.0</v>
      </c>
      <c r="D1234" s="87" t="s">
        <v>39</v>
      </c>
      <c r="E1234" s="87" t="s">
        <v>25</v>
      </c>
      <c r="F1234" s="87" t="s">
        <v>928</v>
      </c>
      <c r="G1234" s="94"/>
      <c r="H1234" s="87"/>
      <c r="I1234" s="87"/>
    </row>
    <row r="1235">
      <c r="A1235" s="87">
        <v>667.0</v>
      </c>
      <c r="B1235" s="87" t="s">
        <v>945</v>
      </c>
      <c r="C1235" s="93">
        <v>2.0</v>
      </c>
      <c r="D1235" s="87" t="s">
        <v>39</v>
      </c>
      <c r="E1235" s="87" t="s">
        <v>25</v>
      </c>
      <c r="F1235" s="87" t="s">
        <v>928</v>
      </c>
      <c r="G1235" s="94"/>
      <c r="H1235" s="87"/>
      <c r="I1235" s="87"/>
    </row>
    <row r="1236">
      <c r="A1236" s="87">
        <v>669.0</v>
      </c>
      <c r="B1236" s="87" t="s">
        <v>946</v>
      </c>
      <c r="C1236" s="93">
        <v>1.0</v>
      </c>
      <c r="D1236" s="87" t="s">
        <v>39</v>
      </c>
      <c r="E1236" s="87" t="s">
        <v>25</v>
      </c>
      <c r="F1236" s="87" t="s">
        <v>928</v>
      </c>
      <c r="G1236" s="94">
        <v>45527.0</v>
      </c>
      <c r="H1236" s="87"/>
      <c r="I1236" s="87" t="s">
        <v>947</v>
      </c>
    </row>
    <row r="1237">
      <c r="A1237" s="87">
        <v>355.0</v>
      </c>
      <c r="B1237" s="87" t="s">
        <v>948</v>
      </c>
      <c r="C1237" s="93">
        <v>1.0</v>
      </c>
      <c r="D1237" s="87" t="s">
        <v>39</v>
      </c>
      <c r="E1237" s="87" t="s">
        <v>25</v>
      </c>
      <c r="F1237" s="87" t="s">
        <v>928</v>
      </c>
      <c r="G1237" s="94">
        <v>1.3968815E7</v>
      </c>
      <c r="H1237" s="87"/>
      <c r="I1237" s="87"/>
    </row>
    <row r="1238">
      <c r="A1238" s="87">
        <v>670.0</v>
      </c>
      <c r="B1238" s="87" t="s">
        <v>229</v>
      </c>
      <c r="C1238" s="93">
        <v>1.0</v>
      </c>
      <c r="D1238" s="87" t="s">
        <v>39</v>
      </c>
      <c r="E1238" s="87" t="s">
        <v>25</v>
      </c>
      <c r="F1238" s="87" t="s">
        <v>928</v>
      </c>
      <c r="G1238" s="94"/>
      <c r="H1238" s="87"/>
      <c r="I1238" s="87"/>
    </row>
    <row r="1239">
      <c r="A1239" s="87">
        <v>672.0</v>
      </c>
      <c r="B1239" s="87" t="s">
        <v>949</v>
      </c>
      <c r="C1239" s="93">
        <v>1.0</v>
      </c>
      <c r="D1239" s="87" t="s">
        <v>39</v>
      </c>
      <c r="E1239" s="87" t="s">
        <v>25</v>
      </c>
      <c r="F1239" s="87" t="s">
        <v>928</v>
      </c>
      <c r="G1239" s="94"/>
      <c r="H1239" s="87"/>
      <c r="I1239" s="87"/>
    </row>
    <row r="1240">
      <c r="A1240" s="87">
        <v>673.0</v>
      </c>
      <c r="B1240" s="87" t="s">
        <v>464</v>
      </c>
      <c r="C1240" s="93">
        <v>1.0</v>
      </c>
      <c r="D1240" s="87" t="s">
        <v>39</v>
      </c>
      <c r="E1240" s="87" t="s">
        <v>25</v>
      </c>
      <c r="F1240" s="87" t="s">
        <v>928</v>
      </c>
      <c r="G1240" s="94"/>
      <c r="H1240" s="87"/>
      <c r="I1240" s="87"/>
    </row>
    <row r="1241">
      <c r="A1241" s="87">
        <v>674.0</v>
      </c>
      <c r="B1241" s="87" t="s">
        <v>174</v>
      </c>
      <c r="C1241" s="93">
        <v>1.0</v>
      </c>
      <c r="D1241" s="87" t="s">
        <v>39</v>
      </c>
      <c r="E1241" s="87" t="s">
        <v>25</v>
      </c>
      <c r="F1241" s="87" t="s">
        <v>928</v>
      </c>
      <c r="G1241" s="94"/>
      <c r="H1241" s="87"/>
      <c r="I1241" s="87"/>
    </row>
    <row r="1242">
      <c r="A1242" s="87">
        <v>675.0</v>
      </c>
      <c r="B1242" s="87" t="s">
        <v>230</v>
      </c>
      <c r="C1242" s="93">
        <v>1.0</v>
      </c>
      <c r="D1242" s="87" t="s">
        <v>39</v>
      </c>
      <c r="E1242" s="87" t="s">
        <v>25</v>
      </c>
      <c r="F1242" s="87" t="s">
        <v>928</v>
      </c>
      <c r="G1242" s="94"/>
      <c r="H1242" s="87"/>
      <c r="I1242" s="87"/>
    </row>
    <row r="1243">
      <c r="A1243" s="87">
        <v>676.0</v>
      </c>
      <c r="B1243" s="87" t="s">
        <v>585</v>
      </c>
      <c r="C1243" s="93">
        <v>1.0</v>
      </c>
      <c r="D1243" s="87" t="s">
        <v>39</v>
      </c>
      <c r="E1243" s="87" t="s">
        <v>25</v>
      </c>
      <c r="F1243" s="87" t="s">
        <v>928</v>
      </c>
      <c r="G1243" s="94"/>
      <c r="H1243" s="87"/>
      <c r="I1243" s="87"/>
    </row>
    <row r="1244">
      <c r="A1244" s="87">
        <v>677.0</v>
      </c>
      <c r="B1244" s="87" t="s">
        <v>586</v>
      </c>
      <c r="C1244" s="93">
        <v>1.0</v>
      </c>
      <c r="D1244" s="87" t="s">
        <v>39</v>
      </c>
      <c r="E1244" s="87" t="s">
        <v>25</v>
      </c>
      <c r="F1244" s="87" t="s">
        <v>928</v>
      </c>
      <c r="G1244" s="94"/>
      <c r="H1244" s="87"/>
      <c r="I1244" s="87"/>
    </row>
    <row r="1245">
      <c r="A1245" s="87">
        <v>852.0</v>
      </c>
      <c r="B1245" s="87" t="s">
        <v>403</v>
      </c>
      <c r="C1245" s="93">
        <v>2.0</v>
      </c>
      <c r="D1245" s="87" t="s">
        <v>39</v>
      </c>
      <c r="E1245" s="87" t="s">
        <v>26</v>
      </c>
      <c r="F1245" s="87" t="s">
        <v>928</v>
      </c>
      <c r="G1245" s="94">
        <v>46136.0</v>
      </c>
      <c r="H1245" s="87"/>
      <c r="I1245" s="87"/>
    </row>
    <row r="1246">
      <c r="A1246" s="87">
        <v>678.0</v>
      </c>
      <c r="B1246" s="87" t="s">
        <v>950</v>
      </c>
      <c r="C1246" s="93">
        <v>4.0</v>
      </c>
      <c r="D1246" s="87" t="s">
        <v>39</v>
      </c>
      <c r="E1246" s="87" t="s">
        <v>25</v>
      </c>
      <c r="F1246" s="87" t="s">
        <v>928</v>
      </c>
      <c r="G1246" s="94"/>
      <c r="H1246" s="87"/>
      <c r="I1246" s="87" t="s">
        <v>951</v>
      </c>
    </row>
    <row r="1247">
      <c r="A1247" s="87">
        <v>525.0</v>
      </c>
      <c r="B1247" s="87" t="s">
        <v>952</v>
      </c>
      <c r="C1247" s="93">
        <v>1.0</v>
      </c>
      <c r="D1247" s="87" t="s">
        <v>39</v>
      </c>
      <c r="E1247" s="87" t="s">
        <v>25</v>
      </c>
      <c r="F1247" s="87" t="s">
        <v>928</v>
      </c>
      <c r="G1247" s="94">
        <v>1.3891103E7</v>
      </c>
      <c r="H1247" s="87"/>
      <c r="I1247" s="87" t="s">
        <v>953</v>
      </c>
    </row>
    <row r="1248">
      <c r="A1248" s="87">
        <v>679.0</v>
      </c>
      <c r="B1248" s="87" t="s">
        <v>231</v>
      </c>
      <c r="C1248" s="93">
        <v>3.0</v>
      </c>
      <c r="D1248" s="87" t="s">
        <v>39</v>
      </c>
      <c r="E1248" s="87" t="s">
        <v>25</v>
      </c>
      <c r="F1248" s="87" t="s">
        <v>928</v>
      </c>
      <c r="G1248" s="94"/>
      <c r="H1248" s="87"/>
      <c r="I1248" s="87"/>
    </row>
    <row r="1249">
      <c r="A1249" s="87">
        <v>680.0</v>
      </c>
      <c r="B1249" s="87" t="s">
        <v>233</v>
      </c>
      <c r="C1249" s="93">
        <v>1.0</v>
      </c>
      <c r="D1249" s="87" t="s">
        <v>39</v>
      </c>
      <c r="E1249" s="87" t="s">
        <v>25</v>
      </c>
      <c r="F1249" s="87" t="s">
        <v>928</v>
      </c>
      <c r="G1249" s="94"/>
      <c r="H1249" s="87"/>
      <c r="I1249" s="87"/>
    </row>
    <row r="1250">
      <c r="A1250" s="87">
        <v>681.0</v>
      </c>
      <c r="B1250" s="87" t="s">
        <v>954</v>
      </c>
      <c r="C1250" s="93">
        <v>2.0</v>
      </c>
      <c r="D1250" s="87" t="s">
        <v>39</v>
      </c>
      <c r="E1250" s="87" t="s">
        <v>25</v>
      </c>
      <c r="F1250" s="87" t="s">
        <v>928</v>
      </c>
      <c r="G1250" s="94"/>
      <c r="H1250" s="87"/>
      <c r="I1250" s="87"/>
    </row>
    <row r="1251">
      <c r="A1251" s="87">
        <v>682.0</v>
      </c>
      <c r="B1251" s="87" t="s">
        <v>234</v>
      </c>
      <c r="C1251" s="93">
        <v>2.0</v>
      </c>
      <c r="D1251" s="87" t="s">
        <v>39</v>
      </c>
      <c r="E1251" s="87" t="s">
        <v>25</v>
      </c>
      <c r="F1251" s="87" t="s">
        <v>928</v>
      </c>
      <c r="G1251" s="94"/>
      <c r="H1251" s="87"/>
      <c r="I1251" s="87"/>
    </row>
    <row r="1252">
      <c r="A1252" s="87">
        <v>683.0</v>
      </c>
      <c r="B1252" s="87" t="s">
        <v>955</v>
      </c>
      <c r="C1252" s="93">
        <v>1.0</v>
      </c>
      <c r="D1252" s="87" t="s">
        <v>39</v>
      </c>
      <c r="E1252" s="87" t="s">
        <v>25</v>
      </c>
      <c r="F1252" s="87" t="s">
        <v>928</v>
      </c>
      <c r="G1252" s="94"/>
      <c r="H1252" s="87"/>
      <c r="I1252" s="87"/>
    </row>
    <row r="1253">
      <c r="A1253" s="87">
        <v>684.0</v>
      </c>
      <c r="B1253" s="87" t="s">
        <v>956</v>
      </c>
      <c r="C1253" s="93">
        <v>2.0</v>
      </c>
      <c r="D1253" s="87" t="s">
        <v>39</v>
      </c>
      <c r="E1253" s="87" t="s">
        <v>25</v>
      </c>
      <c r="F1253" s="87" t="s">
        <v>928</v>
      </c>
      <c r="G1253" s="94"/>
      <c r="H1253" s="87"/>
      <c r="I1253" s="87" t="s">
        <v>957</v>
      </c>
    </row>
    <row r="1254">
      <c r="A1254" s="87">
        <v>685.0</v>
      </c>
      <c r="B1254" s="87" t="s">
        <v>958</v>
      </c>
      <c r="C1254" s="93">
        <v>1.0</v>
      </c>
      <c r="D1254" s="87" t="s">
        <v>39</v>
      </c>
      <c r="E1254" s="87" t="s">
        <v>25</v>
      </c>
      <c r="F1254" s="87" t="s">
        <v>928</v>
      </c>
      <c r="G1254" s="94"/>
      <c r="H1254" s="87"/>
      <c r="I1254" s="87" t="s">
        <v>959</v>
      </c>
    </row>
    <row r="1255">
      <c r="A1255" s="87">
        <v>686.0</v>
      </c>
      <c r="B1255" s="87" t="s">
        <v>960</v>
      </c>
      <c r="C1255" s="93">
        <v>1.0</v>
      </c>
      <c r="D1255" s="87" t="s">
        <v>39</v>
      </c>
      <c r="E1255" s="87" t="s">
        <v>25</v>
      </c>
      <c r="F1255" s="87" t="s">
        <v>928</v>
      </c>
      <c r="G1255" s="94"/>
      <c r="H1255" s="87"/>
      <c r="I1255" s="87"/>
    </row>
    <row r="1256">
      <c r="A1256" s="87">
        <v>500.0</v>
      </c>
      <c r="B1256" s="87" t="s">
        <v>430</v>
      </c>
      <c r="C1256" s="93">
        <v>1.0</v>
      </c>
      <c r="D1256" s="87" t="s">
        <v>39</v>
      </c>
      <c r="E1256" s="87" t="s">
        <v>26</v>
      </c>
      <c r="F1256" s="87" t="s">
        <v>928</v>
      </c>
      <c r="G1256" s="94">
        <v>1.3766031E7</v>
      </c>
      <c r="H1256" s="87" t="s">
        <v>961</v>
      </c>
      <c r="I1256" s="87" t="s">
        <v>962</v>
      </c>
    </row>
    <row r="1257">
      <c r="A1257" s="87">
        <v>597.0</v>
      </c>
      <c r="B1257" s="87" t="s">
        <v>430</v>
      </c>
      <c r="C1257" s="93">
        <v>1.0</v>
      </c>
      <c r="D1257" s="87" t="s">
        <v>39</v>
      </c>
      <c r="E1257" s="87" t="s">
        <v>26</v>
      </c>
      <c r="F1257" s="87" t="s">
        <v>928</v>
      </c>
      <c r="G1257" s="94">
        <v>4.0083829E7</v>
      </c>
      <c r="H1257" s="87"/>
      <c r="I1257" s="87" t="s">
        <v>963</v>
      </c>
    </row>
    <row r="1258">
      <c r="A1258" s="87">
        <v>716.0</v>
      </c>
      <c r="B1258" s="87" t="s">
        <v>475</v>
      </c>
      <c r="C1258" s="93">
        <v>2.0</v>
      </c>
      <c r="D1258" s="87" t="s">
        <v>39</v>
      </c>
      <c r="E1258" s="87" t="s">
        <v>25</v>
      </c>
      <c r="F1258" s="87" t="s">
        <v>928</v>
      </c>
      <c r="G1258" s="94"/>
      <c r="H1258" s="87"/>
      <c r="I1258" s="87"/>
    </row>
    <row r="1259">
      <c r="A1259" s="87">
        <v>533.0</v>
      </c>
      <c r="B1259" s="87" t="s">
        <v>964</v>
      </c>
      <c r="C1259" s="93">
        <v>1.0</v>
      </c>
      <c r="D1259" s="87" t="s">
        <v>39</v>
      </c>
      <c r="E1259" s="87" t="s">
        <v>25</v>
      </c>
      <c r="F1259" s="87" t="s">
        <v>928</v>
      </c>
      <c r="G1259" s="94">
        <v>1.394771E7</v>
      </c>
      <c r="H1259" s="87"/>
      <c r="I1259" s="87" t="s">
        <v>965</v>
      </c>
    </row>
    <row r="1260">
      <c r="A1260" s="87">
        <v>758.0</v>
      </c>
      <c r="B1260" s="87" t="s">
        <v>966</v>
      </c>
      <c r="C1260" s="93">
        <v>1.0</v>
      </c>
      <c r="D1260" s="87" t="s">
        <v>39</v>
      </c>
      <c r="E1260" s="87" t="s">
        <v>25</v>
      </c>
      <c r="F1260" s="87" t="s">
        <v>928</v>
      </c>
      <c r="G1260" s="94"/>
      <c r="H1260" s="87"/>
      <c r="I1260" s="87"/>
    </row>
    <row r="1261">
      <c r="A1261" s="87">
        <v>410.0</v>
      </c>
      <c r="B1261" s="87" t="s">
        <v>967</v>
      </c>
      <c r="C1261" s="93">
        <v>2.0</v>
      </c>
      <c r="D1261" s="87" t="s">
        <v>275</v>
      </c>
      <c r="E1261" s="87" t="s">
        <v>16</v>
      </c>
      <c r="F1261" s="87" t="s">
        <v>275</v>
      </c>
      <c r="G1261" s="94">
        <v>45533.0</v>
      </c>
      <c r="H1261" s="87"/>
      <c r="I1261" s="87"/>
    </row>
    <row r="1262">
      <c r="A1262" s="87">
        <v>1220.0</v>
      </c>
      <c r="B1262" s="87" t="s">
        <v>968</v>
      </c>
      <c r="C1262" s="93">
        <v>1.0</v>
      </c>
      <c r="D1262" s="87" t="s">
        <v>275</v>
      </c>
      <c r="E1262" s="87" t="s">
        <v>16</v>
      </c>
      <c r="F1262" s="87" t="s">
        <v>275</v>
      </c>
      <c r="G1262" s="94">
        <v>7.6837521E7</v>
      </c>
      <c r="H1262" s="87" t="s">
        <v>969</v>
      </c>
      <c r="I1262" s="87" t="s">
        <v>970</v>
      </c>
    </row>
    <row r="1263">
      <c r="A1263" s="87">
        <v>386.0</v>
      </c>
      <c r="B1263" s="87" t="s">
        <v>971</v>
      </c>
      <c r="C1263" s="93">
        <v>1.0</v>
      </c>
      <c r="D1263" s="87" t="s">
        <v>275</v>
      </c>
      <c r="E1263" s="87" t="s">
        <v>16</v>
      </c>
      <c r="F1263" s="87" t="s">
        <v>275</v>
      </c>
      <c r="G1263" s="94"/>
      <c r="H1263" s="87"/>
      <c r="I1263" s="87"/>
    </row>
    <row r="1264">
      <c r="A1264" s="87">
        <v>366.0</v>
      </c>
      <c r="B1264" s="87" t="s">
        <v>972</v>
      </c>
      <c r="C1264" s="93">
        <v>1.0</v>
      </c>
      <c r="D1264" s="87" t="s">
        <v>275</v>
      </c>
      <c r="E1264" s="87" t="s">
        <v>16</v>
      </c>
      <c r="F1264" s="87" t="s">
        <v>275</v>
      </c>
      <c r="G1264" s="94">
        <v>45533.0</v>
      </c>
      <c r="H1264" s="87"/>
      <c r="I1264" s="87"/>
    </row>
    <row r="1265">
      <c r="A1265" s="87">
        <v>411.0</v>
      </c>
      <c r="B1265" s="87" t="s">
        <v>973</v>
      </c>
      <c r="C1265" s="93">
        <v>1.0</v>
      </c>
      <c r="D1265" s="87" t="s">
        <v>275</v>
      </c>
      <c r="E1265" s="87" t="s">
        <v>16</v>
      </c>
      <c r="F1265" s="87" t="s">
        <v>275</v>
      </c>
      <c r="G1265" s="94">
        <v>45533.0</v>
      </c>
      <c r="H1265" s="87"/>
      <c r="I1265" s="87" t="s">
        <v>974</v>
      </c>
    </row>
    <row r="1266">
      <c r="A1266" s="87">
        <v>754.0</v>
      </c>
      <c r="B1266" s="87" t="s">
        <v>561</v>
      </c>
      <c r="C1266" s="93">
        <v>1.0</v>
      </c>
      <c r="D1266" s="87" t="s">
        <v>275</v>
      </c>
      <c r="E1266" s="87" t="s">
        <v>16</v>
      </c>
      <c r="F1266" s="87" t="s">
        <v>275</v>
      </c>
      <c r="G1266" s="94"/>
      <c r="H1266" s="87"/>
      <c r="I1266" s="87"/>
    </row>
    <row r="1267">
      <c r="A1267" s="87">
        <v>385.0</v>
      </c>
      <c r="B1267" s="87" t="s">
        <v>975</v>
      </c>
      <c r="C1267" s="93">
        <v>1.0</v>
      </c>
      <c r="D1267" s="87" t="s">
        <v>275</v>
      </c>
      <c r="E1267" s="87" t="s">
        <v>16</v>
      </c>
      <c r="F1267" s="87" t="s">
        <v>275</v>
      </c>
      <c r="G1267" s="94"/>
      <c r="H1267" s="87"/>
      <c r="I1267" s="87"/>
    </row>
    <row r="1268">
      <c r="A1268" s="87">
        <v>668.0</v>
      </c>
      <c r="B1268" s="87" t="s">
        <v>615</v>
      </c>
      <c r="C1268" s="93">
        <v>1.0</v>
      </c>
      <c r="D1268" s="87" t="s">
        <v>275</v>
      </c>
      <c r="E1268" s="87" t="s">
        <v>16</v>
      </c>
      <c r="F1268" s="87" t="s">
        <v>275</v>
      </c>
      <c r="G1268" s="94">
        <v>4.0363899E7</v>
      </c>
      <c r="H1268" s="87" t="s">
        <v>976</v>
      </c>
      <c r="I1268" s="87" t="s">
        <v>977</v>
      </c>
    </row>
    <row r="1269">
      <c r="A1269" s="87">
        <v>509.0</v>
      </c>
      <c r="B1269" s="87" t="s">
        <v>978</v>
      </c>
      <c r="C1269" s="93">
        <v>1.0</v>
      </c>
      <c r="D1269" s="87" t="s">
        <v>39</v>
      </c>
      <c r="E1269" s="87" t="s">
        <v>26</v>
      </c>
      <c r="F1269" s="87"/>
      <c r="G1269" s="94">
        <v>1.384905E7</v>
      </c>
      <c r="H1269" s="87"/>
      <c r="I1269" s="87" t="s">
        <v>979</v>
      </c>
    </row>
    <row r="1270">
      <c r="A1270" s="87">
        <v>183.0</v>
      </c>
      <c r="B1270" s="87" t="s">
        <v>224</v>
      </c>
      <c r="C1270" s="93">
        <v>3.0</v>
      </c>
      <c r="D1270" s="87" t="s">
        <v>275</v>
      </c>
      <c r="E1270" s="87" t="s">
        <v>18</v>
      </c>
      <c r="F1270" s="87"/>
      <c r="G1270" s="94"/>
      <c r="H1270" s="87"/>
      <c r="I1270" s="87"/>
    </row>
    <row r="1271">
      <c r="A1271" s="87">
        <v>455.0</v>
      </c>
      <c r="B1271" s="87" t="s">
        <v>980</v>
      </c>
      <c r="C1271" s="93">
        <v>1.0</v>
      </c>
      <c r="D1271" s="87" t="s">
        <v>39</v>
      </c>
      <c r="E1271" s="87" t="s">
        <v>23</v>
      </c>
      <c r="F1271" s="87"/>
      <c r="G1271" s="94">
        <v>45908.0</v>
      </c>
      <c r="H1271" s="87"/>
      <c r="I1271" s="87"/>
    </row>
    <row r="1272">
      <c r="A1272" s="87">
        <v>1141.0</v>
      </c>
      <c r="B1272" s="87" t="s">
        <v>647</v>
      </c>
      <c r="C1272" s="93">
        <v>1.0</v>
      </c>
      <c r="D1272" s="87" t="s">
        <v>39</v>
      </c>
      <c r="E1272" s="87" t="s">
        <v>83</v>
      </c>
      <c r="F1272" s="87"/>
      <c r="G1272" s="94">
        <v>7.6833828E7</v>
      </c>
      <c r="H1272" s="87" t="s">
        <v>981</v>
      </c>
      <c r="I1272" s="87" t="s">
        <v>982</v>
      </c>
    </row>
    <row r="1273">
      <c r="A1273" s="87">
        <v>98.0</v>
      </c>
      <c r="B1273" s="87" t="s">
        <v>929</v>
      </c>
      <c r="C1273" s="93">
        <v>1.0</v>
      </c>
      <c r="D1273" s="87" t="s">
        <v>39</v>
      </c>
      <c r="E1273" s="87" t="s">
        <v>253</v>
      </c>
      <c r="F1273" s="87"/>
      <c r="G1273" s="94">
        <v>1.3874438E7</v>
      </c>
      <c r="H1273" s="87"/>
      <c r="I1273" s="87" t="s">
        <v>983</v>
      </c>
    </row>
    <row r="1274">
      <c r="A1274" s="87">
        <v>99.0</v>
      </c>
      <c r="B1274" s="87" t="s">
        <v>929</v>
      </c>
      <c r="C1274" s="93">
        <v>1.0</v>
      </c>
      <c r="D1274" s="87"/>
      <c r="E1274" s="87" t="s">
        <v>83</v>
      </c>
      <c r="F1274" s="87"/>
      <c r="G1274" s="94">
        <v>1.3986678E7</v>
      </c>
      <c r="H1274" s="87"/>
      <c r="I1274" s="87" t="s">
        <v>984</v>
      </c>
    </row>
    <row r="1275">
      <c r="A1275" s="87">
        <v>447.0</v>
      </c>
      <c r="B1275" s="87" t="s">
        <v>298</v>
      </c>
      <c r="C1275" s="93">
        <v>1.0</v>
      </c>
      <c r="D1275" s="87" t="s">
        <v>39</v>
      </c>
      <c r="E1275" s="87" t="s">
        <v>26</v>
      </c>
      <c r="F1275" s="87"/>
      <c r="G1275" s="94">
        <v>45555.0</v>
      </c>
      <c r="H1275" s="87"/>
      <c r="I1275" s="87"/>
    </row>
    <row r="1276">
      <c r="A1276" s="87">
        <v>100.0</v>
      </c>
      <c r="B1276" s="87" t="s">
        <v>968</v>
      </c>
      <c r="C1276" s="93">
        <v>1.0</v>
      </c>
      <c r="D1276" s="87" t="s">
        <v>275</v>
      </c>
      <c r="E1276" s="87" t="s">
        <v>253</v>
      </c>
      <c r="F1276" s="87"/>
      <c r="G1276" s="94">
        <v>4.0355268E7</v>
      </c>
      <c r="H1276" s="87" t="s">
        <v>985</v>
      </c>
      <c r="I1276" s="87" t="s">
        <v>986</v>
      </c>
    </row>
    <row r="1277">
      <c r="A1277" s="87">
        <v>101.0</v>
      </c>
      <c r="B1277" s="87" t="s">
        <v>968</v>
      </c>
      <c r="C1277" s="93">
        <v>1.0</v>
      </c>
      <c r="D1277" s="87" t="s">
        <v>275</v>
      </c>
      <c r="E1277" s="87" t="s">
        <v>83</v>
      </c>
      <c r="F1277" s="87"/>
      <c r="G1277" s="94">
        <v>4.0416488E7</v>
      </c>
      <c r="H1277" s="87" t="s">
        <v>987</v>
      </c>
      <c r="I1277" s="87" t="s">
        <v>988</v>
      </c>
    </row>
    <row r="1278">
      <c r="A1278" s="87">
        <v>102.0</v>
      </c>
      <c r="B1278" s="87" t="s">
        <v>968</v>
      </c>
      <c r="C1278" s="93">
        <v>1.0</v>
      </c>
      <c r="D1278" s="87" t="s">
        <v>275</v>
      </c>
      <c r="E1278" s="87" t="s">
        <v>83</v>
      </c>
      <c r="F1278" s="87"/>
      <c r="G1278" s="94">
        <v>7.677572E7</v>
      </c>
      <c r="H1278" s="87" t="s">
        <v>989</v>
      </c>
      <c r="I1278" s="87" t="s">
        <v>990</v>
      </c>
    </row>
    <row r="1279">
      <c r="A1279" s="87">
        <v>892.0</v>
      </c>
      <c r="B1279" s="87" t="s">
        <v>968</v>
      </c>
      <c r="C1279" s="93">
        <v>1.0</v>
      </c>
      <c r="D1279" s="87" t="s">
        <v>275</v>
      </c>
      <c r="E1279" s="87" t="s">
        <v>253</v>
      </c>
      <c r="F1279" s="87"/>
      <c r="G1279" s="94">
        <v>4.023785E7</v>
      </c>
      <c r="H1279" s="87"/>
      <c r="I1279" s="87" t="s">
        <v>991</v>
      </c>
    </row>
    <row r="1280">
      <c r="A1280" s="87">
        <v>1214.0</v>
      </c>
      <c r="B1280" s="87" t="s">
        <v>968</v>
      </c>
      <c r="C1280" s="93">
        <v>1.0</v>
      </c>
      <c r="D1280" s="87" t="s">
        <v>275</v>
      </c>
      <c r="E1280" s="87" t="s">
        <v>253</v>
      </c>
      <c r="F1280" s="87"/>
      <c r="G1280" s="94">
        <v>4.0345866E7</v>
      </c>
      <c r="H1280" s="87"/>
      <c r="I1280" s="87" t="s">
        <v>992</v>
      </c>
    </row>
    <row r="1281">
      <c r="A1281" s="87">
        <v>1218.0</v>
      </c>
      <c r="B1281" s="87" t="s">
        <v>968</v>
      </c>
      <c r="C1281" s="93">
        <v>1.0</v>
      </c>
      <c r="D1281" s="87" t="s">
        <v>275</v>
      </c>
      <c r="E1281" s="87" t="s">
        <v>83</v>
      </c>
      <c r="F1281" s="87"/>
      <c r="G1281" s="94">
        <v>7.6817008E7</v>
      </c>
      <c r="H1281" s="87" t="s">
        <v>993</v>
      </c>
      <c r="I1281" s="87" t="s">
        <v>994</v>
      </c>
    </row>
    <row r="1282">
      <c r="A1282" s="87">
        <v>1221.0</v>
      </c>
      <c r="B1282" s="87" t="s">
        <v>968</v>
      </c>
      <c r="C1282" s="93">
        <v>1.0</v>
      </c>
      <c r="D1282" s="87" t="s">
        <v>275</v>
      </c>
      <c r="E1282" s="87" t="s">
        <v>995</v>
      </c>
      <c r="F1282" s="87"/>
      <c r="G1282" s="94">
        <v>7.683753E7</v>
      </c>
      <c r="H1282" s="87" t="s">
        <v>996</v>
      </c>
      <c r="I1282" s="87" t="s">
        <v>997</v>
      </c>
    </row>
    <row r="1283">
      <c r="A1283" s="87">
        <v>1288.0</v>
      </c>
      <c r="B1283" s="87" t="s">
        <v>968</v>
      </c>
      <c r="C1283" s="93">
        <v>1.0</v>
      </c>
      <c r="D1283" s="87" t="s">
        <v>39</v>
      </c>
      <c r="E1283" s="87" t="s">
        <v>995</v>
      </c>
      <c r="F1283" s="87"/>
      <c r="G1283" s="94">
        <v>7.6897206E7</v>
      </c>
      <c r="H1283" s="87" t="s">
        <v>998</v>
      </c>
      <c r="I1283" s="87" t="s">
        <v>999</v>
      </c>
    </row>
    <row r="1284">
      <c r="A1284" s="87">
        <v>1305.0</v>
      </c>
      <c r="B1284" s="87" t="s">
        <v>968</v>
      </c>
      <c r="C1284" s="93">
        <v>1.0</v>
      </c>
      <c r="D1284" s="87" t="s">
        <v>275</v>
      </c>
      <c r="E1284" s="87" t="s">
        <v>1000</v>
      </c>
      <c r="F1284" s="87"/>
      <c r="G1284" s="94">
        <v>7.6874265E7</v>
      </c>
      <c r="H1284" s="87" t="s">
        <v>1001</v>
      </c>
      <c r="I1284" s="87" t="s">
        <v>1002</v>
      </c>
    </row>
    <row r="1285">
      <c r="A1285" s="87">
        <v>416.0</v>
      </c>
      <c r="B1285" s="87" t="s">
        <v>348</v>
      </c>
      <c r="C1285" s="93">
        <v>1.0</v>
      </c>
      <c r="D1285" s="87" t="s">
        <v>1003</v>
      </c>
      <c r="E1285" s="87" t="s">
        <v>1004</v>
      </c>
      <c r="F1285" s="87"/>
      <c r="G1285" s="94">
        <v>45259.0</v>
      </c>
      <c r="H1285" s="87"/>
      <c r="I1285" s="87" t="s">
        <v>1005</v>
      </c>
    </row>
    <row r="1286">
      <c r="A1286" s="87">
        <v>826.0</v>
      </c>
      <c r="B1286" s="87" t="s">
        <v>348</v>
      </c>
      <c r="C1286" s="93">
        <v>1.0</v>
      </c>
      <c r="D1286" s="87" t="s">
        <v>1003</v>
      </c>
      <c r="E1286" s="87" t="s">
        <v>1006</v>
      </c>
      <c r="F1286" s="87"/>
      <c r="G1286" s="94"/>
      <c r="H1286" s="87" t="s">
        <v>1007</v>
      </c>
      <c r="I1286" s="87"/>
    </row>
    <row r="1287">
      <c r="A1287" s="87">
        <v>415.0</v>
      </c>
      <c r="B1287" s="87" t="s">
        <v>350</v>
      </c>
      <c r="C1287" s="93">
        <v>1.0</v>
      </c>
      <c r="D1287" s="87" t="s">
        <v>1003</v>
      </c>
      <c r="E1287" s="87" t="s">
        <v>1004</v>
      </c>
      <c r="F1287" s="87"/>
      <c r="G1287" s="94">
        <v>45259.0</v>
      </c>
      <c r="H1287" s="87"/>
      <c r="I1287" s="87" t="s">
        <v>1005</v>
      </c>
    </row>
    <row r="1288">
      <c r="A1288" s="87">
        <v>432.0</v>
      </c>
      <c r="B1288" s="87" t="s">
        <v>350</v>
      </c>
      <c r="C1288" s="93">
        <v>1.0</v>
      </c>
      <c r="D1288" s="87" t="s">
        <v>1003</v>
      </c>
      <c r="E1288" s="87" t="s">
        <v>1008</v>
      </c>
      <c r="F1288" s="87"/>
      <c r="G1288" s="94">
        <v>45259.0</v>
      </c>
      <c r="H1288" s="87"/>
      <c r="I1288" s="87" t="s">
        <v>1005</v>
      </c>
    </row>
    <row r="1289">
      <c r="A1289" s="87">
        <v>828.0</v>
      </c>
      <c r="B1289" s="87" t="s">
        <v>350</v>
      </c>
      <c r="C1289" s="93">
        <v>1.0</v>
      </c>
      <c r="D1289" s="87" t="s">
        <v>1003</v>
      </c>
      <c r="E1289" s="87" t="s">
        <v>1006</v>
      </c>
      <c r="F1289" s="87"/>
      <c r="G1289" s="94"/>
      <c r="H1289" s="87" t="s">
        <v>1007</v>
      </c>
      <c r="I1289" s="87"/>
    </row>
    <row r="1290">
      <c r="A1290" s="87">
        <v>414.0</v>
      </c>
      <c r="B1290" s="87" t="s">
        <v>351</v>
      </c>
      <c r="C1290" s="93">
        <v>1.0</v>
      </c>
      <c r="D1290" s="87" t="s">
        <v>1003</v>
      </c>
      <c r="E1290" s="87" t="s">
        <v>1004</v>
      </c>
      <c r="F1290" s="87"/>
      <c r="G1290" s="94">
        <v>45259.0</v>
      </c>
      <c r="H1290" s="87"/>
      <c r="I1290" s="87" t="s">
        <v>1005</v>
      </c>
    </row>
    <row r="1291">
      <c r="A1291" s="87">
        <v>431.0</v>
      </c>
      <c r="B1291" s="87" t="s">
        <v>351</v>
      </c>
      <c r="C1291" s="93">
        <v>1.0</v>
      </c>
      <c r="D1291" s="87" t="s">
        <v>1003</v>
      </c>
      <c r="E1291" s="87" t="s">
        <v>1008</v>
      </c>
      <c r="F1291" s="87"/>
      <c r="G1291" s="94">
        <v>45259.0</v>
      </c>
      <c r="H1291" s="87"/>
      <c r="I1291" s="87" t="s">
        <v>1005</v>
      </c>
    </row>
    <row r="1292">
      <c r="A1292" s="87">
        <v>827.0</v>
      </c>
      <c r="B1292" s="87" t="s">
        <v>351</v>
      </c>
      <c r="C1292" s="93">
        <v>1.0</v>
      </c>
      <c r="D1292" s="87" t="s">
        <v>1003</v>
      </c>
      <c r="E1292" s="87" t="s">
        <v>1006</v>
      </c>
      <c r="F1292" s="87"/>
      <c r="G1292" s="94"/>
      <c r="H1292" s="87" t="s">
        <v>1007</v>
      </c>
      <c r="I1292" s="87"/>
    </row>
    <row r="1293">
      <c r="A1293" s="87">
        <v>767.0</v>
      </c>
      <c r="B1293" s="87" t="s">
        <v>1009</v>
      </c>
      <c r="C1293" s="93">
        <v>1.0</v>
      </c>
      <c r="D1293" s="87" t="s">
        <v>275</v>
      </c>
      <c r="E1293" s="87" t="s">
        <v>18</v>
      </c>
      <c r="F1293" s="87"/>
      <c r="G1293" s="94"/>
      <c r="H1293" s="87"/>
      <c r="I1293" s="87"/>
    </row>
    <row r="1294">
      <c r="A1294" s="87">
        <v>103.0</v>
      </c>
      <c r="B1294" s="87" t="s">
        <v>1010</v>
      </c>
      <c r="C1294" s="93">
        <v>1.0</v>
      </c>
      <c r="D1294" s="87"/>
      <c r="E1294" s="87" t="s">
        <v>83</v>
      </c>
      <c r="F1294" s="87"/>
      <c r="G1294" s="94">
        <v>1.3947702E7</v>
      </c>
      <c r="H1294" s="87"/>
      <c r="I1294" s="87"/>
    </row>
    <row r="1295">
      <c r="A1295" s="87">
        <v>104.0</v>
      </c>
      <c r="B1295" s="87" t="s">
        <v>1011</v>
      </c>
      <c r="C1295" s="93">
        <v>1.0</v>
      </c>
      <c r="D1295" s="87" t="s">
        <v>39</v>
      </c>
      <c r="E1295" s="87" t="s">
        <v>253</v>
      </c>
      <c r="F1295" s="87"/>
      <c r="G1295" s="94">
        <v>4.021177E7</v>
      </c>
      <c r="H1295" s="87"/>
      <c r="I1295" s="87" t="s">
        <v>1012</v>
      </c>
    </row>
    <row r="1296">
      <c r="A1296" s="87">
        <v>105.0</v>
      </c>
      <c r="B1296" s="87" t="s">
        <v>1011</v>
      </c>
      <c r="C1296" s="93">
        <v>1.0</v>
      </c>
      <c r="D1296" s="87" t="s">
        <v>39</v>
      </c>
      <c r="E1296" s="87" t="s">
        <v>253</v>
      </c>
      <c r="F1296" s="87"/>
      <c r="G1296" s="94">
        <v>4.0211789E7</v>
      </c>
      <c r="H1296" s="87"/>
      <c r="I1296" s="87" t="s">
        <v>1012</v>
      </c>
    </row>
    <row r="1297">
      <c r="A1297" s="87">
        <v>106.0</v>
      </c>
      <c r="B1297" s="87" t="s">
        <v>1011</v>
      </c>
      <c r="C1297" s="93">
        <v>1.0</v>
      </c>
      <c r="D1297" s="87" t="s">
        <v>39</v>
      </c>
      <c r="E1297" s="87" t="s">
        <v>83</v>
      </c>
      <c r="F1297" s="87"/>
      <c r="G1297" s="94">
        <v>4.0211797E7</v>
      </c>
      <c r="H1297" s="87"/>
      <c r="I1297" s="87" t="s">
        <v>1013</v>
      </c>
    </row>
    <row r="1298">
      <c r="A1298" s="87">
        <v>107.0</v>
      </c>
      <c r="B1298" s="87" t="s">
        <v>1011</v>
      </c>
      <c r="C1298" s="93">
        <v>1.0</v>
      </c>
      <c r="D1298" s="87" t="s">
        <v>39</v>
      </c>
      <c r="E1298" s="87" t="s">
        <v>253</v>
      </c>
      <c r="F1298" s="87"/>
      <c r="G1298" s="94">
        <v>4.02118E7</v>
      </c>
      <c r="H1298" s="87"/>
      <c r="I1298" s="87" t="s">
        <v>1012</v>
      </c>
    </row>
    <row r="1299">
      <c r="A1299" s="87">
        <v>672.0</v>
      </c>
      <c r="B1299" s="87" t="s">
        <v>1011</v>
      </c>
      <c r="C1299" s="93">
        <v>1.0</v>
      </c>
      <c r="D1299" s="87" t="s">
        <v>39</v>
      </c>
      <c r="E1299" s="87" t="s">
        <v>253</v>
      </c>
      <c r="F1299" s="87"/>
      <c r="G1299" s="94">
        <v>7.6715221E7</v>
      </c>
      <c r="H1299" s="87"/>
      <c r="I1299" s="87" t="s">
        <v>983</v>
      </c>
    </row>
    <row r="1300">
      <c r="A1300" s="87">
        <v>981.0</v>
      </c>
      <c r="B1300" s="87" t="s">
        <v>1011</v>
      </c>
      <c r="C1300" s="93">
        <v>1.0</v>
      </c>
      <c r="D1300" s="87" t="s">
        <v>39</v>
      </c>
      <c r="E1300" s="87" t="s">
        <v>253</v>
      </c>
      <c r="F1300" s="87"/>
      <c r="G1300" s="94">
        <v>7.6715191E7</v>
      </c>
      <c r="H1300" s="87"/>
      <c r="I1300" s="87" t="s">
        <v>1014</v>
      </c>
    </row>
    <row r="1301">
      <c r="A1301" s="87">
        <v>616.0</v>
      </c>
      <c r="B1301" s="87" t="s">
        <v>631</v>
      </c>
      <c r="C1301" s="93">
        <v>1.0</v>
      </c>
      <c r="D1301" s="87" t="s">
        <v>39</v>
      </c>
      <c r="E1301" s="87" t="s">
        <v>245</v>
      </c>
      <c r="F1301" s="87"/>
      <c r="G1301" s="94">
        <v>4.0109909E7</v>
      </c>
      <c r="H1301" s="87"/>
      <c r="I1301" s="87" t="s">
        <v>1015</v>
      </c>
    </row>
    <row r="1302">
      <c r="A1302" s="87">
        <v>675.0</v>
      </c>
      <c r="B1302" s="87" t="s">
        <v>631</v>
      </c>
      <c r="C1302" s="93">
        <v>1.0</v>
      </c>
      <c r="D1302" s="87" t="s">
        <v>39</v>
      </c>
      <c r="E1302" s="87" t="s">
        <v>253</v>
      </c>
      <c r="F1302" s="87"/>
      <c r="G1302" s="94">
        <v>1.3848992E7</v>
      </c>
      <c r="H1302" s="87"/>
      <c r="I1302" s="87" t="s">
        <v>1016</v>
      </c>
    </row>
    <row r="1303">
      <c r="A1303" s="87">
        <v>583.0</v>
      </c>
      <c r="B1303" s="87" t="s">
        <v>631</v>
      </c>
      <c r="C1303" s="93">
        <v>1.0</v>
      </c>
      <c r="D1303" s="87" t="s">
        <v>39</v>
      </c>
      <c r="E1303" s="87" t="s">
        <v>763</v>
      </c>
      <c r="F1303" s="87"/>
      <c r="G1303" s="94"/>
      <c r="H1303" s="87"/>
      <c r="I1303" s="87" t="s">
        <v>1017</v>
      </c>
    </row>
    <row r="1304">
      <c r="A1304" s="87">
        <v>587.0</v>
      </c>
      <c r="B1304" s="87" t="s">
        <v>631</v>
      </c>
      <c r="C1304" s="93">
        <v>1.0</v>
      </c>
      <c r="D1304" s="87" t="s">
        <v>39</v>
      </c>
      <c r="E1304" s="87" t="s">
        <v>1018</v>
      </c>
      <c r="F1304" s="87"/>
      <c r="G1304" s="94">
        <v>45628.0</v>
      </c>
      <c r="H1304" s="87"/>
      <c r="I1304" s="87" t="s">
        <v>1019</v>
      </c>
    </row>
    <row r="1305">
      <c r="A1305" s="87">
        <v>692.0</v>
      </c>
      <c r="B1305" s="87" t="s">
        <v>631</v>
      </c>
      <c r="C1305" s="93">
        <v>1.0</v>
      </c>
      <c r="D1305" s="87" t="s">
        <v>39</v>
      </c>
      <c r="E1305" s="87" t="s">
        <v>1020</v>
      </c>
      <c r="F1305" s="87"/>
      <c r="G1305" s="94"/>
      <c r="H1305" s="87"/>
      <c r="I1305" s="87" t="s">
        <v>1019</v>
      </c>
    </row>
    <row r="1306">
      <c r="A1306" s="87">
        <v>735.0</v>
      </c>
      <c r="B1306" s="87" t="s">
        <v>631</v>
      </c>
      <c r="C1306" s="93">
        <v>1.0</v>
      </c>
      <c r="D1306" s="87" t="s">
        <v>39</v>
      </c>
      <c r="E1306" s="87" t="s">
        <v>664</v>
      </c>
      <c r="F1306" s="87"/>
      <c r="G1306" s="94"/>
      <c r="H1306" s="87"/>
      <c r="I1306" s="87" t="s">
        <v>1019</v>
      </c>
    </row>
    <row r="1307">
      <c r="A1307" s="87">
        <v>1524.0</v>
      </c>
      <c r="B1307" s="87" t="s">
        <v>1021</v>
      </c>
      <c r="C1307" s="93">
        <v>1.0</v>
      </c>
      <c r="D1307" s="87" t="s">
        <v>39</v>
      </c>
      <c r="E1307" s="87" t="s">
        <v>72</v>
      </c>
      <c r="F1307" s="87"/>
      <c r="G1307" s="94">
        <v>7.6931153E7</v>
      </c>
      <c r="H1307" s="87"/>
      <c r="I1307" s="87"/>
    </row>
    <row r="1308">
      <c r="A1308" s="87">
        <v>1525.0</v>
      </c>
      <c r="B1308" s="87" t="s">
        <v>1022</v>
      </c>
      <c r="C1308" s="93">
        <v>1.0</v>
      </c>
      <c r="D1308" s="87" t="s">
        <v>39</v>
      </c>
      <c r="E1308" s="87" t="s">
        <v>72</v>
      </c>
      <c r="F1308" s="87"/>
      <c r="G1308" s="94">
        <v>7.6931161E7</v>
      </c>
      <c r="H1308" s="87"/>
      <c r="I1308" s="87" t="s">
        <v>1023</v>
      </c>
    </row>
    <row r="1309">
      <c r="A1309" s="87">
        <v>1227.0</v>
      </c>
      <c r="B1309" s="87" t="s">
        <v>1024</v>
      </c>
      <c r="C1309" s="93">
        <v>1.0</v>
      </c>
      <c r="D1309" s="87" t="s">
        <v>39</v>
      </c>
      <c r="E1309" s="87" t="s">
        <v>258</v>
      </c>
      <c r="F1309" s="87"/>
      <c r="G1309" s="94"/>
      <c r="H1309" s="87"/>
      <c r="I1309" s="87"/>
    </row>
    <row r="1310">
      <c r="A1310" s="87">
        <v>1229.0</v>
      </c>
      <c r="B1310" s="87" t="s">
        <v>1025</v>
      </c>
      <c r="C1310" s="93">
        <v>1.0</v>
      </c>
      <c r="D1310" s="87" t="s">
        <v>39</v>
      </c>
      <c r="E1310" s="87" t="s">
        <v>245</v>
      </c>
      <c r="F1310" s="87"/>
      <c r="G1310" s="94"/>
      <c r="H1310" s="87" t="s">
        <v>1026</v>
      </c>
      <c r="I1310" s="87"/>
    </row>
    <row r="1311">
      <c r="A1311" s="87">
        <v>108.0</v>
      </c>
      <c r="B1311" s="87" t="s">
        <v>236</v>
      </c>
      <c r="C1311" s="93">
        <v>1.0</v>
      </c>
      <c r="D1311" s="87" t="s">
        <v>39</v>
      </c>
      <c r="E1311" s="87" t="s">
        <v>83</v>
      </c>
      <c r="F1311" s="87"/>
      <c r="G1311" s="94">
        <v>7.6702073E7</v>
      </c>
      <c r="H1311" s="87"/>
      <c r="I1311" s="87" t="s">
        <v>1027</v>
      </c>
    </row>
    <row r="1312">
      <c r="A1312" s="87">
        <v>109.0</v>
      </c>
      <c r="B1312" s="87" t="s">
        <v>236</v>
      </c>
      <c r="C1312" s="93">
        <v>1.0</v>
      </c>
      <c r="D1312" s="87" t="s">
        <v>39</v>
      </c>
      <c r="E1312" s="87" t="s">
        <v>83</v>
      </c>
      <c r="F1312" s="87"/>
      <c r="G1312" s="94">
        <v>7.6702081E7</v>
      </c>
      <c r="H1312" s="87"/>
      <c r="I1312" s="87" t="s">
        <v>1028</v>
      </c>
    </row>
    <row r="1313">
      <c r="A1313" s="87">
        <v>110.0</v>
      </c>
      <c r="B1313" s="87" t="s">
        <v>236</v>
      </c>
      <c r="C1313" s="93">
        <v>1.0</v>
      </c>
      <c r="D1313" s="87" t="s">
        <v>39</v>
      </c>
      <c r="E1313" s="87" t="s">
        <v>83</v>
      </c>
      <c r="F1313" s="87"/>
      <c r="G1313" s="94">
        <v>7.670209E7</v>
      </c>
      <c r="H1313" s="87"/>
      <c r="I1313" s="87" t="s">
        <v>1028</v>
      </c>
    </row>
    <row r="1314">
      <c r="A1314" s="87">
        <v>111.0</v>
      </c>
      <c r="B1314" s="87" t="s">
        <v>236</v>
      </c>
      <c r="C1314" s="93">
        <v>1.0</v>
      </c>
      <c r="D1314" s="87" t="s">
        <v>39</v>
      </c>
      <c r="E1314" s="87" t="s">
        <v>83</v>
      </c>
      <c r="F1314" s="87"/>
      <c r="G1314" s="94">
        <v>7.6702103E7</v>
      </c>
      <c r="H1314" s="87"/>
      <c r="I1314" s="87" t="s">
        <v>1028</v>
      </c>
    </row>
    <row r="1315">
      <c r="A1315" s="87">
        <v>112.0</v>
      </c>
      <c r="B1315" s="87" t="s">
        <v>236</v>
      </c>
      <c r="C1315" s="93">
        <v>1.0</v>
      </c>
      <c r="D1315" s="87" t="s">
        <v>39</v>
      </c>
      <c r="E1315" s="87" t="s">
        <v>83</v>
      </c>
      <c r="F1315" s="87"/>
      <c r="G1315" s="94">
        <v>7.6702111E7</v>
      </c>
      <c r="H1315" s="87"/>
      <c r="I1315" s="87" t="s">
        <v>1029</v>
      </c>
    </row>
    <row r="1316">
      <c r="A1316" s="87">
        <v>986.0</v>
      </c>
      <c r="B1316" s="87" t="s">
        <v>236</v>
      </c>
      <c r="C1316" s="93">
        <v>1.0</v>
      </c>
      <c r="D1316" s="87" t="s">
        <v>39</v>
      </c>
      <c r="E1316" s="87" t="s">
        <v>258</v>
      </c>
      <c r="F1316" s="87"/>
      <c r="G1316" s="94">
        <v>7.6715493E7</v>
      </c>
      <c r="H1316" s="87"/>
      <c r="I1316" s="87" t="s">
        <v>1030</v>
      </c>
    </row>
    <row r="1317">
      <c r="A1317" s="87">
        <v>1656.0</v>
      </c>
      <c r="B1317" s="87" t="s">
        <v>236</v>
      </c>
      <c r="C1317" s="93">
        <v>1.0</v>
      </c>
      <c r="D1317" s="87" t="s">
        <v>39</v>
      </c>
      <c r="E1317" s="87" t="s">
        <v>83</v>
      </c>
      <c r="F1317" s="87"/>
      <c r="G1317" s="94">
        <v>7.700171E7</v>
      </c>
      <c r="H1317" s="87"/>
      <c r="I1317" s="87"/>
    </row>
    <row r="1318">
      <c r="A1318" s="87">
        <v>1657.0</v>
      </c>
      <c r="B1318" s="87" t="s">
        <v>236</v>
      </c>
      <c r="C1318" s="93">
        <v>1.0</v>
      </c>
      <c r="D1318" s="87" t="s">
        <v>39</v>
      </c>
      <c r="E1318" s="87" t="s">
        <v>83</v>
      </c>
      <c r="F1318" s="87"/>
      <c r="G1318" s="94">
        <v>7.7001729E7</v>
      </c>
      <c r="H1318" s="87"/>
      <c r="I1318" s="87"/>
    </row>
    <row r="1319">
      <c r="A1319" s="87">
        <v>645.0</v>
      </c>
      <c r="B1319" s="87" t="s">
        <v>1031</v>
      </c>
      <c r="C1319" s="93">
        <v>2.0</v>
      </c>
      <c r="D1319" s="87" t="s">
        <v>39</v>
      </c>
      <c r="E1319" s="87" t="s">
        <v>1032</v>
      </c>
      <c r="F1319" s="87"/>
      <c r="G1319" s="94"/>
      <c r="H1319" s="87"/>
      <c r="I1319" s="87" t="s">
        <v>1033</v>
      </c>
    </row>
    <row r="1320">
      <c r="A1320" s="87">
        <v>580.0</v>
      </c>
      <c r="B1320" s="87" t="s">
        <v>1034</v>
      </c>
      <c r="C1320" s="93">
        <v>1.0</v>
      </c>
      <c r="D1320" s="87" t="s">
        <v>39</v>
      </c>
      <c r="E1320" s="87" t="s">
        <v>763</v>
      </c>
      <c r="F1320" s="87"/>
      <c r="G1320" s="94"/>
      <c r="H1320" s="87"/>
      <c r="I1320" s="87" t="s">
        <v>1035</v>
      </c>
    </row>
    <row r="1321">
      <c r="A1321" s="87">
        <v>581.0</v>
      </c>
      <c r="B1321" s="87" t="s">
        <v>1034</v>
      </c>
      <c r="C1321" s="93">
        <v>1.0</v>
      </c>
      <c r="D1321" s="87" t="s">
        <v>39</v>
      </c>
      <c r="E1321" s="87" t="s">
        <v>763</v>
      </c>
      <c r="F1321" s="87"/>
      <c r="G1321" s="94"/>
      <c r="H1321" s="87"/>
      <c r="I1321" s="87" t="s">
        <v>1036</v>
      </c>
    </row>
    <row r="1322">
      <c r="A1322" s="87">
        <v>588.0</v>
      </c>
      <c r="B1322" s="87" t="s">
        <v>1034</v>
      </c>
      <c r="C1322" s="93">
        <v>1.0</v>
      </c>
      <c r="D1322" s="87" t="s">
        <v>39</v>
      </c>
      <c r="E1322" s="87" t="s">
        <v>1018</v>
      </c>
      <c r="F1322" s="87"/>
      <c r="G1322" s="94">
        <v>45628.0</v>
      </c>
      <c r="H1322" s="87"/>
      <c r="I1322" s="87" t="s">
        <v>1037</v>
      </c>
    </row>
    <row r="1323">
      <c r="A1323" s="87">
        <v>589.0</v>
      </c>
      <c r="B1323" s="87" t="s">
        <v>1034</v>
      </c>
      <c r="C1323" s="93">
        <v>1.0</v>
      </c>
      <c r="D1323" s="87" t="s">
        <v>39</v>
      </c>
      <c r="E1323" s="87" t="s">
        <v>1018</v>
      </c>
      <c r="F1323" s="87"/>
      <c r="G1323" s="94">
        <v>45628.0</v>
      </c>
      <c r="H1323" s="87"/>
      <c r="I1323" s="87" t="s">
        <v>1038</v>
      </c>
    </row>
    <row r="1324">
      <c r="A1324" s="87">
        <v>590.0</v>
      </c>
      <c r="B1324" s="87" t="s">
        <v>1034</v>
      </c>
      <c r="C1324" s="93">
        <v>1.0</v>
      </c>
      <c r="D1324" s="87" t="s">
        <v>39</v>
      </c>
      <c r="E1324" s="87" t="s">
        <v>1018</v>
      </c>
      <c r="F1324" s="87"/>
      <c r="G1324" s="94">
        <v>45628.0</v>
      </c>
      <c r="H1324" s="87"/>
      <c r="I1324" s="87" t="s">
        <v>1039</v>
      </c>
    </row>
    <row r="1325">
      <c r="A1325" s="87">
        <v>621.0</v>
      </c>
      <c r="B1325" s="87" t="s">
        <v>1034</v>
      </c>
      <c r="C1325" s="93">
        <v>1.0</v>
      </c>
      <c r="D1325" s="87" t="s">
        <v>39</v>
      </c>
      <c r="E1325" s="87" t="s">
        <v>258</v>
      </c>
      <c r="F1325" s="87"/>
      <c r="G1325" s="94"/>
      <c r="H1325" s="87"/>
      <c r="I1325" s="87" t="s">
        <v>1040</v>
      </c>
    </row>
    <row r="1326">
      <c r="A1326" s="87">
        <v>622.0</v>
      </c>
      <c r="B1326" s="87" t="s">
        <v>1034</v>
      </c>
      <c r="C1326" s="93">
        <v>1.0</v>
      </c>
      <c r="D1326" s="87" t="s">
        <v>39</v>
      </c>
      <c r="E1326" s="87" t="s">
        <v>258</v>
      </c>
      <c r="F1326" s="87"/>
      <c r="G1326" s="94"/>
      <c r="H1326" s="87"/>
      <c r="I1326" s="87" t="s">
        <v>1041</v>
      </c>
    </row>
    <row r="1327">
      <c r="A1327" s="87">
        <v>736.0</v>
      </c>
      <c r="B1327" s="87" t="s">
        <v>1034</v>
      </c>
      <c r="C1327" s="93">
        <v>1.0</v>
      </c>
      <c r="D1327" s="87" t="s">
        <v>39</v>
      </c>
      <c r="E1327" s="87" t="s">
        <v>664</v>
      </c>
      <c r="F1327" s="87"/>
      <c r="G1327" s="94"/>
      <c r="H1327" s="87"/>
      <c r="I1327" s="87" t="s">
        <v>1042</v>
      </c>
    </row>
    <row r="1328">
      <c r="A1328" s="87">
        <v>737.0</v>
      </c>
      <c r="B1328" s="87" t="s">
        <v>1034</v>
      </c>
      <c r="C1328" s="93">
        <v>1.0</v>
      </c>
      <c r="D1328" s="87" t="s">
        <v>39</v>
      </c>
      <c r="E1328" s="87" t="s">
        <v>664</v>
      </c>
      <c r="F1328" s="87"/>
      <c r="G1328" s="94"/>
      <c r="H1328" s="87"/>
      <c r="I1328" s="87" t="s">
        <v>1043</v>
      </c>
    </row>
    <row r="1329">
      <c r="A1329" s="87">
        <v>1225.0</v>
      </c>
      <c r="B1329" s="87" t="s">
        <v>1041</v>
      </c>
      <c r="C1329" s="93">
        <v>1.0</v>
      </c>
      <c r="D1329" s="87" t="s">
        <v>39</v>
      </c>
      <c r="E1329" s="87" t="s">
        <v>258</v>
      </c>
      <c r="F1329" s="87"/>
      <c r="G1329" s="94"/>
      <c r="H1329" s="87"/>
      <c r="I1329" s="87"/>
    </row>
    <row r="1330">
      <c r="A1330" s="87">
        <v>1231.0</v>
      </c>
      <c r="B1330" s="87" t="s">
        <v>1044</v>
      </c>
      <c r="C1330" s="93">
        <v>1.0</v>
      </c>
      <c r="D1330" s="87" t="s">
        <v>39</v>
      </c>
      <c r="E1330" s="87" t="s">
        <v>245</v>
      </c>
      <c r="F1330" s="87"/>
      <c r="G1330" s="94"/>
      <c r="H1330" s="87"/>
      <c r="I1330" s="87"/>
    </row>
    <row r="1331">
      <c r="A1331" s="87">
        <v>113.0</v>
      </c>
      <c r="B1331" s="87" t="s">
        <v>257</v>
      </c>
      <c r="C1331" s="93">
        <v>1.0</v>
      </c>
      <c r="D1331" s="87"/>
      <c r="E1331" s="87" t="s">
        <v>83</v>
      </c>
      <c r="F1331" s="87"/>
      <c r="G1331" s="94">
        <v>1.3930087E7</v>
      </c>
      <c r="H1331" s="87"/>
      <c r="I1331" s="87"/>
    </row>
    <row r="1332">
      <c r="A1332" s="87">
        <v>527.0</v>
      </c>
      <c r="B1332" s="87" t="s">
        <v>1045</v>
      </c>
      <c r="C1332" s="93">
        <v>1.0</v>
      </c>
      <c r="D1332" s="87" t="s">
        <v>39</v>
      </c>
      <c r="E1332" s="87" t="s">
        <v>1046</v>
      </c>
      <c r="F1332" s="87"/>
      <c r="G1332" s="94">
        <v>1.3894986E7</v>
      </c>
      <c r="H1332" s="87"/>
      <c r="I1332" s="87"/>
    </row>
    <row r="1333">
      <c r="A1333" s="87">
        <v>114.0</v>
      </c>
      <c r="B1333" s="87" t="s">
        <v>260</v>
      </c>
      <c r="C1333" s="93">
        <v>1.0</v>
      </c>
      <c r="D1333" s="87" t="s">
        <v>39</v>
      </c>
      <c r="E1333" s="87" t="s">
        <v>83</v>
      </c>
      <c r="F1333" s="87"/>
      <c r="G1333" s="94">
        <v>3525082.0</v>
      </c>
      <c r="H1333" s="87"/>
      <c r="I1333" s="87" t="s">
        <v>1047</v>
      </c>
    </row>
    <row r="1334">
      <c r="A1334" s="87">
        <v>115.0</v>
      </c>
      <c r="B1334" s="87" t="s">
        <v>261</v>
      </c>
      <c r="C1334" s="93">
        <v>1.0</v>
      </c>
      <c r="D1334" s="87"/>
      <c r="E1334" s="87" t="s">
        <v>83</v>
      </c>
      <c r="F1334" s="87"/>
      <c r="G1334" s="94">
        <v>3.1598803E7</v>
      </c>
      <c r="H1334" s="87"/>
      <c r="I1334" s="87"/>
    </row>
    <row r="1335">
      <c r="A1335" s="87">
        <v>691.0</v>
      </c>
      <c r="B1335" s="87" t="s">
        <v>261</v>
      </c>
      <c r="C1335" s="93">
        <v>1.0</v>
      </c>
      <c r="D1335" s="87" t="s">
        <v>39</v>
      </c>
      <c r="E1335" s="87" t="s">
        <v>763</v>
      </c>
      <c r="F1335" s="87"/>
      <c r="G1335" s="94">
        <v>1.4006057E7</v>
      </c>
      <c r="H1335" s="87"/>
      <c r="I1335" s="87"/>
    </row>
    <row r="1336">
      <c r="A1336" s="87">
        <v>741.0</v>
      </c>
      <c r="B1336" s="87" t="s">
        <v>261</v>
      </c>
      <c r="C1336" s="93">
        <v>1.0</v>
      </c>
      <c r="D1336" s="87" t="s">
        <v>39</v>
      </c>
      <c r="E1336" s="87" t="s">
        <v>1046</v>
      </c>
      <c r="F1336" s="87"/>
      <c r="G1336" s="94">
        <v>5.7284164E7</v>
      </c>
      <c r="H1336" s="87"/>
      <c r="I1336" s="87"/>
    </row>
    <row r="1337">
      <c r="A1337" s="87">
        <v>908.0</v>
      </c>
      <c r="B1337" s="87" t="s">
        <v>261</v>
      </c>
      <c r="C1337" s="93">
        <v>1.0</v>
      </c>
      <c r="D1337" s="87" t="s">
        <v>39</v>
      </c>
      <c r="E1337" s="87" t="s">
        <v>1018</v>
      </c>
      <c r="F1337" s="87"/>
      <c r="G1337" s="94">
        <v>5.3516516E7</v>
      </c>
      <c r="H1337" s="87"/>
      <c r="I1337" s="87"/>
    </row>
    <row r="1338">
      <c r="A1338" s="87">
        <v>116.0</v>
      </c>
      <c r="B1338" s="87" t="s">
        <v>262</v>
      </c>
      <c r="C1338" s="93">
        <v>1.0</v>
      </c>
      <c r="D1338" s="87"/>
      <c r="E1338" s="87" t="s">
        <v>83</v>
      </c>
      <c r="F1338" s="87"/>
      <c r="G1338" s="94">
        <v>1.106666E7</v>
      </c>
      <c r="H1338" s="87"/>
      <c r="I1338" s="87"/>
    </row>
    <row r="1339">
      <c r="A1339" s="87">
        <v>117.0</v>
      </c>
      <c r="B1339" s="87" t="s">
        <v>262</v>
      </c>
      <c r="C1339" s="93">
        <v>1.0</v>
      </c>
      <c r="D1339" s="87"/>
      <c r="E1339" s="87" t="s">
        <v>83</v>
      </c>
      <c r="F1339" s="87"/>
      <c r="G1339" s="94">
        <v>1.106823E7</v>
      </c>
      <c r="H1339" s="87"/>
      <c r="I1339" s="87"/>
    </row>
    <row r="1340">
      <c r="A1340" s="87">
        <v>118.0</v>
      </c>
      <c r="B1340" s="87" t="s">
        <v>262</v>
      </c>
      <c r="C1340" s="93">
        <v>1.0</v>
      </c>
      <c r="D1340" s="87"/>
      <c r="E1340" s="87" t="s">
        <v>83</v>
      </c>
      <c r="F1340" s="87"/>
      <c r="G1340" s="94">
        <v>3400557.0</v>
      </c>
      <c r="H1340" s="87"/>
      <c r="I1340" s="87"/>
    </row>
    <row r="1341">
      <c r="A1341" s="87">
        <v>119.0</v>
      </c>
      <c r="B1341" s="87" t="s">
        <v>262</v>
      </c>
      <c r="C1341" s="93">
        <v>1.0</v>
      </c>
      <c r="D1341" s="87"/>
      <c r="E1341" s="87" t="s">
        <v>83</v>
      </c>
      <c r="F1341" s="87"/>
      <c r="G1341" s="94">
        <v>3526810.0</v>
      </c>
      <c r="H1341" s="87"/>
      <c r="I1341" s="87"/>
    </row>
    <row r="1342">
      <c r="A1342" s="87">
        <v>120.0</v>
      </c>
      <c r="B1342" s="87" t="s">
        <v>262</v>
      </c>
      <c r="C1342" s="93">
        <v>1.0</v>
      </c>
      <c r="D1342" s="87" t="s">
        <v>39</v>
      </c>
      <c r="E1342" s="87" t="s">
        <v>83</v>
      </c>
      <c r="F1342" s="87"/>
      <c r="G1342" s="94">
        <v>4255909.0</v>
      </c>
      <c r="H1342" s="87"/>
      <c r="I1342" s="87" t="s">
        <v>1048</v>
      </c>
    </row>
    <row r="1343">
      <c r="A1343" s="87">
        <v>121.0</v>
      </c>
      <c r="B1343" s="87" t="s">
        <v>262</v>
      </c>
      <c r="C1343" s="93">
        <v>1.0</v>
      </c>
      <c r="D1343" s="87"/>
      <c r="E1343" s="87" t="s">
        <v>83</v>
      </c>
      <c r="F1343" s="87"/>
      <c r="G1343" s="94">
        <v>674583.0</v>
      </c>
      <c r="H1343" s="87"/>
      <c r="I1343" s="87"/>
    </row>
    <row r="1344">
      <c r="A1344" s="87">
        <v>673.0</v>
      </c>
      <c r="B1344" s="87" t="s">
        <v>262</v>
      </c>
      <c r="C1344" s="93">
        <v>1.0</v>
      </c>
      <c r="D1344" s="87" t="s">
        <v>39</v>
      </c>
      <c r="E1344" s="87" t="s">
        <v>1020</v>
      </c>
      <c r="F1344" s="87"/>
      <c r="G1344" s="94">
        <v>1.2190268E7</v>
      </c>
      <c r="H1344" s="87"/>
      <c r="I1344" s="87"/>
    </row>
    <row r="1345">
      <c r="A1345" s="87">
        <v>122.0</v>
      </c>
      <c r="B1345" s="87" t="s">
        <v>263</v>
      </c>
      <c r="C1345" s="93">
        <v>1.0</v>
      </c>
      <c r="D1345" s="87"/>
      <c r="E1345" s="87" t="s">
        <v>83</v>
      </c>
      <c r="F1345" s="87"/>
      <c r="G1345" s="94">
        <v>1.0920366E7</v>
      </c>
      <c r="H1345" s="87"/>
      <c r="I1345" s="87"/>
    </row>
    <row r="1346">
      <c r="A1346" s="87">
        <v>707.0</v>
      </c>
      <c r="B1346" s="87" t="s">
        <v>263</v>
      </c>
      <c r="C1346" s="93">
        <v>1.0</v>
      </c>
      <c r="D1346" s="87" t="s">
        <v>39</v>
      </c>
      <c r="E1346" s="87" t="s">
        <v>664</v>
      </c>
      <c r="F1346" s="87"/>
      <c r="G1346" s="94">
        <v>1.4240777E7</v>
      </c>
      <c r="H1346" s="87"/>
      <c r="I1346" s="87" t="s">
        <v>1049</v>
      </c>
    </row>
    <row r="1347">
      <c r="A1347" s="87">
        <v>806.0</v>
      </c>
      <c r="B1347" s="87" t="s">
        <v>264</v>
      </c>
      <c r="C1347" s="93">
        <v>1.0</v>
      </c>
      <c r="D1347" s="87" t="s">
        <v>39</v>
      </c>
      <c r="E1347" s="87" t="s">
        <v>1032</v>
      </c>
      <c r="F1347" s="87"/>
      <c r="G1347" s="94">
        <v>1.3760742E7</v>
      </c>
      <c r="H1347" s="87"/>
      <c r="I1347" s="87"/>
    </row>
    <row r="1348">
      <c r="A1348" s="87">
        <v>577.0</v>
      </c>
      <c r="B1348" s="87" t="s">
        <v>352</v>
      </c>
      <c r="C1348" s="93">
        <v>3.0</v>
      </c>
      <c r="D1348" s="87" t="s">
        <v>39</v>
      </c>
      <c r="E1348" s="87" t="s">
        <v>40</v>
      </c>
      <c r="F1348" s="87"/>
      <c r="G1348" s="94"/>
      <c r="H1348" s="87"/>
      <c r="I1348" s="87"/>
    </row>
    <row r="1349">
      <c r="A1349" s="87">
        <v>123.0</v>
      </c>
      <c r="B1349" s="87" t="s">
        <v>94</v>
      </c>
      <c r="C1349" s="93">
        <v>1.0</v>
      </c>
      <c r="D1349" s="87"/>
      <c r="E1349" s="87" t="s">
        <v>83</v>
      </c>
      <c r="F1349" s="87"/>
      <c r="G1349" s="94">
        <v>4.0358852E7</v>
      </c>
      <c r="H1349" s="87"/>
      <c r="I1349" s="87" t="s">
        <v>1048</v>
      </c>
    </row>
    <row r="1350">
      <c r="A1350" s="87">
        <v>1658.0</v>
      </c>
      <c r="B1350" s="87" t="s">
        <v>94</v>
      </c>
      <c r="C1350" s="93">
        <v>1.0</v>
      </c>
      <c r="D1350" s="87" t="s">
        <v>39</v>
      </c>
      <c r="E1350" s="87" t="s">
        <v>83</v>
      </c>
      <c r="F1350" s="87"/>
      <c r="G1350" s="94">
        <v>7.6918165E7</v>
      </c>
      <c r="H1350" s="87"/>
      <c r="I1350" s="87"/>
    </row>
    <row r="1351">
      <c r="A1351" s="87">
        <v>25.0</v>
      </c>
      <c r="B1351" s="87" t="s">
        <v>757</v>
      </c>
      <c r="C1351" s="93">
        <v>1.0</v>
      </c>
      <c r="D1351" s="87" t="s">
        <v>39</v>
      </c>
      <c r="E1351" s="87" t="s">
        <v>83</v>
      </c>
      <c r="F1351" s="87"/>
      <c r="G1351" s="94">
        <v>7.6740544E7</v>
      </c>
      <c r="H1351" s="87"/>
      <c r="I1351" s="87" t="s">
        <v>1050</v>
      </c>
    </row>
    <row r="1352">
      <c r="A1352" s="87">
        <v>124.0</v>
      </c>
      <c r="B1352" s="87" t="s">
        <v>1051</v>
      </c>
      <c r="C1352" s="93">
        <v>1.0</v>
      </c>
      <c r="D1352" s="87" t="s">
        <v>275</v>
      </c>
      <c r="E1352" s="87" t="s">
        <v>253</v>
      </c>
      <c r="F1352" s="87"/>
      <c r="G1352" s="94">
        <v>1.3927469E7</v>
      </c>
      <c r="H1352" s="87" t="s">
        <v>1052</v>
      </c>
      <c r="I1352" s="87" t="s">
        <v>1053</v>
      </c>
    </row>
    <row r="1353">
      <c r="A1353" s="87">
        <v>436.0</v>
      </c>
      <c r="B1353" s="87" t="s">
        <v>1054</v>
      </c>
      <c r="C1353" s="93">
        <v>1.0</v>
      </c>
      <c r="D1353" s="87" t="s">
        <v>1003</v>
      </c>
      <c r="E1353" s="87" t="s">
        <v>1055</v>
      </c>
      <c r="F1353" s="87"/>
      <c r="G1353" s="94">
        <v>45561.0</v>
      </c>
      <c r="H1353" s="87"/>
      <c r="I1353" s="87"/>
    </row>
    <row r="1354">
      <c r="A1354" s="87">
        <v>125.0</v>
      </c>
      <c r="B1354" s="87" t="s">
        <v>96</v>
      </c>
      <c r="C1354" s="93">
        <v>1.0</v>
      </c>
      <c r="D1354" s="87"/>
      <c r="E1354" s="87" t="s">
        <v>83</v>
      </c>
      <c r="F1354" s="87"/>
      <c r="G1354" s="94">
        <v>1.396738E7</v>
      </c>
      <c r="H1354" s="87"/>
      <c r="I1354" s="87" t="s">
        <v>1056</v>
      </c>
    </row>
    <row r="1355">
      <c r="A1355" s="87">
        <v>126.0</v>
      </c>
      <c r="B1355" s="87" t="s">
        <v>96</v>
      </c>
      <c r="C1355" s="93">
        <v>1.0</v>
      </c>
      <c r="D1355" s="87"/>
      <c r="E1355" s="87" t="s">
        <v>83</v>
      </c>
      <c r="F1355" s="87"/>
      <c r="G1355" s="94">
        <v>1.4063018E7</v>
      </c>
      <c r="H1355" s="87"/>
      <c r="I1355" s="87" t="s">
        <v>1057</v>
      </c>
    </row>
    <row r="1356">
      <c r="A1356" s="87">
        <v>547.0</v>
      </c>
      <c r="B1356" s="87" t="s">
        <v>96</v>
      </c>
      <c r="C1356" s="93">
        <v>1.0</v>
      </c>
      <c r="D1356" s="87" t="s">
        <v>39</v>
      </c>
      <c r="E1356" s="87" t="s">
        <v>253</v>
      </c>
      <c r="F1356" s="87"/>
      <c r="G1356" s="94">
        <v>1.3995987E7</v>
      </c>
      <c r="H1356" s="87"/>
      <c r="I1356" s="87" t="s">
        <v>983</v>
      </c>
    </row>
    <row r="1357">
      <c r="A1357" s="87">
        <v>1650.0</v>
      </c>
      <c r="B1357" s="87" t="s">
        <v>589</v>
      </c>
      <c r="C1357" s="93">
        <v>1.0</v>
      </c>
      <c r="D1357" s="87" t="s">
        <v>39</v>
      </c>
      <c r="E1357" s="87" t="s">
        <v>40</v>
      </c>
      <c r="F1357" s="87"/>
      <c r="G1357" s="94">
        <v>7.6917215E7</v>
      </c>
      <c r="H1357" s="87"/>
      <c r="I1357" s="87"/>
    </row>
    <row r="1358">
      <c r="A1358" s="87">
        <v>1651.0</v>
      </c>
      <c r="B1358" s="87" t="s">
        <v>1058</v>
      </c>
      <c r="C1358" s="93">
        <v>1.0</v>
      </c>
      <c r="D1358" s="87" t="s">
        <v>39</v>
      </c>
      <c r="E1358" s="87" t="s">
        <v>40</v>
      </c>
      <c r="F1358" s="87"/>
      <c r="G1358" s="94">
        <v>7.6917223E7</v>
      </c>
      <c r="H1358" s="87"/>
      <c r="I1358" s="87"/>
    </row>
    <row r="1359">
      <c r="A1359" s="87">
        <v>1652.0</v>
      </c>
      <c r="B1359" s="87" t="s">
        <v>1058</v>
      </c>
      <c r="C1359" s="93">
        <v>1.0</v>
      </c>
      <c r="D1359" s="87" t="s">
        <v>39</v>
      </c>
      <c r="E1359" s="87" t="s">
        <v>40</v>
      </c>
      <c r="F1359" s="87"/>
      <c r="G1359" s="94">
        <v>7.6917231E7</v>
      </c>
      <c r="H1359" s="87"/>
      <c r="I1359" s="87"/>
    </row>
    <row r="1360">
      <c r="A1360" s="87">
        <v>1653.0</v>
      </c>
      <c r="B1360" s="87" t="s">
        <v>1058</v>
      </c>
      <c r="C1360" s="93">
        <v>1.0</v>
      </c>
      <c r="D1360" s="87" t="s">
        <v>39</v>
      </c>
      <c r="E1360" s="87" t="s">
        <v>40</v>
      </c>
      <c r="F1360" s="87"/>
      <c r="G1360" s="94">
        <v>7.691724E7</v>
      </c>
      <c r="H1360" s="87"/>
      <c r="I1360" s="87"/>
    </row>
    <row r="1361">
      <c r="A1361" s="87">
        <v>1040.0</v>
      </c>
      <c r="B1361" s="87" t="s">
        <v>1059</v>
      </c>
      <c r="C1361" s="93">
        <v>1.0</v>
      </c>
      <c r="D1361" s="87" t="s">
        <v>39</v>
      </c>
      <c r="E1361" s="87" t="s">
        <v>253</v>
      </c>
      <c r="F1361" s="87"/>
      <c r="G1361" s="94">
        <v>7.6758125E7</v>
      </c>
      <c r="H1361" s="87"/>
      <c r="I1361" s="87" t="s">
        <v>1060</v>
      </c>
    </row>
    <row r="1362">
      <c r="A1362" s="87">
        <v>1265.0</v>
      </c>
      <c r="B1362" s="87" t="s">
        <v>1061</v>
      </c>
      <c r="C1362" s="93">
        <v>1.0</v>
      </c>
      <c r="D1362" s="87" t="s">
        <v>39</v>
      </c>
      <c r="E1362" s="87" t="s">
        <v>40</v>
      </c>
      <c r="F1362" s="87"/>
      <c r="G1362" s="94"/>
      <c r="H1362" s="87" t="s">
        <v>1062</v>
      </c>
      <c r="I1362" s="87" t="s">
        <v>1063</v>
      </c>
    </row>
    <row r="1363">
      <c r="A1363" s="87">
        <v>1266.0</v>
      </c>
      <c r="B1363" s="87" t="s">
        <v>1061</v>
      </c>
      <c r="C1363" s="93">
        <v>1.0</v>
      </c>
      <c r="D1363" s="87" t="s">
        <v>39</v>
      </c>
      <c r="E1363" s="87" t="s">
        <v>40</v>
      </c>
      <c r="F1363" s="87"/>
      <c r="G1363" s="94"/>
      <c r="H1363" s="87" t="s">
        <v>1064</v>
      </c>
      <c r="I1363" s="87" t="s">
        <v>1063</v>
      </c>
    </row>
    <row r="1364">
      <c r="A1364" s="87">
        <v>1267.0</v>
      </c>
      <c r="B1364" s="87" t="s">
        <v>1061</v>
      </c>
      <c r="C1364" s="93">
        <v>1.0</v>
      </c>
      <c r="D1364" s="87" t="s">
        <v>39</v>
      </c>
      <c r="E1364" s="87" t="s">
        <v>40</v>
      </c>
      <c r="F1364" s="87"/>
      <c r="G1364" s="94"/>
      <c r="H1364" s="87" t="s">
        <v>1065</v>
      </c>
      <c r="I1364" s="87" t="s">
        <v>1063</v>
      </c>
    </row>
    <row r="1365">
      <c r="A1365" s="87">
        <v>831.0</v>
      </c>
      <c r="B1365" s="87" t="s">
        <v>1066</v>
      </c>
      <c r="C1365" s="93">
        <v>2.0</v>
      </c>
      <c r="D1365" s="87" t="s">
        <v>39</v>
      </c>
      <c r="E1365" s="87" t="s">
        <v>25</v>
      </c>
      <c r="F1365" s="87"/>
      <c r="G1365" s="94"/>
      <c r="H1365" s="87"/>
      <c r="I1365" s="87"/>
    </row>
    <row r="1366">
      <c r="A1366" s="87">
        <v>693.0</v>
      </c>
      <c r="B1366" s="87" t="s">
        <v>1067</v>
      </c>
      <c r="C1366" s="93">
        <v>1.0</v>
      </c>
      <c r="D1366" s="87" t="s">
        <v>39</v>
      </c>
      <c r="E1366" s="87" t="s">
        <v>1020</v>
      </c>
      <c r="F1366" s="87"/>
      <c r="G1366" s="94"/>
      <c r="H1366" s="87" t="s">
        <v>1068</v>
      </c>
      <c r="I1366" s="87" t="s">
        <v>1069</v>
      </c>
    </row>
    <row r="1367">
      <c r="A1367" s="87">
        <v>734.0</v>
      </c>
      <c r="B1367" s="87" t="s">
        <v>1067</v>
      </c>
      <c r="C1367" s="93">
        <v>1.0</v>
      </c>
      <c r="D1367" s="87" t="s">
        <v>39</v>
      </c>
      <c r="E1367" s="87" t="s">
        <v>664</v>
      </c>
      <c r="F1367" s="87"/>
      <c r="G1367" s="94"/>
      <c r="H1367" s="87" t="s">
        <v>1068</v>
      </c>
      <c r="I1367" s="87" t="s">
        <v>1069</v>
      </c>
    </row>
    <row r="1368">
      <c r="A1368" s="87">
        <v>127.0</v>
      </c>
      <c r="B1368" s="87" t="s">
        <v>863</v>
      </c>
      <c r="C1368" s="93">
        <v>1.0</v>
      </c>
      <c r="D1368" s="87" t="s">
        <v>39</v>
      </c>
      <c r="E1368" s="87" t="s">
        <v>253</v>
      </c>
      <c r="F1368" s="87"/>
      <c r="G1368" s="94">
        <v>4.0309444E7</v>
      </c>
      <c r="H1368" s="87"/>
      <c r="I1368" s="87" t="s">
        <v>1012</v>
      </c>
    </row>
    <row r="1369">
      <c r="A1369" s="87">
        <v>661.0</v>
      </c>
      <c r="B1369" s="87" t="s">
        <v>863</v>
      </c>
      <c r="C1369" s="93">
        <v>1.0</v>
      </c>
      <c r="D1369" s="87" t="s">
        <v>39</v>
      </c>
      <c r="E1369" s="87" t="s">
        <v>763</v>
      </c>
      <c r="F1369" s="87"/>
      <c r="G1369" s="94">
        <v>4.0309258E7</v>
      </c>
      <c r="H1369" s="87" t="s">
        <v>1070</v>
      </c>
      <c r="I1369" s="87" t="s">
        <v>1071</v>
      </c>
    </row>
    <row r="1370">
      <c r="A1370" s="87">
        <v>890.0</v>
      </c>
      <c r="B1370" s="87" t="s">
        <v>863</v>
      </c>
      <c r="C1370" s="93">
        <v>1.0</v>
      </c>
      <c r="D1370" s="87" t="s">
        <v>39</v>
      </c>
      <c r="E1370" s="87" t="s">
        <v>1072</v>
      </c>
      <c r="F1370" s="87"/>
      <c r="G1370" s="94">
        <v>4.021549E7</v>
      </c>
      <c r="H1370" s="87"/>
      <c r="I1370" s="87"/>
    </row>
    <row r="1371">
      <c r="A1371" s="87">
        <v>128.0</v>
      </c>
      <c r="B1371" s="87" t="s">
        <v>865</v>
      </c>
      <c r="C1371" s="93">
        <v>1.0</v>
      </c>
      <c r="D1371" s="87" t="s">
        <v>39</v>
      </c>
      <c r="E1371" s="87" t="s">
        <v>253</v>
      </c>
      <c r="F1371" s="87"/>
      <c r="G1371" s="94">
        <v>4.0259331E7</v>
      </c>
      <c r="H1371" s="87"/>
      <c r="I1371" s="87" t="s">
        <v>1012</v>
      </c>
    </row>
    <row r="1372">
      <c r="A1372" s="87">
        <v>129.0</v>
      </c>
      <c r="B1372" s="87" t="s">
        <v>865</v>
      </c>
      <c r="C1372" s="93">
        <v>1.0</v>
      </c>
      <c r="D1372" s="87"/>
      <c r="E1372" s="87" t="s">
        <v>83</v>
      </c>
      <c r="F1372" s="87"/>
      <c r="G1372" s="94">
        <v>4.025934E7</v>
      </c>
      <c r="H1372" s="87"/>
      <c r="I1372" s="87" t="s">
        <v>1073</v>
      </c>
    </row>
    <row r="1373">
      <c r="A1373" s="87">
        <v>704.0</v>
      </c>
      <c r="B1373" s="87" t="s">
        <v>865</v>
      </c>
      <c r="C1373" s="93">
        <v>1.0</v>
      </c>
      <c r="D1373" s="87" t="s">
        <v>39</v>
      </c>
      <c r="E1373" s="87" t="s">
        <v>1018</v>
      </c>
      <c r="F1373" s="87"/>
      <c r="G1373" s="94">
        <v>1.4121832E7</v>
      </c>
      <c r="H1373" s="87"/>
      <c r="I1373" s="87"/>
    </row>
    <row r="1374">
      <c r="A1374" s="87">
        <v>1324.0</v>
      </c>
      <c r="B1374" s="87" t="s">
        <v>865</v>
      </c>
      <c r="C1374" s="93">
        <v>1.0</v>
      </c>
      <c r="D1374" s="87" t="s">
        <v>39</v>
      </c>
      <c r="E1374" s="87" t="s">
        <v>83</v>
      </c>
      <c r="F1374" s="87"/>
      <c r="G1374" s="94">
        <v>1.0107498E8</v>
      </c>
      <c r="H1374" s="87"/>
      <c r="I1374" s="87" t="s">
        <v>1074</v>
      </c>
    </row>
    <row r="1375">
      <c r="A1375" s="87">
        <v>180.0</v>
      </c>
      <c r="B1375" s="87" t="s">
        <v>482</v>
      </c>
      <c r="C1375" s="93">
        <v>1.0</v>
      </c>
      <c r="D1375" s="87" t="s">
        <v>275</v>
      </c>
      <c r="E1375" s="87" t="s">
        <v>18</v>
      </c>
      <c r="F1375" s="87"/>
      <c r="G1375" s="94"/>
      <c r="H1375" s="87"/>
      <c r="I1375" s="87"/>
    </row>
    <row r="1376">
      <c r="A1376" s="87">
        <v>430.0</v>
      </c>
      <c r="B1376" s="87" t="s">
        <v>490</v>
      </c>
      <c r="C1376" s="93">
        <v>1.0</v>
      </c>
      <c r="D1376" s="87" t="s">
        <v>1003</v>
      </c>
      <c r="E1376" s="87" t="s">
        <v>1008</v>
      </c>
      <c r="F1376" s="87"/>
      <c r="G1376" s="94">
        <v>45259.0</v>
      </c>
      <c r="H1376" s="87"/>
      <c r="I1376" s="87" t="s">
        <v>1005</v>
      </c>
    </row>
    <row r="1377">
      <c r="A1377" s="87">
        <v>130.0</v>
      </c>
      <c r="B1377" s="87" t="s">
        <v>838</v>
      </c>
      <c r="C1377" s="93">
        <v>1.0</v>
      </c>
      <c r="D1377" s="87" t="s">
        <v>39</v>
      </c>
      <c r="E1377" s="87" t="s">
        <v>253</v>
      </c>
      <c r="F1377" s="87"/>
      <c r="G1377" s="94">
        <v>1.3857819E7</v>
      </c>
      <c r="H1377" s="87"/>
      <c r="I1377" s="87" t="s">
        <v>1012</v>
      </c>
    </row>
    <row r="1378">
      <c r="A1378" s="87">
        <v>131.0</v>
      </c>
      <c r="B1378" s="87" t="s">
        <v>838</v>
      </c>
      <c r="C1378" s="93">
        <v>1.0</v>
      </c>
      <c r="D1378" s="87"/>
      <c r="E1378" s="87" t="s">
        <v>83</v>
      </c>
      <c r="F1378" s="87"/>
      <c r="G1378" s="94">
        <v>1.3954563E7</v>
      </c>
      <c r="H1378" s="87"/>
      <c r="I1378" s="87"/>
    </row>
    <row r="1379">
      <c r="A1379" s="87">
        <v>132.0</v>
      </c>
      <c r="B1379" s="87" t="s">
        <v>838</v>
      </c>
      <c r="C1379" s="93">
        <v>1.0</v>
      </c>
      <c r="D1379" s="87" t="s">
        <v>39</v>
      </c>
      <c r="E1379" s="87" t="s">
        <v>253</v>
      </c>
      <c r="F1379" s="87"/>
      <c r="G1379" s="94">
        <v>1.4142155E7</v>
      </c>
      <c r="H1379" s="87"/>
      <c r="I1379" s="87" t="s">
        <v>1012</v>
      </c>
    </row>
    <row r="1380">
      <c r="A1380" s="87">
        <v>133.0</v>
      </c>
      <c r="B1380" s="87" t="s">
        <v>838</v>
      </c>
      <c r="C1380" s="93">
        <v>1.0</v>
      </c>
      <c r="D1380" s="87"/>
      <c r="E1380" s="87" t="s">
        <v>83</v>
      </c>
      <c r="F1380" s="87"/>
      <c r="G1380" s="94">
        <v>1.4142163E7</v>
      </c>
      <c r="H1380" s="87"/>
      <c r="I1380" s="87"/>
    </row>
    <row r="1381">
      <c r="A1381" s="87">
        <v>134.0</v>
      </c>
      <c r="B1381" s="87" t="s">
        <v>838</v>
      </c>
      <c r="C1381" s="93">
        <v>1.0</v>
      </c>
      <c r="D1381" s="87" t="s">
        <v>39</v>
      </c>
      <c r="E1381" s="87" t="s">
        <v>253</v>
      </c>
      <c r="F1381" s="87"/>
      <c r="G1381" s="94">
        <v>4.0076962E7</v>
      </c>
      <c r="H1381" s="87"/>
      <c r="I1381" s="87" t="s">
        <v>1012</v>
      </c>
    </row>
    <row r="1382">
      <c r="A1382" s="87">
        <v>135.0</v>
      </c>
      <c r="B1382" s="87" t="s">
        <v>838</v>
      </c>
      <c r="C1382" s="93">
        <v>1.0</v>
      </c>
      <c r="D1382" s="87" t="s">
        <v>39</v>
      </c>
      <c r="E1382" s="87" t="s">
        <v>83</v>
      </c>
      <c r="F1382" s="87"/>
      <c r="G1382" s="94">
        <v>7.6730743E7</v>
      </c>
      <c r="H1382" s="87"/>
      <c r="I1382" s="87" t="s">
        <v>1048</v>
      </c>
    </row>
    <row r="1383">
      <c r="A1383" s="87">
        <v>136.0</v>
      </c>
      <c r="B1383" s="87" t="s">
        <v>838</v>
      </c>
      <c r="C1383" s="93">
        <v>1.0</v>
      </c>
      <c r="D1383" s="87" t="s">
        <v>39</v>
      </c>
      <c r="E1383" s="87" t="s">
        <v>83</v>
      </c>
      <c r="F1383" s="87"/>
      <c r="G1383" s="94">
        <v>7.6730751E7</v>
      </c>
      <c r="H1383" s="87"/>
      <c r="I1383" s="87" t="s">
        <v>1048</v>
      </c>
    </row>
    <row r="1384">
      <c r="A1384" s="87">
        <v>137.0</v>
      </c>
      <c r="B1384" s="87" t="s">
        <v>838</v>
      </c>
      <c r="C1384" s="93">
        <v>1.0</v>
      </c>
      <c r="D1384" s="87" t="s">
        <v>39</v>
      </c>
      <c r="E1384" s="87" t="s">
        <v>83</v>
      </c>
      <c r="F1384" s="87"/>
      <c r="G1384" s="94">
        <v>7.673076E7</v>
      </c>
      <c r="H1384" s="87"/>
      <c r="I1384" s="87" t="s">
        <v>1048</v>
      </c>
    </row>
    <row r="1385">
      <c r="A1385" s="87">
        <v>138.0</v>
      </c>
      <c r="B1385" s="87" t="s">
        <v>838</v>
      </c>
      <c r="C1385" s="93">
        <v>1.0</v>
      </c>
      <c r="D1385" s="87" t="s">
        <v>39</v>
      </c>
      <c r="E1385" s="87" t="s">
        <v>83</v>
      </c>
      <c r="F1385" s="87"/>
      <c r="G1385" s="94">
        <v>7.6730778E7</v>
      </c>
      <c r="H1385" s="87"/>
      <c r="I1385" s="87" t="s">
        <v>1048</v>
      </c>
    </row>
    <row r="1386">
      <c r="A1386" s="87">
        <v>139.0</v>
      </c>
      <c r="B1386" s="87" t="s">
        <v>838</v>
      </c>
      <c r="C1386" s="93">
        <v>1.0</v>
      </c>
      <c r="D1386" s="87" t="s">
        <v>39</v>
      </c>
      <c r="E1386" s="87" t="s">
        <v>83</v>
      </c>
      <c r="F1386" s="87"/>
      <c r="G1386" s="94">
        <v>7.6730786E7</v>
      </c>
      <c r="H1386" s="87"/>
      <c r="I1386" s="87" t="s">
        <v>1048</v>
      </c>
    </row>
    <row r="1387">
      <c r="A1387" s="87">
        <v>140.0</v>
      </c>
      <c r="B1387" s="87" t="s">
        <v>838</v>
      </c>
      <c r="C1387" s="93">
        <v>1.0</v>
      </c>
      <c r="D1387" s="87" t="s">
        <v>39</v>
      </c>
      <c r="E1387" s="87" t="s">
        <v>83</v>
      </c>
      <c r="F1387" s="87"/>
      <c r="G1387" s="94">
        <v>7.6730794E7</v>
      </c>
      <c r="H1387" s="87"/>
      <c r="I1387" s="87" t="s">
        <v>1048</v>
      </c>
    </row>
    <row r="1388">
      <c r="A1388" s="87">
        <v>638.0</v>
      </c>
      <c r="B1388" s="87" t="s">
        <v>692</v>
      </c>
      <c r="C1388" s="93">
        <v>2.0</v>
      </c>
      <c r="D1388" s="87" t="s">
        <v>39</v>
      </c>
      <c r="E1388" s="87" t="s">
        <v>1032</v>
      </c>
      <c r="F1388" s="87"/>
      <c r="G1388" s="94"/>
      <c r="H1388" s="87"/>
      <c r="I1388" s="87" t="s">
        <v>1075</v>
      </c>
    </row>
    <row r="1389">
      <c r="A1389" s="87">
        <v>642.0</v>
      </c>
      <c r="B1389" s="87" t="s">
        <v>1076</v>
      </c>
      <c r="C1389" s="93">
        <v>3.0</v>
      </c>
      <c r="D1389" s="87" t="s">
        <v>39</v>
      </c>
      <c r="E1389" s="87" t="s">
        <v>1032</v>
      </c>
      <c r="F1389" s="87"/>
      <c r="G1389" s="94"/>
      <c r="H1389" s="87"/>
      <c r="I1389" s="87"/>
    </row>
    <row r="1390">
      <c r="A1390" s="87">
        <v>47.0</v>
      </c>
      <c r="B1390" s="87" t="s">
        <v>104</v>
      </c>
      <c r="C1390" s="93">
        <v>1.0</v>
      </c>
      <c r="D1390" s="87" t="s">
        <v>39</v>
      </c>
      <c r="E1390" s="87" t="s">
        <v>25</v>
      </c>
      <c r="F1390" s="87"/>
      <c r="G1390" s="94">
        <v>7.6788946E7</v>
      </c>
      <c r="H1390" s="87"/>
      <c r="I1390" s="87"/>
    </row>
    <row r="1391">
      <c r="A1391" s="87">
        <v>141.0</v>
      </c>
      <c r="B1391" s="87" t="s">
        <v>104</v>
      </c>
      <c r="C1391" s="93">
        <v>1.0</v>
      </c>
      <c r="D1391" s="87" t="s">
        <v>39</v>
      </c>
      <c r="E1391" s="87" t="s">
        <v>83</v>
      </c>
      <c r="F1391" s="87"/>
      <c r="G1391" s="94">
        <v>1.3884816E7</v>
      </c>
      <c r="H1391" s="87"/>
      <c r="I1391" s="87" t="s">
        <v>186</v>
      </c>
    </row>
    <row r="1392">
      <c r="A1392" s="87">
        <v>142.0</v>
      </c>
      <c r="B1392" s="87" t="s">
        <v>104</v>
      </c>
      <c r="C1392" s="93">
        <v>1.0</v>
      </c>
      <c r="D1392" s="87" t="s">
        <v>39</v>
      </c>
      <c r="E1392" s="87" t="s">
        <v>83</v>
      </c>
      <c r="F1392" s="87"/>
      <c r="G1392" s="94">
        <v>1.3884824E7</v>
      </c>
      <c r="H1392" s="87"/>
      <c r="I1392" s="87" t="s">
        <v>186</v>
      </c>
    </row>
    <row r="1393">
      <c r="A1393" s="87">
        <v>143.0</v>
      </c>
      <c r="B1393" s="87" t="s">
        <v>104</v>
      </c>
      <c r="C1393" s="93">
        <v>1.0</v>
      </c>
      <c r="D1393" s="87" t="s">
        <v>39</v>
      </c>
      <c r="E1393" s="87" t="s">
        <v>83</v>
      </c>
      <c r="F1393" s="87"/>
      <c r="G1393" s="94">
        <v>1.3884832E7</v>
      </c>
      <c r="H1393" s="87"/>
      <c r="I1393" s="87" t="s">
        <v>186</v>
      </c>
    </row>
    <row r="1394">
      <c r="A1394" s="87">
        <v>144.0</v>
      </c>
      <c r="B1394" s="87" t="s">
        <v>104</v>
      </c>
      <c r="C1394" s="93">
        <v>1.0</v>
      </c>
      <c r="D1394" s="87" t="s">
        <v>39</v>
      </c>
      <c r="E1394" s="87" t="s">
        <v>83</v>
      </c>
      <c r="F1394" s="87"/>
      <c r="G1394" s="94">
        <v>1.388484E7</v>
      </c>
      <c r="H1394" s="87"/>
      <c r="I1394" s="87" t="s">
        <v>186</v>
      </c>
    </row>
    <row r="1395">
      <c r="A1395" s="87">
        <v>145.0</v>
      </c>
      <c r="B1395" s="87" t="s">
        <v>104</v>
      </c>
      <c r="C1395" s="93">
        <v>1.0</v>
      </c>
      <c r="D1395" s="87" t="s">
        <v>39</v>
      </c>
      <c r="E1395" s="87" t="s">
        <v>83</v>
      </c>
      <c r="F1395" s="87"/>
      <c r="G1395" s="94">
        <v>1.3884859E7</v>
      </c>
      <c r="H1395" s="87"/>
      <c r="I1395" s="87" t="s">
        <v>186</v>
      </c>
    </row>
    <row r="1396">
      <c r="A1396" s="87">
        <v>146.0</v>
      </c>
      <c r="B1396" s="87" t="s">
        <v>104</v>
      </c>
      <c r="C1396" s="93">
        <v>1.0</v>
      </c>
      <c r="D1396" s="87" t="s">
        <v>39</v>
      </c>
      <c r="E1396" s="87" t="s">
        <v>83</v>
      </c>
      <c r="F1396" s="87"/>
      <c r="G1396" s="94">
        <v>1.3884867E7</v>
      </c>
      <c r="H1396" s="87"/>
      <c r="I1396" s="87" t="s">
        <v>186</v>
      </c>
    </row>
    <row r="1397">
      <c r="A1397" s="87">
        <v>147.0</v>
      </c>
      <c r="B1397" s="87" t="s">
        <v>104</v>
      </c>
      <c r="C1397" s="93">
        <v>1.0</v>
      </c>
      <c r="D1397" s="87" t="s">
        <v>39</v>
      </c>
      <c r="E1397" s="87" t="s">
        <v>83</v>
      </c>
      <c r="F1397" s="87"/>
      <c r="G1397" s="94">
        <v>1.3884875E7</v>
      </c>
      <c r="H1397" s="87"/>
      <c r="I1397" s="87" t="s">
        <v>186</v>
      </c>
    </row>
    <row r="1398">
      <c r="A1398" s="87">
        <v>148.0</v>
      </c>
      <c r="B1398" s="87" t="s">
        <v>104</v>
      </c>
      <c r="C1398" s="93">
        <v>1.0</v>
      </c>
      <c r="D1398" s="87" t="s">
        <v>275</v>
      </c>
      <c r="E1398" s="87" t="s">
        <v>83</v>
      </c>
      <c r="F1398" s="87"/>
      <c r="G1398" s="94">
        <v>4.0224511E7</v>
      </c>
      <c r="H1398" s="87"/>
      <c r="I1398" s="87" t="s">
        <v>1077</v>
      </c>
    </row>
    <row r="1399">
      <c r="A1399" s="87">
        <v>149.0</v>
      </c>
      <c r="B1399" s="87" t="s">
        <v>104</v>
      </c>
      <c r="C1399" s="93">
        <v>1.0</v>
      </c>
      <c r="D1399" s="87" t="s">
        <v>275</v>
      </c>
      <c r="E1399" s="87" t="s">
        <v>83</v>
      </c>
      <c r="F1399" s="87"/>
      <c r="G1399" s="94">
        <v>4.022452E7</v>
      </c>
      <c r="H1399" s="87"/>
      <c r="I1399" s="87" t="s">
        <v>1077</v>
      </c>
    </row>
    <row r="1400">
      <c r="A1400" s="87">
        <v>150.0</v>
      </c>
      <c r="B1400" s="87" t="s">
        <v>104</v>
      </c>
      <c r="C1400" s="93">
        <v>1.0</v>
      </c>
      <c r="D1400" s="87" t="s">
        <v>39</v>
      </c>
      <c r="E1400" s="87" t="s">
        <v>83</v>
      </c>
      <c r="F1400" s="87"/>
      <c r="G1400" s="94">
        <v>4.0224554E7</v>
      </c>
      <c r="H1400" s="87"/>
      <c r="I1400" s="87" t="s">
        <v>1048</v>
      </c>
    </row>
    <row r="1401">
      <c r="A1401" s="87">
        <v>151.0</v>
      </c>
      <c r="B1401" s="87" t="s">
        <v>104</v>
      </c>
      <c r="C1401" s="93">
        <v>1.0</v>
      </c>
      <c r="D1401" s="87" t="s">
        <v>39</v>
      </c>
      <c r="E1401" s="87" t="s">
        <v>83</v>
      </c>
      <c r="F1401" s="87"/>
      <c r="G1401" s="94">
        <v>4.0224619E7</v>
      </c>
      <c r="H1401" s="87"/>
      <c r="I1401" s="87" t="s">
        <v>1048</v>
      </c>
    </row>
    <row r="1402">
      <c r="A1402" s="87">
        <v>152.0</v>
      </c>
      <c r="B1402" s="87" t="s">
        <v>104</v>
      </c>
      <c r="C1402" s="93">
        <v>1.0</v>
      </c>
      <c r="D1402" s="87" t="s">
        <v>39</v>
      </c>
      <c r="E1402" s="87" t="s">
        <v>83</v>
      </c>
      <c r="F1402" s="87"/>
      <c r="G1402" s="94">
        <v>4.0224635E7</v>
      </c>
      <c r="H1402" s="87"/>
      <c r="I1402" s="87" t="s">
        <v>1048</v>
      </c>
    </row>
    <row r="1403">
      <c r="A1403" s="87">
        <v>153.0</v>
      </c>
      <c r="B1403" s="87" t="s">
        <v>104</v>
      </c>
      <c r="C1403" s="93">
        <v>1.0</v>
      </c>
      <c r="D1403" s="87" t="s">
        <v>39</v>
      </c>
      <c r="E1403" s="87" t="s">
        <v>83</v>
      </c>
      <c r="F1403" s="87"/>
      <c r="G1403" s="94">
        <v>4.0224678E7</v>
      </c>
      <c r="H1403" s="87"/>
      <c r="I1403" s="87" t="s">
        <v>1048</v>
      </c>
    </row>
    <row r="1404">
      <c r="A1404" s="87">
        <v>154.0</v>
      </c>
      <c r="B1404" s="87" t="s">
        <v>104</v>
      </c>
      <c r="C1404" s="93">
        <v>1.0</v>
      </c>
      <c r="D1404" s="87" t="s">
        <v>39</v>
      </c>
      <c r="E1404" s="87" t="s">
        <v>83</v>
      </c>
      <c r="F1404" s="87"/>
      <c r="G1404" s="94">
        <v>4.0224805E7</v>
      </c>
      <c r="H1404" s="87"/>
      <c r="I1404" s="87" t="s">
        <v>1048</v>
      </c>
    </row>
    <row r="1405">
      <c r="A1405" s="87">
        <v>155.0</v>
      </c>
      <c r="B1405" s="87" t="s">
        <v>104</v>
      </c>
      <c r="C1405" s="93">
        <v>1.0</v>
      </c>
      <c r="D1405" s="87" t="s">
        <v>39</v>
      </c>
      <c r="E1405" s="87" t="s">
        <v>83</v>
      </c>
      <c r="F1405" s="87"/>
      <c r="G1405" s="94">
        <v>4.0224821E7</v>
      </c>
      <c r="H1405" s="87"/>
      <c r="I1405" s="87" t="s">
        <v>1048</v>
      </c>
    </row>
    <row r="1406">
      <c r="A1406" s="87">
        <v>156.0</v>
      </c>
      <c r="B1406" s="87" t="s">
        <v>104</v>
      </c>
      <c r="C1406" s="93">
        <v>1.0</v>
      </c>
      <c r="D1406" s="87" t="s">
        <v>39</v>
      </c>
      <c r="E1406" s="87" t="s">
        <v>83</v>
      </c>
      <c r="F1406" s="87"/>
      <c r="G1406" s="94">
        <v>4.0225054E7</v>
      </c>
      <c r="H1406" s="87"/>
      <c r="I1406" s="87" t="s">
        <v>1048</v>
      </c>
    </row>
    <row r="1407">
      <c r="A1407" s="87">
        <v>157.0</v>
      </c>
      <c r="B1407" s="87" t="s">
        <v>104</v>
      </c>
      <c r="C1407" s="93">
        <v>1.0</v>
      </c>
      <c r="D1407" s="87" t="s">
        <v>39</v>
      </c>
      <c r="E1407" s="87" t="s">
        <v>83</v>
      </c>
      <c r="F1407" s="87"/>
      <c r="G1407" s="94">
        <v>4.022572E7</v>
      </c>
      <c r="H1407" s="87"/>
      <c r="I1407" s="87" t="s">
        <v>1048</v>
      </c>
    </row>
    <row r="1408">
      <c r="A1408" s="87">
        <v>158.0</v>
      </c>
      <c r="B1408" s="87" t="s">
        <v>104</v>
      </c>
      <c r="C1408" s="93">
        <v>1.0</v>
      </c>
      <c r="D1408" s="87" t="s">
        <v>39</v>
      </c>
      <c r="E1408" s="87" t="s">
        <v>83</v>
      </c>
      <c r="F1408" s="87"/>
      <c r="G1408" s="94">
        <v>7.6789225E7</v>
      </c>
      <c r="H1408" s="87"/>
      <c r="I1408" s="87" t="s">
        <v>1048</v>
      </c>
    </row>
    <row r="1409">
      <c r="A1409" s="87">
        <v>159.0</v>
      </c>
      <c r="B1409" s="87" t="s">
        <v>104</v>
      </c>
      <c r="C1409" s="93">
        <v>1.0</v>
      </c>
      <c r="D1409" s="87" t="s">
        <v>39</v>
      </c>
      <c r="E1409" s="87" t="s">
        <v>83</v>
      </c>
      <c r="F1409" s="87"/>
      <c r="G1409" s="94">
        <v>7.6789233E7</v>
      </c>
      <c r="H1409" s="87"/>
      <c r="I1409" s="87" t="s">
        <v>1048</v>
      </c>
    </row>
    <row r="1410">
      <c r="A1410" s="87">
        <v>160.0</v>
      </c>
      <c r="B1410" s="87" t="s">
        <v>104</v>
      </c>
      <c r="C1410" s="93">
        <v>1.0</v>
      </c>
      <c r="D1410" s="87" t="s">
        <v>39</v>
      </c>
      <c r="E1410" s="87" t="s">
        <v>83</v>
      </c>
      <c r="F1410" s="87"/>
      <c r="G1410" s="94">
        <v>7.6789241E7</v>
      </c>
      <c r="H1410" s="87"/>
      <c r="I1410" s="87" t="s">
        <v>1048</v>
      </c>
    </row>
    <row r="1411">
      <c r="A1411" s="87">
        <v>161.0</v>
      </c>
      <c r="B1411" s="87" t="s">
        <v>104</v>
      </c>
      <c r="C1411" s="93">
        <v>1.0</v>
      </c>
      <c r="D1411" s="87" t="s">
        <v>39</v>
      </c>
      <c r="E1411" s="87" t="s">
        <v>83</v>
      </c>
      <c r="F1411" s="87"/>
      <c r="G1411" s="94">
        <v>7.678925E7</v>
      </c>
      <c r="H1411" s="87"/>
      <c r="I1411" s="87" t="s">
        <v>1048</v>
      </c>
    </row>
    <row r="1412">
      <c r="A1412" s="87">
        <v>162.0</v>
      </c>
      <c r="B1412" s="87" t="s">
        <v>104</v>
      </c>
      <c r="C1412" s="93">
        <v>1.0</v>
      </c>
      <c r="D1412" s="87" t="s">
        <v>39</v>
      </c>
      <c r="E1412" s="87" t="s">
        <v>83</v>
      </c>
      <c r="F1412" s="87"/>
      <c r="G1412" s="94">
        <v>7.6789268E7</v>
      </c>
      <c r="H1412" s="87"/>
      <c r="I1412" s="87" t="s">
        <v>1048</v>
      </c>
    </row>
    <row r="1413">
      <c r="A1413" s="87">
        <v>163.0</v>
      </c>
      <c r="B1413" s="87" t="s">
        <v>104</v>
      </c>
      <c r="C1413" s="93">
        <v>1.0</v>
      </c>
      <c r="D1413" s="87" t="s">
        <v>39</v>
      </c>
      <c r="E1413" s="87" t="s">
        <v>83</v>
      </c>
      <c r="F1413" s="87"/>
      <c r="G1413" s="94">
        <v>7.6789276E7</v>
      </c>
      <c r="H1413" s="87"/>
      <c r="I1413" s="87" t="s">
        <v>1048</v>
      </c>
    </row>
    <row r="1414">
      <c r="A1414" s="87">
        <v>164.0</v>
      </c>
      <c r="B1414" s="87" t="s">
        <v>104</v>
      </c>
      <c r="C1414" s="93">
        <v>1.0</v>
      </c>
      <c r="D1414" s="87" t="s">
        <v>39</v>
      </c>
      <c r="E1414" s="87" t="s">
        <v>83</v>
      </c>
      <c r="F1414" s="87"/>
      <c r="G1414" s="94">
        <v>7.6789284E7</v>
      </c>
      <c r="H1414" s="87"/>
      <c r="I1414" s="87" t="s">
        <v>1048</v>
      </c>
    </row>
    <row r="1415">
      <c r="A1415" s="87">
        <v>490.0</v>
      </c>
      <c r="B1415" s="87" t="s">
        <v>104</v>
      </c>
      <c r="C1415" s="93">
        <v>1.0</v>
      </c>
      <c r="D1415" s="87" t="s">
        <v>39</v>
      </c>
      <c r="E1415" s="87" t="s">
        <v>253</v>
      </c>
      <c r="F1415" s="87"/>
      <c r="G1415" s="94">
        <v>1.3736795E7</v>
      </c>
      <c r="H1415" s="87"/>
      <c r="I1415" s="87" t="s">
        <v>1012</v>
      </c>
    </row>
    <row r="1416">
      <c r="A1416" s="87">
        <v>647.0</v>
      </c>
      <c r="B1416" s="87" t="s">
        <v>104</v>
      </c>
      <c r="C1416" s="93">
        <v>1.0</v>
      </c>
      <c r="D1416" s="87" t="s">
        <v>39</v>
      </c>
      <c r="E1416" s="87" t="s">
        <v>253</v>
      </c>
      <c r="F1416" s="87"/>
      <c r="G1416" s="94">
        <v>4.0221261E7</v>
      </c>
      <c r="H1416" s="87"/>
      <c r="I1416" s="87" t="s">
        <v>1014</v>
      </c>
    </row>
    <row r="1417">
      <c r="A1417" s="87">
        <v>648.0</v>
      </c>
      <c r="B1417" s="87" t="s">
        <v>104</v>
      </c>
      <c r="C1417" s="93">
        <v>1.0</v>
      </c>
      <c r="D1417" s="87" t="s">
        <v>39</v>
      </c>
      <c r="E1417" s="87" t="s">
        <v>253</v>
      </c>
      <c r="F1417" s="87"/>
      <c r="G1417" s="94">
        <v>4.022127E7</v>
      </c>
      <c r="H1417" s="87"/>
      <c r="I1417" s="87" t="s">
        <v>1078</v>
      </c>
    </row>
    <row r="1418">
      <c r="A1418" s="87">
        <v>649.0</v>
      </c>
      <c r="B1418" s="87" t="s">
        <v>104</v>
      </c>
      <c r="C1418" s="93">
        <v>1.0</v>
      </c>
      <c r="D1418" s="87" t="s">
        <v>39</v>
      </c>
      <c r="E1418" s="87" t="s">
        <v>253</v>
      </c>
      <c r="F1418" s="87"/>
      <c r="G1418" s="94">
        <v>4.0221288E7</v>
      </c>
      <c r="H1418" s="87"/>
      <c r="I1418" s="87" t="s">
        <v>1079</v>
      </c>
    </row>
    <row r="1419">
      <c r="A1419" s="87">
        <v>650.0</v>
      </c>
      <c r="B1419" s="87" t="s">
        <v>104</v>
      </c>
      <c r="C1419" s="93">
        <v>1.0</v>
      </c>
      <c r="D1419" s="87" t="s">
        <v>39</v>
      </c>
      <c r="E1419" s="87" t="s">
        <v>253</v>
      </c>
      <c r="F1419" s="87"/>
      <c r="G1419" s="94">
        <v>4.0221296E7</v>
      </c>
      <c r="H1419" s="87"/>
      <c r="I1419" s="87" t="s">
        <v>1080</v>
      </c>
    </row>
    <row r="1420">
      <c r="A1420" s="87">
        <v>651.0</v>
      </c>
      <c r="B1420" s="87" t="s">
        <v>104</v>
      </c>
      <c r="C1420" s="93">
        <v>1.0</v>
      </c>
      <c r="D1420" s="87" t="s">
        <v>39</v>
      </c>
      <c r="E1420" s="87" t="s">
        <v>253</v>
      </c>
      <c r="F1420" s="87"/>
      <c r="G1420" s="94">
        <v>4.02213E7</v>
      </c>
      <c r="H1420" s="87"/>
      <c r="I1420" s="87" t="s">
        <v>1081</v>
      </c>
    </row>
    <row r="1421">
      <c r="A1421" s="87">
        <v>652.0</v>
      </c>
      <c r="B1421" s="87" t="s">
        <v>104</v>
      </c>
      <c r="C1421" s="93">
        <v>1.0</v>
      </c>
      <c r="D1421" s="87" t="s">
        <v>39</v>
      </c>
      <c r="E1421" s="87" t="s">
        <v>253</v>
      </c>
      <c r="F1421" s="87"/>
      <c r="G1421" s="94">
        <v>4.0221318E7</v>
      </c>
      <c r="H1421" s="87"/>
      <c r="I1421" s="87" t="s">
        <v>1082</v>
      </c>
    </row>
    <row r="1422">
      <c r="A1422" s="87">
        <v>653.0</v>
      </c>
      <c r="B1422" s="87" t="s">
        <v>104</v>
      </c>
      <c r="C1422" s="93">
        <v>1.0</v>
      </c>
      <c r="D1422" s="87" t="s">
        <v>39</v>
      </c>
      <c r="E1422" s="87" t="s">
        <v>253</v>
      </c>
      <c r="F1422" s="87"/>
      <c r="G1422" s="94">
        <v>4.0224414E7</v>
      </c>
      <c r="H1422" s="87"/>
      <c r="I1422" s="87" t="s">
        <v>1083</v>
      </c>
    </row>
    <row r="1423">
      <c r="A1423" s="87">
        <v>654.0</v>
      </c>
      <c r="B1423" s="87" t="s">
        <v>104</v>
      </c>
      <c r="C1423" s="93">
        <v>1.0</v>
      </c>
      <c r="D1423" s="87" t="s">
        <v>39</v>
      </c>
      <c r="E1423" s="87" t="s">
        <v>253</v>
      </c>
      <c r="F1423" s="87"/>
      <c r="G1423" s="94">
        <v>4.022502E7</v>
      </c>
      <c r="H1423" s="87"/>
      <c r="I1423" s="87" t="s">
        <v>1084</v>
      </c>
    </row>
    <row r="1424">
      <c r="A1424" s="87">
        <v>655.0</v>
      </c>
      <c r="B1424" s="87" t="s">
        <v>104</v>
      </c>
      <c r="C1424" s="93">
        <v>1.0</v>
      </c>
      <c r="D1424" s="87" t="s">
        <v>39</v>
      </c>
      <c r="E1424" s="87" t="s">
        <v>253</v>
      </c>
      <c r="F1424" s="87"/>
      <c r="G1424" s="94">
        <v>4.02251E7</v>
      </c>
      <c r="H1424" s="87"/>
      <c r="I1424" s="87" t="s">
        <v>1085</v>
      </c>
    </row>
    <row r="1425">
      <c r="A1425" s="87">
        <v>656.0</v>
      </c>
      <c r="B1425" s="87" t="s">
        <v>104</v>
      </c>
      <c r="C1425" s="93">
        <v>1.0</v>
      </c>
      <c r="D1425" s="87" t="s">
        <v>39</v>
      </c>
      <c r="E1425" s="87" t="s">
        <v>253</v>
      </c>
      <c r="F1425" s="87"/>
      <c r="G1425" s="94">
        <v>4.0225194E7</v>
      </c>
      <c r="H1425" s="87"/>
      <c r="I1425" s="87" t="s">
        <v>1086</v>
      </c>
    </row>
    <row r="1426">
      <c r="A1426" s="87">
        <v>955.0</v>
      </c>
      <c r="B1426" s="87" t="s">
        <v>104</v>
      </c>
      <c r="C1426" s="93">
        <v>1.0</v>
      </c>
      <c r="D1426" s="87" t="s">
        <v>39</v>
      </c>
      <c r="E1426" s="87" t="s">
        <v>253</v>
      </c>
      <c r="F1426" s="87"/>
      <c r="G1426" s="94">
        <v>7.66697E7</v>
      </c>
      <c r="H1426" s="87"/>
      <c r="I1426" s="87" t="s">
        <v>1014</v>
      </c>
    </row>
    <row r="1427">
      <c r="A1427" s="87">
        <v>1695.0</v>
      </c>
      <c r="B1427" s="87" t="s">
        <v>104</v>
      </c>
      <c r="C1427" s="93">
        <v>1.0</v>
      </c>
      <c r="D1427" s="87" t="s">
        <v>39</v>
      </c>
      <c r="E1427" s="87" t="s">
        <v>83</v>
      </c>
      <c r="F1427" s="87"/>
      <c r="G1427" s="94">
        <v>7.7015924E7</v>
      </c>
      <c r="H1427" s="87"/>
      <c r="I1427" s="87"/>
    </row>
    <row r="1428">
      <c r="A1428" s="87">
        <v>626.0</v>
      </c>
      <c r="B1428" s="87" t="s">
        <v>410</v>
      </c>
      <c r="C1428" s="93">
        <v>6.0</v>
      </c>
      <c r="D1428" s="87" t="s">
        <v>39</v>
      </c>
      <c r="E1428" s="87" t="s">
        <v>1032</v>
      </c>
      <c r="F1428" s="87"/>
      <c r="G1428" s="94"/>
      <c r="H1428" s="87"/>
      <c r="I1428" s="87"/>
    </row>
    <row r="1429">
      <c r="A1429" s="87">
        <v>165.0</v>
      </c>
      <c r="B1429" s="87" t="s">
        <v>695</v>
      </c>
      <c r="C1429" s="93">
        <v>1.0</v>
      </c>
      <c r="D1429" s="87"/>
      <c r="E1429" s="87" t="s">
        <v>83</v>
      </c>
      <c r="F1429" s="87"/>
      <c r="G1429" s="94">
        <v>4.0077497E7</v>
      </c>
      <c r="H1429" s="87" t="s">
        <v>1087</v>
      </c>
      <c r="I1429" s="87" t="s">
        <v>1088</v>
      </c>
    </row>
    <row r="1430">
      <c r="A1430" s="87">
        <v>1233.0</v>
      </c>
      <c r="B1430" s="87" t="s">
        <v>781</v>
      </c>
      <c r="C1430" s="93">
        <v>1.0</v>
      </c>
      <c r="D1430" s="87" t="s">
        <v>39</v>
      </c>
      <c r="E1430" s="87" t="s">
        <v>245</v>
      </c>
      <c r="F1430" s="87"/>
      <c r="G1430" s="94"/>
      <c r="H1430" s="87"/>
      <c r="I1430" s="87" t="s">
        <v>1089</v>
      </c>
    </row>
    <row r="1431">
      <c r="A1431" s="87">
        <v>1234.0</v>
      </c>
      <c r="B1431" s="87" t="s">
        <v>781</v>
      </c>
      <c r="C1431" s="93">
        <v>1.0</v>
      </c>
      <c r="D1431" s="87" t="s">
        <v>39</v>
      </c>
      <c r="E1431" s="87" t="s">
        <v>245</v>
      </c>
      <c r="F1431" s="87"/>
      <c r="G1431" s="94"/>
      <c r="H1431" s="87"/>
      <c r="I1431" s="87" t="s">
        <v>1090</v>
      </c>
    </row>
    <row r="1432">
      <c r="A1432" s="87">
        <v>166.0</v>
      </c>
      <c r="B1432" s="87" t="s">
        <v>1091</v>
      </c>
      <c r="C1432" s="93">
        <v>1.0</v>
      </c>
      <c r="D1432" s="87" t="s">
        <v>39</v>
      </c>
      <c r="E1432" s="87" t="s">
        <v>253</v>
      </c>
      <c r="F1432" s="87"/>
      <c r="G1432" s="94">
        <v>4.009426E7</v>
      </c>
      <c r="H1432" s="87"/>
      <c r="I1432" s="87" t="s">
        <v>1092</v>
      </c>
    </row>
    <row r="1433">
      <c r="A1433" s="87">
        <v>167.0</v>
      </c>
      <c r="B1433" s="87" t="s">
        <v>1091</v>
      </c>
      <c r="C1433" s="93">
        <v>1.0</v>
      </c>
      <c r="D1433" s="87" t="s">
        <v>39</v>
      </c>
      <c r="E1433" s="87" t="s">
        <v>253</v>
      </c>
      <c r="F1433" s="87"/>
      <c r="G1433" s="94">
        <v>4.0094278E7</v>
      </c>
      <c r="H1433" s="87"/>
      <c r="I1433" s="87" t="s">
        <v>1092</v>
      </c>
    </row>
    <row r="1434">
      <c r="A1434" s="87">
        <v>168.0</v>
      </c>
      <c r="B1434" s="87" t="s">
        <v>1091</v>
      </c>
      <c r="C1434" s="93">
        <v>1.0</v>
      </c>
      <c r="D1434" s="87" t="s">
        <v>39</v>
      </c>
      <c r="E1434" s="87" t="s">
        <v>253</v>
      </c>
      <c r="F1434" s="87"/>
      <c r="G1434" s="94">
        <v>4.009457E7</v>
      </c>
      <c r="H1434" s="87"/>
      <c r="I1434" s="87" t="s">
        <v>1092</v>
      </c>
    </row>
    <row r="1435">
      <c r="A1435" s="87">
        <v>169.0</v>
      </c>
      <c r="B1435" s="87" t="s">
        <v>1091</v>
      </c>
      <c r="C1435" s="93">
        <v>1.0</v>
      </c>
      <c r="D1435" s="87"/>
      <c r="E1435" s="87" t="s">
        <v>83</v>
      </c>
      <c r="F1435" s="87"/>
      <c r="G1435" s="94">
        <v>7.6701859E7</v>
      </c>
      <c r="H1435" s="87"/>
      <c r="I1435" s="87"/>
    </row>
    <row r="1436">
      <c r="A1436" s="87">
        <v>170.0</v>
      </c>
      <c r="B1436" s="87" t="s">
        <v>1091</v>
      </c>
      <c r="C1436" s="93">
        <v>1.0</v>
      </c>
      <c r="D1436" s="87"/>
      <c r="E1436" s="87" t="s">
        <v>83</v>
      </c>
      <c r="F1436" s="87"/>
      <c r="G1436" s="94">
        <v>7.6701867E7</v>
      </c>
      <c r="H1436" s="87"/>
      <c r="I1436" s="87"/>
    </row>
    <row r="1437">
      <c r="A1437" s="87">
        <v>171.0</v>
      </c>
      <c r="B1437" s="87" t="s">
        <v>1091</v>
      </c>
      <c r="C1437" s="93">
        <v>1.0</v>
      </c>
      <c r="D1437" s="87"/>
      <c r="E1437" s="87" t="s">
        <v>83</v>
      </c>
      <c r="F1437" s="87"/>
      <c r="G1437" s="94">
        <v>7.6701875E7</v>
      </c>
      <c r="H1437" s="87"/>
      <c r="I1437" s="87"/>
    </row>
    <row r="1438">
      <c r="A1438" s="87">
        <v>172.0</v>
      </c>
      <c r="B1438" s="87" t="s">
        <v>1091</v>
      </c>
      <c r="C1438" s="93">
        <v>1.0</v>
      </c>
      <c r="D1438" s="87"/>
      <c r="E1438" s="87" t="s">
        <v>83</v>
      </c>
      <c r="F1438" s="87"/>
      <c r="G1438" s="94">
        <v>7.6701883E7</v>
      </c>
      <c r="H1438" s="87"/>
      <c r="I1438" s="87"/>
    </row>
    <row r="1439">
      <c r="A1439" s="87">
        <v>173.0</v>
      </c>
      <c r="B1439" s="87" t="s">
        <v>1091</v>
      </c>
      <c r="C1439" s="93">
        <v>1.0</v>
      </c>
      <c r="D1439" s="87"/>
      <c r="E1439" s="87" t="s">
        <v>83</v>
      </c>
      <c r="F1439" s="87"/>
      <c r="G1439" s="94">
        <v>7.6701891E7</v>
      </c>
      <c r="H1439" s="87"/>
      <c r="I1439" s="87"/>
    </row>
    <row r="1440">
      <c r="A1440" s="87">
        <v>174.0</v>
      </c>
      <c r="B1440" s="87" t="s">
        <v>1091</v>
      </c>
      <c r="C1440" s="93">
        <v>1.0</v>
      </c>
      <c r="D1440" s="87"/>
      <c r="E1440" s="87" t="s">
        <v>83</v>
      </c>
      <c r="F1440" s="87"/>
      <c r="G1440" s="94">
        <v>7.6701905E7</v>
      </c>
      <c r="H1440" s="87"/>
      <c r="I1440" s="87"/>
    </row>
    <row r="1441">
      <c r="A1441" s="87">
        <v>175.0</v>
      </c>
      <c r="B1441" s="87" t="s">
        <v>1091</v>
      </c>
      <c r="C1441" s="93">
        <v>1.0</v>
      </c>
      <c r="D1441" s="87"/>
      <c r="E1441" s="87" t="s">
        <v>83</v>
      </c>
      <c r="F1441" s="87"/>
      <c r="G1441" s="94">
        <v>7.6701913E7</v>
      </c>
      <c r="H1441" s="87"/>
      <c r="I1441" s="87"/>
    </row>
    <row r="1442">
      <c r="A1442" s="87">
        <v>176.0</v>
      </c>
      <c r="B1442" s="87" t="s">
        <v>1091</v>
      </c>
      <c r="C1442" s="93">
        <v>1.0</v>
      </c>
      <c r="D1442" s="87"/>
      <c r="E1442" s="87" t="s">
        <v>83</v>
      </c>
      <c r="F1442" s="87"/>
      <c r="G1442" s="94">
        <v>7.6701921E7</v>
      </c>
      <c r="H1442" s="87"/>
      <c r="I1442" s="87"/>
    </row>
    <row r="1443">
      <c r="A1443" s="87">
        <v>177.0</v>
      </c>
      <c r="B1443" s="87" t="s">
        <v>1091</v>
      </c>
      <c r="C1443" s="93">
        <v>1.0</v>
      </c>
      <c r="D1443" s="87"/>
      <c r="E1443" s="87" t="s">
        <v>83</v>
      </c>
      <c r="F1443" s="87"/>
      <c r="G1443" s="94">
        <v>7.670193E7</v>
      </c>
      <c r="H1443" s="87"/>
      <c r="I1443" s="87"/>
    </row>
    <row r="1444">
      <c r="A1444" s="87">
        <v>178.0</v>
      </c>
      <c r="B1444" s="87" t="s">
        <v>1091</v>
      </c>
      <c r="C1444" s="93">
        <v>1.0</v>
      </c>
      <c r="D1444" s="87"/>
      <c r="E1444" s="87" t="s">
        <v>83</v>
      </c>
      <c r="F1444" s="87"/>
      <c r="G1444" s="94">
        <v>7.6701948E7</v>
      </c>
      <c r="H1444" s="87"/>
      <c r="I1444" s="87"/>
    </row>
    <row r="1445">
      <c r="A1445" s="87">
        <v>781.0</v>
      </c>
      <c r="B1445" s="87" t="s">
        <v>1091</v>
      </c>
      <c r="C1445" s="93">
        <v>1.0</v>
      </c>
      <c r="D1445" s="87" t="s">
        <v>39</v>
      </c>
      <c r="E1445" s="87" t="s">
        <v>664</v>
      </c>
      <c r="F1445" s="87"/>
      <c r="G1445" s="94">
        <v>4.0094138E7</v>
      </c>
      <c r="H1445" s="87"/>
      <c r="I1445" s="87"/>
    </row>
    <row r="1446">
      <c r="A1446" s="87">
        <v>782.0</v>
      </c>
      <c r="B1446" s="87" t="s">
        <v>1091</v>
      </c>
      <c r="C1446" s="93">
        <v>1.0</v>
      </c>
      <c r="D1446" s="87" t="s">
        <v>39</v>
      </c>
      <c r="E1446" s="87" t="s">
        <v>1072</v>
      </c>
      <c r="F1446" s="87"/>
      <c r="G1446" s="94">
        <v>4.0094626E7</v>
      </c>
      <c r="H1446" s="87"/>
      <c r="I1446" s="87"/>
    </row>
    <row r="1447">
      <c r="A1447" s="87">
        <v>841.0</v>
      </c>
      <c r="B1447" s="87" t="s">
        <v>1091</v>
      </c>
      <c r="C1447" s="93">
        <v>1.0</v>
      </c>
      <c r="D1447" s="87" t="s">
        <v>39</v>
      </c>
      <c r="E1447" s="87" t="s">
        <v>253</v>
      </c>
      <c r="F1447" s="87"/>
      <c r="G1447" s="94">
        <v>3.0920388E7</v>
      </c>
      <c r="H1447" s="87"/>
      <c r="I1447" s="87" t="s">
        <v>1012</v>
      </c>
    </row>
    <row r="1448">
      <c r="A1448" s="87">
        <v>947.0</v>
      </c>
      <c r="B1448" s="87" t="s">
        <v>1091</v>
      </c>
      <c r="C1448" s="93">
        <v>1.0</v>
      </c>
      <c r="D1448" s="87" t="s">
        <v>39</v>
      </c>
      <c r="E1448" s="87" t="s">
        <v>1020</v>
      </c>
      <c r="F1448" s="87"/>
      <c r="G1448" s="94">
        <v>7.6014703E7</v>
      </c>
      <c r="H1448" s="87"/>
      <c r="I1448" s="87"/>
    </row>
    <row r="1449">
      <c r="A1449" s="87">
        <v>644.0</v>
      </c>
      <c r="B1449" s="87" t="s">
        <v>1093</v>
      </c>
      <c r="C1449" s="93">
        <v>1.0</v>
      </c>
      <c r="D1449" s="87" t="s">
        <v>39</v>
      </c>
      <c r="E1449" s="87" t="s">
        <v>1032</v>
      </c>
      <c r="F1449" s="87"/>
      <c r="G1449" s="94"/>
      <c r="H1449" s="87"/>
      <c r="I1449" s="87"/>
    </row>
    <row r="1450">
      <c r="A1450" s="87">
        <v>691.0</v>
      </c>
      <c r="B1450" s="87" t="s">
        <v>1093</v>
      </c>
      <c r="C1450" s="93">
        <v>1.0</v>
      </c>
      <c r="D1450" s="87" t="s">
        <v>39</v>
      </c>
      <c r="E1450" s="87" t="s">
        <v>1020</v>
      </c>
      <c r="F1450" s="87"/>
      <c r="G1450" s="94"/>
      <c r="H1450" s="87"/>
      <c r="I1450" s="87" t="s">
        <v>1094</v>
      </c>
    </row>
    <row r="1451">
      <c r="A1451" s="87">
        <v>741.0</v>
      </c>
      <c r="B1451" s="87" t="s">
        <v>1093</v>
      </c>
      <c r="C1451" s="93">
        <v>1.0</v>
      </c>
      <c r="D1451" s="87" t="s">
        <v>39</v>
      </c>
      <c r="E1451" s="87" t="s">
        <v>664</v>
      </c>
      <c r="F1451" s="87"/>
      <c r="G1451" s="94"/>
      <c r="H1451" s="87"/>
      <c r="I1451" s="87" t="s">
        <v>1095</v>
      </c>
    </row>
    <row r="1452">
      <c r="A1452" s="87">
        <v>839.0</v>
      </c>
      <c r="B1452" s="87" t="s">
        <v>1093</v>
      </c>
      <c r="C1452" s="93">
        <v>1.0</v>
      </c>
      <c r="D1452" s="87" t="s">
        <v>39</v>
      </c>
      <c r="E1452" s="87" t="s">
        <v>763</v>
      </c>
      <c r="F1452" s="87"/>
      <c r="G1452" s="94"/>
      <c r="H1452" s="87"/>
      <c r="I1452" s="87"/>
    </row>
    <row r="1453">
      <c r="A1453" s="87">
        <v>843.0</v>
      </c>
      <c r="B1453" s="87" t="s">
        <v>1093</v>
      </c>
      <c r="C1453" s="93">
        <v>1.0</v>
      </c>
      <c r="D1453" s="87" t="s">
        <v>39</v>
      </c>
      <c r="E1453" s="87" t="s">
        <v>1096</v>
      </c>
      <c r="F1453" s="87"/>
      <c r="G1453" s="94"/>
      <c r="H1453" s="87"/>
      <c r="I1453" s="87"/>
    </row>
    <row r="1454">
      <c r="A1454" s="87">
        <v>579.0</v>
      </c>
      <c r="B1454" s="87" t="s">
        <v>762</v>
      </c>
      <c r="C1454" s="93">
        <v>3.0</v>
      </c>
      <c r="D1454" s="87" t="s">
        <v>39</v>
      </c>
      <c r="E1454" s="87" t="s">
        <v>763</v>
      </c>
      <c r="F1454" s="87"/>
      <c r="G1454" s="94"/>
      <c r="H1454" s="87"/>
      <c r="I1454" s="87" t="s">
        <v>1090</v>
      </c>
    </row>
    <row r="1455">
      <c r="A1455" s="87">
        <v>584.0</v>
      </c>
      <c r="B1455" s="87" t="s">
        <v>762</v>
      </c>
      <c r="C1455" s="93">
        <v>1.0</v>
      </c>
      <c r="D1455" s="87" t="s">
        <v>39</v>
      </c>
      <c r="E1455" s="87" t="s">
        <v>1018</v>
      </c>
      <c r="F1455" s="87"/>
      <c r="G1455" s="94">
        <v>45628.0</v>
      </c>
      <c r="H1455" s="87"/>
      <c r="I1455" s="87"/>
    </row>
    <row r="1456">
      <c r="A1456" s="87">
        <v>688.0</v>
      </c>
      <c r="B1456" s="87" t="s">
        <v>762</v>
      </c>
      <c r="C1456" s="93">
        <v>3.0</v>
      </c>
      <c r="D1456" s="87" t="s">
        <v>39</v>
      </c>
      <c r="E1456" s="87" t="s">
        <v>1020</v>
      </c>
      <c r="F1456" s="87"/>
      <c r="G1456" s="94"/>
      <c r="H1456" s="87"/>
      <c r="I1456" s="87" t="s">
        <v>1089</v>
      </c>
    </row>
    <row r="1457">
      <c r="A1457" s="87">
        <v>689.0</v>
      </c>
      <c r="B1457" s="87" t="s">
        <v>762</v>
      </c>
      <c r="C1457" s="93">
        <v>1.0</v>
      </c>
      <c r="D1457" s="87" t="s">
        <v>39</v>
      </c>
      <c r="E1457" s="87" t="s">
        <v>1020</v>
      </c>
      <c r="F1457" s="87"/>
      <c r="G1457" s="94"/>
      <c r="H1457" s="87"/>
      <c r="I1457" s="87" t="s">
        <v>1089</v>
      </c>
    </row>
    <row r="1458">
      <c r="A1458" s="87">
        <v>740.0</v>
      </c>
      <c r="B1458" s="87" t="s">
        <v>762</v>
      </c>
      <c r="C1458" s="93">
        <v>3.0</v>
      </c>
      <c r="D1458" s="87" t="s">
        <v>39</v>
      </c>
      <c r="E1458" s="87" t="s">
        <v>664</v>
      </c>
      <c r="F1458" s="87"/>
      <c r="G1458" s="94"/>
      <c r="H1458" s="87"/>
      <c r="I1458" s="87" t="s">
        <v>1090</v>
      </c>
    </row>
    <row r="1459">
      <c r="A1459" s="87">
        <v>842.0</v>
      </c>
      <c r="B1459" s="87" t="s">
        <v>762</v>
      </c>
      <c r="C1459" s="93">
        <v>2.0</v>
      </c>
      <c r="D1459" s="87" t="s">
        <v>39</v>
      </c>
      <c r="E1459" s="87" t="s">
        <v>1096</v>
      </c>
      <c r="F1459" s="87"/>
      <c r="G1459" s="94"/>
      <c r="H1459" s="87"/>
      <c r="I1459" s="87"/>
    </row>
    <row r="1460">
      <c r="A1460" s="87">
        <v>1226.0</v>
      </c>
      <c r="B1460" s="87" t="s">
        <v>1089</v>
      </c>
      <c r="C1460" s="93">
        <v>3.0</v>
      </c>
      <c r="D1460" s="87" t="s">
        <v>39</v>
      </c>
      <c r="E1460" s="87" t="s">
        <v>258</v>
      </c>
      <c r="F1460" s="87"/>
      <c r="G1460" s="94"/>
      <c r="H1460" s="87"/>
      <c r="I1460" s="87"/>
    </row>
    <row r="1461">
      <c r="A1461" s="87">
        <v>754.0</v>
      </c>
      <c r="B1461" s="87" t="s">
        <v>1097</v>
      </c>
      <c r="C1461" s="93">
        <v>1.0</v>
      </c>
      <c r="D1461" s="87" t="s">
        <v>39</v>
      </c>
      <c r="E1461" s="87" t="s">
        <v>253</v>
      </c>
      <c r="F1461" s="87"/>
      <c r="G1461" s="94">
        <v>1.0996028E7</v>
      </c>
      <c r="H1461" s="87"/>
      <c r="I1461" s="87" t="s">
        <v>1014</v>
      </c>
    </row>
    <row r="1462">
      <c r="A1462" s="87">
        <v>2.0</v>
      </c>
      <c r="B1462" s="87" t="s">
        <v>252</v>
      </c>
      <c r="C1462" s="93">
        <v>1.0</v>
      </c>
      <c r="D1462" s="87" t="s">
        <v>39</v>
      </c>
      <c r="E1462" s="87" t="s">
        <v>1020</v>
      </c>
      <c r="F1462" s="87"/>
      <c r="G1462" s="94">
        <v>3.047003E7</v>
      </c>
      <c r="H1462" s="87"/>
      <c r="I1462" s="87" t="s">
        <v>651</v>
      </c>
    </row>
    <row r="1463">
      <c r="A1463" s="87">
        <v>3.0</v>
      </c>
      <c r="B1463" s="87" t="s">
        <v>252</v>
      </c>
      <c r="C1463" s="93">
        <v>1.0</v>
      </c>
      <c r="D1463" s="87" t="s">
        <v>39</v>
      </c>
      <c r="E1463" s="87" t="s">
        <v>253</v>
      </c>
      <c r="F1463" s="87"/>
      <c r="G1463" s="94">
        <v>3.0470048E7</v>
      </c>
      <c r="H1463" s="87"/>
      <c r="I1463" s="87" t="s">
        <v>1012</v>
      </c>
    </row>
    <row r="1464">
      <c r="A1464" s="87">
        <v>5.0</v>
      </c>
      <c r="B1464" s="87" t="s">
        <v>252</v>
      </c>
      <c r="C1464" s="93">
        <v>1.0</v>
      </c>
      <c r="D1464" s="87" t="s">
        <v>39</v>
      </c>
      <c r="E1464" s="87" t="s">
        <v>763</v>
      </c>
      <c r="F1464" s="87"/>
      <c r="G1464" s="94">
        <v>3.0470064E7</v>
      </c>
      <c r="H1464" s="87"/>
      <c r="I1464" s="87"/>
    </row>
    <row r="1465">
      <c r="A1465" s="87">
        <v>6.0</v>
      </c>
      <c r="B1465" s="87" t="s">
        <v>252</v>
      </c>
      <c r="C1465" s="93">
        <v>1.0</v>
      </c>
      <c r="D1465" s="87" t="s">
        <v>39</v>
      </c>
      <c r="E1465" s="87" t="s">
        <v>1020</v>
      </c>
      <c r="F1465" s="87"/>
      <c r="G1465" s="94">
        <v>3.0470072E7</v>
      </c>
      <c r="H1465" s="87"/>
      <c r="I1465" s="87" t="s">
        <v>651</v>
      </c>
    </row>
    <row r="1466">
      <c r="A1466" s="87">
        <v>7.0</v>
      </c>
      <c r="B1466" s="87" t="s">
        <v>252</v>
      </c>
      <c r="C1466" s="93">
        <v>1.0</v>
      </c>
      <c r="D1466" s="87" t="s">
        <v>39</v>
      </c>
      <c r="E1466" s="87" t="s">
        <v>1098</v>
      </c>
      <c r="F1466" s="87"/>
      <c r="G1466" s="94">
        <v>3.047008E7</v>
      </c>
      <c r="H1466" s="87"/>
      <c r="I1466" s="87"/>
    </row>
    <row r="1467">
      <c r="A1467" s="87">
        <v>179.0</v>
      </c>
      <c r="B1467" s="87" t="s">
        <v>252</v>
      </c>
      <c r="C1467" s="93">
        <v>1.0</v>
      </c>
      <c r="D1467" s="87" t="s">
        <v>39</v>
      </c>
      <c r="E1467" s="87" t="s">
        <v>253</v>
      </c>
      <c r="F1467" s="87"/>
      <c r="G1467" s="94">
        <v>4.009496E7</v>
      </c>
      <c r="H1467" s="87"/>
      <c r="I1467" s="87" t="s">
        <v>1099</v>
      </c>
    </row>
    <row r="1468">
      <c r="A1468" s="87">
        <v>180.0</v>
      </c>
      <c r="B1468" s="87" t="s">
        <v>252</v>
      </c>
      <c r="C1468" s="93">
        <v>1.0</v>
      </c>
      <c r="D1468" s="87" t="s">
        <v>39</v>
      </c>
      <c r="E1468" s="87" t="s">
        <v>253</v>
      </c>
      <c r="F1468" s="87"/>
      <c r="G1468" s="94">
        <v>4.0094979E7</v>
      </c>
      <c r="H1468" s="87"/>
      <c r="I1468" s="87" t="s">
        <v>1099</v>
      </c>
    </row>
    <row r="1469">
      <c r="A1469" s="87">
        <v>181.0</v>
      </c>
      <c r="B1469" s="87" t="s">
        <v>252</v>
      </c>
      <c r="C1469" s="93">
        <v>1.0</v>
      </c>
      <c r="D1469" s="87"/>
      <c r="E1469" s="87" t="s">
        <v>83</v>
      </c>
      <c r="F1469" s="87"/>
      <c r="G1469" s="94">
        <v>4.021205E7</v>
      </c>
      <c r="H1469" s="87"/>
      <c r="I1469" s="87"/>
    </row>
    <row r="1470">
      <c r="A1470" s="87">
        <v>182.0</v>
      </c>
      <c r="B1470" s="87" t="s">
        <v>252</v>
      </c>
      <c r="C1470" s="93">
        <v>1.0</v>
      </c>
      <c r="D1470" s="87" t="s">
        <v>39</v>
      </c>
      <c r="E1470" s="87" t="s">
        <v>253</v>
      </c>
      <c r="F1470" s="87"/>
      <c r="G1470" s="94">
        <v>4.025939E7</v>
      </c>
      <c r="H1470" s="87"/>
      <c r="I1470" s="87" t="s">
        <v>1099</v>
      </c>
    </row>
    <row r="1471">
      <c r="A1471" s="87">
        <v>183.0</v>
      </c>
      <c r="B1471" s="87" t="s">
        <v>252</v>
      </c>
      <c r="C1471" s="93">
        <v>1.0</v>
      </c>
      <c r="D1471" s="87"/>
      <c r="E1471" s="87" t="s">
        <v>83</v>
      </c>
      <c r="F1471" s="87"/>
      <c r="G1471" s="94">
        <v>4.0259404E7</v>
      </c>
      <c r="H1471" s="87"/>
      <c r="I1471" s="87"/>
    </row>
    <row r="1472">
      <c r="A1472" s="87">
        <v>184.0</v>
      </c>
      <c r="B1472" s="87" t="s">
        <v>252</v>
      </c>
      <c r="C1472" s="93">
        <v>1.0</v>
      </c>
      <c r="D1472" s="87" t="s">
        <v>39</v>
      </c>
      <c r="E1472" s="87" t="s">
        <v>253</v>
      </c>
      <c r="F1472" s="87"/>
      <c r="G1472" s="94">
        <v>4.0287092E7</v>
      </c>
      <c r="H1472" s="87"/>
      <c r="I1472" s="87" t="s">
        <v>1099</v>
      </c>
    </row>
    <row r="1473">
      <c r="A1473" s="87">
        <v>185.0</v>
      </c>
      <c r="B1473" s="87" t="s">
        <v>252</v>
      </c>
      <c r="C1473" s="93">
        <v>1.0</v>
      </c>
      <c r="D1473" s="87" t="s">
        <v>39</v>
      </c>
      <c r="E1473" s="87" t="s">
        <v>253</v>
      </c>
      <c r="F1473" s="87"/>
      <c r="G1473" s="94">
        <v>4.0287122E7</v>
      </c>
      <c r="H1473" s="87"/>
      <c r="I1473" s="87" t="s">
        <v>1099</v>
      </c>
    </row>
    <row r="1474">
      <c r="A1474" s="87">
        <v>186.0</v>
      </c>
      <c r="B1474" s="87" t="s">
        <v>252</v>
      </c>
      <c r="C1474" s="93">
        <v>1.0</v>
      </c>
      <c r="D1474" s="87" t="s">
        <v>39</v>
      </c>
      <c r="E1474" s="87" t="s">
        <v>253</v>
      </c>
      <c r="F1474" s="87"/>
      <c r="G1474" s="94">
        <v>4.028713E7</v>
      </c>
      <c r="H1474" s="87"/>
      <c r="I1474" s="87" t="s">
        <v>1099</v>
      </c>
    </row>
    <row r="1475">
      <c r="A1475" s="87">
        <v>187.0</v>
      </c>
      <c r="B1475" s="87" t="s">
        <v>252</v>
      </c>
      <c r="C1475" s="93">
        <v>1.0</v>
      </c>
      <c r="D1475" s="87"/>
      <c r="E1475" s="87" t="s">
        <v>83</v>
      </c>
      <c r="F1475" s="87"/>
      <c r="G1475" s="94">
        <v>4.0287149E7</v>
      </c>
      <c r="H1475" s="87"/>
      <c r="I1475" s="87"/>
    </row>
    <row r="1476">
      <c r="A1476" s="87">
        <v>632.0</v>
      </c>
      <c r="B1476" s="87" t="s">
        <v>252</v>
      </c>
      <c r="C1476" s="93">
        <v>1.0</v>
      </c>
      <c r="D1476" s="87" t="s">
        <v>39</v>
      </c>
      <c r="E1476" s="87" t="s">
        <v>1098</v>
      </c>
      <c r="F1476" s="87"/>
      <c r="G1476" s="94">
        <v>4.0216403E7</v>
      </c>
      <c r="H1476" s="87"/>
      <c r="I1476" s="87" t="s">
        <v>1100</v>
      </c>
    </row>
    <row r="1477">
      <c r="A1477" s="87">
        <v>634.0</v>
      </c>
      <c r="B1477" s="87" t="s">
        <v>252</v>
      </c>
      <c r="C1477" s="93">
        <v>1.0</v>
      </c>
      <c r="D1477" s="87" t="s">
        <v>39</v>
      </c>
      <c r="E1477" s="87" t="s">
        <v>1020</v>
      </c>
      <c r="F1477" s="87"/>
      <c r="G1477" s="94">
        <v>4.0216667E7</v>
      </c>
      <c r="H1477" s="87"/>
      <c r="I1477" s="87" t="s">
        <v>240</v>
      </c>
    </row>
    <row r="1478">
      <c r="A1478" s="87">
        <v>730.0</v>
      </c>
      <c r="B1478" s="87" t="s">
        <v>252</v>
      </c>
      <c r="C1478" s="93">
        <v>1.0</v>
      </c>
      <c r="D1478" s="87" t="s">
        <v>39</v>
      </c>
      <c r="E1478" s="87" t="s">
        <v>1072</v>
      </c>
      <c r="F1478" s="87"/>
      <c r="G1478" s="94">
        <v>4.021664E7</v>
      </c>
      <c r="H1478" s="87"/>
      <c r="I1478" s="87" t="s">
        <v>240</v>
      </c>
    </row>
    <row r="1479">
      <c r="A1479" s="87">
        <v>731.0</v>
      </c>
      <c r="B1479" s="87" t="s">
        <v>252</v>
      </c>
      <c r="C1479" s="93">
        <v>1.0</v>
      </c>
      <c r="D1479" s="87" t="s">
        <v>39</v>
      </c>
      <c r="E1479" s="87" t="s">
        <v>245</v>
      </c>
      <c r="F1479" s="87"/>
      <c r="G1479" s="94">
        <v>4.0216659E7</v>
      </c>
      <c r="H1479" s="87"/>
      <c r="I1479" s="87" t="s">
        <v>240</v>
      </c>
    </row>
    <row r="1480">
      <c r="A1480" s="87">
        <v>735.0</v>
      </c>
      <c r="B1480" s="87" t="s">
        <v>252</v>
      </c>
      <c r="C1480" s="93">
        <v>1.0</v>
      </c>
      <c r="D1480" s="87" t="s">
        <v>39</v>
      </c>
      <c r="E1480" s="87" t="s">
        <v>245</v>
      </c>
      <c r="F1480" s="87"/>
      <c r="G1480" s="94">
        <v>4.0355144E7</v>
      </c>
      <c r="H1480" s="87"/>
      <c r="I1480" s="87"/>
    </row>
    <row r="1481">
      <c r="A1481" s="87">
        <v>786.0</v>
      </c>
      <c r="B1481" s="87" t="s">
        <v>252</v>
      </c>
      <c r="C1481" s="93">
        <v>1.0</v>
      </c>
      <c r="D1481" s="87" t="s">
        <v>39</v>
      </c>
      <c r="E1481" s="87" t="s">
        <v>1098</v>
      </c>
      <c r="F1481" s="87"/>
      <c r="G1481" s="94">
        <v>4.0216411E7</v>
      </c>
      <c r="H1481" s="87"/>
      <c r="I1481" s="87"/>
    </row>
    <row r="1482">
      <c r="A1482" s="87">
        <v>787.0</v>
      </c>
      <c r="B1482" s="87" t="s">
        <v>252</v>
      </c>
      <c r="C1482" s="93">
        <v>1.0</v>
      </c>
      <c r="D1482" s="87" t="s">
        <v>39</v>
      </c>
      <c r="E1482" s="87" t="s">
        <v>1098</v>
      </c>
      <c r="F1482" s="87"/>
      <c r="G1482" s="94">
        <v>4.021642E7</v>
      </c>
      <c r="H1482" s="87"/>
      <c r="I1482" s="87" t="s">
        <v>240</v>
      </c>
    </row>
    <row r="1483">
      <c r="A1483" s="87">
        <v>811.0</v>
      </c>
      <c r="B1483" s="87" t="s">
        <v>252</v>
      </c>
      <c r="C1483" s="93">
        <v>1.0</v>
      </c>
      <c r="D1483" s="87" t="s">
        <v>39</v>
      </c>
      <c r="E1483" s="87" t="s">
        <v>253</v>
      </c>
      <c r="F1483" s="87"/>
      <c r="G1483" s="94">
        <v>1.3911619E7</v>
      </c>
      <c r="H1483" s="87"/>
      <c r="I1483" s="87" t="s">
        <v>1012</v>
      </c>
    </row>
    <row r="1484">
      <c r="A1484" s="87">
        <v>813.0</v>
      </c>
      <c r="B1484" s="87" t="s">
        <v>252</v>
      </c>
      <c r="C1484" s="93">
        <v>1.0</v>
      </c>
      <c r="D1484" s="87" t="s">
        <v>39</v>
      </c>
      <c r="E1484" s="87" t="s">
        <v>253</v>
      </c>
      <c r="F1484" s="87"/>
      <c r="G1484" s="94">
        <v>1.3963597E7</v>
      </c>
      <c r="H1484" s="87"/>
      <c r="I1484" s="87" t="s">
        <v>1012</v>
      </c>
    </row>
    <row r="1485">
      <c r="A1485" s="87">
        <v>827.0</v>
      </c>
      <c r="B1485" s="87" t="s">
        <v>252</v>
      </c>
      <c r="C1485" s="93">
        <v>1.0</v>
      </c>
      <c r="D1485" s="87" t="s">
        <v>39</v>
      </c>
      <c r="E1485" s="87" t="s">
        <v>253</v>
      </c>
      <c r="F1485" s="87"/>
      <c r="G1485" s="94">
        <v>1.4115204E7</v>
      </c>
      <c r="H1485" s="87"/>
      <c r="I1485" s="87" t="s">
        <v>1012</v>
      </c>
    </row>
    <row r="1486">
      <c r="A1486" s="87">
        <v>828.0</v>
      </c>
      <c r="B1486" s="87" t="s">
        <v>252</v>
      </c>
      <c r="C1486" s="93">
        <v>1.0</v>
      </c>
      <c r="D1486" s="87" t="s">
        <v>39</v>
      </c>
      <c r="E1486" s="87" t="s">
        <v>253</v>
      </c>
      <c r="F1486" s="87"/>
      <c r="G1486" s="94">
        <v>1.4115255E7</v>
      </c>
      <c r="H1486" s="87"/>
      <c r="I1486" s="87" t="s">
        <v>1012</v>
      </c>
    </row>
    <row r="1487">
      <c r="A1487" s="87">
        <v>829.0</v>
      </c>
      <c r="B1487" s="87" t="s">
        <v>252</v>
      </c>
      <c r="C1487" s="93">
        <v>1.0</v>
      </c>
      <c r="D1487" s="87" t="s">
        <v>39</v>
      </c>
      <c r="E1487" s="87" t="s">
        <v>253</v>
      </c>
      <c r="F1487" s="87"/>
      <c r="G1487" s="94">
        <v>1.4115433E7</v>
      </c>
      <c r="H1487" s="87"/>
      <c r="I1487" s="87" t="s">
        <v>1012</v>
      </c>
    </row>
    <row r="1488">
      <c r="A1488" s="87">
        <v>843.0</v>
      </c>
      <c r="B1488" s="87" t="s">
        <v>252</v>
      </c>
      <c r="C1488" s="93">
        <v>1.0</v>
      </c>
      <c r="D1488" s="87" t="s">
        <v>39</v>
      </c>
      <c r="E1488" s="87" t="s">
        <v>253</v>
      </c>
      <c r="F1488" s="87"/>
      <c r="G1488" s="94">
        <v>3.5776811E7</v>
      </c>
      <c r="H1488" s="87"/>
      <c r="I1488" s="87" t="s">
        <v>1012</v>
      </c>
    </row>
    <row r="1489">
      <c r="A1489" s="87">
        <v>846.0</v>
      </c>
      <c r="B1489" s="87" t="s">
        <v>252</v>
      </c>
      <c r="C1489" s="93">
        <v>1.0</v>
      </c>
      <c r="D1489" s="87" t="s">
        <v>39</v>
      </c>
      <c r="E1489" s="87" t="s">
        <v>253</v>
      </c>
      <c r="F1489" s="87"/>
      <c r="G1489" s="94">
        <v>4.00677E7</v>
      </c>
      <c r="H1489" s="87"/>
      <c r="I1489" s="87" t="s">
        <v>1012</v>
      </c>
    </row>
    <row r="1490">
      <c r="A1490" s="87">
        <v>847.0</v>
      </c>
      <c r="B1490" s="87" t="s">
        <v>252</v>
      </c>
      <c r="C1490" s="93">
        <v>1.0</v>
      </c>
      <c r="D1490" s="87" t="s">
        <v>39</v>
      </c>
      <c r="E1490" s="87" t="s">
        <v>253</v>
      </c>
      <c r="F1490" s="87"/>
      <c r="G1490" s="94">
        <v>4.0067777E7</v>
      </c>
      <c r="H1490" s="87"/>
      <c r="I1490" s="87" t="s">
        <v>1012</v>
      </c>
    </row>
    <row r="1491">
      <c r="A1491" s="87">
        <v>850.0</v>
      </c>
      <c r="B1491" s="87" t="s">
        <v>252</v>
      </c>
      <c r="C1491" s="93">
        <v>1.0</v>
      </c>
      <c r="D1491" s="87" t="s">
        <v>39</v>
      </c>
      <c r="E1491" s="87" t="s">
        <v>253</v>
      </c>
      <c r="F1491" s="87"/>
      <c r="G1491" s="94">
        <v>4.014836E7</v>
      </c>
      <c r="H1491" s="87"/>
      <c r="I1491" s="87" t="s">
        <v>1012</v>
      </c>
    </row>
    <row r="1492">
      <c r="A1492" s="87">
        <v>852.0</v>
      </c>
      <c r="B1492" s="87" t="s">
        <v>252</v>
      </c>
      <c r="C1492" s="93">
        <v>1.0</v>
      </c>
      <c r="D1492" s="87" t="s">
        <v>39</v>
      </c>
      <c r="E1492" s="87" t="s">
        <v>253</v>
      </c>
      <c r="F1492" s="87"/>
      <c r="G1492" s="94">
        <v>4.0148866E7</v>
      </c>
      <c r="H1492" s="87"/>
      <c r="I1492" s="87" t="s">
        <v>1012</v>
      </c>
    </row>
    <row r="1493">
      <c r="A1493" s="87">
        <v>853.0</v>
      </c>
      <c r="B1493" s="87" t="s">
        <v>252</v>
      </c>
      <c r="C1493" s="93">
        <v>1.0</v>
      </c>
      <c r="D1493" s="87" t="s">
        <v>39</v>
      </c>
      <c r="E1493" s="87" t="s">
        <v>253</v>
      </c>
      <c r="F1493" s="87"/>
      <c r="G1493" s="94">
        <v>4.014889E7</v>
      </c>
      <c r="H1493" s="87"/>
      <c r="I1493" s="87" t="s">
        <v>1012</v>
      </c>
    </row>
    <row r="1494">
      <c r="A1494" s="87">
        <v>854.0</v>
      </c>
      <c r="B1494" s="87" t="s">
        <v>252</v>
      </c>
      <c r="C1494" s="93">
        <v>1.0</v>
      </c>
      <c r="D1494" s="87" t="s">
        <v>39</v>
      </c>
      <c r="E1494" s="87" t="s">
        <v>253</v>
      </c>
      <c r="F1494" s="87"/>
      <c r="G1494" s="94">
        <v>4.0148904E7</v>
      </c>
      <c r="H1494" s="87"/>
      <c r="I1494" s="87" t="s">
        <v>1012</v>
      </c>
    </row>
    <row r="1495">
      <c r="A1495" s="87">
        <v>855.0</v>
      </c>
      <c r="B1495" s="87" t="s">
        <v>252</v>
      </c>
      <c r="C1495" s="93">
        <v>1.0</v>
      </c>
      <c r="D1495" s="87" t="s">
        <v>39</v>
      </c>
      <c r="E1495" s="87" t="s">
        <v>253</v>
      </c>
      <c r="F1495" s="87"/>
      <c r="G1495" s="94">
        <v>4.014898E7</v>
      </c>
      <c r="H1495" s="87"/>
      <c r="I1495" s="87" t="s">
        <v>1012</v>
      </c>
    </row>
    <row r="1496">
      <c r="A1496" s="87">
        <v>856.0</v>
      </c>
      <c r="B1496" s="87" t="s">
        <v>252</v>
      </c>
      <c r="C1496" s="93">
        <v>1.0</v>
      </c>
      <c r="D1496" s="87" t="s">
        <v>39</v>
      </c>
      <c r="E1496" s="87" t="s">
        <v>253</v>
      </c>
      <c r="F1496" s="87"/>
      <c r="G1496" s="94">
        <v>4.0148998E7</v>
      </c>
      <c r="H1496" s="87"/>
      <c r="I1496" s="87" t="s">
        <v>1012</v>
      </c>
    </row>
    <row r="1497">
      <c r="A1497" s="87">
        <v>904.0</v>
      </c>
      <c r="B1497" s="87" t="s">
        <v>252</v>
      </c>
      <c r="C1497" s="93">
        <v>1.0</v>
      </c>
      <c r="D1497" s="87" t="s">
        <v>39</v>
      </c>
      <c r="E1497" s="87" t="s">
        <v>763</v>
      </c>
      <c r="F1497" s="87"/>
      <c r="G1497" s="94">
        <v>5.2383571E7</v>
      </c>
      <c r="H1497" s="87"/>
      <c r="I1497" s="87" t="s">
        <v>240</v>
      </c>
    </row>
    <row r="1498">
      <c r="A1498" s="87">
        <v>905.0</v>
      </c>
      <c r="B1498" s="87" t="s">
        <v>252</v>
      </c>
      <c r="C1498" s="93">
        <v>1.0</v>
      </c>
      <c r="D1498" s="87" t="s">
        <v>39</v>
      </c>
      <c r="E1498" s="87" t="s">
        <v>1098</v>
      </c>
      <c r="F1498" s="87"/>
      <c r="G1498" s="94">
        <v>5.2386856E7</v>
      </c>
      <c r="H1498" s="87"/>
      <c r="I1498" s="87"/>
    </row>
    <row r="1499">
      <c r="A1499" s="87">
        <v>915.0</v>
      </c>
      <c r="B1499" s="87" t="s">
        <v>252</v>
      </c>
      <c r="C1499" s="93">
        <v>1.0</v>
      </c>
      <c r="D1499" s="87" t="s">
        <v>39</v>
      </c>
      <c r="E1499" s="87" t="s">
        <v>253</v>
      </c>
      <c r="F1499" s="87"/>
      <c r="G1499" s="94">
        <v>5.7236151E7</v>
      </c>
      <c r="H1499" s="87"/>
      <c r="I1499" s="87" t="s">
        <v>1082</v>
      </c>
    </row>
    <row r="1500">
      <c r="A1500" s="87">
        <v>945.0</v>
      </c>
      <c r="B1500" s="87" t="s">
        <v>252</v>
      </c>
      <c r="C1500" s="93">
        <v>1.0</v>
      </c>
      <c r="D1500" s="87" t="s">
        <v>39</v>
      </c>
      <c r="E1500" s="87" t="s">
        <v>1098</v>
      </c>
      <c r="F1500" s="87"/>
      <c r="G1500" s="94">
        <v>7.601388E7</v>
      </c>
      <c r="H1500" s="87"/>
      <c r="I1500" s="87"/>
    </row>
    <row r="1501">
      <c r="A1501" s="87">
        <v>946.0</v>
      </c>
      <c r="B1501" s="87" t="s">
        <v>252</v>
      </c>
      <c r="C1501" s="93">
        <v>1.0</v>
      </c>
      <c r="D1501" s="87" t="s">
        <v>39</v>
      </c>
      <c r="E1501" s="87" t="s">
        <v>1098</v>
      </c>
      <c r="F1501" s="87"/>
      <c r="G1501" s="94">
        <v>7.6014576E7</v>
      </c>
      <c r="H1501" s="87"/>
      <c r="I1501" s="87" t="s">
        <v>1101</v>
      </c>
    </row>
    <row r="1502">
      <c r="A1502" s="87">
        <v>998.0</v>
      </c>
      <c r="B1502" s="87" t="s">
        <v>252</v>
      </c>
      <c r="C1502" s="93">
        <v>1.0</v>
      </c>
      <c r="D1502" s="87" t="s">
        <v>39</v>
      </c>
      <c r="E1502" s="87" t="s">
        <v>763</v>
      </c>
      <c r="F1502" s="87"/>
      <c r="G1502" s="94">
        <v>7.6715752E7</v>
      </c>
      <c r="H1502" s="87"/>
      <c r="I1502" s="87"/>
    </row>
    <row r="1503">
      <c r="A1503" s="87">
        <v>999.0</v>
      </c>
      <c r="B1503" s="87" t="s">
        <v>252</v>
      </c>
      <c r="C1503" s="93">
        <v>1.0</v>
      </c>
      <c r="D1503" s="87" t="s">
        <v>39</v>
      </c>
      <c r="E1503" s="87" t="s">
        <v>763</v>
      </c>
      <c r="F1503" s="87"/>
      <c r="G1503" s="94">
        <v>7.671576E7</v>
      </c>
      <c r="H1503" s="87"/>
      <c r="I1503" s="87"/>
    </row>
    <row r="1504">
      <c r="A1504" s="87">
        <v>1000.0</v>
      </c>
      <c r="B1504" s="87" t="s">
        <v>252</v>
      </c>
      <c r="C1504" s="93">
        <v>1.0</v>
      </c>
      <c r="D1504" s="87" t="s">
        <v>39</v>
      </c>
      <c r="E1504" s="87" t="s">
        <v>253</v>
      </c>
      <c r="F1504" s="87"/>
      <c r="G1504" s="94">
        <v>7.6715779E7</v>
      </c>
      <c r="H1504" s="87"/>
      <c r="I1504" s="87" t="s">
        <v>1014</v>
      </c>
    </row>
    <row r="1505">
      <c r="A1505" s="87">
        <v>1001.0</v>
      </c>
      <c r="B1505" s="87" t="s">
        <v>252</v>
      </c>
      <c r="C1505" s="93">
        <v>1.0</v>
      </c>
      <c r="D1505" s="87" t="s">
        <v>39</v>
      </c>
      <c r="E1505" s="87" t="s">
        <v>253</v>
      </c>
      <c r="F1505" s="87"/>
      <c r="G1505" s="94">
        <v>7.6715787E7</v>
      </c>
      <c r="H1505" s="87"/>
      <c r="I1505" s="87" t="s">
        <v>1078</v>
      </c>
    </row>
    <row r="1506">
      <c r="A1506" s="87">
        <v>1002.0</v>
      </c>
      <c r="B1506" s="87" t="s">
        <v>252</v>
      </c>
      <c r="C1506" s="93">
        <v>1.0</v>
      </c>
      <c r="D1506" s="87" t="s">
        <v>39</v>
      </c>
      <c r="E1506" s="87" t="s">
        <v>253</v>
      </c>
      <c r="F1506" s="87"/>
      <c r="G1506" s="94">
        <v>7.6715795E7</v>
      </c>
      <c r="H1506" s="87"/>
      <c r="I1506" s="87" t="s">
        <v>1079</v>
      </c>
    </row>
    <row r="1507">
      <c r="A1507" s="87">
        <v>1003.0</v>
      </c>
      <c r="B1507" s="87" t="s">
        <v>252</v>
      </c>
      <c r="C1507" s="93">
        <v>1.0</v>
      </c>
      <c r="D1507" s="87" t="s">
        <v>39</v>
      </c>
      <c r="E1507" s="87" t="s">
        <v>253</v>
      </c>
      <c r="F1507" s="87"/>
      <c r="G1507" s="94">
        <v>7.6715809E7</v>
      </c>
      <c r="H1507" s="87"/>
      <c r="I1507" s="87" t="s">
        <v>1080</v>
      </c>
    </row>
    <row r="1508">
      <c r="A1508" s="87">
        <v>1004.0</v>
      </c>
      <c r="B1508" s="87" t="s">
        <v>252</v>
      </c>
      <c r="C1508" s="93">
        <v>1.0</v>
      </c>
      <c r="D1508" s="87" t="s">
        <v>39</v>
      </c>
      <c r="E1508" s="87" t="s">
        <v>253</v>
      </c>
      <c r="F1508" s="87"/>
      <c r="G1508" s="94">
        <v>7.6715817E7</v>
      </c>
      <c r="H1508" s="87"/>
      <c r="I1508" s="87" t="s">
        <v>1081</v>
      </c>
    </row>
    <row r="1509">
      <c r="A1509" s="87">
        <v>1005.0</v>
      </c>
      <c r="B1509" s="87" t="s">
        <v>252</v>
      </c>
      <c r="C1509" s="93">
        <v>1.0</v>
      </c>
      <c r="D1509" s="87" t="s">
        <v>39</v>
      </c>
      <c r="E1509" s="87" t="s">
        <v>253</v>
      </c>
      <c r="F1509" s="87"/>
      <c r="G1509" s="94">
        <v>7.6715825E7</v>
      </c>
      <c r="H1509" s="87"/>
      <c r="I1509" s="87" t="s">
        <v>1082</v>
      </c>
    </row>
    <row r="1510">
      <c r="A1510" s="87">
        <v>1006.0</v>
      </c>
      <c r="B1510" s="87" t="s">
        <v>252</v>
      </c>
      <c r="C1510" s="93">
        <v>1.0</v>
      </c>
      <c r="D1510" s="87" t="s">
        <v>39</v>
      </c>
      <c r="E1510" s="87" t="s">
        <v>253</v>
      </c>
      <c r="F1510" s="87"/>
      <c r="G1510" s="94">
        <v>7.6715833E7</v>
      </c>
      <c r="H1510" s="87"/>
      <c r="I1510" s="87" t="s">
        <v>1083</v>
      </c>
    </row>
    <row r="1511">
      <c r="A1511" s="87">
        <v>1007.0</v>
      </c>
      <c r="B1511" s="87" t="s">
        <v>252</v>
      </c>
      <c r="C1511" s="93">
        <v>1.0</v>
      </c>
      <c r="D1511" s="87" t="s">
        <v>39</v>
      </c>
      <c r="E1511" s="87" t="s">
        <v>245</v>
      </c>
      <c r="F1511" s="87"/>
      <c r="G1511" s="94">
        <v>7.6715841E7</v>
      </c>
      <c r="H1511" s="87"/>
      <c r="I1511" s="87"/>
    </row>
    <row r="1512">
      <c r="A1512" s="87">
        <v>1451.0</v>
      </c>
      <c r="B1512" s="87" t="s">
        <v>252</v>
      </c>
      <c r="C1512" s="93">
        <v>1.0</v>
      </c>
      <c r="D1512" s="87" t="s">
        <v>39</v>
      </c>
      <c r="E1512" s="87" t="s">
        <v>253</v>
      </c>
      <c r="F1512" s="87"/>
      <c r="G1512" s="94">
        <v>1.4094002E7</v>
      </c>
      <c r="H1512" s="87"/>
      <c r="I1512" s="87" t="s">
        <v>983</v>
      </c>
    </row>
    <row r="1513">
      <c r="A1513" s="87">
        <v>1452.0</v>
      </c>
      <c r="B1513" s="87" t="s">
        <v>252</v>
      </c>
      <c r="C1513" s="93">
        <v>1.0</v>
      </c>
      <c r="D1513" s="87" t="s">
        <v>39</v>
      </c>
      <c r="E1513" s="87" t="s">
        <v>253</v>
      </c>
      <c r="F1513" s="87"/>
      <c r="G1513" s="94">
        <v>1.409401E7</v>
      </c>
      <c r="H1513" s="87"/>
      <c r="I1513" s="87" t="s">
        <v>1014</v>
      </c>
    </row>
    <row r="1514">
      <c r="A1514" s="87">
        <v>1453.0</v>
      </c>
      <c r="B1514" s="87" t="s">
        <v>252</v>
      </c>
      <c r="C1514" s="93">
        <v>1.0</v>
      </c>
      <c r="D1514" s="87" t="s">
        <v>39</v>
      </c>
      <c r="E1514" s="87" t="s">
        <v>253</v>
      </c>
      <c r="F1514" s="87"/>
      <c r="G1514" s="94">
        <v>1.4113465E7</v>
      </c>
      <c r="H1514" s="87"/>
      <c r="I1514" s="87" t="s">
        <v>1014</v>
      </c>
    </row>
    <row r="1515">
      <c r="A1515" s="87">
        <v>1454.0</v>
      </c>
      <c r="B1515" s="87" t="s">
        <v>252</v>
      </c>
      <c r="C1515" s="93">
        <v>1.0</v>
      </c>
      <c r="D1515" s="87" t="s">
        <v>39</v>
      </c>
      <c r="E1515" s="87" t="s">
        <v>253</v>
      </c>
      <c r="F1515" s="87"/>
      <c r="G1515" s="94">
        <v>4.014827E7</v>
      </c>
      <c r="H1515" s="87"/>
      <c r="I1515" s="87" t="s">
        <v>1078</v>
      </c>
    </row>
    <row r="1516">
      <c r="A1516" s="87">
        <v>1551.0</v>
      </c>
      <c r="B1516" s="87" t="s">
        <v>252</v>
      </c>
      <c r="C1516" s="93">
        <v>1.0</v>
      </c>
      <c r="D1516" s="87"/>
      <c r="E1516" s="87" t="s">
        <v>83</v>
      </c>
      <c r="F1516" s="87"/>
      <c r="G1516" s="94">
        <v>1.00679579E8</v>
      </c>
      <c r="H1516" s="87"/>
      <c r="I1516" s="87"/>
    </row>
    <row r="1517">
      <c r="A1517" s="87">
        <v>1552.0</v>
      </c>
      <c r="B1517" s="87" t="s">
        <v>252</v>
      </c>
      <c r="C1517" s="93">
        <v>1.0</v>
      </c>
      <c r="D1517" s="87" t="s">
        <v>39</v>
      </c>
      <c r="E1517" s="87" t="s">
        <v>763</v>
      </c>
      <c r="F1517" s="87"/>
      <c r="G1517" s="94">
        <v>5.4155894E7</v>
      </c>
      <c r="H1517" s="87"/>
      <c r="I1517" s="87"/>
    </row>
    <row r="1518">
      <c r="A1518" s="87">
        <v>1553.0</v>
      </c>
      <c r="B1518" s="87" t="s">
        <v>252</v>
      </c>
      <c r="C1518" s="93">
        <v>1.0</v>
      </c>
      <c r="D1518" s="87" t="s">
        <v>39</v>
      </c>
      <c r="E1518" s="87" t="s">
        <v>763</v>
      </c>
      <c r="F1518" s="87"/>
      <c r="G1518" s="94">
        <v>6.2060805E7</v>
      </c>
      <c r="H1518" s="87"/>
      <c r="I1518" s="87"/>
    </row>
    <row r="1519">
      <c r="A1519" s="87">
        <v>1554.0</v>
      </c>
      <c r="B1519" s="87" t="s">
        <v>252</v>
      </c>
      <c r="C1519" s="93">
        <v>1.0</v>
      </c>
      <c r="D1519" s="87" t="s">
        <v>39</v>
      </c>
      <c r="E1519" s="87" t="s">
        <v>664</v>
      </c>
      <c r="F1519" s="87"/>
      <c r="G1519" s="94">
        <v>6.2061097E7</v>
      </c>
      <c r="H1519" s="87"/>
      <c r="I1519" s="87"/>
    </row>
    <row r="1520">
      <c r="A1520" s="87">
        <v>1555.0</v>
      </c>
      <c r="B1520" s="87" t="s">
        <v>252</v>
      </c>
      <c r="C1520" s="93">
        <v>1.0</v>
      </c>
      <c r="D1520" s="87"/>
      <c r="E1520" s="87" t="s">
        <v>83</v>
      </c>
      <c r="F1520" s="87"/>
      <c r="G1520" s="94">
        <v>1.00687857E8</v>
      </c>
      <c r="H1520" s="87"/>
      <c r="I1520" s="87"/>
    </row>
    <row r="1521">
      <c r="A1521" s="87">
        <v>1556.0</v>
      </c>
      <c r="B1521" s="87" t="s">
        <v>252</v>
      </c>
      <c r="C1521" s="93">
        <v>1.0</v>
      </c>
      <c r="D1521" s="87" t="s">
        <v>39</v>
      </c>
      <c r="E1521" s="87" t="s">
        <v>664</v>
      </c>
      <c r="F1521" s="87"/>
      <c r="G1521" s="94">
        <v>1.00687865E8</v>
      </c>
      <c r="H1521" s="87"/>
      <c r="I1521" s="87"/>
    </row>
    <row r="1522">
      <c r="A1522" s="87">
        <v>1585.0</v>
      </c>
      <c r="B1522" s="87" t="s">
        <v>252</v>
      </c>
      <c r="C1522" s="93">
        <v>1.0</v>
      </c>
      <c r="D1522" s="87"/>
      <c r="E1522" s="87" t="s">
        <v>83</v>
      </c>
      <c r="F1522" s="87"/>
      <c r="G1522" s="94">
        <v>7.6918637E7</v>
      </c>
      <c r="H1522" s="87"/>
      <c r="I1522" s="87"/>
    </row>
    <row r="1523">
      <c r="A1523" s="87">
        <v>1659.0</v>
      </c>
      <c r="B1523" s="87" t="s">
        <v>252</v>
      </c>
      <c r="C1523" s="93">
        <v>1.0</v>
      </c>
      <c r="D1523" s="87" t="s">
        <v>39</v>
      </c>
      <c r="E1523" s="87" t="s">
        <v>83</v>
      </c>
      <c r="F1523" s="87"/>
      <c r="G1523" s="94">
        <v>7.6918645E7</v>
      </c>
      <c r="H1523" s="87"/>
      <c r="I1523" s="87"/>
    </row>
    <row r="1524">
      <c r="A1524" s="87">
        <v>1660.0</v>
      </c>
      <c r="B1524" s="87" t="s">
        <v>252</v>
      </c>
      <c r="C1524" s="93">
        <v>1.0</v>
      </c>
      <c r="D1524" s="87" t="s">
        <v>39</v>
      </c>
      <c r="E1524" s="87" t="s">
        <v>83</v>
      </c>
      <c r="F1524" s="87"/>
      <c r="G1524" s="94">
        <v>7.6918653E7</v>
      </c>
      <c r="H1524" s="87"/>
      <c r="I1524" s="87"/>
    </row>
    <row r="1525">
      <c r="A1525" s="87">
        <v>1661.0</v>
      </c>
      <c r="B1525" s="87" t="s">
        <v>252</v>
      </c>
      <c r="C1525" s="93">
        <v>1.0</v>
      </c>
      <c r="D1525" s="87" t="s">
        <v>39</v>
      </c>
      <c r="E1525" s="87" t="s">
        <v>83</v>
      </c>
      <c r="F1525" s="87"/>
      <c r="G1525" s="94">
        <v>7.6918661E7</v>
      </c>
      <c r="H1525" s="87"/>
      <c r="I1525" s="87"/>
    </row>
    <row r="1526">
      <c r="A1526" s="87">
        <v>1662.0</v>
      </c>
      <c r="B1526" s="87" t="s">
        <v>252</v>
      </c>
      <c r="C1526" s="93">
        <v>1.0</v>
      </c>
      <c r="D1526" s="87" t="s">
        <v>39</v>
      </c>
      <c r="E1526" s="87" t="s">
        <v>83</v>
      </c>
      <c r="F1526" s="87"/>
      <c r="G1526" s="94">
        <v>7.691867E7</v>
      </c>
      <c r="H1526" s="87"/>
      <c r="I1526" s="87"/>
    </row>
    <row r="1527">
      <c r="A1527" s="87">
        <v>1663.0</v>
      </c>
      <c r="B1527" s="87" t="s">
        <v>252</v>
      </c>
      <c r="C1527" s="93">
        <v>1.0</v>
      </c>
      <c r="D1527" s="87" t="s">
        <v>39</v>
      </c>
      <c r="E1527" s="87" t="s">
        <v>83</v>
      </c>
      <c r="F1527" s="87"/>
      <c r="G1527" s="94">
        <v>7.6918688E7</v>
      </c>
      <c r="H1527" s="87"/>
      <c r="I1527" s="87"/>
    </row>
    <row r="1528">
      <c r="A1528" s="87">
        <v>1664.0</v>
      </c>
      <c r="B1528" s="87" t="s">
        <v>252</v>
      </c>
      <c r="C1528" s="93">
        <v>1.0</v>
      </c>
      <c r="D1528" s="87" t="s">
        <v>39</v>
      </c>
      <c r="E1528" s="87" t="s">
        <v>83</v>
      </c>
      <c r="F1528" s="87"/>
      <c r="G1528" s="94">
        <v>7.6918696E7</v>
      </c>
      <c r="H1528" s="87"/>
      <c r="I1528" s="87"/>
    </row>
    <row r="1529">
      <c r="A1529" s="87">
        <v>1665.0</v>
      </c>
      <c r="B1529" s="87" t="s">
        <v>252</v>
      </c>
      <c r="C1529" s="93">
        <v>1.0</v>
      </c>
      <c r="D1529" s="87" t="s">
        <v>39</v>
      </c>
      <c r="E1529" s="87" t="s">
        <v>83</v>
      </c>
      <c r="F1529" s="87"/>
      <c r="G1529" s="94">
        <v>7.69187E7</v>
      </c>
      <c r="H1529" s="87"/>
      <c r="I1529" s="87"/>
    </row>
    <row r="1530">
      <c r="A1530" s="87">
        <v>1707.0</v>
      </c>
      <c r="B1530" s="87" t="s">
        <v>252</v>
      </c>
      <c r="C1530" s="93">
        <v>1.0</v>
      </c>
      <c r="D1530" s="87" t="s">
        <v>39</v>
      </c>
      <c r="E1530" s="87" t="s">
        <v>763</v>
      </c>
      <c r="F1530" s="87"/>
      <c r="G1530" s="94">
        <v>6.2060805E7</v>
      </c>
      <c r="H1530" s="87"/>
      <c r="I1530" s="87" t="s">
        <v>1102</v>
      </c>
    </row>
    <row r="1531">
      <c r="A1531" s="87">
        <v>1708.0</v>
      </c>
      <c r="B1531" s="87" t="s">
        <v>252</v>
      </c>
      <c r="C1531" s="93">
        <v>1.0</v>
      </c>
      <c r="D1531" s="87" t="s">
        <v>39</v>
      </c>
      <c r="E1531" s="87" t="s">
        <v>763</v>
      </c>
      <c r="F1531" s="87"/>
      <c r="G1531" s="94">
        <v>7.671576E7</v>
      </c>
      <c r="H1531" s="87"/>
      <c r="I1531" s="87" t="s">
        <v>1102</v>
      </c>
    </row>
    <row r="1532">
      <c r="A1532" s="87">
        <v>1709.0</v>
      </c>
      <c r="B1532" s="87" t="s">
        <v>252</v>
      </c>
      <c r="C1532" s="93">
        <v>1.0</v>
      </c>
      <c r="D1532" s="87" t="s">
        <v>39</v>
      </c>
      <c r="E1532" s="87" t="s">
        <v>763</v>
      </c>
      <c r="F1532" s="87"/>
      <c r="G1532" s="94">
        <v>7.6014703E7</v>
      </c>
      <c r="H1532" s="87"/>
      <c r="I1532" s="87" t="s">
        <v>1103</v>
      </c>
    </row>
    <row r="1533">
      <c r="A1533" s="87">
        <v>1710.0</v>
      </c>
      <c r="B1533" s="87" t="s">
        <v>252</v>
      </c>
      <c r="C1533" s="93">
        <v>1.0</v>
      </c>
      <c r="D1533" s="87" t="s">
        <v>39</v>
      </c>
      <c r="E1533" s="87" t="s">
        <v>763</v>
      </c>
      <c r="F1533" s="87"/>
      <c r="G1533" s="94">
        <v>5.4155894E7</v>
      </c>
      <c r="H1533" s="87"/>
      <c r="I1533" s="87" t="s">
        <v>1102</v>
      </c>
    </row>
    <row r="1534">
      <c r="A1534" s="87">
        <v>1711.0</v>
      </c>
      <c r="B1534" s="87" t="s">
        <v>252</v>
      </c>
      <c r="C1534" s="93">
        <v>1.0</v>
      </c>
      <c r="D1534" s="87" t="s">
        <v>39</v>
      </c>
      <c r="E1534" s="87" t="s">
        <v>763</v>
      </c>
      <c r="F1534" s="87"/>
      <c r="G1534" s="94">
        <v>7.6715752E7</v>
      </c>
      <c r="H1534" s="87"/>
      <c r="I1534" s="87" t="s">
        <v>1102</v>
      </c>
    </row>
    <row r="1535">
      <c r="A1535" s="87">
        <v>752.0</v>
      </c>
      <c r="B1535" s="87" t="s">
        <v>1104</v>
      </c>
      <c r="C1535" s="93">
        <v>1.0</v>
      </c>
      <c r="D1535" s="87" t="s">
        <v>39</v>
      </c>
      <c r="E1535" s="87" t="s">
        <v>253</v>
      </c>
      <c r="F1535" s="87"/>
      <c r="G1535" s="94">
        <v>1.0476768E7</v>
      </c>
      <c r="H1535" s="87"/>
      <c r="I1535" s="87" t="s">
        <v>1078</v>
      </c>
    </row>
    <row r="1536">
      <c r="A1536" s="87">
        <v>764.0</v>
      </c>
      <c r="B1536" s="87" t="s">
        <v>1104</v>
      </c>
      <c r="C1536" s="93">
        <v>1.0</v>
      </c>
      <c r="D1536" s="87" t="s">
        <v>39</v>
      </c>
      <c r="E1536" s="87" t="s">
        <v>253</v>
      </c>
      <c r="F1536" s="87"/>
      <c r="G1536" s="94">
        <v>1.3769111E7</v>
      </c>
      <c r="H1536" s="87"/>
      <c r="I1536" s="87" t="s">
        <v>1014</v>
      </c>
    </row>
    <row r="1537">
      <c r="A1537" s="87">
        <v>805.0</v>
      </c>
      <c r="B1537" s="87" t="s">
        <v>1104</v>
      </c>
      <c r="C1537" s="93">
        <v>1.0</v>
      </c>
      <c r="D1537" s="87" t="s">
        <v>39</v>
      </c>
      <c r="E1537" s="87" t="s">
        <v>253</v>
      </c>
      <c r="F1537" s="87"/>
      <c r="G1537" s="94">
        <v>1.2745715E7</v>
      </c>
      <c r="H1537" s="87"/>
      <c r="I1537" s="87" t="s">
        <v>1012</v>
      </c>
    </row>
    <row r="1538">
      <c r="A1538" s="87">
        <v>832.0</v>
      </c>
      <c r="B1538" s="87" t="s">
        <v>1104</v>
      </c>
      <c r="C1538" s="93">
        <v>1.0</v>
      </c>
      <c r="D1538" s="87" t="s">
        <v>39</v>
      </c>
      <c r="E1538" s="87" t="s">
        <v>253</v>
      </c>
      <c r="F1538" s="87"/>
      <c r="G1538" s="94">
        <v>1.883857E7</v>
      </c>
      <c r="H1538" s="87"/>
      <c r="I1538" s="87" t="s">
        <v>1012</v>
      </c>
    </row>
    <row r="1539">
      <c r="A1539" s="87">
        <v>188.0</v>
      </c>
      <c r="B1539" s="87" t="s">
        <v>255</v>
      </c>
      <c r="C1539" s="93">
        <v>1.0</v>
      </c>
      <c r="D1539" s="87"/>
      <c r="E1539" s="87" t="s">
        <v>83</v>
      </c>
      <c r="F1539" s="87"/>
      <c r="G1539" s="94">
        <v>2.2970355E7</v>
      </c>
      <c r="H1539" s="87"/>
      <c r="I1539" s="87"/>
    </row>
    <row r="1540">
      <c r="A1540" s="87">
        <v>774.0</v>
      </c>
      <c r="B1540" s="87" t="s">
        <v>255</v>
      </c>
      <c r="C1540" s="93">
        <v>1.0</v>
      </c>
      <c r="D1540" s="87" t="s">
        <v>39</v>
      </c>
      <c r="E1540" s="87" t="s">
        <v>1098</v>
      </c>
      <c r="F1540" s="87"/>
      <c r="G1540" s="94">
        <v>2.2944508E7</v>
      </c>
      <c r="H1540" s="87"/>
      <c r="I1540" s="87"/>
    </row>
    <row r="1541">
      <c r="A1541" s="87">
        <v>1062.0</v>
      </c>
      <c r="B1541" s="87" t="s">
        <v>754</v>
      </c>
      <c r="C1541" s="93">
        <v>1.0</v>
      </c>
      <c r="D1541" s="87" t="s">
        <v>39</v>
      </c>
      <c r="E1541" s="87" t="s">
        <v>72</v>
      </c>
      <c r="F1541" s="87"/>
      <c r="G1541" s="94">
        <v>7.680819E7</v>
      </c>
      <c r="H1541" s="87"/>
      <c r="I1541" s="87"/>
    </row>
    <row r="1542">
      <c r="A1542" s="87">
        <v>1063.0</v>
      </c>
      <c r="B1542" s="87" t="s">
        <v>754</v>
      </c>
      <c r="C1542" s="93">
        <v>1.0</v>
      </c>
      <c r="D1542" s="87" t="s">
        <v>39</v>
      </c>
      <c r="E1542" s="87" t="s">
        <v>72</v>
      </c>
      <c r="F1542" s="87"/>
      <c r="G1542" s="94">
        <v>7.6808203E7</v>
      </c>
      <c r="H1542" s="87"/>
      <c r="I1542" s="87"/>
    </row>
    <row r="1543">
      <c r="A1543" s="87">
        <v>1064.0</v>
      </c>
      <c r="B1543" s="87" t="s">
        <v>754</v>
      </c>
      <c r="C1543" s="93">
        <v>1.0</v>
      </c>
      <c r="D1543" s="87" t="s">
        <v>39</v>
      </c>
      <c r="E1543" s="87" t="s">
        <v>72</v>
      </c>
      <c r="F1543" s="87"/>
      <c r="G1543" s="94">
        <v>7.6808211E7</v>
      </c>
      <c r="H1543" s="87"/>
      <c r="I1543" s="87"/>
    </row>
    <row r="1544">
      <c r="A1544" s="87">
        <v>1065.0</v>
      </c>
      <c r="B1544" s="87" t="s">
        <v>754</v>
      </c>
      <c r="C1544" s="93">
        <v>1.0</v>
      </c>
      <c r="D1544" s="87" t="s">
        <v>39</v>
      </c>
      <c r="E1544" s="87" t="s">
        <v>72</v>
      </c>
      <c r="F1544" s="87"/>
      <c r="G1544" s="94">
        <v>7.680822E7</v>
      </c>
      <c r="H1544" s="87"/>
      <c r="I1544" s="87"/>
    </row>
    <row r="1545">
      <c r="A1545" s="87">
        <v>1066.0</v>
      </c>
      <c r="B1545" s="87" t="s">
        <v>754</v>
      </c>
      <c r="C1545" s="93">
        <v>1.0</v>
      </c>
      <c r="D1545" s="87" t="s">
        <v>39</v>
      </c>
      <c r="E1545" s="87" t="s">
        <v>72</v>
      </c>
      <c r="F1545" s="87"/>
      <c r="G1545" s="94">
        <v>7.6808238E7</v>
      </c>
      <c r="H1545" s="87"/>
      <c r="I1545" s="87"/>
    </row>
    <row r="1546">
      <c r="A1546" s="87">
        <v>1067.0</v>
      </c>
      <c r="B1546" s="87" t="s">
        <v>754</v>
      </c>
      <c r="C1546" s="93">
        <v>1.0</v>
      </c>
      <c r="D1546" s="87" t="s">
        <v>39</v>
      </c>
      <c r="E1546" s="87" t="s">
        <v>72</v>
      </c>
      <c r="F1546" s="87"/>
      <c r="G1546" s="94">
        <v>7.6808246E7</v>
      </c>
      <c r="H1546" s="87"/>
      <c r="I1546" s="87"/>
    </row>
    <row r="1547">
      <c r="A1547" s="87">
        <v>1068.0</v>
      </c>
      <c r="B1547" s="87" t="s">
        <v>754</v>
      </c>
      <c r="C1547" s="93">
        <v>1.0</v>
      </c>
      <c r="D1547" s="87" t="s">
        <v>39</v>
      </c>
      <c r="E1547" s="87" t="s">
        <v>72</v>
      </c>
      <c r="F1547" s="87"/>
      <c r="G1547" s="94">
        <v>7.6808254E7</v>
      </c>
      <c r="H1547" s="87"/>
      <c r="I1547" s="87"/>
    </row>
    <row r="1548">
      <c r="A1548" s="87">
        <v>1069.0</v>
      </c>
      <c r="B1548" s="87" t="s">
        <v>754</v>
      </c>
      <c r="C1548" s="93">
        <v>1.0</v>
      </c>
      <c r="D1548" s="87" t="s">
        <v>39</v>
      </c>
      <c r="E1548" s="87" t="s">
        <v>72</v>
      </c>
      <c r="F1548" s="87"/>
      <c r="G1548" s="94">
        <v>7.6808262E7</v>
      </c>
      <c r="H1548" s="87"/>
      <c r="I1548" s="87"/>
    </row>
    <row r="1549">
      <c r="A1549" s="87">
        <v>1070.0</v>
      </c>
      <c r="B1549" s="87" t="s">
        <v>754</v>
      </c>
      <c r="C1549" s="93">
        <v>1.0</v>
      </c>
      <c r="D1549" s="87" t="s">
        <v>39</v>
      </c>
      <c r="E1549" s="87" t="s">
        <v>72</v>
      </c>
      <c r="F1549" s="87"/>
      <c r="G1549" s="94">
        <v>7.680827E7</v>
      </c>
      <c r="H1549" s="87"/>
      <c r="I1549" s="87"/>
    </row>
    <row r="1550">
      <c r="A1550" s="87">
        <v>1071.0</v>
      </c>
      <c r="B1550" s="87" t="s">
        <v>754</v>
      </c>
      <c r="C1550" s="93">
        <v>1.0</v>
      </c>
      <c r="D1550" s="87" t="s">
        <v>39</v>
      </c>
      <c r="E1550" s="87" t="s">
        <v>72</v>
      </c>
      <c r="F1550" s="87"/>
      <c r="G1550" s="94">
        <v>7.6808289E7</v>
      </c>
      <c r="H1550" s="87"/>
      <c r="I1550" s="87"/>
    </row>
    <row r="1551">
      <c r="A1551" s="87">
        <v>1072.0</v>
      </c>
      <c r="B1551" s="87" t="s">
        <v>754</v>
      </c>
      <c r="C1551" s="93">
        <v>1.0</v>
      </c>
      <c r="D1551" s="87" t="s">
        <v>39</v>
      </c>
      <c r="E1551" s="87" t="s">
        <v>72</v>
      </c>
      <c r="F1551" s="87"/>
      <c r="G1551" s="94">
        <v>7.6808297E7</v>
      </c>
      <c r="H1551" s="87"/>
      <c r="I1551" s="87"/>
    </row>
    <row r="1552">
      <c r="A1552" s="87">
        <v>1073.0</v>
      </c>
      <c r="B1552" s="87" t="s">
        <v>754</v>
      </c>
      <c r="C1552" s="93">
        <v>1.0</v>
      </c>
      <c r="D1552" s="87" t="s">
        <v>39</v>
      </c>
      <c r="E1552" s="87" t="s">
        <v>72</v>
      </c>
      <c r="F1552" s="87"/>
      <c r="G1552" s="94">
        <v>7.68083E7</v>
      </c>
      <c r="H1552" s="87"/>
      <c r="I1552" s="87"/>
    </row>
    <row r="1553">
      <c r="A1553" s="87">
        <v>1074.0</v>
      </c>
      <c r="B1553" s="87" t="s">
        <v>754</v>
      </c>
      <c r="C1553" s="93">
        <v>1.0</v>
      </c>
      <c r="D1553" s="87" t="s">
        <v>39</v>
      </c>
      <c r="E1553" s="87" t="s">
        <v>72</v>
      </c>
      <c r="F1553" s="87"/>
      <c r="G1553" s="94">
        <v>7.6808319E7</v>
      </c>
      <c r="H1553" s="87"/>
      <c r="I1553" s="87"/>
    </row>
    <row r="1554">
      <c r="A1554" s="87">
        <v>1075.0</v>
      </c>
      <c r="B1554" s="87" t="s">
        <v>754</v>
      </c>
      <c r="C1554" s="93">
        <v>1.0</v>
      </c>
      <c r="D1554" s="87" t="s">
        <v>39</v>
      </c>
      <c r="E1554" s="87" t="s">
        <v>72</v>
      </c>
      <c r="F1554" s="87"/>
      <c r="G1554" s="94">
        <v>7.6808327E7</v>
      </c>
      <c r="H1554" s="87"/>
      <c r="I1554" s="87"/>
    </row>
    <row r="1555">
      <c r="A1555" s="87">
        <v>1076.0</v>
      </c>
      <c r="B1555" s="87" t="s">
        <v>754</v>
      </c>
      <c r="C1555" s="93">
        <v>1.0</v>
      </c>
      <c r="D1555" s="87" t="s">
        <v>39</v>
      </c>
      <c r="E1555" s="87" t="s">
        <v>72</v>
      </c>
      <c r="F1555" s="87"/>
      <c r="G1555" s="94">
        <v>7.6808335E7</v>
      </c>
      <c r="H1555" s="87"/>
      <c r="I1555" s="87"/>
    </row>
    <row r="1556">
      <c r="A1556" s="87">
        <v>1077.0</v>
      </c>
      <c r="B1556" s="87" t="s">
        <v>754</v>
      </c>
      <c r="C1556" s="93">
        <v>1.0</v>
      </c>
      <c r="D1556" s="87" t="s">
        <v>39</v>
      </c>
      <c r="E1556" s="87" t="s">
        <v>72</v>
      </c>
      <c r="F1556" s="87"/>
      <c r="G1556" s="94">
        <v>7.6808343E7</v>
      </c>
      <c r="H1556" s="87"/>
      <c r="I1556" s="87"/>
    </row>
    <row r="1557">
      <c r="A1557" s="87">
        <v>1078.0</v>
      </c>
      <c r="B1557" s="87" t="s">
        <v>754</v>
      </c>
      <c r="C1557" s="93">
        <v>1.0</v>
      </c>
      <c r="D1557" s="87" t="s">
        <v>39</v>
      </c>
      <c r="E1557" s="87" t="s">
        <v>72</v>
      </c>
      <c r="F1557" s="87"/>
      <c r="G1557" s="94">
        <v>7.6808351E7</v>
      </c>
      <c r="H1557" s="87"/>
      <c r="I1557" s="87"/>
    </row>
    <row r="1558">
      <c r="A1558" s="87">
        <v>1079.0</v>
      </c>
      <c r="B1558" s="87" t="s">
        <v>754</v>
      </c>
      <c r="C1558" s="93">
        <v>1.0</v>
      </c>
      <c r="D1558" s="87" t="s">
        <v>39</v>
      </c>
      <c r="E1558" s="87" t="s">
        <v>72</v>
      </c>
      <c r="F1558" s="87"/>
      <c r="G1558" s="94">
        <v>7.680836E7</v>
      </c>
      <c r="H1558" s="87"/>
      <c r="I1558" s="87"/>
    </row>
    <row r="1559">
      <c r="A1559" s="87">
        <v>1080.0</v>
      </c>
      <c r="B1559" s="87" t="s">
        <v>754</v>
      </c>
      <c r="C1559" s="93">
        <v>1.0</v>
      </c>
      <c r="D1559" s="87" t="s">
        <v>39</v>
      </c>
      <c r="E1559" s="87" t="s">
        <v>72</v>
      </c>
      <c r="F1559" s="87"/>
      <c r="G1559" s="94">
        <v>7.6808378E7</v>
      </c>
      <c r="H1559" s="87"/>
      <c r="I1559" s="87"/>
    </row>
    <row r="1560">
      <c r="A1560" s="87">
        <v>1081.0</v>
      </c>
      <c r="B1560" s="87" t="s">
        <v>754</v>
      </c>
      <c r="C1560" s="93">
        <v>1.0</v>
      </c>
      <c r="D1560" s="87" t="s">
        <v>39</v>
      </c>
      <c r="E1560" s="87" t="s">
        <v>72</v>
      </c>
      <c r="F1560" s="87"/>
      <c r="G1560" s="94">
        <v>7.6808386E7</v>
      </c>
      <c r="H1560" s="87"/>
      <c r="I1560" s="87"/>
    </row>
    <row r="1561">
      <c r="A1561" s="87">
        <v>1082.0</v>
      </c>
      <c r="B1561" s="87" t="s">
        <v>754</v>
      </c>
      <c r="C1561" s="93">
        <v>1.0</v>
      </c>
      <c r="D1561" s="87" t="s">
        <v>39</v>
      </c>
      <c r="E1561" s="87" t="s">
        <v>72</v>
      </c>
      <c r="F1561" s="87"/>
      <c r="G1561" s="94">
        <v>7.6808394E7</v>
      </c>
      <c r="H1561" s="87"/>
      <c r="I1561" s="87"/>
    </row>
    <row r="1562">
      <c r="A1562" s="87">
        <v>1083.0</v>
      </c>
      <c r="B1562" s="87" t="s">
        <v>754</v>
      </c>
      <c r="C1562" s="93">
        <v>1.0</v>
      </c>
      <c r="D1562" s="87" t="s">
        <v>39</v>
      </c>
      <c r="E1562" s="87" t="s">
        <v>72</v>
      </c>
      <c r="F1562" s="87"/>
      <c r="G1562" s="94">
        <v>7.6808408E7</v>
      </c>
      <c r="H1562" s="87"/>
      <c r="I1562" s="87"/>
    </row>
    <row r="1563">
      <c r="A1563" s="87">
        <v>1084.0</v>
      </c>
      <c r="B1563" s="87" t="s">
        <v>754</v>
      </c>
      <c r="C1563" s="93">
        <v>1.0</v>
      </c>
      <c r="D1563" s="87" t="s">
        <v>39</v>
      </c>
      <c r="E1563" s="87" t="s">
        <v>72</v>
      </c>
      <c r="F1563" s="87"/>
      <c r="G1563" s="94">
        <v>7.6808416E7</v>
      </c>
      <c r="H1563" s="87"/>
      <c r="I1563" s="87"/>
    </row>
    <row r="1564">
      <c r="A1564" s="87">
        <v>1085.0</v>
      </c>
      <c r="B1564" s="87" t="s">
        <v>754</v>
      </c>
      <c r="C1564" s="93">
        <v>1.0</v>
      </c>
      <c r="D1564" s="87" t="s">
        <v>39</v>
      </c>
      <c r="E1564" s="87" t="s">
        <v>72</v>
      </c>
      <c r="F1564" s="87"/>
      <c r="G1564" s="94">
        <v>7.6808424E7</v>
      </c>
      <c r="H1564" s="87"/>
      <c r="I1564" s="87"/>
    </row>
    <row r="1565">
      <c r="A1565" s="87">
        <v>1086.0</v>
      </c>
      <c r="B1565" s="87" t="s">
        <v>754</v>
      </c>
      <c r="C1565" s="93">
        <v>1.0</v>
      </c>
      <c r="D1565" s="87" t="s">
        <v>39</v>
      </c>
      <c r="E1565" s="87" t="s">
        <v>72</v>
      </c>
      <c r="F1565" s="87"/>
      <c r="G1565" s="94">
        <v>7.6808432E7</v>
      </c>
      <c r="H1565" s="87"/>
      <c r="I1565" s="87"/>
    </row>
    <row r="1566">
      <c r="A1566" s="87">
        <v>1087.0</v>
      </c>
      <c r="B1566" s="87" t="s">
        <v>754</v>
      </c>
      <c r="C1566" s="93">
        <v>1.0</v>
      </c>
      <c r="D1566" s="87" t="s">
        <v>39</v>
      </c>
      <c r="E1566" s="87" t="s">
        <v>72</v>
      </c>
      <c r="F1566" s="87"/>
      <c r="G1566" s="94">
        <v>7.680844E7</v>
      </c>
      <c r="H1566" s="87"/>
      <c r="I1566" s="87"/>
    </row>
    <row r="1567">
      <c r="A1567" s="87">
        <v>1096.0</v>
      </c>
      <c r="B1567" s="87" t="s">
        <v>754</v>
      </c>
      <c r="C1567" s="93">
        <v>1.0</v>
      </c>
      <c r="D1567" s="87" t="s">
        <v>39</v>
      </c>
      <c r="E1567" s="87" t="s">
        <v>72</v>
      </c>
      <c r="F1567" s="87"/>
      <c r="G1567" s="94">
        <v>7.680853E7</v>
      </c>
      <c r="H1567" s="87"/>
      <c r="I1567" s="87"/>
    </row>
    <row r="1568">
      <c r="A1568" s="87">
        <v>1097.0</v>
      </c>
      <c r="B1568" s="87" t="s">
        <v>754</v>
      </c>
      <c r="C1568" s="93">
        <v>1.0</v>
      </c>
      <c r="D1568" s="87" t="s">
        <v>39</v>
      </c>
      <c r="E1568" s="87" t="s">
        <v>72</v>
      </c>
      <c r="F1568" s="87"/>
      <c r="G1568" s="94">
        <v>7.6808548E7</v>
      </c>
      <c r="H1568" s="87"/>
      <c r="I1568" s="87"/>
    </row>
    <row r="1569">
      <c r="A1569" s="87">
        <v>1098.0</v>
      </c>
      <c r="B1569" s="87" t="s">
        <v>754</v>
      </c>
      <c r="C1569" s="93">
        <v>1.0</v>
      </c>
      <c r="D1569" s="87" t="s">
        <v>39</v>
      </c>
      <c r="E1569" s="87" t="s">
        <v>72</v>
      </c>
      <c r="F1569" s="87"/>
      <c r="G1569" s="94">
        <v>7.6808556E7</v>
      </c>
      <c r="H1569" s="87"/>
      <c r="I1569" s="87"/>
    </row>
    <row r="1570">
      <c r="A1570" s="87">
        <v>1099.0</v>
      </c>
      <c r="B1570" s="87" t="s">
        <v>754</v>
      </c>
      <c r="C1570" s="93">
        <v>1.0</v>
      </c>
      <c r="D1570" s="87" t="s">
        <v>39</v>
      </c>
      <c r="E1570" s="87" t="s">
        <v>72</v>
      </c>
      <c r="F1570" s="87"/>
      <c r="G1570" s="94">
        <v>7.6808564E7</v>
      </c>
      <c r="H1570" s="87"/>
      <c r="I1570" s="87"/>
    </row>
    <row r="1571">
      <c r="A1571" s="87">
        <v>1100.0</v>
      </c>
      <c r="B1571" s="87" t="s">
        <v>754</v>
      </c>
      <c r="C1571" s="93">
        <v>1.0</v>
      </c>
      <c r="D1571" s="87" t="s">
        <v>39</v>
      </c>
      <c r="E1571" s="87" t="s">
        <v>72</v>
      </c>
      <c r="F1571" s="87"/>
      <c r="G1571" s="94">
        <v>7.6808572E7</v>
      </c>
      <c r="H1571" s="87"/>
      <c r="I1571" s="87"/>
    </row>
    <row r="1572">
      <c r="A1572" s="87">
        <v>1101.0</v>
      </c>
      <c r="B1572" s="87" t="s">
        <v>754</v>
      </c>
      <c r="C1572" s="93">
        <v>1.0</v>
      </c>
      <c r="D1572" s="87" t="s">
        <v>39</v>
      </c>
      <c r="E1572" s="87" t="s">
        <v>72</v>
      </c>
      <c r="F1572" s="87"/>
      <c r="G1572" s="94">
        <v>7.680858E7</v>
      </c>
      <c r="H1572" s="87"/>
      <c r="I1572" s="87"/>
    </row>
    <row r="1573">
      <c r="A1573" s="87">
        <v>1591.0</v>
      </c>
      <c r="B1573" s="87" t="s">
        <v>754</v>
      </c>
      <c r="C1573" s="93">
        <v>1.0</v>
      </c>
      <c r="D1573" s="87" t="s">
        <v>39</v>
      </c>
      <c r="E1573" s="87" t="s">
        <v>83</v>
      </c>
      <c r="F1573" s="87"/>
      <c r="G1573" s="94">
        <v>3.5589329E7</v>
      </c>
      <c r="H1573" s="87"/>
      <c r="I1573" s="87"/>
    </row>
    <row r="1574">
      <c r="A1574" s="87">
        <v>1592.0</v>
      </c>
      <c r="B1574" s="87" t="s">
        <v>754</v>
      </c>
      <c r="C1574" s="93">
        <v>1.0</v>
      </c>
      <c r="D1574" s="87" t="s">
        <v>39</v>
      </c>
      <c r="E1574" s="87" t="s">
        <v>83</v>
      </c>
      <c r="F1574" s="87"/>
      <c r="G1574" s="94">
        <v>3.5589434E7</v>
      </c>
      <c r="H1574" s="87"/>
      <c r="I1574" s="87"/>
    </row>
    <row r="1575">
      <c r="A1575" s="87">
        <v>1593.0</v>
      </c>
      <c r="B1575" s="87" t="s">
        <v>754</v>
      </c>
      <c r="C1575" s="93">
        <v>1.0</v>
      </c>
      <c r="D1575" s="87" t="s">
        <v>39</v>
      </c>
      <c r="E1575" s="87" t="s">
        <v>83</v>
      </c>
      <c r="F1575" s="87"/>
      <c r="G1575" s="94">
        <v>3.558945E7</v>
      </c>
      <c r="H1575" s="87"/>
      <c r="I1575" s="87"/>
    </row>
    <row r="1576">
      <c r="A1576" s="87">
        <v>1594.0</v>
      </c>
      <c r="B1576" s="87" t="s">
        <v>754</v>
      </c>
      <c r="C1576" s="93">
        <v>1.0</v>
      </c>
      <c r="D1576" s="87" t="s">
        <v>39</v>
      </c>
      <c r="E1576" s="87" t="s">
        <v>83</v>
      </c>
      <c r="F1576" s="87"/>
      <c r="G1576" s="94">
        <v>3.558976E7</v>
      </c>
      <c r="H1576" s="87"/>
      <c r="I1576" s="87"/>
    </row>
    <row r="1577">
      <c r="A1577" s="87">
        <v>1595.0</v>
      </c>
      <c r="B1577" s="87" t="s">
        <v>754</v>
      </c>
      <c r="C1577" s="93">
        <v>1.0</v>
      </c>
      <c r="D1577" s="87" t="s">
        <v>39</v>
      </c>
      <c r="E1577" s="87" t="s">
        <v>83</v>
      </c>
      <c r="F1577" s="87"/>
      <c r="G1577" s="94">
        <v>3.5589876E7</v>
      </c>
      <c r="H1577" s="87"/>
      <c r="I1577" s="87"/>
    </row>
    <row r="1578">
      <c r="A1578" s="87">
        <v>1596.0</v>
      </c>
      <c r="B1578" s="87" t="s">
        <v>754</v>
      </c>
      <c r="C1578" s="93">
        <v>1.0</v>
      </c>
      <c r="D1578" s="87" t="s">
        <v>39</v>
      </c>
      <c r="E1578" s="87" t="s">
        <v>83</v>
      </c>
      <c r="F1578" s="87"/>
      <c r="G1578" s="94">
        <v>3.558999E7</v>
      </c>
      <c r="H1578" s="87"/>
      <c r="I1578" s="87"/>
    </row>
    <row r="1579">
      <c r="A1579" s="87">
        <v>1597.0</v>
      </c>
      <c r="B1579" s="87" t="s">
        <v>754</v>
      </c>
      <c r="C1579" s="93">
        <v>1.0</v>
      </c>
      <c r="D1579" s="87" t="s">
        <v>39</v>
      </c>
      <c r="E1579" s="87" t="s">
        <v>83</v>
      </c>
      <c r="F1579" s="87"/>
      <c r="G1579" s="94">
        <v>3.5590025E7</v>
      </c>
      <c r="H1579" s="87"/>
      <c r="I1579" s="87"/>
    </row>
    <row r="1580">
      <c r="A1580" s="87">
        <v>1598.0</v>
      </c>
      <c r="B1580" s="87" t="s">
        <v>754</v>
      </c>
      <c r="C1580" s="93">
        <v>1.0</v>
      </c>
      <c r="D1580" s="87" t="s">
        <v>39</v>
      </c>
      <c r="E1580" s="87" t="s">
        <v>83</v>
      </c>
      <c r="F1580" s="87"/>
      <c r="G1580" s="94">
        <v>3.559013E7</v>
      </c>
      <c r="H1580" s="87"/>
      <c r="I1580" s="87"/>
    </row>
    <row r="1581">
      <c r="A1581" s="87">
        <v>1599.0</v>
      </c>
      <c r="B1581" s="87" t="s">
        <v>754</v>
      </c>
      <c r="C1581" s="93">
        <v>1.0</v>
      </c>
      <c r="D1581" s="87" t="s">
        <v>39</v>
      </c>
      <c r="E1581" s="87" t="s">
        <v>83</v>
      </c>
      <c r="F1581" s="87"/>
      <c r="G1581" s="94">
        <v>3.55903E7</v>
      </c>
      <c r="H1581" s="87"/>
      <c r="I1581" s="87"/>
    </row>
    <row r="1582">
      <c r="A1582" s="87">
        <v>1600.0</v>
      </c>
      <c r="B1582" s="87" t="s">
        <v>754</v>
      </c>
      <c r="C1582" s="93">
        <v>1.0</v>
      </c>
      <c r="D1582" s="87" t="s">
        <v>39</v>
      </c>
      <c r="E1582" s="87" t="s">
        <v>83</v>
      </c>
      <c r="F1582" s="87"/>
      <c r="G1582" s="94">
        <v>3.5590416E7</v>
      </c>
      <c r="H1582" s="87"/>
      <c r="I1582" s="87"/>
    </row>
    <row r="1583">
      <c r="A1583" s="87">
        <v>1601.0</v>
      </c>
      <c r="B1583" s="87" t="s">
        <v>754</v>
      </c>
      <c r="C1583" s="93">
        <v>1.0</v>
      </c>
      <c r="D1583" s="87" t="s">
        <v>39</v>
      </c>
      <c r="E1583" s="87" t="s">
        <v>83</v>
      </c>
      <c r="F1583" s="87"/>
      <c r="G1583" s="94">
        <v>3.559053E7</v>
      </c>
      <c r="H1583" s="87"/>
      <c r="I1583" s="87"/>
    </row>
    <row r="1584">
      <c r="A1584" s="87">
        <v>1602.0</v>
      </c>
      <c r="B1584" s="87" t="s">
        <v>754</v>
      </c>
      <c r="C1584" s="93">
        <v>1.0</v>
      </c>
      <c r="D1584" s="87" t="s">
        <v>39</v>
      </c>
      <c r="E1584" s="87" t="s">
        <v>83</v>
      </c>
      <c r="F1584" s="87"/>
      <c r="G1584" s="94">
        <v>3.5590637E7</v>
      </c>
      <c r="H1584" s="87"/>
      <c r="I1584" s="87"/>
    </row>
    <row r="1585">
      <c r="A1585" s="87">
        <v>1603.0</v>
      </c>
      <c r="B1585" s="87" t="s">
        <v>754</v>
      </c>
      <c r="C1585" s="93">
        <v>1.0</v>
      </c>
      <c r="D1585" s="87" t="s">
        <v>39</v>
      </c>
      <c r="E1585" s="87" t="s">
        <v>83</v>
      </c>
      <c r="F1585" s="87"/>
      <c r="G1585" s="94">
        <v>3.55907E7</v>
      </c>
      <c r="H1585" s="87"/>
      <c r="I1585" s="87"/>
    </row>
    <row r="1586">
      <c r="A1586" s="87">
        <v>1604.0</v>
      </c>
      <c r="B1586" s="87" t="s">
        <v>754</v>
      </c>
      <c r="C1586" s="93">
        <v>1.0</v>
      </c>
      <c r="D1586" s="87" t="s">
        <v>39</v>
      </c>
      <c r="E1586" s="87" t="s">
        <v>83</v>
      </c>
      <c r="F1586" s="87"/>
      <c r="G1586" s="94">
        <v>3.5590718E7</v>
      </c>
      <c r="H1586" s="87"/>
      <c r="I1586" s="87"/>
    </row>
    <row r="1587">
      <c r="A1587" s="87">
        <v>1605.0</v>
      </c>
      <c r="B1587" s="87" t="s">
        <v>754</v>
      </c>
      <c r="C1587" s="93">
        <v>1.0</v>
      </c>
      <c r="D1587" s="87" t="s">
        <v>39</v>
      </c>
      <c r="E1587" s="87" t="s">
        <v>83</v>
      </c>
      <c r="F1587" s="87"/>
      <c r="G1587" s="94">
        <v>3.5590734E7</v>
      </c>
      <c r="H1587" s="87"/>
      <c r="I1587" s="87"/>
    </row>
    <row r="1588">
      <c r="A1588" s="87">
        <v>1606.0</v>
      </c>
      <c r="B1588" s="87" t="s">
        <v>754</v>
      </c>
      <c r="C1588" s="93">
        <v>1.0</v>
      </c>
      <c r="D1588" s="87" t="s">
        <v>39</v>
      </c>
      <c r="E1588" s="87" t="s">
        <v>83</v>
      </c>
      <c r="F1588" s="87"/>
      <c r="G1588" s="94">
        <v>3.5590742E7</v>
      </c>
      <c r="H1588" s="87"/>
      <c r="I1588" s="87"/>
    </row>
    <row r="1589">
      <c r="A1589" s="87">
        <v>1607.0</v>
      </c>
      <c r="B1589" s="87" t="s">
        <v>754</v>
      </c>
      <c r="C1589" s="93">
        <v>1.0</v>
      </c>
      <c r="D1589" s="87" t="s">
        <v>39</v>
      </c>
      <c r="E1589" s="87" t="s">
        <v>83</v>
      </c>
      <c r="F1589" s="87"/>
      <c r="G1589" s="94">
        <v>3.5590769E7</v>
      </c>
      <c r="H1589" s="87"/>
      <c r="I1589" s="87"/>
    </row>
    <row r="1590">
      <c r="A1590" s="87">
        <v>1608.0</v>
      </c>
      <c r="B1590" s="87" t="s">
        <v>754</v>
      </c>
      <c r="C1590" s="93">
        <v>1.0</v>
      </c>
      <c r="D1590" s="87" t="s">
        <v>39</v>
      </c>
      <c r="E1590" s="87" t="s">
        <v>83</v>
      </c>
      <c r="F1590" s="87"/>
      <c r="G1590" s="94">
        <v>3.5590777E7</v>
      </c>
      <c r="H1590" s="87"/>
      <c r="I1590" s="87"/>
    </row>
    <row r="1591">
      <c r="A1591" s="87">
        <v>1609.0</v>
      </c>
      <c r="B1591" s="87" t="s">
        <v>754</v>
      </c>
      <c r="C1591" s="93">
        <v>1.0</v>
      </c>
      <c r="D1591" s="87" t="s">
        <v>39</v>
      </c>
      <c r="E1591" s="87" t="s">
        <v>83</v>
      </c>
      <c r="F1591" s="87"/>
      <c r="G1591" s="94">
        <v>3.5590793E7</v>
      </c>
      <c r="H1591" s="87"/>
      <c r="I1591" s="87"/>
    </row>
    <row r="1592">
      <c r="A1592" s="87">
        <v>1610.0</v>
      </c>
      <c r="B1592" s="87" t="s">
        <v>754</v>
      </c>
      <c r="C1592" s="93">
        <v>1.0</v>
      </c>
      <c r="D1592" s="87" t="s">
        <v>39</v>
      </c>
      <c r="E1592" s="87" t="s">
        <v>83</v>
      </c>
      <c r="F1592" s="87"/>
      <c r="G1592" s="94">
        <v>3.5590823E7</v>
      </c>
      <c r="H1592" s="87"/>
      <c r="I1592" s="87"/>
    </row>
    <row r="1593">
      <c r="A1593" s="87">
        <v>1611.0</v>
      </c>
      <c r="B1593" s="87" t="s">
        <v>754</v>
      </c>
      <c r="C1593" s="93">
        <v>1.0</v>
      </c>
      <c r="D1593" s="87" t="s">
        <v>39</v>
      </c>
      <c r="E1593" s="87" t="s">
        <v>83</v>
      </c>
      <c r="F1593" s="87"/>
      <c r="G1593" s="94">
        <v>3.5590831E7</v>
      </c>
      <c r="H1593" s="87"/>
      <c r="I1593" s="87"/>
    </row>
    <row r="1594">
      <c r="A1594" s="87">
        <v>1612.0</v>
      </c>
      <c r="B1594" s="87" t="s">
        <v>754</v>
      </c>
      <c r="C1594" s="93">
        <v>1.0</v>
      </c>
      <c r="D1594" s="87" t="s">
        <v>39</v>
      </c>
      <c r="E1594" s="87" t="s">
        <v>83</v>
      </c>
      <c r="F1594" s="87"/>
      <c r="G1594" s="94">
        <v>3.5590858E7</v>
      </c>
      <c r="H1594" s="87"/>
      <c r="I1594" s="87"/>
    </row>
    <row r="1595">
      <c r="A1595" s="87">
        <v>1613.0</v>
      </c>
      <c r="B1595" s="87" t="s">
        <v>754</v>
      </c>
      <c r="C1595" s="93">
        <v>1.0</v>
      </c>
      <c r="D1595" s="87" t="s">
        <v>39</v>
      </c>
      <c r="E1595" s="87" t="s">
        <v>83</v>
      </c>
      <c r="F1595" s="87"/>
      <c r="G1595" s="94">
        <v>3.559098E7</v>
      </c>
      <c r="H1595" s="87"/>
      <c r="I1595" s="87"/>
    </row>
    <row r="1596">
      <c r="A1596" s="87">
        <v>1614.0</v>
      </c>
      <c r="B1596" s="87" t="s">
        <v>754</v>
      </c>
      <c r="C1596" s="93">
        <v>1.0</v>
      </c>
      <c r="D1596" s="87" t="s">
        <v>39</v>
      </c>
      <c r="E1596" s="87" t="s">
        <v>83</v>
      </c>
      <c r="F1596" s="87"/>
      <c r="G1596" s="94">
        <v>3.5591013E7</v>
      </c>
      <c r="H1596" s="87"/>
      <c r="I1596" s="87"/>
    </row>
    <row r="1597">
      <c r="A1597" s="87">
        <v>1615.0</v>
      </c>
      <c r="B1597" s="87" t="s">
        <v>754</v>
      </c>
      <c r="C1597" s="93">
        <v>1.0</v>
      </c>
      <c r="D1597" s="87" t="s">
        <v>39</v>
      </c>
      <c r="E1597" s="87" t="s">
        <v>83</v>
      </c>
      <c r="F1597" s="87"/>
      <c r="G1597" s="94">
        <v>3.5591277E7</v>
      </c>
      <c r="H1597" s="87"/>
      <c r="I1597" s="87"/>
    </row>
    <row r="1598">
      <c r="A1598" s="87">
        <v>1616.0</v>
      </c>
      <c r="B1598" s="87" t="s">
        <v>754</v>
      </c>
      <c r="C1598" s="93">
        <v>1.0</v>
      </c>
      <c r="D1598" s="87" t="s">
        <v>39</v>
      </c>
      <c r="E1598" s="87" t="s">
        <v>83</v>
      </c>
      <c r="F1598" s="87"/>
      <c r="G1598" s="94">
        <v>3.5591439E7</v>
      </c>
      <c r="H1598" s="87"/>
      <c r="I1598" s="87"/>
    </row>
    <row r="1599">
      <c r="A1599" s="87">
        <v>1617.0</v>
      </c>
      <c r="B1599" s="87" t="s">
        <v>754</v>
      </c>
      <c r="C1599" s="93">
        <v>1.0</v>
      </c>
      <c r="D1599" s="87" t="s">
        <v>39</v>
      </c>
      <c r="E1599" s="87" t="s">
        <v>83</v>
      </c>
      <c r="F1599" s="87"/>
      <c r="G1599" s="94">
        <v>3.5591498E7</v>
      </c>
      <c r="H1599" s="87"/>
      <c r="I1599" s="87"/>
    </row>
    <row r="1600">
      <c r="A1600" s="87">
        <v>1618.0</v>
      </c>
      <c r="B1600" s="87" t="s">
        <v>754</v>
      </c>
      <c r="C1600" s="93">
        <v>1.0</v>
      </c>
      <c r="D1600" s="87" t="s">
        <v>39</v>
      </c>
      <c r="E1600" s="87" t="s">
        <v>83</v>
      </c>
      <c r="F1600" s="87"/>
      <c r="G1600" s="94">
        <v>3.5591552E7</v>
      </c>
      <c r="H1600" s="87"/>
      <c r="I1600" s="87"/>
    </row>
    <row r="1601">
      <c r="A1601" s="87">
        <v>1619.0</v>
      </c>
      <c r="B1601" s="87" t="s">
        <v>754</v>
      </c>
      <c r="C1601" s="93">
        <v>1.0</v>
      </c>
      <c r="D1601" s="87" t="s">
        <v>39</v>
      </c>
      <c r="E1601" s="87" t="s">
        <v>83</v>
      </c>
      <c r="F1601" s="87"/>
      <c r="G1601" s="94">
        <v>3.5591587E7</v>
      </c>
      <c r="H1601" s="87"/>
      <c r="I1601" s="87"/>
    </row>
    <row r="1602">
      <c r="A1602" s="87">
        <v>1620.0</v>
      </c>
      <c r="B1602" s="87" t="s">
        <v>754</v>
      </c>
      <c r="C1602" s="93">
        <v>1.0</v>
      </c>
      <c r="D1602" s="87" t="s">
        <v>39</v>
      </c>
      <c r="E1602" s="87" t="s">
        <v>83</v>
      </c>
      <c r="F1602" s="87"/>
      <c r="G1602" s="94">
        <v>3.559165E7</v>
      </c>
      <c r="H1602" s="87"/>
      <c r="I1602" s="87"/>
    </row>
    <row r="1603">
      <c r="A1603" s="87">
        <v>1621.0</v>
      </c>
      <c r="B1603" s="87" t="s">
        <v>754</v>
      </c>
      <c r="C1603" s="93">
        <v>1.0</v>
      </c>
      <c r="D1603" s="87" t="s">
        <v>39</v>
      </c>
      <c r="E1603" s="87" t="s">
        <v>83</v>
      </c>
      <c r="F1603" s="87"/>
      <c r="G1603" s="94">
        <v>3.5591692E7</v>
      </c>
      <c r="H1603" s="87"/>
      <c r="I1603" s="87"/>
    </row>
    <row r="1604">
      <c r="A1604" s="87">
        <v>1622.0</v>
      </c>
      <c r="B1604" s="87" t="s">
        <v>754</v>
      </c>
      <c r="C1604" s="93">
        <v>1.0</v>
      </c>
      <c r="D1604" s="87" t="s">
        <v>39</v>
      </c>
      <c r="E1604" s="87" t="s">
        <v>83</v>
      </c>
      <c r="F1604" s="87"/>
      <c r="G1604" s="94">
        <v>3.5591811E7</v>
      </c>
      <c r="H1604" s="87"/>
      <c r="I1604" s="87"/>
    </row>
    <row r="1605">
      <c r="A1605" s="87">
        <v>1623.0</v>
      </c>
      <c r="B1605" s="87" t="s">
        <v>754</v>
      </c>
      <c r="C1605" s="93">
        <v>1.0</v>
      </c>
      <c r="D1605" s="87" t="s">
        <v>39</v>
      </c>
      <c r="E1605" s="87" t="s">
        <v>83</v>
      </c>
      <c r="F1605" s="87"/>
      <c r="G1605" s="94">
        <v>3.5592036E7</v>
      </c>
      <c r="H1605" s="87"/>
      <c r="I1605" s="87"/>
    </row>
    <row r="1606">
      <c r="A1606" s="87">
        <v>1624.0</v>
      </c>
      <c r="B1606" s="87" t="s">
        <v>754</v>
      </c>
      <c r="C1606" s="93">
        <v>1.0</v>
      </c>
      <c r="D1606" s="87" t="s">
        <v>39</v>
      </c>
      <c r="E1606" s="87" t="s">
        <v>83</v>
      </c>
      <c r="F1606" s="87"/>
      <c r="G1606" s="94">
        <v>3.5592494E7</v>
      </c>
      <c r="H1606" s="87"/>
      <c r="I1606" s="87"/>
    </row>
    <row r="1607">
      <c r="A1607" s="87">
        <v>1625.0</v>
      </c>
      <c r="B1607" s="87" t="s">
        <v>754</v>
      </c>
      <c r="C1607" s="93">
        <v>1.0</v>
      </c>
      <c r="D1607" s="87" t="s">
        <v>39</v>
      </c>
      <c r="E1607" s="87" t="s">
        <v>83</v>
      </c>
      <c r="F1607" s="87"/>
      <c r="G1607" s="94">
        <v>3.559263E7</v>
      </c>
      <c r="H1607" s="87"/>
      <c r="I1607" s="87"/>
    </row>
    <row r="1608">
      <c r="A1608" s="87">
        <v>1626.0</v>
      </c>
      <c r="B1608" s="87" t="s">
        <v>754</v>
      </c>
      <c r="C1608" s="93">
        <v>1.0</v>
      </c>
      <c r="D1608" s="87" t="s">
        <v>39</v>
      </c>
      <c r="E1608" s="87" t="s">
        <v>83</v>
      </c>
      <c r="F1608" s="87"/>
      <c r="G1608" s="94">
        <v>3.5592974E7</v>
      </c>
      <c r="H1608" s="87"/>
      <c r="I1608" s="87"/>
    </row>
    <row r="1609">
      <c r="A1609" s="87">
        <v>1627.0</v>
      </c>
      <c r="B1609" s="87" t="s">
        <v>754</v>
      </c>
      <c r="C1609" s="93">
        <v>1.0</v>
      </c>
      <c r="D1609" s="87" t="s">
        <v>39</v>
      </c>
      <c r="E1609" s="87" t="s">
        <v>83</v>
      </c>
      <c r="F1609" s="87"/>
      <c r="G1609" s="94">
        <v>3.5593164E7</v>
      </c>
      <c r="H1609" s="87"/>
      <c r="I1609" s="87"/>
    </row>
    <row r="1610">
      <c r="A1610" s="87">
        <v>1628.0</v>
      </c>
      <c r="B1610" s="87" t="s">
        <v>754</v>
      </c>
      <c r="C1610" s="93">
        <v>1.0</v>
      </c>
      <c r="D1610" s="87" t="s">
        <v>39</v>
      </c>
      <c r="E1610" s="87" t="s">
        <v>83</v>
      </c>
      <c r="F1610" s="87"/>
      <c r="G1610" s="94">
        <v>3.5593423E7</v>
      </c>
      <c r="H1610" s="87"/>
      <c r="I1610" s="87"/>
    </row>
    <row r="1611">
      <c r="A1611" s="87">
        <v>1629.0</v>
      </c>
      <c r="B1611" s="87" t="s">
        <v>754</v>
      </c>
      <c r="C1611" s="93">
        <v>1.0</v>
      </c>
      <c r="D1611" s="87" t="s">
        <v>39</v>
      </c>
      <c r="E1611" s="87" t="s">
        <v>83</v>
      </c>
      <c r="F1611" s="87"/>
      <c r="G1611" s="94">
        <v>3.559392E7</v>
      </c>
      <c r="H1611" s="87"/>
      <c r="I1611" s="87"/>
    </row>
    <row r="1612">
      <c r="A1612" s="87">
        <v>1630.0</v>
      </c>
      <c r="B1612" s="87" t="s">
        <v>754</v>
      </c>
      <c r="C1612" s="93">
        <v>1.0</v>
      </c>
      <c r="D1612" s="87" t="s">
        <v>39</v>
      </c>
      <c r="E1612" s="87" t="s">
        <v>83</v>
      </c>
      <c r="F1612" s="87"/>
      <c r="G1612" s="94">
        <v>3.559411E7</v>
      </c>
      <c r="H1612" s="87"/>
      <c r="I1612" s="87"/>
    </row>
    <row r="1613">
      <c r="A1613" s="87">
        <v>701.0</v>
      </c>
      <c r="B1613" s="87" t="s">
        <v>922</v>
      </c>
      <c r="C1613" s="93">
        <v>1.0</v>
      </c>
      <c r="D1613" s="87" t="s">
        <v>39</v>
      </c>
      <c r="E1613" s="87" t="s">
        <v>253</v>
      </c>
      <c r="F1613" s="87"/>
      <c r="G1613" s="94">
        <v>1.4088045E7</v>
      </c>
      <c r="H1613" s="87"/>
      <c r="I1613" s="87" t="s">
        <v>1014</v>
      </c>
    </row>
    <row r="1614">
      <c r="A1614" s="87">
        <v>1522.0</v>
      </c>
      <c r="B1614" s="87" t="s">
        <v>1105</v>
      </c>
      <c r="C1614" s="93">
        <v>1.0</v>
      </c>
      <c r="D1614" s="87" t="s">
        <v>39</v>
      </c>
      <c r="E1614" s="87" t="s">
        <v>72</v>
      </c>
      <c r="F1614" s="87"/>
      <c r="G1614" s="94">
        <v>7.6931137E7</v>
      </c>
      <c r="H1614" s="87"/>
      <c r="I1614" s="87" t="s">
        <v>1106</v>
      </c>
    </row>
    <row r="1615">
      <c r="A1615" s="87">
        <v>1521.0</v>
      </c>
      <c r="B1615" s="87" t="s">
        <v>1107</v>
      </c>
      <c r="C1615" s="93">
        <v>1.0</v>
      </c>
      <c r="D1615" s="87" t="s">
        <v>39</v>
      </c>
      <c r="E1615" s="87" t="s">
        <v>72</v>
      </c>
      <c r="F1615" s="87"/>
      <c r="G1615" s="94">
        <v>7.6837858E7</v>
      </c>
      <c r="H1615" s="87"/>
      <c r="I1615" s="87" t="s">
        <v>1108</v>
      </c>
    </row>
    <row r="1616">
      <c r="A1616" s="87">
        <v>759.0</v>
      </c>
      <c r="B1616" s="87" t="s">
        <v>1109</v>
      </c>
      <c r="C1616" s="93">
        <v>1.0</v>
      </c>
      <c r="D1616" s="87" t="s">
        <v>275</v>
      </c>
      <c r="E1616" s="87" t="s">
        <v>21</v>
      </c>
      <c r="F1616" s="87"/>
      <c r="G1616" s="94"/>
      <c r="H1616" s="87"/>
      <c r="I1616" s="87"/>
    </row>
    <row r="1617">
      <c r="A1617" s="87">
        <v>760.0</v>
      </c>
      <c r="B1617" s="87" t="s">
        <v>1109</v>
      </c>
      <c r="C1617" s="93">
        <v>1.0</v>
      </c>
      <c r="D1617" s="87" t="s">
        <v>275</v>
      </c>
      <c r="E1617" s="87" t="s">
        <v>13</v>
      </c>
      <c r="F1617" s="87"/>
      <c r="G1617" s="94"/>
      <c r="H1617" s="87"/>
      <c r="I1617" s="87"/>
    </row>
    <row r="1618">
      <c r="A1618" s="87">
        <v>591.0</v>
      </c>
      <c r="B1618" s="87" t="s">
        <v>1110</v>
      </c>
      <c r="C1618" s="93">
        <v>1.0</v>
      </c>
      <c r="D1618" s="87" t="s">
        <v>39</v>
      </c>
      <c r="E1618" s="87" t="s">
        <v>1018</v>
      </c>
      <c r="F1618" s="87"/>
      <c r="G1618" s="94">
        <v>45660.0</v>
      </c>
      <c r="H1618" s="87"/>
      <c r="I1618" s="87"/>
    </row>
    <row r="1619">
      <c r="A1619" s="87">
        <v>189.0</v>
      </c>
      <c r="B1619" s="87" t="s">
        <v>1111</v>
      </c>
      <c r="C1619" s="93">
        <v>1.0</v>
      </c>
      <c r="D1619" s="87"/>
      <c r="E1619" s="87" t="s">
        <v>83</v>
      </c>
      <c r="F1619" s="87"/>
      <c r="G1619" s="94">
        <v>4.0357236E7</v>
      </c>
      <c r="H1619" s="87"/>
      <c r="I1619" s="87"/>
    </row>
    <row r="1620">
      <c r="A1620" s="87">
        <v>190.0</v>
      </c>
      <c r="B1620" s="87" t="s">
        <v>1111</v>
      </c>
      <c r="C1620" s="93">
        <v>1.0</v>
      </c>
      <c r="D1620" s="87"/>
      <c r="E1620" s="87" t="s">
        <v>83</v>
      </c>
      <c r="F1620" s="87"/>
      <c r="G1620" s="94">
        <v>4.0357252E7</v>
      </c>
      <c r="H1620" s="87"/>
      <c r="I1620" s="87"/>
    </row>
    <row r="1621">
      <c r="A1621" s="87">
        <v>1631.0</v>
      </c>
      <c r="B1621" s="87" t="s">
        <v>1111</v>
      </c>
      <c r="C1621" s="93">
        <v>1.0</v>
      </c>
      <c r="D1621" s="87" t="s">
        <v>39</v>
      </c>
      <c r="E1621" s="87" t="s">
        <v>83</v>
      </c>
      <c r="F1621" s="87"/>
      <c r="G1621" s="94">
        <v>7.6990273E7</v>
      </c>
      <c r="H1621" s="87"/>
      <c r="I1621" s="87"/>
    </row>
    <row r="1622">
      <c r="A1622" s="87">
        <v>1666.0</v>
      </c>
      <c r="B1622" s="87" t="s">
        <v>1111</v>
      </c>
      <c r="C1622" s="93">
        <v>1.0</v>
      </c>
      <c r="D1622" s="87" t="s">
        <v>39</v>
      </c>
      <c r="E1622" s="87" t="s">
        <v>83</v>
      </c>
      <c r="F1622" s="87"/>
      <c r="G1622" s="94">
        <v>7.6990184E7</v>
      </c>
      <c r="H1622" s="87"/>
      <c r="I1622" s="87"/>
    </row>
    <row r="1623">
      <c r="A1623" s="87">
        <v>1667.0</v>
      </c>
      <c r="B1623" s="87" t="s">
        <v>1111</v>
      </c>
      <c r="C1623" s="93">
        <v>1.0</v>
      </c>
      <c r="D1623" s="87" t="s">
        <v>39</v>
      </c>
      <c r="E1623" s="87" t="s">
        <v>83</v>
      </c>
      <c r="F1623" s="87"/>
      <c r="G1623" s="94">
        <v>7.6990192E7</v>
      </c>
      <c r="H1623" s="87"/>
      <c r="I1623" s="87"/>
    </row>
    <row r="1624">
      <c r="A1624" s="87">
        <v>1668.0</v>
      </c>
      <c r="B1624" s="87" t="s">
        <v>1111</v>
      </c>
      <c r="C1624" s="93">
        <v>1.0</v>
      </c>
      <c r="D1624" s="87" t="s">
        <v>39</v>
      </c>
      <c r="E1624" s="87" t="s">
        <v>83</v>
      </c>
      <c r="F1624" s="87"/>
      <c r="G1624" s="94">
        <v>7.6990206E7</v>
      </c>
      <c r="H1624" s="87"/>
      <c r="I1624" s="87"/>
    </row>
    <row r="1625">
      <c r="A1625" s="87">
        <v>1669.0</v>
      </c>
      <c r="B1625" s="87" t="s">
        <v>1111</v>
      </c>
      <c r="C1625" s="93">
        <v>1.0</v>
      </c>
      <c r="D1625" s="87" t="s">
        <v>39</v>
      </c>
      <c r="E1625" s="87" t="s">
        <v>83</v>
      </c>
      <c r="F1625" s="87"/>
      <c r="G1625" s="94">
        <v>7.6990214E7</v>
      </c>
      <c r="H1625" s="87"/>
      <c r="I1625" s="87"/>
    </row>
    <row r="1626">
      <c r="A1626" s="87">
        <v>1670.0</v>
      </c>
      <c r="B1626" s="87" t="s">
        <v>1111</v>
      </c>
      <c r="C1626" s="93">
        <v>1.0</v>
      </c>
      <c r="D1626" s="87" t="s">
        <v>39</v>
      </c>
      <c r="E1626" s="87" t="s">
        <v>83</v>
      </c>
      <c r="F1626" s="87"/>
      <c r="G1626" s="94">
        <v>7.6990222E7</v>
      </c>
      <c r="H1626" s="87"/>
      <c r="I1626" s="87"/>
    </row>
    <row r="1627">
      <c r="A1627" s="87">
        <v>1671.0</v>
      </c>
      <c r="B1627" s="87" t="s">
        <v>1111</v>
      </c>
      <c r="C1627" s="93">
        <v>1.0</v>
      </c>
      <c r="D1627" s="87" t="s">
        <v>39</v>
      </c>
      <c r="E1627" s="87" t="s">
        <v>83</v>
      </c>
      <c r="F1627" s="87"/>
      <c r="G1627" s="94">
        <v>7.699023E7</v>
      </c>
      <c r="H1627" s="87"/>
      <c r="I1627" s="87"/>
    </row>
    <row r="1628">
      <c r="A1628" s="87">
        <v>1672.0</v>
      </c>
      <c r="B1628" s="87" t="s">
        <v>1111</v>
      </c>
      <c r="C1628" s="93">
        <v>1.0</v>
      </c>
      <c r="D1628" s="87" t="s">
        <v>39</v>
      </c>
      <c r="E1628" s="87" t="s">
        <v>83</v>
      </c>
      <c r="F1628" s="87"/>
      <c r="G1628" s="94">
        <v>7.6990249E7</v>
      </c>
      <c r="H1628" s="87"/>
      <c r="I1628" s="87"/>
    </row>
    <row r="1629">
      <c r="A1629" s="87">
        <v>1673.0</v>
      </c>
      <c r="B1629" s="87" t="s">
        <v>1111</v>
      </c>
      <c r="C1629" s="93">
        <v>1.0</v>
      </c>
      <c r="D1629" s="87" t="s">
        <v>39</v>
      </c>
      <c r="E1629" s="87" t="s">
        <v>83</v>
      </c>
      <c r="F1629" s="87"/>
      <c r="G1629" s="94">
        <v>7.6990257E7</v>
      </c>
      <c r="H1629" s="87"/>
      <c r="I1629" s="87"/>
    </row>
    <row r="1630">
      <c r="A1630" s="87">
        <v>1674.0</v>
      </c>
      <c r="B1630" s="87" t="s">
        <v>1111</v>
      </c>
      <c r="C1630" s="93">
        <v>1.0</v>
      </c>
      <c r="D1630" s="87" t="s">
        <v>39</v>
      </c>
      <c r="E1630" s="87" t="s">
        <v>83</v>
      </c>
      <c r="F1630" s="87"/>
      <c r="G1630" s="94">
        <v>7.6990265E7</v>
      </c>
      <c r="H1630" s="87"/>
      <c r="I1630" s="87"/>
    </row>
    <row r="1631">
      <c r="A1631" s="87">
        <v>670.0</v>
      </c>
      <c r="B1631" s="87" t="s">
        <v>242</v>
      </c>
      <c r="C1631" s="93">
        <v>1.0</v>
      </c>
      <c r="D1631" s="87" t="s">
        <v>39</v>
      </c>
      <c r="E1631" s="87" t="s">
        <v>245</v>
      </c>
      <c r="F1631" s="87"/>
      <c r="G1631" s="94">
        <v>7637373.0</v>
      </c>
      <c r="H1631" s="87"/>
      <c r="I1631" s="87"/>
    </row>
    <row r="1632">
      <c r="A1632" s="87">
        <v>191.0</v>
      </c>
      <c r="B1632" s="87" t="s">
        <v>1112</v>
      </c>
      <c r="C1632" s="93">
        <v>1.0</v>
      </c>
      <c r="D1632" s="87" t="s">
        <v>39</v>
      </c>
      <c r="E1632" s="87" t="s">
        <v>253</v>
      </c>
      <c r="F1632" s="87"/>
      <c r="G1632" s="94">
        <v>4.006856E7</v>
      </c>
      <c r="H1632" s="87"/>
      <c r="I1632" s="87" t="s">
        <v>983</v>
      </c>
    </row>
    <row r="1633">
      <c r="A1633" s="87">
        <v>192.0</v>
      </c>
      <c r="B1633" s="87" t="s">
        <v>1113</v>
      </c>
      <c r="C1633" s="93">
        <v>1.0</v>
      </c>
      <c r="D1633" s="87" t="s">
        <v>39</v>
      </c>
      <c r="E1633" s="87" t="s">
        <v>253</v>
      </c>
      <c r="F1633" s="87"/>
      <c r="G1633" s="94">
        <v>4.0259315E7</v>
      </c>
      <c r="H1633" s="87"/>
      <c r="I1633" s="87" t="s">
        <v>983</v>
      </c>
    </row>
    <row r="1634">
      <c r="A1634" s="87">
        <v>193.0</v>
      </c>
      <c r="B1634" s="87" t="s">
        <v>1113</v>
      </c>
      <c r="C1634" s="93">
        <v>1.0</v>
      </c>
      <c r="D1634" s="87" t="s">
        <v>39</v>
      </c>
      <c r="E1634" s="87" t="s">
        <v>253</v>
      </c>
      <c r="F1634" s="87"/>
      <c r="G1634" s="94">
        <v>4.0259323E7</v>
      </c>
      <c r="H1634" s="87"/>
      <c r="I1634" s="87" t="s">
        <v>983</v>
      </c>
    </row>
    <row r="1635">
      <c r="A1635" s="87">
        <v>1223.0</v>
      </c>
      <c r="B1635" s="87" t="s">
        <v>1114</v>
      </c>
      <c r="C1635" s="93">
        <v>1.0</v>
      </c>
      <c r="D1635" s="87" t="s">
        <v>275</v>
      </c>
      <c r="E1635" s="87" t="s">
        <v>995</v>
      </c>
      <c r="F1635" s="87"/>
      <c r="G1635" s="94">
        <v>9.01061166E8</v>
      </c>
      <c r="H1635" s="87" t="s">
        <v>1115</v>
      </c>
      <c r="I1635" s="87" t="s">
        <v>1116</v>
      </c>
    </row>
    <row r="1636">
      <c r="A1636" s="87">
        <v>1286.0</v>
      </c>
      <c r="B1636" s="87" t="s">
        <v>1114</v>
      </c>
      <c r="C1636" s="93">
        <v>1.0</v>
      </c>
      <c r="D1636" s="87" t="s">
        <v>275</v>
      </c>
      <c r="E1636" s="87" t="s">
        <v>995</v>
      </c>
      <c r="F1636" s="87"/>
      <c r="G1636" s="94">
        <v>9.00607076E8</v>
      </c>
      <c r="H1636" s="87" t="s">
        <v>1117</v>
      </c>
      <c r="I1636" s="87" t="s">
        <v>1118</v>
      </c>
    </row>
    <row r="1637">
      <c r="A1637" s="87">
        <v>1287.0</v>
      </c>
      <c r="B1637" s="87" t="s">
        <v>1114</v>
      </c>
      <c r="C1637" s="93">
        <v>1.0</v>
      </c>
      <c r="D1637" s="87" t="s">
        <v>275</v>
      </c>
      <c r="E1637" s="87" t="s">
        <v>995</v>
      </c>
      <c r="F1637" s="87"/>
      <c r="G1637" s="94">
        <v>7.6881377E7</v>
      </c>
      <c r="H1637" s="87" t="s">
        <v>1119</v>
      </c>
      <c r="I1637" s="87" t="s">
        <v>1120</v>
      </c>
    </row>
    <row r="1638">
      <c r="A1638" s="87">
        <v>194.0</v>
      </c>
      <c r="B1638" s="87" t="s">
        <v>1121</v>
      </c>
      <c r="C1638" s="93">
        <v>1.0</v>
      </c>
      <c r="D1638" s="87" t="s">
        <v>275</v>
      </c>
      <c r="E1638" s="87" t="s">
        <v>83</v>
      </c>
      <c r="F1638" s="87"/>
      <c r="G1638" s="94">
        <v>1.3870068E7</v>
      </c>
      <c r="H1638" s="87" t="s">
        <v>1122</v>
      </c>
      <c r="I1638" s="87" t="s">
        <v>1123</v>
      </c>
    </row>
    <row r="1639">
      <c r="A1639" s="87">
        <v>195.0</v>
      </c>
      <c r="B1639" s="87" t="s">
        <v>1121</v>
      </c>
      <c r="C1639" s="93">
        <v>1.0</v>
      </c>
      <c r="D1639" s="87" t="s">
        <v>275</v>
      </c>
      <c r="E1639" s="87" t="s">
        <v>83</v>
      </c>
      <c r="F1639" s="87"/>
      <c r="G1639" s="94">
        <v>1.4042789E7</v>
      </c>
      <c r="H1639" s="87" t="s">
        <v>1124</v>
      </c>
      <c r="I1639" s="87" t="s">
        <v>1125</v>
      </c>
    </row>
    <row r="1640">
      <c r="A1640" s="87">
        <v>1209.0</v>
      </c>
      <c r="B1640" s="87" t="s">
        <v>1121</v>
      </c>
      <c r="C1640" s="93">
        <v>1.0</v>
      </c>
      <c r="D1640" s="87" t="s">
        <v>275</v>
      </c>
      <c r="E1640" s="87" t="s">
        <v>995</v>
      </c>
      <c r="F1640" s="87"/>
      <c r="G1640" s="94">
        <v>1.3975447E7</v>
      </c>
      <c r="H1640" s="87" t="s">
        <v>1126</v>
      </c>
      <c r="I1640" s="87" t="s">
        <v>1127</v>
      </c>
    </row>
    <row r="1641">
      <c r="A1641" s="87">
        <v>1216.0</v>
      </c>
      <c r="B1641" s="87" t="s">
        <v>1128</v>
      </c>
      <c r="C1641" s="93">
        <v>1.0</v>
      </c>
      <c r="D1641" s="87" t="s">
        <v>275</v>
      </c>
      <c r="E1641" s="87" t="s">
        <v>995</v>
      </c>
      <c r="F1641" s="87"/>
      <c r="G1641" s="94">
        <v>7.6699765E7</v>
      </c>
      <c r="H1641" s="87" t="s">
        <v>1129</v>
      </c>
      <c r="I1641" s="87" t="s">
        <v>1130</v>
      </c>
    </row>
    <row r="1642">
      <c r="A1642" s="87">
        <v>196.0</v>
      </c>
      <c r="B1642" s="87" t="s">
        <v>108</v>
      </c>
      <c r="C1642" s="93">
        <v>1.0</v>
      </c>
      <c r="D1642" s="87"/>
      <c r="E1642" s="87" t="s">
        <v>83</v>
      </c>
      <c r="F1642" s="87"/>
      <c r="G1642" s="94">
        <v>4.0208478E7</v>
      </c>
      <c r="H1642" s="87"/>
      <c r="I1642" s="87"/>
    </row>
    <row r="1643">
      <c r="A1643" s="87">
        <v>197.0</v>
      </c>
      <c r="B1643" s="87" t="s">
        <v>108</v>
      </c>
      <c r="C1643" s="93">
        <v>1.0</v>
      </c>
      <c r="D1643" s="87"/>
      <c r="E1643" s="87" t="s">
        <v>83</v>
      </c>
      <c r="F1643" s="87"/>
      <c r="G1643" s="94">
        <v>4.021916E7</v>
      </c>
      <c r="H1643" s="87"/>
      <c r="I1643" s="87" t="s">
        <v>1131</v>
      </c>
    </row>
    <row r="1644">
      <c r="A1644" s="87">
        <v>198.0</v>
      </c>
      <c r="B1644" s="87" t="s">
        <v>108</v>
      </c>
      <c r="C1644" s="93">
        <v>1.0</v>
      </c>
      <c r="D1644" s="87" t="s">
        <v>39</v>
      </c>
      <c r="E1644" s="87" t="s">
        <v>83</v>
      </c>
      <c r="F1644" s="87"/>
      <c r="G1644" s="94">
        <v>4.0219313E7</v>
      </c>
      <c r="H1644" s="87"/>
      <c r="I1644" s="87" t="s">
        <v>1132</v>
      </c>
    </row>
    <row r="1645">
      <c r="A1645" s="87">
        <v>199.0</v>
      </c>
      <c r="B1645" s="87" t="s">
        <v>108</v>
      </c>
      <c r="C1645" s="93">
        <v>1.0</v>
      </c>
      <c r="D1645" s="87" t="s">
        <v>39</v>
      </c>
      <c r="E1645" s="87" t="s">
        <v>83</v>
      </c>
      <c r="F1645" s="87"/>
      <c r="G1645" s="94">
        <v>4.0219399E7</v>
      </c>
      <c r="H1645" s="87"/>
      <c r="I1645" s="87" t="s">
        <v>1133</v>
      </c>
    </row>
    <row r="1646">
      <c r="A1646" s="87">
        <v>200.0</v>
      </c>
      <c r="B1646" s="87" t="s">
        <v>108</v>
      </c>
      <c r="C1646" s="93">
        <v>1.0</v>
      </c>
      <c r="D1646" s="87" t="s">
        <v>275</v>
      </c>
      <c r="E1646" s="87" t="s">
        <v>83</v>
      </c>
      <c r="F1646" s="87"/>
      <c r="G1646" s="94">
        <v>4.0219526E7</v>
      </c>
      <c r="H1646" s="87"/>
      <c r="I1646" s="87" t="s">
        <v>1077</v>
      </c>
    </row>
    <row r="1647">
      <c r="A1647" s="87">
        <v>201.0</v>
      </c>
      <c r="B1647" s="87" t="s">
        <v>108</v>
      </c>
      <c r="C1647" s="93">
        <v>1.0</v>
      </c>
      <c r="D1647" s="87" t="s">
        <v>275</v>
      </c>
      <c r="E1647" s="87" t="s">
        <v>83</v>
      </c>
      <c r="F1647" s="87"/>
      <c r="G1647" s="94">
        <v>4.0219542E7</v>
      </c>
      <c r="H1647" s="87"/>
      <c r="I1647" s="87" t="s">
        <v>1134</v>
      </c>
    </row>
    <row r="1648">
      <c r="A1648" s="87">
        <v>202.0</v>
      </c>
      <c r="B1648" s="87" t="s">
        <v>108</v>
      </c>
      <c r="C1648" s="93">
        <v>1.0</v>
      </c>
      <c r="D1648" s="87" t="s">
        <v>275</v>
      </c>
      <c r="E1648" s="87" t="s">
        <v>83</v>
      </c>
      <c r="F1648" s="87"/>
      <c r="G1648" s="94">
        <v>4.021986E7</v>
      </c>
      <c r="H1648" s="87"/>
      <c r="I1648" s="87" t="s">
        <v>1135</v>
      </c>
    </row>
    <row r="1649">
      <c r="A1649" s="87">
        <v>203.0</v>
      </c>
      <c r="B1649" s="87" t="s">
        <v>108</v>
      </c>
      <c r="C1649" s="93">
        <v>1.0</v>
      </c>
      <c r="D1649" s="87"/>
      <c r="E1649" s="87" t="s">
        <v>83</v>
      </c>
      <c r="F1649" s="87"/>
      <c r="G1649" s="94">
        <v>4.0324842E7</v>
      </c>
      <c r="H1649" s="87"/>
      <c r="I1649" s="87"/>
    </row>
    <row r="1650">
      <c r="A1650" s="87">
        <v>204.0</v>
      </c>
      <c r="B1650" s="87" t="s">
        <v>108</v>
      </c>
      <c r="C1650" s="93">
        <v>1.0</v>
      </c>
      <c r="D1650" s="87" t="s">
        <v>39</v>
      </c>
      <c r="E1650" s="87" t="s">
        <v>83</v>
      </c>
      <c r="F1650" s="87"/>
      <c r="G1650" s="94">
        <v>4.0346714E7</v>
      </c>
      <c r="H1650" s="87"/>
      <c r="I1650" s="87"/>
    </row>
    <row r="1651">
      <c r="A1651" s="87">
        <v>205.0</v>
      </c>
      <c r="B1651" s="87" t="s">
        <v>108</v>
      </c>
      <c r="C1651" s="93">
        <v>1.0</v>
      </c>
      <c r="D1651" s="87" t="s">
        <v>275</v>
      </c>
      <c r="E1651" s="87" t="s">
        <v>83</v>
      </c>
      <c r="F1651" s="87"/>
      <c r="G1651" s="94">
        <v>4.0346722E7</v>
      </c>
      <c r="H1651" s="87"/>
      <c r="I1651" s="87" t="s">
        <v>1077</v>
      </c>
    </row>
    <row r="1652">
      <c r="A1652" s="87">
        <v>206.0</v>
      </c>
      <c r="B1652" s="87" t="s">
        <v>108</v>
      </c>
      <c r="C1652" s="93">
        <v>1.0</v>
      </c>
      <c r="D1652" s="87" t="s">
        <v>39</v>
      </c>
      <c r="E1652" s="87" t="s">
        <v>83</v>
      </c>
      <c r="F1652" s="87"/>
      <c r="G1652" s="94">
        <v>4.034673E7</v>
      </c>
      <c r="H1652" s="87"/>
      <c r="I1652" s="87"/>
    </row>
    <row r="1653">
      <c r="A1653" s="87">
        <v>207.0</v>
      </c>
      <c r="B1653" s="87" t="s">
        <v>108</v>
      </c>
      <c r="C1653" s="93">
        <v>1.0</v>
      </c>
      <c r="D1653" s="87" t="s">
        <v>275</v>
      </c>
      <c r="E1653" s="87" t="s">
        <v>83</v>
      </c>
      <c r="F1653" s="87"/>
      <c r="G1653" s="94">
        <v>4.0346749E7</v>
      </c>
      <c r="H1653" s="87"/>
      <c r="I1653" s="87" t="s">
        <v>1134</v>
      </c>
    </row>
    <row r="1654">
      <c r="A1654" s="87">
        <v>208.0</v>
      </c>
      <c r="B1654" s="87" t="s">
        <v>108</v>
      </c>
      <c r="C1654" s="93">
        <v>1.0</v>
      </c>
      <c r="D1654" s="87" t="s">
        <v>39</v>
      </c>
      <c r="E1654" s="87" t="s">
        <v>83</v>
      </c>
      <c r="F1654" s="87"/>
      <c r="G1654" s="94">
        <v>4.0346757E7</v>
      </c>
      <c r="H1654" s="87"/>
      <c r="I1654" s="87"/>
    </row>
    <row r="1655">
      <c r="A1655" s="87">
        <v>209.0</v>
      </c>
      <c r="B1655" s="87" t="s">
        <v>108</v>
      </c>
      <c r="C1655" s="93">
        <v>1.0</v>
      </c>
      <c r="D1655" s="87" t="s">
        <v>39</v>
      </c>
      <c r="E1655" s="87" t="s">
        <v>83</v>
      </c>
      <c r="F1655" s="87"/>
      <c r="G1655" s="94">
        <v>4.0346765E7</v>
      </c>
      <c r="H1655" s="87"/>
      <c r="I1655" s="87"/>
    </row>
    <row r="1656">
      <c r="A1656" s="87">
        <v>210.0</v>
      </c>
      <c r="B1656" s="87" t="s">
        <v>108</v>
      </c>
      <c r="C1656" s="93">
        <v>1.0</v>
      </c>
      <c r="D1656" s="87" t="s">
        <v>275</v>
      </c>
      <c r="E1656" s="87" t="s">
        <v>83</v>
      </c>
      <c r="F1656" s="87"/>
      <c r="G1656" s="94">
        <v>4.0346773E7</v>
      </c>
      <c r="H1656" s="87"/>
      <c r="I1656" s="87" t="s">
        <v>1077</v>
      </c>
    </row>
    <row r="1657">
      <c r="A1657" s="87">
        <v>211.0</v>
      </c>
      <c r="B1657" s="87" t="s">
        <v>108</v>
      </c>
      <c r="C1657" s="93">
        <v>1.0</v>
      </c>
      <c r="D1657" s="87" t="s">
        <v>275</v>
      </c>
      <c r="E1657" s="87" t="s">
        <v>83</v>
      </c>
      <c r="F1657" s="87"/>
      <c r="G1657" s="94">
        <v>4.0346897E7</v>
      </c>
      <c r="H1657" s="87"/>
      <c r="I1657" s="87" t="s">
        <v>1077</v>
      </c>
    </row>
    <row r="1658">
      <c r="A1658" s="87">
        <v>212.0</v>
      </c>
      <c r="B1658" s="87" t="s">
        <v>108</v>
      </c>
      <c r="C1658" s="93">
        <v>1.0</v>
      </c>
      <c r="D1658" s="87" t="s">
        <v>275</v>
      </c>
      <c r="E1658" s="87" t="s">
        <v>83</v>
      </c>
      <c r="F1658" s="87"/>
      <c r="G1658" s="94">
        <v>4.03469E7</v>
      </c>
      <c r="H1658" s="87"/>
      <c r="I1658" s="87" t="s">
        <v>1136</v>
      </c>
    </row>
    <row r="1659">
      <c r="A1659" s="87">
        <v>628.0</v>
      </c>
      <c r="B1659" s="87" t="s">
        <v>108</v>
      </c>
      <c r="C1659" s="93">
        <v>1.0</v>
      </c>
      <c r="D1659" s="87" t="s">
        <v>1003</v>
      </c>
      <c r="E1659" s="87" t="s">
        <v>1137</v>
      </c>
      <c r="F1659" s="87"/>
      <c r="G1659" s="94">
        <v>4.0208222E7</v>
      </c>
      <c r="H1659" s="87"/>
      <c r="I1659" s="87" t="s">
        <v>1138</v>
      </c>
    </row>
    <row r="1660">
      <c r="A1660" s="87">
        <v>629.0</v>
      </c>
      <c r="B1660" s="87" t="s">
        <v>108</v>
      </c>
      <c r="C1660" s="93">
        <v>1.0</v>
      </c>
      <c r="D1660" s="87" t="s">
        <v>1003</v>
      </c>
      <c r="E1660" s="87" t="s">
        <v>1139</v>
      </c>
      <c r="F1660" s="87"/>
      <c r="G1660" s="94">
        <v>4.0208265E7</v>
      </c>
      <c r="H1660" s="87"/>
      <c r="I1660" s="87" t="s">
        <v>1140</v>
      </c>
    </row>
    <row r="1661">
      <c r="A1661" s="87">
        <v>630.0</v>
      </c>
      <c r="B1661" s="87" t="s">
        <v>108</v>
      </c>
      <c r="C1661" s="93">
        <v>1.0</v>
      </c>
      <c r="D1661" s="87" t="s">
        <v>1003</v>
      </c>
      <c r="E1661" s="87" t="s">
        <v>1141</v>
      </c>
      <c r="F1661" s="87"/>
      <c r="G1661" s="94">
        <v>4.0208273E7</v>
      </c>
      <c r="H1661" s="87"/>
      <c r="I1661" s="87" t="s">
        <v>1140</v>
      </c>
    </row>
    <row r="1662">
      <c r="A1662" s="87">
        <v>631.0</v>
      </c>
      <c r="B1662" s="87" t="s">
        <v>108</v>
      </c>
      <c r="C1662" s="93">
        <v>1.0</v>
      </c>
      <c r="D1662" s="87" t="s">
        <v>1003</v>
      </c>
      <c r="E1662" s="87" t="s">
        <v>1142</v>
      </c>
      <c r="F1662" s="87"/>
      <c r="G1662" s="94">
        <v>4.020829E7</v>
      </c>
      <c r="H1662" s="87"/>
      <c r="I1662" s="87" t="s">
        <v>1140</v>
      </c>
    </row>
    <row r="1663">
      <c r="A1663" s="87">
        <v>635.0</v>
      </c>
      <c r="B1663" s="87" t="s">
        <v>108</v>
      </c>
      <c r="C1663" s="93">
        <v>1.0</v>
      </c>
      <c r="D1663" s="87" t="s">
        <v>1003</v>
      </c>
      <c r="E1663" s="87" t="s">
        <v>1143</v>
      </c>
      <c r="F1663" s="87"/>
      <c r="G1663" s="94">
        <v>4.021737E7</v>
      </c>
      <c r="H1663" s="87"/>
      <c r="I1663" s="87"/>
    </row>
    <row r="1664">
      <c r="A1664" s="87">
        <v>636.0</v>
      </c>
      <c r="B1664" s="87" t="s">
        <v>108</v>
      </c>
      <c r="C1664" s="93">
        <v>1.0</v>
      </c>
      <c r="D1664" s="87" t="s">
        <v>1003</v>
      </c>
      <c r="E1664" s="87" t="s">
        <v>1144</v>
      </c>
      <c r="F1664" s="87"/>
      <c r="G1664" s="94">
        <v>4.0217426E7</v>
      </c>
      <c r="H1664" s="87"/>
      <c r="I1664" s="87"/>
    </row>
    <row r="1665">
      <c r="A1665" s="87">
        <v>637.0</v>
      </c>
      <c r="B1665" s="87" t="s">
        <v>108</v>
      </c>
      <c r="C1665" s="93">
        <v>1.0</v>
      </c>
      <c r="D1665" s="87" t="s">
        <v>1003</v>
      </c>
      <c r="E1665" s="87" t="s">
        <v>1145</v>
      </c>
      <c r="F1665" s="87"/>
      <c r="G1665" s="94">
        <v>4.021768E7</v>
      </c>
      <c r="H1665" s="87"/>
      <c r="I1665" s="87"/>
    </row>
    <row r="1666">
      <c r="A1666" s="87">
        <v>638.0</v>
      </c>
      <c r="B1666" s="87" t="s">
        <v>108</v>
      </c>
      <c r="C1666" s="93">
        <v>1.0</v>
      </c>
      <c r="D1666" s="87" t="s">
        <v>1003</v>
      </c>
      <c r="E1666" s="87" t="s">
        <v>1146</v>
      </c>
      <c r="F1666" s="87"/>
      <c r="G1666" s="94">
        <v>4.0217752E7</v>
      </c>
      <c r="H1666" s="87"/>
      <c r="I1666" s="87"/>
    </row>
    <row r="1667">
      <c r="A1667" s="87">
        <v>639.0</v>
      </c>
      <c r="B1667" s="87" t="s">
        <v>108</v>
      </c>
      <c r="C1667" s="93">
        <v>1.0</v>
      </c>
      <c r="D1667" s="87" t="s">
        <v>1003</v>
      </c>
      <c r="E1667" s="87" t="s">
        <v>1147</v>
      </c>
      <c r="F1667" s="87"/>
      <c r="G1667" s="94">
        <v>4.0217884E7</v>
      </c>
      <c r="H1667" s="87"/>
      <c r="I1667" s="87"/>
    </row>
    <row r="1668">
      <c r="A1668" s="87">
        <v>640.0</v>
      </c>
      <c r="B1668" s="87" t="s">
        <v>108</v>
      </c>
      <c r="C1668" s="93">
        <v>1.0</v>
      </c>
      <c r="D1668" s="87" t="s">
        <v>1003</v>
      </c>
      <c r="E1668" s="87" t="s">
        <v>1148</v>
      </c>
      <c r="F1668" s="87"/>
      <c r="G1668" s="94">
        <v>4.0217892E7</v>
      </c>
      <c r="H1668" s="87"/>
      <c r="I1668" s="87"/>
    </row>
    <row r="1669">
      <c r="A1669" s="87">
        <v>642.0</v>
      </c>
      <c r="B1669" s="87" t="s">
        <v>108</v>
      </c>
      <c r="C1669" s="93">
        <v>1.0</v>
      </c>
      <c r="D1669" s="87" t="s">
        <v>1003</v>
      </c>
      <c r="E1669" s="87" t="s">
        <v>1149</v>
      </c>
      <c r="F1669" s="87"/>
      <c r="G1669" s="94">
        <v>4.0219216E7</v>
      </c>
      <c r="H1669" s="87"/>
      <c r="I1669" s="87"/>
    </row>
    <row r="1670">
      <c r="A1670" s="87">
        <v>643.0</v>
      </c>
      <c r="B1670" s="87" t="s">
        <v>108</v>
      </c>
      <c r="C1670" s="93">
        <v>1.0</v>
      </c>
      <c r="D1670" s="87" t="s">
        <v>1003</v>
      </c>
      <c r="E1670" s="87" t="s">
        <v>1150</v>
      </c>
      <c r="F1670" s="87"/>
      <c r="G1670" s="94">
        <v>4.021941E7</v>
      </c>
      <c r="H1670" s="87"/>
      <c r="I1670" s="87"/>
    </row>
    <row r="1671">
      <c r="A1671" s="87">
        <v>644.0</v>
      </c>
      <c r="B1671" s="87" t="s">
        <v>108</v>
      </c>
      <c r="C1671" s="93">
        <v>1.0</v>
      </c>
      <c r="D1671" s="87" t="s">
        <v>1003</v>
      </c>
      <c r="E1671" s="87" t="s">
        <v>1151</v>
      </c>
      <c r="F1671" s="87"/>
      <c r="G1671" s="94">
        <v>4.0219534E7</v>
      </c>
      <c r="H1671" s="87"/>
      <c r="I1671" s="87"/>
    </row>
    <row r="1672">
      <c r="A1672" s="87">
        <v>645.0</v>
      </c>
      <c r="B1672" s="87" t="s">
        <v>108</v>
      </c>
      <c r="C1672" s="93">
        <v>1.0</v>
      </c>
      <c r="D1672" s="87" t="s">
        <v>1003</v>
      </c>
      <c r="E1672" s="87" t="s">
        <v>1152</v>
      </c>
      <c r="F1672" s="87"/>
      <c r="G1672" s="94">
        <v>4.0219623E7</v>
      </c>
      <c r="H1672" s="87"/>
      <c r="I1672" s="87"/>
    </row>
    <row r="1673">
      <c r="A1673" s="87">
        <v>646.0</v>
      </c>
      <c r="B1673" s="87" t="s">
        <v>108</v>
      </c>
      <c r="C1673" s="93">
        <v>1.0</v>
      </c>
      <c r="D1673" s="87" t="s">
        <v>1003</v>
      </c>
      <c r="E1673" s="87" t="s">
        <v>1153</v>
      </c>
      <c r="F1673" s="87"/>
      <c r="G1673" s="94">
        <v>4.0219631E7</v>
      </c>
      <c r="H1673" s="87"/>
      <c r="I1673" s="87"/>
    </row>
    <row r="1674">
      <c r="A1674" s="87">
        <v>966.0</v>
      </c>
      <c r="B1674" s="87" t="s">
        <v>108</v>
      </c>
      <c r="C1674" s="93">
        <v>1.0</v>
      </c>
      <c r="D1674" s="87" t="s">
        <v>1003</v>
      </c>
      <c r="E1674" s="87" t="s">
        <v>1154</v>
      </c>
      <c r="F1674" s="87"/>
      <c r="G1674" s="94">
        <v>7.6670325E7</v>
      </c>
      <c r="H1674" s="87"/>
      <c r="I1674" s="87"/>
    </row>
    <row r="1675">
      <c r="A1675" s="87">
        <v>967.0</v>
      </c>
      <c r="B1675" s="87" t="s">
        <v>108</v>
      </c>
      <c r="C1675" s="93">
        <v>1.0</v>
      </c>
      <c r="D1675" s="87" t="s">
        <v>1003</v>
      </c>
      <c r="E1675" s="87" t="s">
        <v>1155</v>
      </c>
      <c r="F1675" s="87"/>
      <c r="G1675" s="94">
        <v>7.6670333E7</v>
      </c>
      <c r="H1675" s="87"/>
      <c r="I1675" s="87"/>
    </row>
    <row r="1676">
      <c r="A1676" s="87">
        <v>968.0</v>
      </c>
      <c r="B1676" s="87" t="s">
        <v>108</v>
      </c>
      <c r="C1676" s="93">
        <v>1.0</v>
      </c>
      <c r="D1676" s="87" t="s">
        <v>1003</v>
      </c>
      <c r="E1676" s="87" t="s">
        <v>1156</v>
      </c>
      <c r="F1676" s="87"/>
      <c r="G1676" s="94">
        <v>7.6670341E7</v>
      </c>
      <c r="H1676" s="87"/>
      <c r="I1676" s="87"/>
    </row>
    <row r="1677">
      <c r="A1677" s="87">
        <v>969.0</v>
      </c>
      <c r="B1677" s="87" t="s">
        <v>108</v>
      </c>
      <c r="C1677" s="93">
        <v>1.0</v>
      </c>
      <c r="D1677" s="87" t="s">
        <v>1003</v>
      </c>
      <c r="E1677" s="87" t="s">
        <v>1157</v>
      </c>
      <c r="F1677" s="87"/>
      <c r="G1677" s="94">
        <v>7.667035E7</v>
      </c>
      <c r="H1677" s="87"/>
      <c r="I1677" s="87"/>
    </row>
    <row r="1678">
      <c r="A1678" s="87">
        <v>970.0</v>
      </c>
      <c r="B1678" s="87" t="s">
        <v>108</v>
      </c>
      <c r="C1678" s="93">
        <v>1.0</v>
      </c>
      <c r="D1678" s="87" t="s">
        <v>1003</v>
      </c>
      <c r="E1678" s="87" t="s">
        <v>1004</v>
      </c>
      <c r="F1678" s="87"/>
      <c r="G1678" s="94">
        <v>7.6670368E7</v>
      </c>
      <c r="H1678" s="87"/>
      <c r="I1678" s="87"/>
    </row>
    <row r="1679">
      <c r="A1679" s="87">
        <v>971.0</v>
      </c>
      <c r="B1679" s="87" t="s">
        <v>108</v>
      </c>
      <c r="C1679" s="93">
        <v>1.0</v>
      </c>
      <c r="D1679" s="87" t="s">
        <v>1003</v>
      </c>
      <c r="E1679" s="87" t="s">
        <v>1158</v>
      </c>
      <c r="F1679" s="87"/>
      <c r="G1679" s="94">
        <v>7.6670376E7</v>
      </c>
      <c r="H1679" s="87"/>
      <c r="I1679" s="87"/>
    </row>
    <row r="1680">
      <c r="A1680" s="87">
        <v>972.0</v>
      </c>
      <c r="B1680" s="87" t="s">
        <v>108</v>
      </c>
      <c r="C1680" s="93">
        <v>1.0</v>
      </c>
      <c r="D1680" s="87" t="s">
        <v>1003</v>
      </c>
      <c r="E1680" s="87" t="s">
        <v>1159</v>
      </c>
      <c r="F1680" s="87"/>
      <c r="G1680" s="94">
        <v>7.6670384E7</v>
      </c>
      <c r="H1680" s="87"/>
      <c r="I1680" s="87"/>
    </row>
    <row r="1681">
      <c r="A1681" s="87">
        <v>1281.0</v>
      </c>
      <c r="B1681" s="87" t="s">
        <v>108</v>
      </c>
      <c r="C1681" s="93">
        <v>1.0</v>
      </c>
      <c r="D1681" s="87" t="s">
        <v>1003</v>
      </c>
      <c r="E1681" s="87" t="s">
        <v>1160</v>
      </c>
      <c r="F1681" s="87"/>
      <c r="G1681" s="94">
        <v>4.020594E7</v>
      </c>
      <c r="H1681" s="87"/>
      <c r="I1681" s="87"/>
    </row>
    <row r="1682">
      <c r="A1682" s="87">
        <v>1283.0</v>
      </c>
      <c r="B1682" s="87" t="s">
        <v>108</v>
      </c>
      <c r="C1682" s="93">
        <v>1.0</v>
      </c>
      <c r="D1682" s="87" t="s">
        <v>1003</v>
      </c>
      <c r="E1682" s="87" t="s">
        <v>1161</v>
      </c>
      <c r="F1682" s="87"/>
      <c r="G1682" s="94">
        <v>7.6670449E7</v>
      </c>
      <c r="H1682" s="87"/>
      <c r="I1682" s="87"/>
    </row>
    <row r="1683">
      <c r="A1683" s="87">
        <v>1285.0</v>
      </c>
      <c r="B1683" s="87" t="s">
        <v>108</v>
      </c>
      <c r="C1683" s="93">
        <v>1.0</v>
      </c>
      <c r="D1683" s="87" t="s">
        <v>1003</v>
      </c>
      <c r="E1683" s="87" t="s">
        <v>1162</v>
      </c>
      <c r="F1683" s="87"/>
      <c r="G1683" s="94">
        <v>4.0242609E7</v>
      </c>
      <c r="H1683" s="87"/>
      <c r="I1683" s="87"/>
    </row>
    <row r="1684">
      <c r="A1684" s="87">
        <v>1300.0</v>
      </c>
      <c r="B1684" s="87" t="s">
        <v>108</v>
      </c>
      <c r="C1684" s="93">
        <v>1.0</v>
      </c>
      <c r="D1684" s="87" t="s">
        <v>1003</v>
      </c>
      <c r="E1684" s="87" t="s">
        <v>1163</v>
      </c>
      <c r="F1684" s="87"/>
      <c r="G1684" s="94">
        <v>5.5964311E7</v>
      </c>
      <c r="H1684" s="87"/>
      <c r="I1684" s="87" t="s">
        <v>1164</v>
      </c>
    </row>
    <row r="1685">
      <c r="A1685" s="87">
        <v>829.0</v>
      </c>
      <c r="B1685" s="87" t="s">
        <v>108</v>
      </c>
      <c r="C1685" s="93">
        <v>1.0</v>
      </c>
      <c r="D1685" s="87" t="s">
        <v>1003</v>
      </c>
      <c r="E1685" s="87" t="s">
        <v>1165</v>
      </c>
      <c r="F1685" s="87"/>
      <c r="G1685" s="94"/>
      <c r="H1685" s="87" t="s">
        <v>1166</v>
      </c>
      <c r="I1685" s="87" t="s">
        <v>1167</v>
      </c>
    </row>
    <row r="1686">
      <c r="A1686" s="87">
        <v>1706.0</v>
      </c>
      <c r="B1686" s="87" t="s">
        <v>1168</v>
      </c>
      <c r="C1686" s="93">
        <v>1.0</v>
      </c>
      <c r="D1686" s="87" t="s">
        <v>1003</v>
      </c>
      <c r="E1686" s="87" t="s">
        <v>1169</v>
      </c>
      <c r="F1686" s="87"/>
      <c r="G1686" s="94">
        <v>7.6977692E7</v>
      </c>
      <c r="H1686" s="87"/>
      <c r="I1686" s="87"/>
    </row>
    <row r="1687">
      <c r="A1687" s="87">
        <v>1728.0</v>
      </c>
      <c r="B1687" s="87" t="s">
        <v>1168</v>
      </c>
      <c r="C1687" s="93">
        <v>1.0</v>
      </c>
      <c r="D1687" s="87" t="s">
        <v>1003</v>
      </c>
      <c r="E1687" s="87" t="s">
        <v>1170</v>
      </c>
      <c r="F1687" s="87"/>
      <c r="G1687" s="94">
        <v>7.70188E7</v>
      </c>
      <c r="H1687" s="87"/>
      <c r="I1687" s="87"/>
    </row>
    <row r="1688">
      <c r="A1688" s="87">
        <v>1729.0</v>
      </c>
      <c r="B1688" s="87" t="s">
        <v>1168</v>
      </c>
      <c r="C1688" s="93">
        <v>1.0</v>
      </c>
      <c r="D1688" s="87" t="s">
        <v>39</v>
      </c>
      <c r="E1688" s="87" t="s">
        <v>40</v>
      </c>
      <c r="F1688" s="87"/>
      <c r="G1688" s="94">
        <v>7.7018818E7</v>
      </c>
      <c r="H1688" s="87"/>
      <c r="I1688" s="87"/>
    </row>
    <row r="1689">
      <c r="A1689" s="87">
        <v>1730.0</v>
      </c>
      <c r="B1689" s="87" t="s">
        <v>1168</v>
      </c>
      <c r="C1689" s="93">
        <v>1.0</v>
      </c>
      <c r="D1689" s="87" t="s">
        <v>39</v>
      </c>
      <c r="E1689" s="87" t="s">
        <v>40</v>
      </c>
      <c r="F1689" s="87"/>
      <c r="G1689" s="94">
        <v>7.7018826E7</v>
      </c>
      <c r="H1689" s="87"/>
      <c r="I1689" s="87"/>
    </row>
    <row r="1690">
      <c r="A1690" s="87">
        <v>1731.0</v>
      </c>
      <c r="B1690" s="87" t="s">
        <v>1168</v>
      </c>
      <c r="C1690" s="93">
        <v>1.0</v>
      </c>
      <c r="D1690" s="87" t="s">
        <v>39</v>
      </c>
      <c r="E1690" s="87" t="s">
        <v>40</v>
      </c>
      <c r="F1690" s="87"/>
      <c r="G1690" s="94">
        <v>7.7018834E7</v>
      </c>
      <c r="H1690" s="87"/>
      <c r="I1690" s="87"/>
    </row>
    <row r="1691">
      <c r="A1691" s="87">
        <v>1732.0</v>
      </c>
      <c r="B1691" s="87" t="s">
        <v>1168</v>
      </c>
      <c r="C1691" s="93">
        <v>1.0</v>
      </c>
      <c r="D1691" s="87" t="s">
        <v>39</v>
      </c>
      <c r="E1691" s="87" t="s">
        <v>40</v>
      </c>
      <c r="F1691" s="87"/>
      <c r="G1691" s="94">
        <v>7.7018842E7</v>
      </c>
      <c r="H1691" s="87"/>
      <c r="I1691" s="87"/>
    </row>
    <row r="1692">
      <c r="A1692" s="87">
        <v>1733.0</v>
      </c>
      <c r="B1692" s="87" t="s">
        <v>1168</v>
      </c>
      <c r="C1692" s="93">
        <v>1.0</v>
      </c>
      <c r="D1692" s="87" t="s">
        <v>39</v>
      </c>
      <c r="E1692" s="87" t="s">
        <v>40</v>
      </c>
      <c r="F1692" s="87"/>
      <c r="G1692" s="94">
        <v>7.7018389E7</v>
      </c>
      <c r="H1692" s="87"/>
      <c r="I1692" s="87"/>
    </row>
    <row r="1693">
      <c r="A1693" s="87">
        <v>1734.0</v>
      </c>
      <c r="B1693" s="87" t="s">
        <v>1168</v>
      </c>
      <c r="C1693" s="93">
        <v>1.0</v>
      </c>
      <c r="D1693" s="87" t="s">
        <v>39</v>
      </c>
      <c r="E1693" s="87" t="s">
        <v>40</v>
      </c>
      <c r="F1693" s="87"/>
      <c r="G1693" s="94">
        <v>7.7018397E7</v>
      </c>
      <c r="H1693" s="87"/>
      <c r="I1693" s="87"/>
    </row>
    <row r="1694">
      <c r="A1694" s="87">
        <v>1735.0</v>
      </c>
      <c r="B1694" s="87" t="s">
        <v>1168</v>
      </c>
      <c r="C1694" s="93">
        <v>1.0</v>
      </c>
      <c r="D1694" s="87" t="s">
        <v>39</v>
      </c>
      <c r="E1694" s="87" t="s">
        <v>40</v>
      </c>
      <c r="F1694" s="87"/>
      <c r="G1694" s="94">
        <v>7.70184E7</v>
      </c>
      <c r="H1694" s="87"/>
      <c r="I1694" s="87"/>
    </row>
    <row r="1695">
      <c r="A1695" s="87">
        <v>1736.0</v>
      </c>
      <c r="B1695" s="87" t="s">
        <v>1168</v>
      </c>
      <c r="C1695" s="93">
        <v>1.0</v>
      </c>
      <c r="D1695" s="87" t="s">
        <v>39</v>
      </c>
      <c r="E1695" s="87" t="s">
        <v>40</v>
      </c>
      <c r="F1695" s="87"/>
      <c r="G1695" s="94">
        <v>7.7018419E7</v>
      </c>
      <c r="H1695" s="87"/>
      <c r="I1695" s="87"/>
    </row>
    <row r="1696">
      <c r="A1696" s="87">
        <v>1737.0</v>
      </c>
      <c r="B1696" s="87" t="s">
        <v>1168</v>
      </c>
      <c r="C1696" s="93">
        <v>1.0</v>
      </c>
      <c r="D1696" s="87" t="s">
        <v>39</v>
      </c>
      <c r="E1696" s="87" t="s">
        <v>40</v>
      </c>
      <c r="F1696" s="87"/>
      <c r="G1696" s="94">
        <v>7.7018427E7</v>
      </c>
      <c r="H1696" s="87"/>
      <c r="I1696" s="87"/>
    </row>
    <row r="1697">
      <c r="A1697" s="87">
        <v>1738.0</v>
      </c>
      <c r="B1697" s="87" t="s">
        <v>1168</v>
      </c>
      <c r="C1697" s="93">
        <v>1.0</v>
      </c>
      <c r="D1697" s="87" t="s">
        <v>39</v>
      </c>
      <c r="E1697" s="87" t="s">
        <v>40</v>
      </c>
      <c r="F1697" s="87"/>
      <c r="G1697" s="94">
        <v>7.7018435E7</v>
      </c>
      <c r="H1697" s="87"/>
      <c r="I1697" s="87"/>
    </row>
    <row r="1698">
      <c r="A1698" s="87">
        <v>1739.0</v>
      </c>
      <c r="B1698" s="87" t="s">
        <v>1168</v>
      </c>
      <c r="C1698" s="93">
        <v>1.0</v>
      </c>
      <c r="D1698" s="87" t="s">
        <v>39</v>
      </c>
      <c r="E1698" s="87" t="s">
        <v>40</v>
      </c>
      <c r="F1698" s="87"/>
      <c r="G1698" s="94">
        <v>7.7018443E7</v>
      </c>
      <c r="H1698" s="87"/>
      <c r="I1698" s="87"/>
    </row>
    <row r="1699">
      <c r="A1699" s="87">
        <v>1740.0</v>
      </c>
      <c r="B1699" s="87" t="s">
        <v>1168</v>
      </c>
      <c r="C1699" s="93">
        <v>1.0</v>
      </c>
      <c r="D1699" s="87" t="s">
        <v>39</v>
      </c>
      <c r="E1699" s="87" t="s">
        <v>40</v>
      </c>
      <c r="F1699" s="87"/>
      <c r="G1699" s="94">
        <v>7.7018451E7</v>
      </c>
      <c r="H1699" s="87"/>
      <c r="I1699" s="87"/>
    </row>
    <row r="1700">
      <c r="A1700" s="87">
        <v>1741.0</v>
      </c>
      <c r="B1700" s="87" t="s">
        <v>1168</v>
      </c>
      <c r="C1700" s="93">
        <v>1.0</v>
      </c>
      <c r="D1700" s="87" t="s">
        <v>39</v>
      </c>
      <c r="E1700" s="87" t="s">
        <v>40</v>
      </c>
      <c r="F1700" s="87"/>
      <c r="G1700" s="94">
        <v>7.701846E7</v>
      </c>
      <c r="H1700" s="87"/>
      <c r="I1700" s="87"/>
    </row>
    <row r="1701">
      <c r="A1701" s="87">
        <v>1742.0</v>
      </c>
      <c r="B1701" s="87" t="s">
        <v>1168</v>
      </c>
      <c r="C1701" s="93">
        <v>1.0</v>
      </c>
      <c r="D1701" s="87" t="s">
        <v>39</v>
      </c>
      <c r="E1701" s="87" t="s">
        <v>40</v>
      </c>
      <c r="F1701" s="87"/>
      <c r="G1701" s="94">
        <v>7.7018478E7</v>
      </c>
      <c r="H1701" s="87"/>
      <c r="I1701" s="87"/>
    </row>
    <row r="1702">
      <c r="A1702" s="87">
        <v>1743.0</v>
      </c>
      <c r="B1702" s="87" t="s">
        <v>1168</v>
      </c>
      <c r="C1702" s="93">
        <v>1.0</v>
      </c>
      <c r="D1702" s="87" t="s">
        <v>39</v>
      </c>
      <c r="E1702" s="87" t="s">
        <v>40</v>
      </c>
      <c r="F1702" s="87"/>
      <c r="G1702" s="94">
        <v>7.7018486E7</v>
      </c>
      <c r="H1702" s="87"/>
      <c r="I1702" s="87"/>
    </row>
    <row r="1703">
      <c r="A1703" s="87">
        <v>1744.0</v>
      </c>
      <c r="B1703" s="87" t="s">
        <v>1168</v>
      </c>
      <c r="C1703" s="93">
        <v>1.0</v>
      </c>
      <c r="D1703" s="87" t="s">
        <v>39</v>
      </c>
      <c r="E1703" s="87" t="s">
        <v>40</v>
      </c>
      <c r="F1703" s="87"/>
      <c r="G1703" s="94">
        <v>7.7018494E7</v>
      </c>
      <c r="H1703" s="87"/>
      <c r="I1703" s="87"/>
    </row>
    <row r="1704">
      <c r="A1704" s="87">
        <v>1745.0</v>
      </c>
      <c r="B1704" s="87" t="s">
        <v>1168</v>
      </c>
      <c r="C1704" s="93">
        <v>1.0</v>
      </c>
      <c r="D1704" s="87" t="s">
        <v>39</v>
      </c>
      <c r="E1704" s="87" t="s">
        <v>40</v>
      </c>
      <c r="F1704" s="87"/>
      <c r="G1704" s="94">
        <v>7.7018508E7</v>
      </c>
      <c r="H1704" s="87"/>
      <c r="I1704" s="87"/>
    </row>
    <row r="1705">
      <c r="A1705" s="87">
        <v>1746.0</v>
      </c>
      <c r="B1705" s="87" t="s">
        <v>1168</v>
      </c>
      <c r="C1705" s="93">
        <v>1.0</v>
      </c>
      <c r="D1705" s="87" t="s">
        <v>39</v>
      </c>
      <c r="E1705" s="87" t="s">
        <v>40</v>
      </c>
      <c r="F1705" s="87"/>
      <c r="G1705" s="94">
        <v>7.7018516E7</v>
      </c>
      <c r="H1705" s="87"/>
      <c r="I1705" s="87"/>
    </row>
    <row r="1706">
      <c r="A1706" s="87">
        <v>1747.0</v>
      </c>
      <c r="B1706" s="87" t="s">
        <v>1168</v>
      </c>
      <c r="C1706" s="93">
        <v>1.0</v>
      </c>
      <c r="D1706" s="87" t="s">
        <v>39</v>
      </c>
      <c r="E1706" s="87" t="s">
        <v>40</v>
      </c>
      <c r="F1706" s="87"/>
      <c r="G1706" s="94">
        <v>7.7018524E7</v>
      </c>
      <c r="H1706" s="87"/>
      <c r="I1706" s="87"/>
    </row>
    <row r="1707">
      <c r="A1707" s="87">
        <v>1748.0</v>
      </c>
      <c r="B1707" s="87" t="s">
        <v>1168</v>
      </c>
      <c r="C1707" s="93">
        <v>1.0</v>
      </c>
      <c r="D1707" s="87" t="s">
        <v>39</v>
      </c>
      <c r="E1707" s="87" t="s">
        <v>40</v>
      </c>
      <c r="F1707" s="87"/>
      <c r="G1707" s="94">
        <v>7.7018532E7</v>
      </c>
      <c r="H1707" s="87"/>
      <c r="I1707" s="87"/>
    </row>
    <row r="1708">
      <c r="A1708" s="87">
        <v>1749.0</v>
      </c>
      <c r="B1708" s="87" t="s">
        <v>1168</v>
      </c>
      <c r="C1708" s="93">
        <v>1.0</v>
      </c>
      <c r="D1708" s="87" t="s">
        <v>39</v>
      </c>
      <c r="E1708" s="87" t="s">
        <v>40</v>
      </c>
      <c r="F1708" s="87"/>
      <c r="G1708" s="94">
        <v>7.701854E7</v>
      </c>
      <c r="H1708" s="87"/>
      <c r="I1708" s="87"/>
    </row>
    <row r="1709">
      <c r="A1709" s="87">
        <v>1750.0</v>
      </c>
      <c r="B1709" s="87" t="s">
        <v>1168</v>
      </c>
      <c r="C1709" s="93">
        <v>1.0</v>
      </c>
      <c r="D1709" s="87" t="s">
        <v>39</v>
      </c>
      <c r="E1709" s="87" t="s">
        <v>40</v>
      </c>
      <c r="F1709" s="87"/>
      <c r="G1709" s="94">
        <v>7.7018559E7</v>
      </c>
      <c r="H1709" s="87"/>
      <c r="I1709" s="87"/>
    </row>
    <row r="1710">
      <c r="A1710" s="87">
        <v>1751.0</v>
      </c>
      <c r="B1710" s="87" t="s">
        <v>1168</v>
      </c>
      <c r="C1710" s="93">
        <v>1.0</v>
      </c>
      <c r="D1710" s="87" t="s">
        <v>39</v>
      </c>
      <c r="E1710" s="87" t="s">
        <v>40</v>
      </c>
      <c r="F1710" s="87"/>
      <c r="G1710" s="94">
        <v>7.701885E7</v>
      </c>
      <c r="H1710" s="87"/>
      <c r="I1710" s="87"/>
    </row>
    <row r="1711">
      <c r="A1711" s="87">
        <v>1752.0</v>
      </c>
      <c r="B1711" s="87" t="s">
        <v>1168</v>
      </c>
      <c r="C1711" s="93">
        <v>1.0</v>
      </c>
      <c r="D1711" s="87" t="s">
        <v>39</v>
      </c>
      <c r="E1711" s="87" t="s">
        <v>40</v>
      </c>
      <c r="F1711" s="87"/>
      <c r="G1711" s="94">
        <v>7.7018869E7</v>
      </c>
      <c r="H1711" s="87"/>
      <c r="I1711" s="87"/>
    </row>
    <row r="1712">
      <c r="A1712" s="87">
        <v>1753.0</v>
      </c>
      <c r="B1712" s="87" t="s">
        <v>1168</v>
      </c>
      <c r="C1712" s="93">
        <v>1.0</v>
      </c>
      <c r="D1712" s="87" t="s">
        <v>39</v>
      </c>
      <c r="E1712" s="87" t="s">
        <v>40</v>
      </c>
      <c r="F1712" s="87"/>
      <c r="G1712" s="94">
        <v>7.7018877E7</v>
      </c>
      <c r="H1712" s="87"/>
      <c r="I1712" s="87"/>
    </row>
    <row r="1713">
      <c r="A1713" s="87">
        <v>1754.0</v>
      </c>
      <c r="B1713" s="87" t="s">
        <v>1168</v>
      </c>
      <c r="C1713" s="93">
        <v>1.0</v>
      </c>
      <c r="D1713" s="87" t="s">
        <v>39</v>
      </c>
      <c r="E1713" s="87" t="s">
        <v>40</v>
      </c>
      <c r="F1713" s="87"/>
      <c r="G1713" s="94">
        <v>7.7018885E7</v>
      </c>
      <c r="H1713" s="87"/>
      <c r="I1713" s="87"/>
    </row>
    <row r="1714">
      <c r="A1714" s="87">
        <v>1755.0</v>
      </c>
      <c r="B1714" s="87" t="s">
        <v>1168</v>
      </c>
      <c r="C1714" s="93">
        <v>1.0</v>
      </c>
      <c r="D1714" s="87" t="s">
        <v>39</v>
      </c>
      <c r="E1714" s="87" t="s">
        <v>40</v>
      </c>
      <c r="F1714" s="87"/>
      <c r="G1714" s="94">
        <v>7.7018893E7</v>
      </c>
      <c r="H1714" s="87"/>
      <c r="I1714" s="87"/>
    </row>
    <row r="1715">
      <c r="A1715" s="87">
        <v>1756.0</v>
      </c>
      <c r="B1715" s="87" t="s">
        <v>1168</v>
      </c>
      <c r="C1715" s="93">
        <v>1.0</v>
      </c>
      <c r="D1715" s="87" t="s">
        <v>39</v>
      </c>
      <c r="E1715" s="87" t="s">
        <v>40</v>
      </c>
      <c r="F1715" s="87"/>
      <c r="G1715" s="94">
        <v>7.7018907E7</v>
      </c>
      <c r="H1715" s="87"/>
      <c r="I1715" s="87"/>
    </row>
    <row r="1716">
      <c r="A1716" s="87">
        <v>1757.0</v>
      </c>
      <c r="B1716" s="87" t="s">
        <v>1168</v>
      </c>
      <c r="C1716" s="93">
        <v>1.0</v>
      </c>
      <c r="D1716" s="87" t="s">
        <v>39</v>
      </c>
      <c r="E1716" s="87" t="s">
        <v>40</v>
      </c>
      <c r="F1716" s="87"/>
      <c r="G1716" s="94">
        <v>7.7018915E7</v>
      </c>
      <c r="H1716" s="87"/>
      <c r="I1716" s="87"/>
    </row>
    <row r="1717">
      <c r="A1717" s="87">
        <v>1758.0</v>
      </c>
      <c r="B1717" s="87" t="s">
        <v>1168</v>
      </c>
      <c r="C1717" s="93">
        <v>1.0</v>
      </c>
      <c r="D1717" s="87" t="s">
        <v>39</v>
      </c>
      <c r="E1717" s="87" t="s">
        <v>40</v>
      </c>
      <c r="F1717" s="87"/>
      <c r="G1717" s="94">
        <v>7.7018923E7</v>
      </c>
      <c r="H1717" s="87"/>
      <c r="I1717" s="87"/>
    </row>
    <row r="1718">
      <c r="A1718" s="87">
        <v>1759.0</v>
      </c>
      <c r="B1718" s="87" t="s">
        <v>1168</v>
      </c>
      <c r="C1718" s="93">
        <v>1.0</v>
      </c>
      <c r="D1718" s="87" t="s">
        <v>39</v>
      </c>
      <c r="E1718" s="87" t="s">
        <v>40</v>
      </c>
      <c r="F1718" s="87"/>
      <c r="G1718" s="94">
        <v>7.7018931E7</v>
      </c>
      <c r="H1718" s="87"/>
      <c r="I1718" s="87"/>
    </row>
    <row r="1719">
      <c r="A1719" s="87">
        <v>1760.0</v>
      </c>
      <c r="B1719" s="87" t="s">
        <v>1168</v>
      </c>
      <c r="C1719" s="93">
        <v>1.0</v>
      </c>
      <c r="D1719" s="87" t="s">
        <v>39</v>
      </c>
      <c r="E1719" s="87" t="s">
        <v>40</v>
      </c>
      <c r="F1719" s="87"/>
      <c r="G1719" s="94">
        <v>7.701894E7</v>
      </c>
      <c r="H1719" s="87"/>
      <c r="I1719" s="87"/>
    </row>
    <row r="1720">
      <c r="A1720" s="87">
        <v>1761.0</v>
      </c>
      <c r="B1720" s="87" t="s">
        <v>1168</v>
      </c>
      <c r="C1720" s="93">
        <v>1.0</v>
      </c>
      <c r="D1720" s="87" t="s">
        <v>39</v>
      </c>
      <c r="E1720" s="87" t="s">
        <v>40</v>
      </c>
      <c r="F1720" s="87"/>
      <c r="G1720" s="94">
        <v>7.7018958E7</v>
      </c>
      <c r="H1720" s="87"/>
      <c r="I1720" s="87"/>
    </row>
    <row r="1721">
      <c r="A1721" s="87">
        <v>1762.0</v>
      </c>
      <c r="B1721" s="87" t="s">
        <v>1168</v>
      </c>
      <c r="C1721" s="93">
        <v>1.0</v>
      </c>
      <c r="D1721" s="87" t="s">
        <v>39</v>
      </c>
      <c r="E1721" s="87" t="s">
        <v>40</v>
      </c>
      <c r="F1721" s="87"/>
      <c r="G1721" s="94">
        <v>7.7018966E7</v>
      </c>
      <c r="H1721" s="87"/>
      <c r="I1721" s="87"/>
    </row>
    <row r="1722">
      <c r="A1722" s="87">
        <v>1763.0</v>
      </c>
      <c r="B1722" s="87" t="s">
        <v>1168</v>
      </c>
      <c r="C1722" s="93">
        <v>1.0</v>
      </c>
      <c r="D1722" s="87" t="s">
        <v>39</v>
      </c>
      <c r="E1722" s="87" t="s">
        <v>40</v>
      </c>
      <c r="F1722" s="87"/>
      <c r="G1722" s="94">
        <v>7.7018974E7</v>
      </c>
      <c r="H1722" s="87"/>
      <c r="I1722" s="87"/>
    </row>
    <row r="1723">
      <c r="A1723" s="87">
        <v>1764.0</v>
      </c>
      <c r="B1723" s="87" t="s">
        <v>1168</v>
      </c>
      <c r="C1723" s="93">
        <v>1.0</v>
      </c>
      <c r="D1723" s="87" t="s">
        <v>39</v>
      </c>
      <c r="E1723" s="87" t="s">
        <v>40</v>
      </c>
      <c r="F1723" s="87"/>
      <c r="G1723" s="94">
        <v>7.7018982E7</v>
      </c>
      <c r="H1723" s="87"/>
      <c r="I1723" s="87"/>
    </row>
    <row r="1724">
      <c r="A1724" s="87">
        <v>1765.0</v>
      </c>
      <c r="B1724" s="87" t="s">
        <v>1168</v>
      </c>
      <c r="C1724" s="93">
        <v>1.0</v>
      </c>
      <c r="D1724" s="87" t="s">
        <v>39</v>
      </c>
      <c r="E1724" s="87" t="s">
        <v>40</v>
      </c>
      <c r="F1724" s="87"/>
      <c r="G1724" s="94">
        <v>7.701899E7</v>
      </c>
      <c r="H1724" s="87"/>
      <c r="I1724" s="87"/>
    </row>
    <row r="1725">
      <c r="A1725" s="87">
        <v>1766.0</v>
      </c>
      <c r="B1725" s="87" t="s">
        <v>1168</v>
      </c>
      <c r="C1725" s="93">
        <v>1.0</v>
      </c>
      <c r="D1725" s="87" t="s">
        <v>39</v>
      </c>
      <c r="E1725" s="87" t="s">
        <v>40</v>
      </c>
      <c r="F1725" s="87"/>
      <c r="G1725" s="94">
        <v>7.7019008E7</v>
      </c>
      <c r="H1725" s="87"/>
      <c r="I1725" s="87"/>
    </row>
    <row r="1726">
      <c r="A1726" s="87">
        <v>1767.0</v>
      </c>
      <c r="B1726" s="87" t="s">
        <v>1168</v>
      </c>
      <c r="C1726" s="93">
        <v>1.0</v>
      </c>
      <c r="D1726" s="87" t="s">
        <v>39</v>
      </c>
      <c r="E1726" s="87" t="s">
        <v>40</v>
      </c>
      <c r="F1726" s="87"/>
      <c r="G1726" s="94">
        <v>7.7019016E7</v>
      </c>
      <c r="H1726" s="87"/>
      <c r="I1726" s="87"/>
    </row>
    <row r="1727">
      <c r="A1727" s="87">
        <v>1768.0</v>
      </c>
      <c r="B1727" s="87" t="s">
        <v>1168</v>
      </c>
      <c r="C1727" s="93">
        <v>1.0</v>
      </c>
      <c r="D1727" s="87" t="s">
        <v>39</v>
      </c>
      <c r="E1727" s="87" t="s">
        <v>40</v>
      </c>
      <c r="F1727" s="87"/>
      <c r="G1727" s="94">
        <v>7.7019024E7</v>
      </c>
      <c r="H1727" s="87"/>
      <c r="I1727" s="87"/>
    </row>
    <row r="1728">
      <c r="A1728" s="87">
        <v>1769.0</v>
      </c>
      <c r="B1728" s="87" t="s">
        <v>1168</v>
      </c>
      <c r="C1728" s="93">
        <v>1.0</v>
      </c>
      <c r="D1728" s="87" t="s">
        <v>39</v>
      </c>
      <c r="E1728" s="87" t="s">
        <v>40</v>
      </c>
      <c r="F1728" s="87"/>
      <c r="G1728" s="94">
        <v>7.7019032E7</v>
      </c>
      <c r="H1728" s="87"/>
      <c r="I1728" s="87"/>
    </row>
    <row r="1729">
      <c r="A1729" s="87">
        <v>1770.0</v>
      </c>
      <c r="B1729" s="87" t="s">
        <v>1168</v>
      </c>
      <c r="C1729" s="93">
        <v>1.0</v>
      </c>
      <c r="D1729" s="87" t="s">
        <v>39</v>
      </c>
      <c r="E1729" s="87" t="s">
        <v>40</v>
      </c>
      <c r="F1729" s="87"/>
      <c r="G1729" s="94">
        <v>7.701904E7</v>
      </c>
      <c r="H1729" s="87"/>
      <c r="I1729" s="87"/>
    </row>
    <row r="1730">
      <c r="A1730" s="87">
        <v>1771.0</v>
      </c>
      <c r="B1730" s="87" t="s">
        <v>1168</v>
      </c>
      <c r="C1730" s="93">
        <v>1.0</v>
      </c>
      <c r="D1730" s="87" t="s">
        <v>39</v>
      </c>
      <c r="E1730" s="87" t="s">
        <v>40</v>
      </c>
      <c r="F1730" s="87"/>
      <c r="G1730" s="94">
        <v>7.7019059E7</v>
      </c>
      <c r="H1730" s="87"/>
      <c r="I1730" s="87"/>
    </row>
    <row r="1731">
      <c r="A1731" s="87">
        <v>1772.0</v>
      </c>
      <c r="B1731" s="87" t="s">
        <v>1168</v>
      </c>
      <c r="C1731" s="93">
        <v>1.0</v>
      </c>
      <c r="D1731" s="87" t="s">
        <v>39</v>
      </c>
      <c r="E1731" s="87" t="s">
        <v>40</v>
      </c>
      <c r="F1731" s="87"/>
      <c r="G1731" s="94">
        <v>7.7019067E7</v>
      </c>
      <c r="H1731" s="87"/>
      <c r="I1731" s="87"/>
    </row>
    <row r="1732">
      <c r="A1732" s="87">
        <v>1773.0</v>
      </c>
      <c r="B1732" s="87" t="s">
        <v>1168</v>
      </c>
      <c r="C1732" s="93">
        <v>1.0</v>
      </c>
      <c r="D1732" s="87" t="s">
        <v>39</v>
      </c>
      <c r="E1732" s="87" t="s">
        <v>40</v>
      </c>
      <c r="F1732" s="87"/>
      <c r="G1732" s="94">
        <v>7.7019075E7</v>
      </c>
      <c r="H1732" s="87"/>
      <c r="I1732" s="87"/>
    </row>
    <row r="1733">
      <c r="A1733" s="87">
        <v>1774.0</v>
      </c>
      <c r="B1733" s="87" t="s">
        <v>1168</v>
      </c>
      <c r="C1733" s="93">
        <v>1.0</v>
      </c>
      <c r="D1733" s="87" t="s">
        <v>39</v>
      </c>
      <c r="E1733" s="87" t="s">
        <v>40</v>
      </c>
      <c r="F1733" s="87"/>
      <c r="G1733" s="94">
        <v>7.7019083E7</v>
      </c>
      <c r="H1733" s="87"/>
      <c r="I1733" s="87"/>
    </row>
    <row r="1734">
      <c r="A1734" s="87">
        <v>1775.0</v>
      </c>
      <c r="B1734" s="87" t="s">
        <v>1168</v>
      </c>
      <c r="C1734" s="93">
        <v>1.0</v>
      </c>
      <c r="D1734" s="87" t="s">
        <v>39</v>
      </c>
      <c r="E1734" s="87" t="s">
        <v>40</v>
      </c>
      <c r="F1734" s="87"/>
      <c r="G1734" s="94">
        <v>7.7019091E7</v>
      </c>
      <c r="H1734" s="87"/>
      <c r="I1734" s="87"/>
    </row>
    <row r="1735">
      <c r="A1735" s="87">
        <v>1776.0</v>
      </c>
      <c r="B1735" s="87" t="s">
        <v>1168</v>
      </c>
      <c r="C1735" s="93">
        <v>1.0</v>
      </c>
      <c r="D1735" s="87" t="s">
        <v>39</v>
      </c>
      <c r="E1735" s="87" t="s">
        <v>40</v>
      </c>
      <c r="F1735" s="87"/>
      <c r="G1735" s="94">
        <v>7.7019105E7</v>
      </c>
      <c r="H1735" s="87"/>
      <c r="I1735" s="87"/>
    </row>
    <row r="1736">
      <c r="A1736" s="87">
        <v>1777.0</v>
      </c>
      <c r="B1736" s="87" t="s">
        <v>1168</v>
      </c>
      <c r="C1736" s="93">
        <v>1.0</v>
      </c>
      <c r="D1736" s="87" t="s">
        <v>39</v>
      </c>
      <c r="E1736" s="87" t="s">
        <v>40</v>
      </c>
      <c r="F1736" s="87"/>
      <c r="G1736" s="94">
        <v>7.7019113E7</v>
      </c>
      <c r="H1736" s="87"/>
      <c r="I1736" s="87"/>
    </row>
    <row r="1737">
      <c r="A1737" s="87">
        <v>1778.0</v>
      </c>
      <c r="B1737" s="87" t="s">
        <v>1168</v>
      </c>
      <c r="C1737" s="93">
        <v>1.0</v>
      </c>
      <c r="D1737" s="87" t="s">
        <v>39</v>
      </c>
      <c r="E1737" s="87" t="s">
        <v>40</v>
      </c>
      <c r="F1737" s="87"/>
      <c r="G1737" s="94">
        <v>7.7019121E7</v>
      </c>
      <c r="H1737" s="87"/>
      <c r="I1737" s="87"/>
    </row>
    <row r="1738">
      <c r="A1738" s="87">
        <v>1779.0</v>
      </c>
      <c r="B1738" s="87" t="s">
        <v>1168</v>
      </c>
      <c r="C1738" s="93">
        <v>1.0</v>
      </c>
      <c r="D1738" s="87" t="s">
        <v>39</v>
      </c>
      <c r="E1738" s="87" t="s">
        <v>40</v>
      </c>
      <c r="F1738" s="87"/>
      <c r="G1738" s="94">
        <v>7.701913E7</v>
      </c>
      <c r="H1738" s="87"/>
      <c r="I1738" s="87"/>
    </row>
    <row r="1739">
      <c r="A1739" s="87">
        <v>1780.0</v>
      </c>
      <c r="B1739" s="87" t="s">
        <v>1168</v>
      </c>
      <c r="C1739" s="93">
        <v>1.0</v>
      </c>
      <c r="D1739" s="87" t="s">
        <v>39</v>
      </c>
      <c r="E1739" s="87" t="s">
        <v>40</v>
      </c>
      <c r="F1739" s="87"/>
      <c r="G1739" s="94">
        <v>7.7019148E7</v>
      </c>
      <c r="H1739" s="87"/>
      <c r="I1739" s="87"/>
    </row>
    <row r="1740">
      <c r="A1740" s="87">
        <v>1781.0</v>
      </c>
      <c r="B1740" s="87" t="s">
        <v>1168</v>
      </c>
      <c r="C1740" s="93">
        <v>1.0</v>
      </c>
      <c r="D1740" s="87" t="s">
        <v>39</v>
      </c>
      <c r="E1740" s="87" t="s">
        <v>40</v>
      </c>
      <c r="F1740" s="87"/>
      <c r="G1740" s="94">
        <v>7.7019156E7</v>
      </c>
      <c r="H1740" s="87"/>
      <c r="I1740" s="87"/>
    </row>
    <row r="1741">
      <c r="A1741" s="87">
        <v>1782.0</v>
      </c>
      <c r="B1741" s="87" t="s">
        <v>1168</v>
      </c>
      <c r="C1741" s="93">
        <v>1.0</v>
      </c>
      <c r="D1741" s="87" t="s">
        <v>39</v>
      </c>
      <c r="E1741" s="87" t="s">
        <v>40</v>
      </c>
      <c r="F1741" s="87"/>
      <c r="G1741" s="94">
        <v>7.7019164E7</v>
      </c>
      <c r="H1741" s="87"/>
      <c r="I1741" s="87"/>
    </row>
    <row r="1742">
      <c r="A1742" s="87">
        <v>1783.0</v>
      </c>
      <c r="B1742" s="87" t="s">
        <v>1168</v>
      </c>
      <c r="C1742" s="93">
        <v>1.0</v>
      </c>
      <c r="D1742" s="87" t="s">
        <v>39</v>
      </c>
      <c r="E1742" s="87" t="s">
        <v>40</v>
      </c>
      <c r="F1742" s="87"/>
      <c r="G1742" s="94">
        <v>7.7019172E7</v>
      </c>
      <c r="H1742" s="87"/>
      <c r="I1742" s="87"/>
    </row>
    <row r="1743">
      <c r="A1743" s="87">
        <v>1784.0</v>
      </c>
      <c r="B1743" s="87" t="s">
        <v>1168</v>
      </c>
      <c r="C1743" s="93">
        <v>1.0</v>
      </c>
      <c r="D1743" s="87" t="s">
        <v>39</v>
      </c>
      <c r="E1743" s="87" t="s">
        <v>40</v>
      </c>
      <c r="F1743" s="87"/>
      <c r="G1743" s="94">
        <v>7.701918E7</v>
      </c>
      <c r="H1743" s="87"/>
      <c r="I1743" s="87"/>
    </row>
    <row r="1744">
      <c r="A1744" s="87">
        <v>1785.0</v>
      </c>
      <c r="B1744" s="87" t="s">
        <v>1168</v>
      </c>
      <c r="C1744" s="93">
        <v>1.0</v>
      </c>
      <c r="D1744" s="87" t="s">
        <v>39</v>
      </c>
      <c r="E1744" s="87" t="s">
        <v>40</v>
      </c>
      <c r="F1744" s="87"/>
      <c r="G1744" s="94">
        <v>7.7019199E7</v>
      </c>
      <c r="H1744" s="87"/>
      <c r="I1744" s="87"/>
    </row>
    <row r="1745">
      <c r="A1745" s="87">
        <v>1786.0</v>
      </c>
      <c r="B1745" s="87" t="s">
        <v>1168</v>
      </c>
      <c r="C1745" s="93">
        <v>1.0</v>
      </c>
      <c r="D1745" s="87" t="s">
        <v>39</v>
      </c>
      <c r="E1745" s="87" t="s">
        <v>40</v>
      </c>
      <c r="F1745" s="87"/>
      <c r="G1745" s="94">
        <v>7.7019202E7</v>
      </c>
      <c r="H1745" s="87"/>
      <c r="I1745" s="87"/>
    </row>
    <row r="1746">
      <c r="A1746" s="87">
        <v>1787.0</v>
      </c>
      <c r="B1746" s="87" t="s">
        <v>1168</v>
      </c>
      <c r="C1746" s="93">
        <v>1.0</v>
      </c>
      <c r="D1746" s="87" t="s">
        <v>39</v>
      </c>
      <c r="E1746" s="87" t="s">
        <v>40</v>
      </c>
      <c r="F1746" s="87"/>
      <c r="G1746" s="94">
        <v>7.701921E7</v>
      </c>
      <c r="H1746" s="87"/>
      <c r="I1746" s="87"/>
    </row>
    <row r="1747">
      <c r="A1747" s="87">
        <v>1788.0</v>
      </c>
      <c r="B1747" s="87" t="s">
        <v>1168</v>
      </c>
      <c r="C1747" s="93">
        <v>1.0</v>
      </c>
      <c r="D1747" s="87" t="s">
        <v>39</v>
      </c>
      <c r="E1747" s="87" t="s">
        <v>40</v>
      </c>
      <c r="F1747" s="87"/>
      <c r="G1747" s="94">
        <v>7.7019229E7</v>
      </c>
      <c r="H1747" s="87"/>
      <c r="I1747" s="87"/>
    </row>
    <row r="1748">
      <c r="A1748" s="87">
        <v>1789.0</v>
      </c>
      <c r="B1748" s="87" t="s">
        <v>1168</v>
      </c>
      <c r="C1748" s="93">
        <v>1.0</v>
      </c>
      <c r="D1748" s="87" t="s">
        <v>39</v>
      </c>
      <c r="E1748" s="87" t="s">
        <v>40</v>
      </c>
      <c r="F1748" s="87"/>
      <c r="G1748" s="94">
        <v>7.7019237E7</v>
      </c>
      <c r="H1748" s="87"/>
      <c r="I1748" s="87"/>
    </row>
    <row r="1749">
      <c r="A1749" s="87">
        <v>1790.0</v>
      </c>
      <c r="B1749" s="87" t="s">
        <v>1168</v>
      </c>
      <c r="C1749" s="93">
        <v>1.0</v>
      </c>
      <c r="D1749" s="87" t="s">
        <v>39</v>
      </c>
      <c r="E1749" s="87" t="s">
        <v>40</v>
      </c>
      <c r="F1749" s="87"/>
      <c r="G1749" s="94">
        <v>7.7019245E7</v>
      </c>
      <c r="H1749" s="87"/>
      <c r="I1749" s="87"/>
    </row>
    <row r="1750">
      <c r="A1750" s="87">
        <v>17.0</v>
      </c>
      <c r="B1750" s="87" t="s">
        <v>878</v>
      </c>
      <c r="C1750" s="93">
        <v>1.0</v>
      </c>
      <c r="D1750" s="87" t="s">
        <v>1003</v>
      </c>
      <c r="E1750" s="87" t="s">
        <v>1171</v>
      </c>
      <c r="F1750" s="87"/>
      <c r="G1750" s="94">
        <v>7.6679586E7</v>
      </c>
      <c r="H1750" s="87"/>
      <c r="I1750" s="87" t="s">
        <v>1172</v>
      </c>
    </row>
    <row r="1751">
      <c r="A1751" s="87">
        <v>57.0</v>
      </c>
      <c r="B1751" s="87" t="s">
        <v>878</v>
      </c>
      <c r="C1751" s="93">
        <v>1.0</v>
      </c>
      <c r="D1751" s="87" t="s">
        <v>1003</v>
      </c>
      <c r="E1751" s="87" t="s">
        <v>1173</v>
      </c>
      <c r="F1751" s="87"/>
      <c r="G1751" s="94">
        <v>7.680584E7</v>
      </c>
      <c r="H1751" s="87"/>
      <c r="I1751" s="87" t="s">
        <v>1174</v>
      </c>
    </row>
    <row r="1752">
      <c r="A1752" s="87">
        <v>62.0</v>
      </c>
      <c r="B1752" s="87" t="s">
        <v>878</v>
      </c>
      <c r="C1752" s="93">
        <v>1.0</v>
      </c>
      <c r="D1752" s="87" t="s">
        <v>1003</v>
      </c>
      <c r="E1752" s="87" t="s">
        <v>1175</v>
      </c>
      <c r="F1752" s="87"/>
      <c r="G1752" s="94">
        <v>4.0160971E7</v>
      </c>
      <c r="H1752" s="87"/>
      <c r="I1752" s="87" t="s">
        <v>1176</v>
      </c>
    </row>
    <row r="1753">
      <c r="A1753" s="87">
        <v>63.0</v>
      </c>
      <c r="B1753" s="87" t="s">
        <v>878</v>
      </c>
      <c r="C1753" s="93">
        <v>1.0</v>
      </c>
      <c r="D1753" s="87" t="s">
        <v>1003</v>
      </c>
      <c r="E1753" s="87" t="s">
        <v>1177</v>
      </c>
      <c r="F1753" s="87"/>
      <c r="G1753" s="94">
        <v>4.0168654E7</v>
      </c>
      <c r="H1753" s="87"/>
      <c r="I1753" s="87" t="s">
        <v>1178</v>
      </c>
    </row>
    <row r="1754">
      <c r="A1754" s="87">
        <v>64.0</v>
      </c>
      <c r="B1754" s="87" t="s">
        <v>878</v>
      </c>
      <c r="C1754" s="93">
        <v>1.0</v>
      </c>
      <c r="D1754" s="87" t="s">
        <v>1003</v>
      </c>
      <c r="E1754" s="87" t="s">
        <v>1137</v>
      </c>
      <c r="F1754" s="87"/>
      <c r="G1754" s="94">
        <v>4.01687E7</v>
      </c>
      <c r="H1754" s="87"/>
      <c r="I1754" s="87" t="s">
        <v>1179</v>
      </c>
    </row>
    <row r="1755">
      <c r="A1755" s="87">
        <v>66.0</v>
      </c>
      <c r="B1755" s="87" t="s">
        <v>878</v>
      </c>
      <c r="C1755" s="93">
        <v>1.0</v>
      </c>
      <c r="D1755" s="87" t="s">
        <v>1003</v>
      </c>
      <c r="E1755" s="87" t="s">
        <v>1158</v>
      </c>
      <c r="F1755" s="87"/>
      <c r="G1755" s="94">
        <v>4.017422E7</v>
      </c>
      <c r="H1755" s="87"/>
      <c r="I1755" s="87" t="s">
        <v>1180</v>
      </c>
    </row>
    <row r="1756">
      <c r="A1756" s="87">
        <v>67.0</v>
      </c>
      <c r="B1756" s="87" t="s">
        <v>878</v>
      </c>
      <c r="C1756" s="93">
        <v>1.0</v>
      </c>
      <c r="D1756" s="87" t="s">
        <v>1003</v>
      </c>
      <c r="E1756" s="87" t="s">
        <v>1055</v>
      </c>
      <c r="F1756" s="87"/>
      <c r="G1756" s="94">
        <v>4.017428E7</v>
      </c>
      <c r="H1756" s="87"/>
      <c r="I1756" s="87" t="s">
        <v>1181</v>
      </c>
    </row>
    <row r="1757">
      <c r="A1757" s="87">
        <v>70.0</v>
      </c>
      <c r="B1757" s="87" t="s">
        <v>878</v>
      </c>
      <c r="C1757" s="93">
        <v>1.0</v>
      </c>
      <c r="D1757" s="87" t="s">
        <v>1003</v>
      </c>
      <c r="E1757" s="87" t="s">
        <v>1152</v>
      </c>
      <c r="F1757" s="87"/>
      <c r="G1757" s="94">
        <v>4.017476E7</v>
      </c>
      <c r="H1757" s="87"/>
      <c r="I1757" s="87" t="s">
        <v>882</v>
      </c>
    </row>
    <row r="1758">
      <c r="A1758" s="87">
        <v>71.0</v>
      </c>
      <c r="B1758" s="87" t="s">
        <v>878</v>
      </c>
      <c r="C1758" s="93">
        <v>1.0</v>
      </c>
      <c r="D1758" s="87" t="s">
        <v>1003</v>
      </c>
      <c r="E1758" s="87" t="s">
        <v>1154</v>
      </c>
      <c r="F1758" s="87"/>
      <c r="G1758" s="94">
        <v>4.01761E7</v>
      </c>
      <c r="H1758" s="87"/>
      <c r="I1758" s="87" t="s">
        <v>1182</v>
      </c>
    </row>
    <row r="1759">
      <c r="A1759" s="87">
        <v>72.0</v>
      </c>
      <c r="B1759" s="87" t="s">
        <v>878</v>
      </c>
      <c r="C1759" s="93">
        <v>1.0</v>
      </c>
      <c r="D1759" s="87" t="s">
        <v>1003</v>
      </c>
      <c r="E1759" s="87" t="s">
        <v>1159</v>
      </c>
      <c r="F1759" s="87"/>
      <c r="G1759" s="94">
        <v>4.0176118E7</v>
      </c>
      <c r="H1759" s="87" t="s">
        <v>1183</v>
      </c>
      <c r="I1759" s="87" t="s">
        <v>1184</v>
      </c>
    </row>
    <row r="1760">
      <c r="A1760" s="87">
        <v>73.0</v>
      </c>
      <c r="B1760" s="87" t="s">
        <v>878</v>
      </c>
      <c r="C1760" s="93">
        <v>1.0</v>
      </c>
      <c r="D1760" s="87" t="s">
        <v>1003</v>
      </c>
      <c r="E1760" s="87" t="s">
        <v>1185</v>
      </c>
      <c r="F1760" s="87"/>
      <c r="G1760" s="94">
        <v>4.017629E7</v>
      </c>
      <c r="H1760" s="87" t="s">
        <v>1186</v>
      </c>
      <c r="I1760" s="87" t="s">
        <v>1187</v>
      </c>
    </row>
    <row r="1761">
      <c r="A1761" s="87">
        <v>74.0</v>
      </c>
      <c r="B1761" s="87" t="s">
        <v>878</v>
      </c>
      <c r="C1761" s="93">
        <v>1.0</v>
      </c>
      <c r="D1761" s="87" t="s">
        <v>1003</v>
      </c>
      <c r="E1761" s="87" t="s">
        <v>1142</v>
      </c>
      <c r="F1761" s="87"/>
      <c r="G1761" s="94">
        <v>4.017655E7</v>
      </c>
      <c r="H1761" s="87"/>
      <c r="I1761" s="87" t="s">
        <v>1188</v>
      </c>
    </row>
    <row r="1762">
      <c r="A1762" s="87">
        <v>76.0</v>
      </c>
      <c r="B1762" s="87" t="s">
        <v>878</v>
      </c>
      <c r="C1762" s="93">
        <v>1.0</v>
      </c>
      <c r="D1762" s="87" t="s">
        <v>1003</v>
      </c>
      <c r="E1762" s="87" t="s">
        <v>1155</v>
      </c>
      <c r="F1762" s="87"/>
      <c r="G1762" s="94">
        <v>4.0176924E7</v>
      </c>
      <c r="H1762" s="87"/>
      <c r="I1762" s="87"/>
    </row>
    <row r="1763">
      <c r="A1763" s="87">
        <v>78.0</v>
      </c>
      <c r="B1763" s="87" t="s">
        <v>878</v>
      </c>
      <c r="C1763" s="93">
        <v>1.0</v>
      </c>
      <c r="D1763" s="87" t="s">
        <v>1003</v>
      </c>
      <c r="E1763" s="87" t="s">
        <v>1170</v>
      </c>
      <c r="F1763" s="87"/>
      <c r="G1763" s="94">
        <v>4.0177718E7</v>
      </c>
      <c r="H1763" s="87"/>
      <c r="I1763" s="87" t="s">
        <v>1189</v>
      </c>
    </row>
    <row r="1764">
      <c r="A1764" s="87">
        <v>82.0</v>
      </c>
      <c r="B1764" s="87" t="s">
        <v>878</v>
      </c>
      <c r="C1764" s="93">
        <v>1.0</v>
      </c>
      <c r="D1764" s="87" t="s">
        <v>1003</v>
      </c>
      <c r="E1764" s="87" t="s">
        <v>1190</v>
      </c>
      <c r="F1764" s="87"/>
      <c r="G1764" s="94">
        <v>4.017825E7</v>
      </c>
      <c r="H1764" s="87"/>
      <c r="I1764" s="87" t="s">
        <v>1191</v>
      </c>
    </row>
    <row r="1765">
      <c r="A1765" s="87">
        <v>83.0</v>
      </c>
      <c r="B1765" s="87" t="s">
        <v>878</v>
      </c>
      <c r="C1765" s="93">
        <v>1.0</v>
      </c>
      <c r="D1765" s="87" t="s">
        <v>1003</v>
      </c>
      <c r="E1765" s="87" t="s">
        <v>1192</v>
      </c>
      <c r="F1765" s="87"/>
      <c r="G1765" s="94">
        <v>4.017848E7</v>
      </c>
      <c r="H1765" s="87"/>
      <c r="I1765" s="87" t="s">
        <v>1182</v>
      </c>
    </row>
    <row r="1766">
      <c r="A1766" s="87">
        <v>84.0</v>
      </c>
      <c r="B1766" s="87" t="s">
        <v>878</v>
      </c>
      <c r="C1766" s="93">
        <v>1.0</v>
      </c>
      <c r="D1766" s="87" t="s">
        <v>1003</v>
      </c>
      <c r="E1766" s="87" t="s">
        <v>1193</v>
      </c>
      <c r="F1766" s="87"/>
      <c r="G1766" s="94">
        <v>4.017851E7</v>
      </c>
      <c r="H1766" s="87"/>
      <c r="I1766" s="87" t="s">
        <v>879</v>
      </c>
    </row>
    <row r="1767">
      <c r="A1767" s="87">
        <v>85.0</v>
      </c>
      <c r="B1767" s="87" t="s">
        <v>878</v>
      </c>
      <c r="C1767" s="93">
        <v>1.0</v>
      </c>
      <c r="D1767" s="87" t="s">
        <v>1003</v>
      </c>
      <c r="E1767" s="87" t="s">
        <v>1194</v>
      </c>
      <c r="F1767" s="87"/>
      <c r="G1767" s="94">
        <v>4.017856E7</v>
      </c>
      <c r="H1767" s="87"/>
      <c r="I1767" s="87" t="s">
        <v>1195</v>
      </c>
    </row>
    <row r="1768">
      <c r="A1768" s="87">
        <v>86.0</v>
      </c>
      <c r="B1768" s="87" t="s">
        <v>878</v>
      </c>
      <c r="C1768" s="93">
        <v>1.0</v>
      </c>
      <c r="D1768" s="87" t="s">
        <v>1003</v>
      </c>
      <c r="E1768" s="87" t="s">
        <v>1196</v>
      </c>
      <c r="F1768" s="87"/>
      <c r="G1768" s="94">
        <v>4.0178862E7</v>
      </c>
      <c r="H1768" s="87"/>
      <c r="I1768" s="87" t="s">
        <v>1178</v>
      </c>
    </row>
    <row r="1769">
      <c r="A1769" s="87">
        <v>87.0</v>
      </c>
      <c r="B1769" s="87" t="s">
        <v>878</v>
      </c>
      <c r="C1769" s="93">
        <v>1.0</v>
      </c>
      <c r="D1769" s="87" t="s">
        <v>1003</v>
      </c>
      <c r="E1769" s="87" t="s">
        <v>1153</v>
      </c>
      <c r="F1769" s="87"/>
      <c r="G1769" s="94">
        <v>4.0178943E7</v>
      </c>
      <c r="H1769" s="87"/>
      <c r="I1769" s="87" t="s">
        <v>1197</v>
      </c>
    </row>
    <row r="1770">
      <c r="A1770" s="87">
        <v>89.0</v>
      </c>
      <c r="B1770" s="87" t="s">
        <v>878</v>
      </c>
      <c r="C1770" s="93">
        <v>1.0</v>
      </c>
      <c r="D1770" s="87" t="s">
        <v>1003</v>
      </c>
      <c r="E1770" s="87" t="s">
        <v>1198</v>
      </c>
      <c r="F1770" s="87"/>
      <c r="G1770" s="94">
        <v>4.0229505E7</v>
      </c>
      <c r="H1770" s="87"/>
      <c r="I1770" s="87" t="s">
        <v>1199</v>
      </c>
    </row>
    <row r="1771">
      <c r="A1771" s="87">
        <v>213.0</v>
      </c>
      <c r="B1771" s="87" t="s">
        <v>878</v>
      </c>
      <c r="C1771" s="93">
        <v>1.0</v>
      </c>
      <c r="D1771" s="87"/>
      <c r="E1771" s="87" t="s">
        <v>83</v>
      </c>
      <c r="F1771" s="87"/>
      <c r="G1771" s="94">
        <v>3.9947491E7</v>
      </c>
      <c r="H1771" s="87"/>
      <c r="I1771" s="87"/>
    </row>
    <row r="1772">
      <c r="A1772" s="87">
        <v>214.0</v>
      </c>
      <c r="B1772" s="87" t="s">
        <v>878</v>
      </c>
      <c r="C1772" s="93">
        <v>1.0</v>
      </c>
      <c r="D1772" s="87"/>
      <c r="E1772" s="87" t="s">
        <v>83</v>
      </c>
      <c r="F1772" s="87"/>
      <c r="G1772" s="94">
        <v>3.994758E7</v>
      </c>
      <c r="H1772" s="87"/>
      <c r="I1772" s="87"/>
    </row>
    <row r="1773">
      <c r="A1773" s="87">
        <v>215.0</v>
      </c>
      <c r="B1773" s="87" t="s">
        <v>878</v>
      </c>
      <c r="C1773" s="93">
        <v>1.0</v>
      </c>
      <c r="D1773" s="87" t="s">
        <v>1003</v>
      </c>
      <c r="E1773" s="87" t="s">
        <v>83</v>
      </c>
      <c r="F1773" s="87"/>
      <c r="G1773" s="94">
        <v>3.9948129E7</v>
      </c>
      <c r="H1773" s="87"/>
      <c r="I1773" s="87" t="s">
        <v>1200</v>
      </c>
    </row>
    <row r="1774">
      <c r="A1774" s="87">
        <v>216.0</v>
      </c>
      <c r="B1774" s="87" t="s">
        <v>878</v>
      </c>
      <c r="C1774" s="93">
        <v>1.0</v>
      </c>
      <c r="D1774" s="87" t="s">
        <v>1003</v>
      </c>
      <c r="E1774" s="87" t="s">
        <v>83</v>
      </c>
      <c r="F1774" s="87"/>
      <c r="G1774" s="94">
        <v>3.9950751E7</v>
      </c>
      <c r="H1774" s="87"/>
      <c r="I1774" s="87" t="s">
        <v>1201</v>
      </c>
    </row>
    <row r="1775">
      <c r="A1775" s="87">
        <v>217.0</v>
      </c>
      <c r="B1775" s="87" t="s">
        <v>878</v>
      </c>
      <c r="C1775" s="93">
        <v>1.0</v>
      </c>
      <c r="D1775" s="87"/>
      <c r="E1775" s="87" t="s">
        <v>83</v>
      </c>
      <c r="F1775" s="87"/>
      <c r="G1775" s="94">
        <v>4.0174131E7</v>
      </c>
      <c r="H1775" s="87"/>
      <c r="I1775" s="87" t="s">
        <v>1202</v>
      </c>
    </row>
    <row r="1776">
      <c r="A1776" s="87">
        <v>218.0</v>
      </c>
      <c r="B1776" s="87" t="s">
        <v>878</v>
      </c>
      <c r="C1776" s="93">
        <v>1.0</v>
      </c>
      <c r="D1776" s="87"/>
      <c r="E1776" s="87" t="s">
        <v>83</v>
      </c>
      <c r="F1776" s="87"/>
      <c r="G1776" s="94">
        <v>4.0174255E7</v>
      </c>
      <c r="H1776" s="87"/>
      <c r="I1776" s="87" t="s">
        <v>1203</v>
      </c>
    </row>
    <row r="1777">
      <c r="A1777" s="87">
        <v>219.0</v>
      </c>
      <c r="B1777" s="87" t="s">
        <v>878</v>
      </c>
      <c r="C1777" s="93">
        <v>1.0</v>
      </c>
      <c r="D1777" s="87"/>
      <c r="E1777" s="87" t="s">
        <v>83</v>
      </c>
      <c r="F1777" s="87"/>
      <c r="G1777" s="94">
        <v>4.0175138E7</v>
      </c>
      <c r="H1777" s="87"/>
      <c r="I1777" s="87" t="s">
        <v>1202</v>
      </c>
    </row>
    <row r="1778">
      <c r="A1778" s="87">
        <v>220.0</v>
      </c>
      <c r="B1778" s="87" t="s">
        <v>878</v>
      </c>
      <c r="C1778" s="93">
        <v>1.0</v>
      </c>
      <c r="D1778" s="87"/>
      <c r="E1778" s="87" t="s">
        <v>83</v>
      </c>
      <c r="F1778" s="87"/>
      <c r="G1778" s="94">
        <v>4.0175979E7</v>
      </c>
      <c r="H1778" s="87"/>
      <c r="I1778" s="87" t="s">
        <v>1202</v>
      </c>
    </row>
    <row r="1779">
      <c r="A1779" s="87">
        <v>221.0</v>
      </c>
      <c r="B1779" s="87" t="s">
        <v>878</v>
      </c>
      <c r="C1779" s="93">
        <v>1.0</v>
      </c>
      <c r="D1779" s="87"/>
      <c r="E1779" s="87" t="s">
        <v>83</v>
      </c>
      <c r="F1779" s="87"/>
      <c r="G1779" s="94">
        <v>4.0176967E7</v>
      </c>
      <c r="H1779" s="87"/>
      <c r="I1779" s="87" t="s">
        <v>1204</v>
      </c>
    </row>
    <row r="1780">
      <c r="A1780" s="87">
        <v>222.0</v>
      </c>
      <c r="B1780" s="87" t="s">
        <v>878</v>
      </c>
      <c r="C1780" s="93">
        <v>1.0</v>
      </c>
      <c r="D1780" s="87"/>
      <c r="E1780" s="87" t="s">
        <v>83</v>
      </c>
      <c r="F1780" s="87"/>
      <c r="G1780" s="94">
        <v>4.0176975E7</v>
      </c>
      <c r="H1780" s="87"/>
      <c r="I1780" s="87" t="s">
        <v>1205</v>
      </c>
    </row>
    <row r="1781">
      <c r="A1781" s="87">
        <v>223.0</v>
      </c>
      <c r="B1781" s="87" t="s">
        <v>878</v>
      </c>
      <c r="C1781" s="93">
        <v>1.0</v>
      </c>
      <c r="D1781" s="87"/>
      <c r="E1781" s="87" t="s">
        <v>83</v>
      </c>
      <c r="F1781" s="87"/>
      <c r="G1781" s="94">
        <v>4.0177785E7</v>
      </c>
      <c r="H1781" s="87"/>
      <c r="I1781" s="87" t="s">
        <v>1206</v>
      </c>
    </row>
    <row r="1782">
      <c r="A1782" s="87">
        <v>224.0</v>
      </c>
      <c r="B1782" s="87" t="s">
        <v>878</v>
      </c>
      <c r="C1782" s="93">
        <v>1.0</v>
      </c>
      <c r="D1782" s="87"/>
      <c r="E1782" s="87" t="s">
        <v>83</v>
      </c>
      <c r="F1782" s="87"/>
      <c r="G1782" s="94">
        <v>4.017784E7</v>
      </c>
      <c r="H1782" s="87"/>
      <c r="I1782" s="87" t="s">
        <v>1207</v>
      </c>
    </row>
    <row r="1783">
      <c r="A1783" s="87">
        <v>225.0</v>
      </c>
      <c r="B1783" s="87" t="s">
        <v>878</v>
      </c>
      <c r="C1783" s="93">
        <v>1.0</v>
      </c>
      <c r="D1783" s="87"/>
      <c r="E1783" s="87" t="s">
        <v>83</v>
      </c>
      <c r="F1783" s="87"/>
      <c r="G1783" s="94">
        <v>4.017811E7</v>
      </c>
      <c r="H1783" s="87"/>
      <c r="I1783" s="87" t="s">
        <v>1208</v>
      </c>
    </row>
    <row r="1784">
      <c r="A1784" s="87">
        <v>226.0</v>
      </c>
      <c r="B1784" s="87" t="s">
        <v>878</v>
      </c>
      <c r="C1784" s="93">
        <v>1.0</v>
      </c>
      <c r="D1784" s="87"/>
      <c r="E1784" s="87" t="s">
        <v>83</v>
      </c>
      <c r="F1784" s="87"/>
      <c r="G1784" s="94">
        <v>4.0178471E7</v>
      </c>
      <c r="H1784" s="87"/>
      <c r="I1784" s="87" t="s">
        <v>1202</v>
      </c>
    </row>
    <row r="1785">
      <c r="A1785" s="87">
        <v>227.0</v>
      </c>
      <c r="B1785" s="87" t="s">
        <v>878</v>
      </c>
      <c r="C1785" s="93">
        <v>1.0</v>
      </c>
      <c r="D1785" s="87"/>
      <c r="E1785" s="87" t="s">
        <v>83</v>
      </c>
      <c r="F1785" s="87"/>
      <c r="G1785" s="94">
        <v>4.0180492E7</v>
      </c>
      <c r="H1785" s="87"/>
      <c r="I1785" s="87" t="s">
        <v>1202</v>
      </c>
    </row>
    <row r="1786">
      <c r="A1786" s="87">
        <v>228.0</v>
      </c>
      <c r="B1786" s="87" t="s">
        <v>878</v>
      </c>
      <c r="C1786" s="93">
        <v>1.0</v>
      </c>
      <c r="D1786" s="87" t="s">
        <v>1003</v>
      </c>
      <c r="E1786" s="87" t="s">
        <v>1209</v>
      </c>
      <c r="F1786" s="87"/>
      <c r="G1786" s="94">
        <v>4.0183769E7</v>
      </c>
      <c r="H1786" s="87"/>
      <c r="I1786" s="87" t="s">
        <v>1210</v>
      </c>
    </row>
    <row r="1787">
      <c r="A1787" s="87">
        <v>229.0</v>
      </c>
      <c r="B1787" s="87" t="s">
        <v>878</v>
      </c>
      <c r="C1787" s="93">
        <v>1.0</v>
      </c>
      <c r="D1787" s="87"/>
      <c r="E1787" s="87" t="s">
        <v>83</v>
      </c>
      <c r="F1787" s="87"/>
      <c r="G1787" s="94">
        <v>4.0187306E7</v>
      </c>
      <c r="H1787" s="87"/>
      <c r="I1787" s="87" t="s">
        <v>1211</v>
      </c>
    </row>
    <row r="1788">
      <c r="A1788" s="87">
        <v>230.0</v>
      </c>
      <c r="B1788" s="87" t="s">
        <v>878</v>
      </c>
      <c r="C1788" s="93">
        <v>1.0</v>
      </c>
      <c r="D1788" s="87"/>
      <c r="E1788" s="87" t="s">
        <v>83</v>
      </c>
      <c r="F1788" s="87"/>
      <c r="G1788" s="94">
        <v>4.0232689E7</v>
      </c>
      <c r="H1788" s="87"/>
      <c r="I1788" s="87" t="s">
        <v>1202</v>
      </c>
    </row>
    <row r="1789">
      <c r="A1789" s="87">
        <v>231.0</v>
      </c>
      <c r="B1789" s="87" t="s">
        <v>878</v>
      </c>
      <c r="C1789" s="93">
        <v>1.0</v>
      </c>
      <c r="D1789" s="87" t="s">
        <v>1003</v>
      </c>
      <c r="E1789" s="87" t="s">
        <v>1212</v>
      </c>
      <c r="F1789" s="87"/>
      <c r="G1789" s="94">
        <v>4.0232808E7</v>
      </c>
      <c r="H1789" s="87"/>
      <c r="I1789" s="87" t="s">
        <v>1213</v>
      </c>
    </row>
    <row r="1790">
      <c r="A1790" s="87">
        <v>232.0</v>
      </c>
      <c r="B1790" s="87" t="s">
        <v>878</v>
      </c>
      <c r="C1790" s="93">
        <v>1.0</v>
      </c>
      <c r="D1790" s="87" t="s">
        <v>1003</v>
      </c>
      <c r="E1790" s="87" t="s">
        <v>1214</v>
      </c>
      <c r="F1790" s="87"/>
      <c r="G1790" s="94">
        <v>4.0234347E7</v>
      </c>
      <c r="H1790" s="87"/>
      <c r="I1790" s="87" t="s">
        <v>1215</v>
      </c>
    </row>
    <row r="1791">
      <c r="A1791" s="87">
        <v>233.0</v>
      </c>
      <c r="B1791" s="87" t="s">
        <v>878</v>
      </c>
      <c r="C1791" s="93">
        <v>1.0</v>
      </c>
      <c r="D1791" s="87"/>
      <c r="E1791" s="87" t="s">
        <v>83</v>
      </c>
      <c r="F1791" s="87"/>
      <c r="G1791" s="94">
        <v>7.6663906E7</v>
      </c>
      <c r="H1791" s="87"/>
      <c r="I1791" s="87"/>
    </row>
    <row r="1792">
      <c r="A1792" s="87">
        <v>234.0</v>
      </c>
      <c r="B1792" s="87" t="s">
        <v>878</v>
      </c>
      <c r="C1792" s="93">
        <v>1.0</v>
      </c>
      <c r="D1792" s="87"/>
      <c r="E1792" s="87" t="s">
        <v>83</v>
      </c>
      <c r="F1792" s="87"/>
      <c r="G1792" s="94">
        <v>7.6686469E7</v>
      </c>
      <c r="H1792" s="87"/>
      <c r="I1792" s="87"/>
    </row>
    <row r="1793">
      <c r="A1793" s="87">
        <v>235.0</v>
      </c>
      <c r="B1793" s="87" t="s">
        <v>878</v>
      </c>
      <c r="C1793" s="93">
        <v>1.0</v>
      </c>
      <c r="D1793" s="87"/>
      <c r="E1793" s="87" t="s">
        <v>83</v>
      </c>
      <c r="F1793" s="87"/>
      <c r="G1793" s="94">
        <v>7.6686493E7</v>
      </c>
      <c r="H1793" s="87"/>
      <c r="I1793" s="87" t="s">
        <v>1202</v>
      </c>
    </row>
    <row r="1794">
      <c r="A1794" s="87">
        <v>236.0</v>
      </c>
      <c r="B1794" s="87" t="s">
        <v>878</v>
      </c>
      <c r="C1794" s="93">
        <v>1.0</v>
      </c>
      <c r="D1794" s="87" t="s">
        <v>1003</v>
      </c>
      <c r="E1794" s="87" t="s">
        <v>1216</v>
      </c>
      <c r="F1794" s="87"/>
      <c r="G1794" s="94">
        <v>7.6686523E7</v>
      </c>
      <c r="H1794" s="87"/>
      <c r="I1794" s="87" t="s">
        <v>1217</v>
      </c>
    </row>
    <row r="1795">
      <c r="A1795" s="87">
        <v>237.0</v>
      </c>
      <c r="B1795" s="87" t="s">
        <v>878</v>
      </c>
      <c r="C1795" s="93">
        <v>1.0</v>
      </c>
      <c r="D1795" s="87" t="s">
        <v>1003</v>
      </c>
      <c r="E1795" s="87" t="s">
        <v>1218</v>
      </c>
      <c r="F1795" s="87"/>
      <c r="G1795" s="94">
        <v>7.6686558E7</v>
      </c>
      <c r="H1795" s="87"/>
      <c r="I1795" s="87" t="s">
        <v>1219</v>
      </c>
    </row>
    <row r="1796">
      <c r="A1796" s="87">
        <v>238.0</v>
      </c>
      <c r="B1796" s="87" t="s">
        <v>878</v>
      </c>
      <c r="C1796" s="93">
        <v>1.0</v>
      </c>
      <c r="D1796" s="87" t="s">
        <v>1003</v>
      </c>
      <c r="E1796" s="87" t="s">
        <v>1220</v>
      </c>
      <c r="F1796" s="87"/>
      <c r="G1796" s="94">
        <v>7.6686582E7</v>
      </c>
      <c r="H1796" s="87"/>
      <c r="I1796" s="87" t="s">
        <v>1221</v>
      </c>
    </row>
    <row r="1797">
      <c r="A1797" s="87">
        <v>239.0</v>
      </c>
      <c r="B1797" s="87" t="s">
        <v>878</v>
      </c>
      <c r="C1797" s="93">
        <v>1.0</v>
      </c>
      <c r="D1797" s="87" t="s">
        <v>1003</v>
      </c>
      <c r="E1797" s="87" t="s">
        <v>1222</v>
      </c>
      <c r="F1797" s="87"/>
      <c r="G1797" s="94">
        <v>7.6686612E7</v>
      </c>
      <c r="H1797" s="87"/>
      <c r="I1797" s="87" t="s">
        <v>1223</v>
      </c>
    </row>
    <row r="1798">
      <c r="A1798" s="87">
        <v>240.0</v>
      </c>
      <c r="B1798" s="87" t="s">
        <v>878</v>
      </c>
      <c r="C1798" s="93">
        <v>1.0</v>
      </c>
      <c r="D1798" s="87" t="s">
        <v>1003</v>
      </c>
      <c r="E1798" s="87" t="s">
        <v>1224</v>
      </c>
      <c r="F1798" s="87"/>
      <c r="G1798" s="94">
        <v>7.6686647E7</v>
      </c>
      <c r="H1798" s="87"/>
      <c r="I1798" s="87" t="s">
        <v>1225</v>
      </c>
    </row>
    <row r="1799">
      <c r="A1799" s="87">
        <v>241.0</v>
      </c>
      <c r="B1799" s="87" t="s">
        <v>878</v>
      </c>
      <c r="C1799" s="93">
        <v>1.0</v>
      </c>
      <c r="D1799" s="87" t="s">
        <v>1003</v>
      </c>
      <c r="E1799" s="87" t="s">
        <v>1226</v>
      </c>
      <c r="F1799" s="87"/>
      <c r="G1799" s="94">
        <v>7.6686671E7</v>
      </c>
      <c r="H1799" s="87"/>
      <c r="I1799" s="87" t="s">
        <v>1227</v>
      </c>
    </row>
    <row r="1800">
      <c r="A1800" s="87">
        <v>585.0</v>
      </c>
      <c r="B1800" s="87" t="s">
        <v>878</v>
      </c>
      <c r="C1800" s="93">
        <v>1.0</v>
      </c>
      <c r="D1800" s="87" t="s">
        <v>1003</v>
      </c>
      <c r="E1800" s="87" t="s">
        <v>1156</v>
      </c>
      <c r="F1800" s="87"/>
      <c r="G1800" s="94">
        <v>3.995126E7</v>
      </c>
      <c r="H1800" s="87"/>
      <c r="I1800" s="87" t="s">
        <v>240</v>
      </c>
    </row>
    <row r="1801">
      <c r="A1801" s="87">
        <v>714.0</v>
      </c>
      <c r="B1801" s="87" t="s">
        <v>878</v>
      </c>
      <c r="C1801" s="93">
        <v>1.0</v>
      </c>
      <c r="D1801" s="87" t="s">
        <v>39</v>
      </c>
      <c r="E1801" s="87" t="s">
        <v>253</v>
      </c>
      <c r="F1801" s="87"/>
      <c r="G1801" s="94">
        <v>3.9947726E7</v>
      </c>
      <c r="H1801" s="87"/>
      <c r="I1801" s="87" t="s">
        <v>1014</v>
      </c>
    </row>
    <row r="1802">
      <c r="A1802" s="87">
        <v>726.0</v>
      </c>
      <c r="B1802" s="87" t="s">
        <v>878</v>
      </c>
      <c r="C1802" s="93">
        <v>1.0</v>
      </c>
      <c r="D1802" s="87" t="s">
        <v>1003</v>
      </c>
      <c r="E1802" s="87" t="s">
        <v>1139</v>
      </c>
      <c r="F1802" s="87"/>
      <c r="G1802" s="94">
        <v>4.0175022E7</v>
      </c>
      <c r="H1802" s="87"/>
      <c r="I1802" s="87" t="s">
        <v>1228</v>
      </c>
    </row>
    <row r="1803">
      <c r="A1803" s="87">
        <v>728.0</v>
      </c>
      <c r="B1803" s="87" t="s">
        <v>878</v>
      </c>
      <c r="C1803" s="93">
        <v>1.0</v>
      </c>
      <c r="D1803" s="87" t="s">
        <v>1003</v>
      </c>
      <c r="E1803" s="87" t="s">
        <v>1229</v>
      </c>
      <c r="F1803" s="87"/>
      <c r="G1803" s="94">
        <v>4.017873E7</v>
      </c>
      <c r="H1803" s="87"/>
      <c r="I1803" s="87" t="s">
        <v>879</v>
      </c>
    </row>
    <row r="1804">
      <c r="A1804" s="87">
        <v>732.0</v>
      </c>
      <c r="B1804" s="87" t="s">
        <v>878</v>
      </c>
      <c r="C1804" s="93">
        <v>1.0</v>
      </c>
      <c r="D1804" s="87" t="s">
        <v>1003</v>
      </c>
      <c r="E1804" s="87" t="s">
        <v>1230</v>
      </c>
      <c r="F1804" s="87"/>
      <c r="G1804" s="94">
        <v>4.0234975E7</v>
      </c>
      <c r="H1804" s="87"/>
      <c r="I1804" s="87" t="s">
        <v>1178</v>
      </c>
    </row>
    <row r="1805">
      <c r="A1805" s="87">
        <v>844.0</v>
      </c>
      <c r="B1805" s="87" t="s">
        <v>878</v>
      </c>
      <c r="C1805" s="93">
        <v>1.0</v>
      </c>
      <c r="D1805" s="87" t="s">
        <v>39</v>
      </c>
      <c r="E1805" s="87" t="s">
        <v>253</v>
      </c>
      <c r="F1805" s="87"/>
      <c r="G1805" s="94">
        <v>3.9950999E7</v>
      </c>
      <c r="H1805" s="87"/>
      <c r="I1805" s="87" t="s">
        <v>1012</v>
      </c>
    </row>
    <row r="1806">
      <c r="A1806" s="87">
        <v>857.0</v>
      </c>
      <c r="B1806" s="87" t="s">
        <v>878</v>
      </c>
      <c r="C1806" s="93">
        <v>1.0</v>
      </c>
      <c r="D1806" s="87" t="s">
        <v>1003</v>
      </c>
      <c r="E1806" s="87" t="s">
        <v>1231</v>
      </c>
      <c r="F1806" s="87"/>
      <c r="G1806" s="94">
        <v>4.016893E7</v>
      </c>
      <c r="H1806" s="87"/>
      <c r="I1806" s="87"/>
    </row>
    <row r="1807">
      <c r="A1807" s="87">
        <v>858.0</v>
      </c>
      <c r="B1807" s="87" t="s">
        <v>878</v>
      </c>
      <c r="C1807" s="93">
        <v>1.0</v>
      </c>
      <c r="D1807" s="87" t="s">
        <v>1003</v>
      </c>
      <c r="E1807" s="87" t="s">
        <v>1232</v>
      </c>
      <c r="F1807" s="87"/>
      <c r="G1807" s="94">
        <v>4.016957E7</v>
      </c>
      <c r="H1807" s="87"/>
      <c r="I1807" s="87"/>
    </row>
    <row r="1808">
      <c r="A1808" s="87">
        <v>859.0</v>
      </c>
      <c r="B1808" s="87" t="s">
        <v>878</v>
      </c>
      <c r="C1808" s="93">
        <v>1.0</v>
      </c>
      <c r="D1808" s="87" t="s">
        <v>1003</v>
      </c>
      <c r="E1808" s="87" t="s">
        <v>1233</v>
      </c>
      <c r="F1808" s="87"/>
      <c r="G1808" s="94">
        <v>4.0170993E7</v>
      </c>
      <c r="H1808" s="87"/>
      <c r="I1808" s="87"/>
    </row>
    <row r="1809">
      <c r="A1809" s="87">
        <v>861.0</v>
      </c>
      <c r="B1809" s="87" t="s">
        <v>878</v>
      </c>
      <c r="C1809" s="93">
        <v>1.0</v>
      </c>
      <c r="D1809" s="87" t="s">
        <v>1003</v>
      </c>
      <c r="E1809" s="87" t="s">
        <v>1234</v>
      </c>
      <c r="F1809" s="87"/>
      <c r="G1809" s="94">
        <v>4.0175626E7</v>
      </c>
      <c r="H1809" s="87"/>
      <c r="I1809" s="87" t="s">
        <v>879</v>
      </c>
    </row>
    <row r="1810">
      <c r="A1810" s="87">
        <v>862.0</v>
      </c>
      <c r="B1810" s="87" t="s">
        <v>878</v>
      </c>
      <c r="C1810" s="93">
        <v>1.0</v>
      </c>
      <c r="D1810" s="87" t="s">
        <v>1003</v>
      </c>
      <c r="E1810" s="87" t="s">
        <v>1235</v>
      </c>
      <c r="F1810" s="87"/>
      <c r="G1810" s="94">
        <v>4.0175731E7</v>
      </c>
      <c r="H1810" s="87"/>
      <c r="I1810" s="87"/>
    </row>
    <row r="1811">
      <c r="A1811" s="87">
        <v>863.0</v>
      </c>
      <c r="B1811" s="87" t="s">
        <v>878</v>
      </c>
      <c r="C1811" s="93">
        <v>1.0</v>
      </c>
      <c r="D1811" s="87" t="s">
        <v>1003</v>
      </c>
      <c r="E1811" s="87" t="s">
        <v>1236</v>
      </c>
      <c r="F1811" s="87"/>
      <c r="G1811" s="94">
        <v>4.017582E7</v>
      </c>
      <c r="H1811" s="87"/>
      <c r="I1811" s="87"/>
    </row>
    <row r="1812">
      <c r="A1812" s="87">
        <v>864.0</v>
      </c>
      <c r="B1812" s="87" t="s">
        <v>878</v>
      </c>
      <c r="C1812" s="93">
        <v>1.0</v>
      </c>
      <c r="D1812" s="87" t="s">
        <v>1003</v>
      </c>
      <c r="E1812" s="87" t="s">
        <v>1237</v>
      </c>
      <c r="F1812" s="87"/>
      <c r="G1812" s="94">
        <v>4.0175855E7</v>
      </c>
      <c r="H1812" s="87"/>
      <c r="I1812" s="87"/>
    </row>
    <row r="1813">
      <c r="A1813" s="87">
        <v>865.0</v>
      </c>
      <c r="B1813" s="87" t="s">
        <v>878</v>
      </c>
      <c r="C1813" s="93">
        <v>1.0</v>
      </c>
      <c r="D1813" s="87" t="s">
        <v>1003</v>
      </c>
      <c r="E1813" s="87" t="s">
        <v>1238</v>
      </c>
      <c r="F1813" s="87"/>
      <c r="G1813" s="94">
        <v>4.017588E7</v>
      </c>
      <c r="H1813" s="87"/>
      <c r="I1813" s="87"/>
    </row>
    <row r="1814">
      <c r="A1814" s="87">
        <v>866.0</v>
      </c>
      <c r="B1814" s="87" t="s">
        <v>878</v>
      </c>
      <c r="C1814" s="93">
        <v>1.0</v>
      </c>
      <c r="D1814" s="87" t="s">
        <v>1003</v>
      </c>
      <c r="E1814" s="87" t="s">
        <v>1239</v>
      </c>
      <c r="F1814" s="87"/>
      <c r="G1814" s="94">
        <v>4.017596E7</v>
      </c>
      <c r="H1814" s="87"/>
      <c r="I1814" s="87"/>
    </row>
    <row r="1815">
      <c r="A1815" s="87">
        <v>867.0</v>
      </c>
      <c r="B1815" s="87" t="s">
        <v>878</v>
      </c>
      <c r="C1815" s="93">
        <v>1.0</v>
      </c>
      <c r="D1815" s="87" t="s">
        <v>1003</v>
      </c>
      <c r="E1815" s="87" t="s">
        <v>1240</v>
      </c>
      <c r="F1815" s="87"/>
      <c r="G1815" s="94">
        <v>4.017638E7</v>
      </c>
      <c r="H1815" s="87"/>
      <c r="I1815" s="87"/>
    </row>
    <row r="1816">
      <c r="A1816" s="87">
        <v>868.0</v>
      </c>
      <c r="B1816" s="87" t="s">
        <v>878</v>
      </c>
      <c r="C1816" s="93">
        <v>1.0</v>
      </c>
      <c r="D1816" s="87" t="s">
        <v>1003</v>
      </c>
      <c r="E1816" s="87" t="s">
        <v>1241</v>
      </c>
      <c r="F1816" s="87"/>
      <c r="G1816" s="94">
        <v>4.0176576E7</v>
      </c>
      <c r="H1816" s="87"/>
      <c r="I1816" s="87"/>
    </row>
    <row r="1817">
      <c r="A1817" s="87">
        <v>869.0</v>
      </c>
      <c r="B1817" s="87" t="s">
        <v>878</v>
      </c>
      <c r="C1817" s="93">
        <v>1.0</v>
      </c>
      <c r="D1817" s="87" t="s">
        <v>1003</v>
      </c>
      <c r="E1817" s="87" t="s">
        <v>1242</v>
      </c>
      <c r="F1817" s="87"/>
      <c r="G1817" s="94">
        <v>4.0176584E7</v>
      </c>
      <c r="H1817" s="87"/>
      <c r="I1817" s="87"/>
    </row>
    <row r="1818">
      <c r="A1818" s="87">
        <v>870.0</v>
      </c>
      <c r="B1818" s="87" t="s">
        <v>878</v>
      </c>
      <c r="C1818" s="93">
        <v>1.0</v>
      </c>
      <c r="D1818" s="87" t="s">
        <v>1003</v>
      </c>
      <c r="E1818" s="87" t="s">
        <v>1243</v>
      </c>
      <c r="F1818" s="87"/>
      <c r="G1818" s="94">
        <v>4.017669E7</v>
      </c>
      <c r="H1818" s="87"/>
      <c r="I1818" s="87"/>
    </row>
    <row r="1819">
      <c r="A1819" s="87">
        <v>871.0</v>
      </c>
      <c r="B1819" s="87" t="s">
        <v>878</v>
      </c>
      <c r="C1819" s="93">
        <v>1.0</v>
      </c>
      <c r="D1819" s="87" t="s">
        <v>1003</v>
      </c>
      <c r="E1819" s="87" t="s">
        <v>1244</v>
      </c>
      <c r="F1819" s="87"/>
      <c r="G1819" s="94">
        <v>4.0176789E7</v>
      </c>
      <c r="H1819" s="87"/>
      <c r="I1819" s="87"/>
    </row>
    <row r="1820">
      <c r="A1820" s="87">
        <v>872.0</v>
      </c>
      <c r="B1820" s="87" t="s">
        <v>878</v>
      </c>
      <c r="C1820" s="93">
        <v>1.0</v>
      </c>
      <c r="D1820" s="87" t="s">
        <v>1003</v>
      </c>
      <c r="E1820" s="87" t="s">
        <v>1245</v>
      </c>
      <c r="F1820" s="87"/>
      <c r="G1820" s="94">
        <v>4.0176835E7</v>
      </c>
      <c r="H1820" s="87"/>
      <c r="I1820" s="87" t="s">
        <v>1246</v>
      </c>
    </row>
    <row r="1821">
      <c r="A1821" s="87">
        <v>877.0</v>
      </c>
      <c r="B1821" s="87" t="s">
        <v>878</v>
      </c>
      <c r="C1821" s="93">
        <v>1.0</v>
      </c>
      <c r="D1821" s="87" t="s">
        <v>1003</v>
      </c>
      <c r="E1821" s="87" t="s">
        <v>1247</v>
      </c>
      <c r="F1821" s="87"/>
      <c r="G1821" s="94">
        <v>4.0177084E7</v>
      </c>
      <c r="H1821" s="87" t="s">
        <v>1248</v>
      </c>
      <c r="I1821" s="87" t="s">
        <v>1249</v>
      </c>
    </row>
    <row r="1822">
      <c r="A1822" s="87">
        <v>881.0</v>
      </c>
      <c r="B1822" s="87" t="s">
        <v>878</v>
      </c>
      <c r="C1822" s="93">
        <v>1.0</v>
      </c>
      <c r="D1822" s="87" t="s">
        <v>1003</v>
      </c>
      <c r="E1822" s="87" t="s">
        <v>1226</v>
      </c>
      <c r="F1822" s="87"/>
      <c r="G1822" s="94">
        <v>4.0177319E7</v>
      </c>
      <c r="H1822" s="87"/>
      <c r="I1822" s="87" t="s">
        <v>1250</v>
      </c>
    </row>
    <row r="1823">
      <c r="A1823" s="87">
        <v>883.0</v>
      </c>
      <c r="B1823" s="87" t="s">
        <v>878</v>
      </c>
      <c r="C1823" s="93">
        <v>1.0</v>
      </c>
      <c r="D1823" s="87" t="s">
        <v>1003</v>
      </c>
      <c r="E1823" s="87" t="s">
        <v>1251</v>
      </c>
      <c r="F1823" s="87"/>
      <c r="G1823" s="94">
        <v>4.0177351E7</v>
      </c>
      <c r="H1823" s="87"/>
      <c r="I1823" s="87" t="s">
        <v>1252</v>
      </c>
    </row>
    <row r="1824">
      <c r="A1824" s="87">
        <v>920.0</v>
      </c>
      <c r="B1824" s="87" t="s">
        <v>878</v>
      </c>
      <c r="C1824" s="93">
        <v>1.0</v>
      </c>
      <c r="D1824" s="87" t="s">
        <v>1003</v>
      </c>
      <c r="E1824" s="87" t="s">
        <v>1148</v>
      </c>
      <c r="F1824" s="87"/>
      <c r="G1824" s="94">
        <v>5.931785E7</v>
      </c>
      <c r="H1824" s="87"/>
      <c r="I1824" s="87"/>
    </row>
    <row r="1825">
      <c r="A1825" s="87">
        <v>1052.0</v>
      </c>
      <c r="B1825" s="87" t="s">
        <v>878</v>
      </c>
      <c r="C1825" s="93">
        <v>1.0</v>
      </c>
      <c r="D1825" s="87" t="s">
        <v>1003</v>
      </c>
      <c r="E1825" s="87" t="s">
        <v>1253</v>
      </c>
      <c r="F1825" s="87"/>
      <c r="G1825" s="94">
        <v>7.6798283E7</v>
      </c>
      <c r="H1825" s="87"/>
      <c r="I1825" s="87" t="s">
        <v>1254</v>
      </c>
    </row>
    <row r="1826">
      <c r="A1826" s="87">
        <v>1053.0</v>
      </c>
      <c r="B1826" s="87" t="s">
        <v>878</v>
      </c>
      <c r="C1826" s="93">
        <v>1.0</v>
      </c>
      <c r="D1826" s="87" t="s">
        <v>1003</v>
      </c>
      <c r="E1826" s="87" t="s">
        <v>1255</v>
      </c>
      <c r="F1826" s="87"/>
      <c r="G1826" s="94">
        <v>7.6802264E7</v>
      </c>
      <c r="H1826" s="87"/>
      <c r="I1826" s="87" t="s">
        <v>1256</v>
      </c>
    </row>
    <row r="1827">
      <c r="A1827" s="87">
        <v>1054.0</v>
      </c>
      <c r="B1827" s="87" t="s">
        <v>878</v>
      </c>
      <c r="C1827" s="93">
        <v>1.0</v>
      </c>
      <c r="D1827" s="87" t="s">
        <v>1003</v>
      </c>
      <c r="E1827" s="87" t="s">
        <v>1008</v>
      </c>
      <c r="F1827" s="87"/>
      <c r="G1827" s="94">
        <v>7.6802418E7</v>
      </c>
      <c r="H1827" s="87"/>
      <c r="I1827" s="87" t="s">
        <v>1257</v>
      </c>
    </row>
    <row r="1828">
      <c r="A1828" s="87">
        <v>1055.0</v>
      </c>
      <c r="B1828" s="87" t="s">
        <v>878</v>
      </c>
      <c r="C1828" s="93">
        <v>1.0</v>
      </c>
      <c r="D1828" s="87" t="s">
        <v>1003</v>
      </c>
      <c r="E1828" s="87" t="s">
        <v>1143</v>
      </c>
      <c r="F1828" s="87"/>
      <c r="G1828" s="94">
        <v>7.680254E7</v>
      </c>
      <c r="H1828" s="87"/>
      <c r="I1828" s="87" t="s">
        <v>1258</v>
      </c>
    </row>
    <row r="1829">
      <c r="A1829" s="87">
        <v>1056.0</v>
      </c>
      <c r="B1829" s="87" t="s">
        <v>878</v>
      </c>
      <c r="C1829" s="93">
        <v>1.0</v>
      </c>
      <c r="D1829" s="87" t="s">
        <v>1003</v>
      </c>
      <c r="E1829" s="87" t="s">
        <v>1259</v>
      </c>
      <c r="F1829" s="87"/>
      <c r="G1829" s="94">
        <v>7.6803155E7</v>
      </c>
      <c r="H1829" s="87"/>
      <c r="I1829" s="87" t="s">
        <v>1260</v>
      </c>
    </row>
    <row r="1830">
      <c r="A1830" s="87">
        <v>1057.0</v>
      </c>
      <c r="B1830" s="87" t="s">
        <v>878</v>
      </c>
      <c r="C1830" s="93">
        <v>1.0</v>
      </c>
      <c r="D1830" s="87" t="s">
        <v>1003</v>
      </c>
      <c r="E1830" s="87" t="s">
        <v>1261</v>
      </c>
      <c r="F1830" s="87"/>
      <c r="G1830" s="94">
        <v>7.6804542E7</v>
      </c>
      <c r="H1830" s="87"/>
      <c r="I1830" s="87" t="s">
        <v>1262</v>
      </c>
    </row>
    <row r="1831">
      <c r="A1831" s="87">
        <v>1058.0</v>
      </c>
      <c r="B1831" s="87" t="s">
        <v>878</v>
      </c>
      <c r="C1831" s="93">
        <v>1.0</v>
      </c>
      <c r="D1831" s="87" t="s">
        <v>1003</v>
      </c>
      <c r="E1831" s="87" t="s">
        <v>1263</v>
      </c>
      <c r="F1831" s="87"/>
      <c r="G1831" s="94">
        <v>7.6805093E7</v>
      </c>
      <c r="H1831" s="87"/>
      <c r="I1831" s="87" t="s">
        <v>1264</v>
      </c>
    </row>
    <row r="1832">
      <c r="A1832" s="87">
        <v>1059.0</v>
      </c>
      <c r="B1832" s="87" t="s">
        <v>878</v>
      </c>
      <c r="C1832" s="93">
        <v>1.0</v>
      </c>
      <c r="D1832" s="87" t="s">
        <v>1003</v>
      </c>
      <c r="E1832" s="87" t="s">
        <v>1265</v>
      </c>
      <c r="F1832" s="87"/>
      <c r="G1832" s="94">
        <v>7.680519E7</v>
      </c>
      <c r="H1832" s="87"/>
      <c r="I1832" s="87" t="s">
        <v>1266</v>
      </c>
    </row>
    <row r="1833">
      <c r="A1833" s="87">
        <v>1060.0</v>
      </c>
      <c r="B1833" s="87" t="s">
        <v>878</v>
      </c>
      <c r="C1833" s="93">
        <v>1.0</v>
      </c>
      <c r="D1833" s="87" t="s">
        <v>1003</v>
      </c>
      <c r="E1833" s="87" t="s">
        <v>1267</v>
      </c>
      <c r="F1833" s="87"/>
      <c r="G1833" s="94">
        <v>7.6805239E7</v>
      </c>
      <c r="H1833" s="87"/>
      <c r="I1833" s="87"/>
    </row>
    <row r="1834">
      <c r="A1834" s="87">
        <v>1228.0</v>
      </c>
      <c r="B1834" s="87" t="s">
        <v>878</v>
      </c>
      <c r="C1834" s="93">
        <v>1.0</v>
      </c>
      <c r="D1834" s="87" t="s">
        <v>1003</v>
      </c>
      <c r="E1834" s="87" t="s">
        <v>1004</v>
      </c>
      <c r="F1834" s="87"/>
      <c r="G1834" s="94">
        <v>7.691058E7</v>
      </c>
      <c r="H1834" s="87"/>
      <c r="I1834" s="87" t="s">
        <v>1268</v>
      </c>
    </row>
    <row r="1835">
      <c r="A1835" s="87">
        <v>1248.0</v>
      </c>
      <c r="B1835" s="87" t="s">
        <v>878</v>
      </c>
      <c r="C1835" s="93">
        <v>1.0</v>
      </c>
      <c r="D1835" s="87" t="s">
        <v>1003</v>
      </c>
      <c r="E1835" s="87" t="s">
        <v>1147</v>
      </c>
      <c r="F1835" s="87"/>
      <c r="G1835" s="94">
        <v>7.691102E7</v>
      </c>
      <c r="H1835" s="87"/>
      <c r="I1835" s="87" t="s">
        <v>1269</v>
      </c>
    </row>
    <row r="1836">
      <c r="A1836" s="87">
        <v>1250.0</v>
      </c>
      <c r="B1836" s="87" t="s">
        <v>878</v>
      </c>
      <c r="C1836" s="93">
        <v>1.0</v>
      </c>
      <c r="D1836" s="87" t="s">
        <v>1003</v>
      </c>
      <c r="E1836" s="87" t="s">
        <v>1149</v>
      </c>
      <c r="F1836" s="87"/>
      <c r="G1836" s="94">
        <v>7.6910997E7</v>
      </c>
      <c r="H1836" s="87" t="s">
        <v>1270</v>
      </c>
      <c r="I1836" s="87" t="s">
        <v>1271</v>
      </c>
    </row>
    <row r="1837">
      <c r="A1837" s="87">
        <v>1251.0</v>
      </c>
      <c r="B1837" s="87" t="s">
        <v>878</v>
      </c>
      <c r="C1837" s="93">
        <v>1.0</v>
      </c>
      <c r="D1837" s="87" t="s">
        <v>1003</v>
      </c>
      <c r="E1837" s="87" t="s">
        <v>1156</v>
      </c>
      <c r="F1837" s="87"/>
      <c r="G1837" s="94">
        <v>7.6911004E7</v>
      </c>
      <c r="H1837" s="87" t="s">
        <v>1272</v>
      </c>
      <c r="I1837" s="87" t="s">
        <v>1273</v>
      </c>
    </row>
    <row r="1838">
      <c r="A1838" s="87">
        <v>1252.0</v>
      </c>
      <c r="B1838" s="87" t="s">
        <v>878</v>
      </c>
      <c r="C1838" s="93">
        <v>1.0</v>
      </c>
      <c r="D1838" s="87" t="s">
        <v>1003</v>
      </c>
      <c r="E1838" s="87" t="s">
        <v>1274</v>
      </c>
      <c r="F1838" s="87"/>
      <c r="G1838" s="94">
        <v>7.6905942E7</v>
      </c>
      <c r="H1838" s="87"/>
      <c r="I1838" s="87" t="s">
        <v>1275</v>
      </c>
    </row>
    <row r="1839">
      <c r="A1839" s="87">
        <v>1279.0</v>
      </c>
      <c r="B1839" s="87" t="s">
        <v>878</v>
      </c>
      <c r="C1839" s="93">
        <v>1.0</v>
      </c>
      <c r="D1839" s="87" t="s">
        <v>1003</v>
      </c>
      <c r="E1839" s="87" t="s">
        <v>1276</v>
      </c>
      <c r="F1839" s="87"/>
      <c r="G1839" s="94">
        <v>4.019938E7</v>
      </c>
      <c r="H1839" s="87"/>
      <c r="I1839" s="87"/>
    </row>
    <row r="1840">
      <c r="A1840" s="87">
        <v>1282.0</v>
      </c>
      <c r="B1840" s="87" t="s">
        <v>878</v>
      </c>
      <c r="C1840" s="93">
        <v>1.0</v>
      </c>
      <c r="D1840" s="87" t="s">
        <v>1003</v>
      </c>
      <c r="E1840" s="87" t="s">
        <v>1150</v>
      </c>
      <c r="F1840" s="87"/>
      <c r="G1840" s="94">
        <v>4.0234533E7</v>
      </c>
      <c r="H1840" s="87"/>
      <c r="I1840" s="87"/>
    </row>
    <row r="1841">
      <c r="A1841" s="87">
        <v>1284.0</v>
      </c>
      <c r="B1841" s="87" t="s">
        <v>878</v>
      </c>
      <c r="C1841" s="93">
        <v>1.0</v>
      </c>
      <c r="D1841" s="87" t="s">
        <v>1003</v>
      </c>
      <c r="E1841" s="87" t="s">
        <v>1162</v>
      </c>
      <c r="F1841" s="87"/>
      <c r="G1841" s="94">
        <v>7.6798275E7</v>
      </c>
      <c r="H1841" s="87"/>
      <c r="I1841" s="87"/>
    </row>
    <row r="1842">
      <c r="A1842" s="87">
        <v>1297.0</v>
      </c>
      <c r="B1842" s="87" t="s">
        <v>878</v>
      </c>
      <c r="C1842" s="93">
        <v>1.0</v>
      </c>
      <c r="D1842" s="87" t="s">
        <v>1003</v>
      </c>
      <c r="E1842" s="87" t="s">
        <v>1006</v>
      </c>
      <c r="F1842" s="87"/>
      <c r="G1842" s="94">
        <v>1.01064322E8</v>
      </c>
      <c r="H1842" s="87" t="s">
        <v>1277</v>
      </c>
      <c r="I1842" s="87"/>
    </row>
    <row r="1843">
      <c r="A1843" s="87">
        <v>1298.0</v>
      </c>
      <c r="B1843" s="87" t="s">
        <v>878</v>
      </c>
      <c r="C1843" s="93">
        <v>1.0</v>
      </c>
      <c r="D1843" s="87" t="s">
        <v>1003</v>
      </c>
      <c r="E1843" s="87" t="s">
        <v>1146</v>
      </c>
      <c r="F1843" s="87"/>
      <c r="G1843" s="94">
        <v>1.01064373E8</v>
      </c>
      <c r="H1843" s="87" t="s">
        <v>1277</v>
      </c>
      <c r="I1843" s="87"/>
    </row>
    <row r="1844">
      <c r="A1844" s="87">
        <v>1299.0</v>
      </c>
      <c r="B1844" s="87" t="s">
        <v>878</v>
      </c>
      <c r="C1844" s="93">
        <v>1.0</v>
      </c>
      <c r="D1844" s="87" t="s">
        <v>1003</v>
      </c>
      <c r="E1844" s="87" t="s">
        <v>1151</v>
      </c>
      <c r="F1844" s="87"/>
      <c r="G1844" s="94">
        <v>4.0188558E7</v>
      </c>
      <c r="H1844" s="87"/>
      <c r="I1844" s="87"/>
    </row>
    <row r="1845">
      <c r="A1845" s="87">
        <v>1301.0</v>
      </c>
      <c r="B1845" s="87" t="s">
        <v>878</v>
      </c>
      <c r="C1845" s="93">
        <v>1.0</v>
      </c>
      <c r="D1845" s="87" t="s">
        <v>1003</v>
      </c>
      <c r="E1845" s="87" t="s">
        <v>1144</v>
      </c>
      <c r="F1845" s="87"/>
      <c r="G1845" s="94">
        <v>4.0196275E7</v>
      </c>
      <c r="H1845" s="87"/>
      <c r="I1845" s="87"/>
    </row>
    <row r="1846">
      <c r="A1846" s="87">
        <v>1302.0</v>
      </c>
      <c r="B1846" s="87" t="s">
        <v>878</v>
      </c>
      <c r="C1846" s="93">
        <v>1.0</v>
      </c>
      <c r="D1846" s="87" t="s">
        <v>1003</v>
      </c>
      <c r="E1846" s="87" t="s">
        <v>1278</v>
      </c>
      <c r="F1846" s="87"/>
      <c r="G1846" s="94">
        <v>7.6802876E7</v>
      </c>
      <c r="H1846" s="87"/>
      <c r="I1846" s="87" t="s">
        <v>1279</v>
      </c>
    </row>
    <row r="1847">
      <c r="A1847" s="87">
        <v>1303.0</v>
      </c>
      <c r="B1847" s="87" t="s">
        <v>878</v>
      </c>
      <c r="C1847" s="93">
        <v>1.0</v>
      </c>
      <c r="D1847" s="87" t="s">
        <v>1003</v>
      </c>
      <c r="E1847" s="87" t="s">
        <v>1161</v>
      </c>
      <c r="F1847" s="87"/>
      <c r="G1847" s="94">
        <v>7.6905896E7</v>
      </c>
      <c r="H1847" s="87"/>
      <c r="I1847" s="87"/>
    </row>
    <row r="1848">
      <c r="A1848" s="87">
        <v>1304.0</v>
      </c>
      <c r="B1848" s="87" t="s">
        <v>878</v>
      </c>
      <c r="C1848" s="93">
        <v>1.0</v>
      </c>
      <c r="D1848" s="87" t="s">
        <v>1003</v>
      </c>
      <c r="E1848" s="87" t="s">
        <v>1280</v>
      </c>
      <c r="F1848" s="87"/>
      <c r="G1848" s="94">
        <v>7.6909417E7</v>
      </c>
      <c r="H1848" s="87"/>
      <c r="I1848" s="87" t="s">
        <v>1279</v>
      </c>
    </row>
    <row r="1849">
      <c r="A1849" s="87">
        <v>1307.0</v>
      </c>
      <c r="B1849" s="87" t="s">
        <v>878</v>
      </c>
      <c r="C1849" s="93">
        <v>1.0</v>
      </c>
      <c r="D1849" s="87" t="s">
        <v>1003</v>
      </c>
      <c r="E1849" s="87" t="s">
        <v>1281</v>
      </c>
      <c r="F1849" s="87"/>
      <c r="G1849" s="94">
        <v>1.0106389E8</v>
      </c>
      <c r="H1849" s="87"/>
      <c r="I1849" s="87"/>
    </row>
    <row r="1850">
      <c r="A1850" s="87">
        <v>1308.0</v>
      </c>
      <c r="B1850" s="87" t="s">
        <v>878</v>
      </c>
      <c r="C1850" s="93">
        <v>1.0</v>
      </c>
      <c r="D1850" s="87" t="s">
        <v>1003</v>
      </c>
      <c r="E1850" s="87" t="s">
        <v>1282</v>
      </c>
      <c r="F1850" s="87"/>
      <c r="G1850" s="94">
        <v>1.01063911E8</v>
      </c>
      <c r="H1850" s="87"/>
      <c r="I1850" s="87"/>
    </row>
    <row r="1851">
      <c r="A1851" s="87">
        <v>1309.0</v>
      </c>
      <c r="B1851" s="87" t="s">
        <v>878</v>
      </c>
      <c r="C1851" s="93">
        <v>1.0</v>
      </c>
      <c r="D1851" s="87" t="s">
        <v>1003</v>
      </c>
      <c r="E1851" s="87" t="s">
        <v>1283</v>
      </c>
      <c r="F1851" s="87"/>
      <c r="G1851" s="94">
        <v>1.01063938E8</v>
      </c>
      <c r="H1851" s="87"/>
      <c r="I1851" s="87"/>
    </row>
    <row r="1852">
      <c r="A1852" s="87">
        <v>1313.0</v>
      </c>
      <c r="B1852" s="87" t="s">
        <v>878</v>
      </c>
      <c r="C1852" s="93">
        <v>1.0</v>
      </c>
      <c r="D1852" s="87" t="s">
        <v>1003</v>
      </c>
      <c r="E1852" s="87" t="s">
        <v>1157</v>
      </c>
      <c r="F1852" s="87"/>
      <c r="G1852" s="94">
        <v>7.6911012E7</v>
      </c>
      <c r="H1852" s="87"/>
      <c r="I1852" s="87"/>
    </row>
    <row r="1853">
      <c r="A1853" s="87">
        <v>1325.0</v>
      </c>
      <c r="B1853" s="87" t="s">
        <v>878</v>
      </c>
      <c r="C1853" s="93">
        <v>1.0</v>
      </c>
      <c r="D1853" s="87" t="s">
        <v>1003</v>
      </c>
      <c r="E1853" s="87" t="s">
        <v>1284</v>
      </c>
      <c r="F1853" s="87"/>
      <c r="G1853" s="94">
        <v>1.01063903E8</v>
      </c>
      <c r="H1853" s="87"/>
      <c r="I1853" s="87"/>
    </row>
    <row r="1854">
      <c r="A1854" s="87">
        <v>1326.0</v>
      </c>
      <c r="B1854" s="87" t="s">
        <v>878</v>
      </c>
      <c r="C1854" s="93">
        <v>1.0</v>
      </c>
      <c r="D1854" s="87" t="s">
        <v>1003</v>
      </c>
      <c r="E1854" s="87" t="s">
        <v>1285</v>
      </c>
      <c r="F1854" s="87"/>
      <c r="G1854" s="94">
        <v>1.0106392E8</v>
      </c>
      <c r="H1854" s="87"/>
      <c r="I1854" s="87"/>
    </row>
    <row r="1855">
      <c r="A1855" s="87">
        <v>1339.0</v>
      </c>
      <c r="B1855" s="87" t="s">
        <v>878</v>
      </c>
      <c r="C1855" s="93">
        <v>1.0</v>
      </c>
      <c r="D1855" s="87" t="s">
        <v>1003</v>
      </c>
      <c r="E1855" s="87" t="s">
        <v>1286</v>
      </c>
      <c r="F1855" s="87"/>
      <c r="G1855" s="94">
        <v>4.020202E7</v>
      </c>
      <c r="H1855" s="87"/>
      <c r="I1855" s="87"/>
    </row>
    <row r="1856">
      <c r="A1856" s="87">
        <v>1341.0</v>
      </c>
      <c r="B1856" s="87" t="s">
        <v>878</v>
      </c>
      <c r="C1856" s="93">
        <v>1.0</v>
      </c>
      <c r="D1856" s="87" t="s">
        <v>1003</v>
      </c>
      <c r="E1856" s="87" t="s">
        <v>1141</v>
      </c>
      <c r="F1856" s="87"/>
      <c r="G1856" s="94">
        <v>4.017811E7</v>
      </c>
      <c r="H1856" s="87"/>
      <c r="I1856" s="87" t="s">
        <v>882</v>
      </c>
    </row>
    <row r="1857">
      <c r="A1857" s="87">
        <v>1352.0</v>
      </c>
      <c r="B1857" s="87" t="s">
        <v>878</v>
      </c>
      <c r="C1857" s="93">
        <v>1.0</v>
      </c>
      <c r="D1857" s="87" t="s">
        <v>1003</v>
      </c>
      <c r="E1857" s="87" t="s">
        <v>1287</v>
      </c>
      <c r="F1857" s="87"/>
      <c r="G1857" s="94">
        <v>4.0234231E7</v>
      </c>
      <c r="H1857" s="87"/>
      <c r="I1857" s="87" t="s">
        <v>1288</v>
      </c>
    </row>
    <row r="1858">
      <c r="A1858" s="87">
        <v>1359.0</v>
      </c>
      <c r="B1858" s="87" t="s">
        <v>878</v>
      </c>
      <c r="C1858" s="93">
        <v>1.0</v>
      </c>
      <c r="D1858" s="87" t="s">
        <v>1003</v>
      </c>
      <c r="E1858" s="87" t="s">
        <v>1289</v>
      </c>
      <c r="F1858" s="87"/>
      <c r="G1858" s="94">
        <v>4.0186334E7</v>
      </c>
      <c r="H1858" s="87"/>
      <c r="I1858" s="87" t="s">
        <v>1290</v>
      </c>
    </row>
    <row r="1859">
      <c r="A1859" s="87">
        <v>1544.0</v>
      </c>
      <c r="B1859" s="87" t="s">
        <v>878</v>
      </c>
      <c r="C1859" s="93">
        <v>1.0</v>
      </c>
      <c r="D1859" s="87" t="s">
        <v>1003</v>
      </c>
      <c r="E1859" s="87" t="s">
        <v>1291</v>
      </c>
      <c r="F1859" s="87"/>
      <c r="G1859" s="94">
        <v>7.6802299E7</v>
      </c>
      <c r="H1859" s="87"/>
      <c r="I1859" s="87" t="s">
        <v>1292</v>
      </c>
    </row>
    <row r="1860">
      <c r="A1860" s="87">
        <v>1562.0</v>
      </c>
      <c r="B1860" s="87" t="s">
        <v>878</v>
      </c>
      <c r="C1860" s="93">
        <v>1.0</v>
      </c>
      <c r="D1860" s="87" t="s">
        <v>1003</v>
      </c>
      <c r="E1860" s="87" t="s">
        <v>1293</v>
      </c>
      <c r="F1860" s="87"/>
      <c r="G1860" s="94">
        <v>7.6912019E7</v>
      </c>
      <c r="H1860" s="87"/>
      <c r="I1860" s="87" t="s">
        <v>1294</v>
      </c>
    </row>
    <row r="1861">
      <c r="A1861" s="87">
        <v>1705.0</v>
      </c>
      <c r="B1861" s="87" t="s">
        <v>878</v>
      </c>
      <c r="C1861" s="93">
        <v>1.0</v>
      </c>
      <c r="D1861" s="87" t="s">
        <v>1003</v>
      </c>
      <c r="E1861" s="87" t="s">
        <v>1169</v>
      </c>
      <c r="F1861" s="87"/>
      <c r="G1861" s="94">
        <v>4.016884E7</v>
      </c>
      <c r="H1861" s="87"/>
      <c r="I1861" s="87"/>
    </row>
    <row r="1862">
      <c r="A1862" s="87">
        <v>1715.0</v>
      </c>
      <c r="B1862" s="87" t="s">
        <v>878</v>
      </c>
      <c r="C1862" s="93">
        <v>1.0</v>
      </c>
      <c r="D1862" s="87" t="s">
        <v>1003</v>
      </c>
      <c r="E1862" s="87" t="s">
        <v>1295</v>
      </c>
      <c r="F1862" s="87"/>
      <c r="G1862" s="94">
        <v>4.0178285E7</v>
      </c>
      <c r="H1862" s="87"/>
      <c r="I1862" s="87"/>
    </row>
    <row r="1863">
      <c r="A1863" s="87">
        <v>1716.0</v>
      </c>
      <c r="B1863" s="87" t="s">
        <v>878</v>
      </c>
      <c r="C1863" s="93">
        <v>1.0</v>
      </c>
      <c r="D1863" s="87" t="s">
        <v>1003</v>
      </c>
      <c r="E1863" s="87" t="s">
        <v>1296</v>
      </c>
      <c r="F1863" s="87"/>
      <c r="G1863" s="94">
        <v>4.0178277E7</v>
      </c>
      <c r="H1863" s="87"/>
      <c r="I1863" s="87"/>
    </row>
    <row r="1864">
      <c r="A1864" s="87">
        <v>1717.0</v>
      </c>
      <c r="B1864" s="87" t="s">
        <v>878</v>
      </c>
      <c r="C1864" s="93">
        <v>1.0</v>
      </c>
      <c r="D1864" s="87" t="s">
        <v>1003</v>
      </c>
      <c r="E1864" s="87" t="s">
        <v>1297</v>
      </c>
      <c r="F1864" s="87"/>
      <c r="G1864" s="94">
        <v>4.0178234E7</v>
      </c>
      <c r="H1864" s="87"/>
      <c r="I1864" s="87"/>
    </row>
    <row r="1865">
      <c r="A1865" s="87">
        <v>1718.0</v>
      </c>
      <c r="B1865" s="87" t="s">
        <v>878</v>
      </c>
      <c r="C1865" s="93">
        <v>1.0</v>
      </c>
      <c r="D1865" s="87" t="s">
        <v>1003</v>
      </c>
      <c r="E1865" s="87" t="s">
        <v>1298</v>
      </c>
      <c r="F1865" s="87"/>
      <c r="G1865" s="94">
        <v>4.0231666E7</v>
      </c>
      <c r="H1865" s="87"/>
      <c r="I1865" s="87"/>
    </row>
    <row r="1866">
      <c r="A1866" s="87">
        <v>1719.0</v>
      </c>
      <c r="B1866" s="87" t="s">
        <v>878</v>
      </c>
      <c r="C1866" s="93">
        <v>1.0</v>
      </c>
      <c r="D1866" s="87" t="s">
        <v>1003</v>
      </c>
      <c r="E1866" s="87" t="s">
        <v>1299</v>
      </c>
      <c r="F1866" s="87"/>
      <c r="G1866" s="94">
        <v>4.0178226E7</v>
      </c>
      <c r="H1866" s="87"/>
      <c r="I1866" s="87"/>
    </row>
    <row r="1867">
      <c r="A1867" s="87">
        <v>1720.0</v>
      </c>
      <c r="B1867" s="87" t="s">
        <v>878</v>
      </c>
      <c r="C1867" s="93">
        <v>1.0</v>
      </c>
      <c r="D1867" s="87" t="s">
        <v>1003</v>
      </c>
      <c r="E1867" s="87" t="s">
        <v>1300</v>
      </c>
      <c r="F1867" s="87"/>
      <c r="G1867" s="94">
        <v>4.0178196E7</v>
      </c>
      <c r="H1867" s="87"/>
      <c r="I1867" s="87"/>
    </row>
    <row r="1868">
      <c r="A1868" s="87">
        <v>1721.0</v>
      </c>
      <c r="B1868" s="87" t="s">
        <v>878</v>
      </c>
      <c r="C1868" s="93">
        <v>1.0</v>
      </c>
      <c r="D1868" s="87" t="s">
        <v>1003</v>
      </c>
      <c r="E1868" s="87" t="s">
        <v>1301</v>
      </c>
      <c r="F1868" s="87"/>
      <c r="G1868" s="94">
        <v>4.0178129E7</v>
      </c>
      <c r="H1868" s="87"/>
      <c r="I1868" s="87"/>
    </row>
    <row r="1869">
      <c r="A1869" s="87">
        <v>1722.0</v>
      </c>
      <c r="B1869" s="87" t="s">
        <v>878</v>
      </c>
      <c r="C1869" s="93">
        <v>1.0</v>
      </c>
      <c r="D1869" s="87" t="s">
        <v>1003</v>
      </c>
      <c r="E1869" s="87" t="s">
        <v>1302</v>
      </c>
      <c r="F1869" s="87"/>
      <c r="G1869" s="94">
        <v>4.0178102E7</v>
      </c>
      <c r="H1869" s="87"/>
      <c r="I1869" s="87"/>
    </row>
    <row r="1870">
      <c r="A1870" s="87">
        <v>1723.0</v>
      </c>
      <c r="B1870" s="87" t="s">
        <v>878</v>
      </c>
      <c r="C1870" s="93">
        <v>1.0</v>
      </c>
      <c r="D1870" s="87" t="s">
        <v>1003</v>
      </c>
      <c r="E1870" s="87" t="s">
        <v>1303</v>
      </c>
      <c r="F1870" s="87"/>
      <c r="G1870" s="94">
        <v>4.0178439E7</v>
      </c>
      <c r="H1870" s="87"/>
      <c r="I1870" s="87"/>
    </row>
    <row r="1871">
      <c r="A1871" s="87">
        <v>1724.0</v>
      </c>
      <c r="B1871" s="87" t="s">
        <v>878</v>
      </c>
      <c r="C1871" s="93">
        <v>1.0</v>
      </c>
      <c r="D1871" s="87" t="s">
        <v>1003</v>
      </c>
      <c r="E1871" s="87" t="s">
        <v>1304</v>
      </c>
      <c r="F1871" s="87"/>
      <c r="G1871" s="94">
        <v>4.017808E7</v>
      </c>
      <c r="H1871" s="87"/>
      <c r="I1871" s="87"/>
    </row>
    <row r="1872">
      <c r="A1872" s="87">
        <v>701.0</v>
      </c>
      <c r="B1872" s="87" t="s">
        <v>1305</v>
      </c>
      <c r="C1872" s="93">
        <v>1.0</v>
      </c>
      <c r="D1872" s="87" t="s">
        <v>39</v>
      </c>
      <c r="E1872" s="87" t="s">
        <v>23</v>
      </c>
      <c r="F1872" s="87"/>
      <c r="G1872" s="94">
        <v>45680.0</v>
      </c>
      <c r="H1872" s="87"/>
      <c r="I1872" s="87"/>
    </row>
    <row r="1873">
      <c r="A1873" s="87">
        <v>830.0</v>
      </c>
      <c r="B1873" s="87" t="s">
        <v>1306</v>
      </c>
      <c r="C1873" s="93">
        <v>1.0</v>
      </c>
      <c r="D1873" s="87" t="s">
        <v>39</v>
      </c>
      <c r="E1873" s="87" t="s">
        <v>25</v>
      </c>
      <c r="F1873" s="87"/>
      <c r="G1873" s="94"/>
      <c r="H1873" s="87"/>
      <c r="I1873" s="87"/>
    </row>
    <row r="1874">
      <c r="A1874" s="87">
        <v>634.0</v>
      </c>
      <c r="B1874" s="87" t="s">
        <v>698</v>
      </c>
      <c r="C1874" s="93">
        <v>4.0</v>
      </c>
      <c r="D1874" s="87" t="s">
        <v>39</v>
      </c>
      <c r="E1874" s="87" t="s">
        <v>1032</v>
      </c>
      <c r="F1874" s="87"/>
      <c r="G1874" s="94"/>
      <c r="H1874" s="87"/>
      <c r="I1874" s="87" t="s">
        <v>1307</v>
      </c>
    </row>
    <row r="1875">
      <c r="A1875" s="87">
        <v>179.0</v>
      </c>
      <c r="B1875" s="87" t="s">
        <v>415</v>
      </c>
      <c r="C1875" s="93">
        <v>2.0</v>
      </c>
      <c r="D1875" s="87" t="s">
        <v>275</v>
      </c>
      <c r="E1875" s="87" t="s">
        <v>18</v>
      </c>
      <c r="F1875" s="87"/>
      <c r="G1875" s="94">
        <v>45519.0</v>
      </c>
      <c r="H1875" s="87"/>
      <c r="I1875" s="87" t="s">
        <v>1308</v>
      </c>
    </row>
    <row r="1876">
      <c r="A1876" s="87">
        <v>1712.0</v>
      </c>
      <c r="B1876" s="87" t="s">
        <v>1309</v>
      </c>
      <c r="C1876" s="93">
        <v>1.0</v>
      </c>
      <c r="D1876" s="87" t="s">
        <v>39</v>
      </c>
      <c r="E1876" s="87" t="s">
        <v>763</v>
      </c>
      <c r="F1876" s="87"/>
      <c r="G1876" s="94">
        <v>7.7043979E7</v>
      </c>
      <c r="H1876" s="87"/>
      <c r="I1876" s="87"/>
    </row>
    <row r="1877">
      <c r="A1877" s="87">
        <v>858.0</v>
      </c>
      <c r="B1877" s="87" t="s">
        <v>1310</v>
      </c>
      <c r="C1877" s="93">
        <v>1.0</v>
      </c>
      <c r="D1877" s="87" t="s">
        <v>39</v>
      </c>
      <c r="E1877" s="87" t="s">
        <v>1098</v>
      </c>
      <c r="F1877" s="87"/>
      <c r="G1877" s="94">
        <v>46161.0</v>
      </c>
      <c r="H1877" s="87" t="s">
        <v>1311</v>
      </c>
      <c r="I1877" s="87" t="s">
        <v>1312</v>
      </c>
    </row>
    <row r="1878">
      <c r="A1878" s="87">
        <v>859.0</v>
      </c>
      <c r="B1878" s="87" t="s">
        <v>1310</v>
      </c>
      <c r="C1878" s="93">
        <v>1.0</v>
      </c>
      <c r="D1878" s="87" t="s">
        <v>39</v>
      </c>
      <c r="E1878" s="87" t="s">
        <v>1018</v>
      </c>
      <c r="F1878" s="87"/>
      <c r="G1878" s="94">
        <v>46161.0</v>
      </c>
      <c r="H1878" s="87" t="s">
        <v>1313</v>
      </c>
      <c r="I1878" s="87" t="s">
        <v>1314</v>
      </c>
    </row>
    <row r="1879">
      <c r="A1879" s="87">
        <v>242.0</v>
      </c>
      <c r="B1879" s="87" t="s">
        <v>116</v>
      </c>
      <c r="C1879" s="93">
        <v>1.0</v>
      </c>
      <c r="D1879" s="87"/>
      <c r="E1879" s="87" t="s">
        <v>83</v>
      </c>
      <c r="F1879" s="87"/>
      <c r="G1879" s="94">
        <v>7.668242E7</v>
      </c>
      <c r="H1879" s="87"/>
      <c r="I1879" s="87"/>
    </row>
    <row r="1880">
      <c r="A1880" s="87">
        <v>243.0</v>
      </c>
      <c r="B1880" s="87" t="s">
        <v>116</v>
      </c>
      <c r="C1880" s="93">
        <v>1.0</v>
      </c>
      <c r="D1880" s="87"/>
      <c r="E1880" s="87" t="s">
        <v>83</v>
      </c>
      <c r="F1880" s="87"/>
      <c r="G1880" s="94">
        <v>7.6682439E7</v>
      </c>
      <c r="H1880" s="87"/>
      <c r="I1880" s="87"/>
    </row>
    <row r="1881">
      <c r="A1881" s="87">
        <v>244.0</v>
      </c>
      <c r="B1881" s="87" t="s">
        <v>116</v>
      </c>
      <c r="C1881" s="93">
        <v>1.0</v>
      </c>
      <c r="D1881" s="87"/>
      <c r="E1881" s="87" t="s">
        <v>83</v>
      </c>
      <c r="F1881" s="87"/>
      <c r="G1881" s="94">
        <v>7.6682447E7</v>
      </c>
      <c r="H1881" s="87"/>
      <c r="I1881" s="87"/>
    </row>
    <row r="1882">
      <c r="A1882" s="87">
        <v>245.0</v>
      </c>
      <c r="B1882" s="87" t="s">
        <v>116</v>
      </c>
      <c r="C1882" s="93">
        <v>1.0</v>
      </c>
      <c r="D1882" s="87"/>
      <c r="E1882" s="87" t="s">
        <v>83</v>
      </c>
      <c r="F1882" s="87"/>
      <c r="G1882" s="94">
        <v>7.6682455E7</v>
      </c>
      <c r="H1882" s="87"/>
      <c r="I1882" s="87"/>
    </row>
    <row r="1883">
      <c r="A1883" s="87">
        <v>1130.0</v>
      </c>
      <c r="B1883" s="87" t="s">
        <v>116</v>
      </c>
      <c r="C1883" s="93">
        <v>1.0</v>
      </c>
      <c r="D1883" s="87" t="s">
        <v>39</v>
      </c>
      <c r="E1883" s="87" t="s">
        <v>253</v>
      </c>
      <c r="F1883" s="87"/>
      <c r="G1883" s="94">
        <v>7.683008E7</v>
      </c>
      <c r="H1883" s="87"/>
      <c r="I1883" s="87" t="s">
        <v>1315</v>
      </c>
    </row>
    <row r="1884">
      <c r="A1884" s="87">
        <v>1131.0</v>
      </c>
      <c r="B1884" s="87" t="s">
        <v>116</v>
      </c>
      <c r="C1884" s="93">
        <v>1.0</v>
      </c>
      <c r="D1884" s="87" t="s">
        <v>39</v>
      </c>
      <c r="E1884" s="87" t="s">
        <v>253</v>
      </c>
      <c r="F1884" s="87"/>
      <c r="G1884" s="94">
        <v>7.6830098E7</v>
      </c>
      <c r="H1884" s="87"/>
      <c r="I1884" s="87" t="s">
        <v>1315</v>
      </c>
    </row>
    <row r="1885">
      <c r="A1885" s="87">
        <v>1132.0</v>
      </c>
      <c r="B1885" s="87" t="s">
        <v>116</v>
      </c>
      <c r="C1885" s="93">
        <v>1.0</v>
      </c>
      <c r="D1885" s="87" t="s">
        <v>39</v>
      </c>
      <c r="E1885" s="87" t="s">
        <v>253</v>
      </c>
      <c r="F1885" s="87"/>
      <c r="G1885" s="94">
        <v>7.6830101E7</v>
      </c>
      <c r="H1885" s="87"/>
      <c r="I1885" s="87" t="s">
        <v>1315</v>
      </c>
    </row>
    <row r="1886">
      <c r="A1886" s="87">
        <v>1133.0</v>
      </c>
      <c r="B1886" s="87" t="s">
        <v>116</v>
      </c>
      <c r="C1886" s="93">
        <v>1.0</v>
      </c>
      <c r="D1886" s="87" t="s">
        <v>39</v>
      </c>
      <c r="E1886" s="87" t="s">
        <v>253</v>
      </c>
      <c r="F1886" s="87"/>
      <c r="G1886" s="94">
        <v>7.683011E7</v>
      </c>
      <c r="H1886" s="87"/>
      <c r="I1886" s="87" t="s">
        <v>1315</v>
      </c>
    </row>
    <row r="1887">
      <c r="A1887" s="87">
        <v>577.0</v>
      </c>
      <c r="B1887" s="87" t="s">
        <v>1316</v>
      </c>
      <c r="C1887" s="93">
        <v>1.0</v>
      </c>
      <c r="D1887" s="87" t="s">
        <v>39</v>
      </c>
      <c r="E1887" s="87" t="s">
        <v>40</v>
      </c>
      <c r="F1887" s="87"/>
      <c r="G1887" s="94">
        <v>1.4162237E7</v>
      </c>
      <c r="H1887" s="87"/>
      <c r="I1887" s="87"/>
    </row>
    <row r="1888">
      <c r="A1888" s="87">
        <v>703.0</v>
      </c>
      <c r="B1888" s="87" t="s">
        <v>1316</v>
      </c>
      <c r="C1888" s="93">
        <v>1.0</v>
      </c>
      <c r="D1888" s="87" t="s">
        <v>39</v>
      </c>
      <c r="E1888" s="87" t="s">
        <v>40</v>
      </c>
      <c r="F1888" s="87"/>
      <c r="G1888" s="94">
        <v>1.409813E7</v>
      </c>
      <c r="H1888" s="87"/>
      <c r="I1888" s="87"/>
    </row>
    <row r="1889">
      <c r="A1889" s="87">
        <v>706.0</v>
      </c>
      <c r="B1889" s="87" t="s">
        <v>1316</v>
      </c>
      <c r="C1889" s="93">
        <v>1.0</v>
      </c>
      <c r="D1889" s="87" t="s">
        <v>39</v>
      </c>
      <c r="E1889" s="87" t="s">
        <v>40</v>
      </c>
      <c r="F1889" s="87"/>
      <c r="G1889" s="94">
        <v>1.4162229E7</v>
      </c>
      <c r="H1889" s="87"/>
      <c r="I1889" s="87"/>
    </row>
    <row r="1890">
      <c r="A1890" s="87">
        <v>172.0</v>
      </c>
      <c r="B1890" s="87" t="s">
        <v>1317</v>
      </c>
      <c r="C1890" s="93">
        <v>3.0</v>
      </c>
      <c r="D1890" s="87" t="s">
        <v>275</v>
      </c>
      <c r="E1890" s="87" t="s">
        <v>19</v>
      </c>
      <c r="F1890" s="87"/>
      <c r="G1890" s="94"/>
      <c r="H1890" s="87"/>
      <c r="I1890" s="87"/>
    </row>
    <row r="1891">
      <c r="A1891" s="87">
        <v>90.0</v>
      </c>
      <c r="B1891" s="87" t="s">
        <v>117</v>
      </c>
      <c r="C1891" s="93">
        <v>4.0</v>
      </c>
      <c r="D1891" s="87" t="s">
        <v>275</v>
      </c>
      <c r="E1891" s="87" t="s">
        <v>19</v>
      </c>
      <c r="F1891" s="87"/>
      <c r="G1891" s="94">
        <v>45525.0</v>
      </c>
      <c r="H1891" s="87"/>
      <c r="I1891" s="87"/>
    </row>
    <row r="1892">
      <c r="A1892" s="87">
        <v>628.0</v>
      </c>
      <c r="B1892" s="87" t="s">
        <v>703</v>
      </c>
      <c r="C1892" s="93">
        <v>4.0</v>
      </c>
      <c r="D1892" s="87" t="s">
        <v>39</v>
      </c>
      <c r="E1892" s="87" t="s">
        <v>1032</v>
      </c>
      <c r="F1892" s="87"/>
      <c r="G1892" s="94"/>
      <c r="H1892" s="87"/>
      <c r="I1892" s="87"/>
    </row>
    <row r="1893">
      <c r="A1893" s="87">
        <v>643.0</v>
      </c>
      <c r="B1893" s="87" t="s">
        <v>703</v>
      </c>
      <c r="C1893" s="93">
        <v>7.0</v>
      </c>
      <c r="D1893" s="87" t="s">
        <v>39</v>
      </c>
      <c r="E1893" s="87" t="s">
        <v>1032</v>
      </c>
      <c r="F1893" s="87"/>
      <c r="G1893" s="94"/>
      <c r="H1893" s="87"/>
      <c r="I1893" s="87" t="s">
        <v>1318</v>
      </c>
    </row>
    <row r="1894">
      <c r="A1894" s="87">
        <v>825.0</v>
      </c>
      <c r="B1894" s="87" t="s">
        <v>1319</v>
      </c>
      <c r="C1894" s="93">
        <v>1.0</v>
      </c>
      <c r="D1894" s="87" t="s">
        <v>1003</v>
      </c>
      <c r="E1894" s="87" t="s">
        <v>1006</v>
      </c>
      <c r="F1894" s="87"/>
      <c r="G1894" s="94"/>
      <c r="H1894" s="87" t="s">
        <v>1007</v>
      </c>
      <c r="I1894" s="87" t="s">
        <v>1320</v>
      </c>
    </row>
    <row r="1895">
      <c r="A1895" s="87">
        <v>252.0</v>
      </c>
      <c r="B1895" s="87" t="s">
        <v>1321</v>
      </c>
      <c r="C1895" s="93">
        <v>1.0</v>
      </c>
      <c r="D1895" s="87" t="s">
        <v>39</v>
      </c>
      <c r="E1895" s="87" t="s">
        <v>40</v>
      </c>
      <c r="F1895" s="87"/>
      <c r="G1895" s="94">
        <v>46188.0</v>
      </c>
      <c r="H1895" s="87"/>
      <c r="I1895" s="87" t="s">
        <v>1322</v>
      </c>
    </row>
    <row r="1896">
      <c r="A1896" s="87">
        <v>413.0</v>
      </c>
      <c r="B1896" s="87" t="s">
        <v>354</v>
      </c>
      <c r="C1896" s="93">
        <v>1.0</v>
      </c>
      <c r="D1896" s="87" t="s">
        <v>1003</v>
      </c>
      <c r="E1896" s="87" t="s">
        <v>1004</v>
      </c>
      <c r="F1896" s="87"/>
      <c r="G1896" s="94">
        <v>45259.0</v>
      </c>
      <c r="H1896" s="87"/>
      <c r="I1896" s="87" t="s">
        <v>1323</v>
      </c>
    </row>
    <row r="1897">
      <c r="A1897" s="87">
        <v>428.0</v>
      </c>
      <c r="B1897" s="87" t="s">
        <v>354</v>
      </c>
      <c r="C1897" s="93">
        <v>1.0</v>
      </c>
      <c r="D1897" s="87" t="s">
        <v>1003</v>
      </c>
      <c r="E1897" s="87" t="s">
        <v>1008</v>
      </c>
      <c r="F1897" s="87"/>
      <c r="G1897" s="94">
        <v>45259.0</v>
      </c>
      <c r="H1897" s="87"/>
      <c r="I1897" s="87" t="s">
        <v>1323</v>
      </c>
    </row>
    <row r="1898">
      <c r="A1898" s="87">
        <v>848.0</v>
      </c>
      <c r="B1898" s="87" t="s">
        <v>1324</v>
      </c>
      <c r="C1898" s="93">
        <v>1.0</v>
      </c>
      <c r="D1898" s="87" t="s">
        <v>39</v>
      </c>
      <c r="E1898" s="87" t="s">
        <v>1046</v>
      </c>
      <c r="F1898" s="87"/>
      <c r="G1898" s="94">
        <v>46122.0</v>
      </c>
      <c r="H1898" s="87"/>
      <c r="I1898" s="87"/>
    </row>
    <row r="1899">
      <c r="A1899" s="87">
        <v>624.0</v>
      </c>
      <c r="B1899" s="87" t="s">
        <v>704</v>
      </c>
      <c r="C1899" s="93">
        <v>12.0</v>
      </c>
      <c r="D1899" s="87" t="s">
        <v>39</v>
      </c>
      <c r="E1899" s="87" t="s">
        <v>1032</v>
      </c>
      <c r="F1899" s="87"/>
      <c r="G1899" s="94"/>
      <c r="H1899" s="87"/>
      <c r="I1899" s="87" t="s">
        <v>705</v>
      </c>
    </row>
    <row r="1900">
      <c r="A1900" s="87">
        <v>630.0</v>
      </c>
      <c r="B1900" s="87" t="s">
        <v>704</v>
      </c>
      <c r="C1900" s="93">
        <v>11.0</v>
      </c>
      <c r="D1900" s="87" t="s">
        <v>39</v>
      </c>
      <c r="E1900" s="87" t="s">
        <v>1032</v>
      </c>
      <c r="F1900" s="87"/>
      <c r="G1900" s="94"/>
      <c r="H1900" s="87"/>
      <c r="I1900" s="87" t="s">
        <v>1325</v>
      </c>
    </row>
    <row r="1901">
      <c r="A1901" s="87">
        <v>446.0</v>
      </c>
      <c r="B1901" s="87" t="s">
        <v>1326</v>
      </c>
      <c r="C1901" s="93">
        <v>1.0</v>
      </c>
      <c r="D1901" s="87" t="s">
        <v>39</v>
      </c>
      <c r="E1901" s="87" t="s">
        <v>26</v>
      </c>
      <c r="F1901" s="87"/>
      <c r="G1901" s="94">
        <v>45555.0</v>
      </c>
      <c r="H1901" s="87"/>
      <c r="I1901" s="87"/>
    </row>
    <row r="1902">
      <c r="A1902" s="87">
        <v>246.0</v>
      </c>
      <c r="B1902" s="87" t="s">
        <v>1327</v>
      </c>
      <c r="C1902" s="93">
        <v>1.0</v>
      </c>
      <c r="D1902" s="87"/>
      <c r="E1902" s="87" t="s">
        <v>83</v>
      </c>
      <c r="F1902" s="87"/>
      <c r="G1902" s="94">
        <v>1.392003E7</v>
      </c>
      <c r="H1902" s="87"/>
      <c r="I1902" s="87"/>
    </row>
    <row r="1903">
      <c r="A1903" s="87">
        <v>496.0</v>
      </c>
      <c r="B1903" s="87" t="s">
        <v>1327</v>
      </c>
      <c r="C1903" s="93">
        <v>1.0</v>
      </c>
      <c r="D1903" s="87" t="s">
        <v>39</v>
      </c>
      <c r="E1903" s="87" t="s">
        <v>83</v>
      </c>
      <c r="F1903" s="87"/>
      <c r="G1903" s="94">
        <v>1.3765779E7</v>
      </c>
      <c r="H1903" s="87"/>
      <c r="I1903" s="87" t="s">
        <v>1328</v>
      </c>
    </row>
    <row r="1904">
      <c r="A1904" s="87">
        <v>58.0</v>
      </c>
      <c r="B1904" s="87" t="s">
        <v>634</v>
      </c>
      <c r="C1904" s="93">
        <v>1.0</v>
      </c>
      <c r="D1904" s="87" t="s">
        <v>39</v>
      </c>
      <c r="E1904" s="87" t="s">
        <v>253</v>
      </c>
      <c r="F1904" s="87"/>
      <c r="G1904" s="94">
        <v>1.3922092E7</v>
      </c>
      <c r="H1904" s="87"/>
      <c r="I1904" s="87" t="s">
        <v>983</v>
      </c>
    </row>
    <row r="1905">
      <c r="A1905" s="87">
        <v>60.0</v>
      </c>
      <c r="B1905" s="87" t="s">
        <v>634</v>
      </c>
      <c r="C1905" s="93">
        <v>1.0</v>
      </c>
      <c r="D1905" s="87" t="s">
        <v>39</v>
      </c>
      <c r="E1905" s="87" t="s">
        <v>253</v>
      </c>
      <c r="F1905" s="87"/>
      <c r="G1905" s="94">
        <v>4.009071E7</v>
      </c>
      <c r="H1905" s="87"/>
      <c r="I1905" s="87" t="s">
        <v>983</v>
      </c>
    </row>
    <row r="1906">
      <c r="A1906" s="87">
        <v>247.0</v>
      </c>
      <c r="B1906" s="87" t="s">
        <v>634</v>
      </c>
      <c r="C1906" s="93">
        <v>1.0</v>
      </c>
      <c r="D1906" s="87" t="s">
        <v>39</v>
      </c>
      <c r="E1906" s="87" t="s">
        <v>253</v>
      </c>
      <c r="F1906" s="87"/>
      <c r="G1906" s="94">
        <v>1.3895966E7</v>
      </c>
      <c r="H1906" s="87"/>
      <c r="I1906" s="87" t="s">
        <v>1012</v>
      </c>
    </row>
    <row r="1907">
      <c r="A1907" s="87">
        <v>248.0</v>
      </c>
      <c r="B1907" s="87" t="s">
        <v>634</v>
      </c>
      <c r="C1907" s="93">
        <v>1.0</v>
      </c>
      <c r="D1907" s="87" t="s">
        <v>39</v>
      </c>
      <c r="E1907" s="87" t="s">
        <v>253</v>
      </c>
      <c r="F1907" s="87"/>
      <c r="G1907" s="94">
        <v>1.3897179E7</v>
      </c>
      <c r="H1907" s="87"/>
      <c r="I1907" s="87" t="s">
        <v>1012</v>
      </c>
    </row>
    <row r="1908">
      <c r="A1908" s="87">
        <v>249.0</v>
      </c>
      <c r="B1908" s="87" t="s">
        <v>634</v>
      </c>
      <c r="C1908" s="93">
        <v>1.0</v>
      </c>
      <c r="D1908" s="87" t="s">
        <v>39</v>
      </c>
      <c r="E1908" s="87" t="s">
        <v>253</v>
      </c>
      <c r="F1908" s="87"/>
      <c r="G1908" s="94">
        <v>1.3990926E7</v>
      </c>
      <c r="H1908" s="87"/>
      <c r="I1908" s="87" t="s">
        <v>1012</v>
      </c>
    </row>
    <row r="1909">
      <c r="A1909" s="87">
        <v>250.0</v>
      </c>
      <c r="B1909" s="87" t="s">
        <v>634</v>
      </c>
      <c r="C1909" s="93">
        <v>1.0</v>
      </c>
      <c r="D1909" s="87" t="s">
        <v>39</v>
      </c>
      <c r="E1909" s="87" t="s">
        <v>253</v>
      </c>
      <c r="F1909" s="87"/>
      <c r="G1909" s="94">
        <v>4.0075443E7</v>
      </c>
      <c r="H1909" s="87"/>
      <c r="I1909" s="87" t="s">
        <v>1012</v>
      </c>
    </row>
    <row r="1910">
      <c r="A1910" s="87">
        <v>251.0</v>
      </c>
      <c r="B1910" s="87" t="s">
        <v>634</v>
      </c>
      <c r="C1910" s="93">
        <v>1.0</v>
      </c>
      <c r="D1910" s="87" t="s">
        <v>39</v>
      </c>
      <c r="E1910" s="87" t="s">
        <v>253</v>
      </c>
      <c r="F1910" s="87"/>
      <c r="G1910" s="94">
        <v>4.0259412E7</v>
      </c>
      <c r="H1910" s="87"/>
      <c r="I1910" s="87" t="s">
        <v>1012</v>
      </c>
    </row>
    <row r="1911">
      <c r="A1911" s="87">
        <v>252.0</v>
      </c>
      <c r="B1911" s="87" t="s">
        <v>634</v>
      </c>
      <c r="C1911" s="93">
        <v>1.0</v>
      </c>
      <c r="D1911" s="87" t="s">
        <v>39</v>
      </c>
      <c r="E1911" s="87" t="s">
        <v>253</v>
      </c>
      <c r="F1911" s="87"/>
      <c r="G1911" s="94">
        <v>4.025942E7</v>
      </c>
      <c r="H1911" s="87"/>
      <c r="I1911" s="87" t="s">
        <v>1012</v>
      </c>
    </row>
    <row r="1912">
      <c r="A1912" s="87">
        <v>253.0</v>
      </c>
      <c r="B1912" s="87" t="s">
        <v>634</v>
      </c>
      <c r="C1912" s="93">
        <v>1.0</v>
      </c>
      <c r="D1912" s="87" t="s">
        <v>39</v>
      </c>
      <c r="E1912" s="87" t="s">
        <v>253</v>
      </c>
      <c r="F1912" s="87"/>
      <c r="G1912" s="94">
        <v>4.0273474E7</v>
      </c>
      <c r="H1912" s="87"/>
      <c r="I1912" s="87" t="s">
        <v>1012</v>
      </c>
    </row>
    <row r="1913">
      <c r="A1913" s="87">
        <v>254.0</v>
      </c>
      <c r="B1913" s="87" t="s">
        <v>634</v>
      </c>
      <c r="C1913" s="93">
        <v>1.0</v>
      </c>
      <c r="D1913" s="87" t="s">
        <v>39</v>
      </c>
      <c r="E1913" s="87" t="s">
        <v>253</v>
      </c>
      <c r="F1913" s="87"/>
      <c r="G1913" s="94">
        <v>4.0273482E7</v>
      </c>
      <c r="H1913" s="87"/>
      <c r="I1913" s="87" t="s">
        <v>1012</v>
      </c>
    </row>
    <row r="1914">
      <c r="A1914" s="87">
        <v>255.0</v>
      </c>
      <c r="B1914" s="87" t="s">
        <v>634</v>
      </c>
      <c r="C1914" s="93">
        <v>1.0</v>
      </c>
      <c r="D1914" s="87" t="s">
        <v>39</v>
      </c>
      <c r="E1914" s="87" t="s">
        <v>253</v>
      </c>
      <c r="F1914" s="87"/>
      <c r="G1914" s="94">
        <v>4.0325741E7</v>
      </c>
      <c r="H1914" s="87"/>
      <c r="I1914" s="87" t="s">
        <v>1012</v>
      </c>
    </row>
    <row r="1915">
      <c r="A1915" s="87">
        <v>256.0</v>
      </c>
      <c r="B1915" s="87" t="s">
        <v>634</v>
      </c>
      <c r="C1915" s="93">
        <v>1.0</v>
      </c>
      <c r="D1915" s="87" t="s">
        <v>39</v>
      </c>
      <c r="E1915" s="87" t="s">
        <v>253</v>
      </c>
      <c r="F1915" s="87"/>
      <c r="G1915" s="94">
        <v>4.0351572E7</v>
      </c>
      <c r="H1915" s="87"/>
      <c r="I1915" s="87" t="s">
        <v>1329</v>
      </c>
    </row>
    <row r="1916">
      <c r="A1916" s="87">
        <v>257.0</v>
      </c>
      <c r="B1916" s="87" t="s">
        <v>634</v>
      </c>
      <c r="C1916" s="93">
        <v>1.0</v>
      </c>
      <c r="D1916" s="87" t="s">
        <v>39</v>
      </c>
      <c r="E1916" s="87" t="s">
        <v>253</v>
      </c>
      <c r="F1916" s="87"/>
      <c r="G1916" s="94">
        <v>4.035158E7</v>
      </c>
      <c r="H1916" s="87"/>
      <c r="I1916" s="87" t="s">
        <v>1330</v>
      </c>
    </row>
    <row r="1917">
      <c r="A1917" s="87">
        <v>258.0</v>
      </c>
      <c r="B1917" s="87" t="s">
        <v>634</v>
      </c>
      <c r="C1917" s="93">
        <v>1.0</v>
      </c>
      <c r="D1917" s="87"/>
      <c r="E1917" s="87" t="s">
        <v>83</v>
      </c>
      <c r="F1917" s="87"/>
      <c r="G1917" s="94">
        <v>4.03517E7</v>
      </c>
      <c r="H1917" s="87"/>
      <c r="I1917" s="87" t="s">
        <v>1331</v>
      </c>
    </row>
    <row r="1918">
      <c r="A1918" s="87">
        <v>259.0</v>
      </c>
      <c r="B1918" s="87" t="s">
        <v>634</v>
      </c>
      <c r="C1918" s="93">
        <v>1.0</v>
      </c>
      <c r="D1918" s="87"/>
      <c r="E1918" s="87" t="s">
        <v>83</v>
      </c>
      <c r="F1918" s="87"/>
      <c r="G1918" s="94">
        <v>6.2733664E7</v>
      </c>
      <c r="H1918" s="87"/>
      <c r="I1918" s="87"/>
    </row>
    <row r="1919">
      <c r="A1919" s="87">
        <v>260.0</v>
      </c>
      <c r="B1919" s="87" t="s">
        <v>634</v>
      </c>
      <c r="C1919" s="93">
        <v>1.0</v>
      </c>
      <c r="D1919" s="87" t="s">
        <v>39</v>
      </c>
      <c r="E1919" s="87" t="s">
        <v>253</v>
      </c>
      <c r="F1919" s="87"/>
      <c r="G1919" s="94">
        <v>6.2787454E7</v>
      </c>
      <c r="H1919" s="87"/>
      <c r="I1919" s="87"/>
    </row>
    <row r="1920">
      <c r="A1920" s="87">
        <v>261.0</v>
      </c>
      <c r="B1920" s="87" t="s">
        <v>634</v>
      </c>
      <c r="C1920" s="93">
        <v>1.0</v>
      </c>
      <c r="D1920" s="87" t="s">
        <v>39</v>
      </c>
      <c r="E1920" s="87" t="s">
        <v>253</v>
      </c>
      <c r="F1920" s="87"/>
      <c r="G1920" s="94">
        <v>6.278773E7</v>
      </c>
      <c r="H1920" s="87"/>
      <c r="I1920" s="87" t="s">
        <v>1012</v>
      </c>
    </row>
    <row r="1921">
      <c r="A1921" s="87">
        <v>262.0</v>
      </c>
      <c r="B1921" s="87" t="s">
        <v>634</v>
      </c>
      <c r="C1921" s="93">
        <v>1.0</v>
      </c>
      <c r="D1921" s="87"/>
      <c r="E1921" s="87" t="s">
        <v>83</v>
      </c>
      <c r="F1921" s="87"/>
      <c r="G1921" s="94">
        <v>6.2790498E7</v>
      </c>
      <c r="H1921" s="87"/>
      <c r="I1921" s="87"/>
    </row>
    <row r="1922">
      <c r="A1922" s="87">
        <v>263.0</v>
      </c>
      <c r="B1922" s="87" t="s">
        <v>634</v>
      </c>
      <c r="C1922" s="93">
        <v>1.0</v>
      </c>
      <c r="D1922" s="87"/>
      <c r="E1922" s="87" t="s">
        <v>83</v>
      </c>
      <c r="F1922" s="87"/>
      <c r="G1922" s="94">
        <v>7.6702138E7</v>
      </c>
      <c r="H1922" s="87"/>
      <c r="I1922" s="87" t="s">
        <v>1332</v>
      </c>
    </row>
    <row r="1923">
      <c r="A1923" s="87">
        <v>264.0</v>
      </c>
      <c r="B1923" s="87" t="s">
        <v>634</v>
      </c>
      <c r="C1923" s="93">
        <v>1.0</v>
      </c>
      <c r="D1923" s="87" t="s">
        <v>39</v>
      </c>
      <c r="E1923" s="87" t="s">
        <v>253</v>
      </c>
      <c r="F1923" s="87"/>
      <c r="G1923" s="94">
        <v>7.6702146E7</v>
      </c>
      <c r="H1923" s="87"/>
      <c r="I1923" s="87" t="s">
        <v>1012</v>
      </c>
    </row>
    <row r="1924">
      <c r="A1924" s="87">
        <v>266.0</v>
      </c>
      <c r="B1924" s="87" t="s">
        <v>634</v>
      </c>
      <c r="C1924" s="93">
        <v>1.0</v>
      </c>
      <c r="D1924" s="87"/>
      <c r="E1924" s="87" t="s">
        <v>83</v>
      </c>
      <c r="F1924" s="87"/>
      <c r="G1924" s="94">
        <v>8.4194758E7</v>
      </c>
      <c r="H1924" s="87"/>
      <c r="I1924" s="87"/>
    </row>
    <row r="1925">
      <c r="A1925" s="87">
        <v>669.0</v>
      </c>
      <c r="B1925" s="87" t="s">
        <v>634</v>
      </c>
      <c r="C1925" s="93">
        <v>1.0</v>
      </c>
      <c r="D1925" s="87" t="s">
        <v>39</v>
      </c>
      <c r="E1925" s="87" t="s">
        <v>1333</v>
      </c>
      <c r="F1925" s="87"/>
      <c r="G1925" s="94">
        <v>5.5910513E7</v>
      </c>
      <c r="H1925" s="87"/>
      <c r="I1925" s="87" t="s">
        <v>1279</v>
      </c>
    </row>
    <row r="1926">
      <c r="A1926" s="87">
        <v>677.0</v>
      </c>
      <c r="B1926" s="87" t="s">
        <v>634</v>
      </c>
      <c r="C1926" s="93">
        <v>1.0</v>
      </c>
      <c r="D1926" s="87" t="s">
        <v>39</v>
      </c>
      <c r="E1926" s="87" t="s">
        <v>253</v>
      </c>
      <c r="F1926" s="87"/>
      <c r="G1926" s="94">
        <v>1.3895508E7</v>
      </c>
      <c r="H1926" s="87"/>
      <c r="I1926" s="87" t="s">
        <v>1014</v>
      </c>
    </row>
    <row r="1927">
      <c r="A1927" s="87">
        <v>678.0</v>
      </c>
      <c r="B1927" s="87" t="s">
        <v>634</v>
      </c>
      <c r="C1927" s="93">
        <v>1.0</v>
      </c>
      <c r="D1927" s="87" t="s">
        <v>39</v>
      </c>
      <c r="E1927" s="87" t="s">
        <v>253</v>
      </c>
      <c r="F1927" s="87"/>
      <c r="G1927" s="94">
        <v>1.3895893E7</v>
      </c>
      <c r="H1927" s="87"/>
      <c r="I1927" s="87" t="s">
        <v>1014</v>
      </c>
    </row>
    <row r="1928">
      <c r="A1928" s="87">
        <v>679.0</v>
      </c>
      <c r="B1928" s="87" t="s">
        <v>634</v>
      </c>
      <c r="C1928" s="93">
        <v>1.0</v>
      </c>
      <c r="D1928" s="87" t="s">
        <v>39</v>
      </c>
      <c r="E1928" s="87" t="s">
        <v>253</v>
      </c>
      <c r="F1928" s="87"/>
      <c r="G1928" s="94">
        <v>1.3896873E7</v>
      </c>
      <c r="H1928" s="87"/>
      <c r="I1928" s="87" t="s">
        <v>1014</v>
      </c>
    </row>
    <row r="1929">
      <c r="A1929" s="87">
        <v>680.0</v>
      </c>
      <c r="B1929" s="87" t="s">
        <v>634</v>
      </c>
      <c r="C1929" s="93">
        <v>1.0</v>
      </c>
      <c r="D1929" s="87" t="s">
        <v>39</v>
      </c>
      <c r="E1929" s="87" t="s">
        <v>253</v>
      </c>
      <c r="F1929" s="87"/>
      <c r="G1929" s="94">
        <v>1.3922157E7</v>
      </c>
      <c r="H1929" s="87"/>
      <c r="I1929" s="87" t="s">
        <v>1014</v>
      </c>
    </row>
    <row r="1930">
      <c r="A1930" s="87">
        <v>681.0</v>
      </c>
      <c r="B1930" s="87" t="s">
        <v>634</v>
      </c>
      <c r="C1930" s="93">
        <v>1.0</v>
      </c>
      <c r="D1930" s="87" t="s">
        <v>39</v>
      </c>
      <c r="E1930" s="87" t="s">
        <v>253</v>
      </c>
      <c r="F1930" s="87"/>
      <c r="G1930" s="94">
        <v>1.3922432E7</v>
      </c>
      <c r="H1930" s="87"/>
      <c r="I1930" s="87" t="s">
        <v>1014</v>
      </c>
    </row>
    <row r="1931">
      <c r="A1931" s="87">
        <v>682.0</v>
      </c>
      <c r="B1931" s="87" t="s">
        <v>634</v>
      </c>
      <c r="C1931" s="93">
        <v>1.0</v>
      </c>
      <c r="D1931" s="87" t="s">
        <v>39</v>
      </c>
      <c r="E1931" s="87" t="s">
        <v>253</v>
      </c>
      <c r="F1931" s="87"/>
      <c r="G1931" s="94">
        <v>1.392284E7</v>
      </c>
      <c r="H1931" s="87"/>
      <c r="I1931" s="87" t="s">
        <v>1014</v>
      </c>
    </row>
    <row r="1932">
      <c r="A1932" s="87">
        <v>683.0</v>
      </c>
      <c r="B1932" s="87" t="s">
        <v>634</v>
      </c>
      <c r="C1932" s="93">
        <v>1.0</v>
      </c>
      <c r="D1932" s="87" t="s">
        <v>39</v>
      </c>
      <c r="E1932" s="87" t="s">
        <v>253</v>
      </c>
      <c r="F1932" s="87"/>
      <c r="G1932" s="94">
        <v>1.392289E7</v>
      </c>
      <c r="H1932" s="87"/>
      <c r="I1932" s="87" t="s">
        <v>1014</v>
      </c>
    </row>
    <row r="1933">
      <c r="A1933" s="87">
        <v>687.0</v>
      </c>
      <c r="B1933" s="87" t="s">
        <v>634</v>
      </c>
      <c r="C1933" s="93">
        <v>1.0</v>
      </c>
      <c r="D1933" s="87" t="s">
        <v>39</v>
      </c>
      <c r="E1933" s="87" t="s">
        <v>253</v>
      </c>
      <c r="F1933" s="87"/>
      <c r="G1933" s="94">
        <v>1.3991183E7</v>
      </c>
      <c r="H1933" s="87"/>
      <c r="I1933" s="87" t="s">
        <v>1014</v>
      </c>
    </row>
    <row r="1934">
      <c r="A1934" s="87">
        <v>688.0</v>
      </c>
      <c r="B1934" s="87" t="s">
        <v>634</v>
      </c>
      <c r="C1934" s="93">
        <v>1.0</v>
      </c>
      <c r="D1934" s="87" t="s">
        <v>39</v>
      </c>
      <c r="E1934" s="87" t="s">
        <v>253</v>
      </c>
      <c r="F1934" s="87"/>
      <c r="G1934" s="94">
        <v>1.3991345E7</v>
      </c>
      <c r="H1934" s="87"/>
      <c r="I1934" s="87" t="s">
        <v>1014</v>
      </c>
    </row>
    <row r="1935">
      <c r="A1935" s="87">
        <v>690.0</v>
      </c>
      <c r="B1935" s="87" t="s">
        <v>634</v>
      </c>
      <c r="C1935" s="93">
        <v>1.0</v>
      </c>
      <c r="D1935" s="87" t="s">
        <v>39</v>
      </c>
      <c r="E1935" s="87" t="s">
        <v>253</v>
      </c>
      <c r="F1935" s="87"/>
      <c r="G1935" s="94">
        <v>1.399484E7</v>
      </c>
      <c r="H1935" s="87"/>
      <c r="I1935" s="87" t="s">
        <v>1014</v>
      </c>
    </row>
    <row r="1936">
      <c r="A1936" s="87">
        <v>710.0</v>
      </c>
      <c r="B1936" s="87" t="s">
        <v>634</v>
      </c>
      <c r="C1936" s="93">
        <v>1.0</v>
      </c>
      <c r="D1936" s="87" t="s">
        <v>39</v>
      </c>
      <c r="E1936" s="87" t="s">
        <v>253</v>
      </c>
      <c r="F1936" s="87"/>
      <c r="G1936" s="94">
        <v>3.0112311E7</v>
      </c>
      <c r="H1936" s="87"/>
      <c r="I1936" s="87" t="s">
        <v>1014</v>
      </c>
    </row>
    <row r="1937">
      <c r="A1937" s="87">
        <v>711.0</v>
      </c>
      <c r="B1937" s="87" t="s">
        <v>634</v>
      </c>
      <c r="C1937" s="93">
        <v>1.0</v>
      </c>
      <c r="D1937" s="87" t="s">
        <v>39</v>
      </c>
      <c r="E1937" s="87" t="s">
        <v>253</v>
      </c>
      <c r="F1937" s="87"/>
      <c r="G1937" s="94">
        <v>3.0116104E7</v>
      </c>
      <c r="H1937" s="87"/>
      <c r="I1937" s="87" t="s">
        <v>1014</v>
      </c>
    </row>
    <row r="1938">
      <c r="A1938" s="87">
        <v>712.0</v>
      </c>
      <c r="B1938" s="87" t="s">
        <v>634</v>
      </c>
      <c r="C1938" s="93">
        <v>1.0</v>
      </c>
      <c r="D1938" s="87" t="s">
        <v>39</v>
      </c>
      <c r="E1938" s="87" t="s">
        <v>253</v>
      </c>
      <c r="F1938" s="87"/>
      <c r="G1938" s="94">
        <v>3.0982901E7</v>
      </c>
      <c r="H1938" s="87"/>
      <c r="I1938" s="87" t="s">
        <v>1014</v>
      </c>
    </row>
    <row r="1939">
      <c r="A1939" s="87">
        <v>713.0</v>
      </c>
      <c r="B1939" s="87" t="s">
        <v>634</v>
      </c>
      <c r="C1939" s="93">
        <v>1.0</v>
      </c>
      <c r="D1939" s="87" t="s">
        <v>39</v>
      </c>
      <c r="E1939" s="87" t="s">
        <v>253</v>
      </c>
      <c r="F1939" s="87"/>
      <c r="G1939" s="94">
        <v>3.0983088E7</v>
      </c>
      <c r="H1939" s="87"/>
      <c r="I1939" s="87" t="s">
        <v>1014</v>
      </c>
    </row>
    <row r="1940">
      <c r="A1940" s="87">
        <v>717.0</v>
      </c>
      <c r="B1940" s="87" t="s">
        <v>634</v>
      </c>
      <c r="C1940" s="93">
        <v>1.0</v>
      </c>
      <c r="D1940" s="87" t="s">
        <v>39</v>
      </c>
      <c r="E1940" s="87" t="s">
        <v>253</v>
      </c>
      <c r="F1940" s="87"/>
      <c r="G1940" s="94">
        <v>4.0075362E7</v>
      </c>
      <c r="H1940" s="87"/>
      <c r="I1940" s="87" t="s">
        <v>1014</v>
      </c>
    </row>
    <row r="1941">
      <c r="A1941" s="87">
        <v>718.0</v>
      </c>
      <c r="B1941" s="87" t="s">
        <v>634</v>
      </c>
      <c r="C1941" s="93">
        <v>1.0</v>
      </c>
      <c r="D1941" s="87" t="s">
        <v>39</v>
      </c>
      <c r="E1941" s="87" t="s">
        <v>253</v>
      </c>
      <c r="F1941" s="87"/>
      <c r="G1941" s="94">
        <v>4.0075567E7</v>
      </c>
      <c r="H1941" s="87"/>
      <c r="I1941" s="87" t="s">
        <v>1014</v>
      </c>
    </row>
    <row r="1942">
      <c r="A1942" s="87">
        <v>721.0</v>
      </c>
      <c r="B1942" s="87" t="s">
        <v>634</v>
      </c>
      <c r="C1942" s="93">
        <v>1.0</v>
      </c>
      <c r="D1942" s="87" t="s">
        <v>39</v>
      </c>
      <c r="E1942" s="87" t="s">
        <v>253</v>
      </c>
      <c r="F1942" s="87"/>
      <c r="G1942" s="94">
        <v>4.0090701E7</v>
      </c>
      <c r="H1942" s="87"/>
      <c r="I1942" s="87" t="s">
        <v>1014</v>
      </c>
    </row>
    <row r="1943">
      <c r="A1943" s="87">
        <v>725.0</v>
      </c>
      <c r="B1943" s="87" t="s">
        <v>634</v>
      </c>
      <c r="C1943" s="93">
        <v>1.0</v>
      </c>
      <c r="D1943" s="87" t="s">
        <v>39</v>
      </c>
      <c r="E1943" s="87" t="s">
        <v>253</v>
      </c>
      <c r="F1943" s="87"/>
      <c r="G1943" s="94">
        <v>4.015386E7</v>
      </c>
      <c r="H1943" s="87"/>
      <c r="I1943" s="87" t="s">
        <v>1014</v>
      </c>
    </row>
    <row r="1944">
      <c r="A1944" s="87">
        <v>746.0</v>
      </c>
      <c r="B1944" s="87" t="s">
        <v>634</v>
      </c>
      <c r="C1944" s="93">
        <v>1.0</v>
      </c>
      <c r="D1944" s="87" t="s">
        <v>39</v>
      </c>
      <c r="E1944" s="87" t="s">
        <v>763</v>
      </c>
      <c r="F1944" s="87"/>
      <c r="G1944" s="94">
        <v>7.6869245E7</v>
      </c>
      <c r="H1944" s="87"/>
      <c r="I1944" s="87" t="s">
        <v>1334</v>
      </c>
    </row>
    <row r="1945">
      <c r="A1945" s="87">
        <v>747.0</v>
      </c>
      <c r="B1945" s="87" t="s">
        <v>634</v>
      </c>
      <c r="C1945" s="93">
        <v>1.0</v>
      </c>
      <c r="D1945" s="87" t="s">
        <v>39</v>
      </c>
      <c r="E1945" s="87" t="s">
        <v>83</v>
      </c>
      <c r="F1945" s="87"/>
      <c r="G1945" s="94">
        <v>7.6869253E7</v>
      </c>
      <c r="H1945" s="87"/>
      <c r="I1945" s="87" t="s">
        <v>1335</v>
      </c>
    </row>
    <row r="1946">
      <c r="A1946" s="87">
        <v>748.0</v>
      </c>
      <c r="B1946" s="87" t="s">
        <v>634</v>
      </c>
      <c r="C1946" s="93">
        <v>1.0</v>
      </c>
      <c r="D1946" s="87" t="s">
        <v>39</v>
      </c>
      <c r="E1946" s="87" t="s">
        <v>83</v>
      </c>
      <c r="F1946" s="87"/>
      <c r="G1946" s="94">
        <v>7.6869261E7</v>
      </c>
      <c r="H1946" s="87"/>
      <c r="I1946" s="87" t="s">
        <v>1335</v>
      </c>
    </row>
    <row r="1947">
      <c r="A1947" s="87">
        <v>749.0</v>
      </c>
      <c r="B1947" s="87" t="s">
        <v>634</v>
      </c>
      <c r="C1947" s="93">
        <v>1.0</v>
      </c>
      <c r="D1947" s="87" t="s">
        <v>39</v>
      </c>
      <c r="E1947" s="87" t="s">
        <v>83</v>
      </c>
      <c r="F1947" s="87"/>
      <c r="G1947" s="94">
        <v>7.686927E7</v>
      </c>
      <c r="H1947" s="87"/>
      <c r="I1947" s="87" t="s">
        <v>1336</v>
      </c>
    </row>
    <row r="1948">
      <c r="A1948" s="87">
        <v>767.0</v>
      </c>
      <c r="B1948" s="87" t="s">
        <v>634</v>
      </c>
      <c r="C1948" s="93">
        <v>1.0</v>
      </c>
      <c r="D1948" s="87" t="s">
        <v>39</v>
      </c>
      <c r="E1948" s="87" t="s">
        <v>253</v>
      </c>
      <c r="F1948" s="87"/>
      <c r="G1948" s="94">
        <v>1.3990896E7</v>
      </c>
      <c r="H1948" s="87"/>
      <c r="I1948" s="87" t="s">
        <v>1014</v>
      </c>
    </row>
    <row r="1949">
      <c r="A1949" s="87">
        <v>785.0</v>
      </c>
      <c r="B1949" s="87" t="s">
        <v>634</v>
      </c>
      <c r="C1949" s="93">
        <v>1.0</v>
      </c>
      <c r="D1949" s="87" t="s">
        <v>39</v>
      </c>
      <c r="E1949" s="87" t="s">
        <v>253</v>
      </c>
      <c r="F1949" s="87"/>
      <c r="G1949" s="94">
        <v>4.0153878E7</v>
      </c>
      <c r="H1949" s="87"/>
      <c r="I1949" s="87" t="s">
        <v>1014</v>
      </c>
    </row>
    <row r="1950">
      <c r="A1950" s="87">
        <v>794.0</v>
      </c>
      <c r="B1950" s="87" t="s">
        <v>634</v>
      </c>
      <c r="C1950" s="93">
        <v>1.0</v>
      </c>
      <c r="D1950" s="87" t="s">
        <v>39</v>
      </c>
      <c r="E1950" s="87" t="s">
        <v>245</v>
      </c>
      <c r="F1950" s="87"/>
      <c r="G1950" s="94">
        <v>4.035015E7</v>
      </c>
      <c r="H1950" s="87"/>
      <c r="I1950" s="87"/>
    </row>
    <row r="1951">
      <c r="A1951" s="87">
        <v>800.0</v>
      </c>
      <c r="B1951" s="87" t="s">
        <v>634</v>
      </c>
      <c r="C1951" s="93">
        <v>1.0</v>
      </c>
      <c r="D1951" s="87" t="s">
        <v>39</v>
      </c>
      <c r="E1951" s="87" t="s">
        <v>245</v>
      </c>
      <c r="F1951" s="87"/>
      <c r="G1951" s="94">
        <v>5.5910467E7</v>
      </c>
      <c r="H1951" s="87"/>
      <c r="I1951" s="87" t="s">
        <v>1337</v>
      </c>
    </row>
    <row r="1952">
      <c r="A1952" s="87">
        <v>817.0</v>
      </c>
      <c r="B1952" s="87" t="s">
        <v>634</v>
      </c>
      <c r="C1952" s="93">
        <v>1.0</v>
      </c>
      <c r="D1952" s="87" t="s">
        <v>39</v>
      </c>
      <c r="E1952" s="87" t="s">
        <v>253</v>
      </c>
      <c r="F1952" s="87"/>
      <c r="G1952" s="94">
        <v>1.3987062E7</v>
      </c>
      <c r="H1952" s="87" t="s">
        <v>1338</v>
      </c>
      <c r="I1952" s="87" t="s">
        <v>1012</v>
      </c>
    </row>
    <row r="1953">
      <c r="A1953" s="87">
        <v>900.0</v>
      </c>
      <c r="B1953" s="87" t="s">
        <v>634</v>
      </c>
      <c r="C1953" s="93">
        <v>1.0</v>
      </c>
      <c r="D1953" s="87" t="s">
        <v>39</v>
      </c>
      <c r="E1953" s="87" t="s">
        <v>1333</v>
      </c>
      <c r="F1953" s="87"/>
      <c r="G1953" s="94">
        <v>4.0352676E7</v>
      </c>
      <c r="H1953" s="87" t="s">
        <v>1339</v>
      </c>
      <c r="I1953" s="87" t="s">
        <v>673</v>
      </c>
    </row>
    <row r="1954">
      <c r="A1954" s="87">
        <v>924.0</v>
      </c>
      <c r="B1954" s="87" t="s">
        <v>634</v>
      </c>
      <c r="C1954" s="93">
        <v>1.0</v>
      </c>
      <c r="D1954" s="87" t="s">
        <v>39</v>
      </c>
      <c r="E1954" s="87" t="s">
        <v>1333</v>
      </c>
      <c r="F1954" s="87"/>
      <c r="G1954" s="94">
        <v>6.2619586E7</v>
      </c>
      <c r="H1954" s="87" t="s">
        <v>1340</v>
      </c>
      <c r="I1954" s="87" t="s">
        <v>673</v>
      </c>
    </row>
    <row r="1955">
      <c r="A1955" s="87">
        <v>925.0</v>
      </c>
      <c r="B1955" s="87" t="s">
        <v>634</v>
      </c>
      <c r="C1955" s="93">
        <v>1.0</v>
      </c>
      <c r="D1955" s="87" t="s">
        <v>39</v>
      </c>
      <c r="E1955" s="87" t="s">
        <v>1341</v>
      </c>
      <c r="F1955" s="87"/>
      <c r="G1955" s="94">
        <v>6.2666436E7</v>
      </c>
      <c r="H1955" s="87" t="s">
        <v>1342</v>
      </c>
      <c r="I1955" s="87" t="s">
        <v>1343</v>
      </c>
    </row>
    <row r="1956">
      <c r="A1956" s="87">
        <v>926.0</v>
      </c>
      <c r="B1956" s="87" t="s">
        <v>634</v>
      </c>
      <c r="C1956" s="93">
        <v>1.0</v>
      </c>
      <c r="D1956" s="87" t="s">
        <v>39</v>
      </c>
      <c r="E1956" s="87" t="s">
        <v>1341</v>
      </c>
      <c r="F1956" s="87"/>
      <c r="G1956" s="94">
        <v>6.2666444E7</v>
      </c>
      <c r="H1956" s="87" t="s">
        <v>1342</v>
      </c>
      <c r="I1956" s="87" t="s">
        <v>1343</v>
      </c>
    </row>
    <row r="1957">
      <c r="A1957" s="87">
        <v>927.0</v>
      </c>
      <c r="B1957" s="87" t="s">
        <v>634</v>
      </c>
      <c r="C1957" s="93">
        <v>1.0</v>
      </c>
      <c r="D1957" s="87" t="s">
        <v>39</v>
      </c>
      <c r="E1957" s="87" t="s">
        <v>1341</v>
      </c>
      <c r="F1957" s="87"/>
      <c r="G1957" s="94">
        <v>6.2666452E7</v>
      </c>
      <c r="H1957" s="87" t="s">
        <v>1342</v>
      </c>
      <c r="I1957" s="87" t="s">
        <v>1343</v>
      </c>
    </row>
    <row r="1958">
      <c r="A1958" s="87">
        <v>928.0</v>
      </c>
      <c r="B1958" s="87" t="s">
        <v>634</v>
      </c>
      <c r="C1958" s="93">
        <v>1.0</v>
      </c>
      <c r="D1958" s="87" t="s">
        <v>39</v>
      </c>
      <c r="E1958" s="87" t="s">
        <v>1341</v>
      </c>
      <c r="F1958" s="87"/>
      <c r="G1958" s="94">
        <v>6.2666517E7</v>
      </c>
      <c r="H1958" s="87" t="s">
        <v>1342</v>
      </c>
      <c r="I1958" s="87" t="s">
        <v>1343</v>
      </c>
    </row>
    <row r="1959">
      <c r="A1959" s="87">
        <v>929.0</v>
      </c>
      <c r="B1959" s="87" t="s">
        <v>634</v>
      </c>
      <c r="C1959" s="93">
        <v>1.0</v>
      </c>
      <c r="D1959" s="87" t="s">
        <v>39</v>
      </c>
      <c r="E1959" s="87" t="s">
        <v>1341</v>
      </c>
      <c r="F1959" s="87"/>
      <c r="G1959" s="94">
        <v>6.26673E7</v>
      </c>
      <c r="H1959" s="87" t="s">
        <v>1342</v>
      </c>
      <c r="I1959" s="87" t="s">
        <v>673</v>
      </c>
    </row>
    <row r="1960">
      <c r="A1960" s="87">
        <v>930.0</v>
      </c>
      <c r="B1960" s="87" t="s">
        <v>634</v>
      </c>
      <c r="C1960" s="93">
        <v>1.0</v>
      </c>
      <c r="D1960" s="87" t="s">
        <v>39</v>
      </c>
      <c r="E1960" s="87" t="s">
        <v>1341</v>
      </c>
      <c r="F1960" s="87"/>
      <c r="G1960" s="94">
        <v>6.2840967E7</v>
      </c>
      <c r="H1960" s="87" t="s">
        <v>1344</v>
      </c>
      <c r="I1960" s="87" t="s">
        <v>1345</v>
      </c>
    </row>
    <row r="1961">
      <c r="A1961" s="87">
        <v>932.0</v>
      </c>
      <c r="B1961" s="87" t="s">
        <v>634</v>
      </c>
      <c r="C1961" s="93">
        <v>1.0</v>
      </c>
      <c r="D1961" s="87" t="s">
        <v>39</v>
      </c>
      <c r="E1961" s="87" t="s">
        <v>1341</v>
      </c>
      <c r="F1961" s="87"/>
      <c r="G1961" s="94">
        <v>6.284184E7</v>
      </c>
      <c r="H1961" s="87"/>
      <c r="I1961" s="87" t="s">
        <v>1343</v>
      </c>
    </row>
    <row r="1962">
      <c r="A1962" s="87">
        <v>933.0</v>
      </c>
      <c r="B1962" s="87" t="s">
        <v>634</v>
      </c>
      <c r="C1962" s="93">
        <v>1.0</v>
      </c>
      <c r="D1962" s="87" t="s">
        <v>39</v>
      </c>
      <c r="E1962" s="87" t="s">
        <v>664</v>
      </c>
      <c r="F1962" s="87"/>
      <c r="G1962" s="94">
        <v>6.2841858E7</v>
      </c>
      <c r="H1962" s="87" t="s">
        <v>1346</v>
      </c>
      <c r="I1962" s="87" t="s">
        <v>1347</v>
      </c>
    </row>
    <row r="1963">
      <c r="A1963" s="87">
        <v>934.0</v>
      </c>
      <c r="B1963" s="87" t="s">
        <v>634</v>
      </c>
      <c r="C1963" s="93">
        <v>1.0</v>
      </c>
      <c r="D1963" s="87" t="s">
        <v>39</v>
      </c>
      <c r="E1963" s="87" t="s">
        <v>1333</v>
      </c>
      <c r="F1963" s="87"/>
      <c r="G1963" s="94">
        <v>6.2841882E7</v>
      </c>
      <c r="H1963" s="87"/>
      <c r="I1963" s="87" t="s">
        <v>673</v>
      </c>
    </row>
    <row r="1964">
      <c r="A1964" s="87">
        <v>936.0</v>
      </c>
      <c r="B1964" s="87" t="s">
        <v>634</v>
      </c>
      <c r="C1964" s="93">
        <v>1.0</v>
      </c>
      <c r="D1964" s="87" t="s">
        <v>39</v>
      </c>
      <c r="E1964" s="87" t="s">
        <v>763</v>
      </c>
      <c r="F1964" s="87"/>
      <c r="G1964" s="94">
        <v>6.2843117E7</v>
      </c>
      <c r="H1964" s="87"/>
      <c r="I1964" s="87" t="s">
        <v>1348</v>
      </c>
    </row>
    <row r="1965">
      <c r="A1965" s="87">
        <v>937.0</v>
      </c>
      <c r="B1965" s="87" t="s">
        <v>634</v>
      </c>
      <c r="C1965" s="93">
        <v>1.0</v>
      </c>
      <c r="D1965" s="87" t="s">
        <v>39</v>
      </c>
      <c r="E1965" s="87" t="s">
        <v>1333</v>
      </c>
      <c r="F1965" s="87"/>
      <c r="G1965" s="94">
        <v>6.2843214E7</v>
      </c>
      <c r="H1965" s="87"/>
      <c r="I1965" s="87" t="s">
        <v>1349</v>
      </c>
    </row>
    <row r="1966">
      <c r="A1966" s="87">
        <v>938.0</v>
      </c>
      <c r="B1966" s="87" t="s">
        <v>634</v>
      </c>
      <c r="C1966" s="93">
        <v>1.0</v>
      </c>
      <c r="D1966" s="87" t="s">
        <v>39</v>
      </c>
      <c r="E1966" s="87" t="s">
        <v>1333</v>
      </c>
      <c r="F1966" s="87"/>
      <c r="G1966" s="94">
        <v>6.2844423E7</v>
      </c>
      <c r="H1966" s="87"/>
      <c r="I1966" s="87" t="s">
        <v>1350</v>
      </c>
    </row>
    <row r="1967">
      <c r="A1967" s="87">
        <v>939.0</v>
      </c>
      <c r="B1967" s="87" t="s">
        <v>634</v>
      </c>
      <c r="C1967" s="93">
        <v>1.0</v>
      </c>
      <c r="D1967" s="87" t="s">
        <v>39</v>
      </c>
      <c r="E1967" s="87" t="s">
        <v>1341</v>
      </c>
      <c r="F1967" s="87"/>
      <c r="G1967" s="94">
        <v>7.5971615E7</v>
      </c>
      <c r="H1967" s="87"/>
      <c r="I1967" s="87" t="s">
        <v>1351</v>
      </c>
    </row>
    <row r="1968">
      <c r="A1968" s="87">
        <v>940.0</v>
      </c>
      <c r="B1968" s="87" t="s">
        <v>634</v>
      </c>
      <c r="C1968" s="93">
        <v>1.0</v>
      </c>
      <c r="D1968" s="87" t="s">
        <v>39</v>
      </c>
      <c r="E1968" s="87" t="s">
        <v>1333</v>
      </c>
      <c r="F1968" s="87"/>
      <c r="G1968" s="94">
        <v>7.5971631E7</v>
      </c>
      <c r="H1968" s="87"/>
      <c r="I1968" s="87" t="s">
        <v>1349</v>
      </c>
    </row>
    <row r="1969">
      <c r="A1969" s="87">
        <v>941.0</v>
      </c>
      <c r="B1969" s="87" t="s">
        <v>634</v>
      </c>
      <c r="C1969" s="93">
        <v>1.0</v>
      </c>
      <c r="D1969" s="87" t="s">
        <v>39</v>
      </c>
      <c r="E1969" s="87" t="s">
        <v>1341</v>
      </c>
      <c r="F1969" s="87"/>
      <c r="G1969" s="94">
        <v>7.597164E7</v>
      </c>
      <c r="H1969" s="87"/>
      <c r="I1969" s="87" t="s">
        <v>1351</v>
      </c>
    </row>
    <row r="1970">
      <c r="A1970" s="87">
        <v>942.0</v>
      </c>
      <c r="B1970" s="87" t="s">
        <v>634</v>
      </c>
      <c r="C1970" s="93">
        <v>1.0</v>
      </c>
      <c r="D1970" s="87" t="s">
        <v>39</v>
      </c>
      <c r="E1970" s="87" t="s">
        <v>1333</v>
      </c>
      <c r="F1970" s="87"/>
      <c r="G1970" s="94">
        <v>7.5971941E7</v>
      </c>
      <c r="H1970" s="87"/>
      <c r="I1970" s="87" t="s">
        <v>1352</v>
      </c>
    </row>
    <row r="1971">
      <c r="A1971" s="87">
        <v>943.0</v>
      </c>
      <c r="B1971" s="87" t="s">
        <v>634</v>
      </c>
      <c r="C1971" s="93">
        <v>1.0</v>
      </c>
      <c r="D1971" s="87" t="s">
        <v>39</v>
      </c>
      <c r="E1971" s="87" t="s">
        <v>1341</v>
      </c>
      <c r="F1971" s="87"/>
      <c r="G1971" s="94">
        <v>7.5971968E7</v>
      </c>
      <c r="H1971" s="87"/>
      <c r="I1971" s="87" t="s">
        <v>1351</v>
      </c>
    </row>
    <row r="1972">
      <c r="A1972" s="87">
        <v>944.0</v>
      </c>
      <c r="B1972" s="87" t="s">
        <v>634</v>
      </c>
      <c r="C1972" s="93">
        <v>1.0</v>
      </c>
      <c r="D1972" s="87" t="s">
        <v>39</v>
      </c>
      <c r="E1972" s="87" t="s">
        <v>1341</v>
      </c>
      <c r="F1972" s="87"/>
      <c r="G1972" s="94">
        <v>7.597253E7</v>
      </c>
      <c r="H1972" s="87"/>
      <c r="I1972" s="87" t="s">
        <v>1351</v>
      </c>
    </row>
    <row r="1973">
      <c r="A1973" s="87">
        <v>1107.0</v>
      </c>
      <c r="B1973" s="87" t="s">
        <v>634</v>
      </c>
      <c r="C1973" s="93">
        <v>1.0</v>
      </c>
      <c r="D1973" s="87" t="s">
        <v>39</v>
      </c>
      <c r="E1973" s="87" t="s">
        <v>83</v>
      </c>
      <c r="F1973" s="87"/>
      <c r="G1973" s="94">
        <v>7.6818993E7</v>
      </c>
      <c r="H1973" s="87" t="s">
        <v>1353</v>
      </c>
      <c r="I1973" s="87" t="s">
        <v>1354</v>
      </c>
    </row>
    <row r="1974">
      <c r="A1974" s="87">
        <v>1108.0</v>
      </c>
      <c r="B1974" s="87" t="s">
        <v>634</v>
      </c>
      <c r="C1974" s="93">
        <v>1.0</v>
      </c>
      <c r="D1974" s="87" t="s">
        <v>39</v>
      </c>
      <c r="E1974" s="87" t="s">
        <v>258</v>
      </c>
      <c r="F1974" s="87"/>
      <c r="G1974" s="94">
        <v>7.6819132E7</v>
      </c>
      <c r="H1974" s="87" t="s">
        <v>1355</v>
      </c>
      <c r="I1974" s="87" t="s">
        <v>1356</v>
      </c>
    </row>
    <row r="1975">
      <c r="A1975" s="87">
        <v>1109.0</v>
      </c>
      <c r="B1975" s="87" t="s">
        <v>634</v>
      </c>
      <c r="C1975" s="93">
        <v>1.0</v>
      </c>
      <c r="D1975" s="87" t="s">
        <v>39</v>
      </c>
      <c r="E1975" s="87" t="s">
        <v>258</v>
      </c>
      <c r="F1975" s="87"/>
      <c r="G1975" s="94">
        <v>7.6819256E7</v>
      </c>
      <c r="H1975" s="87" t="s">
        <v>1357</v>
      </c>
      <c r="I1975" s="87" t="s">
        <v>1358</v>
      </c>
    </row>
    <row r="1976">
      <c r="A1976" s="87">
        <v>1118.0</v>
      </c>
      <c r="B1976" s="87" t="s">
        <v>634</v>
      </c>
      <c r="C1976" s="93">
        <v>1.0</v>
      </c>
      <c r="D1976" s="87" t="s">
        <v>39</v>
      </c>
      <c r="E1976" s="87" t="s">
        <v>1020</v>
      </c>
      <c r="F1976" s="87"/>
      <c r="G1976" s="94">
        <v>7.6823512E7</v>
      </c>
      <c r="H1976" s="87" t="s">
        <v>1359</v>
      </c>
      <c r="I1976" s="87" t="s">
        <v>1360</v>
      </c>
    </row>
    <row r="1977">
      <c r="A1977" s="87">
        <v>1119.0</v>
      </c>
      <c r="B1977" s="87" t="s">
        <v>634</v>
      </c>
      <c r="C1977" s="93">
        <v>1.0</v>
      </c>
      <c r="D1977" s="87" t="s">
        <v>39</v>
      </c>
      <c r="E1977" s="87" t="s">
        <v>83</v>
      </c>
      <c r="F1977" s="87"/>
      <c r="G1977" s="94">
        <v>7.6823539E7</v>
      </c>
      <c r="H1977" s="87" t="s">
        <v>1361</v>
      </c>
      <c r="I1977" s="87" t="s">
        <v>1362</v>
      </c>
    </row>
    <row r="1978">
      <c r="A1978" s="87">
        <v>1120.0</v>
      </c>
      <c r="B1978" s="87" t="s">
        <v>634</v>
      </c>
      <c r="C1978" s="93">
        <v>1.0</v>
      </c>
      <c r="D1978" s="87" t="s">
        <v>39</v>
      </c>
      <c r="E1978" s="87" t="s">
        <v>1020</v>
      </c>
      <c r="F1978" s="87"/>
      <c r="G1978" s="94">
        <v>7.6823547E7</v>
      </c>
      <c r="H1978" s="87" t="s">
        <v>1363</v>
      </c>
      <c r="I1978" s="87" t="s">
        <v>1364</v>
      </c>
    </row>
    <row r="1979">
      <c r="A1979" s="87">
        <v>1121.0</v>
      </c>
      <c r="B1979" s="87" t="s">
        <v>634</v>
      </c>
      <c r="C1979" s="93">
        <v>1.0</v>
      </c>
      <c r="D1979" s="87" t="s">
        <v>39</v>
      </c>
      <c r="E1979" s="87" t="s">
        <v>83</v>
      </c>
      <c r="F1979" s="87"/>
      <c r="G1979" s="94">
        <v>7.682366E7</v>
      </c>
      <c r="H1979" s="87" t="s">
        <v>1365</v>
      </c>
      <c r="I1979" s="87" t="s">
        <v>1366</v>
      </c>
    </row>
    <row r="1980">
      <c r="A1980" s="87">
        <v>1127.0</v>
      </c>
      <c r="B1980" s="87" t="s">
        <v>634</v>
      </c>
      <c r="C1980" s="93">
        <v>1.0</v>
      </c>
      <c r="D1980" s="87" t="s">
        <v>39</v>
      </c>
      <c r="E1980" s="87" t="s">
        <v>258</v>
      </c>
      <c r="F1980" s="87"/>
      <c r="G1980" s="94">
        <v>7.6828964E7</v>
      </c>
      <c r="H1980" s="87" t="s">
        <v>1367</v>
      </c>
      <c r="I1980" s="87" t="s">
        <v>1368</v>
      </c>
    </row>
    <row r="1981">
      <c r="A1981" s="87">
        <v>1197.0</v>
      </c>
      <c r="B1981" s="87" t="s">
        <v>634</v>
      </c>
      <c r="C1981" s="93">
        <v>1.0</v>
      </c>
      <c r="D1981" s="87" t="s">
        <v>39</v>
      </c>
      <c r="E1981" s="87" t="s">
        <v>664</v>
      </c>
      <c r="F1981" s="87"/>
      <c r="G1981" s="94">
        <v>7.6878945E7</v>
      </c>
      <c r="H1981" s="87"/>
      <c r="I1981" s="87" t="s">
        <v>1369</v>
      </c>
    </row>
    <row r="1982">
      <c r="A1982" s="87">
        <v>1199.0</v>
      </c>
      <c r="B1982" s="87" t="s">
        <v>634</v>
      </c>
      <c r="C1982" s="93">
        <v>1.0</v>
      </c>
      <c r="D1982" s="87" t="s">
        <v>39</v>
      </c>
      <c r="E1982" s="87" t="s">
        <v>1018</v>
      </c>
      <c r="F1982" s="87"/>
      <c r="G1982" s="94">
        <v>7.6878961E7</v>
      </c>
      <c r="H1982" s="87"/>
      <c r="I1982" s="87" t="s">
        <v>1370</v>
      </c>
    </row>
    <row r="1983">
      <c r="A1983" s="87">
        <v>1200.0</v>
      </c>
      <c r="B1983" s="87" t="s">
        <v>634</v>
      </c>
      <c r="C1983" s="93">
        <v>1.0</v>
      </c>
      <c r="D1983" s="87" t="s">
        <v>39</v>
      </c>
      <c r="E1983" s="87" t="s">
        <v>763</v>
      </c>
      <c r="F1983" s="87"/>
      <c r="G1983" s="94">
        <v>7.687897E7</v>
      </c>
      <c r="H1983" s="87"/>
      <c r="I1983" s="87" t="s">
        <v>1371</v>
      </c>
    </row>
    <row r="1984">
      <c r="A1984" s="87">
        <v>1201.0</v>
      </c>
      <c r="B1984" s="87" t="s">
        <v>634</v>
      </c>
      <c r="C1984" s="93">
        <v>1.0</v>
      </c>
      <c r="D1984" s="87" t="s">
        <v>39</v>
      </c>
      <c r="E1984" s="87" t="s">
        <v>1020</v>
      </c>
      <c r="F1984" s="87"/>
      <c r="G1984" s="94">
        <v>7.6878988E7</v>
      </c>
      <c r="H1984" s="87"/>
      <c r="I1984" s="87" t="s">
        <v>1372</v>
      </c>
    </row>
    <row r="1985">
      <c r="A1985" s="87">
        <v>1202.0</v>
      </c>
      <c r="B1985" s="87" t="s">
        <v>634</v>
      </c>
      <c r="C1985" s="93">
        <v>1.0</v>
      </c>
      <c r="D1985" s="87" t="s">
        <v>39</v>
      </c>
      <c r="E1985" s="87" t="s">
        <v>763</v>
      </c>
      <c r="F1985" s="87"/>
      <c r="G1985" s="94">
        <v>7.6878996E7</v>
      </c>
      <c r="H1985" s="87"/>
      <c r="I1985" s="87" t="s">
        <v>1373</v>
      </c>
    </row>
    <row r="1986">
      <c r="A1986" s="87">
        <v>1203.0</v>
      </c>
      <c r="B1986" s="87" t="s">
        <v>634</v>
      </c>
      <c r="C1986" s="93">
        <v>1.0</v>
      </c>
      <c r="D1986" s="87" t="s">
        <v>39</v>
      </c>
      <c r="E1986" s="87" t="s">
        <v>1098</v>
      </c>
      <c r="F1986" s="87"/>
      <c r="G1986" s="94">
        <v>7.6879003E7</v>
      </c>
      <c r="H1986" s="87"/>
      <c r="I1986" s="87" t="s">
        <v>1374</v>
      </c>
    </row>
    <row r="1987">
      <c r="A1987" s="87">
        <v>1204.0</v>
      </c>
      <c r="B1987" s="87" t="s">
        <v>634</v>
      </c>
      <c r="C1987" s="93">
        <v>1.0</v>
      </c>
      <c r="D1987" s="87" t="s">
        <v>39</v>
      </c>
      <c r="E1987" s="87" t="s">
        <v>664</v>
      </c>
      <c r="F1987" s="87"/>
      <c r="G1987" s="94">
        <v>7.6879011E7</v>
      </c>
      <c r="H1987" s="87"/>
      <c r="I1987" s="87" t="s">
        <v>1375</v>
      </c>
    </row>
    <row r="1988">
      <c r="A1988" s="87">
        <v>1205.0</v>
      </c>
      <c r="B1988" s="87" t="s">
        <v>634</v>
      </c>
      <c r="C1988" s="93">
        <v>1.0</v>
      </c>
      <c r="D1988" s="87" t="s">
        <v>39</v>
      </c>
      <c r="E1988" s="87" t="s">
        <v>664</v>
      </c>
      <c r="F1988" s="87"/>
      <c r="G1988" s="94">
        <v>7.687902E7</v>
      </c>
      <c r="H1988" s="87" t="s">
        <v>1376</v>
      </c>
      <c r="I1988" s="87" t="s">
        <v>1377</v>
      </c>
    </row>
    <row r="1989">
      <c r="A1989" s="87">
        <v>1206.0</v>
      </c>
      <c r="B1989" s="87" t="s">
        <v>634</v>
      </c>
      <c r="C1989" s="93">
        <v>1.0</v>
      </c>
      <c r="D1989" s="87" t="s">
        <v>39</v>
      </c>
      <c r="E1989" s="87" t="s">
        <v>253</v>
      </c>
      <c r="F1989" s="87"/>
      <c r="G1989" s="94">
        <v>8.3072039E7</v>
      </c>
      <c r="H1989" s="87" t="s">
        <v>1378</v>
      </c>
      <c r="I1989" s="87" t="s">
        <v>1014</v>
      </c>
    </row>
    <row r="1990">
      <c r="A1990" s="87">
        <v>1244.0</v>
      </c>
      <c r="B1990" s="87" t="s">
        <v>634</v>
      </c>
      <c r="C1990" s="93">
        <v>1.0</v>
      </c>
      <c r="D1990" s="87" t="s">
        <v>39</v>
      </c>
      <c r="E1990" s="87" t="s">
        <v>1096</v>
      </c>
      <c r="F1990" s="87"/>
      <c r="G1990" s="94">
        <v>1.01065132E8</v>
      </c>
      <c r="H1990" s="87" t="s">
        <v>1379</v>
      </c>
      <c r="I1990" s="87" t="s">
        <v>1380</v>
      </c>
    </row>
    <row r="1991">
      <c r="A1991" s="87">
        <v>1245.0</v>
      </c>
      <c r="B1991" s="87" t="s">
        <v>634</v>
      </c>
      <c r="C1991" s="93">
        <v>1.0</v>
      </c>
      <c r="D1991" s="87" t="s">
        <v>39</v>
      </c>
      <c r="E1991" s="87" t="s">
        <v>1096</v>
      </c>
      <c r="F1991" s="87"/>
      <c r="G1991" s="94">
        <v>1.01065175E8</v>
      </c>
      <c r="H1991" s="87" t="s">
        <v>1381</v>
      </c>
      <c r="I1991" s="87" t="s">
        <v>1382</v>
      </c>
    </row>
    <row r="1992">
      <c r="A1992" s="87">
        <v>1246.0</v>
      </c>
      <c r="B1992" s="87" t="s">
        <v>634</v>
      </c>
      <c r="C1992" s="93">
        <v>1.0</v>
      </c>
      <c r="D1992" s="87" t="s">
        <v>39</v>
      </c>
      <c r="E1992" s="87" t="s">
        <v>1020</v>
      </c>
      <c r="F1992" s="87"/>
      <c r="G1992" s="94">
        <v>1.0106514E8</v>
      </c>
      <c r="H1992" s="87" t="s">
        <v>1383</v>
      </c>
      <c r="I1992" s="87" t="s">
        <v>1384</v>
      </c>
    </row>
    <row r="1993">
      <c r="A1993" s="87">
        <v>184.0</v>
      </c>
      <c r="B1993" s="87" t="s">
        <v>280</v>
      </c>
      <c r="C1993" s="93">
        <v>6.0</v>
      </c>
      <c r="D1993" s="87" t="s">
        <v>275</v>
      </c>
      <c r="E1993" s="87" t="s">
        <v>18</v>
      </c>
      <c r="F1993" s="87"/>
      <c r="G1993" s="94"/>
      <c r="H1993" s="87"/>
      <c r="I1993" s="87"/>
    </row>
    <row r="1994">
      <c r="A1994" s="87">
        <v>267.0</v>
      </c>
      <c r="B1994" s="87" t="s">
        <v>118</v>
      </c>
      <c r="C1994" s="93">
        <v>1.0</v>
      </c>
      <c r="D1994" s="87" t="s">
        <v>39</v>
      </c>
      <c r="E1994" s="87" t="s">
        <v>253</v>
      </c>
      <c r="F1994" s="87"/>
      <c r="G1994" s="94">
        <v>1.39172E7</v>
      </c>
      <c r="H1994" s="87"/>
      <c r="I1994" s="87" t="s">
        <v>1012</v>
      </c>
    </row>
    <row r="1995">
      <c r="A1995" s="87">
        <v>268.0</v>
      </c>
      <c r="B1995" s="87" t="s">
        <v>118</v>
      </c>
      <c r="C1995" s="93">
        <v>1.0</v>
      </c>
      <c r="D1995" s="87" t="s">
        <v>39</v>
      </c>
      <c r="E1995" s="87" t="s">
        <v>253</v>
      </c>
      <c r="F1995" s="87"/>
      <c r="G1995" s="94">
        <v>1.3917269E7</v>
      </c>
      <c r="H1995" s="87"/>
      <c r="I1995" s="87" t="s">
        <v>1012</v>
      </c>
    </row>
    <row r="1996">
      <c r="A1996" s="87">
        <v>269.0</v>
      </c>
      <c r="B1996" s="87" t="s">
        <v>118</v>
      </c>
      <c r="C1996" s="93">
        <v>1.0</v>
      </c>
      <c r="D1996" s="87" t="s">
        <v>39</v>
      </c>
      <c r="E1996" s="87" t="s">
        <v>253</v>
      </c>
      <c r="F1996" s="87"/>
      <c r="G1996" s="94">
        <v>1.4051656E7</v>
      </c>
      <c r="H1996" s="87"/>
      <c r="I1996" s="87" t="s">
        <v>1012</v>
      </c>
    </row>
    <row r="1997">
      <c r="A1997" s="87">
        <v>487.0</v>
      </c>
      <c r="B1997" s="87" t="s">
        <v>118</v>
      </c>
      <c r="C1997" s="93">
        <v>1.0</v>
      </c>
      <c r="D1997" s="87" t="s">
        <v>39</v>
      </c>
      <c r="E1997" s="87" t="s">
        <v>253</v>
      </c>
      <c r="F1997" s="87"/>
      <c r="G1997" s="94">
        <v>1.3717367E7</v>
      </c>
      <c r="H1997" s="87"/>
      <c r="I1997" s="87" t="s">
        <v>1012</v>
      </c>
    </row>
    <row r="1998">
      <c r="A1998" s="87">
        <v>1102.0</v>
      </c>
      <c r="B1998" s="87" t="s">
        <v>118</v>
      </c>
      <c r="C1998" s="93">
        <v>1.0</v>
      </c>
      <c r="D1998" s="87" t="s">
        <v>39</v>
      </c>
      <c r="E1998" s="87" t="s">
        <v>83</v>
      </c>
      <c r="F1998" s="87"/>
      <c r="G1998" s="94">
        <v>7.6809196E7</v>
      </c>
      <c r="H1998" s="87"/>
      <c r="I1998" s="87" t="s">
        <v>1385</v>
      </c>
    </row>
    <row r="1999">
      <c r="A1999" s="87">
        <v>1277.0</v>
      </c>
      <c r="B1999" s="87" t="s">
        <v>118</v>
      </c>
      <c r="C1999" s="93">
        <v>1.0</v>
      </c>
      <c r="D1999" s="87" t="s">
        <v>39</v>
      </c>
      <c r="E1999" s="87" t="s">
        <v>83</v>
      </c>
      <c r="F1999" s="87"/>
      <c r="G1999" s="94">
        <v>7.6904288E7</v>
      </c>
      <c r="H1999" s="87"/>
      <c r="I1999" s="87" t="s">
        <v>1386</v>
      </c>
    </row>
    <row r="2000">
      <c r="A2000" s="87">
        <v>270.0</v>
      </c>
      <c r="B2000" s="87" t="s">
        <v>120</v>
      </c>
      <c r="C2000" s="93">
        <v>1.0</v>
      </c>
      <c r="D2000" s="87" t="s">
        <v>39</v>
      </c>
      <c r="E2000" s="87" t="s">
        <v>253</v>
      </c>
      <c r="F2000" s="87"/>
      <c r="G2000" s="94">
        <v>1.3956426E7</v>
      </c>
      <c r="H2000" s="87"/>
      <c r="I2000" s="87" t="s">
        <v>1012</v>
      </c>
    </row>
    <row r="2001">
      <c r="A2001" s="87">
        <v>271.0</v>
      </c>
      <c r="B2001" s="87" t="s">
        <v>120</v>
      </c>
      <c r="C2001" s="93">
        <v>1.0</v>
      </c>
      <c r="D2001" s="87" t="s">
        <v>39</v>
      </c>
      <c r="E2001" s="87" t="s">
        <v>253</v>
      </c>
      <c r="F2001" s="87"/>
      <c r="G2001" s="94">
        <v>1.3956531E7</v>
      </c>
      <c r="H2001" s="87"/>
      <c r="I2001" s="87" t="s">
        <v>1012</v>
      </c>
    </row>
    <row r="2002">
      <c r="A2002" s="87">
        <v>272.0</v>
      </c>
      <c r="B2002" s="87" t="s">
        <v>120</v>
      </c>
      <c r="C2002" s="93">
        <v>1.0</v>
      </c>
      <c r="D2002" s="87" t="s">
        <v>39</v>
      </c>
      <c r="E2002" s="87" t="s">
        <v>253</v>
      </c>
      <c r="F2002" s="87"/>
      <c r="G2002" s="94">
        <v>1.3956582E7</v>
      </c>
      <c r="H2002" s="87"/>
      <c r="I2002" s="87" t="s">
        <v>1012</v>
      </c>
    </row>
    <row r="2003">
      <c r="A2003" s="87">
        <v>273.0</v>
      </c>
      <c r="B2003" s="87" t="s">
        <v>120</v>
      </c>
      <c r="C2003" s="93">
        <v>1.0</v>
      </c>
      <c r="D2003" s="87" t="s">
        <v>39</v>
      </c>
      <c r="E2003" s="87" t="s">
        <v>253</v>
      </c>
      <c r="F2003" s="87"/>
      <c r="G2003" s="94">
        <v>1.3956612E7</v>
      </c>
      <c r="H2003" s="87"/>
      <c r="I2003" s="87" t="s">
        <v>1012</v>
      </c>
    </row>
    <row r="2004">
      <c r="A2004" s="87">
        <v>274.0</v>
      </c>
      <c r="B2004" s="87" t="s">
        <v>120</v>
      </c>
      <c r="C2004" s="93">
        <v>1.0</v>
      </c>
      <c r="D2004" s="87" t="s">
        <v>39</v>
      </c>
      <c r="E2004" s="87" t="s">
        <v>253</v>
      </c>
      <c r="F2004" s="87"/>
      <c r="G2004" s="94">
        <v>1.395662E7</v>
      </c>
      <c r="H2004" s="87"/>
      <c r="I2004" s="87" t="s">
        <v>1012</v>
      </c>
    </row>
    <row r="2005">
      <c r="A2005" s="87">
        <v>275.0</v>
      </c>
      <c r="B2005" s="87" t="s">
        <v>120</v>
      </c>
      <c r="C2005" s="93">
        <v>1.0</v>
      </c>
      <c r="D2005" s="87" t="s">
        <v>39</v>
      </c>
      <c r="E2005" s="87" t="s">
        <v>253</v>
      </c>
      <c r="F2005" s="87"/>
      <c r="G2005" s="94">
        <v>1.3956639E7</v>
      </c>
      <c r="H2005" s="87"/>
      <c r="I2005" s="87" t="s">
        <v>1012</v>
      </c>
    </row>
    <row r="2006">
      <c r="A2006" s="87">
        <v>276.0</v>
      </c>
      <c r="B2006" s="87" t="s">
        <v>120</v>
      </c>
      <c r="C2006" s="93">
        <v>1.0</v>
      </c>
      <c r="D2006" s="87" t="s">
        <v>39</v>
      </c>
      <c r="E2006" s="87" t="s">
        <v>253</v>
      </c>
      <c r="F2006" s="87"/>
      <c r="G2006" s="94">
        <v>1.3956663E7</v>
      </c>
      <c r="H2006" s="87"/>
      <c r="I2006" s="87" t="s">
        <v>1012</v>
      </c>
    </row>
    <row r="2007">
      <c r="A2007" s="87">
        <v>277.0</v>
      </c>
      <c r="B2007" s="87" t="s">
        <v>120</v>
      </c>
      <c r="C2007" s="93">
        <v>1.0</v>
      </c>
      <c r="D2007" s="87" t="s">
        <v>39</v>
      </c>
      <c r="E2007" s="87" t="s">
        <v>83</v>
      </c>
      <c r="F2007" s="87"/>
      <c r="G2007" s="94">
        <v>4.009658E7</v>
      </c>
      <c r="H2007" s="87"/>
      <c r="I2007" s="87" t="s">
        <v>1048</v>
      </c>
    </row>
    <row r="2008">
      <c r="A2008" s="87">
        <v>278.0</v>
      </c>
      <c r="B2008" s="87" t="s">
        <v>120</v>
      </c>
      <c r="C2008" s="93">
        <v>1.0</v>
      </c>
      <c r="D2008" s="87" t="s">
        <v>39</v>
      </c>
      <c r="E2008" s="87" t="s">
        <v>83</v>
      </c>
      <c r="F2008" s="87"/>
      <c r="G2008" s="94">
        <v>4.0096599E7</v>
      </c>
      <c r="H2008" s="87"/>
      <c r="I2008" s="87" t="s">
        <v>1048</v>
      </c>
    </row>
    <row r="2009">
      <c r="A2009" s="87">
        <v>279.0</v>
      </c>
      <c r="B2009" s="87" t="s">
        <v>120</v>
      </c>
      <c r="C2009" s="93">
        <v>1.0</v>
      </c>
      <c r="D2009" s="87" t="s">
        <v>39</v>
      </c>
      <c r="E2009" s="87" t="s">
        <v>83</v>
      </c>
      <c r="F2009" s="87"/>
      <c r="G2009" s="94">
        <v>4.0096602E7</v>
      </c>
      <c r="H2009" s="87"/>
      <c r="I2009" s="87" t="s">
        <v>1048</v>
      </c>
    </row>
    <row r="2010">
      <c r="A2010" s="87">
        <v>280.0</v>
      </c>
      <c r="B2010" s="87" t="s">
        <v>120</v>
      </c>
      <c r="C2010" s="93">
        <v>1.0</v>
      </c>
      <c r="D2010" s="87" t="s">
        <v>39</v>
      </c>
      <c r="E2010" s="87" t="s">
        <v>253</v>
      </c>
      <c r="F2010" s="87"/>
      <c r="G2010" s="94">
        <v>4.009661E7</v>
      </c>
      <c r="H2010" s="87"/>
      <c r="I2010" s="87" t="s">
        <v>1012</v>
      </c>
    </row>
    <row r="2011">
      <c r="A2011" s="87">
        <v>281.0</v>
      </c>
      <c r="B2011" s="87" t="s">
        <v>120</v>
      </c>
      <c r="C2011" s="93">
        <v>1.0</v>
      </c>
      <c r="D2011" s="87" t="s">
        <v>39</v>
      </c>
      <c r="E2011" s="87" t="s">
        <v>253</v>
      </c>
      <c r="F2011" s="87"/>
      <c r="G2011" s="94">
        <v>4.0096629E7</v>
      </c>
      <c r="H2011" s="87"/>
      <c r="I2011" s="87" t="s">
        <v>1012</v>
      </c>
    </row>
    <row r="2012">
      <c r="A2012" s="87">
        <v>536.0</v>
      </c>
      <c r="B2012" s="87" t="s">
        <v>120</v>
      </c>
      <c r="C2012" s="93">
        <v>1.0</v>
      </c>
      <c r="D2012" s="87" t="s">
        <v>39</v>
      </c>
      <c r="E2012" s="87" t="s">
        <v>253</v>
      </c>
      <c r="F2012" s="87"/>
      <c r="G2012" s="94">
        <v>1.3956493E7</v>
      </c>
      <c r="H2012" s="87" t="s">
        <v>1387</v>
      </c>
      <c r="I2012" s="87" t="s">
        <v>983</v>
      </c>
    </row>
    <row r="2013">
      <c r="A2013" s="87">
        <v>537.0</v>
      </c>
      <c r="B2013" s="87" t="s">
        <v>120</v>
      </c>
      <c r="C2013" s="93">
        <v>1.0</v>
      </c>
      <c r="D2013" s="87" t="s">
        <v>39</v>
      </c>
      <c r="E2013" s="87" t="s">
        <v>253</v>
      </c>
      <c r="F2013" s="87"/>
      <c r="G2013" s="94">
        <v>1.3956507E7</v>
      </c>
      <c r="H2013" s="87" t="s">
        <v>1387</v>
      </c>
      <c r="I2013" s="87" t="s">
        <v>983</v>
      </c>
    </row>
    <row r="2014">
      <c r="A2014" s="87">
        <v>538.0</v>
      </c>
      <c r="B2014" s="87" t="s">
        <v>120</v>
      </c>
      <c r="C2014" s="93">
        <v>1.0</v>
      </c>
      <c r="D2014" s="87" t="s">
        <v>39</v>
      </c>
      <c r="E2014" s="87" t="s">
        <v>253</v>
      </c>
      <c r="F2014" s="87"/>
      <c r="G2014" s="94">
        <v>1.3956515E7</v>
      </c>
      <c r="H2014" s="87" t="s">
        <v>1387</v>
      </c>
      <c r="I2014" s="87" t="s">
        <v>983</v>
      </c>
    </row>
    <row r="2015">
      <c r="A2015" s="87">
        <v>539.0</v>
      </c>
      <c r="B2015" s="87" t="s">
        <v>120</v>
      </c>
      <c r="C2015" s="93">
        <v>1.0</v>
      </c>
      <c r="D2015" s="87" t="s">
        <v>39</v>
      </c>
      <c r="E2015" s="87" t="s">
        <v>253</v>
      </c>
      <c r="F2015" s="87"/>
      <c r="G2015" s="94">
        <v>1.3956523E7</v>
      </c>
      <c r="H2015" s="87" t="s">
        <v>1387</v>
      </c>
      <c r="I2015" s="87" t="s">
        <v>1014</v>
      </c>
    </row>
    <row r="2016">
      <c r="A2016" s="87">
        <v>540.0</v>
      </c>
      <c r="B2016" s="87" t="s">
        <v>120</v>
      </c>
      <c r="C2016" s="93">
        <v>1.0</v>
      </c>
      <c r="D2016" s="87" t="s">
        <v>39</v>
      </c>
      <c r="E2016" s="87" t="s">
        <v>253</v>
      </c>
      <c r="F2016" s="87"/>
      <c r="G2016" s="94">
        <v>1.395654E7</v>
      </c>
      <c r="H2016" s="87" t="s">
        <v>1387</v>
      </c>
      <c r="I2016" s="87" t="s">
        <v>1078</v>
      </c>
    </row>
    <row r="2017">
      <c r="A2017" s="87">
        <v>541.0</v>
      </c>
      <c r="B2017" s="87" t="s">
        <v>120</v>
      </c>
      <c r="C2017" s="93">
        <v>1.0</v>
      </c>
      <c r="D2017" s="87" t="s">
        <v>39</v>
      </c>
      <c r="E2017" s="87" t="s">
        <v>253</v>
      </c>
      <c r="F2017" s="87"/>
      <c r="G2017" s="94">
        <v>1.3956558E7</v>
      </c>
      <c r="H2017" s="87"/>
      <c r="I2017" s="87" t="s">
        <v>1078</v>
      </c>
    </row>
    <row r="2018">
      <c r="A2018" s="87">
        <v>542.0</v>
      </c>
      <c r="B2018" s="87" t="s">
        <v>120</v>
      </c>
      <c r="C2018" s="93">
        <v>1.0</v>
      </c>
      <c r="D2018" s="87" t="s">
        <v>39</v>
      </c>
      <c r="E2018" s="87" t="s">
        <v>253</v>
      </c>
      <c r="F2018" s="87"/>
      <c r="G2018" s="94">
        <v>1.3956566E7</v>
      </c>
      <c r="H2018" s="87"/>
      <c r="I2018" s="87" t="s">
        <v>1079</v>
      </c>
    </row>
    <row r="2019">
      <c r="A2019" s="87">
        <v>601.0</v>
      </c>
      <c r="B2019" s="87" t="s">
        <v>120</v>
      </c>
      <c r="C2019" s="93">
        <v>1.0</v>
      </c>
      <c r="D2019" s="87" t="s">
        <v>39</v>
      </c>
      <c r="E2019" s="87" t="s">
        <v>253</v>
      </c>
      <c r="F2019" s="87"/>
      <c r="G2019" s="94">
        <v>4.0096378E7</v>
      </c>
      <c r="H2019" s="87"/>
      <c r="I2019" s="87" t="s">
        <v>1012</v>
      </c>
    </row>
    <row r="2020">
      <c r="A2020" s="87">
        <v>602.0</v>
      </c>
      <c r="B2020" s="87" t="s">
        <v>120</v>
      </c>
      <c r="C2020" s="93">
        <v>1.0</v>
      </c>
      <c r="D2020" s="87" t="s">
        <v>39</v>
      </c>
      <c r="E2020" s="87" t="s">
        <v>253</v>
      </c>
      <c r="F2020" s="87"/>
      <c r="G2020" s="94">
        <v>4.0096386E7</v>
      </c>
      <c r="H2020" s="87"/>
      <c r="I2020" s="87" t="s">
        <v>1012</v>
      </c>
    </row>
    <row r="2021">
      <c r="A2021" s="87">
        <v>282.0</v>
      </c>
      <c r="B2021" s="87" t="s">
        <v>122</v>
      </c>
      <c r="C2021" s="93">
        <v>1.0</v>
      </c>
      <c r="D2021" s="87"/>
      <c r="E2021" s="87" t="s">
        <v>83</v>
      </c>
      <c r="F2021" s="87"/>
      <c r="G2021" s="94">
        <v>4.026601E7</v>
      </c>
      <c r="H2021" s="87"/>
      <c r="I2021" s="87"/>
    </row>
    <row r="2022">
      <c r="A2022" s="87">
        <v>283.0</v>
      </c>
      <c r="B2022" s="87" t="s">
        <v>1388</v>
      </c>
      <c r="C2022" s="93">
        <v>1.0</v>
      </c>
      <c r="D2022" s="87"/>
      <c r="E2022" s="87" t="s">
        <v>83</v>
      </c>
      <c r="F2022" s="87"/>
      <c r="G2022" s="94">
        <v>7.668273E7</v>
      </c>
      <c r="H2022" s="87"/>
      <c r="I2022" s="87"/>
    </row>
    <row r="2023">
      <c r="A2023" s="87">
        <v>676.0</v>
      </c>
      <c r="B2023" s="87" t="s">
        <v>1389</v>
      </c>
      <c r="C2023" s="93">
        <v>1.0</v>
      </c>
      <c r="D2023" s="87" t="s">
        <v>39</v>
      </c>
      <c r="E2023" s="87" t="s">
        <v>253</v>
      </c>
      <c r="F2023" s="87"/>
      <c r="G2023" s="94">
        <v>1.3850148E7</v>
      </c>
      <c r="H2023" s="87"/>
      <c r="I2023" s="87" t="s">
        <v>983</v>
      </c>
    </row>
    <row r="2024">
      <c r="A2024" s="87">
        <v>851.0</v>
      </c>
      <c r="B2024" s="87" t="s">
        <v>1390</v>
      </c>
      <c r="C2024" s="93">
        <v>2.0</v>
      </c>
      <c r="D2024" s="87" t="s">
        <v>39</v>
      </c>
      <c r="E2024" s="87" t="s">
        <v>1072</v>
      </c>
      <c r="F2024" s="87"/>
      <c r="G2024" s="94">
        <v>46128.0</v>
      </c>
      <c r="H2024" s="87"/>
      <c r="I2024" s="87"/>
    </row>
    <row r="2025">
      <c r="A2025" s="87">
        <v>860.0</v>
      </c>
      <c r="B2025" s="87" t="s">
        <v>1391</v>
      </c>
      <c r="C2025" s="93">
        <v>1.0</v>
      </c>
      <c r="D2025" s="87" t="s">
        <v>275</v>
      </c>
      <c r="E2025" s="87" t="s">
        <v>1</v>
      </c>
      <c r="F2025" s="87"/>
      <c r="G2025" s="94">
        <v>46188.0</v>
      </c>
      <c r="H2025" s="87"/>
      <c r="I2025" s="87"/>
    </row>
    <row r="2026">
      <c r="A2026" s="87">
        <v>661.0</v>
      </c>
      <c r="B2026" s="87" t="s">
        <v>123</v>
      </c>
      <c r="C2026" s="93">
        <v>1.0</v>
      </c>
      <c r="D2026" s="87" t="s">
        <v>275</v>
      </c>
      <c r="E2026" s="87" t="s">
        <v>19</v>
      </c>
      <c r="F2026" s="87"/>
      <c r="G2026" s="94"/>
      <c r="H2026" s="87"/>
      <c r="I2026" s="87"/>
    </row>
    <row r="2027">
      <c r="A2027" s="87">
        <v>1586.0</v>
      </c>
      <c r="B2027" s="87" t="s">
        <v>1392</v>
      </c>
      <c r="C2027" s="93">
        <v>1.0</v>
      </c>
      <c r="D2027" s="87" t="s">
        <v>39</v>
      </c>
      <c r="E2027" s="87" t="s">
        <v>40</v>
      </c>
      <c r="F2027" s="87"/>
      <c r="G2027" s="94">
        <v>7.6917185E7</v>
      </c>
      <c r="H2027" s="87"/>
      <c r="I2027" s="87"/>
    </row>
    <row r="2028">
      <c r="A2028" s="87">
        <v>1587.0</v>
      </c>
      <c r="B2028" s="87" t="s">
        <v>1392</v>
      </c>
      <c r="C2028" s="93">
        <v>1.0</v>
      </c>
      <c r="D2028" s="87" t="s">
        <v>39</v>
      </c>
      <c r="E2028" s="87" t="s">
        <v>40</v>
      </c>
      <c r="F2028" s="87"/>
      <c r="G2028" s="94">
        <v>7.6917193E7</v>
      </c>
      <c r="H2028" s="87"/>
      <c r="I2028" s="87"/>
    </row>
    <row r="2029">
      <c r="A2029" s="87">
        <v>639.0</v>
      </c>
      <c r="B2029" s="87" t="s">
        <v>710</v>
      </c>
      <c r="C2029" s="93">
        <v>2.0</v>
      </c>
      <c r="D2029" s="87" t="s">
        <v>39</v>
      </c>
      <c r="E2029" s="87" t="s">
        <v>1032</v>
      </c>
      <c r="F2029" s="87"/>
      <c r="G2029" s="94"/>
      <c r="H2029" s="87"/>
      <c r="I2029" s="87" t="s">
        <v>1393</v>
      </c>
    </row>
    <row r="2030">
      <c r="A2030" s="87">
        <v>640.0</v>
      </c>
      <c r="B2030" s="87" t="s">
        <v>710</v>
      </c>
      <c r="C2030" s="93">
        <v>2.0</v>
      </c>
      <c r="D2030" s="87" t="s">
        <v>39</v>
      </c>
      <c r="E2030" s="87" t="s">
        <v>1032</v>
      </c>
      <c r="F2030" s="87"/>
      <c r="G2030" s="94"/>
      <c r="H2030" s="87"/>
      <c r="I2030" s="87" t="s">
        <v>711</v>
      </c>
    </row>
    <row r="2031">
      <c r="A2031" s="87">
        <v>592.0</v>
      </c>
      <c r="B2031" s="87" t="s">
        <v>361</v>
      </c>
      <c r="C2031" s="93">
        <v>1.0</v>
      </c>
      <c r="D2031" s="87" t="s">
        <v>39</v>
      </c>
      <c r="E2031" s="87" t="s">
        <v>83</v>
      </c>
      <c r="F2031" s="87"/>
      <c r="G2031" s="94"/>
      <c r="H2031" s="87"/>
      <c r="I2031" s="87" t="s">
        <v>362</v>
      </c>
    </row>
    <row r="2032">
      <c r="A2032" s="87">
        <v>284.0</v>
      </c>
      <c r="B2032" s="87" t="s">
        <v>50</v>
      </c>
      <c r="C2032" s="93">
        <v>1.0</v>
      </c>
      <c r="D2032" s="87" t="s">
        <v>39</v>
      </c>
      <c r="E2032" s="87" t="s">
        <v>53</v>
      </c>
      <c r="F2032" s="87"/>
      <c r="G2032" s="94">
        <v>1.3852353E7</v>
      </c>
      <c r="H2032" s="87"/>
      <c r="I2032" s="87" t="s">
        <v>1394</v>
      </c>
    </row>
    <row r="2033">
      <c r="A2033" s="87">
        <v>285.0</v>
      </c>
      <c r="B2033" s="87" t="s">
        <v>50</v>
      </c>
      <c r="C2033" s="93">
        <v>1.0</v>
      </c>
      <c r="D2033" s="87" t="s">
        <v>39</v>
      </c>
      <c r="E2033" s="87" t="s">
        <v>53</v>
      </c>
      <c r="F2033" s="87"/>
      <c r="G2033" s="94">
        <v>1.3888838E7</v>
      </c>
      <c r="H2033" s="87"/>
      <c r="I2033" s="87" t="s">
        <v>1394</v>
      </c>
    </row>
    <row r="2034">
      <c r="A2034" s="87">
        <v>286.0</v>
      </c>
      <c r="B2034" s="87" t="s">
        <v>50</v>
      </c>
      <c r="C2034" s="93">
        <v>1.0</v>
      </c>
      <c r="D2034" s="87"/>
      <c r="E2034" s="87" t="s">
        <v>83</v>
      </c>
      <c r="F2034" s="87"/>
      <c r="G2034" s="94">
        <v>1.3888846E7</v>
      </c>
      <c r="H2034" s="87"/>
      <c r="I2034" s="87"/>
    </row>
    <row r="2035">
      <c r="A2035" s="87">
        <v>287.0</v>
      </c>
      <c r="B2035" s="87" t="s">
        <v>50</v>
      </c>
      <c r="C2035" s="93">
        <v>1.0</v>
      </c>
      <c r="D2035" s="87" t="s">
        <v>39</v>
      </c>
      <c r="E2035" s="87" t="s">
        <v>53</v>
      </c>
      <c r="F2035" s="87"/>
      <c r="G2035" s="94">
        <v>1.419927E7</v>
      </c>
      <c r="H2035" s="87"/>
      <c r="I2035" s="87" t="s">
        <v>1394</v>
      </c>
    </row>
    <row r="2036">
      <c r="A2036" s="87">
        <v>288.0</v>
      </c>
      <c r="B2036" s="87" t="s">
        <v>50</v>
      </c>
      <c r="C2036" s="93">
        <v>1.0</v>
      </c>
      <c r="D2036" s="87" t="s">
        <v>275</v>
      </c>
      <c r="E2036" s="87" t="s">
        <v>83</v>
      </c>
      <c r="F2036" s="87"/>
      <c r="G2036" s="94">
        <v>7.6730581E7</v>
      </c>
      <c r="H2036" s="87"/>
      <c r="I2036" s="87" t="s">
        <v>1395</v>
      </c>
    </row>
    <row r="2037">
      <c r="A2037" s="87">
        <v>289.0</v>
      </c>
      <c r="B2037" s="87" t="s">
        <v>50</v>
      </c>
      <c r="C2037" s="93">
        <v>1.0</v>
      </c>
      <c r="D2037" s="87" t="s">
        <v>39</v>
      </c>
      <c r="E2037" s="87" t="s">
        <v>83</v>
      </c>
      <c r="F2037" s="87"/>
      <c r="G2037" s="94">
        <v>7.673059E7</v>
      </c>
      <c r="H2037" s="87"/>
      <c r="I2037" s="87" t="s">
        <v>1048</v>
      </c>
    </row>
    <row r="2038">
      <c r="A2038" s="87">
        <v>290.0</v>
      </c>
      <c r="B2038" s="87" t="s">
        <v>50</v>
      </c>
      <c r="C2038" s="93">
        <v>1.0</v>
      </c>
      <c r="D2038" s="87" t="s">
        <v>39</v>
      </c>
      <c r="E2038" s="87" t="s">
        <v>83</v>
      </c>
      <c r="F2038" s="87"/>
      <c r="G2038" s="94">
        <v>7.6730603E7</v>
      </c>
      <c r="H2038" s="87"/>
      <c r="I2038" s="87" t="s">
        <v>1048</v>
      </c>
    </row>
    <row r="2039">
      <c r="A2039" s="87">
        <v>291.0</v>
      </c>
      <c r="B2039" s="87" t="s">
        <v>50</v>
      </c>
      <c r="C2039" s="93">
        <v>1.0</v>
      </c>
      <c r="D2039" s="87" t="s">
        <v>39</v>
      </c>
      <c r="E2039" s="87" t="s">
        <v>83</v>
      </c>
      <c r="F2039" s="87"/>
      <c r="G2039" s="94">
        <v>7.6730611E7</v>
      </c>
      <c r="H2039" s="87"/>
      <c r="I2039" s="87" t="s">
        <v>1048</v>
      </c>
    </row>
    <row r="2040">
      <c r="A2040" s="87">
        <v>292.0</v>
      </c>
      <c r="B2040" s="87" t="s">
        <v>50</v>
      </c>
      <c r="C2040" s="93">
        <v>1.0</v>
      </c>
      <c r="D2040" s="87" t="s">
        <v>39</v>
      </c>
      <c r="E2040" s="87" t="s">
        <v>83</v>
      </c>
      <c r="F2040" s="87"/>
      <c r="G2040" s="94">
        <v>7.673062E7</v>
      </c>
      <c r="H2040" s="87"/>
      <c r="I2040" s="87" t="s">
        <v>1048</v>
      </c>
    </row>
    <row r="2041">
      <c r="A2041" s="87">
        <v>293.0</v>
      </c>
      <c r="B2041" s="87" t="s">
        <v>50</v>
      </c>
      <c r="C2041" s="93">
        <v>1.0</v>
      </c>
      <c r="D2041" s="87" t="s">
        <v>39</v>
      </c>
      <c r="E2041" s="87" t="s">
        <v>83</v>
      </c>
      <c r="F2041" s="87"/>
      <c r="G2041" s="94">
        <v>7.6730638E7</v>
      </c>
      <c r="H2041" s="87"/>
      <c r="I2041" s="87" t="s">
        <v>1048</v>
      </c>
    </row>
    <row r="2042">
      <c r="A2042" s="87">
        <v>294.0</v>
      </c>
      <c r="B2042" s="87" t="s">
        <v>50</v>
      </c>
      <c r="C2042" s="93">
        <v>1.0</v>
      </c>
      <c r="D2042" s="87"/>
      <c r="E2042" s="87" t="s">
        <v>83</v>
      </c>
      <c r="F2042" s="87"/>
      <c r="G2042" s="94">
        <v>7.6750566E7</v>
      </c>
      <c r="H2042" s="87"/>
      <c r="I2042" s="87"/>
    </row>
    <row r="2043">
      <c r="A2043" s="87">
        <v>295.0</v>
      </c>
      <c r="B2043" s="87" t="s">
        <v>50</v>
      </c>
      <c r="C2043" s="93">
        <v>1.0</v>
      </c>
      <c r="D2043" s="87"/>
      <c r="E2043" s="87" t="s">
        <v>83</v>
      </c>
      <c r="F2043" s="87"/>
      <c r="G2043" s="94">
        <v>7.6750574E7</v>
      </c>
      <c r="H2043" s="87"/>
      <c r="I2043" s="87"/>
    </row>
    <row r="2044">
      <c r="A2044" s="87">
        <v>296.0</v>
      </c>
      <c r="B2044" s="87" t="s">
        <v>50</v>
      </c>
      <c r="C2044" s="93">
        <v>1.0</v>
      </c>
      <c r="D2044" s="87"/>
      <c r="E2044" s="87" t="s">
        <v>83</v>
      </c>
      <c r="F2044" s="87"/>
      <c r="G2044" s="94">
        <v>7.675126E7</v>
      </c>
      <c r="H2044" s="87"/>
      <c r="I2044" s="87"/>
    </row>
    <row r="2045">
      <c r="A2045" s="87">
        <v>297.0</v>
      </c>
      <c r="B2045" s="87" t="s">
        <v>50</v>
      </c>
      <c r="C2045" s="93">
        <v>1.0</v>
      </c>
      <c r="D2045" s="87"/>
      <c r="E2045" s="87" t="s">
        <v>83</v>
      </c>
      <c r="F2045" s="87"/>
      <c r="G2045" s="94">
        <v>7.6751287E7</v>
      </c>
      <c r="H2045" s="87"/>
      <c r="I2045" s="87"/>
    </row>
    <row r="2046">
      <c r="A2046" s="87">
        <v>1038.0</v>
      </c>
      <c r="B2046" s="87" t="s">
        <v>50</v>
      </c>
      <c r="C2046" s="93">
        <v>1.0</v>
      </c>
      <c r="D2046" s="87" t="s">
        <v>39</v>
      </c>
      <c r="E2046" s="87" t="s">
        <v>245</v>
      </c>
      <c r="F2046" s="87"/>
      <c r="G2046" s="94">
        <v>7.6750515E7</v>
      </c>
      <c r="H2046" s="87"/>
      <c r="I2046" s="87" t="s">
        <v>58</v>
      </c>
    </row>
    <row r="2047">
      <c r="A2047" s="87">
        <v>800.0</v>
      </c>
      <c r="B2047" s="87" t="s">
        <v>125</v>
      </c>
      <c r="C2047" s="93">
        <v>8.0</v>
      </c>
      <c r="D2047" s="87" t="s">
        <v>39</v>
      </c>
      <c r="E2047" s="87" t="s">
        <v>40</v>
      </c>
      <c r="F2047" s="87"/>
      <c r="G2047" s="94">
        <v>46036.0</v>
      </c>
      <c r="H2047" s="87"/>
      <c r="I2047" s="87"/>
    </row>
    <row r="2048">
      <c r="A2048" s="87">
        <v>722.0</v>
      </c>
      <c r="B2048" s="87" t="s">
        <v>1396</v>
      </c>
      <c r="C2048" s="93">
        <v>1.0</v>
      </c>
      <c r="D2048" s="87" t="s">
        <v>39</v>
      </c>
      <c r="E2048" s="87" t="s">
        <v>1020</v>
      </c>
      <c r="F2048" s="87"/>
      <c r="G2048" s="94">
        <v>4.009076E7</v>
      </c>
      <c r="H2048" s="87"/>
      <c r="I2048" s="87"/>
    </row>
    <row r="2049">
      <c r="A2049" s="87">
        <v>373.0</v>
      </c>
      <c r="B2049" s="87" t="s">
        <v>127</v>
      </c>
      <c r="C2049" s="93">
        <v>1.0</v>
      </c>
      <c r="D2049" s="87"/>
      <c r="E2049" s="87" t="s">
        <v>83</v>
      </c>
      <c r="F2049" s="87"/>
      <c r="G2049" s="94">
        <v>1.4043971E7</v>
      </c>
      <c r="H2049" s="87"/>
      <c r="I2049" s="87"/>
    </row>
    <row r="2050">
      <c r="A2050" s="87">
        <v>374.0</v>
      </c>
      <c r="B2050" s="87" t="s">
        <v>127</v>
      </c>
      <c r="C2050" s="93">
        <v>1.0</v>
      </c>
      <c r="D2050" s="87" t="s">
        <v>39</v>
      </c>
      <c r="E2050" s="87" t="s">
        <v>253</v>
      </c>
      <c r="F2050" s="87"/>
      <c r="G2050" s="94">
        <v>1.4044005E7</v>
      </c>
      <c r="H2050" s="87"/>
      <c r="I2050" s="87" t="s">
        <v>1099</v>
      </c>
    </row>
    <row r="2051">
      <c r="A2051" s="87">
        <v>375.0</v>
      </c>
      <c r="B2051" s="87" t="s">
        <v>127</v>
      </c>
      <c r="C2051" s="93">
        <v>1.0</v>
      </c>
      <c r="D2051" s="87"/>
      <c r="E2051" s="87" t="s">
        <v>83</v>
      </c>
      <c r="F2051" s="87"/>
      <c r="G2051" s="94">
        <v>7.6830683E7</v>
      </c>
      <c r="H2051" s="87" t="s">
        <v>1397</v>
      </c>
      <c r="I2051" s="87"/>
    </row>
    <row r="2052">
      <c r="A2052" s="87">
        <v>376.0</v>
      </c>
      <c r="B2052" s="87" t="s">
        <v>127</v>
      </c>
      <c r="C2052" s="93">
        <v>1.0</v>
      </c>
      <c r="D2052" s="87"/>
      <c r="E2052" s="87" t="s">
        <v>83</v>
      </c>
      <c r="F2052" s="87"/>
      <c r="G2052" s="94">
        <v>7.6830691E7</v>
      </c>
      <c r="H2052" s="87"/>
      <c r="I2052" s="87"/>
    </row>
    <row r="2053">
      <c r="A2053" s="87">
        <v>1255.0</v>
      </c>
      <c r="B2053" s="87" t="s">
        <v>127</v>
      </c>
      <c r="C2053" s="93">
        <v>1.0</v>
      </c>
      <c r="D2053" s="87" t="s">
        <v>39</v>
      </c>
      <c r="E2053" s="87" t="s">
        <v>83</v>
      </c>
      <c r="F2053" s="87"/>
      <c r="G2053" s="94">
        <v>7.6905306E7</v>
      </c>
      <c r="H2053" s="87"/>
      <c r="I2053" s="87" t="s">
        <v>1398</v>
      </c>
    </row>
    <row r="2054">
      <c r="A2054" s="87">
        <v>1256.0</v>
      </c>
      <c r="B2054" s="87" t="s">
        <v>127</v>
      </c>
      <c r="C2054" s="93">
        <v>1.0</v>
      </c>
      <c r="D2054" s="87" t="s">
        <v>39</v>
      </c>
      <c r="E2054" s="87" t="s">
        <v>83</v>
      </c>
      <c r="F2054" s="87"/>
      <c r="G2054" s="94">
        <v>7.6905314E7</v>
      </c>
      <c r="H2054" s="87"/>
      <c r="I2054" s="87" t="s">
        <v>1398</v>
      </c>
    </row>
    <row r="2055">
      <c r="A2055" s="87">
        <v>1257.0</v>
      </c>
      <c r="B2055" s="87" t="s">
        <v>127</v>
      </c>
      <c r="C2055" s="93">
        <v>1.0</v>
      </c>
      <c r="D2055" s="87" t="s">
        <v>39</v>
      </c>
      <c r="E2055" s="87" t="s">
        <v>83</v>
      </c>
      <c r="F2055" s="87"/>
      <c r="G2055" s="94">
        <v>7.6905322E7</v>
      </c>
      <c r="H2055" s="87"/>
      <c r="I2055" s="87" t="s">
        <v>1398</v>
      </c>
    </row>
    <row r="2056">
      <c r="A2056" s="87">
        <v>1321.0</v>
      </c>
      <c r="B2056" s="87" t="s">
        <v>127</v>
      </c>
      <c r="C2056" s="93">
        <v>1.0</v>
      </c>
      <c r="D2056" s="87" t="s">
        <v>39</v>
      </c>
      <c r="E2056" s="87" t="s">
        <v>253</v>
      </c>
      <c r="F2056" s="87"/>
      <c r="G2056" s="94">
        <v>1.3739654E7</v>
      </c>
      <c r="H2056" s="87" t="s">
        <v>1399</v>
      </c>
      <c r="I2056" s="87" t="s">
        <v>1400</v>
      </c>
    </row>
    <row r="2057">
      <c r="A2057" s="87">
        <v>1322.0</v>
      </c>
      <c r="B2057" s="87" t="s">
        <v>127</v>
      </c>
      <c r="C2057" s="93">
        <v>1.0</v>
      </c>
      <c r="D2057" s="87" t="s">
        <v>39</v>
      </c>
      <c r="E2057" s="87" t="s">
        <v>253</v>
      </c>
      <c r="F2057" s="87"/>
      <c r="G2057" s="94">
        <v>1.373967E7</v>
      </c>
      <c r="H2057" s="87"/>
      <c r="I2057" s="87" t="s">
        <v>1014</v>
      </c>
    </row>
    <row r="2058">
      <c r="A2058" s="87">
        <v>1358.0</v>
      </c>
      <c r="B2058" s="87" t="s">
        <v>127</v>
      </c>
      <c r="C2058" s="93">
        <v>1.0</v>
      </c>
      <c r="D2058" s="87" t="s">
        <v>39</v>
      </c>
      <c r="E2058" s="87" t="s">
        <v>253</v>
      </c>
      <c r="F2058" s="87"/>
      <c r="G2058" s="94">
        <v>1.4043963E7</v>
      </c>
      <c r="H2058" s="87"/>
      <c r="I2058" s="87" t="s">
        <v>1014</v>
      </c>
    </row>
    <row r="2059">
      <c r="A2059" s="87">
        <v>1366.0</v>
      </c>
      <c r="B2059" s="87" t="s">
        <v>127</v>
      </c>
      <c r="C2059" s="93">
        <v>1.0</v>
      </c>
      <c r="D2059" s="87" t="s">
        <v>39</v>
      </c>
      <c r="E2059" s="87" t="s">
        <v>253</v>
      </c>
      <c r="F2059" s="87"/>
      <c r="G2059" s="94">
        <v>1.3739646E7</v>
      </c>
      <c r="H2059" s="87"/>
      <c r="I2059" s="87" t="s">
        <v>1014</v>
      </c>
    </row>
    <row r="2060">
      <c r="A2060" s="87">
        <v>1367.0</v>
      </c>
      <c r="B2060" s="87" t="s">
        <v>127</v>
      </c>
      <c r="C2060" s="93">
        <v>1.0</v>
      </c>
      <c r="D2060" s="87" t="s">
        <v>39</v>
      </c>
      <c r="E2060" s="87" t="s">
        <v>253</v>
      </c>
      <c r="F2060" s="87"/>
      <c r="G2060" s="94">
        <v>1.3739662E7</v>
      </c>
      <c r="H2060" s="87"/>
      <c r="I2060" s="87" t="s">
        <v>1014</v>
      </c>
    </row>
    <row r="2061">
      <c r="A2061" s="87">
        <v>499.0</v>
      </c>
      <c r="B2061" s="87" t="s">
        <v>1401</v>
      </c>
      <c r="C2061" s="93">
        <v>1.0</v>
      </c>
      <c r="D2061" s="87" t="s">
        <v>39</v>
      </c>
      <c r="E2061" s="87" t="s">
        <v>253</v>
      </c>
      <c r="F2061" s="87"/>
      <c r="G2061" s="94">
        <v>1.3765973E7</v>
      </c>
      <c r="H2061" s="87"/>
      <c r="I2061" s="87" t="s">
        <v>983</v>
      </c>
    </row>
    <row r="2062">
      <c r="A2062" s="87">
        <v>298.0</v>
      </c>
      <c r="B2062" s="87" t="s">
        <v>670</v>
      </c>
      <c r="C2062" s="93">
        <v>1.0</v>
      </c>
      <c r="D2062" s="87"/>
      <c r="E2062" s="87" t="s">
        <v>83</v>
      </c>
      <c r="F2062" s="87"/>
      <c r="G2062" s="94">
        <v>4.0091724E7</v>
      </c>
      <c r="H2062" s="87"/>
      <c r="I2062" s="87" t="s">
        <v>1402</v>
      </c>
    </row>
    <row r="2063">
      <c r="A2063" s="87">
        <v>1128.0</v>
      </c>
      <c r="B2063" s="87" t="s">
        <v>670</v>
      </c>
      <c r="C2063" s="93">
        <v>1.0</v>
      </c>
      <c r="D2063" s="87" t="s">
        <v>39</v>
      </c>
      <c r="E2063" s="87" t="s">
        <v>83</v>
      </c>
      <c r="F2063" s="87"/>
      <c r="G2063" s="94">
        <v>7.68292E7</v>
      </c>
      <c r="H2063" s="87"/>
      <c r="I2063" s="87" t="s">
        <v>1403</v>
      </c>
    </row>
    <row r="2064">
      <c r="A2064" s="87">
        <v>299.0</v>
      </c>
      <c r="B2064" s="87" t="s">
        <v>134</v>
      </c>
      <c r="C2064" s="93">
        <v>1.0</v>
      </c>
      <c r="D2064" s="87" t="s">
        <v>39</v>
      </c>
      <c r="E2064" s="87" t="s">
        <v>83</v>
      </c>
      <c r="F2064" s="87"/>
      <c r="G2064" s="94">
        <v>1.395816E7</v>
      </c>
      <c r="H2064" s="87"/>
      <c r="I2064" s="87"/>
    </row>
    <row r="2065">
      <c r="A2065" s="87">
        <v>300.0</v>
      </c>
      <c r="B2065" s="87" t="s">
        <v>134</v>
      </c>
      <c r="C2065" s="93">
        <v>1.0</v>
      </c>
      <c r="D2065" s="87" t="s">
        <v>39</v>
      </c>
      <c r="E2065" s="87" t="s">
        <v>83</v>
      </c>
      <c r="F2065" s="87"/>
      <c r="G2065" s="94">
        <v>1.3964968E7</v>
      </c>
      <c r="H2065" s="87"/>
      <c r="I2065" s="87"/>
    </row>
    <row r="2066">
      <c r="A2066" s="87">
        <v>301.0</v>
      </c>
      <c r="B2066" s="87" t="s">
        <v>134</v>
      </c>
      <c r="C2066" s="93">
        <v>1.0</v>
      </c>
      <c r="D2066" s="87" t="s">
        <v>39</v>
      </c>
      <c r="E2066" s="87" t="s">
        <v>83</v>
      </c>
      <c r="F2066" s="87"/>
      <c r="G2066" s="94">
        <v>1.3965018E7</v>
      </c>
      <c r="H2066" s="87"/>
      <c r="I2066" s="87"/>
    </row>
    <row r="2067">
      <c r="A2067" s="87">
        <v>302.0</v>
      </c>
      <c r="B2067" s="87" t="s">
        <v>134</v>
      </c>
      <c r="C2067" s="93">
        <v>1.0</v>
      </c>
      <c r="D2067" s="87" t="s">
        <v>39</v>
      </c>
      <c r="E2067" s="87" t="s">
        <v>83</v>
      </c>
      <c r="F2067" s="87"/>
      <c r="G2067" s="94">
        <v>7.6737977E7</v>
      </c>
      <c r="H2067" s="87"/>
      <c r="I2067" s="87"/>
    </row>
    <row r="2068">
      <c r="A2068" s="87">
        <v>488.0</v>
      </c>
      <c r="B2068" s="87" t="s">
        <v>134</v>
      </c>
      <c r="C2068" s="93">
        <v>1.0</v>
      </c>
      <c r="D2068" s="87" t="s">
        <v>39</v>
      </c>
      <c r="E2068" s="87" t="s">
        <v>83</v>
      </c>
      <c r="F2068" s="87"/>
      <c r="G2068" s="94">
        <v>1.3719831E7</v>
      </c>
      <c r="H2068" s="87"/>
      <c r="I2068" s="87"/>
    </row>
    <row r="2069">
      <c r="A2069" s="87">
        <v>543.0</v>
      </c>
      <c r="B2069" s="87" t="s">
        <v>134</v>
      </c>
      <c r="C2069" s="93">
        <v>1.0</v>
      </c>
      <c r="D2069" s="87" t="s">
        <v>39</v>
      </c>
      <c r="E2069" s="87" t="s">
        <v>83</v>
      </c>
      <c r="F2069" s="87"/>
      <c r="G2069" s="94">
        <v>1.3958186E7</v>
      </c>
      <c r="H2069" s="87"/>
      <c r="I2069" s="87"/>
    </row>
    <row r="2070">
      <c r="A2070" s="87">
        <v>1331.0</v>
      </c>
      <c r="B2070" s="87" t="s">
        <v>134</v>
      </c>
      <c r="C2070" s="93">
        <v>1.0</v>
      </c>
      <c r="D2070" s="87" t="s">
        <v>275</v>
      </c>
      <c r="E2070" s="87" t="s">
        <v>19</v>
      </c>
      <c r="F2070" s="87"/>
      <c r="G2070" s="94">
        <v>7.6878635E7</v>
      </c>
      <c r="H2070" s="87"/>
      <c r="I2070" s="87" t="s">
        <v>136</v>
      </c>
    </row>
    <row r="2071">
      <c r="A2071" s="87">
        <v>303.0</v>
      </c>
      <c r="B2071" s="87" t="s">
        <v>1404</v>
      </c>
      <c r="C2071" s="93">
        <v>1.0</v>
      </c>
      <c r="D2071" s="87" t="s">
        <v>39</v>
      </c>
      <c r="E2071" s="87" t="s">
        <v>83</v>
      </c>
      <c r="F2071" s="87"/>
      <c r="G2071" s="94">
        <v>1.3970224E7</v>
      </c>
      <c r="H2071" s="87"/>
      <c r="I2071" s="87"/>
    </row>
    <row r="2072">
      <c r="A2072" s="87">
        <v>586.0</v>
      </c>
      <c r="B2072" s="87" t="s">
        <v>1404</v>
      </c>
      <c r="C2072" s="93">
        <v>1.0</v>
      </c>
      <c r="D2072" s="87" t="s">
        <v>39</v>
      </c>
      <c r="E2072" s="87" t="s">
        <v>26</v>
      </c>
      <c r="F2072" s="87"/>
      <c r="G2072" s="94">
        <v>4.0068684E7</v>
      </c>
      <c r="H2072" s="87"/>
      <c r="I2072" s="87" t="s">
        <v>1405</v>
      </c>
    </row>
    <row r="2073">
      <c r="A2073" s="87">
        <v>1224.0</v>
      </c>
      <c r="B2073" s="87" t="s">
        <v>1040</v>
      </c>
      <c r="C2073" s="93">
        <v>1.0</v>
      </c>
      <c r="D2073" s="87" t="s">
        <v>39</v>
      </c>
      <c r="E2073" s="87" t="s">
        <v>258</v>
      </c>
      <c r="F2073" s="87"/>
      <c r="G2073" s="94"/>
      <c r="H2073" s="87"/>
      <c r="I2073" s="87"/>
    </row>
    <row r="2074">
      <c r="A2074" s="87">
        <v>21.0</v>
      </c>
      <c r="B2074" s="87" t="s">
        <v>60</v>
      </c>
      <c r="C2074" s="93">
        <v>1.0</v>
      </c>
      <c r="D2074" s="87" t="s">
        <v>39</v>
      </c>
      <c r="E2074" s="87" t="s">
        <v>253</v>
      </c>
      <c r="F2074" s="87"/>
      <c r="G2074" s="94">
        <v>7.6728889E7</v>
      </c>
      <c r="H2074" s="87"/>
      <c r="I2074" s="87" t="s">
        <v>1012</v>
      </c>
    </row>
    <row r="2075">
      <c r="A2075" s="87">
        <v>22.0</v>
      </c>
      <c r="B2075" s="87" t="s">
        <v>60</v>
      </c>
      <c r="C2075" s="93">
        <v>1.0</v>
      </c>
      <c r="D2075" s="87" t="s">
        <v>39</v>
      </c>
      <c r="E2075" s="87" t="s">
        <v>253</v>
      </c>
      <c r="F2075" s="87"/>
      <c r="G2075" s="94">
        <v>7.6728943E7</v>
      </c>
      <c r="H2075" s="87"/>
      <c r="I2075" s="87" t="s">
        <v>1012</v>
      </c>
    </row>
    <row r="2076">
      <c r="A2076" s="87">
        <v>304.0</v>
      </c>
      <c r="B2076" s="87" t="s">
        <v>60</v>
      </c>
      <c r="C2076" s="93">
        <v>1.0</v>
      </c>
      <c r="D2076" s="87" t="s">
        <v>39</v>
      </c>
      <c r="E2076" s="87" t="s">
        <v>253</v>
      </c>
      <c r="F2076" s="87"/>
      <c r="G2076" s="94">
        <v>4.0370097E7</v>
      </c>
      <c r="H2076" s="87" t="s">
        <v>62</v>
      </c>
      <c r="I2076" s="87" t="s">
        <v>1012</v>
      </c>
    </row>
    <row r="2077">
      <c r="A2077" s="87">
        <v>305.0</v>
      </c>
      <c r="B2077" s="87" t="s">
        <v>60</v>
      </c>
      <c r="C2077" s="93">
        <v>1.0</v>
      </c>
      <c r="D2077" s="87" t="s">
        <v>39</v>
      </c>
      <c r="E2077" s="87" t="s">
        <v>253</v>
      </c>
      <c r="F2077" s="87"/>
      <c r="G2077" s="94">
        <v>7.6744183E7</v>
      </c>
      <c r="H2077" s="87" t="s">
        <v>62</v>
      </c>
      <c r="I2077" s="87" t="s">
        <v>1012</v>
      </c>
    </row>
    <row r="2078">
      <c r="A2078" s="87">
        <v>594.0</v>
      </c>
      <c r="B2078" s="87" t="s">
        <v>60</v>
      </c>
      <c r="C2078" s="93">
        <v>1.0</v>
      </c>
      <c r="D2078" s="87" t="s">
        <v>39</v>
      </c>
      <c r="E2078" s="87" t="s">
        <v>253</v>
      </c>
      <c r="F2078" s="87"/>
      <c r="G2078" s="94">
        <v>7.6736016E7</v>
      </c>
      <c r="H2078" s="87"/>
      <c r="I2078" s="87" t="s">
        <v>1012</v>
      </c>
    </row>
    <row r="2079">
      <c r="A2079" s="87">
        <v>627.0</v>
      </c>
      <c r="B2079" s="87" t="s">
        <v>60</v>
      </c>
      <c r="C2079" s="93">
        <v>1.0</v>
      </c>
      <c r="D2079" s="87" t="s">
        <v>39</v>
      </c>
      <c r="E2079" s="87" t="s">
        <v>253</v>
      </c>
      <c r="F2079" s="87"/>
      <c r="G2079" s="94">
        <v>4.0166619E7</v>
      </c>
      <c r="H2079" s="87"/>
      <c r="I2079" s="87" t="s">
        <v>1014</v>
      </c>
    </row>
    <row r="2080">
      <c r="A2080" s="87">
        <v>666.0</v>
      </c>
      <c r="B2080" s="87" t="s">
        <v>60</v>
      </c>
      <c r="C2080" s="93">
        <v>1.0</v>
      </c>
      <c r="D2080" s="87" t="s">
        <v>39</v>
      </c>
      <c r="E2080" s="87" t="s">
        <v>253</v>
      </c>
      <c r="F2080" s="87"/>
      <c r="G2080" s="94">
        <v>4.035766E7</v>
      </c>
      <c r="H2080" s="87"/>
      <c r="I2080" s="87" t="s">
        <v>1086</v>
      </c>
    </row>
    <row r="2081">
      <c r="A2081" s="87">
        <v>1028.0</v>
      </c>
      <c r="B2081" s="87" t="s">
        <v>60</v>
      </c>
      <c r="C2081" s="93">
        <v>1.0</v>
      </c>
      <c r="D2081" s="87" t="s">
        <v>39</v>
      </c>
      <c r="E2081" s="87" t="s">
        <v>253</v>
      </c>
      <c r="F2081" s="87"/>
      <c r="G2081" s="94">
        <v>7.673604E7</v>
      </c>
      <c r="H2081" s="87"/>
      <c r="I2081" s="87" t="s">
        <v>1083</v>
      </c>
    </row>
    <row r="2082">
      <c r="A2082" s="87">
        <v>1029.0</v>
      </c>
      <c r="B2082" s="87" t="s">
        <v>60</v>
      </c>
      <c r="C2082" s="93">
        <v>1.0</v>
      </c>
      <c r="D2082" s="87" t="s">
        <v>39</v>
      </c>
      <c r="E2082" s="87" t="s">
        <v>253</v>
      </c>
      <c r="F2082" s="87"/>
      <c r="G2082" s="94">
        <v>7.6736059E7</v>
      </c>
      <c r="H2082" s="87"/>
      <c r="I2082" s="87" t="s">
        <v>1083</v>
      </c>
    </row>
    <row r="2083">
      <c r="A2083" s="87">
        <v>56.0</v>
      </c>
      <c r="B2083" s="87" t="s">
        <v>451</v>
      </c>
      <c r="C2083" s="93">
        <v>1.0</v>
      </c>
      <c r="D2083" s="87" t="s">
        <v>275</v>
      </c>
      <c r="E2083" s="87" t="s">
        <v>19</v>
      </c>
      <c r="F2083" s="87"/>
      <c r="G2083" s="94"/>
      <c r="H2083" s="87"/>
      <c r="I2083" s="87"/>
    </row>
    <row r="2084">
      <c r="A2084" s="87">
        <v>306.0</v>
      </c>
      <c r="B2084" s="87" t="s">
        <v>137</v>
      </c>
      <c r="C2084" s="93">
        <v>1.0</v>
      </c>
      <c r="D2084" s="87"/>
      <c r="E2084" s="87" t="s">
        <v>253</v>
      </c>
      <c r="F2084" s="87"/>
      <c r="G2084" s="94">
        <v>4.0164705E7</v>
      </c>
      <c r="H2084" s="87"/>
      <c r="I2084" s="87" t="s">
        <v>1012</v>
      </c>
    </row>
    <row r="2085">
      <c r="A2085" s="87">
        <v>625.0</v>
      </c>
      <c r="B2085" s="87" t="s">
        <v>137</v>
      </c>
      <c r="C2085" s="93">
        <v>1.0</v>
      </c>
      <c r="D2085" s="87" t="s">
        <v>275</v>
      </c>
      <c r="E2085" s="87" t="s">
        <v>19</v>
      </c>
      <c r="F2085" s="87"/>
      <c r="G2085" s="94">
        <v>4.0165582E7</v>
      </c>
      <c r="H2085" s="87"/>
      <c r="I2085" s="87" t="s">
        <v>140</v>
      </c>
    </row>
    <row r="2086">
      <c r="A2086" s="87">
        <v>1239.0</v>
      </c>
      <c r="B2086" s="87" t="s">
        <v>137</v>
      </c>
      <c r="C2086" s="93">
        <v>1.0</v>
      </c>
      <c r="D2086" s="87" t="s">
        <v>275</v>
      </c>
      <c r="E2086" s="87" t="s">
        <v>19</v>
      </c>
      <c r="F2086" s="87"/>
      <c r="G2086" s="94">
        <v>7.690418E7</v>
      </c>
      <c r="H2086" s="87" t="s">
        <v>1406</v>
      </c>
      <c r="I2086" s="87" t="s">
        <v>894</v>
      </c>
    </row>
    <row r="2087">
      <c r="A2087" s="87">
        <v>307.0</v>
      </c>
      <c r="B2087" s="87" t="s">
        <v>1407</v>
      </c>
      <c r="C2087" s="93">
        <v>1.0</v>
      </c>
      <c r="D2087" s="87"/>
      <c r="E2087" s="87" t="s">
        <v>83</v>
      </c>
      <c r="F2087" s="87"/>
      <c r="G2087" s="94">
        <v>7.6705056E7</v>
      </c>
      <c r="H2087" s="87"/>
      <c r="I2087" s="87"/>
    </row>
    <row r="2088">
      <c r="A2088" s="87">
        <v>308.0</v>
      </c>
      <c r="B2088" s="87" t="s">
        <v>1408</v>
      </c>
      <c r="C2088" s="93">
        <v>1.0</v>
      </c>
      <c r="D2088" s="87" t="s">
        <v>39</v>
      </c>
      <c r="E2088" s="87" t="s">
        <v>253</v>
      </c>
      <c r="F2088" s="87"/>
      <c r="G2088" s="94">
        <v>1.5069176E7</v>
      </c>
      <c r="H2088" s="87"/>
      <c r="I2088" s="87" t="s">
        <v>1012</v>
      </c>
    </row>
    <row r="2089">
      <c r="A2089" s="87">
        <v>309.0</v>
      </c>
      <c r="B2089" s="87" t="s">
        <v>766</v>
      </c>
      <c r="C2089" s="93">
        <v>1.0</v>
      </c>
      <c r="D2089" s="87"/>
      <c r="E2089" s="87" t="s">
        <v>253</v>
      </c>
      <c r="F2089" s="87"/>
      <c r="G2089" s="94">
        <v>4.0088219E7</v>
      </c>
      <c r="H2089" s="87"/>
      <c r="I2089" s="87" t="s">
        <v>1012</v>
      </c>
    </row>
    <row r="2090">
      <c r="A2090" s="87">
        <v>310.0</v>
      </c>
      <c r="B2090" s="87" t="s">
        <v>766</v>
      </c>
      <c r="C2090" s="93">
        <v>1.0</v>
      </c>
      <c r="D2090" s="87"/>
      <c r="E2090" s="87" t="s">
        <v>253</v>
      </c>
      <c r="F2090" s="87"/>
      <c r="G2090" s="94">
        <v>4.0088308E7</v>
      </c>
      <c r="H2090" s="87"/>
      <c r="I2090" s="87" t="s">
        <v>1012</v>
      </c>
    </row>
    <row r="2091">
      <c r="A2091" s="87">
        <v>311.0</v>
      </c>
      <c r="B2091" s="87" t="s">
        <v>766</v>
      </c>
      <c r="C2091" s="93">
        <v>1.0</v>
      </c>
      <c r="D2091" s="87"/>
      <c r="E2091" s="87" t="s">
        <v>253</v>
      </c>
      <c r="F2091" s="87"/>
      <c r="G2091" s="94">
        <v>4.0088332E7</v>
      </c>
      <c r="H2091" s="87"/>
      <c r="I2091" s="87" t="s">
        <v>1012</v>
      </c>
    </row>
    <row r="2092">
      <c r="A2092" s="87">
        <v>312.0</v>
      </c>
      <c r="B2092" s="87" t="s">
        <v>766</v>
      </c>
      <c r="C2092" s="93">
        <v>1.0</v>
      </c>
      <c r="D2092" s="87"/>
      <c r="E2092" s="87" t="s">
        <v>253</v>
      </c>
      <c r="F2092" s="87"/>
      <c r="G2092" s="94">
        <v>4.0088456E7</v>
      </c>
      <c r="H2092" s="87"/>
      <c r="I2092" s="87" t="s">
        <v>1012</v>
      </c>
    </row>
    <row r="2093">
      <c r="A2093" s="87">
        <v>313.0</v>
      </c>
      <c r="B2093" s="87" t="s">
        <v>766</v>
      </c>
      <c r="C2093" s="93">
        <v>1.0</v>
      </c>
      <c r="D2093" s="87" t="s">
        <v>39</v>
      </c>
      <c r="E2093" s="87" t="s">
        <v>253</v>
      </c>
      <c r="F2093" s="87"/>
      <c r="G2093" s="94">
        <v>4.035886E7</v>
      </c>
      <c r="H2093" s="87"/>
      <c r="I2093" s="87" t="s">
        <v>1012</v>
      </c>
    </row>
    <row r="2094">
      <c r="A2094" s="87">
        <v>314.0</v>
      </c>
      <c r="B2094" s="87" t="s">
        <v>766</v>
      </c>
      <c r="C2094" s="93">
        <v>1.0</v>
      </c>
      <c r="D2094" s="87" t="s">
        <v>39</v>
      </c>
      <c r="E2094" s="87" t="s">
        <v>253</v>
      </c>
      <c r="F2094" s="87"/>
      <c r="G2094" s="94">
        <v>4.0358879E7</v>
      </c>
      <c r="H2094" s="87"/>
      <c r="I2094" s="87" t="s">
        <v>1012</v>
      </c>
    </row>
    <row r="2095">
      <c r="A2095" s="87">
        <v>315.0</v>
      </c>
      <c r="B2095" s="87" t="s">
        <v>766</v>
      </c>
      <c r="C2095" s="93">
        <v>1.0</v>
      </c>
      <c r="D2095" s="87" t="s">
        <v>39</v>
      </c>
      <c r="E2095" s="87" t="s">
        <v>253</v>
      </c>
      <c r="F2095" s="87"/>
      <c r="G2095" s="94">
        <v>4.0358887E7</v>
      </c>
      <c r="H2095" s="87"/>
      <c r="I2095" s="87" t="s">
        <v>1012</v>
      </c>
    </row>
    <row r="2096">
      <c r="A2096" s="87">
        <v>316.0</v>
      </c>
      <c r="B2096" s="87" t="s">
        <v>766</v>
      </c>
      <c r="C2096" s="93">
        <v>1.0</v>
      </c>
      <c r="D2096" s="87"/>
      <c r="E2096" s="87" t="s">
        <v>253</v>
      </c>
      <c r="F2096" s="87"/>
      <c r="G2096" s="94">
        <v>4.0358895E7</v>
      </c>
      <c r="H2096" s="87"/>
      <c r="I2096" s="87" t="s">
        <v>1012</v>
      </c>
    </row>
    <row r="2097">
      <c r="A2097" s="87">
        <v>317.0</v>
      </c>
      <c r="B2097" s="87" t="s">
        <v>766</v>
      </c>
      <c r="C2097" s="93">
        <v>1.0</v>
      </c>
      <c r="D2097" s="87" t="s">
        <v>39</v>
      </c>
      <c r="E2097" s="87" t="s">
        <v>253</v>
      </c>
      <c r="F2097" s="87"/>
      <c r="G2097" s="94">
        <v>4.0358909E7</v>
      </c>
      <c r="H2097" s="87"/>
      <c r="I2097" s="87" t="s">
        <v>1012</v>
      </c>
    </row>
    <row r="2098">
      <c r="A2098" s="87">
        <v>318.0</v>
      </c>
      <c r="B2098" s="87" t="s">
        <v>766</v>
      </c>
      <c r="C2098" s="93">
        <v>1.0</v>
      </c>
      <c r="D2098" s="87" t="s">
        <v>1003</v>
      </c>
      <c r="E2098" s="87" t="s">
        <v>253</v>
      </c>
      <c r="F2098" s="87"/>
      <c r="G2098" s="94">
        <v>4.0358917E7</v>
      </c>
      <c r="H2098" s="87"/>
      <c r="I2098" s="87" t="s">
        <v>1012</v>
      </c>
    </row>
    <row r="2099">
      <c r="A2099" s="87">
        <v>319.0</v>
      </c>
      <c r="B2099" s="87" t="s">
        <v>766</v>
      </c>
      <c r="C2099" s="93">
        <v>1.0</v>
      </c>
      <c r="D2099" s="87"/>
      <c r="E2099" s="87" t="s">
        <v>253</v>
      </c>
      <c r="F2099" s="87"/>
      <c r="G2099" s="94">
        <v>4.0358925E7</v>
      </c>
      <c r="H2099" s="87"/>
      <c r="I2099" s="87" t="s">
        <v>1012</v>
      </c>
    </row>
    <row r="2100">
      <c r="A2100" s="87">
        <v>320.0</v>
      </c>
      <c r="B2100" s="87" t="s">
        <v>766</v>
      </c>
      <c r="C2100" s="93">
        <v>1.0</v>
      </c>
      <c r="D2100" s="87" t="s">
        <v>39</v>
      </c>
      <c r="E2100" s="87" t="s">
        <v>253</v>
      </c>
      <c r="F2100" s="87"/>
      <c r="G2100" s="94">
        <v>4.0358933E7</v>
      </c>
      <c r="H2100" s="87"/>
      <c r="I2100" s="87" t="s">
        <v>1012</v>
      </c>
    </row>
    <row r="2101">
      <c r="A2101" s="87">
        <v>685.0</v>
      </c>
      <c r="B2101" s="87" t="s">
        <v>766</v>
      </c>
      <c r="C2101" s="93">
        <v>1.0</v>
      </c>
      <c r="D2101" s="87" t="s">
        <v>39</v>
      </c>
      <c r="E2101" s="87" t="s">
        <v>253</v>
      </c>
      <c r="F2101" s="87"/>
      <c r="G2101" s="94">
        <v>1.3949314E7</v>
      </c>
      <c r="H2101" s="87"/>
      <c r="I2101" s="87" t="s">
        <v>1014</v>
      </c>
    </row>
    <row r="2102">
      <c r="A2102" s="87">
        <v>720.0</v>
      </c>
      <c r="B2102" s="87" t="s">
        <v>766</v>
      </c>
      <c r="C2102" s="93">
        <v>1.0</v>
      </c>
      <c r="D2102" s="87" t="s">
        <v>39</v>
      </c>
      <c r="E2102" s="87" t="s">
        <v>664</v>
      </c>
      <c r="F2102" s="87"/>
      <c r="G2102" s="94">
        <v>4.008848E7</v>
      </c>
      <c r="H2102" s="87"/>
      <c r="I2102" s="87"/>
    </row>
    <row r="2103">
      <c r="A2103" s="87">
        <v>779.0</v>
      </c>
      <c r="B2103" s="87" t="s">
        <v>766</v>
      </c>
      <c r="C2103" s="93">
        <v>1.0</v>
      </c>
      <c r="D2103" s="87" t="s">
        <v>39</v>
      </c>
      <c r="E2103" s="87" t="s">
        <v>1020</v>
      </c>
      <c r="F2103" s="87"/>
      <c r="G2103" s="94">
        <v>4.0088421E7</v>
      </c>
      <c r="H2103" s="87"/>
      <c r="I2103" s="87" t="s">
        <v>240</v>
      </c>
    </row>
    <row r="2104">
      <c r="A2104" s="87">
        <v>780.0</v>
      </c>
      <c r="B2104" s="87" t="s">
        <v>766</v>
      </c>
      <c r="C2104" s="93">
        <v>1.0</v>
      </c>
      <c r="D2104" s="87" t="s">
        <v>39</v>
      </c>
      <c r="E2104" s="87" t="s">
        <v>253</v>
      </c>
      <c r="F2104" s="87"/>
      <c r="G2104" s="94">
        <v>4.0088448E7</v>
      </c>
      <c r="H2104" s="87"/>
      <c r="I2104" s="87" t="s">
        <v>1014</v>
      </c>
    </row>
    <row r="2105">
      <c r="A2105" s="87">
        <v>689.0</v>
      </c>
      <c r="B2105" s="87" t="s">
        <v>767</v>
      </c>
      <c r="C2105" s="93">
        <v>1.0</v>
      </c>
      <c r="D2105" s="87" t="s">
        <v>39</v>
      </c>
      <c r="E2105" s="87" t="s">
        <v>253</v>
      </c>
      <c r="F2105" s="87"/>
      <c r="G2105" s="94">
        <v>1.3994085E7</v>
      </c>
      <c r="H2105" s="87"/>
      <c r="I2105" s="87" t="s">
        <v>1014</v>
      </c>
    </row>
    <row r="2106">
      <c r="A2106" s="87">
        <v>840.0</v>
      </c>
      <c r="B2106" s="87" t="s">
        <v>767</v>
      </c>
      <c r="C2106" s="93">
        <v>1.0</v>
      </c>
      <c r="D2106" s="87" t="s">
        <v>39</v>
      </c>
      <c r="E2106" s="87" t="s">
        <v>253</v>
      </c>
      <c r="F2106" s="87"/>
      <c r="G2106" s="94">
        <v>3.0861233E7</v>
      </c>
      <c r="H2106" s="87"/>
      <c r="I2106" s="87" t="s">
        <v>1012</v>
      </c>
    </row>
    <row r="2107">
      <c r="A2107" s="87">
        <v>1457.0</v>
      </c>
      <c r="B2107" s="87" t="s">
        <v>767</v>
      </c>
      <c r="C2107" s="93">
        <v>1.0</v>
      </c>
      <c r="D2107" s="87" t="s">
        <v>39</v>
      </c>
      <c r="E2107" s="87" t="s">
        <v>253</v>
      </c>
      <c r="F2107" s="87"/>
      <c r="G2107" s="94">
        <v>1.3962647E7</v>
      </c>
      <c r="H2107" s="87"/>
      <c r="I2107" s="87" t="s">
        <v>1014</v>
      </c>
    </row>
    <row r="2108">
      <c r="A2108" s="87">
        <v>1649.0</v>
      </c>
      <c r="B2108" s="87" t="s">
        <v>767</v>
      </c>
      <c r="C2108" s="93">
        <v>1.0</v>
      </c>
      <c r="D2108" s="87" t="s">
        <v>39</v>
      </c>
      <c r="E2108" s="87" t="s">
        <v>83</v>
      </c>
      <c r="F2108" s="87"/>
      <c r="G2108" s="94">
        <v>3.0852153E7</v>
      </c>
      <c r="H2108" s="87"/>
      <c r="I2108" s="87"/>
    </row>
    <row r="2109">
      <c r="A2109" s="87">
        <v>578.0</v>
      </c>
      <c r="B2109" s="87" t="s">
        <v>767</v>
      </c>
      <c r="C2109" s="93">
        <v>3.0</v>
      </c>
      <c r="D2109" s="87" t="s">
        <v>39</v>
      </c>
      <c r="E2109" s="87" t="s">
        <v>763</v>
      </c>
      <c r="F2109" s="87"/>
      <c r="G2109" s="94"/>
      <c r="H2109" s="87"/>
      <c r="I2109" s="87" t="s">
        <v>1409</v>
      </c>
    </row>
    <row r="2110">
      <c r="A2110" s="87">
        <v>586.0</v>
      </c>
      <c r="B2110" s="87" t="s">
        <v>767</v>
      </c>
      <c r="C2110" s="93">
        <v>1.0</v>
      </c>
      <c r="D2110" s="87" t="s">
        <v>39</v>
      </c>
      <c r="E2110" s="87" t="s">
        <v>1018</v>
      </c>
      <c r="F2110" s="87"/>
      <c r="G2110" s="94">
        <v>45628.0</v>
      </c>
      <c r="H2110" s="87"/>
      <c r="I2110" s="87"/>
    </row>
    <row r="2111">
      <c r="A2111" s="87">
        <v>687.0</v>
      </c>
      <c r="B2111" s="87" t="s">
        <v>767</v>
      </c>
      <c r="C2111" s="93">
        <v>1.0</v>
      </c>
      <c r="D2111" s="87" t="s">
        <v>39</v>
      </c>
      <c r="E2111" s="87" t="s">
        <v>1020</v>
      </c>
      <c r="F2111" s="87"/>
      <c r="G2111" s="94"/>
      <c r="H2111" s="87"/>
      <c r="I2111" s="87"/>
    </row>
    <row r="2112">
      <c r="A2112" s="87">
        <v>739.0</v>
      </c>
      <c r="B2112" s="87" t="s">
        <v>767</v>
      </c>
      <c r="C2112" s="93">
        <v>3.0</v>
      </c>
      <c r="D2112" s="87" t="s">
        <v>39</v>
      </c>
      <c r="E2112" s="87" t="s">
        <v>664</v>
      </c>
      <c r="F2112" s="87"/>
      <c r="G2112" s="94"/>
      <c r="H2112" s="87"/>
      <c r="I2112" s="87" t="s">
        <v>1410</v>
      </c>
    </row>
    <row r="2113">
      <c r="A2113" s="87">
        <v>893.0</v>
      </c>
      <c r="B2113" s="87" t="s">
        <v>1411</v>
      </c>
      <c r="C2113" s="93">
        <v>1.0</v>
      </c>
      <c r="D2113" s="87" t="s">
        <v>39</v>
      </c>
      <c r="E2113" s="87" t="s">
        <v>1333</v>
      </c>
      <c r="F2113" s="87"/>
      <c r="G2113" s="94">
        <v>4.026758E7</v>
      </c>
      <c r="H2113" s="87"/>
      <c r="I2113" s="87" t="s">
        <v>1412</v>
      </c>
    </row>
    <row r="2114">
      <c r="A2114" s="87">
        <v>1558.0</v>
      </c>
      <c r="B2114" s="87" t="s">
        <v>1413</v>
      </c>
      <c r="C2114" s="93">
        <v>1.0</v>
      </c>
      <c r="D2114" s="87"/>
      <c r="E2114" s="87" t="s">
        <v>83</v>
      </c>
      <c r="F2114" s="87"/>
      <c r="G2114" s="94">
        <v>1.2912373E7</v>
      </c>
      <c r="H2114" s="87"/>
      <c r="I2114" s="87" t="s">
        <v>1414</v>
      </c>
    </row>
    <row r="2115">
      <c r="A2115" s="87">
        <v>1559.0</v>
      </c>
      <c r="B2115" s="87" t="s">
        <v>1413</v>
      </c>
      <c r="C2115" s="93">
        <v>1.0</v>
      </c>
      <c r="D2115" s="87"/>
      <c r="E2115" s="87" t="s">
        <v>83</v>
      </c>
      <c r="F2115" s="87"/>
      <c r="G2115" s="94">
        <v>1.29123749E8</v>
      </c>
      <c r="H2115" s="87"/>
      <c r="I2115" s="87"/>
    </row>
    <row r="2116">
      <c r="A2116" s="87">
        <v>1560.0</v>
      </c>
      <c r="B2116" s="87" t="s">
        <v>1413</v>
      </c>
      <c r="C2116" s="93">
        <v>1.0</v>
      </c>
      <c r="D2116" s="87"/>
      <c r="E2116" s="87" t="s">
        <v>83</v>
      </c>
      <c r="F2116" s="87"/>
      <c r="G2116" s="94">
        <v>1.29123757E8</v>
      </c>
      <c r="H2116" s="87"/>
      <c r="I2116" s="87"/>
    </row>
    <row r="2117">
      <c r="A2117" s="87">
        <v>1561.0</v>
      </c>
      <c r="B2117" s="87" t="s">
        <v>1413</v>
      </c>
      <c r="C2117" s="93">
        <v>1.0</v>
      </c>
      <c r="D2117" s="87"/>
      <c r="E2117" s="87" t="s">
        <v>83</v>
      </c>
      <c r="F2117" s="87"/>
      <c r="G2117" s="94">
        <v>1.29123765E8</v>
      </c>
      <c r="H2117" s="87"/>
      <c r="I2117" s="87"/>
    </row>
    <row r="2118">
      <c r="A2118" s="87">
        <v>1655.0</v>
      </c>
      <c r="B2118" s="87" t="s">
        <v>755</v>
      </c>
      <c r="C2118" s="93">
        <v>1.0</v>
      </c>
      <c r="D2118" s="87" t="s">
        <v>39</v>
      </c>
      <c r="E2118" s="87" t="s">
        <v>40</v>
      </c>
      <c r="F2118" s="87"/>
      <c r="G2118" s="94">
        <v>1.2912373E8</v>
      </c>
      <c r="H2118" s="87"/>
      <c r="I2118" s="87"/>
    </row>
    <row r="2119">
      <c r="A2119" s="87">
        <v>321.0</v>
      </c>
      <c r="B2119" s="87" t="s">
        <v>67</v>
      </c>
      <c r="C2119" s="93">
        <v>1.0</v>
      </c>
      <c r="D2119" s="87" t="s">
        <v>39</v>
      </c>
      <c r="E2119" s="87" t="s">
        <v>253</v>
      </c>
      <c r="F2119" s="87"/>
      <c r="G2119" s="94">
        <v>1.4098091E7</v>
      </c>
      <c r="H2119" s="87"/>
      <c r="I2119" s="87" t="s">
        <v>1012</v>
      </c>
    </row>
    <row r="2120">
      <c r="A2120" s="87">
        <v>322.0</v>
      </c>
      <c r="B2120" s="87" t="s">
        <v>67</v>
      </c>
      <c r="C2120" s="93">
        <v>1.0</v>
      </c>
      <c r="D2120" s="87" t="s">
        <v>39</v>
      </c>
      <c r="E2120" s="87" t="s">
        <v>253</v>
      </c>
      <c r="F2120" s="87"/>
      <c r="G2120" s="94">
        <v>1.4098105E7</v>
      </c>
      <c r="H2120" s="87"/>
      <c r="I2120" s="87" t="s">
        <v>1012</v>
      </c>
    </row>
    <row r="2121">
      <c r="A2121" s="87">
        <v>323.0</v>
      </c>
      <c r="B2121" s="87" t="s">
        <v>67</v>
      </c>
      <c r="C2121" s="93">
        <v>1.0</v>
      </c>
      <c r="D2121" s="87" t="s">
        <v>39</v>
      </c>
      <c r="E2121" s="87" t="s">
        <v>253</v>
      </c>
      <c r="F2121" s="87"/>
      <c r="G2121" s="94">
        <v>4.0101916E7</v>
      </c>
      <c r="H2121" s="87"/>
      <c r="I2121" s="87" t="s">
        <v>651</v>
      </c>
    </row>
    <row r="2122">
      <c r="A2122" s="87">
        <v>324.0</v>
      </c>
      <c r="B2122" s="87" t="s">
        <v>67</v>
      </c>
      <c r="C2122" s="93">
        <v>1.0</v>
      </c>
      <c r="D2122" s="87"/>
      <c r="E2122" s="87" t="s">
        <v>83</v>
      </c>
      <c r="F2122" s="87"/>
      <c r="G2122" s="94">
        <v>4.0167704E7</v>
      </c>
      <c r="H2122" s="87"/>
      <c r="I2122" s="87"/>
    </row>
    <row r="2123">
      <c r="A2123" s="87">
        <v>325.0</v>
      </c>
      <c r="B2123" s="87" t="s">
        <v>67</v>
      </c>
      <c r="C2123" s="93">
        <v>1.0</v>
      </c>
      <c r="D2123" s="87"/>
      <c r="E2123" s="87" t="s">
        <v>83</v>
      </c>
      <c r="F2123" s="87"/>
      <c r="G2123" s="94">
        <v>4.0323137E7</v>
      </c>
      <c r="H2123" s="87"/>
      <c r="I2123" s="87"/>
    </row>
    <row r="2124">
      <c r="A2124" s="87">
        <v>326.0</v>
      </c>
      <c r="B2124" s="87" t="s">
        <v>67</v>
      </c>
      <c r="C2124" s="93">
        <v>1.0</v>
      </c>
      <c r="D2124" s="87"/>
      <c r="E2124" s="87" t="s">
        <v>83</v>
      </c>
      <c r="F2124" s="87"/>
      <c r="G2124" s="94">
        <v>7.6757447E7</v>
      </c>
      <c r="H2124" s="87"/>
      <c r="I2124" s="87"/>
    </row>
    <row r="2125">
      <c r="A2125" s="87">
        <v>559.0</v>
      </c>
      <c r="B2125" s="87" t="s">
        <v>67</v>
      </c>
      <c r="C2125" s="93">
        <v>1.0</v>
      </c>
      <c r="D2125" s="87" t="s">
        <v>39</v>
      </c>
      <c r="E2125" s="87" t="s">
        <v>253</v>
      </c>
      <c r="F2125" s="87"/>
      <c r="G2125" s="94">
        <v>1.4098121E7</v>
      </c>
      <c r="H2125" s="87"/>
      <c r="I2125" s="87" t="s">
        <v>983</v>
      </c>
    </row>
    <row r="2126">
      <c r="A2126" s="87">
        <v>665.0</v>
      </c>
      <c r="B2126" s="87" t="s">
        <v>67</v>
      </c>
      <c r="C2126" s="93">
        <v>1.0</v>
      </c>
      <c r="D2126" s="87" t="s">
        <v>39</v>
      </c>
      <c r="E2126" s="87" t="s">
        <v>253</v>
      </c>
      <c r="F2126" s="87"/>
      <c r="G2126" s="94">
        <v>4.0353605E7</v>
      </c>
      <c r="H2126" s="87"/>
      <c r="I2126" s="87" t="s">
        <v>1086</v>
      </c>
    </row>
    <row r="2127">
      <c r="A2127" s="87">
        <v>667.0</v>
      </c>
      <c r="B2127" s="87" t="s">
        <v>67</v>
      </c>
      <c r="C2127" s="93">
        <v>1.0</v>
      </c>
      <c r="D2127" s="87" t="s">
        <v>39</v>
      </c>
      <c r="E2127" s="87" t="s">
        <v>253</v>
      </c>
      <c r="F2127" s="87"/>
      <c r="G2127" s="94">
        <v>4.0358712E7</v>
      </c>
      <c r="H2127" s="87"/>
      <c r="I2127" s="87" t="s">
        <v>1086</v>
      </c>
    </row>
    <row r="2128">
      <c r="A2128" s="87">
        <v>327.0</v>
      </c>
      <c r="B2128" s="87" t="s">
        <v>149</v>
      </c>
      <c r="C2128" s="93">
        <v>1.0</v>
      </c>
      <c r="D2128" s="87"/>
      <c r="E2128" s="87" t="s">
        <v>83</v>
      </c>
      <c r="F2128" s="87"/>
      <c r="G2128" s="94">
        <v>1.3859803E7</v>
      </c>
      <c r="H2128" s="87"/>
      <c r="I2128" s="87"/>
    </row>
    <row r="2129">
      <c r="A2129" s="87">
        <v>328.0</v>
      </c>
      <c r="B2129" s="87" t="s">
        <v>1415</v>
      </c>
      <c r="C2129" s="93">
        <v>1.0</v>
      </c>
      <c r="D2129" s="87" t="s">
        <v>39</v>
      </c>
      <c r="E2129" s="87" t="s">
        <v>83</v>
      </c>
      <c r="F2129" s="87"/>
      <c r="G2129" s="94">
        <v>1.376845E7</v>
      </c>
      <c r="H2129" s="87"/>
      <c r="I2129" s="87" t="s">
        <v>1416</v>
      </c>
    </row>
    <row r="2130">
      <c r="A2130" s="87">
        <v>329.0</v>
      </c>
      <c r="B2130" s="87" t="s">
        <v>1415</v>
      </c>
      <c r="C2130" s="93">
        <v>1.0</v>
      </c>
      <c r="D2130" s="87" t="s">
        <v>39</v>
      </c>
      <c r="E2130" s="87" t="s">
        <v>83</v>
      </c>
      <c r="F2130" s="87"/>
      <c r="G2130" s="94">
        <v>1.3768573E7</v>
      </c>
      <c r="H2130" s="87"/>
      <c r="I2130" s="87" t="s">
        <v>1416</v>
      </c>
    </row>
    <row r="2131">
      <c r="A2131" s="87">
        <v>330.0</v>
      </c>
      <c r="B2131" s="87" t="s">
        <v>1415</v>
      </c>
      <c r="C2131" s="93">
        <v>1.0</v>
      </c>
      <c r="D2131" s="87" t="s">
        <v>39</v>
      </c>
      <c r="E2131" s="87" t="s">
        <v>83</v>
      </c>
      <c r="F2131" s="87"/>
      <c r="G2131" s="94">
        <v>1.376859E7</v>
      </c>
      <c r="H2131" s="87"/>
      <c r="I2131" s="87" t="s">
        <v>1416</v>
      </c>
    </row>
    <row r="2132">
      <c r="A2132" s="87">
        <v>331.0</v>
      </c>
      <c r="B2132" s="87" t="s">
        <v>1415</v>
      </c>
      <c r="C2132" s="93">
        <v>1.0</v>
      </c>
      <c r="D2132" s="87" t="s">
        <v>39</v>
      </c>
      <c r="E2132" s="87" t="s">
        <v>253</v>
      </c>
      <c r="F2132" s="87"/>
      <c r="G2132" s="94">
        <v>4.0105261E7</v>
      </c>
      <c r="H2132" s="87"/>
      <c r="I2132" s="87" t="s">
        <v>1012</v>
      </c>
    </row>
    <row r="2133">
      <c r="A2133" s="87">
        <v>332.0</v>
      </c>
      <c r="B2133" s="87" t="s">
        <v>1415</v>
      </c>
      <c r="C2133" s="93">
        <v>1.0</v>
      </c>
      <c r="D2133" s="87" t="s">
        <v>39</v>
      </c>
      <c r="E2133" s="87" t="s">
        <v>253</v>
      </c>
      <c r="F2133" s="87"/>
      <c r="G2133" s="94">
        <v>4.010527E7</v>
      </c>
      <c r="H2133" s="87"/>
      <c r="I2133" s="87" t="s">
        <v>1012</v>
      </c>
    </row>
    <row r="2134">
      <c r="A2134" s="87">
        <v>333.0</v>
      </c>
      <c r="B2134" s="87" t="s">
        <v>1415</v>
      </c>
      <c r="C2134" s="93">
        <v>1.0</v>
      </c>
      <c r="D2134" s="87" t="s">
        <v>39</v>
      </c>
      <c r="E2134" s="87" t="s">
        <v>253</v>
      </c>
      <c r="F2134" s="87"/>
      <c r="G2134" s="94">
        <v>4.0105288E7</v>
      </c>
      <c r="H2134" s="87"/>
      <c r="I2134" s="87" t="s">
        <v>1012</v>
      </c>
    </row>
    <row r="2135">
      <c r="A2135" s="87">
        <v>334.0</v>
      </c>
      <c r="B2135" s="87" t="s">
        <v>1415</v>
      </c>
      <c r="C2135" s="93">
        <v>1.0</v>
      </c>
      <c r="D2135" s="87" t="s">
        <v>39</v>
      </c>
      <c r="E2135" s="87" t="s">
        <v>253</v>
      </c>
      <c r="F2135" s="87"/>
      <c r="G2135" s="94">
        <v>4.0105296E7</v>
      </c>
      <c r="H2135" s="87"/>
      <c r="I2135" s="87" t="s">
        <v>1012</v>
      </c>
    </row>
    <row r="2136">
      <c r="A2136" s="87">
        <v>335.0</v>
      </c>
      <c r="B2136" s="87" t="s">
        <v>1415</v>
      </c>
      <c r="C2136" s="93">
        <v>1.0</v>
      </c>
      <c r="D2136" s="87" t="s">
        <v>39</v>
      </c>
      <c r="E2136" s="87" t="s">
        <v>253</v>
      </c>
      <c r="F2136" s="87"/>
      <c r="G2136" s="94">
        <v>4.01053E7</v>
      </c>
      <c r="H2136" s="87"/>
      <c r="I2136" s="87" t="s">
        <v>1012</v>
      </c>
    </row>
    <row r="2137">
      <c r="A2137" s="87">
        <v>336.0</v>
      </c>
      <c r="B2137" s="87" t="s">
        <v>1415</v>
      </c>
      <c r="C2137" s="93">
        <v>1.0</v>
      </c>
      <c r="D2137" s="87" t="s">
        <v>39</v>
      </c>
      <c r="E2137" s="87" t="s">
        <v>253</v>
      </c>
      <c r="F2137" s="87"/>
      <c r="G2137" s="94">
        <v>4.0105318E7</v>
      </c>
      <c r="H2137" s="87"/>
      <c r="I2137" s="87" t="s">
        <v>1012</v>
      </c>
    </row>
    <row r="2138">
      <c r="A2138" s="87">
        <v>337.0</v>
      </c>
      <c r="B2138" s="87" t="s">
        <v>1415</v>
      </c>
      <c r="C2138" s="93">
        <v>1.0</v>
      </c>
      <c r="D2138" s="87" t="s">
        <v>39</v>
      </c>
      <c r="E2138" s="87" t="s">
        <v>253</v>
      </c>
      <c r="F2138" s="87"/>
      <c r="G2138" s="94">
        <v>4.0105326E7</v>
      </c>
      <c r="H2138" s="87"/>
      <c r="I2138" s="87" t="s">
        <v>1012</v>
      </c>
    </row>
    <row r="2139">
      <c r="A2139" s="87">
        <v>338.0</v>
      </c>
      <c r="B2139" s="87" t="s">
        <v>1415</v>
      </c>
      <c r="C2139" s="93">
        <v>1.0</v>
      </c>
      <c r="D2139" s="87" t="s">
        <v>39</v>
      </c>
      <c r="E2139" s="87" t="s">
        <v>253</v>
      </c>
      <c r="F2139" s="87"/>
      <c r="G2139" s="94">
        <v>4.0105334E7</v>
      </c>
      <c r="H2139" s="87"/>
      <c r="I2139" s="87" t="s">
        <v>1012</v>
      </c>
    </row>
    <row r="2140">
      <c r="A2140" s="87">
        <v>339.0</v>
      </c>
      <c r="B2140" s="87" t="s">
        <v>1415</v>
      </c>
      <c r="C2140" s="93">
        <v>1.0</v>
      </c>
      <c r="D2140" s="87" t="s">
        <v>39</v>
      </c>
      <c r="E2140" s="87" t="s">
        <v>253</v>
      </c>
      <c r="F2140" s="87"/>
      <c r="G2140" s="94">
        <v>4.0105342E7</v>
      </c>
      <c r="H2140" s="87"/>
      <c r="I2140" s="87" t="s">
        <v>1012</v>
      </c>
    </row>
    <row r="2141">
      <c r="A2141" s="87">
        <v>340.0</v>
      </c>
      <c r="B2141" s="87" t="s">
        <v>1415</v>
      </c>
      <c r="C2141" s="93">
        <v>1.0</v>
      </c>
      <c r="D2141" s="87" t="s">
        <v>39</v>
      </c>
      <c r="E2141" s="87" t="s">
        <v>253</v>
      </c>
      <c r="F2141" s="87"/>
      <c r="G2141" s="94">
        <v>4.010535E7</v>
      </c>
      <c r="H2141" s="87"/>
      <c r="I2141" s="87" t="s">
        <v>1012</v>
      </c>
    </row>
    <row r="2142">
      <c r="A2142" s="87">
        <v>504.0</v>
      </c>
      <c r="B2142" s="87" t="s">
        <v>1415</v>
      </c>
      <c r="C2142" s="93">
        <v>1.0</v>
      </c>
      <c r="D2142" s="87" t="s">
        <v>39</v>
      </c>
      <c r="E2142" s="87" t="s">
        <v>253</v>
      </c>
      <c r="F2142" s="87"/>
      <c r="G2142" s="94">
        <v>1.3766503E7</v>
      </c>
      <c r="H2142" s="87" t="s">
        <v>1417</v>
      </c>
      <c r="I2142" s="87" t="s">
        <v>983</v>
      </c>
    </row>
    <row r="2143">
      <c r="A2143" s="87">
        <v>505.0</v>
      </c>
      <c r="B2143" s="87" t="s">
        <v>1415</v>
      </c>
      <c r="C2143" s="93">
        <v>1.0</v>
      </c>
      <c r="D2143" s="87" t="s">
        <v>39</v>
      </c>
      <c r="E2143" s="87" t="s">
        <v>253</v>
      </c>
      <c r="F2143" s="87"/>
      <c r="G2143" s="94">
        <v>1.376652E7</v>
      </c>
      <c r="H2143" s="87" t="s">
        <v>1418</v>
      </c>
      <c r="I2143" s="87" t="s">
        <v>983</v>
      </c>
    </row>
    <row r="2144">
      <c r="A2144" s="87">
        <v>515.0</v>
      </c>
      <c r="B2144" s="87" t="s">
        <v>1415</v>
      </c>
      <c r="C2144" s="93">
        <v>1.0</v>
      </c>
      <c r="D2144" s="87" t="s">
        <v>39</v>
      </c>
      <c r="E2144" s="87" t="s">
        <v>40</v>
      </c>
      <c r="F2144" s="87"/>
      <c r="G2144" s="94">
        <v>1.387948E7</v>
      </c>
      <c r="H2144" s="87" t="s">
        <v>1419</v>
      </c>
      <c r="I2144" s="87" t="s">
        <v>1420</v>
      </c>
    </row>
    <row r="2145">
      <c r="A2145" s="87">
        <v>516.0</v>
      </c>
      <c r="B2145" s="87" t="s">
        <v>1415</v>
      </c>
      <c r="C2145" s="93">
        <v>1.0</v>
      </c>
      <c r="D2145" s="87" t="s">
        <v>39</v>
      </c>
      <c r="E2145" s="87" t="s">
        <v>40</v>
      </c>
      <c r="F2145" s="87"/>
      <c r="G2145" s="94">
        <v>1.3879502E7</v>
      </c>
      <c r="H2145" s="87" t="s">
        <v>1419</v>
      </c>
      <c r="I2145" s="87" t="s">
        <v>1421</v>
      </c>
    </row>
    <row r="2146">
      <c r="A2146" s="87">
        <v>517.0</v>
      </c>
      <c r="B2146" s="87" t="s">
        <v>1415</v>
      </c>
      <c r="C2146" s="93">
        <v>1.0</v>
      </c>
      <c r="D2146" s="87" t="s">
        <v>39</v>
      </c>
      <c r="E2146" s="87" t="s">
        <v>40</v>
      </c>
      <c r="F2146" s="87"/>
      <c r="G2146" s="94">
        <v>1.387951E7</v>
      </c>
      <c r="H2146" s="87" t="s">
        <v>1419</v>
      </c>
      <c r="I2146" s="87" t="s">
        <v>1422</v>
      </c>
    </row>
    <row r="2147">
      <c r="A2147" s="87">
        <v>518.0</v>
      </c>
      <c r="B2147" s="87" t="s">
        <v>1415</v>
      </c>
      <c r="C2147" s="93">
        <v>1.0</v>
      </c>
      <c r="D2147" s="87" t="s">
        <v>39</v>
      </c>
      <c r="E2147" s="87" t="s">
        <v>253</v>
      </c>
      <c r="F2147" s="87"/>
      <c r="G2147" s="94">
        <v>1.3879529E7</v>
      </c>
      <c r="H2147" s="87"/>
      <c r="I2147" s="87" t="s">
        <v>983</v>
      </c>
    </row>
    <row r="2148">
      <c r="A2148" s="87">
        <v>519.0</v>
      </c>
      <c r="B2148" s="87" t="s">
        <v>1415</v>
      </c>
      <c r="C2148" s="93">
        <v>1.0</v>
      </c>
      <c r="D2148" s="87" t="s">
        <v>39</v>
      </c>
      <c r="E2148" s="87" t="s">
        <v>253</v>
      </c>
      <c r="F2148" s="87"/>
      <c r="G2148" s="94">
        <v>1.3879537E7</v>
      </c>
      <c r="H2148" s="87" t="s">
        <v>1419</v>
      </c>
      <c r="I2148" s="87" t="s">
        <v>983</v>
      </c>
    </row>
    <row r="2149">
      <c r="A2149" s="87">
        <v>520.0</v>
      </c>
      <c r="B2149" s="87" t="s">
        <v>1415</v>
      </c>
      <c r="C2149" s="93">
        <v>1.0</v>
      </c>
      <c r="D2149" s="87" t="s">
        <v>39</v>
      </c>
      <c r="E2149" s="87" t="s">
        <v>253</v>
      </c>
      <c r="F2149" s="87"/>
      <c r="G2149" s="94">
        <v>1.3879553E7</v>
      </c>
      <c r="H2149" s="87"/>
      <c r="I2149" s="87" t="s">
        <v>983</v>
      </c>
    </row>
    <row r="2150">
      <c r="A2150" s="87">
        <v>521.0</v>
      </c>
      <c r="B2150" s="87" t="s">
        <v>1415</v>
      </c>
      <c r="C2150" s="93">
        <v>1.0</v>
      </c>
      <c r="D2150" s="87" t="s">
        <v>39</v>
      </c>
      <c r="E2150" s="87" t="s">
        <v>26</v>
      </c>
      <c r="F2150" s="87"/>
      <c r="G2150" s="94">
        <v>1.3879561E7</v>
      </c>
      <c r="H2150" s="87" t="s">
        <v>1419</v>
      </c>
      <c r="I2150" s="87" t="s">
        <v>1423</v>
      </c>
    </row>
    <row r="2151">
      <c r="A2151" s="87">
        <v>570.0</v>
      </c>
      <c r="B2151" s="87" t="s">
        <v>1415</v>
      </c>
      <c r="C2151" s="93">
        <v>1.0</v>
      </c>
      <c r="D2151" s="87" t="s">
        <v>39</v>
      </c>
      <c r="E2151" s="87" t="s">
        <v>253</v>
      </c>
      <c r="F2151" s="87"/>
      <c r="G2151" s="94">
        <v>1.41392E7</v>
      </c>
      <c r="H2151" s="87" t="s">
        <v>121</v>
      </c>
      <c r="I2151" s="87" t="s">
        <v>983</v>
      </c>
    </row>
    <row r="2152">
      <c r="A2152" s="87">
        <v>571.0</v>
      </c>
      <c r="B2152" s="87" t="s">
        <v>1415</v>
      </c>
      <c r="C2152" s="93">
        <v>1.0</v>
      </c>
      <c r="D2152" s="87" t="s">
        <v>39</v>
      </c>
      <c r="E2152" s="87" t="s">
        <v>253</v>
      </c>
      <c r="F2152" s="87"/>
      <c r="G2152" s="94">
        <v>1.4139219E7</v>
      </c>
      <c r="H2152" s="87" t="s">
        <v>121</v>
      </c>
      <c r="I2152" s="87" t="s">
        <v>983</v>
      </c>
    </row>
    <row r="2153">
      <c r="A2153" s="87">
        <v>572.0</v>
      </c>
      <c r="B2153" s="87" t="s">
        <v>1415</v>
      </c>
      <c r="C2153" s="93">
        <v>1.0</v>
      </c>
      <c r="D2153" s="87" t="s">
        <v>39</v>
      </c>
      <c r="E2153" s="87" t="s">
        <v>253</v>
      </c>
      <c r="F2153" s="87"/>
      <c r="G2153" s="94">
        <v>1.4139227E7</v>
      </c>
      <c r="H2153" s="87" t="s">
        <v>121</v>
      </c>
      <c r="I2153" s="87" t="s">
        <v>1014</v>
      </c>
    </row>
    <row r="2154">
      <c r="A2154" s="87">
        <v>573.0</v>
      </c>
      <c r="B2154" s="87" t="s">
        <v>1415</v>
      </c>
      <c r="C2154" s="93">
        <v>1.0</v>
      </c>
      <c r="D2154" s="87" t="s">
        <v>39</v>
      </c>
      <c r="E2154" s="87" t="s">
        <v>40</v>
      </c>
      <c r="F2154" s="87"/>
      <c r="G2154" s="94">
        <v>1.4139235E7</v>
      </c>
      <c r="H2154" s="87" t="s">
        <v>1424</v>
      </c>
      <c r="I2154" s="87" t="s">
        <v>1425</v>
      </c>
    </row>
    <row r="2155">
      <c r="A2155" s="87">
        <v>574.0</v>
      </c>
      <c r="B2155" s="87" t="s">
        <v>1415</v>
      </c>
      <c r="C2155" s="93">
        <v>1.0</v>
      </c>
      <c r="D2155" s="87" t="s">
        <v>39</v>
      </c>
      <c r="E2155" s="87" t="s">
        <v>40</v>
      </c>
      <c r="F2155" s="87"/>
      <c r="G2155" s="94">
        <v>1.4139243E7</v>
      </c>
      <c r="H2155" s="87"/>
      <c r="I2155" s="87" t="s">
        <v>1426</v>
      </c>
    </row>
    <row r="2156">
      <c r="A2156" s="87">
        <v>575.0</v>
      </c>
      <c r="B2156" s="87" t="s">
        <v>1415</v>
      </c>
      <c r="C2156" s="93">
        <v>1.0</v>
      </c>
      <c r="D2156" s="87" t="s">
        <v>39</v>
      </c>
      <c r="E2156" s="87" t="s">
        <v>253</v>
      </c>
      <c r="F2156" s="87"/>
      <c r="G2156" s="94">
        <v>1.4139251E7</v>
      </c>
      <c r="H2156" s="87"/>
      <c r="I2156" s="87" t="s">
        <v>1014</v>
      </c>
    </row>
    <row r="2157">
      <c r="A2157" s="87">
        <v>606.0</v>
      </c>
      <c r="B2157" s="87" t="s">
        <v>1415</v>
      </c>
      <c r="C2157" s="93">
        <v>1.0</v>
      </c>
      <c r="D2157" s="87" t="s">
        <v>39</v>
      </c>
      <c r="E2157" s="87" t="s">
        <v>253</v>
      </c>
      <c r="F2157" s="87"/>
      <c r="G2157" s="94">
        <v>4.0105164E7</v>
      </c>
      <c r="H2157" s="87" t="s">
        <v>1427</v>
      </c>
      <c r="I2157" s="87" t="s">
        <v>1014</v>
      </c>
    </row>
    <row r="2158">
      <c r="A2158" s="87">
        <v>607.0</v>
      </c>
      <c r="B2158" s="87" t="s">
        <v>1415</v>
      </c>
      <c r="C2158" s="93">
        <v>1.0</v>
      </c>
      <c r="D2158" s="87" t="s">
        <v>39</v>
      </c>
      <c r="E2158" s="87" t="s">
        <v>26</v>
      </c>
      <c r="F2158" s="87"/>
      <c r="G2158" s="94">
        <v>4.0105172E7</v>
      </c>
      <c r="H2158" s="87" t="s">
        <v>1427</v>
      </c>
      <c r="I2158" s="87" t="s">
        <v>1428</v>
      </c>
    </row>
    <row r="2159">
      <c r="A2159" s="87">
        <v>608.0</v>
      </c>
      <c r="B2159" s="87" t="s">
        <v>1415</v>
      </c>
      <c r="C2159" s="93">
        <v>1.0</v>
      </c>
      <c r="D2159" s="87" t="s">
        <v>39</v>
      </c>
      <c r="E2159" s="87" t="s">
        <v>26</v>
      </c>
      <c r="F2159" s="87"/>
      <c r="G2159" s="94">
        <v>4.010518E7</v>
      </c>
      <c r="H2159" s="87" t="s">
        <v>1427</v>
      </c>
      <c r="I2159" s="87" t="s">
        <v>1429</v>
      </c>
    </row>
    <row r="2160">
      <c r="A2160" s="87">
        <v>609.0</v>
      </c>
      <c r="B2160" s="87" t="s">
        <v>1415</v>
      </c>
      <c r="C2160" s="93">
        <v>1.0</v>
      </c>
      <c r="D2160" s="87" t="s">
        <v>39</v>
      </c>
      <c r="E2160" s="87" t="s">
        <v>26</v>
      </c>
      <c r="F2160" s="87"/>
      <c r="G2160" s="94">
        <v>4.0105199E7</v>
      </c>
      <c r="H2160" s="87" t="s">
        <v>1427</v>
      </c>
      <c r="I2160" s="87" t="s">
        <v>1430</v>
      </c>
    </row>
    <row r="2161">
      <c r="A2161" s="87">
        <v>610.0</v>
      </c>
      <c r="B2161" s="87" t="s">
        <v>1415</v>
      </c>
      <c r="C2161" s="93">
        <v>1.0</v>
      </c>
      <c r="D2161" s="87" t="s">
        <v>39</v>
      </c>
      <c r="E2161" s="87" t="s">
        <v>40</v>
      </c>
      <c r="F2161" s="87"/>
      <c r="G2161" s="94">
        <v>4.0105202E7</v>
      </c>
      <c r="H2161" s="87" t="s">
        <v>1431</v>
      </c>
      <c r="I2161" s="87" t="s">
        <v>1432</v>
      </c>
    </row>
    <row r="2162">
      <c r="A2162" s="87">
        <v>611.0</v>
      </c>
      <c r="B2162" s="87" t="s">
        <v>1415</v>
      </c>
      <c r="C2162" s="93">
        <v>1.0</v>
      </c>
      <c r="D2162" s="87" t="s">
        <v>39</v>
      </c>
      <c r="E2162" s="87" t="s">
        <v>40</v>
      </c>
      <c r="F2162" s="87"/>
      <c r="G2162" s="94">
        <v>4.010521E7</v>
      </c>
      <c r="H2162" s="87" t="s">
        <v>1431</v>
      </c>
      <c r="I2162" s="87" t="s">
        <v>1433</v>
      </c>
    </row>
    <row r="2163">
      <c r="A2163" s="87">
        <v>612.0</v>
      </c>
      <c r="B2163" s="87" t="s">
        <v>1415</v>
      </c>
      <c r="C2163" s="93">
        <v>1.0</v>
      </c>
      <c r="D2163" s="87" t="s">
        <v>39</v>
      </c>
      <c r="E2163" s="87" t="s">
        <v>40</v>
      </c>
      <c r="F2163" s="87"/>
      <c r="G2163" s="94">
        <v>4.0105229E7</v>
      </c>
      <c r="H2163" s="87" t="s">
        <v>1419</v>
      </c>
      <c r="I2163" s="87" t="s">
        <v>1434</v>
      </c>
    </row>
    <row r="2164">
      <c r="A2164" s="87">
        <v>613.0</v>
      </c>
      <c r="B2164" s="87" t="s">
        <v>1415</v>
      </c>
      <c r="C2164" s="93">
        <v>1.0</v>
      </c>
      <c r="D2164" s="87" t="s">
        <v>39</v>
      </c>
      <c r="E2164" s="87" t="s">
        <v>253</v>
      </c>
      <c r="F2164" s="87"/>
      <c r="G2164" s="94">
        <v>4.0105237E7</v>
      </c>
      <c r="H2164" s="87" t="s">
        <v>1431</v>
      </c>
      <c r="I2164" s="87" t="s">
        <v>1014</v>
      </c>
    </row>
    <row r="2165">
      <c r="A2165" s="87">
        <v>614.0</v>
      </c>
      <c r="B2165" s="87" t="s">
        <v>1415</v>
      </c>
      <c r="C2165" s="93">
        <v>1.0</v>
      </c>
      <c r="D2165" s="87" t="s">
        <v>39</v>
      </c>
      <c r="E2165" s="87" t="s">
        <v>40</v>
      </c>
      <c r="F2165" s="87"/>
      <c r="G2165" s="94">
        <v>4.0105245E7</v>
      </c>
      <c r="H2165" s="87" t="s">
        <v>1431</v>
      </c>
      <c r="I2165" s="87" t="s">
        <v>1435</v>
      </c>
    </row>
    <row r="2166">
      <c r="A2166" s="87">
        <v>615.0</v>
      </c>
      <c r="B2166" s="87" t="s">
        <v>1415</v>
      </c>
      <c r="C2166" s="93">
        <v>1.0</v>
      </c>
      <c r="D2166" s="87" t="s">
        <v>39</v>
      </c>
      <c r="E2166" s="87" t="s">
        <v>253</v>
      </c>
      <c r="F2166" s="87"/>
      <c r="G2166" s="94">
        <v>4.0105253E7</v>
      </c>
      <c r="H2166" s="87" t="s">
        <v>1436</v>
      </c>
      <c r="I2166" s="87" t="s">
        <v>1014</v>
      </c>
    </row>
    <row r="2167">
      <c r="A2167" s="87">
        <v>765.0</v>
      </c>
      <c r="B2167" s="87" t="s">
        <v>1415</v>
      </c>
      <c r="C2167" s="93">
        <v>1.0</v>
      </c>
      <c r="D2167" s="87" t="s">
        <v>39</v>
      </c>
      <c r="E2167" s="87" t="s">
        <v>253</v>
      </c>
      <c r="F2167" s="87"/>
      <c r="G2167" s="94">
        <v>1.3879499E7</v>
      </c>
      <c r="H2167" s="87" t="s">
        <v>1437</v>
      </c>
      <c r="I2167" s="87" t="s">
        <v>1014</v>
      </c>
    </row>
    <row r="2168">
      <c r="A2168" s="87">
        <v>766.0</v>
      </c>
      <c r="B2168" s="87" t="s">
        <v>1415</v>
      </c>
      <c r="C2168" s="93">
        <v>1.0</v>
      </c>
      <c r="D2168" s="87" t="s">
        <v>39</v>
      </c>
      <c r="E2168" s="87" t="s">
        <v>253</v>
      </c>
      <c r="F2168" s="87"/>
      <c r="G2168" s="94">
        <v>1.3879545E7</v>
      </c>
      <c r="H2168" s="87" t="s">
        <v>1436</v>
      </c>
      <c r="I2168" s="87" t="s">
        <v>1014</v>
      </c>
    </row>
    <row r="2169">
      <c r="A2169" s="87">
        <v>1565.0</v>
      </c>
      <c r="B2169" s="87" t="s">
        <v>1415</v>
      </c>
      <c r="C2169" s="93">
        <v>1.0</v>
      </c>
      <c r="D2169" s="87"/>
      <c r="E2169" s="87" t="s">
        <v>83</v>
      </c>
      <c r="F2169" s="87"/>
      <c r="G2169" s="94">
        <v>7.6999106E7</v>
      </c>
      <c r="H2169" s="87"/>
      <c r="I2169" s="87"/>
    </row>
    <row r="2170">
      <c r="A2170" s="87">
        <v>1566.0</v>
      </c>
      <c r="B2170" s="87" t="s">
        <v>1415</v>
      </c>
      <c r="C2170" s="93">
        <v>1.0</v>
      </c>
      <c r="D2170" s="87"/>
      <c r="E2170" s="87" t="s">
        <v>83</v>
      </c>
      <c r="F2170" s="87"/>
      <c r="G2170" s="94">
        <v>7.6999114E7</v>
      </c>
      <c r="H2170" s="87"/>
      <c r="I2170" s="87"/>
    </row>
    <row r="2171">
      <c r="A2171" s="87">
        <v>1567.0</v>
      </c>
      <c r="B2171" s="87" t="s">
        <v>1415</v>
      </c>
      <c r="C2171" s="93">
        <v>1.0</v>
      </c>
      <c r="D2171" s="87"/>
      <c r="E2171" s="87" t="s">
        <v>83</v>
      </c>
      <c r="F2171" s="87"/>
      <c r="G2171" s="94">
        <v>7.6999122E7</v>
      </c>
      <c r="H2171" s="87"/>
      <c r="I2171" s="87"/>
    </row>
    <row r="2172">
      <c r="A2172" s="87">
        <v>1568.0</v>
      </c>
      <c r="B2172" s="87" t="s">
        <v>1415</v>
      </c>
      <c r="C2172" s="93">
        <v>1.0</v>
      </c>
      <c r="D2172" s="87"/>
      <c r="E2172" s="87" t="s">
        <v>83</v>
      </c>
      <c r="F2172" s="87"/>
      <c r="G2172" s="94">
        <v>7.699913E7</v>
      </c>
      <c r="H2172" s="87"/>
      <c r="I2172" s="87"/>
    </row>
    <row r="2173">
      <c r="A2173" s="87">
        <v>1569.0</v>
      </c>
      <c r="B2173" s="87" t="s">
        <v>1415</v>
      </c>
      <c r="C2173" s="93">
        <v>1.0</v>
      </c>
      <c r="D2173" s="87"/>
      <c r="E2173" s="87" t="s">
        <v>83</v>
      </c>
      <c r="F2173" s="87"/>
      <c r="G2173" s="94">
        <v>7.6999149E7</v>
      </c>
      <c r="H2173" s="87"/>
      <c r="I2173" s="87"/>
    </row>
    <row r="2174">
      <c r="A2174" s="87">
        <v>1570.0</v>
      </c>
      <c r="B2174" s="87" t="s">
        <v>1415</v>
      </c>
      <c r="C2174" s="93">
        <v>1.0</v>
      </c>
      <c r="D2174" s="87"/>
      <c r="E2174" s="87" t="s">
        <v>83</v>
      </c>
      <c r="F2174" s="87"/>
      <c r="G2174" s="94">
        <v>7.6999157E7</v>
      </c>
      <c r="H2174" s="87"/>
      <c r="I2174" s="87"/>
    </row>
    <row r="2175">
      <c r="A2175" s="87">
        <v>1571.0</v>
      </c>
      <c r="B2175" s="87" t="s">
        <v>1415</v>
      </c>
      <c r="C2175" s="93">
        <v>1.0</v>
      </c>
      <c r="D2175" s="87"/>
      <c r="E2175" s="87" t="s">
        <v>83</v>
      </c>
      <c r="F2175" s="87"/>
      <c r="G2175" s="94">
        <v>7.6999165E7</v>
      </c>
      <c r="H2175" s="87"/>
      <c r="I2175" s="87"/>
    </row>
    <row r="2176">
      <c r="A2176" s="87">
        <v>635.0</v>
      </c>
      <c r="B2176" s="87" t="s">
        <v>715</v>
      </c>
      <c r="C2176" s="93">
        <v>0.0</v>
      </c>
      <c r="D2176" s="87" t="s">
        <v>39</v>
      </c>
      <c r="E2176" s="87" t="s">
        <v>1032</v>
      </c>
      <c r="F2176" s="87"/>
      <c r="G2176" s="94"/>
      <c r="H2176" s="87"/>
      <c r="I2176" s="87" t="s">
        <v>1438</v>
      </c>
    </row>
    <row r="2177">
      <c r="A2177" s="87">
        <v>1713.0</v>
      </c>
      <c r="B2177" s="87" t="s">
        <v>1439</v>
      </c>
      <c r="C2177" s="93">
        <v>1.0</v>
      </c>
      <c r="D2177" s="87" t="s">
        <v>39</v>
      </c>
      <c r="E2177" s="87" t="s">
        <v>1072</v>
      </c>
      <c r="F2177" s="87"/>
      <c r="G2177" s="94">
        <v>7.7059166E7</v>
      </c>
      <c r="H2177" s="87"/>
      <c r="I2177" s="87"/>
    </row>
    <row r="2178">
      <c r="A2178" s="87">
        <v>341.0</v>
      </c>
      <c r="B2178" s="87" t="s">
        <v>1440</v>
      </c>
      <c r="C2178" s="93">
        <v>1.0</v>
      </c>
      <c r="D2178" s="87" t="s">
        <v>39</v>
      </c>
      <c r="E2178" s="87" t="s">
        <v>253</v>
      </c>
      <c r="F2178" s="87"/>
      <c r="G2178" s="94">
        <v>1.3848429E7</v>
      </c>
      <c r="H2178" s="87"/>
      <c r="I2178" s="87" t="s">
        <v>1012</v>
      </c>
    </row>
    <row r="2179">
      <c r="A2179" s="87">
        <v>1139.0</v>
      </c>
      <c r="B2179" s="87" t="s">
        <v>153</v>
      </c>
      <c r="C2179" s="93">
        <v>1.0</v>
      </c>
      <c r="D2179" s="87" t="s">
        <v>39</v>
      </c>
      <c r="E2179" s="87" t="s">
        <v>83</v>
      </c>
      <c r="F2179" s="87"/>
      <c r="G2179" s="94">
        <v>7.6831515E7</v>
      </c>
      <c r="H2179" s="87" t="s">
        <v>1441</v>
      </c>
      <c r="I2179" s="87" t="s">
        <v>1442</v>
      </c>
    </row>
    <row r="2180">
      <c r="A2180" s="87">
        <v>1163.0</v>
      </c>
      <c r="B2180" s="87" t="s">
        <v>153</v>
      </c>
      <c r="C2180" s="93">
        <v>1.0</v>
      </c>
      <c r="D2180" s="87" t="s">
        <v>39</v>
      </c>
      <c r="E2180" s="87" t="s">
        <v>83</v>
      </c>
      <c r="F2180" s="87"/>
      <c r="G2180" s="94">
        <v>7.6857417E7</v>
      </c>
      <c r="H2180" s="87" t="s">
        <v>1443</v>
      </c>
      <c r="I2180" s="87" t="s">
        <v>1444</v>
      </c>
    </row>
    <row r="2181">
      <c r="A2181" s="87">
        <v>861.0</v>
      </c>
      <c r="B2181" s="87" t="s">
        <v>1445</v>
      </c>
      <c r="C2181" s="93">
        <v>1.0</v>
      </c>
      <c r="D2181" s="87" t="s">
        <v>275</v>
      </c>
      <c r="E2181" s="87" t="s">
        <v>1</v>
      </c>
      <c r="F2181" s="87"/>
      <c r="G2181" s="94">
        <v>46188.0</v>
      </c>
      <c r="H2181" s="87"/>
      <c r="I2181" s="87" t="s">
        <v>1446</v>
      </c>
    </row>
    <row r="2182">
      <c r="A2182" s="87">
        <v>342.0</v>
      </c>
      <c r="B2182" s="87" t="s">
        <v>1447</v>
      </c>
      <c r="C2182" s="93">
        <v>1.0</v>
      </c>
      <c r="D2182" s="87"/>
      <c r="E2182" s="87" t="s">
        <v>83</v>
      </c>
      <c r="F2182" s="87"/>
      <c r="G2182" s="94">
        <v>4.0356698E7</v>
      </c>
      <c r="H2182" s="87"/>
      <c r="I2182" s="87"/>
    </row>
    <row r="2183">
      <c r="A2183" s="87">
        <v>798.0</v>
      </c>
      <c r="B2183" s="87" t="s">
        <v>1448</v>
      </c>
      <c r="C2183" s="93">
        <v>1.0</v>
      </c>
      <c r="D2183" s="87" t="s">
        <v>39</v>
      </c>
      <c r="E2183" s="87" t="s">
        <v>1046</v>
      </c>
      <c r="F2183" s="87"/>
      <c r="G2183" s="94">
        <v>51390.0</v>
      </c>
      <c r="H2183" s="87"/>
      <c r="I2183" s="87"/>
    </row>
    <row r="2184">
      <c r="A2184" s="87">
        <v>799.0</v>
      </c>
      <c r="B2184" s="87" t="s">
        <v>1448</v>
      </c>
      <c r="C2184" s="93">
        <v>1.0</v>
      </c>
      <c r="D2184" s="87" t="s">
        <v>39</v>
      </c>
      <c r="E2184" s="87" t="s">
        <v>1046</v>
      </c>
      <c r="F2184" s="87"/>
      <c r="G2184" s="94">
        <v>51411.0</v>
      </c>
      <c r="H2184" s="87"/>
      <c r="I2184" s="87"/>
    </row>
    <row r="2185">
      <c r="A2185" s="87">
        <v>548.0</v>
      </c>
      <c r="B2185" s="87" t="s">
        <v>1449</v>
      </c>
      <c r="C2185" s="93">
        <v>20.0</v>
      </c>
      <c r="D2185" s="87" t="s">
        <v>39</v>
      </c>
      <c r="E2185" s="87" t="s">
        <v>40</v>
      </c>
      <c r="F2185" s="87"/>
      <c r="G2185" s="94">
        <v>45511.0</v>
      </c>
      <c r="H2185" s="87"/>
      <c r="I2185" s="87"/>
    </row>
    <row r="2186">
      <c r="A2186" s="87">
        <v>343.0</v>
      </c>
      <c r="B2186" s="87" t="s">
        <v>1450</v>
      </c>
      <c r="C2186" s="93">
        <v>1.0</v>
      </c>
      <c r="D2186" s="87"/>
      <c r="E2186" s="87" t="s">
        <v>83</v>
      </c>
      <c r="F2186" s="87"/>
      <c r="G2186" s="94">
        <v>4.0310523E7</v>
      </c>
      <c r="H2186" s="87"/>
      <c r="I2186" s="87"/>
    </row>
    <row r="2187">
      <c r="A2187" s="87">
        <v>344.0</v>
      </c>
      <c r="B2187" s="87" t="s">
        <v>1450</v>
      </c>
      <c r="C2187" s="93">
        <v>1.0</v>
      </c>
      <c r="D2187" s="87"/>
      <c r="E2187" s="87" t="s">
        <v>83</v>
      </c>
      <c r="F2187" s="87"/>
      <c r="G2187" s="94">
        <v>7.670217E7</v>
      </c>
      <c r="H2187" s="87"/>
      <c r="I2187" s="87"/>
    </row>
    <row r="2188">
      <c r="A2188" s="87">
        <v>662.0</v>
      </c>
      <c r="B2188" s="87" t="s">
        <v>1450</v>
      </c>
      <c r="C2188" s="93">
        <v>1.0</v>
      </c>
      <c r="D2188" s="87" t="s">
        <v>39</v>
      </c>
      <c r="E2188" s="87" t="s">
        <v>1072</v>
      </c>
      <c r="F2188" s="87"/>
      <c r="G2188" s="94">
        <v>4.0310175E7</v>
      </c>
      <c r="H2188" s="87"/>
      <c r="I2188" s="87"/>
    </row>
    <row r="2189">
      <c r="A2189" s="87">
        <v>844.0</v>
      </c>
      <c r="B2189" s="87" t="s">
        <v>1451</v>
      </c>
      <c r="C2189" s="93">
        <v>2.0</v>
      </c>
      <c r="D2189" s="87" t="s">
        <v>39</v>
      </c>
      <c r="E2189" s="87" t="s">
        <v>1096</v>
      </c>
      <c r="F2189" s="87"/>
      <c r="G2189" s="94"/>
      <c r="H2189" s="87"/>
      <c r="I2189" s="87" t="s">
        <v>1452</v>
      </c>
    </row>
    <row r="2190">
      <c r="A2190" s="87">
        <v>345.0</v>
      </c>
      <c r="B2190" s="87" t="s">
        <v>1453</v>
      </c>
      <c r="C2190" s="93">
        <v>1.0</v>
      </c>
      <c r="D2190" s="87"/>
      <c r="E2190" s="87" t="s">
        <v>83</v>
      </c>
      <c r="F2190" s="87"/>
      <c r="G2190" s="94">
        <v>7.6701794E7</v>
      </c>
      <c r="H2190" s="87"/>
      <c r="I2190" s="87"/>
    </row>
    <row r="2191">
      <c r="A2191" s="87">
        <v>346.0</v>
      </c>
      <c r="B2191" s="87" t="s">
        <v>1453</v>
      </c>
      <c r="C2191" s="93">
        <v>1.0</v>
      </c>
      <c r="D2191" s="87"/>
      <c r="E2191" s="87" t="s">
        <v>83</v>
      </c>
      <c r="F2191" s="87"/>
      <c r="G2191" s="94">
        <v>7.6701808E7</v>
      </c>
      <c r="H2191" s="87"/>
      <c r="I2191" s="87"/>
    </row>
    <row r="2192">
      <c r="A2192" s="87">
        <v>347.0</v>
      </c>
      <c r="B2192" s="87" t="s">
        <v>1453</v>
      </c>
      <c r="C2192" s="93">
        <v>1.0</v>
      </c>
      <c r="D2192" s="87"/>
      <c r="E2192" s="87" t="s">
        <v>83</v>
      </c>
      <c r="F2192" s="87"/>
      <c r="G2192" s="94">
        <v>7.6701816E7</v>
      </c>
      <c r="H2192" s="87"/>
      <c r="I2192" s="87"/>
    </row>
    <row r="2193">
      <c r="A2193" s="87">
        <v>348.0</v>
      </c>
      <c r="B2193" s="87" t="s">
        <v>1453</v>
      </c>
      <c r="C2193" s="93">
        <v>1.0</v>
      </c>
      <c r="D2193" s="87"/>
      <c r="E2193" s="87" t="s">
        <v>83</v>
      </c>
      <c r="F2193" s="87"/>
      <c r="G2193" s="94">
        <v>7.6701824E7</v>
      </c>
      <c r="H2193" s="87"/>
      <c r="I2193" s="87"/>
    </row>
    <row r="2194">
      <c r="A2194" s="87">
        <v>349.0</v>
      </c>
      <c r="B2194" s="87" t="s">
        <v>1453</v>
      </c>
      <c r="C2194" s="93">
        <v>1.0</v>
      </c>
      <c r="D2194" s="87"/>
      <c r="E2194" s="87" t="s">
        <v>83</v>
      </c>
      <c r="F2194" s="87"/>
      <c r="G2194" s="94">
        <v>7.6701832E7</v>
      </c>
      <c r="H2194" s="87"/>
      <c r="I2194" s="87"/>
    </row>
    <row r="2195">
      <c r="A2195" s="87">
        <v>350.0</v>
      </c>
      <c r="B2195" s="87" t="s">
        <v>1453</v>
      </c>
      <c r="C2195" s="93">
        <v>1.0</v>
      </c>
      <c r="D2195" s="87"/>
      <c r="E2195" s="87" t="s">
        <v>83</v>
      </c>
      <c r="F2195" s="87"/>
      <c r="G2195" s="94">
        <v>7.670184E7</v>
      </c>
      <c r="H2195" s="87"/>
      <c r="I2195" s="87"/>
    </row>
    <row r="2196">
      <c r="A2196" s="87">
        <v>351.0</v>
      </c>
      <c r="B2196" s="87" t="s">
        <v>157</v>
      </c>
      <c r="C2196" s="93">
        <v>1.0</v>
      </c>
      <c r="D2196" s="87"/>
      <c r="E2196" s="87" t="s">
        <v>83</v>
      </c>
      <c r="F2196" s="87"/>
      <c r="G2196" s="94">
        <v>4.0263169E7</v>
      </c>
      <c r="H2196" s="87"/>
      <c r="I2196" s="87"/>
    </row>
    <row r="2197">
      <c r="A2197" s="87">
        <v>352.0</v>
      </c>
      <c r="B2197" s="87" t="s">
        <v>157</v>
      </c>
      <c r="C2197" s="93">
        <v>1.0</v>
      </c>
      <c r="D2197" s="87"/>
      <c r="E2197" s="87" t="s">
        <v>253</v>
      </c>
      <c r="F2197" s="87"/>
      <c r="G2197" s="94">
        <v>4.0346056E7</v>
      </c>
      <c r="H2197" s="87"/>
      <c r="I2197" s="87" t="s">
        <v>1099</v>
      </c>
    </row>
    <row r="2198">
      <c r="A2198" s="87">
        <v>353.0</v>
      </c>
      <c r="B2198" s="87" t="s">
        <v>157</v>
      </c>
      <c r="C2198" s="93">
        <v>1.0</v>
      </c>
      <c r="D2198" s="87"/>
      <c r="E2198" s="87" t="s">
        <v>83</v>
      </c>
      <c r="F2198" s="87"/>
      <c r="G2198" s="94">
        <v>7.6665186E7</v>
      </c>
      <c r="H2198" s="87"/>
      <c r="I2198" s="87"/>
    </row>
    <row r="2199">
      <c r="A2199" s="87">
        <v>354.0</v>
      </c>
      <c r="B2199" s="87" t="s">
        <v>157</v>
      </c>
      <c r="C2199" s="93">
        <v>1.0</v>
      </c>
      <c r="D2199" s="87"/>
      <c r="E2199" s="87" t="s">
        <v>83</v>
      </c>
      <c r="F2199" s="87"/>
      <c r="G2199" s="94">
        <v>7.6705048E7</v>
      </c>
      <c r="H2199" s="87"/>
      <c r="I2199" s="87"/>
    </row>
    <row r="2200">
      <c r="A2200" s="87">
        <v>891.0</v>
      </c>
      <c r="B2200" s="87" t="s">
        <v>157</v>
      </c>
      <c r="C2200" s="93">
        <v>1.0</v>
      </c>
      <c r="D2200" s="87" t="s">
        <v>39</v>
      </c>
      <c r="E2200" s="87" t="s">
        <v>1072</v>
      </c>
      <c r="F2200" s="87"/>
      <c r="G2200" s="94">
        <v>4.0215881E7</v>
      </c>
      <c r="H2200" s="87"/>
      <c r="I2200" s="87"/>
    </row>
    <row r="2201">
      <c r="A2201" s="87">
        <v>1469.0</v>
      </c>
      <c r="B2201" s="87" t="s">
        <v>157</v>
      </c>
      <c r="C2201" s="93">
        <v>1.0</v>
      </c>
      <c r="D2201" s="87" t="s">
        <v>39</v>
      </c>
      <c r="E2201" s="87" t="s">
        <v>83</v>
      </c>
      <c r="F2201" s="87"/>
      <c r="G2201" s="94">
        <v>7.6918521E7</v>
      </c>
      <c r="H2201" s="87"/>
      <c r="I2201" s="87"/>
    </row>
    <row r="2202">
      <c r="A2202" s="87">
        <v>1675.0</v>
      </c>
      <c r="B2202" s="87" t="s">
        <v>157</v>
      </c>
      <c r="C2202" s="93">
        <v>1.0</v>
      </c>
      <c r="D2202" s="87" t="s">
        <v>39</v>
      </c>
      <c r="E2202" s="87" t="s">
        <v>83</v>
      </c>
      <c r="F2202" s="87"/>
      <c r="G2202" s="94">
        <v>7.7033604E7</v>
      </c>
      <c r="H2202" s="87"/>
      <c r="I2202" s="87"/>
    </row>
    <row r="2203">
      <c r="A2203" s="87">
        <v>1676.0</v>
      </c>
      <c r="B2203" s="87" t="s">
        <v>157</v>
      </c>
      <c r="C2203" s="93">
        <v>1.0</v>
      </c>
      <c r="D2203" s="87" t="s">
        <v>39</v>
      </c>
      <c r="E2203" s="87" t="s">
        <v>83</v>
      </c>
      <c r="F2203" s="87"/>
      <c r="G2203" s="94">
        <v>7.7004418E7</v>
      </c>
      <c r="H2203" s="87"/>
      <c r="I2203" s="87"/>
    </row>
    <row r="2204">
      <c r="A2204" s="87">
        <v>849.0</v>
      </c>
      <c r="B2204" s="87" t="s">
        <v>1454</v>
      </c>
      <c r="C2204" s="93">
        <v>1.0</v>
      </c>
      <c r="D2204" s="87" t="s">
        <v>39</v>
      </c>
      <c r="E2204" s="87" t="s">
        <v>763</v>
      </c>
      <c r="F2204" s="87"/>
      <c r="G2204" s="94">
        <v>4.0140695E7</v>
      </c>
      <c r="H2204" s="87"/>
      <c r="I2204" s="87"/>
    </row>
    <row r="2205">
      <c r="A2205" s="87">
        <v>719.0</v>
      </c>
      <c r="B2205" s="87" t="s">
        <v>1455</v>
      </c>
      <c r="C2205" s="93">
        <v>1.0</v>
      </c>
      <c r="D2205" s="87" t="s">
        <v>39</v>
      </c>
      <c r="E2205" s="87" t="s">
        <v>1018</v>
      </c>
      <c r="F2205" s="87"/>
      <c r="G2205" s="94">
        <v>4.0082075E7</v>
      </c>
      <c r="H2205" s="87"/>
      <c r="I2205" s="87"/>
    </row>
    <row r="2206">
      <c r="A2206" s="87">
        <v>1572.0</v>
      </c>
      <c r="B2206" s="87" t="s">
        <v>1456</v>
      </c>
      <c r="C2206" s="93">
        <v>1.0</v>
      </c>
      <c r="D2206" s="87"/>
      <c r="E2206" s="87" t="s">
        <v>83</v>
      </c>
      <c r="F2206" s="87"/>
      <c r="G2206" s="94">
        <v>7.7003357E7</v>
      </c>
      <c r="H2206" s="87"/>
      <c r="I2206" s="87"/>
    </row>
    <row r="2207">
      <c r="A2207" s="87">
        <v>1573.0</v>
      </c>
      <c r="B2207" s="87" t="s">
        <v>1456</v>
      </c>
      <c r="C2207" s="93">
        <v>1.0</v>
      </c>
      <c r="D2207" s="87"/>
      <c r="E2207" s="87" t="s">
        <v>83</v>
      </c>
      <c r="F2207" s="87"/>
      <c r="G2207" s="94">
        <v>7.7003365E7</v>
      </c>
      <c r="H2207" s="87"/>
      <c r="I2207" s="87"/>
    </row>
    <row r="2208">
      <c r="A2208" s="87">
        <v>738.0</v>
      </c>
      <c r="B2208" s="87" t="s">
        <v>797</v>
      </c>
      <c r="C2208" s="93">
        <v>1.0</v>
      </c>
      <c r="D2208" s="87" t="s">
        <v>39</v>
      </c>
      <c r="E2208" s="87" t="s">
        <v>253</v>
      </c>
      <c r="F2208" s="87"/>
      <c r="G2208" s="94">
        <v>5.3529979E7</v>
      </c>
      <c r="H2208" s="87"/>
      <c r="I2208" s="87" t="s">
        <v>1457</v>
      </c>
    </row>
    <row r="2209">
      <c r="A2209" s="87">
        <v>356.0</v>
      </c>
      <c r="B2209" s="87" t="s">
        <v>948</v>
      </c>
      <c r="C2209" s="93">
        <v>1.0</v>
      </c>
      <c r="D2209" s="87" t="s">
        <v>39</v>
      </c>
      <c r="E2209" s="87" t="s">
        <v>40</v>
      </c>
      <c r="F2209" s="87"/>
      <c r="G2209" s="94">
        <v>1.3968823E7</v>
      </c>
      <c r="H2209" s="87"/>
      <c r="I2209" s="87"/>
    </row>
    <row r="2210">
      <c r="A2210" s="87">
        <v>357.0</v>
      </c>
      <c r="B2210" s="87" t="s">
        <v>1458</v>
      </c>
      <c r="C2210" s="93">
        <v>1.0</v>
      </c>
      <c r="D2210" s="87" t="s">
        <v>39</v>
      </c>
      <c r="E2210" s="87" t="s">
        <v>253</v>
      </c>
      <c r="F2210" s="87"/>
      <c r="G2210" s="94">
        <v>1.3958917E7</v>
      </c>
      <c r="H2210" s="87"/>
      <c r="I2210" s="87" t="s">
        <v>1099</v>
      </c>
    </row>
    <row r="2211">
      <c r="A2211" s="87">
        <v>358.0</v>
      </c>
      <c r="B2211" s="87" t="s">
        <v>672</v>
      </c>
      <c r="C2211" s="93">
        <v>1.0</v>
      </c>
      <c r="D2211" s="87"/>
      <c r="E2211" s="87" t="s">
        <v>83</v>
      </c>
      <c r="F2211" s="87"/>
      <c r="G2211" s="94">
        <v>4.0304566E7</v>
      </c>
      <c r="H2211" s="87"/>
      <c r="I2211" s="87"/>
    </row>
    <row r="2212">
      <c r="A2212" s="87">
        <v>1687.0</v>
      </c>
      <c r="B2212" s="87" t="s">
        <v>672</v>
      </c>
      <c r="C2212" s="93">
        <v>1.0</v>
      </c>
      <c r="D2212" s="87" t="s">
        <v>39</v>
      </c>
      <c r="E2212" s="87" t="s">
        <v>83</v>
      </c>
      <c r="F2212" s="87"/>
      <c r="G2212" s="94">
        <v>4.0304426E7</v>
      </c>
      <c r="H2212" s="87"/>
      <c r="I2212" s="87"/>
    </row>
    <row r="2213">
      <c r="A2213" s="87">
        <v>582.0</v>
      </c>
      <c r="B2213" s="87" t="s">
        <v>1459</v>
      </c>
      <c r="C2213" s="93">
        <v>1.0</v>
      </c>
      <c r="D2213" s="87" t="s">
        <v>39</v>
      </c>
      <c r="E2213" s="87" t="s">
        <v>763</v>
      </c>
      <c r="F2213" s="87"/>
      <c r="G2213" s="94"/>
      <c r="H2213" s="87"/>
      <c r="I2213" s="87" t="s">
        <v>1460</v>
      </c>
    </row>
    <row r="2214">
      <c r="A2214" s="87">
        <v>620.0</v>
      </c>
      <c r="B2214" s="87" t="s">
        <v>1459</v>
      </c>
      <c r="C2214" s="93">
        <v>1.0</v>
      </c>
      <c r="D2214" s="87" t="s">
        <v>39</v>
      </c>
      <c r="E2214" s="87" t="s">
        <v>258</v>
      </c>
      <c r="F2214" s="87"/>
      <c r="G2214" s="94"/>
      <c r="H2214" s="87" t="s">
        <v>1461</v>
      </c>
      <c r="I2214" s="87" t="s">
        <v>1462</v>
      </c>
    </row>
    <row r="2215">
      <c r="A2215" s="87">
        <v>59.0</v>
      </c>
      <c r="B2215" s="87" t="s">
        <v>1463</v>
      </c>
      <c r="C2215" s="93">
        <v>1.0</v>
      </c>
      <c r="D2215" s="87" t="s">
        <v>39</v>
      </c>
      <c r="E2215" s="87" t="s">
        <v>253</v>
      </c>
      <c r="F2215" s="87"/>
      <c r="G2215" s="94">
        <v>1.397453E7</v>
      </c>
      <c r="H2215" s="87"/>
      <c r="I2215" s="87" t="s">
        <v>983</v>
      </c>
    </row>
    <row r="2216">
      <c r="A2216" s="87">
        <v>359.0</v>
      </c>
      <c r="B2216" s="87" t="s">
        <v>1463</v>
      </c>
      <c r="C2216" s="93">
        <v>1.0</v>
      </c>
      <c r="D2216" s="87" t="s">
        <v>39</v>
      </c>
      <c r="E2216" s="87" t="s">
        <v>253</v>
      </c>
      <c r="F2216" s="87"/>
      <c r="G2216" s="94">
        <v>1.387313E7</v>
      </c>
      <c r="H2216" s="87"/>
      <c r="I2216" s="87" t="s">
        <v>1099</v>
      </c>
    </row>
    <row r="2217">
      <c r="A2217" s="87">
        <v>360.0</v>
      </c>
      <c r="B2217" s="87" t="s">
        <v>1463</v>
      </c>
      <c r="C2217" s="93">
        <v>1.0</v>
      </c>
      <c r="D2217" s="87" t="s">
        <v>39</v>
      </c>
      <c r="E2217" s="87" t="s">
        <v>253</v>
      </c>
      <c r="F2217" s="87"/>
      <c r="G2217" s="94">
        <v>1.3993046E7</v>
      </c>
      <c r="H2217" s="87"/>
      <c r="I2217" s="87" t="s">
        <v>1464</v>
      </c>
    </row>
    <row r="2218">
      <c r="A2218" s="87">
        <v>361.0</v>
      </c>
      <c r="B2218" s="87" t="s">
        <v>1463</v>
      </c>
      <c r="C2218" s="93">
        <v>1.0</v>
      </c>
      <c r="D2218" s="87" t="s">
        <v>39</v>
      </c>
      <c r="E2218" s="87" t="s">
        <v>253</v>
      </c>
      <c r="F2218" s="87"/>
      <c r="G2218" s="94">
        <v>1.4115069E7</v>
      </c>
      <c r="H2218" s="87"/>
      <c r="I2218" s="87" t="s">
        <v>1464</v>
      </c>
    </row>
    <row r="2219">
      <c r="A2219" s="87">
        <v>686.0</v>
      </c>
      <c r="B2219" s="87" t="s">
        <v>1463</v>
      </c>
      <c r="C2219" s="93">
        <v>1.0</v>
      </c>
      <c r="D2219" s="87" t="s">
        <v>39</v>
      </c>
      <c r="E2219" s="87" t="s">
        <v>253</v>
      </c>
      <c r="F2219" s="87"/>
      <c r="G2219" s="94">
        <v>1.397422E7</v>
      </c>
      <c r="H2219" s="87"/>
      <c r="I2219" s="87" t="s">
        <v>1014</v>
      </c>
    </row>
    <row r="2220">
      <c r="A2220" s="87">
        <v>769.0</v>
      </c>
      <c r="B2220" s="87" t="s">
        <v>1463</v>
      </c>
      <c r="C2220" s="93">
        <v>1.0</v>
      </c>
      <c r="D2220" s="87" t="s">
        <v>39</v>
      </c>
      <c r="E2220" s="87" t="s">
        <v>253</v>
      </c>
      <c r="F2220" s="87"/>
      <c r="G2220" s="94">
        <v>1.4080842E7</v>
      </c>
      <c r="H2220" s="87"/>
      <c r="I2220" s="87" t="s">
        <v>1014</v>
      </c>
    </row>
    <row r="2221">
      <c r="A2221" s="87">
        <v>807.0</v>
      </c>
      <c r="B2221" s="87" t="s">
        <v>1463</v>
      </c>
      <c r="C2221" s="93">
        <v>1.0</v>
      </c>
      <c r="D2221" s="87" t="s">
        <v>39</v>
      </c>
      <c r="E2221" s="87" t="s">
        <v>253</v>
      </c>
      <c r="F2221" s="87"/>
      <c r="G2221" s="94">
        <v>1.387125E7</v>
      </c>
      <c r="H2221" s="87"/>
      <c r="I2221" s="87" t="s">
        <v>1012</v>
      </c>
    </row>
    <row r="2222">
      <c r="A2222" s="87">
        <v>808.0</v>
      </c>
      <c r="B2222" s="87" t="s">
        <v>1463</v>
      </c>
      <c r="C2222" s="93">
        <v>1.0</v>
      </c>
      <c r="D2222" s="87" t="s">
        <v>39</v>
      </c>
      <c r="E2222" s="87" t="s">
        <v>253</v>
      </c>
      <c r="F2222" s="87"/>
      <c r="G2222" s="94">
        <v>1.387187E7</v>
      </c>
      <c r="H2222" s="87"/>
      <c r="I2222" s="87" t="s">
        <v>1012</v>
      </c>
    </row>
    <row r="2223">
      <c r="A2223" s="87">
        <v>815.0</v>
      </c>
      <c r="B2223" s="87" t="s">
        <v>1463</v>
      </c>
      <c r="C2223" s="93">
        <v>1.0</v>
      </c>
      <c r="D2223" s="87" t="s">
        <v>39</v>
      </c>
      <c r="E2223" s="87" t="s">
        <v>253</v>
      </c>
      <c r="F2223" s="87"/>
      <c r="G2223" s="94">
        <v>1.397427E7</v>
      </c>
      <c r="H2223" s="87"/>
      <c r="I2223" s="87" t="s">
        <v>1012</v>
      </c>
    </row>
    <row r="2224">
      <c r="A2224" s="87">
        <v>816.0</v>
      </c>
      <c r="B2224" s="87" t="s">
        <v>1463</v>
      </c>
      <c r="C2224" s="93">
        <v>1.0</v>
      </c>
      <c r="D2224" s="87" t="s">
        <v>39</v>
      </c>
      <c r="E2224" s="87" t="s">
        <v>253</v>
      </c>
      <c r="F2224" s="87"/>
      <c r="G2224" s="94">
        <v>1.3974548E7</v>
      </c>
      <c r="H2224" s="87" t="s">
        <v>1465</v>
      </c>
      <c r="I2224" s="87" t="s">
        <v>1012</v>
      </c>
    </row>
    <row r="2225">
      <c r="A2225" s="87">
        <v>362.0</v>
      </c>
      <c r="B2225" s="87" t="s">
        <v>800</v>
      </c>
      <c r="C2225" s="93">
        <v>1.0</v>
      </c>
      <c r="D2225" s="87"/>
      <c r="E2225" s="87" t="s">
        <v>83</v>
      </c>
      <c r="F2225" s="87"/>
      <c r="G2225" s="94">
        <v>4.007871E7</v>
      </c>
      <c r="H2225" s="87"/>
      <c r="I2225" s="87" t="s">
        <v>1466</v>
      </c>
    </row>
    <row r="2226">
      <c r="A2226" s="87">
        <v>363.0</v>
      </c>
      <c r="B2226" s="87" t="s">
        <v>800</v>
      </c>
      <c r="C2226" s="93">
        <v>1.0</v>
      </c>
      <c r="D2226" s="87" t="s">
        <v>39</v>
      </c>
      <c r="E2226" s="87" t="s">
        <v>253</v>
      </c>
      <c r="F2226" s="87"/>
      <c r="G2226" s="94">
        <v>4.02668E7</v>
      </c>
      <c r="H2226" s="87"/>
      <c r="I2226" s="87" t="s">
        <v>867</v>
      </c>
    </row>
    <row r="2227">
      <c r="A2227" s="87">
        <v>364.0</v>
      </c>
      <c r="B2227" s="87" t="s">
        <v>800</v>
      </c>
      <c r="C2227" s="93">
        <v>1.0</v>
      </c>
      <c r="D2227" s="87" t="s">
        <v>39</v>
      </c>
      <c r="E2227" s="87" t="s">
        <v>253</v>
      </c>
      <c r="F2227" s="87"/>
      <c r="G2227" s="94">
        <v>4.0266818E7</v>
      </c>
      <c r="H2227" s="87"/>
      <c r="I2227" s="87" t="s">
        <v>1099</v>
      </c>
    </row>
    <row r="2228">
      <c r="A2228" s="87">
        <v>723.0</v>
      </c>
      <c r="B2228" s="87" t="s">
        <v>800</v>
      </c>
      <c r="C2228" s="93">
        <v>1.0</v>
      </c>
      <c r="D2228" s="87" t="s">
        <v>39</v>
      </c>
      <c r="E2228" s="87" t="s">
        <v>253</v>
      </c>
      <c r="F2228" s="87"/>
      <c r="G2228" s="94">
        <v>4.0093093E7</v>
      </c>
      <c r="H2228" s="87"/>
      <c r="I2228" s="87" t="s">
        <v>1014</v>
      </c>
    </row>
    <row r="2229">
      <c r="A2229" s="87">
        <v>983.0</v>
      </c>
      <c r="B2229" s="87" t="s">
        <v>800</v>
      </c>
      <c r="C2229" s="93">
        <v>1.0</v>
      </c>
      <c r="D2229" s="87" t="s">
        <v>39</v>
      </c>
      <c r="E2229" s="87" t="s">
        <v>83</v>
      </c>
      <c r="F2229" s="87"/>
      <c r="G2229" s="94">
        <v>7.6715469E7</v>
      </c>
      <c r="H2229" s="87"/>
      <c r="I2229" s="87"/>
    </row>
    <row r="2230">
      <c r="A2230" s="87">
        <v>1178.0</v>
      </c>
      <c r="B2230" s="87" t="s">
        <v>800</v>
      </c>
      <c r="C2230" s="93">
        <v>1.0</v>
      </c>
      <c r="D2230" s="87" t="s">
        <v>39</v>
      </c>
      <c r="E2230" s="87" t="s">
        <v>763</v>
      </c>
      <c r="F2230" s="87"/>
      <c r="G2230" s="94">
        <v>7.687129E7</v>
      </c>
      <c r="H2230" s="87"/>
      <c r="I2230" s="87"/>
    </row>
    <row r="2231">
      <c r="A2231" s="87">
        <v>1505.0</v>
      </c>
      <c r="B2231" s="87" t="s">
        <v>800</v>
      </c>
      <c r="C2231" s="93">
        <v>1.0</v>
      </c>
      <c r="D2231" s="87" t="s">
        <v>39</v>
      </c>
      <c r="E2231" s="87" t="s">
        <v>72</v>
      </c>
      <c r="F2231" s="87"/>
      <c r="G2231" s="94">
        <v>7.6837637E7</v>
      </c>
      <c r="H2231" s="87"/>
      <c r="I2231" s="87"/>
    </row>
    <row r="2232">
      <c r="A2232" s="87">
        <v>690.0</v>
      </c>
      <c r="B2232" s="87" t="s">
        <v>800</v>
      </c>
      <c r="C2232" s="93">
        <v>1.0</v>
      </c>
      <c r="D2232" s="87" t="s">
        <v>39</v>
      </c>
      <c r="E2232" s="87" t="s">
        <v>1020</v>
      </c>
      <c r="F2232" s="87"/>
      <c r="G2232" s="94"/>
      <c r="H2232" s="87"/>
      <c r="I2232" s="87" t="s">
        <v>1467</v>
      </c>
    </row>
    <row r="2233">
      <c r="A2233" s="87">
        <v>738.0</v>
      </c>
      <c r="B2233" s="87" t="s">
        <v>800</v>
      </c>
      <c r="C2233" s="93">
        <v>1.0</v>
      </c>
      <c r="D2233" s="87" t="s">
        <v>39</v>
      </c>
      <c r="E2233" s="87" t="s">
        <v>664</v>
      </c>
      <c r="F2233" s="87"/>
      <c r="G2233" s="94"/>
      <c r="H2233" s="87"/>
      <c r="I2233" s="87" t="s">
        <v>802</v>
      </c>
    </row>
    <row r="2234">
      <c r="A2234" s="87">
        <v>365.0</v>
      </c>
      <c r="B2234" s="87" t="s">
        <v>674</v>
      </c>
      <c r="C2234" s="93">
        <v>1.0</v>
      </c>
      <c r="D2234" s="87"/>
      <c r="E2234" s="87" t="s">
        <v>83</v>
      </c>
      <c r="F2234" s="87"/>
      <c r="G2234" s="94">
        <v>1.4002434E7</v>
      </c>
      <c r="H2234" s="87"/>
      <c r="I2234" s="87"/>
    </row>
    <row r="2235">
      <c r="A2235" s="87">
        <v>897.0</v>
      </c>
      <c r="B2235" s="87" t="s">
        <v>674</v>
      </c>
      <c r="C2235" s="93">
        <v>1.0</v>
      </c>
      <c r="D2235" s="87" t="s">
        <v>39</v>
      </c>
      <c r="E2235" s="87" t="s">
        <v>1333</v>
      </c>
      <c r="F2235" s="87"/>
      <c r="G2235" s="94">
        <v>4.0304205E7</v>
      </c>
      <c r="H2235" s="87"/>
      <c r="I2235" s="87" t="s">
        <v>673</v>
      </c>
    </row>
    <row r="2236">
      <c r="A2236" s="87">
        <v>1159.0</v>
      </c>
      <c r="B2236" s="87" t="s">
        <v>675</v>
      </c>
      <c r="C2236" s="93">
        <v>1.0</v>
      </c>
      <c r="D2236" s="87" t="s">
        <v>39</v>
      </c>
      <c r="E2236" s="87" t="s">
        <v>83</v>
      </c>
      <c r="F2236" s="87"/>
      <c r="G2236" s="94">
        <v>7.6856119E7</v>
      </c>
      <c r="H2236" s="87"/>
      <c r="I2236" s="87" t="s">
        <v>1468</v>
      </c>
    </row>
    <row r="2237">
      <c r="A2237" s="87">
        <v>1725.0</v>
      </c>
      <c r="B2237" s="87" t="s">
        <v>1469</v>
      </c>
      <c r="C2237" s="93">
        <v>1.0</v>
      </c>
      <c r="D2237" s="87" t="s">
        <v>39</v>
      </c>
      <c r="E2237" s="87" t="s">
        <v>83</v>
      </c>
      <c r="F2237" s="87"/>
      <c r="G2237" s="94">
        <v>7.7066863E7</v>
      </c>
      <c r="H2237" s="87"/>
      <c r="I2237" s="87" t="s">
        <v>1470</v>
      </c>
    </row>
    <row r="2238">
      <c r="A2238" s="87">
        <v>1726.0</v>
      </c>
      <c r="B2238" s="87" t="s">
        <v>1469</v>
      </c>
      <c r="C2238" s="93">
        <v>1.0</v>
      </c>
      <c r="D2238" s="87" t="s">
        <v>39</v>
      </c>
      <c r="E2238" s="87" t="s">
        <v>83</v>
      </c>
      <c r="F2238" s="87"/>
      <c r="G2238" s="94">
        <v>7.7066944E7</v>
      </c>
      <c r="H2238" s="87"/>
      <c r="I2238" s="87" t="s">
        <v>1470</v>
      </c>
    </row>
    <row r="2239">
      <c r="A2239" s="87">
        <v>93.0</v>
      </c>
      <c r="B2239" s="87" t="s">
        <v>1471</v>
      </c>
      <c r="C2239" s="93">
        <v>1.0</v>
      </c>
      <c r="D2239" s="87" t="s">
        <v>39</v>
      </c>
      <c r="E2239" s="87" t="s">
        <v>245</v>
      </c>
      <c r="F2239" s="87"/>
      <c r="G2239" s="94">
        <v>7.6841529E7</v>
      </c>
      <c r="H2239" s="87" t="s">
        <v>1472</v>
      </c>
      <c r="I2239" s="87" t="s">
        <v>1473</v>
      </c>
    </row>
    <row r="2240">
      <c r="A2240" s="87">
        <v>94.0</v>
      </c>
      <c r="B2240" s="87" t="s">
        <v>1471</v>
      </c>
      <c r="C2240" s="93">
        <v>1.0</v>
      </c>
      <c r="D2240" s="87" t="s">
        <v>1003</v>
      </c>
      <c r="E2240" s="87" t="s">
        <v>1159</v>
      </c>
      <c r="F2240" s="87"/>
      <c r="G2240" s="94">
        <v>7.6841537E7</v>
      </c>
      <c r="H2240" s="87" t="s">
        <v>1474</v>
      </c>
      <c r="I2240" s="87" t="s">
        <v>1473</v>
      </c>
    </row>
    <row r="2241">
      <c r="A2241" s="87">
        <v>95.0</v>
      </c>
      <c r="B2241" s="87" t="s">
        <v>1471</v>
      </c>
      <c r="C2241" s="93">
        <v>1.0</v>
      </c>
      <c r="D2241" s="87" t="s">
        <v>1003</v>
      </c>
      <c r="E2241" s="87" t="s">
        <v>1158</v>
      </c>
      <c r="F2241" s="87"/>
      <c r="G2241" s="94">
        <v>7.6841545E7</v>
      </c>
      <c r="H2241" s="87" t="s">
        <v>1475</v>
      </c>
      <c r="I2241" s="87"/>
    </row>
    <row r="2242">
      <c r="A2242" s="87">
        <v>96.0</v>
      </c>
      <c r="B2242" s="87" t="s">
        <v>1471</v>
      </c>
      <c r="C2242" s="93">
        <v>1.0</v>
      </c>
      <c r="D2242" s="87" t="s">
        <v>1003</v>
      </c>
      <c r="E2242" s="87" t="s">
        <v>1055</v>
      </c>
      <c r="F2242" s="87"/>
      <c r="G2242" s="94">
        <v>7.6841553E7</v>
      </c>
      <c r="H2242" s="87"/>
      <c r="I2242" s="87"/>
    </row>
    <row r="2243">
      <c r="A2243" s="87">
        <v>1150.0</v>
      </c>
      <c r="B2243" s="87" t="s">
        <v>1471</v>
      </c>
      <c r="C2243" s="93">
        <v>1.0</v>
      </c>
      <c r="D2243" s="87" t="s">
        <v>39</v>
      </c>
      <c r="E2243" s="87" t="s">
        <v>1476</v>
      </c>
      <c r="F2243" s="87"/>
      <c r="G2243" s="94">
        <v>7.684151E7</v>
      </c>
      <c r="H2243" s="87" t="s">
        <v>1474</v>
      </c>
      <c r="I2243" s="87" t="s">
        <v>1477</v>
      </c>
    </row>
    <row r="2244">
      <c r="A2244" s="87">
        <v>633.0</v>
      </c>
      <c r="B2244" s="87" t="s">
        <v>718</v>
      </c>
      <c r="C2244" s="93">
        <v>6.0</v>
      </c>
      <c r="D2244" s="87" t="s">
        <v>39</v>
      </c>
      <c r="E2244" s="87" t="s">
        <v>1032</v>
      </c>
      <c r="F2244" s="87"/>
      <c r="G2244" s="94"/>
      <c r="H2244" s="87"/>
      <c r="I2244" s="87" t="s">
        <v>1478</v>
      </c>
    </row>
    <row r="2245">
      <c r="A2245" s="87">
        <v>366.0</v>
      </c>
      <c r="B2245" s="87" t="s">
        <v>271</v>
      </c>
      <c r="C2245" s="93">
        <v>1.0</v>
      </c>
      <c r="D2245" s="87"/>
      <c r="E2245" s="87" t="s">
        <v>83</v>
      </c>
      <c r="F2245" s="87"/>
      <c r="G2245" s="94">
        <v>7.6828417E7</v>
      </c>
      <c r="H2245" s="87"/>
      <c r="I2245" s="87"/>
    </row>
    <row r="2246">
      <c r="A2246" s="87">
        <v>751.0</v>
      </c>
      <c r="B2246" s="87" t="s">
        <v>561</v>
      </c>
      <c r="C2246" s="93">
        <v>1.0</v>
      </c>
      <c r="D2246" s="87" t="s">
        <v>275</v>
      </c>
      <c r="E2246" s="87" t="s">
        <v>18</v>
      </c>
      <c r="F2246" s="87"/>
      <c r="G2246" s="94"/>
      <c r="H2246" s="87"/>
      <c r="I2246" s="87"/>
    </row>
    <row r="2247">
      <c r="A2247" s="87">
        <v>752.0</v>
      </c>
      <c r="B2247" s="87" t="s">
        <v>561</v>
      </c>
      <c r="C2247" s="93">
        <v>1.0</v>
      </c>
      <c r="D2247" s="87" t="s">
        <v>275</v>
      </c>
      <c r="E2247" s="87" t="s">
        <v>12</v>
      </c>
      <c r="F2247" s="87"/>
      <c r="G2247" s="94"/>
      <c r="H2247" s="87"/>
      <c r="I2247" s="87"/>
    </row>
    <row r="2248">
      <c r="A2248" s="87">
        <v>753.0</v>
      </c>
      <c r="B2248" s="87" t="s">
        <v>561</v>
      </c>
      <c r="C2248" s="93">
        <v>1.0</v>
      </c>
      <c r="D2248" s="87" t="s">
        <v>275</v>
      </c>
      <c r="E2248" s="87" t="s">
        <v>20</v>
      </c>
      <c r="F2248" s="87"/>
      <c r="G2248" s="94"/>
      <c r="H2248" s="87"/>
      <c r="I2248" s="87"/>
    </row>
    <row r="2249">
      <c r="A2249" s="87">
        <v>756.0</v>
      </c>
      <c r="B2249" s="87" t="s">
        <v>561</v>
      </c>
      <c r="C2249" s="93">
        <v>1.0</v>
      </c>
      <c r="D2249" s="87" t="s">
        <v>275</v>
      </c>
      <c r="E2249" s="87" t="s">
        <v>17</v>
      </c>
      <c r="F2249" s="87"/>
      <c r="G2249" s="94"/>
      <c r="H2249" s="87"/>
      <c r="I2249" s="87"/>
    </row>
    <row r="2250">
      <c r="A2250" s="87">
        <v>367.0</v>
      </c>
      <c r="B2250" s="87" t="s">
        <v>1479</v>
      </c>
      <c r="C2250" s="93">
        <v>1.0</v>
      </c>
      <c r="D2250" s="87"/>
      <c r="E2250" s="87" t="s">
        <v>83</v>
      </c>
      <c r="F2250" s="87"/>
      <c r="G2250" s="94">
        <v>1.3967282E7</v>
      </c>
      <c r="H2250" s="87"/>
      <c r="I2250" s="87"/>
    </row>
    <row r="2251">
      <c r="A2251" s="87">
        <v>545.0</v>
      </c>
      <c r="B2251" s="87" t="s">
        <v>1479</v>
      </c>
      <c r="C2251" s="93">
        <v>1.0</v>
      </c>
      <c r="D2251" s="87" t="s">
        <v>39</v>
      </c>
      <c r="E2251" s="87" t="s">
        <v>253</v>
      </c>
      <c r="F2251" s="87"/>
      <c r="G2251" s="94">
        <v>1.3967266E7</v>
      </c>
      <c r="H2251" s="87"/>
      <c r="I2251" s="87" t="s">
        <v>1078</v>
      </c>
    </row>
    <row r="2252">
      <c r="A2252" s="87">
        <v>637.0</v>
      </c>
      <c r="B2252" s="87" t="s">
        <v>719</v>
      </c>
      <c r="C2252" s="93">
        <v>0.0</v>
      </c>
      <c r="D2252" s="87" t="s">
        <v>39</v>
      </c>
      <c r="E2252" s="87" t="s">
        <v>1032</v>
      </c>
      <c r="F2252" s="87"/>
      <c r="G2252" s="94"/>
      <c r="H2252" s="87"/>
      <c r="I2252" s="87" t="s">
        <v>1393</v>
      </c>
    </row>
    <row r="2253">
      <c r="A2253" s="87">
        <v>448.0</v>
      </c>
      <c r="B2253" s="87" t="s">
        <v>488</v>
      </c>
      <c r="C2253" s="93">
        <v>1.0</v>
      </c>
      <c r="D2253" s="87" t="s">
        <v>39</v>
      </c>
      <c r="E2253" s="87" t="s">
        <v>26</v>
      </c>
      <c r="F2253" s="87"/>
      <c r="G2253" s="94">
        <v>45555.0</v>
      </c>
      <c r="H2253" s="87"/>
      <c r="I2253" s="87"/>
    </row>
    <row r="2254">
      <c r="A2254" s="87">
        <v>1353.0</v>
      </c>
      <c r="B2254" s="87" t="s">
        <v>819</v>
      </c>
      <c r="C2254" s="93">
        <v>1.0</v>
      </c>
      <c r="D2254" s="87" t="s">
        <v>39</v>
      </c>
      <c r="E2254" s="87" t="s">
        <v>1072</v>
      </c>
      <c r="F2254" s="87"/>
      <c r="G2254" s="94">
        <v>7.6926176E7</v>
      </c>
      <c r="H2254" s="87"/>
      <c r="I2254" s="87" t="s">
        <v>820</v>
      </c>
    </row>
    <row r="2255">
      <c r="A2255" s="87">
        <v>368.0</v>
      </c>
      <c r="B2255" s="87" t="s">
        <v>1480</v>
      </c>
      <c r="C2255" s="93">
        <v>1.0</v>
      </c>
      <c r="D2255" s="87"/>
      <c r="E2255" s="87" t="s">
        <v>83</v>
      </c>
      <c r="F2255" s="87"/>
      <c r="G2255" s="94">
        <v>4.0356701E7</v>
      </c>
      <c r="H2255" s="87"/>
      <c r="I2255" s="87"/>
    </row>
    <row r="2256">
      <c r="A2256" s="87">
        <v>1677.0</v>
      </c>
      <c r="B2256" s="87" t="s">
        <v>1480</v>
      </c>
      <c r="C2256" s="93">
        <v>1.0</v>
      </c>
      <c r="D2256" s="87" t="s">
        <v>39</v>
      </c>
      <c r="E2256" s="87" t="s">
        <v>83</v>
      </c>
      <c r="F2256" s="87"/>
      <c r="G2256" s="94">
        <v>7.6918149E7</v>
      </c>
      <c r="H2256" s="87"/>
      <c r="I2256" s="87"/>
    </row>
    <row r="2257">
      <c r="A2257" s="87">
        <v>1678.0</v>
      </c>
      <c r="B2257" s="87" t="s">
        <v>1480</v>
      </c>
      <c r="C2257" s="93">
        <v>1.0</v>
      </c>
      <c r="D2257" s="87" t="s">
        <v>39</v>
      </c>
      <c r="E2257" s="87" t="s">
        <v>83</v>
      </c>
      <c r="F2257" s="87"/>
      <c r="G2257" s="94">
        <v>7.6918157E7</v>
      </c>
      <c r="H2257" s="87"/>
      <c r="I2257" s="87"/>
    </row>
    <row r="2258">
      <c r="A2258" s="87">
        <v>702.0</v>
      </c>
      <c r="B2258" s="87" t="s">
        <v>1481</v>
      </c>
      <c r="C2258" s="93">
        <v>1.0</v>
      </c>
      <c r="D2258" s="87" t="s">
        <v>39</v>
      </c>
      <c r="E2258" s="87" t="s">
        <v>1020</v>
      </c>
      <c r="F2258" s="87"/>
      <c r="G2258" s="94">
        <v>1.4098008E7</v>
      </c>
      <c r="H2258" s="87"/>
      <c r="I2258" s="87"/>
    </row>
    <row r="2259">
      <c r="A2259" s="87">
        <v>369.0</v>
      </c>
      <c r="B2259" s="87" t="s">
        <v>1482</v>
      </c>
      <c r="C2259" s="93">
        <v>1.0</v>
      </c>
      <c r="D2259" s="87"/>
      <c r="E2259" s="87" t="s">
        <v>83</v>
      </c>
      <c r="F2259" s="87"/>
      <c r="G2259" s="94">
        <v>4.02873E7</v>
      </c>
      <c r="H2259" s="87"/>
      <c r="I2259" s="87"/>
    </row>
    <row r="2260">
      <c r="A2260" s="87">
        <v>1714.0</v>
      </c>
      <c r="B2260" s="87" t="s">
        <v>1482</v>
      </c>
      <c r="C2260" s="93">
        <v>1.0</v>
      </c>
      <c r="D2260" s="87" t="s">
        <v>39</v>
      </c>
      <c r="E2260" s="87" t="s">
        <v>83</v>
      </c>
      <c r="F2260" s="87"/>
      <c r="G2260" s="94">
        <v>7.7029224E7</v>
      </c>
      <c r="H2260" s="87"/>
      <c r="I2260" s="87"/>
    </row>
    <row r="2261">
      <c r="A2261" s="87">
        <v>821.0</v>
      </c>
      <c r="B2261" s="87" t="s">
        <v>1483</v>
      </c>
      <c r="C2261" s="93">
        <v>1.0</v>
      </c>
      <c r="D2261" s="87" t="s">
        <v>1003</v>
      </c>
      <c r="E2261" s="87" t="s">
        <v>1484</v>
      </c>
      <c r="F2261" s="87"/>
      <c r="G2261" s="94"/>
      <c r="H2261" s="87" t="s">
        <v>1485</v>
      </c>
      <c r="I2261" s="87" t="s">
        <v>1486</v>
      </c>
    </row>
    <row r="2262">
      <c r="A2262" s="87">
        <v>822.0</v>
      </c>
      <c r="B2262" s="87" t="s">
        <v>1483</v>
      </c>
      <c r="C2262" s="93">
        <v>1.0</v>
      </c>
      <c r="D2262" s="87" t="s">
        <v>1003</v>
      </c>
      <c r="E2262" s="87" t="s">
        <v>1006</v>
      </c>
      <c r="F2262" s="87"/>
      <c r="G2262" s="94"/>
      <c r="H2262" s="87" t="s">
        <v>1487</v>
      </c>
      <c r="I2262" s="87" t="s">
        <v>1486</v>
      </c>
    </row>
    <row r="2263">
      <c r="A2263" s="87">
        <v>823.0</v>
      </c>
      <c r="B2263" s="87" t="s">
        <v>1483</v>
      </c>
      <c r="C2263" s="93">
        <v>1.0</v>
      </c>
      <c r="D2263" s="87" t="s">
        <v>1003</v>
      </c>
      <c r="E2263" s="87" t="s">
        <v>1146</v>
      </c>
      <c r="F2263" s="87"/>
      <c r="G2263" s="94"/>
      <c r="H2263" s="87" t="s">
        <v>1488</v>
      </c>
      <c r="I2263" s="87" t="s">
        <v>1486</v>
      </c>
    </row>
    <row r="2264">
      <c r="A2264" s="87">
        <v>370.0</v>
      </c>
      <c r="B2264" s="87" t="s">
        <v>1489</v>
      </c>
      <c r="C2264" s="93">
        <v>1.0</v>
      </c>
      <c r="D2264" s="87"/>
      <c r="E2264" s="87" t="s">
        <v>83</v>
      </c>
      <c r="F2264" s="87"/>
      <c r="G2264" s="94">
        <v>4.0344371E7</v>
      </c>
      <c r="H2264" s="87"/>
      <c r="I2264" s="87"/>
    </row>
    <row r="2265">
      <c r="A2265" s="87">
        <v>789.0</v>
      </c>
      <c r="B2265" s="87" t="s">
        <v>1489</v>
      </c>
      <c r="C2265" s="93">
        <v>1.0</v>
      </c>
      <c r="D2265" s="87" t="s">
        <v>39</v>
      </c>
      <c r="E2265" s="87" t="s">
        <v>258</v>
      </c>
      <c r="F2265" s="87"/>
      <c r="G2265" s="94">
        <v>4.0344207E7</v>
      </c>
      <c r="H2265" s="87"/>
      <c r="I2265" s="87"/>
    </row>
    <row r="2266">
      <c r="A2266" s="87">
        <v>790.0</v>
      </c>
      <c r="B2266" s="87" t="s">
        <v>1489</v>
      </c>
      <c r="C2266" s="93">
        <v>1.0</v>
      </c>
      <c r="D2266" s="87" t="s">
        <v>39</v>
      </c>
      <c r="E2266" s="87" t="s">
        <v>258</v>
      </c>
      <c r="F2266" s="87"/>
      <c r="G2266" s="94">
        <v>4.0344215E7</v>
      </c>
      <c r="H2266" s="87"/>
      <c r="I2266" s="87"/>
    </row>
    <row r="2267">
      <c r="A2267" s="87">
        <v>175.0</v>
      </c>
      <c r="B2267" s="87" t="s">
        <v>1490</v>
      </c>
      <c r="C2267" s="93">
        <v>1.0</v>
      </c>
      <c r="D2267" s="87" t="s">
        <v>275</v>
      </c>
      <c r="E2267" s="87" t="s">
        <v>13</v>
      </c>
      <c r="F2267" s="87"/>
      <c r="G2267" s="94"/>
      <c r="H2267" s="87"/>
      <c r="I2267" s="87"/>
    </row>
    <row r="2268">
      <c r="A2268" s="87">
        <v>187.0</v>
      </c>
      <c r="B2268" s="87" t="s">
        <v>1490</v>
      </c>
      <c r="C2268" s="93">
        <v>1.0</v>
      </c>
      <c r="D2268" s="87" t="s">
        <v>275</v>
      </c>
      <c r="E2268" s="87" t="s">
        <v>18</v>
      </c>
      <c r="F2268" s="87"/>
      <c r="G2268" s="94"/>
      <c r="H2268" s="87"/>
      <c r="I2268" s="87"/>
    </row>
    <row r="2269">
      <c r="A2269" s="87">
        <v>371.0</v>
      </c>
      <c r="B2269" s="87" t="s">
        <v>1491</v>
      </c>
      <c r="C2269" s="93">
        <v>1.0</v>
      </c>
      <c r="D2269" s="87"/>
      <c r="E2269" s="87" t="s">
        <v>83</v>
      </c>
      <c r="F2269" s="87"/>
      <c r="G2269" s="94">
        <v>1.3858912E7</v>
      </c>
      <c r="H2269" s="87"/>
      <c r="I2269" s="87"/>
    </row>
    <row r="2270">
      <c r="A2270" s="87">
        <v>815.0</v>
      </c>
      <c r="B2270" s="87" t="s">
        <v>1492</v>
      </c>
      <c r="C2270" s="93">
        <v>1.0</v>
      </c>
      <c r="D2270" s="87" t="s">
        <v>275</v>
      </c>
      <c r="E2270" s="87" t="s">
        <v>19</v>
      </c>
      <c r="F2270" s="87"/>
      <c r="G2270" s="94">
        <v>46099.0</v>
      </c>
      <c r="H2270" s="87"/>
      <c r="I2270" s="87"/>
    </row>
    <row r="2271">
      <c r="A2271" s="87">
        <v>1195.0</v>
      </c>
      <c r="B2271" s="87" t="s">
        <v>71</v>
      </c>
      <c r="C2271" s="93">
        <v>1.0</v>
      </c>
      <c r="D2271" s="87" t="s">
        <v>39</v>
      </c>
      <c r="E2271" s="87" t="s">
        <v>83</v>
      </c>
      <c r="F2271" s="87"/>
      <c r="G2271" s="94">
        <v>7.6878082E7</v>
      </c>
      <c r="H2271" s="87"/>
      <c r="I2271" s="87"/>
    </row>
    <row r="2272">
      <c r="A2272" s="87">
        <v>1515.0</v>
      </c>
      <c r="B2272" s="87" t="s">
        <v>71</v>
      </c>
      <c r="C2272" s="93">
        <v>1.0</v>
      </c>
      <c r="D2272" s="87" t="s">
        <v>39</v>
      </c>
      <c r="E2272" s="87" t="s">
        <v>72</v>
      </c>
      <c r="F2272" s="87"/>
      <c r="G2272" s="94">
        <v>7.6837742E7</v>
      </c>
      <c r="H2272" s="87"/>
      <c r="I2272" s="87"/>
    </row>
    <row r="2273">
      <c r="A2273" s="87">
        <v>1516.0</v>
      </c>
      <c r="B2273" s="87" t="s">
        <v>71</v>
      </c>
      <c r="C2273" s="93">
        <v>1.0</v>
      </c>
      <c r="D2273" s="87" t="s">
        <v>39</v>
      </c>
      <c r="E2273" s="87" t="s">
        <v>72</v>
      </c>
      <c r="F2273" s="87"/>
      <c r="G2273" s="94">
        <v>7.683775E7</v>
      </c>
      <c r="H2273" s="87"/>
      <c r="I2273" s="87"/>
    </row>
    <row r="2274">
      <c r="A2274" s="87">
        <v>1517.0</v>
      </c>
      <c r="B2274" s="87" t="s">
        <v>71</v>
      </c>
      <c r="C2274" s="93">
        <v>1.0</v>
      </c>
      <c r="D2274" s="87" t="s">
        <v>39</v>
      </c>
      <c r="E2274" s="87" t="s">
        <v>72</v>
      </c>
      <c r="F2274" s="87"/>
      <c r="G2274" s="94">
        <v>7.6837769E7</v>
      </c>
      <c r="H2274" s="87"/>
      <c r="I2274" s="87"/>
    </row>
    <row r="2275">
      <c r="A2275" s="87">
        <v>1518.0</v>
      </c>
      <c r="B2275" s="87" t="s">
        <v>71</v>
      </c>
      <c r="C2275" s="93">
        <v>1.0</v>
      </c>
      <c r="D2275" s="87" t="s">
        <v>39</v>
      </c>
      <c r="E2275" s="87" t="s">
        <v>72</v>
      </c>
      <c r="F2275" s="87"/>
      <c r="G2275" s="94">
        <v>7.6837777E7</v>
      </c>
      <c r="H2275" s="87"/>
      <c r="I2275" s="87"/>
    </row>
    <row r="2276">
      <c r="A2276" s="87">
        <v>1519.0</v>
      </c>
      <c r="B2276" s="87" t="s">
        <v>71</v>
      </c>
      <c r="C2276" s="93">
        <v>1.0</v>
      </c>
      <c r="D2276" s="87" t="s">
        <v>39</v>
      </c>
      <c r="E2276" s="87" t="s">
        <v>72</v>
      </c>
      <c r="F2276" s="87"/>
      <c r="G2276" s="94">
        <v>7.6837785E7</v>
      </c>
      <c r="H2276" s="87"/>
      <c r="I2276" s="87"/>
    </row>
    <row r="2277">
      <c r="A2277" s="87">
        <v>1541.0</v>
      </c>
      <c r="B2277" s="87" t="s">
        <v>71</v>
      </c>
      <c r="C2277" s="93">
        <v>1.0</v>
      </c>
      <c r="D2277" s="87" t="s">
        <v>39</v>
      </c>
      <c r="E2277" s="87" t="s">
        <v>72</v>
      </c>
      <c r="F2277" s="87"/>
      <c r="G2277" s="94">
        <v>7.693903E7</v>
      </c>
      <c r="H2277" s="87"/>
      <c r="I2277" s="87" t="s">
        <v>71</v>
      </c>
    </row>
    <row r="2278">
      <c r="A2278" s="87">
        <v>1546.0</v>
      </c>
      <c r="B2278" s="87" t="s">
        <v>1493</v>
      </c>
      <c r="C2278" s="93">
        <v>1.0</v>
      </c>
      <c r="D2278" s="87" t="s">
        <v>39</v>
      </c>
      <c r="E2278" s="87" t="s">
        <v>72</v>
      </c>
      <c r="F2278" s="87"/>
      <c r="G2278" s="94">
        <v>7.6837793E7</v>
      </c>
      <c r="H2278" s="87"/>
      <c r="I2278" s="87" t="s">
        <v>1494</v>
      </c>
    </row>
    <row r="2279">
      <c r="A2279" s="87">
        <v>1547.0</v>
      </c>
      <c r="B2279" s="87" t="s">
        <v>1493</v>
      </c>
      <c r="C2279" s="93">
        <v>1.0</v>
      </c>
      <c r="D2279" s="87" t="s">
        <v>39</v>
      </c>
      <c r="E2279" s="87" t="s">
        <v>72</v>
      </c>
      <c r="F2279" s="87"/>
      <c r="G2279" s="94">
        <v>7.6837807E7</v>
      </c>
      <c r="H2279" s="87"/>
      <c r="I2279" s="87" t="s">
        <v>1494</v>
      </c>
    </row>
    <row r="2280">
      <c r="A2280" s="87">
        <v>1548.0</v>
      </c>
      <c r="B2280" s="87" t="s">
        <v>1493</v>
      </c>
      <c r="C2280" s="93">
        <v>1.0</v>
      </c>
      <c r="D2280" s="87" t="s">
        <v>39</v>
      </c>
      <c r="E2280" s="87" t="s">
        <v>72</v>
      </c>
      <c r="F2280" s="87"/>
      <c r="G2280" s="94">
        <v>7.6837815E7</v>
      </c>
      <c r="H2280" s="87"/>
      <c r="I2280" s="87" t="s">
        <v>1494</v>
      </c>
    </row>
    <row r="2281">
      <c r="A2281" s="87">
        <v>1549.0</v>
      </c>
      <c r="B2281" s="87" t="s">
        <v>1493</v>
      </c>
      <c r="C2281" s="93">
        <v>1.0</v>
      </c>
      <c r="D2281" s="87" t="s">
        <v>39</v>
      </c>
      <c r="E2281" s="87" t="s">
        <v>72</v>
      </c>
      <c r="F2281" s="87"/>
      <c r="G2281" s="94">
        <v>7.6837823E7</v>
      </c>
      <c r="H2281" s="87"/>
      <c r="I2281" s="87" t="s">
        <v>1494</v>
      </c>
    </row>
    <row r="2282">
      <c r="A2282" s="87">
        <v>1550.0</v>
      </c>
      <c r="B2282" s="87" t="s">
        <v>1493</v>
      </c>
      <c r="C2282" s="93">
        <v>1.0</v>
      </c>
      <c r="D2282" s="87" t="s">
        <v>39</v>
      </c>
      <c r="E2282" s="87" t="s">
        <v>72</v>
      </c>
      <c r="F2282" s="87"/>
      <c r="G2282" s="94">
        <v>7.6837831E7</v>
      </c>
      <c r="H2282" s="87"/>
      <c r="I2282" s="87" t="s">
        <v>1494</v>
      </c>
    </row>
    <row r="2283">
      <c r="A2283" s="87">
        <v>438.0</v>
      </c>
      <c r="B2283" s="87" t="s">
        <v>1495</v>
      </c>
      <c r="C2283" s="93">
        <v>1.0</v>
      </c>
      <c r="D2283" s="87" t="s">
        <v>39</v>
      </c>
      <c r="E2283" s="87" t="s">
        <v>1496</v>
      </c>
      <c r="F2283" s="87"/>
      <c r="G2283" s="94">
        <v>45555.0</v>
      </c>
      <c r="H2283" s="87"/>
      <c r="I2283" s="87"/>
    </row>
    <row r="2284">
      <c r="A2284" s="87">
        <v>856.0</v>
      </c>
      <c r="B2284" s="87" t="s">
        <v>425</v>
      </c>
      <c r="C2284" s="93">
        <v>2.0</v>
      </c>
      <c r="D2284" s="87" t="s">
        <v>39</v>
      </c>
      <c r="E2284" s="87" t="s">
        <v>25</v>
      </c>
      <c r="F2284" s="87"/>
      <c r="G2284" s="94"/>
      <c r="H2284" s="87"/>
      <c r="I2284" s="87"/>
    </row>
    <row r="2285">
      <c r="A2285" s="87">
        <v>1500.0</v>
      </c>
      <c r="B2285" s="87" t="s">
        <v>1497</v>
      </c>
      <c r="C2285" s="93">
        <v>1.0</v>
      </c>
      <c r="D2285" s="87" t="s">
        <v>39</v>
      </c>
      <c r="E2285" s="87" t="s">
        <v>1032</v>
      </c>
      <c r="F2285" s="87"/>
      <c r="G2285" s="94">
        <v>7.6837572E7</v>
      </c>
      <c r="H2285" s="87"/>
      <c r="I2285" s="87"/>
    </row>
    <row r="2286">
      <c r="A2286" s="87">
        <v>1501.0</v>
      </c>
      <c r="B2286" s="87" t="s">
        <v>1497</v>
      </c>
      <c r="C2286" s="93">
        <v>1.0</v>
      </c>
      <c r="D2286" s="87" t="s">
        <v>39</v>
      </c>
      <c r="E2286" s="87" t="s">
        <v>1032</v>
      </c>
      <c r="F2286" s="87"/>
      <c r="G2286" s="94">
        <v>7.6837599E7</v>
      </c>
      <c r="H2286" s="87"/>
      <c r="I2286" s="87"/>
    </row>
    <row r="2287">
      <c r="A2287" s="87">
        <v>1502.0</v>
      </c>
      <c r="B2287" s="87" t="s">
        <v>1497</v>
      </c>
      <c r="C2287" s="93">
        <v>1.0</v>
      </c>
      <c r="D2287" s="87" t="s">
        <v>39</v>
      </c>
      <c r="E2287" s="87" t="s">
        <v>1032</v>
      </c>
      <c r="F2287" s="87"/>
      <c r="G2287" s="94">
        <v>7.683758E7</v>
      </c>
      <c r="H2287" s="87"/>
      <c r="I2287" s="87"/>
    </row>
    <row r="2288">
      <c r="A2288" s="87">
        <v>186.0</v>
      </c>
      <c r="B2288" s="87" t="s">
        <v>1498</v>
      </c>
      <c r="C2288" s="93">
        <v>1.0</v>
      </c>
      <c r="D2288" s="87" t="s">
        <v>275</v>
      </c>
      <c r="E2288" s="87" t="s">
        <v>18</v>
      </c>
      <c r="F2288" s="87"/>
      <c r="G2288" s="94"/>
      <c r="H2288" s="87"/>
      <c r="I2288" s="87"/>
    </row>
    <row r="2289">
      <c r="A2289" s="87">
        <v>1679.0</v>
      </c>
      <c r="B2289" s="87" t="s">
        <v>1499</v>
      </c>
      <c r="C2289" s="93">
        <v>1.0</v>
      </c>
      <c r="D2289" s="87" t="s">
        <v>39</v>
      </c>
      <c r="E2289" s="87" t="s">
        <v>83</v>
      </c>
      <c r="F2289" s="87"/>
      <c r="G2289" s="94">
        <v>7.6988252E7</v>
      </c>
      <c r="H2289" s="87"/>
      <c r="I2289" s="87"/>
    </row>
    <row r="2290">
      <c r="A2290" s="87">
        <v>631.0</v>
      </c>
      <c r="B2290" s="87" t="s">
        <v>1500</v>
      </c>
      <c r="C2290" s="93">
        <v>1.0</v>
      </c>
      <c r="D2290" s="87" t="s">
        <v>39</v>
      </c>
      <c r="E2290" s="87" t="s">
        <v>1032</v>
      </c>
      <c r="F2290" s="87"/>
      <c r="G2290" s="94"/>
      <c r="H2290" s="87"/>
      <c r="I2290" s="87" t="s">
        <v>1501</v>
      </c>
    </row>
    <row r="2291">
      <c r="A2291" s="87">
        <v>417.0</v>
      </c>
      <c r="B2291" s="87" t="s">
        <v>176</v>
      </c>
      <c r="C2291" s="93">
        <v>1.0</v>
      </c>
      <c r="D2291" s="87" t="s">
        <v>1003</v>
      </c>
      <c r="E2291" s="87" t="s">
        <v>1232</v>
      </c>
      <c r="F2291" s="87"/>
      <c r="G2291" s="94"/>
      <c r="H2291" s="87"/>
      <c r="I2291" s="87" t="s">
        <v>1005</v>
      </c>
    </row>
    <row r="2292">
      <c r="A2292" s="87">
        <v>420.0</v>
      </c>
      <c r="B2292" s="87" t="s">
        <v>176</v>
      </c>
      <c r="C2292" s="93">
        <v>1.0</v>
      </c>
      <c r="D2292" s="87" t="s">
        <v>1003</v>
      </c>
      <c r="E2292" s="87" t="s">
        <v>1234</v>
      </c>
      <c r="F2292" s="87"/>
      <c r="G2292" s="94"/>
      <c r="H2292" s="87"/>
      <c r="I2292" s="87" t="s">
        <v>1005</v>
      </c>
    </row>
    <row r="2293">
      <c r="A2293" s="87">
        <v>423.0</v>
      </c>
      <c r="B2293" s="87" t="s">
        <v>176</v>
      </c>
      <c r="C2293" s="93">
        <v>1.0</v>
      </c>
      <c r="D2293" s="87" t="s">
        <v>1003</v>
      </c>
      <c r="E2293" s="87" t="s">
        <v>1235</v>
      </c>
      <c r="F2293" s="87"/>
      <c r="G2293" s="94"/>
      <c r="H2293" s="87"/>
      <c r="I2293" s="87" t="s">
        <v>1005</v>
      </c>
    </row>
    <row r="2294">
      <c r="A2294" s="87">
        <v>426.0</v>
      </c>
      <c r="B2294" s="87" t="s">
        <v>176</v>
      </c>
      <c r="C2294" s="93">
        <v>1.0</v>
      </c>
      <c r="D2294" s="87" t="s">
        <v>1003</v>
      </c>
      <c r="E2294" s="87" t="s">
        <v>1242</v>
      </c>
      <c r="F2294" s="87"/>
      <c r="G2294" s="94"/>
      <c r="H2294" s="87"/>
      <c r="I2294" s="87" t="s">
        <v>1005</v>
      </c>
    </row>
    <row r="2295">
      <c r="A2295" s="87">
        <v>433.0</v>
      </c>
      <c r="B2295" s="87" t="s">
        <v>176</v>
      </c>
      <c r="C2295" s="93">
        <v>1.0</v>
      </c>
      <c r="D2295" s="87" t="s">
        <v>1003</v>
      </c>
      <c r="E2295" s="87" t="s">
        <v>1008</v>
      </c>
      <c r="F2295" s="87"/>
      <c r="G2295" s="94"/>
      <c r="H2295" s="87"/>
      <c r="I2295" s="87" t="s">
        <v>1005</v>
      </c>
    </row>
    <row r="2296">
      <c r="A2296" s="87">
        <v>632.0</v>
      </c>
      <c r="B2296" s="87" t="s">
        <v>176</v>
      </c>
      <c r="C2296" s="93">
        <v>13.0</v>
      </c>
      <c r="D2296" s="87" t="s">
        <v>39</v>
      </c>
      <c r="E2296" s="87" t="s">
        <v>1032</v>
      </c>
      <c r="F2296" s="87"/>
      <c r="G2296" s="94"/>
      <c r="H2296" s="87"/>
      <c r="I2296" s="87" t="s">
        <v>1502</v>
      </c>
    </row>
    <row r="2297">
      <c r="A2297" s="87">
        <v>674.0</v>
      </c>
      <c r="B2297" s="87" t="s">
        <v>1503</v>
      </c>
      <c r="C2297" s="93">
        <v>1.0</v>
      </c>
      <c r="D2297" s="87" t="s">
        <v>39</v>
      </c>
      <c r="E2297" s="87" t="s">
        <v>1098</v>
      </c>
      <c r="F2297" s="87"/>
      <c r="G2297" s="94">
        <v>1.3773216E7</v>
      </c>
      <c r="H2297" s="87"/>
      <c r="I2297" s="87" t="s">
        <v>1504</v>
      </c>
    </row>
    <row r="2298">
      <c r="A2298" s="87">
        <v>705.0</v>
      </c>
      <c r="B2298" s="87" t="s">
        <v>1505</v>
      </c>
      <c r="C2298" s="93">
        <v>1.0</v>
      </c>
      <c r="D2298" s="87" t="s">
        <v>39</v>
      </c>
      <c r="E2298" s="87" t="s">
        <v>245</v>
      </c>
      <c r="F2298" s="87"/>
      <c r="G2298" s="94">
        <v>1.4127695E7</v>
      </c>
      <c r="H2298" s="87"/>
      <c r="I2298" s="87" t="s">
        <v>1506</v>
      </c>
    </row>
    <row r="2299">
      <c r="A2299" s="87">
        <v>739.0</v>
      </c>
      <c r="B2299" s="87" t="s">
        <v>1505</v>
      </c>
      <c r="C2299" s="93">
        <v>1.0</v>
      </c>
      <c r="D2299" s="87" t="s">
        <v>39</v>
      </c>
      <c r="E2299" s="87" t="s">
        <v>253</v>
      </c>
      <c r="F2299" s="87"/>
      <c r="G2299" s="94">
        <v>5.4150868E7</v>
      </c>
      <c r="H2299" s="87"/>
      <c r="I2299" s="87" t="s">
        <v>1014</v>
      </c>
    </row>
    <row r="2300">
      <c r="A2300" s="87">
        <v>994.0</v>
      </c>
      <c r="B2300" s="87" t="s">
        <v>1507</v>
      </c>
      <c r="C2300" s="93">
        <v>1.0</v>
      </c>
      <c r="D2300" s="87" t="s">
        <v>39</v>
      </c>
      <c r="E2300" s="87" t="s">
        <v>1096</v>
      </c>
      <c r="F2300" s="87"/>
      <c r="G2300" s="94">
        <v>7.671571E7</v>
      </c>
      <c r="H2300" s="87"/>
      <c r="I2300" s="87" t="s">
        <v>1508</v>
      </c>
    </row>
    <row r="2301">
      <c r="A2301" s="87">
        <v>700.0</v>
      </c>
      <c r="B2301" s="87" t="s">
        <v>1509</v>
      </c>
      <c r="C2301" s="93">
        <v>1.0</v>
      </c>
      <c r="D2301" s="87" t="s">
        <v>39</v>
      </c>
      <c r="E2301" s="87" t="s">
        <v>253</v>
      </c>
      <c r="F2301" s="87"/>
      <c r="G2301" s="94">
        <v>1.4088002E7</v>
      </c>
      <c r="H2301" s="87"/>
      <c r="I2301" s="87" t="s">
        <v>1014</v>
      </c>
    </row>
    <row r="2302">
      <c r="A2302" s="87">
        <v>377.0</v>
      </c>
      <c r="B2302" s="87" t="s">
        <v>806</v>
      </c>
      <c r="C2302" s="93">
        <v>1.0</v>
      </c>
      <c r="D2302" s="87"/>
      <c r="E2302" s="87" t="s">
        <v>83</v>
      </c>
      <c r="F2302" s="87"/>
      <c r="G2302" s="94">
        <v>2111942.0</v>
      </c>
      <c r="H2302" s="87"/>
      <c r="I2302" s="87"/>
    </row>
    <row r="2303">
      <c r="A2303" s="87">
        <v>834.0</v>
      </c>
      <c r="B2303" s="87" t="s">
        <v>806</v>
      </c>
      <c r="C2303" s="93">
        <v>1.0</v>
      </c>
      <c r="D2303" s="87" t="s">
        <v>39</v>
      </c>
      <c r="E2303" s="87" t="s">
        <v>253</v>
      </c>
      <c r="F2303" s="87"/>
      <c r="G2303" s="94">
        <v>1.8933246E7</v>
      </c>
      <c r="H2303" s="87"/>
      <c r="I2303" s="87" t="s">
        <v>1012</v>
      </c>
    </row>
    <row r="2304">
      <c r="A2304" s="87">
        <v>835.0</v>
      </c>
      <c r="B2304" s="87" t="s">
        <v>806</v>
      </c>
      <c r="C2304" s="93">
        <v>1.0</v>
      </c>
      <c r="D2304" s="87" t="s">
        <v>39</v>
      </c>
      <c r="E2304" s="87" t="s">
        <v>763</v>
      </c>
      <c r="F2304" s="87"/>
      <c r="G2304" s="94">
        <v>1.8933386E7</v>
      </c>
      <c r="H2304" s="87"/>
      <c r="I2304" s="87" t="s">
        <v>1510</v>
      </c>
    </row>
    <row r="2305">
      <c r="A2305" s="87">
        <v>836.0</v>
      </c>
      <c r="B2305" s="87" t="s">
        <v>806</v>
      </c>
      <c r="C2305" s="93">
        <v>1.0</v>
      </c>
      <c r="D2305" s="87" t="s">
        <v>39</v>
      </c>
      <c r="E2305" s="87" t="s">
        <v>253</v>
      </c>
      <c r="F2305" s="87"/>
      <c r="G2305" s="94">
        <v>1.8933467E7</v>
      </c>
      <c r="H2305" s="87"/>
      <c r="I2305" s="87" t="s">
        <v>1012</v>
      </c>
    </row>
    <row r="2306">
      <c r="A2306" s="87">
        <v>838.0</v>
      </c>
      <c r="B2306" s="87" t="s">
        <v>806</v>
      </c>
      <c r="C2306" s="93">
        <v>1.0</v>
      </c>
      <c r="D2306" s="87" t="s">
        <v>39</v>
      </c>
      <c r="E2306" s="87" t="s">
        <v>253</v>
      </c>
      <c r="F2306" s="87"/>
      <c r="G2306" s="94">
        <v>1.8933629E7</v>
      </c>
      <c r="H2306" s="87"/>
      <c r="I2306" s="87" t="s">
        <v>1012</v>
      </c>
    </row>
    <row r="2307">
      <c r="A2307" s="87">
        <v>378.0</v>
      </c>
      <c r="B2307" s="87" t="s">
        <v>244</v>
      </c>
      <c r="C2307" s="93">
        <v>1.0</v>
      </c>
      <c r="D2307" s="87"/>
      <c r="E2307" s="87" t="s">
        <v>83</v>
      </c>
      <c r="F2307" s="87"/>
      <c r="G2307" s="94">
        <v>4.0287424E7</v>
      </c>
      <c r="H2307" s="87"/>
      <c r="I2307" s="87"/>
    </row>
    <row r="2308">
      <c r="A2308" s="87">
        <v>379.0</v>
      </c>
      <c r="B2308" s="87" t="s">
        <v>244</v>
      </c>
      <c r="C2308" s="93">
        <v>1.0</v>
      </c>
      <c r="D2308" s="87"/>
      <c r="E2308" s="87" t="s">
        <v>83</v>
      </c>
      <c r="F2308" s="87"/>
      <c r="G2308" s="94">
        <v>4.0287432E7</v>
      </c>
      <c r="H2308" s="87"/>
      <c r="I2308" s="87"/>
    </row>
    <row r="2309">
      <c r="A2309" s="87">
        <v>380.0</v>
      </c>
      <c r="B2309" s="87" t="s">
        <v>244</v>
      </c>
      <c r="C2309" s="93">
        <v>1.0</v>
      </c>
      <c r="D2309" s="87"/>
      <c r="E2309" s="87" t="s">
        <v>83</v>
      </c>
      <c r="F2309" s="87"/>
      <c r="G2309" s="94">
        <v>4.028744E7</v>
      </c>
      <c r="H2309" s="87"/>
      <c r="I2309" s="87"/>
    </row>
    <row r="2310">
      <c r="A2310" s="87">
        <v>381.0</v>
      </c>
      <c r="B2310" s="87" t="s">
        <v>244</v>
      </c>
      <c r="C2310" s="93">
        <v>1.0</v>
      </c>
      <c r="D2310" s="87"/>
      <c r="E2310" s="87" t="s">
        <v>83</v>
      </c>
      <c r="F2310" s="87"/>
      <c r="G2310" s="94">
        <v>4.0287459E7</v>
      </c>
      <c r="H2310" s="87"/>
      <c r="I2310" s="87"/>
    </row>
    <row r="2311">
      <c r="A2311" s="87">
        <v>618.0</v>
      </c>
      <c r="B2311" s="87" t="s">
        <v>244</v>
      </c>
      <c r="C2311" s="93">
        <v>1.0</v>
      </c>
      <c r="D2311" s="87" t="s">
        <v>39</v>
      </c>
      <c r="E2311" s="87" t="s">
        <v>253</v>
      </c>
      <c r="F2311" s="87"/>
      <c r="G2311" s="94">
        <v>4.015744E7</v>
      </c>
      <c r="H2311" s="87"/>
      <c r="I2311" s="87" t="s">
        <v>1014</v>
      </c>
    </row>
    <row r="2312">
      <c r="A2312" s="87">
        <v>619.0</v>
      </c>
      <c r="B2312" s="87" t="s">
        <v>244</v>
      </c>
      <c r="C2312" s="93">
        <v>1.0</v>
      </c>
      <c r="D2312" s="87" t="s">
        <v>39</v>
      </c>
      <c r="E2312" s="87" t="s">
        <v>1511</v>
      </c>
      <c r="F2312" s="87"/>
      <c r="G2312" s="94">
        <v>4.0157458E7</v>
      </c>
      <c r="H2312" s="87"/>
      <c r="I2312" s="87"/>
    </row>
    <row r="2313">
      <c r="A2313" s="87">
        <v>633.0</v>
      </c>
      <c r="B2313" s="87" t="s">
        <v>244</v>
      </c>
      <c r="C2313" s="93">
        <v>1.0</v>
      </c>
      <c r="D2313" s="87" t="s">
        <v>39</v>
      </c>
      <c r="E2313" s="87" t="s">
        <v>253</v>
      </c>
      <c r="F2313" s="87"/>
      <c r="G2313" s="94">
        <v>4.0216578E7</v>
      </c>
      <c r="H2313" s="87"/>
      <c r="I2313" s="87" t="s">
        <v>1014</v>
      </c>
    </row>
    <row r="2314">
      <c r="A2314" s="87">
        <v>729.0</v>
      </c>
      <c r="B2314" s="87" t="s">
        <v>244</v>
      </c>
      <c r="C2314" s="93">
        <v>1.0</v>
      </c>
      <c r="D2314" s="87" t="s">
        <v>39</v>
      </c>
      <c r="E2314" s="87" t="s">
        <v>72</v>
      </c>
      <c r="F2314" s="87"/>
      <c r="G2314" s="94">
        <v>4.0216586E7</v>
      </c>
      <c r="H2314" s="87"/>
      <c r="I2314" s="87" t="s">
        <v>1512</v>
      </c>
    </row>
    <row r="2315">
      <c r="A2315" s="87">
        <v>737.0</v>
      </c>
      <c r="B2315" s="87" t="s">
        <v>244</v>
      </c>
      <c r="C2315" s="93">
        <v>1.0</v>
      </c>
      <c r="D2315" s="87" t="s">
        <v>39</v>
      </c>
      <c r="E2315" s="87" t="s">
        <v>253</v>
      </c>
      <c r="F2315" s="87"/>
      <c r="G2315" s="94">
        <v>5.3495896E7</v>
      </c>
      <c r="H2315" s="87"/>
      <c r="I2315" s="87" t="s">
        <v>1014</v>
      </c>
    </row>
    <row r="2316">
      <c r="A2316" s="87">
        <v>812.0</v>
      </c>
      <c r="B2316" s="87" t="s">
        <v>244</v>
      </c>
      <c r="C2316" s="93">
        <v>1.0</v>
      </c>
      <c r="D2316" s="87" t="s">
        <v>39</v>
      </c>
      <c r="E2316" s="87" t="s">
        <v>253</v>
      </c>
      <c r="F2316" s="87"/>
      <c r="G2316" s="94">
        <v>1.396268E7</v>
      </c>
      <c r="H2316" s="87"/>
      <c r="I2316" s="87" t="s">
        <v>1012</v>
      </c>
    </row>
    <row r="2317">
      <c r="A2317" s="87">
        <v>1510.0</v>
      </c>
      <c r="B2317" s="87" t="s">
        <v>244</v>
      </c>
      <c r="C2317" s="93">
        <v>1.0</v>
      </c>
      <c r="D2317" s="87" t="s">
        <v>39</v>
      </c>
      <c r="E2317" s="87" t="s">
        <v>72</v>
      </c>
      <c r="F2317" s="87"/>
      <c r="G2317" s="94">
        <v>7.6837696E7</v>
      </c>
      <c r="H2317" s="87"/>
      <c r="I2317" s="87"/>
    </row>
    <row r="2318">
      <c r="A2318" s="87">
        <v>1511.0</v>
      </c>
      <c r="B2318" s="87" t="s">
        <v>244</v>
      </c>
      <c r="C2318" s="93">
        <v>1.0</v>
      </c>
      <c r="D2318" s="87" t="s">
        <v>39</v>
      </c>
      <c r="E2318" s="87" t="s">
        <v>72</v>
      </c>
      <c r="F2318" s="87"/>
      <c r="G2318" s="94">
        <v>7.68377E7</v>
      </c>
      <c r="H2318" s="87"/>
      <c r="I2318" s="87"/>
    </row>
    <row r="2319">
      <c r="A2319" s="87">
        <v>1520.0</v>
      </c>
      <c r="B2319" s="87" t="s">
        <v>244</v>
      </c>
      <c r="C2319" s="93">
        <v>1.0</v>
      </c>
      <c r="D2319" s="87" t="s">
        <v>39</v>
      </c>
      <c r="E2319" s="87" t="s">
        <v>72</v>
      </c>
      <c r="F2319" s="87"/>
      <c r="G2319" s="94">
        <v>7.683784E7</v>
      </c>
      <c r="H2319" s="87"/>
      <c r="I2319" s="87"/>
    </row>
    <row r="2320">
      <c r="A2320" s="87">
        <v>585.0</v>
      </c>
      <c r="B2320" s="87" t="s">
        <v>244</v>
      </c>
      <c r="C2320" s="93">
        <v>1.0</v>
      </c>
      <c r="D2320" s="87" t="s">
        <v>39</v>
      </c>
      <c r="E2320" s="87" t="s">
        <v>1018</v>
      </c>
      <c r="F2320" s="87"/>
      <c r="G2320" s="94">
        <v>45628.0</v>
      </c>
      <c r="H2320" s="87"/>
      <c r="I2320" s="87"/>
    </row>
    <row r="2321">
      <c r="A2321" s="87">
        <v>618.0</v>
      </c>
      <c r="B2321" s="87" t="s">
        <v>244</v>
      </c>
      <c r="C2321" s="93">
        <v>3.0</v>
      </c>
      <c r="D2321" s="87" t="s">
        <v>39</v>
      </c>
      <c r="E2321" s="87" t="s">
        <v>258</v>
      </c>
      <c r="F2321" s="87"/>
      <c r="G2321" s="94"/>
      <c r="H2321" s="87"/>
      <c r="I2321" s="87" t="s">
        <v>1513</v>
      </c>
    </row>
    <row r="2322">
      <c r="A2322" s="87">
        <v>619.0</v>
      </c>
      <c r="B2322" s="87" t="s">
        <v>244</v>
      </c>
      <c r="C2322" s="93">
        <v>1.0</v>
      </c>
      <c r="D2322" s="87" t="s">
        <v>39</v>
      </c>
      <c r="E2322" s="87" t="s">
        <v>258</v>
      </c>
      <c r="F2322" s="87"/>
      <c r="G2322" s="94"/>
      <c r="H2322" s="87"/>
      <c r="I2322" s="87"/>
    </row>
    <row r="2323">
      <c r="A2323" s="87">
        <v>841.0</v>
      </c>
      <c r="B2323" s="87" t="s">
        <v>244</v>
      </c>
      <c r="C2323" s="93">
        <v>2.0</v>
      </c>
      <c r="D2323" s="87" t="s">
        <v>39</v>
      </c>
      <c r="E2323" s="87" t="s">
        <v>1096</v>
      </c>
      <c r="F2323" s="87"/>
      <c r="G2323" s="94"/>
      <c r="H2323" s="87"/>
      <c r="I2323" s="87" t="s">
        <v>1514</v>
      </c>
    </row>
    <row r="2324">
      <c r="A2324" s="87">
        <v>770.0</v>
      </c>
      <c r="B2324" s="87" t="s">
        <v>808</v>
      </c>
      <c r="C2324" s="93">
        <v>1.0</v>
      </c>
      <c r="D2324" s="87" t="s">
        <v>39</v>
      </c>
      <c r="E2324" s="87" t="s">
        <v>763</v>
      </c>
      <c r="F2324" s="87"/>
      <c r="G2324" s="94">
        <v>1.462138E7</v>
      </c>
      <c r="H2324" s="87"/>
      <c r="I2324" s="87" t="s">
        <v>1515</v>
      </c>
    </row>
    <row r="2325">
      <c r="A2325" s="87">
        <v>771.0</v>
      </c>
      <c r="B2325" s="87" t="s">
        <v>808</v>
      </c>
      <c r="C2325" s="93">
        <v>1.0</v>
      </c>
      <c r="D2325" s="87" t="s">
        <v>39</v>
      </c>
      <c r="E2325" s="87" t="s">
        <v>253</v>
      </c>
      <c r="F2325" s="87"/>
      <c r="G2325" s="94">
        <v>1.4621584E7</v>
      </c>
      <c r="H2325" s="87"/>
      <c r="I2325" s="87" t="s">
        <v>1014</v>
      </c>
    </row>
    <row r="2326">
      <c r="A2326" s="87">
        <v>772.0</v>
      </c>
      <c r="B2326" s="87" t="s">
        <v>808</v>
      </c>
      <c r="C2326" s="93">
        <v>1.0</v>
      </c>
      <c r="D2326" s="87" t="s">
        <v>39</v>
      </c>
      <c r="E2326" s="87" t="s">
        <v>40</v>
      </c>
      <c r="F2326" s="87"/>
      <c r="G2326" s="94">
        <v>1.5010481E7</v>
      </c>
      <c r="H2326" s="87"/>
      <c r="I2326" s="87"/>
    </row>
    <row r="2327">
      <c r="A2327" s="87">
        <v>831.0</v>
      </c>
      <c r="B2327" s="87" t="s">
        <v>808</v>
      </c>
      <c r="C2327" s="93">
        <v>1.0</v>
      </c>
      <c r="D2327" s="87" t="s">
        <v>39</v>
      </c>
      <c r="E2327" s="87" t="s">
        <v>253</v>
      </c>
      <c r="F2327" s="87"/>
      <c r="G2327" s="94">
        <v>1.4626624E7</v>
      </c>
      <c r="H2327" s="87"/>
      <c r="I2327" s="87" t="s">
        <v>1012</v>
      </c>
    </row>
    <row r="2328">
      <c r="A2328" s="87">
        <v>481.0</v>
      </c>
      <c r="B2328" s="87" t="s">
        <v>1516</v>
      </c>
      <c r="C2328" s="93">
        <v>1.0</v>
      </c>
      <c r="D2328" s="87" t="s">
        <v>39</v>
      </c>
      <c r="E2328" s="87" t="s">
        <v>1018</v>
      </c>
      <c r="F2328" s="87"/>
      <c r="G2328" s="94">
        <v>1.0304126E7</v>
      </c>
      <c r="H2328" s="87"/>
      <c r="I2328" s="87"/>
    </row>
    <row r="2329">
      <c r="A2329" s="87">
        <v>708.0</v>
      </c>
      <c r="B2329" s="87" t="s">
        <v>1516</v>
      </c>
      <c r="C2329" s="93">
        <v>1.0</v>
      </c>
      <c r="D2329" s="87" t="s">
        <v>39</v>
      </c>
      <c r="E2329" s="87" t="s">
        <v>72</v>
      </c>
      <c r="F2329" s="87"/>
      <c r="G2329" s="94">
        <v>1.4668505E7</v>
      </c>
      <c r="H2329" s="87"/>
      <c r="I2329" s="87"/>
    </row>
    <row r="2330">
      <c r="A2330" s="87">
        <v>773.0</v>
      </c>
      <c r="B2330" s="87" t="s">
        <v>1516</v>
      </c>
      <c r="C2330" s="93">
        <v>1.0</v>
      </c>
      <c r="D2330" s="87" t="s">
        <v>39</v>
      </c>
      <c r="E2330" s="87" t="s">
        <v>1018</v>
      </c>
      <c r="F2330" s="87"/>
      <c r="G2330" s="94">
        <v>1.5165361E7</v>
      </c>
      <c r="H2330" s="87"/>
      <c r="I2330" s="87"/>
    </row>
    <row r="2331">
      <c r="A2331" s="87">
        <v>382.0</v>
      </c>
      <c r="B2331" s="87" t="s">
        <v>868</v>
      </c>
      <c r="C2331" s="93">
        <v>1.0</v>
      </c>
      <c r="D2331" s="87"/>
      <c r="E2331" s="87" t="s">
        <v>83</v>
      </c>
      <c r="F2331" s="87"/>
      <c r="G2331" s="94">
        <v>1.2700576E7</v>
      </c>
      <c r="H2331" s="87"/>
      <c r="I2331" s="87"/>
    </row>
    <row r="2332">
      <c r="A2332" s="87">
        <v>383.0</v>
      </c>
      <c r="B2332" s="87" t="s">
        <v>868</v>
      </c>
      <c r="C2332" s="93">
        <v>1.0</v>
      </c>
      <c r="D2332" s="87"/>
      <c r="E2332" s="87" t="s">
        <v>83</v>
      </c>
      <c r="F2332" s="87"/>
      <c r="G2332" s="94">
        <v>1.2706132E7</v>
      </c>
      <c r="H2332" s="87"/>
      <c r="I2332" s="87"/>
    </row>
    <row r="2333">
      <c r="A2333" s="87">
        <v>485.0</v>
      </c>
      <c r="B2333" s="87" t="s">
        <v>868</v>
      </c>
      <c r="C2333" s="93">
        <v>1.0</v>
      </c>
      <c r="D2333" s="87" t="s">
        <v>39</v>
      </c>
      <c r="E2333" s="87" t="s">
        <v>26</v>
      </c>
      <c r="F2333" s="87"/>
      <c r="G2333" s="94">
        <v>1.2711209E7</v>
      </c>
      <c r="H2333" s="87"/>
      <c r="I2333" s="87" t="s">
        <v>1517</v>
      </c>
    </row>
    <row r="2334">
      <c r="A2334" s="87">
        <v>751.0</v>
      </c>
      <c r="B2334" s="87" t="s">
        <v>868</v>
      </c>
      <c r="C2334" s="93">
        <v>1.0</v>
      </c>
      <c r="D2334" s="87" t="s">
        <v>39</v>
      </c>
      <c r="E2334" s="87" t="s">
        <v>253</v>
      </c>
      <c r="F2334" s="87"/>
      <c r="G2334" s="94">
        <v>1.0306382E7</v>
      </c>
      <c r="H2334" s="87"/>
      <c r="I2334" s="87" t="s">
        <v>1014</v>
      </c>
    </row>
    <row r="2335">
      <c r="A2335" s="87">
        <v>384.0</v>
      </c>
      <c r="B2335" s="87" t="s">
        <v>1518</v>
      </c>
      <c r="C2335" s="93">
        <v>1.0</v>
      </c>
      <c r="D2335" s="87"/>
      <c r="E2335" s="87" t="s">
        <v>83</v>
      </c>
      <c r="F2335" s="87"/>
      <c r="G2335" s="94">
        <v>1.4119579E7</v>
      </c>
      <c r="H2335" s="87"/>
      <c r="I2335" s="87"/>
    </row>
    <row r="2336">
      <c r="A2336" s="87">
        <v>1512.0</v>
      </c>
      <c r="B2336" s="87" t="s">
        <v>1519</v>
      </c>
      <c r="C2336" s="93">
        <v>1.0</v>
      </c>
      <c r="D2336" s="87" t="s">
        <v>39</v>
      </c>
      <c r="E2336" s="87" t="s">
        <v>72</v>
      </c>
      <c r="F2336" s="87"/>
      <c r="G2336" s="94">
        <v>7.6837718E7</v>
      </c>
      <c r="H2336" s="87"/>
      <c r="I2336" s="87"/>
    </row>
    <row r="2337">
      <c r="A2337" s="87">
        <v>1680.0</v>
      </c>
      <c r="B2337" s="87" t="s">
        <v>1519</v>
      </c>
      <c r="C2337" s="93">
        <v>1.0</v>
      </c>
      <c r="D2337" s="87" t="s">
        <v>39</v>
      </c>
      <c r="E2337" s="87" t="s">
        <v>83</v>
      </c>
      <c r="F2337" s="87"/>
      <c r="G2337" s="94">
        <v>7.698558E7</v>
      </c>
      <c r="H2337" s="87"/>
      <c r="I2337" s="87"/>
    </row>
    <row r="2338">
      <c r="A2338" s="87">
        <v>1681.0</v>
      </c>
      <c r="B2338" s="87" t="s">
        <v>1519</v>
      </c>
      <c r="C2338" s="93">
        <v>1.0</v>
      </c>
      <c r="D2338" s="87" t="s">
        <v>39</v>
      </c>
      <c r="E2338" s="87" t="s">
        <v>83</v>
      </c>
      <c r="F2338" s="87"/>
      <c r="G2338" s="94">
        <v>7.6999696E7</v>
      </c>
      <c r="H2338" s="87"/>
      <c r="I2338" s="87"/>
    </row>
    <row r="2339">
      <c r="A2339" s="87">
        <v>385.0</v>
      </c>
      <c r="B2339" s="87" t="s">
        <v>810</v>
      </c>
      <c r="C2339" s="93">
        <v>1.0</v>
      </c>
      <c r="D2339" s="87"/>
      <c r="E2339" s="87" t="s">
        <v>83</v>
      </c>
      <c r="F2339" s="87"/>
      <c r="G2339" s="94">
        <v>4.0359441E7</v>
      </c>
      <c r="H2339" s="87"/>
      <c r="I2339" s="87"/>
    </row>
    <row r="2340">
      <c r="A2340" s="87">
        <v>386.0</v>
      </c>
      <c r="B2340" s="87" t="s">
        <v>810</v>
      </c>
      <c r="C2340" s="93">
        <v>1.0</v>
      </c>
      <c r="D2340" s="87"/>
      <c r="E2340" s="87" t="s">
        <v>83</v>
      </c>
      <c r="F2340" s="87"/>
      <c r="G2340" s="94">
        <v>7.6705064E7</v>
      </c>
      <c r="H2340" s="87"/>
      <c r="I2340" s="87"/>
    </row>
    <row r="2341">
      <c r="A2341" s="87">
        <v>1494.0</v>
      </c>
      <c r="B2341" s="87" t="s">
        <v>810</v>
      </c>
      <c r="C2341" s="93">
        <v>1.0</v>
      </c>
      <c r="D2341" s="87" t="s">
        <v>39</v>
      </c>
      <c r="E2341" s="87" t="s">
        <v>245</v>
      </c>
      <c r="F2341" s="87"/>
      <c r="G2341" s="94">
        <v>7.6973662E7</v>
      </c>
      <c r="H2341" s="87"/>
      <c r="I2341" s="87"/>
    </row>
    <row r="2342">
      <c r="A2342" s="87">
        <v>1046.0</v>
      </c>
      <c r="B2342" s="87" t="s">
        <v>1520</v>
      </c>
      <c r="C2342" s="93">
        <v>1.0</v>
      </c>
      <c r="D2342" s="87" t="s">
        <v>39</v>
      </c>
      <c r="E2342" s="87" t="s">
        <v>72</v>
      </c>
      <c r="F2342" s="87"/>
      <c r="G2342" s="94">
        <v>7.6777979E7</v>
      </c>
      <c r="H2342" s="87"/>
      <c r="I2342" s="87" t="s">
        <v>1521</v>
      </c>
    </row>
    <row r="2343">
      <c r="A2343" s="87">
        <v>185.0</v>
      </c>
      <c r="B2343" s="87" t="s">
        <v>612</v>
      </c>
      <c r="C2343" s="93">
        <v>1.0</v>
      </c>
      <c r="D2343" s="87" t="s">
        <v>275</v>
      </c>
      <c r="E2343" s="87" t="s">
        <v>18</v>
      </c>
      <c r="F2343" s="87"/>
      <c r="G2343" s="94"/>
      <c r="H2343" s="87"/>
      <c r="I2343" s="87"/>
    </row>
    <row r="2344">
      <c r="A2344" s="87">
        <v>437.0</v>
      </c>
      <c r="B2344" s="87" t="s">
        <v>612</v>
      </c>
      <c r="C2344" s="93">
        <v>1.0</v>
      </c>
      <c r="D2344" s="87" t="s">
        <v>39</v>
      </c>
      <c r="E2344" s="87" t="s">
        <v>1496</v>
      </c>
      <c r="F2344" s="87"/>
      <c r="G2344" s="94">
        <v>45551.0</v>
      </c>
      <c r="H2344" s="87"/>
      <c r="I2344" s="87"/>
    </row>
    <row r="2345">
      <c r="A2345" s="87">
        <v>182.0</v>
      </c>
      <c r="B2345" s="87" t="s">
        <v>403</v>
      </c>
      <c r="C2345" s="93">
        <v>1.0</v>
      </c>
      <c r="D2345" s="87" t="s">
        <v>275</v>
      </c>
      <c r="E2345" s="87" t="s">
        <v>18</v>
      </c>
      <c r="F2345" s="87"/>
      <c r="G2345" s="94"/>
      <c r="H2345" s="87"/>
      <c r="I2345" s="87"/>
    </row>
    <row r="2346">
      <c r="A2346" s="87">
        <v>429.0</v>
      </c>
      <c r="B2346" s="87" t="s">
        <v>287</v>
      </c>
      <c r="C2346" s="93">
        <v>2.0</v>
      </c>
      <c r="D2346" s="87" t="s">
        <v>1003</v>
      </c>
      <c r="E2346" s="87" t="s">
        <v>1008</v>
      </c>
      <c r="F2346" s="87"/>
      <c r="G2346" s="94">
        <v>45259.0</v>
      </c>
      <c r="H2346" s="87"/>
      <c r="I2346" s="87" t="s">
        <v>1005</v>
      </c>
    </row>
    <row r="2347">
      <c r="A2347" s="87">
        <v>387.0</v>
      </c>
      <c r="B2347" s="87" t="s">
        <v>1522</v>
      </c>
      <c r="C2347" s="93">
        <v>1.0</v>
      </c>
      <c r="D2347" s="87"/>
      <c r="E2347" s="87" t="s">
        <v>83</v>
      </c>
      <c r="F2347" s="87"/>
      <c r="G2347" s="94">
        <v>1.3891073E7</v>
      </c>
      <c r="H2347" s="87"/>
      <c r="I2347" s="87"/>
    </row>
    <row r="2348">
      <c r="A2348" s="87">
        <v>445.0</v>
      </c>
      <c r="B2348" s="87" t="s">
        <v>1523</v>
      </c>
      <c r="C2348" s="93">
        <v>1.0</v>
      </c>
      <c r="D2348" s="87" t="s">
        <v>39</v>
      </c>
      <c r="E2348" s="87" t="s">
        <v>26</v>
      </c>
      <c r="F2348" s="87"/>
      <c r="G2348" s="94"/>
      <c r="H2348" s="87"/>
      <c r="I2348" s="87" t="s">
        <v>1524</v>
      </c>
    </row>
    <row r="2349">
      <c r="A2349" s="87">
        <v>388.0</v>
      </c>
      <c r="B2349" s="87" t="s">
        <v>179</v>
      </c>
      <c r="C2349" s="93">
        <v>1.0</v>
      </c>
      <c r="D2349" s="87" t="s">
        <v>39</v>
      </c>
      <c r="E2349" s="87" t="s">
        <v>253</v>
      </c>
      <c r="F2349" s="87"/>
      <c r="G2349" s="94">
        <v>1.389005E7</v>
      </c>
      <c r="H2349" s="87"/>
      <c r="I2349" s="87" t="s">
        <v>1012</v>
      </c>
    </row>
    <row r="2350">
      <c r="A2350" s="87">
        <v>389.0</v>
      </c>
      <c r="B2350" s="87" t="s">
        <v>179</v>
      </c>
      <c r="C2350" s="93">
        <v>1.0</v>
      </c>
      <c r="D2350" s="87"/>
      <c r="E2350" s="87" t="s">
        <v>253</v>
      </c>
      <c r="F2350" s="87"/>
      <c r="G2350" s="94">
        <v>1.3890069E7</v>
      </c>
      <c r="H2350" s="87"/>
      <c r="I2350" s="87" t="s">
        <v>1012</v>
      </c>
    </row>
    <row r="2351">
      <c r="A2351" s="87">
        <v>390.0</v>
      </c>
      <c r="B2351" s="87" t="s">
        <v>179</v>
      </c>
      <c r="C2351" s="93">
        <v>1.0</v>
      </c>
      <c r="D2351" s="87"/>
      <c r="E2351" s="87" t="s">
        <v>83</v>
      </c>
      <c r="F2351" s="87"/>
      <c r="G2351" s="94">
        <v>1.41059E7</v>
      </c>
      <c r="H2351" s="87"/>
      <c r="I2351" s="87"/>
    </row>
    <row r="2352">
      <c r="A2352" s="87">
        <v>524.0</v>
      </c>
      <c r="B2352" s="87" t="s">
        <v>179</v>
      </c>
      <c r="C2352" s="93">
        <v>1.0</v>
      </c>
      <c r="D2352" s="87" t="s">
        <v>39</v>
      </c>
      <c r="E2352" s="87" t="s">
        <v>253</v>
      </c>
      <c r="F2352" s="87"/>
      <c r="G2352" s="94">
        <v>1.3890034E7</v>
      </c>
      <c r="H2352" s="87"/>
      <c r="I2352" s="87" t="s">
        <v>983</v>
      </c>
    </row>
    <row r="2353">
      <c r="A2353" s="87">
        <v>826.0</v>
      </c>
      <c r="B2353" s="87" t="s">
        <v>179</v>
      </c>
      <c r="C2353" s="93">
        <v>1.0</v>
      </c>
      <c r="D2353" s="87" t="s">
        <v>39</v>
      </c>
      <c r="E2353" s="87" t="s">
        <v>253</v>
      </c>
      <c r="F2353" s="87"/>
      <c r="G2353" s="94">
        <v>1.4105888E7</v>
      </c>
      <c r="H2353" s="87"/>
      <c r="I2353" s="87" t="s">
        <v>1012</v>
      </c>
    </row>
    <row r="2354">
      <c r="A2354" s="87">
        <v>1682.0</v>
      </c>
      <c r="B2354" s="87" t="s">
        <v>179</v>
      </c>
      <c r="C2354" s="93">
        <v>1.0</v>
      </c>
      <c r="D2354" s="87" t="s">
        <v>39</v>
      </c>
      <c r="E2354" s="87" t="s">
        <v>83</v>
      </c>
      <c r="F2354" s="87"/>
      <c r="G2354" s="94">
        <v>7.6937704E7</v>
      </c>
      <c r="H2354" s="87"/>
      <c r="I2354" s="87"/>
    </row>
    <row r="2355">
      <c r="A2355" s="87">
        <v>15.0</v>
      </c>
      <c r="B2355" s="87" t="s">
        <v>185</v>
      </c>
      <c r="C2355" s="93">
        <v>1.0</v>
      </c>
      <c r="D2355" s="87" t="s">
        <v>39</v>
      </c>
      <c r="E2355" s="87" t="s">
        <v>1525</v>
      </c>
      <c r="F2355" s="87"/>
      <c r="G2355" s="94">
        <v>4.0312054E7</v>
      </c>
      <c r="H2355" s="87" t="s">
        <v>1526</v>
      </c>
      <c r="I2355" s="87" t="s">
        <v>193</v>
      </c>
    </row>
    <row r="2356">
      <c r="A2356" s="87">
        <v>34.0</v>
      </c>
      <c r="B2356" s="87" t="s">
        <v>185</v>
      </c>
      <c r="C2356" s="93">
        <v>1.0</v>
      </c>
      <c r="D2356" s="87" t="s">
        <v>39</v>
      </c>
      <c r="E2356" s="87" t="s">
        <v>1496</v>
      </c>
      <c r="F2356" s="87"/>
      <c r="G2356" s="94">
        <v>7.6751457E7</v>
      </c>
      <c r="H2356" s="87"/>
      <c r="I2356" s="87" t="s">
        <v>1527</v>
      </c>
    </row>
    <row r="2357">
      <c r="A2357" s="87">
        <v>391.0</v>
      </c>
      <c r="B2357" s="87" t="s">
        <v>185</v>
      </c>
      <c r="C2357" s="93">
        <v>1.0</v>
      </c>
      <c r="D2357" s="87" t="s">
        <v>39</v>
      </c>
      <c r="E2357" s="87" t="s">
        <v>83</v>
      </c>
      <c r="F2357" s="87"/>
      <c r="G2357" s="94">
        <v>1.391829E7</v>
      </c>
      <c r="H2357" s="87" t="s">
        <v>186</v>
      </c>
      <c r="I2357" s="87"/>
    </row>
    <row r="2358">
      <c r="A2358" s="87">
        <v>392.0</v>
      </c>
      <c r="B2358" s="87" t="s">
        <v>185</v>
      </c>
      <c r="C2358" s="93">
        <v>1.0</v>
      </c>
      <c r="D2358" s="87" t="s">
        <v>39</v>
      </c>
      <c r="E2358" s="87" t="s">
        <v>83</v>
      </c>
      <c r="F2358" s="87"/>
      <c r="G2358" s="94">
        <v>1.3998951E7</v>
      </c>
      <c r="H2358" s="87"/>
      <c r="I2358" s="87"/>
    </row>
    <row r="2359">
      <c r="A2359" s="87">
        <v>393.0</v>
      </c>
      <c r="B2359" s="87" t="s">
        <v>185</v>
      </c>
      <c r="C2359" s="93">
        <v>1.0</v>
      </c>
      <c r="D2359" s="87" t="s">
        <v>39</v>
      </c>
      <c r="E2359" s="87" t="s">
        <v>83</v>
      </c>
      <c r="F2359" s="87"/>
      <c r="G2359" s="94">
        <v>1.405283E7</v>
      </c>
      <c r="H2359" s="87" t="s">
        <v>186</v>
      </c>
      <c r="I2359" s="87"/>
    </row>
    <row r="2360">
      <c r="A2360" s="87">
        <v>395.0</v>
      </c>
      <c r="B2360" s="87" t="s">
        <v>185</v>
      </c>
      <c r="C2360" s="93">
        <v>1.0</v>
      </c>
      <c r="D2360" s="87" t="s">
        <v>39</v>
      </c>
      <c r="E2360" s="87" t="s">
        <v>253</v>
      </c>
      <c r="F2360" s="87"/>
      <c r="G2360" s="94">
        <v>1.4056399E7</v>
      </c>
      <c r="H2360" s="87" t="s">
        <v>186</v>
      </c>
      <c r="I2360" s="87" t="s">
        <v>1012</v>
      </c>
    </row>
    <row r="2361">
      <c r="A2361" s="87">
        <v>396.0</v>
      </c>
      <c r="B2361" s="87" t="s">
        <v>185</v>
      </c>
      <c r="C2361" s="93">
        <v>1.0</v>
      </c>
      <c r="D2361" s="87" t="s">
        <v>39</v>
      </c>
      <c r="E2361" s="87" t="s">
        <v>83</v>
      </c>
      <c r="F2361" s="87"/>
      <c r="G2361" s="94">
        <v>1.4056402E7</v>
      </c>
      <c r="H2361" s="87" t="s">
        <v>186</v>
      </c>
      <c r="I2361" s="87"/>
    </row>
    <row r="2362">
      <c r="A2362" s="87">
        <v>397.0</v>
      </c>
      <c r="B2362" s="87" t="s">
        <v>185</v>
      </c>
      <c r="C2362" s="93">
        <v>1.0</v>
      </c>
      <c r="D2362" s="87"/>
      <c r="E2362" s="87" t="s">
        <v>83</v>
      </c>
      <c r="F2362" s="87"/>
      <c r="G2362" s="94">
        <v>7.6684202E7</v>
      </c>
      <c r="H2362" s="87"/>
      <c r="I2362" s="87"/>
    </row>
    <row r="2363">
      <c r="A2363" s="87">
        <v>398.0</v>
      </c>
      <c r="B2363" s="87" t="s">
        <v>185</v>
      </c>
      <c r="C2363" s="93">
        <v>1.0</v>
      </c>
      <c r="D2363" s="87"/>
      <c r="E2363" s="87" t="s">
        <v>83</v>
      </c>
      <c r="F2363" s="87"/>
      <c r="G2363" s="94">
        <v>7.668421E7</v>
      </c>
      <c r="H2363" s="87"/>
      <c r="I2363" s="87"/>
    </row>
    <row r="2364">
      <c r="A2364" s="87">
        <v>502.0</v>
      </c>
      <c r="B2364" s="87" t="s">
        <v>185</v>
      </c>
      <c r="C2364" s="93">
        <v>1.0</v>
      </c>
      <c r="D2364" s="87" t="s">
        <v>39</v>
      </c>
      <c r="E2364" s="87" t="s">
        <v>1496</v>
      </c>
      <c r="F2364" s="87"/>
      <c r="G2364" s="94">
        <v>1.3766198E7</v>
      </c>
      <c r="H2364" s="87"/>
      <c r="I2364" s="87" t="s">
        <v>1528</v>
      </c>
    </row>
    <row r="2365">
      <c r="A2365" s="87">
        <v>587.0</v>
      </c>
      <c r="B2365" s="87" t="s">
        <v>185</v>
      </c>
      <c r="C2365" s="93">
        <v>1.0</v>
      </c>
      <c r="D2365" s="87" t="s">
        <v>39</v>
      </c>
      <c r="E2365" s="87" t="s">
        <v>253</v>
      </c>
      <c r="F2365" s="87"/>
      <c r="G2365" s="94">
        <v>4.006901E7</v>
      </c>
      <c r="H2365" s="87"/>
      <c r="I2365" s="87" t="s">
        <v>1012</v>
      </c>
    </row>
    <row r="2366">
      <c r="A2366" s="87">
        <v>588.0</v>
      </c>
      <c r="B2366" s="87" t="s">
        <v>185</v>
      </c>
      <c r="C2366" s="93">
        <v>1.0</v>
      </c>
      <c r="D2366" s="87" t="s">
        <v>39</v>
      </c>
      <c r="E2366" s="87" t="s">
        <v>253</v>
      </c>
      <c r="F2366" s="87"/>
      <c r="G2366" s="94">
        <v>4.0069036E7</v>
      </c>
      <c r="H2366" s="87"/>
      <c r="I2366" s="87" t="s">
        <v>1012</v>
      </c>
    </row>
    <row r="2367">
      <c r="A2367" s="87">
        <v>973.0</v>
      </c>
      <c r="B2367" s="87" t="s">
        <v>185</v>
      </c>
      <c r="C2367" s="93">
        <v>1.0</v>
      </c>
      <c r="D2367" s="87" t="s">
        <v>39</v>
      </c>
      <c r="E2367" s="87" t="s">
        <v>1529</v>
      </c>
      <c r="F2367" s="87"/>
      <c r="G2367" s="94">
        <v>7.668306E7</v>
      </c>
      <c r="H2367" s="87"/>
      <c r="I2367" s="87" t="s">
        <v>1530</v>
      </c>
    </row>
    <row r="2368">
      <c r="A2368" s="87">
        <v>974.0</v>
      </c>
      <c r="B2368" s="87" t="s">
        <v>185</v>
      </c>
      <c r="C2368" s="93">
        <v>1.0</v>
      </c>
      <c r="D2368" s="87" t="s">
        <v>39</v>
      </c>
      <c r="E2368" s="87" t="s">
        <v>1531</v>
      </c>
      <c r="F2368" s="87"/>
      <c r="G2368" s="94">
        <v>7.6683354E7</v>
      </c>
      <c r="H2368" s="87"/>
      <c r="I2368" s="87" t="s">
        <v>1530</v>
      </c>
    </row>
    <row r="2369">
      <c r="A2369" s="87">
        <v>975.0</v>
      </c>
      <c r="B2369" s="87" t="s">
        <v>185</v>
      </c>
      <c r="C2369" s="93">
        <v>1.0</v>
      </c>
      <c r="D2369" s="87" t="s">
        <v>39</v>
      </c>
      <c r="E2369" s="87" t="s">
        <v>1525</v>
      </c>
      <c r="F2369" s="87"/>
      <c r="G2369" s="94">
        <v>7.6686159E7</v>
      </c>
      <c r="H2369" s="87" t="s">
        <v>1532</v>
      </c>
      <c r="I2369" s="87" t="s">
        <v>1533</v>
      </c>
    </row>
    <row r="2370">
      <c r="A2370" s="87">
        <v>976.0</v>
      </c>
      <c r="B2370" s="87" t="s">
        <v>185</v>
      </c>
      <c r="C2370" s="93">
        <v>1.0</v>
      </c>
      <c r="D2370" s="87" t="s">
        <v>39</v>
      </c>
      <c r="E2370" s="87" t="s">
        <v>1529</v>
      </c>
      <c r="F2370" s="87"/>
      <c r="G2370" s="94">
        <v>7.6686167E7</v>
      </c>
      <c r="H2370" s="87"/>
      <c r="I2370" s="87" t="s">
        <v>1533</v>
      </c>
    </row>
    <row r="2371">
      <c r="A2371" s="87">
        <v>1036.0</v>
      </c>
      <c r="B2371" s="87" t="s">
        <v>185</v>
      </c>
      <c r="C2371" s="93">
        <v>1.0</v>
      </c>
      <c r="D2371" s="87" t="s">
        <v>39</v>
      </c>
      <c r="E2371" s="87" t="s">
        <v>1531</v>
      </c>
      <c r="F2371" s="87"/>
      <c r="G2371" s="94">
        <v>7.6738965E7</v>
      </c>
      <c r="H2371" s="87"/>
      <c r="I2371" s="87" t="s">
        <v>194</v>
      </c>
    </row>
    <row r="2372">
      <c r="A2372" s="87">
        <v>845.0</v>
      </c>
      <c r="B2372" s="87" t="s">
        <v>1534</v>
      </c>
      <c r="C2372" s="93">
        <v>56.0</v>
      </c>
      <c r="D2372" s="87" t="s">
        <v>39</v>
      </c>
      <c r="E2372" s="87" t="s">
        <v>1046</v>
      </c>
      <c r="F2372" s="87"/>
      <c r="G2372" s="94"/>
      <c r="H2372" s="87"/>
      <c r="I2372" s="87"/>
    </row>
    <row r="2373">
      <c r="A2373" s="87">
        <v>846.0</v>
      </c>
      <c r="B2373" s="87" t="s">
        <v>328</v>
      </c>
      <c r="C2373" s="93">
        <v>124.0</v>
      </c>
      <c r="D2373" s="87" t="s">
        <v>39</v>
      </c>
      <c r="E2373" s="87" t="s">
        <v>1046</v>
      </c>
      <c r="F2373" s="87"/>
      <c r="G2373" s="94"/>
      <c r="H2373" s="87"/>
      <c r="I2373" s="87"/>
    </row>
    <row r="2374">
      <c r="A2374" s="87">
        <v>847.0</v>
      </c>
      <c r="B2374" s="87" t="s">
        <v>328</v>
      </c>
      <c r="C2374" s="93">
        <v>50.0</v>
      </c>
      <c r="D2374" s="87" t="s">
        <v>39</v>
      </c>
      <c r="E2374" s="87" t="s">
        <v>83</v>
      </c>
      <c r="F2374" s="87"/>
      <c r="G2374" s="94">
        <v>46122.0</v>
      </c>
      <c r="H2374" s="87"/>
      <c r="I2374" s="87"/>
    </row>
    <row r="2375">
      <c r="A2375" s="87">
        <v>625.0</v>
      </c>
      <c r="B2375" s="87" t="s">
        <v>1535</v>
      </c>
      <c r="C2375" s="93">
        <v>12.0</v>
      </c>
      <c r="D2375" s="87" t="s">
        <v>39</v>
      </c>
      <c r="E2375" s="87" t="s">
        <v>1032</v>
      </c>
      <c r="F2375" s="87"/>
      <c r="G2375" s="94"/>
      <c r="H2375" s="87"/>
      <c r="I2375" s="87"/>
    </row>
    <row r="2376">
      <c r="A2376" s="87">
        <v>419.0</v>
      </c>
      <c r="B2376" s="87" t="s">
        <v>426</v>
      </c>
      <c r="C2376" s="93">
        <v>1.0</v>
      </c>
      <c r="D2376" s="87" t="s">
        <v>1003</v>
      </c>
      <c r="E2376" s="87" t="s">
        <v>1232</v>
      </c>
      <c r="F2376" s="87"/>
      <c r="G2376" s="94"/>
      <c r="H2376" s="87"/>
      <c r="I2376" s="87" t="s">
        <v>1005</v>
      </c>
    </row>
    <row r="2377">
      <c r="A2377" s="87">
        <v>422.0</v>
      </c>
      <c r="B2377" s="87" t="s">
        <v>426</v>
      </c>
      <c r="C2377" s="93">
        <v>1.0</v>
      </c>
      <c r="D2377" s="87" t="s">
        <v>1003</v>
      </c>
      <c r="E2377" s="87" t="s">
        <v>1234</v>
      </c>
      <c r="F2377" s="87"/>
      <c r="G2377" s="94"/>
      <c r="H2377" s="87"/>
      <c r="I2377" s="87" t="s">
        <v>1005</v>
      </c>
    </row>
    <row r="2378">
      <c r="A2378" s="87">
        <v>425.0</v>
      </c>
      <c r="B2378" s="87" t="s">
        <v>426</v>
      </c>
      <c r="C2378" s="93">
        <v>1.0</v>
      </c>
      <c r="D2378" s="87" t="s">
        <v>1003</v>
      </c>
      <c r="E2378" s="87" t="s">
        <v>1235</v>
      </c>
      <c r="F2378" s="87"/>
      <c r="G2378" s="94"/>
      <c r="H2378" s="87"/>
      <c r="I2378" s="87" t="s">
        <v>1005</v>
      </c>
    </row>
    <row r="2379">
      <c r="A2379" s="87">
        <v>435.0</v>
      </c>
      <c r="B2379" s="87" t="s">
        <v>426</v>
      </c>
      <c r="C2379" s="93">
        <v>1.0</v>
      </c>
      <c r="D2379" s="87" t="s">
        <v>1003</v>
      </c>
      <c r="E2379" s="87" t="s">
        <v>1008</v>
      </c>
      <c r="F2379" s="87"/>
      <c r="G2379" s="94"/>
      <c r="H2379" s="87"/>
      <c r="I2379" s="87" t="s">
        <v>1005</v>
      </c>
    </row>
    <row r="2380">
      <c r="A2380" s="87">
        <v>623.0</v>
      </c>
      <c r="B2380" s="87" t="s">
        <v>426</v>
      </c>
      <c r="C2380" s="93">
        <v>13.0</v>
      </c>
      <c r="D2380" s="87" t="s">
        <v>39</v>
      </c>
      <c r="E2380" s="87" t="s">
        <v>1032</v>
      </c>
      <c r="F2380" s="87"/>
      <c r="G2380" s="94"/>
      <c r="H2380" s="87"/>
      <c r="I2380" s="87" t="s">
        <v>1536</v>
      </c>
    </row>
    <row r="2381">
      <c r="A2381" s="87">
        <v>399.0</v>
      </c>
      <c r="B2381" s="87" t="s">
        <v>677</v>
      </c>
      <c r="C2381" s="93">
        <v>1.0</v>
      </c>
      <c r="D2381" s="87" t="s">
        <v>39</v>
      </c>
      <c r="E2381" s="87" t="s">
        <v>253</v>
      </c>
      <c r="F2381" s="87"/>
      <c r="G2381" s="94">
        <v>1.3849247E7</v>
      </c>
      <c r="H2381" s="87"/>
      <c r="I2381" s="87" t="s">
        <v>1012</v>
      </c>
    </row>
    <row r="2382">
      <c r="A2382" s="87">
        <v>400.0</v>
      </c>
      <c r="B2382" s="87" t="s">
        <v>677</v>
      </c>
      <c r="C2382" s="93">
        <v>1.0</v>
      </c>
      <c r="D2382" s="87"/>
      <c r="E2382" s="87" t="s">
        <v>83</v>
      </c>
      <c r="F2382" s="87"/>
      <c r="G2382" s="94">
        <v>7.6702154E7</v>
      </c>
      <c r="H2382" s="87"/>
      <c r="I2382" s="87"/>
    </row>
    <row r="2383">
      <c r="A2383" s="87">
        <v>97.0</v>
      </c>
      <c r="B2383" s="87" t="s">
        <v>637</v>
      </c>
      <c r="C2383" s="93">
        <v>1.0</v>
      </c>
      <c r="D2383" s="87" t="s">
        <v>39</v>
      </c>
      <c r="E2383" s="87" t="s">
        <v>1537</v>
      </c>
      <c r="F2383" s="87"/>
      <c r="G2383" s="94">
        <v>7.6881199E7</v>
      </c>
      <c r="H2383" s="87" t="s">
        <v>1538</v>
      </c>
      <c r="I2383" s="87" t="s">
        <v>1539</v>
      </c>
    </row>
    <row r="2384">
      <c r="A2384" s="87">
        <v>401.0</v>
      </c>
      <c r="B2384" s="87" t="s">
        <v>637</v>
      </c>
      <c r="C2384" s="93">
        <v>1.0</v>
      </c>
      <c r="D2384" s="87" t="s">
        <v>39</v>
      </c>
      <c r="E2384" s="87" t="s">
        <v>83</v>
      </c>
      <c r="F2384" s="87"/>
      <c r="G2384" s="94">
        <v>4.027344E7</v>
      </c>
      <c r="H2384" s="87"/>
      <c r="I2384" s="87" t="s">
        <v>1540</v>
      </c>
    </row>
    <row r="2385">
      <c r="A2385" s="87">
        <v>402.0</v>
      </c>
      <c r="B2385" s="87" t="s">
        <v>637</v>
      </c>
      <c r="C2385" s="93">
        <v>1.0</v>
      </c>
      <c r="D2385" s="87" t="s">
        <v>39</v>
      </c>
      <c r="E2385" s="87" t="s">
        <v>83</v>
      </c>
      <c r="F2385" s="87"/>
      <c r="G2385" s="94">
        <v>4.0273458E7</v>
      </c>
      <c r="H2385" s="87"/>
      <c r="I2385" s="87" t="s">
        <v>1540</v>
      </c>
    </row>
    <row r="2386">
      <c r="A2386" s="87">
        <v>1110.0</v>
      </c>
      <c r="B2386" s="87" t="s">
        <v>637</v>
      </c>
      <c r="C2386" s="93">
        <v>1.0</v>
      </c>
      <c r="D2386" s="87" t="s">
        <v>39</v>
      </c>
      <c r="E2386" s="87" t="s">
        <v>1020</v>
      </c>
      <c r="F2386" s="87"/>
      <c r="G2386" s="94">
        <v>7.682075E7</v>
      </c>
      <c r="H2386" s="87"/>
      <c r="I2386" s="87" t="s">
        <v>1541</v>
      </c>
    </row>
    <row r="2387">
      <c r="A2387" s="87">
        <v>1142.0</v>
      </c>
      <c r="B2387" s="87" t="s">
        <v>637</v>
      </c>
      <c r="C2387" s="93">
        <v>1.0</v>
      </c>
      <c r="D2387" s="87" t="s">
        <v>39</v>
      </c>
      <c r="E2387" s="87" t="s">
        <v>664</v>
      </c>
      <c r="F2387" s="87"/>
      <c r="G2387" s="94">
        <v>7.6833879E7</v>
      </c>
      <c r="H2387" s="87"/>
      <c r="I2387" s="87" t="s">
        <v>1542</v>
      </c>
    </row>
    <row r="2388">
      <c r="A2388" s="87">
        <v>1146.0</v>
      </c>
      <c r="B2388" s="87" t="s">
        <v>637</v>
      </c>
      <c r="C2388" s="93">
        <v>1.0</v>
      </c>
      <c r="D2388" s="87" t="s">
        <v>39</v>
      </c>
      <c r="E2388" s="87" t="s">
        <v>1098</v>
      </c>
      <c r="F2388" s="87"/>
      <c r="G2388" s="94">
        <v>7.6839605E7</v>
      </c>
      <c r="H2388" s="87"/>
      <c r="I2388" s="87" t="s">
        <v>1543</v>
      </c>
    </row>
    <row r="2389">
      <c r="A2389" s="87">
        <v>1147.0</v>
      </c>
      <c r="B2389" s="87" t="s">
        <v>637</v>
      </c>
      <c r="C2389" s="93">
        <v>1.0</v>
      </c>
      <c r="D2389" s="87" t="s">
        <v>39</v>
      </c>
      <c r="E2389" s="87" t="s">
        <v>763</v>
      </c>
      <c r="F2389" s="87"/>
      <c r="G2389" s="94">
        <v>7.6839613E7</v>
      </c>
      <c r="H2389" s="87" t="s">
        <v>1544</v>
      </c>
      <c r="I2389" s="87" t="s">
        <v>1545</v>
      </c>
    </row>
    <row r="2390">
      <c r="A2390" s="87">
        <v>1149.0</v>
      </c>
      <c r="B2390" s="87" t="s">
        <v>637</v>
      </c>
      <c r="C2390" s="93">
        <v>1.0</v>
      </c>
      <c r="D2390" s="87" t="s">
        <v>39</v>
      </c>
      <c r="E2390" s="87" t="s">
        <v>664</v>
      </c>
      <c r="F2390" s="87"/>
      <c r="G2390" s="94">
        <v>7.683963E7</v>
      </c>
      <c r="H2390" s="87"/>
      <c r="I2390" s="87" t="s">
        <v>1546</v>
      </c>
    </row>
    <row r="2391">
      <c r="A2391" s="87">
        <v>1338.0</v>
      </c>
      <c r="B2391" s="87" t="s">
        <v>637</v>
      </c>
      <c r="C2391" s="93">
        <v>1.0</v>
      </c>
      <c r="D2391" s="87" t="s">
        <v>39</v>
      </c>
      <c r="E2391" s="87" t="s">
        <v>664</v>
      </c>
      <c r="F2391" s="87"/>
      <c r="G2391" s="94">
        <v>7.6837653E7</v>
      </c>
      <c r="H2391" s="87" t="s">
        <v>1547</v>
      </c>
      <c r="I2391" s="87" t="s">
        <v>1548</v>
      </c>
    </row>
    <row r="2392">
      <c r="A2392" s="87">
        <v>1506.0</v>
      </c>
      <c r="B2392" s="87" t="s">
        <v>637</v>
      </c>
      <c r="C2392" s="93">
        <v>1.0</v>
      </c>
      <c r="D2392" s="87" t="s">
        <v>39</v>
      </c>
      <c r="E2392" s="87" t="s">
        <v>72</v>
      </c>
      <c r="F2392" s="87"/>
      <c r="G2392" s="94">
        <v>7.6837645E7</v>
      </c>
      <c r="H2392" s="87"/>
      <c r="I2392" s="87" t="s">
        <v>1549</v>
      </c>
    </row>
    <row r="2393">
      <c r="A2393" s="87">
        <v>404.0</v>
      </c>
      <c r="B2393" s="87" t="s">
        <v>77</v>
      </c>
      <c r="C2393" s="93">
        <v>1.0</v>
      </c>
      <c r="D2393" s="87"/>
      <c r="E2393" s="87" t="s">
        <v>83</v>
      </c>
      <c r="F2393" s="87"/>
      <c r="G2393" s="94">
        <v>4.0270343E7</v>
      </c>
      <c r="H2393" s="87"/>
      <c r="I2393" s="87"/>
    </row>
    <row r="2394">
      <c r="A2394" s="87">
        <v>405.0</v>
      </c>
      <c r="B2394" s="87" t="s">
        <v>77</v>
      </c>
      <c r="C2394" s="93">
        <v>1.0</v>
      </c>
      <c r="D2394" s="87"/>
      <c r="E2394" s="87" t="s">
        <v>83</v>
      </c>
      <c r="F2394" s="87"/>
      <c r="G2394" s="94">
        <v>4.0270351E7</v>
      </c>
      <c r="H2394" s="87"/>
      <c r="I2394" s="87"/>
    </row>
    <row r="2395">
      <c r="A2395" s="87">
        <v>406.0</v>
      </c>
      <c r="B2395" s="87" t="s">
        <v>77</v>
      </c>
      <c r="C2395" s="93">
        <v>1.0</v>
      </c>
      <c r="D2395" s="87"/>
      <c r="E2395" s="87" t="s">
        <v>83</v>
      </c>
      <c r="F2395" s="87"/>
      <c r="G2395" s="94">
        <v>4.0273938E7</v>
      </c>
      <c r="H2395" s="87"/>
      <c r="I2395" s="87"/>
    </row>
    <row r="2396">
      <c r="A2396" s="87">
        <v>407.0</v>
      </c>
      <c r="B2396" s="87" t="s">
        <v>77</v>
      </c>
      <c r="C2396" s="93">
        <v>1.0</v>
      </c>
      <c r="D2396" s="87"/>
      <c r="E2396" s="87" t="s">
        <v>83</v>
      </c>
      <c r="F2396" s="87"/>
      <c r="G2396" s="94">
        <v>7.6744353E7</v>
      </c>
      <c r="H2396" s="87"/>
      <c r="I2396" s="87"/>
    </row>
    <row r="2397">
      <c r="A2397" s="87">
        <v>178.0</v>
      </c>
      <c r="B2397" s="87" t="s">
        <v>954</v>
      </c>
      <c r="C2397" s="93">
        <v>3.0</v>
      </c>
      <c r="D2397" s="87" t="s">
        <v>275</v>
      </c>
      <c r="E2397" s="87" t="s">
        <v>18</v>
      </c>
      <c r="F2397" s="87"/>
      <c r="G2397" s="94">
        <v>45519.0</v>
      </c>
      <c r="H2397" s="87"/>
      <c r="I2397" s="87"/>
    </row>
    <row r="2398">
      <c r="A2398" s="87">
        <v>627.0</v>
      </c>
      <c r="B2398" s="87" t="s">
        <v>722</v>
      </c>
      <c r="C2398" s="93">
        <v>50.0</v>
      </c>
      <c r="D2398" s="87" t="s">
        <v>39</v>
      </c>
      <c r="E2398" s="87" t="s">
        <v>1032</v>
      </c>
      <c r="F2398" s="87"/>
      <c r="G2398" s="94"/>
      <c r="H2398" s="87"/>
      <c r="I2398" s="87"/>
    </row>
    <row r="2399">
      <c r="A2399" s="87">
        <v>181.0</v>
      </c>
      <c r="B2399" s="87" t="s">
        <v>1550</v>
      </c>
      <c r="C2399" s="93">
        <v>1.0</v>
      </c>
      <c r="D2399" s="87" t="s">
        <v>275</v>
      </c>
      <c r="E2399" s="87" t="s">
        <v>18</v>
      </c>
      <c r="F2399" s="87"/>
      <c r="G2399" s="94">
        <v>45558.0</v>
      </c>
      <c r="H2399" s="87"/>
      <c r="I2399" s="87"/>
    </row>
    <row r="2400">
      <c r="A2400" s="87">
        <v>989.0</v>
      </c>
      <c r="B2400" s="87" t="s">
        <v>1551</v>
      </c>
      <c r="C2400" s="93">
        <v>1.0</v>
      </c>
      <c r="D2400" s="87" t="s">
        <v>39</v>
      </c>
      <c r="E2400" s="87" t="s">
        <v>763</v>
      </c>
      <c r="F2400" s="87"/>
      <c r="G2400" s="94">
        <v>7.6715663E7</v>
      </c>
      <c r="H2400" s="87"/>
      <c r="I2400" s="87" t="s">
        <v>1552</v>
      </c>
    </row>
    <row r="2401">
      <c r="A2401" s="87">
        <v>990.0</v>
      </c>
      <c r="B2401" s="87" t="s">
        <v>1551</v>
      </c>
      <c r="C2401" s="93">
        <v>1.0</v>
      </c>
      <c r="D2401" s="87" t="s">
        <v>39</v>
      </c>
      <c r="E2401" s="87" t="s">
        <v>1511</v>
      </c>
      <c r="F2401" s="87"/>
      <c r="G2401" s="94">
        <v>7.6715671E7</v>
      </c>
      <c r="H2401" s="87"/>
      <c r="I2401" s="87" t="s">
        <v>1552</v>
      </c>
    </row>
    <row r="2402">
      <c r="A2402" s="87">
        <v>991.0</v>
      </c>
      <c r="B2402" s="87" t="s">
        <v>1551</v>
      </c>
      <c r="C2402" s="93">
        <v>1.0</v>
      </c>
      <c r="D2402" s="87" t="s">
        <v>39</v>
      </c>
      <c r="E2402" s="87" t="s">
        <v>1018</v>
      </c>
      <c r="F2402" s="87"/>
      <c r="G2402" s="94">
        <v>7.671568E7</v>
      </c>
      <c r="H2402" s="87"/>
      <c r="I2402" s="87"/>
    </row>
    <row r="2403">
      <c r="A2403" s="87">
        <v>992.0</v>
      </c>
      <c r="B2403" s="87" t="s">
        <v>1551</v>
      </c>
      <c r="C2403" s="93">
        <v>1.0</v>
      </c>
      <c r="D2403" s="87" t="s">
        <v>39</v>
      </c>
      <c r="E2403" s="87" t="s">
        <v>1018</v>
      </c>
      <c r="F2403" s="87"/>
      <c r="G2403" s="94">
        <v>7.6715698E7</v>
      </c>
      <c r="H2403" s="87"/>
      <c r="I2403" s="87"/>
    </row>
    <row r="2404">
      <c r="A2404" s="87">
        <v>408.0</v>
      </c>
      <c r="B2404" s="87" t="s">
        <v>1553</v>
      </c>
      <c r="C2404" s="93">
        <v>1.0</v>
      </c>
      <c r="D2404" s="87" t="s">
        <v>39</v>
      </c>
      <c r="E2404" s="87" t="s">
        <v>253</v>
      </c>
      <c r="F2404" s="87"/>
      <c r="G2404" s="94">
        <v>3.2982488E7</v>
      </c>
      <c r="H2404" s="87"/>
      <c r="I2404" s="87" t="s">
        <v>1012</v>
      </c>
    </row>
    <row r="2405">
      <c r="A2405" s="87">
        <v>409.0</v>
      </c>
      <c r="B2405" s="87" t="s">
        <v>1553</v>
      </c>
      <c r="C2405" s="93">
        <v>1.0</v>
      </c>
      <c r="D2405" s="87"/>
      <c r="E2405" s="87" t="s">
        <v>253</v>
      </c>
      <c r="F2405" s="87"/>
      <c r="G2405" s="94">
        <v>3.2982542E7</v>
      </c>
      <c r="H2405" s="87"/>
      <c r="I2405" s="87" t="s">
        <v>1012</v>
      </c>
    </row>
    <row r="2406">
      <c r="A2406" s="87">
        <v>410.0</v>
      </c>
      <c r="B2406" s="87" t="s">
        <v>1553</v>
      </c>
      <c r="C2406" s="93">
        <v>1.0</v>
      </c>
      <c r="D2406" s="87" t="s">
        <v>39</v>
      </c>
      <c r="E2406" s="87" t="s">
        <v>253</v>
      </c>
      <c r="F2406" s="87"/>
      <c r="G2406" s="94">
        <v>3.2982577E7</v>
      </c>
      <c r="H2406" s="87"/>
      <c r="I2406" s="87" t="s">
        <v>1012</v>
      </c>
    </row>
    <row r="2407">
      <c r="A2407" s="87">
        <v>411.0</v>
      </c>
      <c r="B2407" s="87" t="s">
        <v>1553</v>
      </c>
      <c r="C2407" s="93">
        <v>1.0</v>
      </c>
      <c r="D2407" s="87" t="s">
        <v>39</v>
      </c>
      <c r="E2407" s="87" t="s">
        <v>253</v>
      </c>
      <c r="F2407" s="87"/>
      <c r="G2407" s="94">
        <v>3.2982895E7</v>
      </c>
      <c r="H2407" s="87"/>
      <c r="I2407" s="87" t="s">
        <v>1012</v>
      </c>
    </row>
    <row r="2408">
      <c r="A2408" s="87">
        <v>1557.0</v>
      </c>
      <c r="B2408" s="87" t="s">
        <v>1554</v>
      </c>
      <c r="C2408" s="93">
        <v>1.0</v>
      </c>
      <c r="D2408" s="87" t="s">
        <v>39</v>
      </c>
      <c r="E2408" s="87" t="s">
        <v>1020</v>
      </c>
      <c r="F2408" s="87"/>
      <c r="G2408" s="94">
        <v>1.2912454E8</v>
      </c>
      <c r="H2408" s="87"/>
      <c r="I2408" s="87"/>
    </row>
    <row r="2409">
      <c r="A2409" s="87">
        <v>412.0</v>
      </c>
      <c r="B2409" s="87" t="s">
        <v>1555</v>
      </c>
      <c r="C2409" s="93">
        <v>1.0</v>
      </c>
      <c r="D2409" s="87"/>
      <c r="E2409" s="87" t="s">
        <v>83</v>
      </c>
      <c r="F2409" s="87"/>
      <c r="G2409" s="94">
        <v>2697475.0</v>
      </c>
      <c r="H2409" s="87"/>
      <c r="I2409" s="87"/>
    </row>
    <row r="2410">
      <c r="A2410" s="87">
        <v>169.0</v>
      </c>
      <c r="B2410" s="87" t="s">
        <v>289</v>
      </c>
      <c r="C2410" s="93">
        <v>1.0</v>
      </c>
      <c r="D2410" s="87" t="s">
        <v>275</v>
      </c>
      <c r="E2410" s="87" t="s">
        <v>19</v>
      </c>
      <c r="F2410" s="87"/>
      <c r="G2410" s="94">
        <v>45628.0</v>
      </c>
      <c r="H2410" s="87"/>
      <c r="I2410" s="87" t="s">
        <v>1556</v>
      </c>
    </row>
    <row r="2411">
      <c r="A2411" s="87">
        <v>413.0</v>
      </c>
      <c r="B2411" s="87" t="s">
        <v>1557</v>
      </c>
      <c r="C2411" s="93">
        <v>1.0</v>
      </c>
      <c r="D2411" s="87"/>
      <c r="E2411" s="87" t="s">
        <v>253</v>
      </c>
      <c r="F2411" s="87"/>
      <c r="G2411" s="94">
        <v>4.0360792E7</v>
      </c>
      <c r="H2411" s="87"/>
      <c r="I2411" s="87" t="s">
        <v>1012</v>
      </c>
    </row>
    <row r="2412">
      <c r="A2412" s="87">
        <v>1497.0</v>
      </c>
      <c r="B2412" s="87" t="s">
        <v>1558</v>
      </c>
      <c r="C2412" s="93">
        <v>1.0</v>
      </c>
      <c r="D2412" s="87" t="s">
        <v>39</v>
      </c>
      <c r="E2412" s="87" t="s">
        <v>1032</v>
      </c>
      <c r="F2412" s="87"/>
      <c r="G2412" s="94">
        <v>7.6837602E7</v>
      </c>
      <c r="H2412" s="87"/>
      <c r="I2412" s="87"/>
    </row>
    <row r="2413">
      <c r="A2413" s="87">
        <v>1498.0</v>
      </c>
      <c r="B2413" s="87" t="s">
        <v>1558</v>
      </c>
      <c r="C2413" s="93">
        <v>1.0</v>
      </c>
      <c r="D2413" s="87" t="s">
        <v>39</v>
      </c>
      <c r="E2413" s="87" t="s">
        <v>1032</v>
      </c>
      <c r="F2413" s="87"/>
      <c r="G2413" s="94">
        <v>7.683761E7</v>
      </c>
      <c r="H2413" s="87"/>
      <c r="I2413" s="87"/>
    </row>
    <row r="2414">
      <c r="A2414" s="87">
        <v>1499.0</v>
      </c>
      <c r="B2414" s="87" t="s">
        <v>1558</v>
      </c>
      <c r="C2414" s="93">
        <v>1.0</v>
      </c>
      <c r="D2414" s="87" t="s">
        <v>39</v>
      </c>
      <c r="E2414" s="87" t="s">
        <v>1032</v>
      </c>
      <c r="F2414" s="87"/>
      <c r="G2414" s="94">
        <v>7.6837629E7</v>
      </c>
      <c r="H2414" s="87"/>
      <c r="I2414" s="87"/>
    </row>
    <row r="2415">
      <c r="A2415" s="87">
        <v>414.0</v>
      </c>
      <c r="B2415" s="87" t="s">
        <v>909</v>
      </c>
      <c r="C2415" s="93">
        <v>1.0</v>
      </c>
      <c r="D2415" s="87"/>
      <c r="E2415" s="87" t="s">
        <v>83</v>
      </c>
      <c r="F2415" s="87"/>
      <c r="G2415" s="94">
        <v>1.3847805E7</v>
      </c>
      <c r="H2415" s="87"/>
      <c r="I2415" s="87"/>
    </row>
    <row r="2416">
      <c r="A2416" s="87">
        <v>415.0</v>
      </c>
      <c r="B2416" s="87" t="s">
        <v>909</v>
      </c>
      <c r="C2416" s="93">
        <v>1.0</v>
      </c>
      <c r="D2416" s="87"/>
      <c r="E2416" s="87" t="s">
        <v>83</v>
      </c>
      <c r="F2416" s="87"/>
      <c r="G2416" s="94">
        <v>4.0273466E7</v>
      </c>
      <c r="H2416" s="87"/>
      <c r="I2416" s="87"/>
    </row>
    <row r="2417">
      <c r="A2417" s="87">
        <v>1508.0</v>
      </c>
      <c r="B2417" s="87" t="s">
        <v>909</v>
      </c>
      <c r="C2417" s="93">
        <v>1.0</v>
      </c>
      <c r="D2417" s="87" t="s">
        <v>39</v>
      </c>
      <c r="E2417" s="87" t="s">
        <v>72</v>
      </c>
      <c r="F2417" s="87"/>
      <c r="G2417" s="94">
        <v>7.683767E7</v>
      </c>
      <c r="H2417" s="87"/>
      <c r="I2417" s="87"/>
    </row>
    <row r="2418">
      <c r="A2418" s="87">
        <v>416.0</v>
      </c>
      <c r="B2418" s="87" t="s">
        <v>200</v>
      </c>
      <c r="C2418" s="93">
        <v>1.0</v>
      </c>
      <c r="D2418" s="87"/>
      <c r="E2418" s="87" t="s">
        <v>83</v>
      </c>
      <c r="F2418" s="87"/>
      <c r="G2418" s="94">
        <v>1.37424E7</v>
      </c>
      <c r="H2418" s="87"/>
      <c r="I2418" s="87"/>
    </row>
    <row r="2419">
      <c r="A2419" s="87">
        <v>417.0</v>
      </c>
      <c r="B2419" s="87" t="s">
        <v>200</v>
      </c>
      <c r="C2419" s="93">
        <v>1.0</v>
      </c>
      <c r="D2419" s="87"/>
      <c r="E2419" s="87" t="s">
        <v>83</v>
      </c>
      <c r="F2419" s="87"/>
      <c r="G2419" s="94">
        <v>1.376702E7</v>
      </c>
      <c r="H2419" s="87"/>
      <c r="I2419" s="87"/>
    </row>
    <row r="2420">
      <c r="A2420" s="87">
        <v>418.0</v>
      </c>
      <c r="B2420" s="87" t="s">
        <v>200</v>
      </c>
      <c r="C2420" s="93">
        <v>1.0</v>
      </c>
      <c r="D2420" s="87"/>
      <c r="E2420" s="87" t="s">
        <v>83</v>
      </c>
      <c r="F2420" s="87"/>
      <c r="G2420" s="94">
        <v>4.0071464E7</v>
      </c>
      <c r="H2420" s="87"/>
      <c r="I2420" s="87"/>
    </row>
    <row r="2421">
      <c r="A2421" s="87">
        <v>589.0</v>
      </c>
      <c r="B2421" s="87" t="s">
        <v>200</v>
      </c>
      <c r="C2421" s="93">
        <v>1.0</v>
      </c>
      <c r="D2421" s="87" t="s">
        <v>39</v>
      </c>
      <c r="E2421" s="87" t="s">
        <v>40</v>
      </c>
      <c r="F2421" s="87"/>
      <c r="G2421" s="94">
        <v>4.0070611E7</v>
      </c>
      <c r="H2421" s="87"/>
      <c r="I2421" s="87" t="s">
        <v>439</v>
      </c>
    </row>
    <row r="2422">
      <c r="A2422" s="87">
        <v>170.0</v>
      </c>
      <c r="B2422" s="87" t="s">
        <v>509</v>
      </c>
      <c r="C2422" s="93">
        <v>5.0</v>
      </c>
      <c r="D2422" s="87" t="s">
        <v>275</v>
      </c>
      <c r="E2422" s="87" t="s">
        <v>19</v>
      </c>
      <c r="F2422" s="87"/>
      <c r="G2422" s="94"/>
      <c r="H2422" s="87"/>
      <c r="I2422" s="87"/>
    </row>
    <row r="2423">
      <c r="A2423" s="87">
        <v>171.0</v>
      </c>
      <c r="B2423" s="87" t="s">
        <v>510</v>
      </c>
      <c r="C2423" s="93">
        <v>1.0</v>
      </c>
      <c r="D2423" s="87" t="s">
        <v>275</v>
      </c>
      <c r="E2423" s="87" t="s">
        <v>19</v>
      </c>
      <c r="F2423" s="87"/>
      <c r="G2423" s="94"/>
      <c r="H2423" s="87"/>
      <c r="I2423" s="87"/>
    </row>
    <row r="2424">
      <c r="A2424" s="87">
        <v>1249.0</v>
      </c>
      <c r="B2424" s="87" t="s">
        <v>1559</v>
      </c>
      <c r="C2424" s="93">
        <v>1.0</v>
      </c>
      <c r="D2424" s="87" t="s">
        <v>39</v>
      </c>
      <c r="E2424" s="87" t="s">
        <v>40</v>
      </c>
      <c r="F2424" s="87"/>
      <c r="G2424" s="94">
        <v>7.6878236E7</v>
      </c>
      <c r="H2424" s="87" t="s">
        <v>1560</v>
      </c>
      <c r="I2424" s="87" t="s">
        <v>1561</v>
      </c>
    </row>
    <row r="2425">
      <c r="A2425" s="87">
        <v>995.0</v>
      </c>
      <c r="B2425" s="87" t="s">
        <v>1562</v>
      </c>
      <c r="C2425" s="93">
        <v>1.0</v>
      </c>
      <c r="D2425" s="87" t="s">
        <v>39</v>
      </c>
      <c r="E2425" s="87" t="s">
        <v>664</v>
      </c>
      <c r="F2425" s="87"/>
      <c r="G2425" s="94">
        <v>7.6715728E7</v>
      </c>
      <c r="H2425" s="87"/>
      <c r="I2425" s="87"/>
    </row>
    <row r="2426">
      <c r="A2426" s="87">
        <v>996.0</v>
      </c>
      <c r="B2426" s="87" t="s">
        <v>1562</v>
      </c>
      <c r="C2426" s="93">
        <v>1.0</v>
      </c>
      <c r="D2426" s="87" t="s">
        <v>39</v>
      </c>
      <c r="E2426" s="87" t="s">
        <v>1020</v>
      </c>
      <c r="F2426" s="87"/>
      <c r="G2426" s="94">
        <v>7.6715736E7</v>
      </c>
      <c r="H2426" s="87"/>
      <c r="I2426" s="87"/>
    </row>
    <row r="2427">
      <c r="A2427" s="87">
        <v>997.0</v>
      </c>
      <c r="B2427" s="87" t="s">
        <v>1562</v>
      </c>
      <c r="C2427" s="93">
        <v>1.0</v>
      </c>
      <c r="D2427" s="87" t="s">
        <v>39</v>
      </c>
      <c r="E2427" s="87" t="s">
        <v>253</v>
      </c>
      <c r="F2427" s="87"/>
      <c r="G2427" s="94">
        <v>7.6715744E7</v>
      </c>
      <c r="H2427" s="87"/>
      <c r="I2427" s="87" t="s">
        <v>1014</v>
      </c>
    </row>
    <row r="2428">
      <c r="A2428" s="87">
        <v>92.0</v>
      </c>
      <c r="B2428" s="87" t="s">
        <v>1563</v>
      </c>
      <c r="C2428" s="93">
        <v>1.0</v>
      </c>
      <c r="D2428" s="87" t="s">
        <v>39</v>
      </c>
      <c r="E2428" s="87" t="s">
        <v>40</v>
      </c>
      <c r="F2428" s="87"/>
      <c r="G2428" s="94">
        <v>5.7278687E7</v>
      </c>
      <c r="H2428" s="87"/>
      <c r="I2428" s="87" t="s">
        <v>1564</v>
      </c>
    </row>
    <row r="2429">
      <c r="A2429" s="87">
        <v>698.0</v>
      </c>
      <c r="B2429" s="87" t="s">
        <v>1563</v>
      </c>
      <c r="C2429" s="93">
        <v>1.0</v>
      </c>
      <c r="D2429" s="87" t="s">
        <v>39</v>
      </c>
      <c r="E2429" s="87" t="s">
        <v>1020</v>
      </c>
      <c r="F2429" s="87"/>
      <c r="G2429" s="94">
        <v>1.4069334E7</v>
      </c>
      <c r="H2429" s="87"/>
      <c r="I2429" s="87" t="s">
        <v>1565</v>
      </c>
    </row>
    <row r="2430">
      <c r="A2430" s="87">
        <v>823.0</v>
      </c>
      <c r="B2430" s="87" t="s">
        <v>1563</v>
      </c>
      <c r="C2430" s="93">
        <v>1.0</v>
      </c>
      <c r="D2430" s="87" t="s">
        <v>39</v>
      </c>
      <c r="E2430" s="87" t="s">
        <v>763</v>
      </c>
      <c r="F2430" s="87"/>
      <c r="G2430" s="94">
        <v>1.406935E7</v>
      </c>
      <c r="H2430" s="87"/>
      <c r="I2430" s="87"/>
    </row>
    <row r="2431">
      <c r="A2431" s="87">
        <v>419.0</v>
      </c>
      <c r="B2431" s="87" t="s">
        <v>1566</v>
      </c>
      <c r="C2431" s="93">
        <v>1.0</v>
      </c>
      <c r="D2431" s="87"/>
      <c r="E2431" s="87" t="s">
        <v>83</v>
      </c>
      <c r="F2431" s="87"/>
      <c r="G2431" s="94">
        <v>4.0122E7</v>
      </c>
      <c r="H2431" s="87"/>
      <c r="I2431" s="87"/>
    </row>
    <row r="2432">
      <c r="A2432" s="87">
        <v>420.0</v>
      </c>
      <c r="B2432" s="87" t="s">
        <v>1567</v>
      </c>
      <c r="C2432" s="93">
        <v>1.0</v>
      </c>
      <c r="D2432" s="87"/>
      <c r="E2432" s="87" t="s">
        <v>83</v>
      </c>
      <c r="F2432" s="87"/>
      <c r="G2432" s="94">
        <v>1.3918923E7</v>
      </c>
      <c r="H2432" s="87"/>
      <c r="I2432" s="87"/>
    </row>
    <row r="2433">
      <c r="A2433" s="87">
        <v>421.0</v>
      </c>
      <c r="B2433" s="87" t="s">
        <v>1568</v>
      </c>
      <c r="C2433" s="93">
        <v>1.0</v>
      </c>
      <c r="D2433" s="87"/>
      <c r="E2433" s="87" t="s">
        <v>83</v>
      </c>
      <c r="F2433" s="87"/>
      <c r="G2433" s="94">
        <v>7.6730646E7</v>
      </c>
      <c r="H2433" s="87"/>
      <c r="I2433" s="87"/>
    </row>
    <row r="2434">
      <c r="A2434" s="87">
        <v>422.0</v>
      </c>
      <c r="B2434" s="87" t="s">
        <v>1568</v>
      </c>
      <c r="C2434" s="93">
        <v>1.0</v>
      </c>
      <c r="D2434" s="87"/>
      <c r="E2434" s="87" t="s">
        <v>83</v>
      </c>
      <c r="F2434" s="87"/>
      <c r="G2434" s="94">
        <v>7.6730654E7</v>
      </c>
      <c r="H2434" s="87"/>
      <c r="I2434" s="87"/>
    </row>
    <row r="2435">
      <c r="A2435" s="87">
        <v>423.0</v>
      </c>
      <c r="B2435" s="87" t="s">
        <v>1568</v>
      </c>
      <c r="C2435" s="93">
        <v>1.0</v>
      </c>
      <c r="D2435" s="87"/>
      <c r="E2435" s="87" t="s">
        <v>83</v>
      </c>
      <c r="F2435" s="87"/>
      <c r="G2435" s="94">
        <v>7.6730662E7</v>
      </c>
      <c r="H2435" s="87"/>
      <c r="I2435" s="87"/>
    </row>
    <row r="2436">
      <c r="A2436" s="87">
        <v>424.0</v>
      </c>
      <c r="B2436" s="87" t="s">
        <v>1568</v>
      </c>
      <c r="C2436" s="93">
        <v>1.0</v>
      </c>
      <c r="D2436" s="87"/>
      <c r="E2436" s="87" t="s">
        <v>83</v>
      </c>
      <c r="F2436" s="87"/>
      <c r="G2436" s="94">
        <v>7.673067E7</v>
      </c>
      <c r="H2436" s="87"/>
      <c r="I2436" s="87"/>
    </row>
    <row r="2437">
      <c r="A2437" s="87">
        <v>425.0</v>
      </c>
      <c r="B2437" s="87" t="s">
        <v>1568</v>
      </c>
      <c r="C2437" s="93">
        <v>1.0</v>
      </c>
      <c r="D2437" s="87"/>
      <c r="E2437" s="87" t="s">
        <v>83</v>
      </c>
      <c r="F2437" s="87"/>
      <c r="G2437" s="94">
        <v>7.6730689E7</v>
      </c>
      <c r="H2437" s="87"/>
      <c r="I2437" s="87"/>
    </row>
    <row r="2438">
      <c r="A2438" s="87">
        <v>426.0</v>
      </c>
      <c r="B2438" s="87" t="s">
        <v>1568</v>
      </c>
      <c r="C2438" s="93">
        <v>1.0</v>
      </c>
      <c r="D2438" s="87"/>
      <c r="E2438" s="87" t="s">
        <v>83</v>
      </c>
      <c r="F2438" s="87"/>
      <c r="G2438" s="94">
        <v>7.6730697E7</v>
      </c>
      <c r="H2438" s="87"/>
      <c r="I2438" s="87"/>
    </row>
    <row r="2439">
      <c r="A2439" s="87">
        <v>427.0</v>
      </c>
      <c r="B2439" s="87" t="s">
        <v>1568</v>
      </c>
      <c r="C2439" s="93">
        <v>1.0</v>
      </c>
      <c r="D2439" s="87"/>
      <c r="E2439" s="87" t="s">
        <v>83</v>
      </c>
      <c r="F2439" s="87"/>
      <c r="G2439" s="94">
        <v>7.67307E7</v>
      </c>
      <c r="H2439" s="87"/>
      <c r="I2439" s="87"/>
    </row>
    <row r="2440">
      <c r="A2440" s="87">
        <v>428.0</v>
      </c>
      <c r="B2440" s="87" t="s">
        <v>1568</v>
      </c>
      <c r="C2440" s="93">
        <v>1.0</v>
      </c>
      <c r="D2440" s="87"/>
      <c r="E2440" s="87" t="s">
        <v>83</v>
      </c>
      <c r="F2440" s="87"/>
      <c r="G2440" s="94">
        <v>7.6730719E7</v>
      </c>
      <c r="H2440" s="87"/>
      <c r="I2440" s="87"/>
    </row>
    <row r="2441">
      <c r="A2441" s="87">
        <v>429.0</v>
      </c>
      <c r="B2441" s="87" t="s">
        <v>1568</v>
      </c>
      <c r="C2441" s="93">
        <v>1.0</v>
      </c>
      <c r="D2441" s="87"/>
      <c r="E2441" s="87" t="s">
        <v>83</v>
      </c>
      <c r="F2441" s="87"/>
      <c r="G2441" s="94">
        <v>7.6730727E7</v>
      </c>
      <c r="H2441" s="87"/>
      <c r="I2441" s="87"/>
    </row>
    <row r="2442">
      <c r="A2442" s="87">
        <v>1345.0</v>
      </c>
      <c r="B2442" s="87" t="s">
        <v>568</v>
      </c>
      <c r="C2442" s="93">
        <v>1.0</v>
      </c>
      <c r="D2442" s="87" t="s">
        <v>39</v>
      </c>
      <c r="E2442" s="87" t="s">
        <v>245</v>
      </c>
      <c r="F2442" s="87"/>
      <c r="G2442" s="94">
        <v>4.0263851E7</v>
      </c>
      <c r="H2442" s="87"/>
      <c r="I2442" s="87"/>
    </row>
    <row r="2443">
      <c r="A2443" s="87">
        <v>1346.0</v>
      </c>
      <c r="B2443" s="87" t="s">
        <v>1569</v>
      </c>
      <c r="C2443" s="93">
        <v>1.0</v>
      </c>
      <c r="D2443" s="87" t="s">
        <v>39</v>
      </c>
      <c r="E2443" s="87" t="s">
        <v>245</v>
      </c>
      <c r="F2443" s="87"/>
      <c r="G2443" s="94">
        <v>7.6849775E7</v>
      </c>
      <c r="H2443" s="87" t="s">
        <v>1570</v>
      </c>
      <c r="I2443" s="87" t="s">
        <v>857</v>
      </c>
    </row>
    <row r="2444">
      <c r="A2444" s="87">
        <v>1.0</v>
      </c>
      <c r="B2444" s="87" t="s">
        <v>615</v>
      </c>
      <c r="C2444" s="93">
        <v>1.0</v>
      </c>
      <c r="D2444" s="87" t="s">
        <v>39</v>
      </c>
      <c r="E2444" s="87" t="s">
        <v>253</v>
      </c>
      <c r="F2444" s="87"/>
      <c r="G2444" s="94">
        <v>1.3854852E7</v>
      </c>
      <c r="H2444" s="87"/>
      <c r="I2444" s="87" t="s">
        <v>1012</v>
      </c>
    </row>
    <row r="2445">
      <c r="A2445" s="87">
        <v>8.0</v>
      </c>
      <c r="B2445" s="87" t="s">
        <v>615</v>
      </c>
      <c r="C2445" s="93">
        <v>1.0</v>
      </c>
      <c r="D2445" s="87" t="s">
        <v>39</v>
      </c>
      <c r="E2445" s="87" t="s">
        <v>40</v>
      </c>
      <c r="F2445" s="87"/>
      <c r="G2445" s="94">
        <v>4.029733E7</v>
      </c>
      <c r="H2445" s="87" t="s">
        <v>1571</v>
      </c>
      <c r="I2445" s="87" t="s">
        <v>1572</v>
      </c>
    </row>
    <row r="2446">
      <c r="A2446" s="87">
        <v>9.0</v>
      </c>
      <c r="B2446" s="87" t="s">
        <v>615</v>
      </c>
      <c r="C2446" s="93">
        <v>1.0</v>
      </c>
      <c r="D2446" s="87" t="s">
        <v>39</v>
      </c>
      <c r="E2446" s="87" t="s">
        <v>83</v>
      </c>
      <c r="F2446" s="87"/>
      <c r="G2446" s="94">
        <v>4.0300692E7</v>
      </c>
      <c r="H2446" s="87"/>
      <c r="I2446" s="87" t="s">
        <v>1573</v>
      </c>
    </row>
    <row r="2447">
      <c r="A2447" s="87">
        <v>10.0</v>
      </c>
      <c r="B2447" s="87" t="s">
        <v>615</v>
      </c>
      <c r="C2447" s="93">
        <v>1.0</v>
      </c>
      <c r="D2447" s="87" t="s">
        <v>39</v>
      </c>
      <c r="E2447" s="87" t="s">
        <v>83</v>
      </c>
      <c r="F2447" s="87"/>
      <c r="G2447" s="94">
        <v>4.0300749E7</v>
      </c>
      <c r="H2447" s="87"/>
      <c r="I2447" s="87" t="s">
        <v>1574</v>
      </c>
    </row>
    <row r="2448">
      <c r="A2448" s="87">
        <v>11.0</v>
      </c>
      <c r="B2448" s="87" t="s">
        <v>615</v>
      </c>
      <c r="C2448" s="93">
        <v>1.0</v>
      </c>
      <c r="D2448" s="87" t="s">
        <v>39</v>
      </c>
      <c r="E2448" s="87" t="s">
        <v>40</v>
      </c>
      <c r="F2448" s="87"/>
      <c r="G2448" s="94">
        <v>4.0301982E7</v>
      </c>
      <c r="H2448" s="87" t="s">
        <v>1575</v>
      </c>
      <c r="I2448" s="87" t="s">
        <v>1572</v>
      </c>
    </row>
    <row r="2449">
      <c r="A2449" s="87">
        <v>12.0</v>
      </c>
      <c r="B2449" s="87" t="s">
        <v>615</v>
      </c>
      <c r="C2449" s="93">
        <v>1.0</v>
      </c>
      <c r="D2449" s="87" t="s">
        <v>39</v>
      </c>
      <c r="E2449" s="87" t="s">
        <v>40</v>
      </c>
      <c r="F2449" s="87"/>
      <c r="G2449" s="94">
        <v>4.0303462E7</v>
      </c>
      <c r="H2449" s="87" t="s">
        <v>1576</v>
      </c>
      <c r="I2449" s="87" t="s">
        <v>1572</v>
      </c>
    </row>
    <row r="2450">
      <c r="A2450" s="87">
        <v>13.0</v>
      </c>
      <c r="B2450" s="87" t="s">
        <v>615</v>
      </c>
      <c r="C2450" s="93">
        <v>1.0</v>
      </c>
      <c r="D2450" s="87" t="s">
        <v>39</v>
      </c>
      <c r="E2450" s="87" t="s">
        <v>40</v>
      </c>
      <c r="F2450" s="87"/>
      <c r="G2450" s="94">
        <v>4.0305007E7</v>
      </c>
      <c r="H2450" s="87" t="s">
        <v>1577</v>
      </c>
      <c r="I2450" s="87" t="s">
        <v>1572</v>
      </c>
    </row>
    <row r="2451">
      <c r="A2451" s="87">
        <v>14.0</v>
      </c>
      <c r="B2451" s="87" t="s">
        <v>615</v>
      </c>
      <c r="C2451" s="93">
        <v>1.0</v>
      </c>
      <c r="D2451" s="87" t="s">
        <v>39</v>
      </c>
      <c r="E2451" s="87" t="s">
        <v>40</v>
      </c>
      <c r="F2451" s="87"/>
      <c r="G2451" s="94">
        <v>4.0306364E7</v>
      </c>
      <c r="H2451" s="87" t="s">
        <v>1578</v>
      </c>
      <c r="I2451" s="87" t="s">
        <v>1572</v>
      </c>
    </row>
    <row r="2452">
      <c r="A2452" s="87">
        <v>430.0</v>
      </c>
      <c r="B2452" s="87" t="s">
        <v>615</v>
      </c>
      <c r="C2452" s="93">
        <v>1.0</v>
      </c>
      <c r="D2452" s="87" t="s">
        <v>39</v>
      </c>
      <c r="E2452" s="87" t="s">
        <v>253</v>
      </c>
      <c r="F2452" s="87"/>
      <c r="G2452" s="94">
        <v>1.3960385E7</v>
      </c>
      <c r="H2452" s="87"/>
      <c r="I2452" s="87" t="s">
        <v>1579</v>
      </c>
    </row>
    <row r="2453">
      <c r="A2453" s="87">
        <v>431.0</v>
      </c>
      <c r="B2453" s="87" t="s">
        <v>615</v>
      </c>
      <c r="C2453" s="93">
        <v>1.0</v>
      </c>
      <c r="D2453" s="87" t="s">
        <v>39</v>
      </c>
      <c r="E2453" s="87" t="s">
        <v>253</v>
      </c>
      <c r="F2453" s="87"/>
      <c r="G2453" s="94">
        <v>1.3996924E7</v>
      </c>
      <c r="H2453" s="87"/>
      <c r="I2453" s="87" t="s">
        <v>983</v>
      </c>
    </row>
    <row r="2454">
      <c r="A2454" s="87">
        <v>432.0</v>
      </c>
      <c r="B2454" s="87" t="s">
        <v>615</v>
      </c>
      <c r="C2454" s="93">
        <v>1.0</v>
      </c>
      <c r="D2454" s="87" t="s">
        <v>39</v>
      </c>
      <c r="E2454" s="87" t="s">
        <v>253</v>
      </c>
      <c r="F2454" s="87"/>
      <c r="G2454" s="94">
        <v>1.3997459E7</v>
      </c>
      <c r="H2454" s="87"/>
      <c r="I2454" s="87" t="s">
        <v>1580</v>
      </c>
    </row>
    <row r="2455">
      <c r="A2455" s="87">
        <v>433.0</v>
      </c>
      <c r="B2455" s="87" t="s">
        <v>615</v>
      </c>
      <c r="C2455" s="93">
        <v>1.0</v>
      </c>
      <c r="D2455" s="87"/>
      <c r="E2455" s="87" t="s">
        <v>83</v>
      </c>
      <c r="F2455" s="87"/>
      <c r="G2455" s="94">
        <v>4.0280624E7</v>
      </c>
      <c r="H2455" s="87"/>
      <c r="I2455" s="87"/>
    </row>
    <row r="2456">
      <c r="A2456" s="87">
        <v>434.0</v>
      </c>
      <c r="B2456" s="87" t="s">
        <v>615</v>
      </c>
      <c r="C2456" s="93">
        <v>1.0</v>
      </c>
      <c r="D2456" s="87" t="s">
        <v>39</v>
      </c>
      <c r="E2456" s="87" t="s">
        <v>83</v>
      </c>
      <c r="F2456" s="87"/>
      <c r="G2456" s="94">
        <v>7.6700763E7</v>
      </c>
      <c r="H2456" s="87"/>
      <c r="I2456" s="87" t="s">
        <v>1581</v>
      </c>
    </row>
    <row r="2457">
      <c r="A2457" s="87">
        <v>435.0</v>
      </c>
      <c r="B2457" s="87" t="s">
        <v>615</v>
      </c>
      <c r="C2457" s="93">
        <v>1.0</v>
      </c>
      <c r="D2457" s="87" t="s">
        <v>39</v>
      </c>
      <c r="E2457" s="87" t="s">
        <v>83</v>
      </c>
      <c r="F2457" s="87"/>
      <c r="G2457" s="94">
        <v>7.6717968E7</v>
      </c>
      <c r="H2457" s="87"/>
      <c r="I2457" s="87" t="s">
        <v>1582</v>
      </c>
    </row>
    <row r="2458">
      <c r="A2458" s="87">
        <v>436.0</v>
      </c>
      <c r="B2458" s="87" t="s">
        <v>615</v>
      </c>
      <c r="C2458" s="93">
        <v>1.0</v>
      </c>
      <c r="D2458" s="87" t="s">
        <v>39</v>
      </c>
      <c r="E2458" s="87" t="s">
        <v>83</v>
      </c>
      <c r="F2458" s="87"/>
      <c r="G2458" s="94">
        <v>7.671822E7</v>
      </c>
      <c r="H2458" s="87"/>
      <c r="I2458" s="87" t="s">
        <v>1582</v>
      </c>
    </row>
    <row r="2459">
      <c r="A2459" s="87">
        <v>437.0</v>
      </c>
      <c r="B2459" s="87" t="s">
        <v>615</v>
      </c>
      <c r="C2459" s="93">
        <v>1.0</v>
      </c>
      <c r="D2459" s="87" t="s">
        <v>39</v>
      </c>
      <c r="E2459" s="87" t="s">
        <v>83</v>
      </c>
      <c r="F2459" s="87"/>
      <c r="G2459" s="94">
        <v>7.6718417E7</v>
      </c>
      <c r="H2459" s="87"/>
      <c r="I2459" s="87" t="s">
        <v>1582</v>
      </c>
    </row>
    <row r="2460">
      <c r="A2460" s="87">
        <v>438.0</v>
      </c>
      <c r="B2460" s="87" t="s">
        <v>615</v>
      </c>
      <c r="C2460" s="93">
        <v>1.0</v>
      </c>
      <c r="D2460" s="87" t="s">
        <v>39</v>
      </c>
      <c r="E2460" s="87" t="s">
        <v>83</v>
      </c>
      <c r="F2460" s="87"/>
      <c r="G2460" s="94">
        <v>7.6718581E7</v>
      </c>
      <c r="H2460" s="87"/>
      <c r="I2460" s="87" t="s">
        <v>1582</v>
      </c>
    </row>
    <row r="2461">
      <c r="A2461" s="87">
        <v>439.0</v>
      </c>
      <c r="B2461" s="87" t="s">
        <v>615</v>
      </c>
      <c r="C2461" s="93">
        <v>1.0</v>
      </c>
      <c r="D2461" s="87" t="s">
        <v>39</v>
      </c>
      <c r="E2461" s="87" t="s">
        <v>83</v>
      </c>
      <c r="F2461" s="87"/>
      <c r="G2461" s="94">
        <v>7.6718689E7</v>
      </c>
      <c r="H2461" s="87"/>
      <c r="I2461" s="87" t="s">
        <v>1582</v>
      </c>
    </row>
    <row r="2462">
      <c r="A2462" s="87">
        <v>440.0</v>
      </c>
      <c r="B2462" s="87" t="s">
        <v>615</v>
      </c>
      <c r="C2462" s="93">
        <v>1.0</v>
      </c>
      <c r="D2462" s="87" t="s">
        <v>39</v>
      </c>
      <c r="E2462" s="87" t="s">
        <v>83</v>
      </c>
      <c r="F2462" s="87"/>
      <c r="G2462" s="94">
        <v>7.6718697E7</v>
      </c>
      <c r="H2462" s="87"/>
      <c r="I2462" s="87" t="s">
        <v>1582</v>
      </c>
    </row>
    <row r="2463">
      <c r="A2463" s="87">
        <v>441.0</v>
      </c>
      <c r="B2463" s="87" t="s">
        <v>615</v>
      </c>
      <c r="C2463" s="93">
        <v>1.0</v>
      </c>
      <c r="D2463" s="87"/>
      <c r="E2463" s="87" t="s">
        <v>83</v>
      </c>
      <c r="F2463" s="87"/>
      <c r="G2463" s="94">
        <v>7.6738167E7</v>
      </c>
      <c r="H2463" s="87"/>
      <c r="I2463" s="87"/>
    </row>
    <row r="2464">
      <c r="A2464" s="87">
        <v>442.0</v>
      </c>
      <c r="B2464" s="87" t="s">
        <v>615</v>
      </c>
      <c r="C2464" s="93">
        <v>1.0</v>
      </c>
      <c r="D2464" s="87"/>
      <c r="E2464" s="87" t="s">
        <v>83</v>
      </c>
      <c r="F2464" s="87"/>
      <c r="G2464" s="94">
        <v>7.6738175E7</v>
      </c>
      <c r="H2464" s="87"/>
      <c r="I2464" s="87"/>
    </row>
    <row r="2465">
      <c r="A2465" s="87">
        <v>443.0</v>
      </c>
      <c r="B2465" s="87" t="s">
        <v>615</v>
      </c>
      <c r="C2465" s="93">
        <v>1.0</v>
      </c>
      <c r="D2465" s="87"/>
      <c r="E2465" s="87" t="s">
        <v>83</v>
      </c>
      <c r="F2465" s="87"/>
      <c r="G2465" s="94">
        <v>7.6738272E7</v>
      </c>
      <c r="H2465" s="87"/>
      <c r="I2465" s="87"/>
    </row>
    <row r="2466">
      <c r="A2466" s="87">
        <v>444.0</v>
      </c>
      <c r="B2466" s="87" t="s">
        <v>615</v>
      </c>
      <c r="C2466" s="93">
        <v>1.0</v>
      </c>
      <c r="D2466" s="87" t="s">
        <v>39</v>
      </c>
      <c r="E2466" s="87" t="s">
        <v>253</v>
      </c>
      <c r="F2466" s="87"/>
      <c r="G2466" s="94">
        <v>7.6738353E7</v>
      </c>
      <c r="H2466" s="87"/>
      <c r="I2466" s="87" t="s">
        <v>1012</v>
      </c>
    </row>
    <row r="2467">
      <c r="A2467" s="87">
        <v>445.0</v>
      </c>
      <c r="B2467" s="87" t="s">
        <v>615</v>
      </c>
      <c r="C2467" s="93">
        <v>1.0</v>
      </c>
      <c r="D2467" s="87" t="s">
        <v>39</v>
      </c>
      <c r="E2467" s="87" t="s">
        <v>253</v>
      </c>
      <c r="F2467" s="87"/>
      <c r="G2467" s="94">
        <v>7.6738361E7</v>
      </c>
      <c r="H2467" s="87"/>
      <c r="I2467" s="87" t="s">
        <v>1012</v>
      </c>
    </row>
    <row r="2468">
      <c r="A2468" s="87">
        <v>446.0</v>
      </c>
      <c r="B2468" s="87" t="s">
        <v>615</v>
      </c>
      <c r="C2468" s="93">
        <v>1.0</v>
      </c>
      <c r="D2468" s="87" t="s">
        <v>275</v>
      </c>
      <c r="E2468" s="87" t="s">
        <v>83</v>
      </c>
      <c r="F2468" s="87"/>
      <c r="G2468" s="94">
        <v>7.681606E7</v>
      </c>
      <c r="H2468" s="87"/>
      <c r="I2468" s="87" t="s">
        <v>1583</v>
      </c>
    </row>
    <row r="2469">
      <c r="A2469" s="87">
        <v>553.0</v>
      </c>
      <c r="B2469" s="87" t="s">
        <v>615</v>
      </c>
      <c r="C2469" s="93">
        <v>1.0</v>
      </c>
      <c r="D2469" s="87" t="s">
        <v>39</v>
      </c>
      <c r="E2469" s="87" t="s">
        <v>253</v>
      </c>
      <c r="F2469" s="87"/>
      <c r="G2469" s="94">
        <v>1.400195E7</v>
      </c>
      <c r="H2469" s="87"/>
      <c r="I2469" s="87" t="s">
        <v>983</v>
      </c>
    </row>
    <row r="2470">
      <c r="A2470" s="87">
        <v>554.0</v>
      </c>
      <c r="B2470" s="87" t="s">
        <v>615</v>
      </c>
      <c r="C2470" s="93">
        <v>1.0</v>
      </c>
      <c r="D2470" s="87" t="s">
        <v>39</v>
      </c>
      <c r="E2470" s="87" t="s">
        <v>253</v>
      </c>
      <c r="F2470" s="87"/>
      <c r="G2470" s="94">
        <v>1.4001969E7</v>
      </c>
      <c r="H2470" s="87"/>
      <c r="I2470" s="87" t="s">
        <v>983</v>
      </c>
    </row>
    <row r="2471">
      <c r="A2471" s="87">
        <v>555.0</v>
      </c>
      <c r="B2471" s="87" t="s">
        <v>615</v>
      </c>
      <c r="C2471" s="93">
        <v>1.0</v>
      </c>
      <c r="D2471" s="87" t="s">
        <v>39</v>
      </c>
      <c r="E2471" s="87" t="s">
        <v>253</v>
      </c>
      <c r="F2471" s="87"/>
      <c r="G2471" s="94">
        <v>1.4002973E7</v>
      </c>
      <c r="H2471" s="87" t="s">
        <v>1584</v>
      </c>
      <c r="I2471" s="87" t="s">
        <v>983</v>
      </c>
    </row>
    <row r="2472">
      <c r="A2472" s="87">
        <v>768.0</v>
      </c>
      <c r="B2472" s="87" t="s">
        <v>615</v>
      </c>
      <c r="C2472" s="93">
        <v>1.0</v>
      </c>
      <c r="D2472" s="87" t="s">
        <v>39</v>
      </c>
      <c r="E2472" s="87"/>
      <c r="F2472" s="87"/>
      <c r="G2472" s="94">
        <v>1.3997157E7</v>
      </c>
      <c r="H2472" s="87"/>
      <c r="I2472" s="87" t="s">
        <v>1585</v>
      </c>
    </row>
    <row r="2473">
      <c r="A2473" s="87">
        <v>810.0</v>
      </c>
      <c r="B2473" s="87" t="s">
        <v>615</v>
      </c>
      <c r="C2473" s="93">
        <v>1.0</v>
      </c>
      <c r="D2473" s="87" t="s">
        <v>39</v>
      </c>
      <c r="E2473" s="87" t="s">
        <v>253</v>
      </c>
      <c r="F2473" s="87"/>
      <c r="G2473" s="94">
        <v>1.3897764E7</v>
      </c>
      <c r="H2473" s="87"/>
      <c r="I2473" s="87" t="s">
        <v>1012</v>
      </c>
    </row>
    <row r="2474">
      <c r="A2474" s="87">
        <v>818.0</v>
      </c>
      <c r="B2474" s="87" t="s">
        <v>615</v>
      </c>
      <c r="C2474" s="93">
        <v>1.0</v>
      </c>
      <c r="D2474" s="87" t="s">
        <v>39</v>
      </c>
      <c r="E2474" s="87" t="s">
        <v>253</v>
      </c>
      <c r="F2474" s="87"/>
      <c r="G2474" s="94">
        <v>1.3997211E7</v>
      </c>
      <c r="H2474" s="87"/>
      <c r="I2474" s="87" t="s">
        <v>1012</v>
      </c>
    </row>
    <row r="2475">
      <c r="A2475" s="87">
        <v>819.0</v>
      </c>
      <c r="B2475" s="87" t="s">
        <v>615</v>
      </c>
      <c r="C2475" s="93">
        <v>1.0</v>
      </c>
      <c r="D2475" s="87" t="s">
        <v>39</v>
      </c>
      <c r="E2475" s="87" t="s">
        <v>253</v>
      </c>
      <c r="F2475" s="87"/>
      <c r="G2475" s="94">
        <v>1.4027836E7</v>
      </c>
      <c r="H2475" s="87"/>
      <c r="I2475" s="87" t="s">
        <v>1012</v>
      </c>
    </row>
    <row r="2476">
      <c r="A2476" s="87">
        <v>820.0</v>
      </c>
      <c r="B2476" s="87" t="s">
        <v>615</v>
      </c>
      <c r="C2476" s="93">
        <v>1.0</v>
      </c>
      <c r="D2476" s="87" t="s">
        <v>39</v>
      </c>
      <c r="E2476" s="87" t="s">
        <v>253</v>
      </c>
      <c r="F2476" s="87"/>
      <c r="G2476" s="94">
        <v>1.4051397E7</v>
      </c>
      <c r="H2476" s="87"/>
      <c r="I2476" s="87" t="s">
        <v>1012</v>
      </c>
    </row>
    <row r="2477">
      <c r="A2477" s="87">
        <v>822.0</v>
      </c>
      <c r="B2477" s="87" t="s">
        <v>615</v>
      </c>
      <c r="C2477" s="93">
        <v>1.0</v>
      </c>
      <c r="D2477" s="87" t="s">
        <v>39</v>
      </c>
      <c r="E2477" s="87" t="s">
        <v>253</v>
      </c>
      <c r="F2477" s="87"/>
      <c r="G2477" s="94">
        <v>1.4063921E7</v>
      </c>
      <c r="H2477" s="87"/>
      <c r="I2477" s="87" t="s">
        <v>1012</v>
      </c>
    </row>
    <row r="2478">
      <c r="A2478" s="87">
        <v>896.0</v>
      </c>
      <c r="B2478" s="87" t="s">
        <v>615</v>
      </c>
      <c r="C2478" s="93">
        <v>1.0</v>
      </c>
      <c r="D2478" s="87" t="s">
        <v>39</v>
      </c>
      <c r="E2478" s="87" t="s">
        <v>1333</v>
      </c>
      <c r="F2478" s="87"/>
      <c r="G2478" s="94">
        <v>4.0301338E7</v>
      </c>
      <c r="H2478" s="87"/>
      <c r="I2478" s="87" t="s">
        <v>673</v>
      </c>
    </row>
    <row r="2479">
      <c r="A2479" s="87">
        <v>1106.0</v>
      </c>
      <c r="B2479" s="87" t="s">
        <v>615</v>
      </c>
      <c r="C2479" s="93">
        <v>1.0</v>
      </c>
      <c r="D2479" s="87" t="s">
        <v>275</v>
      </c>
      <c r="E2479" s="87" t="s">
        <v>387</v>
      </c>
      <c r="F2479" s="87"/>
      <c r="G2479" s="94">
        <v>7.6816192E7</v>
      </c>
      <c r="H2479" s="87"/>
      <c r="I2479" s="87" t="s">
        <v>1586</v>
      </c>
    </row>
    <row r="2480">
      <c r="A2480" s="87">
        <v>1217.0</v>
      </c>
      <c r="B2480" s="87" t="s">
        <v>615</v>
      </c>
      <c r="C2480" s="93">
        <v>1.0</v>
      </c>
      <c r="D2480" s="87" t="s">
        <v>275</v>
      </c>
      <c r="E2480" s="87" t="s">
        <v>336</v>
      </c>
      <c r="F2480" s="87"/>
      <c r="G2480" s="94">
        <v>7.6813851E7</v>
      </c>
      <c r="H2480" s="87"/>
      <c r="I2480" s="87"/>
    </row>
    <row r="2481">
      <c r="A2481" s="87">
        <v>1365.0</v>
      </c>
      <c r="B2481" s="87" t="s">
        <v>615</v>
      </c>
      <c r="C2481" s="93">
        <v>1.0</v>
      </c>
      <c r="D2481" s="87" t="s">
        <v>275</v>
      </c>
      <c r="E2481" s="87" t="s">
        <v>18</v>
      </c>
      <c r="F2481" s="87"/>
      <c r="G2481" s="94">
        <v>4.0364054E7</v>
      </c>
      <c r="H2481" s="87"/>
      <c r="I2481" s="87"/>
    </row>
    <row r="2482">
      <c r="A2482" s="87">
        <v>1577.0</v>
      </c>
      <c r="B2482" s="87" t="s">
        <v>615</v>
      </c>
      <c r="C2482" s="93">
        <v>1.0</v>
      </c>
      <c r="D2482" s="87"/>
      <c r="E2482" s="87" t="s">
        <v>83</v>
      </c>
      <c r="F2482" s="87"/>
      <c r="G2482" s="94">
        <v>4.035337E7</v>
      </c>
      <c r="H2482" s="87"/>
      <c r="I2482" s="87"/>
    </row>
    <row r="2483">
      <c r="A2483" s="87">
        <v>1688.0</v>
      </c>
      <c r="B2483" s="87" t="s">
        <v>615</v>
      </c>
      <c r="C2483" s="93">
        <v>1.0</v>
      </c>
      <c r="D2483" s="87" t="s">
        <v>1003</v>
      </c>
      <c r="E2483" s="87" t="s">
        <v>1198</v>
      </c>
      <c r="F2483" s="87"/>
      <c r="G2483" s="94">
        <v>7.6716511E7</v>
      </c>
      <c r="H2483" s="87"/>
      <c r="I2483" s="87" t="s">
        <v>1587</v>
      </c>
    </row>
    <row r="2484">
      <c r="A2484" s="87">
        <v>1689.0</v>
      </c>
      <c r="B2484" s="87" t="s">
        <v>615</v>
      </c>
      <c r="C2484" s="93">
        <v>1.0</v>
      </c>
      <c r="D2484" s="87" t="s">
        <v>39</v>
      </c>
      <c r="E2484" s="87" t="s">
        <v>1476</v>
      </c>
      <c r="F2484" s="87"/>
      <c r="G2484" s="94">
        <v>7.6716546E7</v>
      </c>
      <c r="H2484" s="87"/>
      <c r="I2484" s="87"/>
    </row>
    <row r="2485">
      <c r="A2485" s="87">
        <v>1690.0</v>
      </c>
      <c r="B2485" s="87" t="s">
        <v>615</v>
      </c>
      <c r="C2485" s="93">
        <v>1.0</v>
      </c>
      <c r="D2485" s="87" t="s">
        <v>39</v>
      </c>
      <c r="E2485" s="87" t="s">
        <v>1476</v>
      </c>
      <c r="F2485" s="87"/>
      <c r="G2485" s="94">
        <v>7.671666E7</v>
      </c>
      <c r="H2485" s="87"/>
      <c r="I2485" s="87"/>
    </row>
    <row r="2486">
      <c r="A2486" s="87">
        <v>1691.0</v>
      </c>
      <c r="B2486" s="87" t="s">
        <v>615</v>
      </c>
      <c r="C2486" s="93">
        <v>1.0</v>
      </c>
      <c r="D2486" s="87" t="s">
        <v>39</v>
      </c>
      <c r="E2486" s="87" t="s">
        <v>1476</v>
      </c>
      <c r="F2486" s="87"/>
      <c r="G2486" s="94">
        <v>7.671697E7</v>
      </c>
      <c r="H2486" s="87"/>
      <c r="I2486" s="87"/>
    </row>
    <row r="2487">
      <c r="A2487" s="87">
        <v>1692.0</v>
      </c>
      <c r="B2487" s="87" t="s">
        <v>615</v>
      </c>
      <c r="C2487" s="93">
        <v>1.0</v>
      </c>
      <c r="D2487" s="87" t="s">
        <v>39</v>
      </c>
      <c r="E2487" s="87" t="s">
        <v>1476</v>
      </c>
      <c r="F2487" s="87"/>
      <c r="G2487" s="94">
        <v>7.671778E7</v>
      </c>
      <c r="H2487" s="87"/>
      <c r="I2487" s="87"/>
    </row>
    <row r="2488">
      <c r="A2488" s="87">
        <v>1693.0</v>
      </c>
      <c r="B2488" s="87" t="s">
        <v>615</v>
      </c>
      <c r="C2488" s="93">
        <v>1.0</v>
      </c>
      <c r="D2488" s="87" t="s">
        <v>39</v>
      </c>
      <c r="E2488" s="87" t="s">
        <v>1476</v>
      </c>
      <c r="F2488" s="87"/>
      <c r="G2488" s="94">
        <v>7.6718077E7</v>
      </c>
      <c r="H2488" s="87"/>
      <c r="I2488" s="87"/>
    </row>
    <row r="2489">
      <c r="A2489" s="87">
        <v>1727.0</v>
      </c>
      <c r="B2489" s="87" t="s">
        <v>615</v>
      </c>
      <c r="C2489" s="93">
        <v>1.0</v>
      </c>
      <c r="D2489" s="87" t="s">
        <v>275</v>
      </c>
      <c r="E2489" s="87" t="s">
        <v>1588</v>
      </c>
      <c r="F2489" s="87"/>
      <c r="G2489" s="94">
        <v>7.7052536E7</v>
      </c>
      <c r="H2489" s="87"/>
      <c r="I2489" s="87" t="s">
        <v>567</v>
      </c>
    </row>
    <row r="2490">
      <c r="A2490" s="87">
        <v>447.0</v>
      </c>
      <c r="B2490" s="87" t="s">
        <v>747</v>
      </c>
      <c r="C2490" s="93">
        <v>1.0</v>
      </c>
      <c r="D2490" s="87" t="s">
        <v>275</v>
      </c>
      <c r="E2490" s="87" t="s">
        <v>995</v>
      </c>
      <c r="F2490" s="87"/>
      <c r="G2490" s="94">
        <v>1.3863525E7</v>
      </c>
      <c r="H2490" s="87" t="s">
        <v>1589</v>
      </c>
      <c r="I2490" s="87" t="s">
        <v>1590</v>
      </c>
    </row>
    <row r="2491">
      <c r="A2491" s="87">
        <v>448.0</v>
      </c>
      <c r="B2491" s="87" t="s">
        <v>202</v>
      </c>
      <c r="C2491" s="93">
        <v>1.0</v>
      </c>
      <c r="D2491" s="87" t="s">
        <v>275</v>
      </c>
      <c r="E2491" s="87" t="s">
        <v>995</v>
      </c>
      <c r="F2491" s="87"/>
      <c r="G2491" s="94">
        <v>1.3919644E7</v>
      </c>
      <c r="H2491" s="87" t="s">
        <v>1591</v>
      </c>
      <c r="I2491" s="87" t="s">
        <v>1592</v>
      </c>
    </row>
    <row r="2492">
      <c r="A2492" s="87">
        <v>449.0</v>
      </c>
      <c r="B2492" s="87" t="s">
        <v>202</v>
      </c>
      <c r="C2492" s="93">
        <v>1.0</v>
      </c>
      <c r="D2492" s="87" t="s">
        <v>275</v>
      </c>
      <c r="E2492" s="87" t="s">
        <v>995</v>
      </c>
      <c r="F2492" s="87"/>
      <c r="G2492" s="94">
        <v>1.4057808E7</v>
      </c>
      <c r="H2492" s="87" t="s">
        <v>1593</v>
      </c>
      <c r="I2492" s="87" t="s">
        <v>1594</v>
      </c>
    </row>
    <row r="2493">
      <c r="A2493" s="87">
        <v>766.0</v>
      </c>
      <c r="B2493" s="87" t="s">
        <v>206</v>
      </c>
      <c r="C2493" s="93">
        <v>1.0</v>
      </c>
      <c r="D2493" s="87" t="s">
        <v>275</v>
      </c>
      <c r="E2493" s="87" t="s">
        <v>12</v>
      </c>
      <c r="F2493" s="87"/>
      <c r="G2493" s="94"/>
      <c r="H2493" s="87"/>
      <c r="I2493" s="87"/>
    </row>
    <row r="2494">
      <c r="A2494" s="87">
        <v>450.0</v>
      </c>
      <c r="B2494" s="87" t="s">
        <v>870</v>
      </c>
      <c r="C2494" s="93">
        <v>1.0</v>
      </c>
      <c r="D2494" s="87"/>
      <c r="E2494" s="87" t="s">
        <v>83</v>
      </c>
      <c r="F2494" s="87"/>
      <c r="G2494" s="94">
        <v>4.031093E7</v>
      </c>
      <c r="H2494" s="87"/>
      <c r="I2494" s="87"/>
    </row>
    <row r="2495">
      <c r="A2495" s="87">
        <v>663.0</v>
      </c>
      <c r="B2495" s="87" t="s">
        <v>870</v>
      </c>
      <c r="C2495" s="93">
        <v>1.0</v>
      </c>
      <c r="D2495" s="87" t="s">
        <v>39</v>
      </c>
      <c r="E2495" s="87" t="s">
        <v>1072</v>
      </c>
      <c r="F2495" s="87"/>
      <c r="G2495" s="94">
        <v>4.031112E7</v>
      </c>
      <c r="H2495" s="87"/>
      <c r="I2495" s="87"/>
    </row>
    <row r="2496">
      <c r="A2496" s="87">
        <v>814.0</v>
      </c>
      <c r="B2496" s="87" t="s">
        <v>870</v>
      </c>
      <c r="C2496" s="93">
        <v>1.0</v>
      </c>
      <c r="D2496" s="87" t="s">
        <v>39</v>
      </c>
      <c r="E2496" s="87" t="s">
        <v>253</v>
      </c>
      <c r="F2496" s="87"/>
      <c r="G2496" s="94">
        <v>1.3963945E7</v>
      </c>
      <c r="H2496" s="87"/>
      <c r="I2496" s="87" t="s">
        <v>1012</v>
      </c>
    </row>
    <row r="2497">
      <c r="A2497" s="87">
        <v>636.0</v>
      </c>
      <c r="B2497" s="87" t="s">
        <v>724</v>
      </c>
      <c r="C2497" s="93">
        <v>14.0</v>
      </c>
      <c r="D2497" s="87" t="s">
        <v>39</v>
      </c>
      <c r="E2497" s="87" t="s">
        <v>1032</v>
      </c>
      <c r="F2497" s="87"/>
      <c r="G2497" s="94"/>
      <c r="H2497" s="87"/>
      <c r="I2497" s="87" t="s">
        <v>1595</v>
      </c>
    </row>
    <row r="2498">
      <c r="A2498" s="87">
        <v>982.0</v>
      </c>
      <c r="B2498" s="87" t="s">
        <v>1596</v>
      </c>
      <c r="C2498" s="93">
        <v>1.0</v>
      </c>
      <c r="D2498" s="87" t="s">
        <v>39</v>
      </c>
      <c r="E2498" s="87" t="s">
        <v>664</v>
      </c>
      <c r="F2498" s="87"/>
      <c r="G2498" s="94">
        <v>7.671545E7</v>
      </c>
      <c r="H2498" s="87"/>
      <c r="I2498" s="87"/>
    </row>
    <row r="2499">
      <c r="A2499" s="87">
        <v>451.0</v>
      </c>
      <c r="B2499" s="87" t="s">
        <v>813</v>
      </c>
      <c r="C2499" s="93">
        <v>1.0</v>
      </c>
      <c r="D2499" s="87"/>
      <c r="E2499" s="87" t="s">
        <v>83</v>
      </c>
      <c r="F2499" s="87"/>
      <c r="G2499" s="94">
        <v>1.3766953E7</v>
      </c>
      <c r="H2499" s="87" t="s">
        <v>1597</v>
      </c>
      <c r="I2499" s="87" t="s">
        <v>1598</v>
      </c>
    </row>
    <row r="2500">
      <c r="A2500" s="87">
        <v>452.0</v>
      </c>
      <c r="B2500" s="87" t="s">
        <v>813</v>
      </c>
      <c r="C2500" s="93">
        <v>1.0</v>
      </c>
      <c r="D2500" s="87"/>
      <c r="E2500" s="87" t="s">
        <v>83</v>
      </c>
      <c r="F2500" s="87"/>
      <c r="G2500" s="94">
        <v>1.4007681E7</v>
      </c>
      <c r="H2500" s="87" t="s">
        <v>1599</v>
      </c>
      <c r="I2500" s="87" t="s">
        <v>815</v>
      </c>
    </row>
    <row r="2501">
      <c r="A2501" s="87">
        <v>453.0</v>
      </c>
      <c r="B2501" s="87" t="s">
        <v>813</v>
      </c>
      <c r="C2501" s="93">
        <v>1.0</v>
      </c>
      <c r="D2501" s="87"/>
      <c r="E2501" s="87" t="s">
        <v>83</v>
      </c>
      <c r="F2501" s="87"/>
      <c r="G2501" s="94">
        <v>1.400769E7</v>
      </c>
      <c r="H2501" s="87" t="s">
        <v>1600</v>
      </c>
      <c r="I2501" s="87" t="s">
        <v>815</v>
      </c>
    </row>
    <row r="2502">
      <c r="A2502" s="87">
        <v>692.0</v>
      </c>
      <c r="B2502" s="87" t="s">
        <v>813</v>
      </c>
      <c r="C2502" s="93">
        <v>1.0</v>
      </c>
      <c r="D2502" s="87" t="s">
        <v>39</v>
      </c>
      <c r="E2502" s="87" t="s">
        <v>245</v>
      </c>
      <c r="F2502" s="87"/>
      <c r="G2502" s="94">
        <v>1.4008173E7</v>
      </c>
      <c r="H2502" s="87" t="s">
        <v>1601</v>
      </c>
      <c r="I2502" s="87" t="s">
        <v>815</v>
      </c>
    </row>
    <row r="2503">
      <c r="A2503" s="87">
        <v>694.0</v>
      </c>
      <c r="B2503" s="87" t="s">
        <v>813</v>
      </c>
      <c r="C2503" s="93">
        <v>1.0</v>
      </c>
      <c r="D2503" s="87" t="s">
        <v>39</v>
      </c>
      <c r="E2503" s="87" t="s">
        <v>1046</v>
      </c>
      <c r="F2503" s="87"/>
      <c r="G2503" s="94">
        <v>1.4012952E7</v>
      </c>
      <c r="H2503" s="87" t="s">
        <v>1602</v>
      </c>
      <c r="I2503" s="87" t="s">
        <v>1603</v>
      </c>
    </row>
    <row r="2504">
      <c r="A2504" s="87">
        <v>695.0</v>
      </c>
      <c r="B2504" s="87" t="s">
        <v>813</v>
      </c>
      <c r="C2504" s="93">
        <v>1.0</v>
      </c>
      <c r="D2504" s="87" t="s">
        <v>39</v>
      </c>
      <c r="E2504" s="87" t="s">
        <v>1046</v>
      </c>
      <c r="F2504" s="87"/>
      <c r="G2504" s="94">
        <v>1.401296E7</v>
      </c>
      <c r="H2504" s="87" t="s">
        <v>1604</v>
      </c>
      <c r="I2504" s="87" t="s">
        <v>815</v>
      </c>
    </row>
    <row r="2505">
      <c r="A2505" s="87">
        <v>696.0</v>
      </c>
      <c r="B2505" s="87" t="s">
        <v>813</v>
      </c>
      <c r="C2505" s="93">
        <v>1.0</v>
      </c>
      <c r="D2505" s="87" t="s">
        <v>39</v>
      </c>
      <c r="E2505" s="87" t="s">
        <v>1046</v>
      </c>
      <c r="F2505" s="87"/>
      <c r="G2505" s="94">
        <v>1.4013363E7</v>
      </c>
      <c r="H2505" s="87" t="s">
        <v>1605</v>
      </c>
      <c r="I2505" s="87" t="s">
        <v>1606</v>
      </c>
    </row>
    <row r="2506">
      <c r="A2506" s="87">
        <v>592.0</v>
      </c>
      <c r="B2506" s="87" t="s">
        <v>1607</v>
      </c>
      <c r="C2506" s="93">
        <v>1.0</v>
      </c>
      <c r="D2506" s="87" t="s">
        <v>39</v>
      </c>
      <c r="E2506" s="87" t="s">
        <v>253</v>
      </c>
      <c r="F2506" s="87"/>
      <c r="G2506" s="94">
        <v>4.0078027E7</v>
      </c>
      <c r="H2506" s="87"/>
      <c r="I2506" s="87" t="s">
        <v>1012</v>
      </c>
    </row>
    <row r="2507">
      <c r="A2507" s="87">
        <v>593.0</v>
      </c>
      <c r="B2507" s="87" t="s">
        <v>1607</v>
      </c>
      <c r="C2507" s="93">
        <v>1.0</v>
      </c>
      <c r="D2507" s="87" t="s">
        <v>39</v>
      </c>
      <c r="E2507" s="87" t="s">
        <v>253</v>
      </c>
      <c r="F2507" s="87"/>
      <c r="G2507" s="94">
        <v>4.0078256E7</v>
      </c>
      <c r="H2507" s="87"/>
      <c r="I2507" s="87" t="s">
        <v>1012</v>
      </c>
    </row>
    <row r="2508">
      <c r="A2508" s="87">
        <v>777.0</v>
      </c>
      <c r="B2508" s="87" t="s">
        <v>1607</v>
      </c>
      <c r="C2508" s="93">
        <v>1.0</v>
      </c>
      <c r="D2508" s="87" t="s">
        <v>39</v>
      </c>
      <c r="E2508" s="87" t="s">
        <v>253</v>
      </c>
      <c r="F2508" s="87"/>
      <c r="G2508" s="94">
        <v>4.0078574E7</v>
      </c>
      <c r="H2508" s="87"/>
      <c r="I2508" s="87" t="s">
        <v>1014</v>
      </c>
    </row>
    <row r="2509">
      <c r="A2509" s="87">
        <v>439.0</v>
      </c>
      <c r="B2509" s="87" t="s">
        <v>1608</v>
      </c>
      <c r="C2509" s="93">
        <v>2.0</v>
      </c>
      <c r="D2509" s="87" t="s">
        <v>39</v>
      </c>
      <c r="E2509" s="87" t="s">
        <v>1496</v>
      </c>
      <c r="F2509" s="87"/>
      <c r="G2509" s="94">
        <v>45691.0</v>
      </c>
      <c r="H2509" s="87"/>
      <c r="I2509" s="87"/>
    </row>
    <row r="2510">
      <c r="A2510" s="87">
        <v>629.0</v>
      </c>
      <c r="B2510" s="87" t="s">
        <v>728</v>
      </c>
      <c r="C2510" s="93">
        <v>20.0</v>
      </c>
      <c r="D2510" s="87" t="s">
        <v>39</v>
      </c>
      <c r="E2510" s="87" t="s">
        <v>1032</v>
      </c>
      <c r="F2510" s="87"/>
      <c r="G2510" s="94"/>
      <c r="H2510" s="87"/>
      <c r="I2510" s="87"/>
    </row>
    <row r="2511">
      <c r="A2511" s="87">
        <v>454.0</v>
      </c>
      <c r="B2511" s="87" t="s">
        <v>91</v>
      </c>
      <c r="C2511" s="93">
        <v>1.0</v>
      </c>
      <c r="D2511" s="87" t="s">
        <v>39</v>
      </c>
      <c r="E2511" s="87" t="s">
        <v>253</v>
      </c>
      <c r="F2511" s="87"/>
      <c r="G2511" s="94">
        <v>1.4100541E7</v>
      </c>
      <c r="H2511" s="87"/>
      <c r="I2511" s="87" t="s">
        <v>1012</v>
      </c>
    </row>
    <row r="2512">
      <c r="A2512" s="87">
        <v>455.0</v>
      </c>
      <c r="B2512" s="87" t="s">
        <v>91</v>
      </c>
      <c r="C2512" s="93">
        <v>1.0</v>
      </c>
      <c r="D2512" s="87"/>
      <c r="E2512" s="87" t="s">
        <v>83</v>
      </c>
      <c r="F2512" s="87"/>
      <c r="G2512" s="94">
        <v>1.410055E7</v>
      </c>
      <c r="H2512" s="87"/>
      <c r="I2512" s="87"/>
    </row>
    <row r="2513">
      <c r="A2513" s="87">
        <v>456.0</v>
      </c>
      <c r="B2513" s="87" t="s">
        <v>91</v>
      </c>
      <c r="C2513" s="93">
        <v>1.0</v>
      </c>
      <c r="D2513" s="87"/>
      <c r="E2513" s="87" t="s">
        <v>83</v>
      </c>
      <c r="F2513" s="87"/>
      <c r="G2513" s="94">
        <v>1.4100568E7</v>
      </c>
      <c r="H2513" s="87"/>
      <c r="I2513" s="87"/>
    </row>
    <row r="2514">
      <c r="A2514" s="87">
        <v>457.0</v>
      </c>
      <c r="B2514" s="87" t="s">
        <v>91</v>
      </c>
      <c r="C2514" s="93">
        <v>1.0</v>
      </c>
      <c r="D2514" s="87"/>
      <c r="E2514" s="87" t="s">
        <v>83</v>
      </c>
      <c r="F2514" s="87"/>
      <c r="G2514" s="94">
        <v>1.4100576E7</v>
      </c>
      <c r="H2514" s="87"/>
      <c r="I2514" s="87"/>
    </row>
    <row r="2515">
      <c r="A2515" s="87">
        <v>458.0</v>
      </c>
      <c r="B2515" s="87" t="s">
        <v>91</v>
      </c>
      <c r="C2515" s="93">
        <v>1.0</v>
      </c>
      <c r="D2515" s="87" t="s">
        <v>39</v>
      </c>
      <c r="E2515" s="87" t="s">
        <v>253</v>
      </c>
      <c r="F2515" s="87"/>
      <c r="G2515" s="94">
        <v>1.4100584E7</v>
      </c>
      <c r="H2515" s="87"/>
      <c r="I2515" s="87" t="s">
        <v>1012</v>
      </c>
    </row>
    <row r="2516">
      <c r="A2516" s="87">
        <v>459.0</v>
      </c>
      <c r="B2516" s="87" t="s">
        <v>91</v>
      </c>
      <c r="C2516" s="93">
        <v>1.0</v>
      </c>
      <c r="D2516" s="87"/>
      <c r="E2516" s="87" t="s">
        <v>83</v>
      </c>
      <c r="F2516" s="87"/>
      <c r="G2516" s="94">
        <v>1.4100592E7</v>
      </c>
      <c r="H2516" s="87"/>
      <c r="I2516" s="87"/>
    </row>
    <row r="2517">
      <c r="A2517" s="87">
        <v>460.0</v>
      </c>
      <c r="B2517" s="87" t="s">
        <v>91</v>
      </c>
      <c r="C2517" s="93">
        <v>1.0</v>
      </c>
      <c r="D2517" s="87"/>
      <c r="E2517" s="87" t="s">
        <v>83</v>
      </c>
      <c r="F2517" s="87"/>
      <c r="G2517" s="94">
        <v>4.0096831E7</v>
      </c>
      <c r="H2517" s="87"/>
      <c r="I2517" s="87"/>
    </row>
    <row r="2518">
      <c r="A2518" s="87">
        <v>461.0</v>
      </c>
      <c r="B2518" s="87" t="s">
        <v>91</v>
      </c>
      <c r="C2518" s="93">
        <v>1.0</v>
      </c>
      <c r="D2518" s="87"/>
      <c r="E2518" s="87" t="s">
        <v>83</v>
      </c>
      <c r="F2518" s="87"/>
      <c r="G2518" s="94">
        <v>4.0354288E7</v>
      </c>
      <c r="H2518" s="87"/>
      <c r="I2518" s="87"/>
    </row>
    <row r="2519">
      <c r="A2519" s="87">
        <v>462.0</v>
      </c>
      <c r="B2519" s="87" t="s">
        <v>91</v>
      </c>
      <c r="C2519" s="93">
        <v>1.0</v>
      </c>
      <c r="D2519" s="87"/>
      <c r="E2519" s="87" t="s">
        <v>83</v>
      </c>
      <c r="F2519" s="87"/>
      <c r="G2519" s="94">
        <v>4.0354296E7</v>
      </c>
      <c r="H2519" s="87"/>
      <c r="I2519" s="87"/>
    </row>
    <row r="2520">
      <c r="A2520" s="87">
        <v>463.0</v>
      </c>
      <c r="B2520" s="87" t="s">
        <v>91</v>
      </c>
      <c r="C2520" s="93">
        <v>1.0</v>
      </c>
      <c r="D2520" s="87"/>
      <c r="E2520" s="87" t="s">
        <v>83</v>
      </c>
      <c r="F2520" s="87"/>
      <c r="G2520" s="94">
        <v>4.03543E7</v>
      </c>
      <c r="H2520" s="87"/>
      <c r="I2520" s="87"/>
    </row>
    <row r="2521">
      <c r="A2521" s="87">
        <v>560.0</v>
      </c>
      <c r="B2521" s="87" t="s">
        <v>91</v>
      </c>
      <c r="C2521" s="93">
        <v>1.0</v>
      </c>
      <c r="D2521" s="87" t="s">
        <v>39</v>
      </c>
      <c r="E2521" s="87" t="s">
        <v>253</v>
      </c>
      <c r="F2521" s="87"/>
      <c r="G2521" s="94">
        <v>1.4100606E7</v>
      </c>
      <c r="H2521" s="87"/>
      <c r="I2521" s="87" t="s">
        <v>983</v>
      </c>
    </row>
    <row r="2522">
      <c r="A2522" s="87">
        <v>561.0</v>
      </c>
      <c r="B2522" s="87" t="s">
        <v>91</v>
      </c>
      <c r="C2522" s="93">
        <v>1.0</v>
      </c>
      <c r="D2522" s="87" t="s">
        <v>39</v>
      </c>
      <c r="E2522" s="87" t="s">
        <v>253</v>
      </c>
      <c r="F2522" s="87"/>
      <c r="G2522" s="94">
        <v>1.4100614E7</v>
      </c>
      <c r="H2522" s="87"/>
      <c r="I2522" s="87" t="s">
        <v>983</v>
      </c>
    </row>
    <row r="2523">
      <c r="A2523" s="87">
        <v>697.0</v>
      </c>
      <c r="B2523" s="87" t="s">
        <v>91</v>
      </c>
      <c r="C2523" s="93">
        <v>1.0</v>
      </c>
      <c r="D2523" s="87" t="s">
        <v>39</v>
      </c>
      <c r="E2523" s="87" t="s">
        <v>253</v>
      </c>
      <c r="F2523" s="87"/>
      <c r="G2523" s="94">
        <v>1.4030578E7</v>
      </c>
      <c r="H2523" s="87"/>
      <c r="I2523" s="87" t="s">
        <v>1014</v>
      </c>
    </row>
    <row r="2524">
      <c r="A2524" s="87">
        <v>740.0</v>
      </c>
      <c r="B2524" s="87" t="s">
        <v>91</v>
      </c>
      <c r="C2524" s="93">
        <v>1.0</v>
      </c>
      <c r="D2524" s="87" t="s">
        <v>39</v>
      </c>
      <c r="E2524" s="87" t="s">
        <v>253</v>
      </c>
      <c r="F2524" s="87"/>
      <c r="G2524" s="94">
        <v>5.725311E7</v>
      </c>
      <c r="H2524" s="87"/>
      <c r="I2524" s="87" t="s">
        <v>1014</v>
      </c>
    </row>
    <row r="2525">
      <c r="A2525" s="87">
        <v>1578.0</v>
      </c>
      <c r="B2525" s="87" t="s">
        <v>91</v>
      </c>
      <c r="C2525" s="93">
        <v>1.0</v>
      </c>
      <c r="D2525" s="87"/>
      <c r="E2525" s="87" t="s">
        <v>83</v>
      </c>
      <c r="F2525" s="87"/>
      <c r="G2525" s="94">
        <v>7.698924E7</v>
      </c>
      <c r="H2525" s="87"/>
      <c r="I2525" s="87"/>
    </row>
    <row r="2526">
      <c r="A2526" s="87">
        <v>1579.0</v>
      </c>
      <c r="B2526" s="87" t="s">
        <v>91</v>
      </c>
      <c r="C2526" s="93">
        <v>1.0</v>
      </c>
      <c r="D2526" s="87"/>
      <c r="E2526" s="87" t="s">
        <v>83</v>
      </c>
      <c r="F2526" s="87"/>
      <c r="G2526" s="94">
        <v>7.6989259E7</v>
      </c>
      <c r="H2526" s="87"/>
      <c r="I2526" s="87"/>
    </row>
    <row r="2527">
      <c r="A2527" s="87">
        <v>1632.0</v>
      </c>
      <c r="B2527" s="87" t="s">
        <v>91</v>
      </c>
      <c r="C2527" s="93">
        <v>1.0</v>
      </c>
      <c r="D2527" s="87" t="s">
        <v>39</v>
      </c>
      <c r="E2527" s="87" t="s">
        <v>83</v>
      </c>
      <c r="F2527" s="87"/>
      <c r="G2527" s="94">
        <v>7.6989267E7</v>
      </c>
      <c r="H2527" s="87"/>
      <c r="I2527" s="87"/>
    </row>
    <row r="2528">
      <c r="A2528" s="87">
        <v>1633.0</v>
      </c>
      <c r="B2528" s="87" t="s">
        <v>91</v>
      </c>
      <c r="C2528" s="93">
        <v>1.0</v>
      </c>
      <c r="D2528" s="87" t="s">
        <v>39</v>
      </c>
      <c r="E2528" s="87" t="s">
        <v>83</v>
      </c>
      <c r="F2528" s="87"/>
      <c r="G2528" s="94">
        <v>7.6989275E7</v>
      </c>
      <c r="H2528" s="87"/>
      <c r="I2528" s="87"/>
    </row>
    <row r="2529">
      <c r="A2529" s="87">
        <v>1634.0</v>
      </c>
      <c r="B2529" s="87" t="s">
        <v>91</v>
      </c>
      <c r="C2529" s="93">
        <v>1.0</v>
      </c>
      <c r="D2529" s="87" t="s">
        <v>39</v>
      </c>
      <c r="E2529" s="87" t="s">
        <v>83</v>
      </c>
      <c r="F2529" s="87"/>
      <c r="G2529" s="94">
        <v>7.6989283E7</v>
      </c>
      <c r="H2529" s="87"/>
      <c r="I2529" s="87"/>
    </row>
    <row r="2530">
      <c r="A2530" s="87">
        <v>1635.0</v>
      </c>
      <c r="B2530" s="87" t="s">
        <v>91</v>
      </c>
      <c r="C2530" s="93">
        <v>1.0</v>
      </c>
      <c r="D2530" s="87" t="s">
        <v>39</v>
      </c>
      <c r="E2530" s="87" t="s">
        <v>83</v>
      </c>
      <c r="F2530" s="87"/>
      <c r="G2530" s="94">
        <v>7.6989291E7</v>
      </c>
      <c r="H2530" s="87"/>
      <c r="I2530" s="87"/>
    </row>
    <row r="2531">
      <c r="A2531" s="87">
        <v>1636.0</v>
      </c>
      <c r="B2531" s="87" t="s">
        <v>91</v>
      </c>
      <c r="C2531" s="93">
        <v>1.0</v>
      </c>
      <c r="D2531" s="87" t="s">
        <v>39</v>
      </c>
      <c r="E2531" s="87" t="s">
        <v>83</v>
      </c>
      <c r="F2531" s="87"/>
      <c r="G2531" s="94">
        <v>7.6989305E7</v>
      </c>
      <c r="H2531" s="87"/>
      <c r="I2531" s="87"/>
    </row>
    <row r="2532">
      <c r="A2532" s="87">
        <v>1637.0</v>
      </c>
      <c r="B2532" s="87" t="s">
        <v>91</v>
      </c>
      <c r="C2532" s="93">
        <v>1.0</v>
      </c>
      <c r="D2532" s="87" t="s">
        <v>39</v>
      </c>
      <c r="E2532" s="87" t="s">
        <v>83</v>
      </c>
      <c r="F2532" s="87"/>
      <c r="G2532" s="94">
        <v>7.6989313E7</v>
      </c>
      <c r="H2532" s="87"/>
      <c r="I2532" s="87"/>
    </row>
    <row r="2533">
      <c r="A2533" s="87">
        <v>1638.0</v>
      </c>
      <c r="B2533" s="87" t="s">
        <v>91</v>
      </c>
      <c r="C2533" s="93">
        <v>1.0</v>
      </c>
      <c r="D2533" s="87" t="s">
        <v>39</v>
      </c>
      <c r="E2533" s="87" t="s">
        <v>83</v>
      </c>
      <c r="F2533" s="87"/>
      <c r="G2533" s="94">
        <v>7.6989321E7</v>
      </c>
      <c r="H2533" s="87"/>
      <c r="I2533" s="87"/>
    </row>
    <row r="2534">
      <c r="A2534" s="87">
        <v>1639.0</v>
      </c>
      <c r="B2534" s="87" t="s">
        <v>91</v>
      </c>
      <c r="C2534" s="93">
        <v>1.0</v>
      </c>
      <c r="D2534" s="87" t="s">
        <v>39</v>
      </c>
      <c r="E2534" s="87" t="s">
        <v>83</v>
      </c>
      <c r="F2534" s="87"/>
      <c r="G2534" s="94">
        <v>7.698933E7</v>
      </c>
      <c r="H2534" s="87"/>
      <c r="I2534" s="87"/>
    </row>
    <row r="2535">
      <c r="A2535" s="87">
        <v>1640.0</v>
      </c>
      <c r="B2535" s="87" t="s">
        <v>91</v>
      </c>
      <c r="C2535" s="93">
        <v>1.0</v>
      </c>
      <c r="D2535" s="87" t="s">
        <v>39</v>
      </c>
      <c r="E2535" s="87" t="s">
        <v>83</v>
      </c>
      <c r="F2535" s="87"/>
      <c r="G2535" s="94">
        <v>7.6989348E7</v>
      </c>
      <c r="H2535" s="87"/>
      <c r="I2535" s="87"/>
    </row>
    <row r="2536">
      <c r="A2536" s="87">
        <v>1641.0</v>
      </c>
      <c r="B2536" s="87" t="s">
        <v>91</v>
      </c>
      <c r="C2536" s="93">
        <v>1.0</v>
      </c>
      <c r="D2536" s="87" t="s">
        <v>39</v>
      </c>
      <c r="E2536" s="87" t="s">
        <v>83</v>
      </c>
      <c r="F2536" s="87"/>
      <c r="G2536" s="94">
        <v>7.6989356E7</v>
      </c>
      <c r="H2536" s="87"/>
      <c r="I2536" s="87"/>
    </row>
    <row r="2537">
      <c r="A2537" s="87">
        <v>1642.0</v>
      </c>
      <c r="B2537" s="87" t="s">
        <v>91</v>
      </c>
      <c r="C2537" s="93">
        <v>1.0</v>
      </c>
      <c r="D2537" s="87" t="s">
        <v>39</v>
      </c>
      <c r="E2537" s="87" t="s">
        <v>83</v>
      </c>
      <c r="F2537" s="87"/>
      <c r="G2537" s="94">
        <v>7.6989364E7</v>
      </c>
      <c r="H2537" s="87"/>
      <c r="I2537" s="87"/>
    </row>
    <row r="2538">
      <c r="A2538" s="87">
        <v>1643.0</v>
      </c>
      <c r="B2538" s="87" t="s">
        <v>91</v>
      </c>
      <c r="C2538" s="93">
        <v>1.0</v>
      </c>
      <c r="D2538" s="87" t="s">
        <v>39</v>
      </c>
      <c r="E2538" s="87" t="s">
        <v>83</v>
      </c>
      <c r="F2538" s="87"/>
      <c r="G2538" s="94">
        <v>7.6989372E7</v>
      </c>
      <c r="H2538" s="87"/>
      <c r="I2538" s="87"/>
    </row>
    <row r="2539">
      <c r="A2539" s="87">
        <v>1644.0</v>
      </c>
      <c r="B2539" s="87" t="s">
        <v>91</v>
      </c>
      <c r="C2539" s="93">
        <v>1.0</v>
      </c>
      <c r="D2539" s="87" t="s">
        <v>39</v>
      </c>
      <c r="E2539" s="87" t="s">
        <v>83</v>
      </c>
      <c r="F2539" s="87"/>
      <c r="G2539" s="94">
        <v>7.698938E7</v>
      </c>
      <c r="H2539" s="87"/>
      <c r="I2539" s="87"/>
    </row>
    <row r="2540">
      <c r="A2540" s="87">
        <v>1645.0</v>
      </c>
      <c r="B2540" s="87" t="s">
        <v>91</v>
      </c>
      <c r="C2540" s="93">
        <v>1.0</v>
      </c>
      <c r="D2540" s="87" t="s">
        <v>39</v>
      </c>
      <c r="E2540" s="87" t="s">
        <v>83</v>
      </c>
      <c r="F2540" s="87"/>
      <c r="G2540" s="94">
        <v>7.6989399E7</v>
      </c>
      <c r="H2540" s="87"/>
      <c r="I2540" s="87"/>
    </row>
    <row r="2541">
      <c r="A2541" s="87">
        <v>1646.0</v>
      </c>
      <c r="B2541" s="87" t="s">
        <v>91</v>
      </c>
      <c r="C2541" s="93">
        <v>1.0</v>
      </c>
      <c r="D2541" s="87" t="s">
        <v>39</v>
      </c>
      <c r="E2541" s="87" t="s">
        <v>83</v>
      </c>
      <c r="F2541" s="87"/>
      <c r="G2541" s="94">
        <v>7.6989402E7</v>
      </c>
      <c r="H2541" s="87"/>
      <c r="I2541" s="87"/>
    </row>
    <row r="2542">
      <c r="A2542" s="87">
        <v>1647.0</v>
      </c>
      <c r="B2542" s="87" t="s">
        <v>91</v>
      </c>
      <c r="C2542" s="93">
        <v>1.0</v>
      </c>
      <c r="D2542" s="87" t="s">
        <v>39</v>
      </c>
      <c r="E2542" s="87" t="s">
        <v>83</v>
      </c>
      <c r="F2542" s="87"/>
      <c r="G2542" s="94">
        <v>7.698941E7</v>
      </c>
      <c r="H2542" s="87"/>
      <c r="I2542" s="87"/>
    </row>
    <row r="2543">
      <c r="A2543" s="87">
        <v>1648.0</v>
      </c>
      <c r="B2543" s="87" t="s">
        <v>91</v>
      </c>
      <c r="C2543" s="93">
        <v>1.0</v>
      </c>
      <c r="D2543" s="87" t="s">
        <v>39</v>
      </c>
      <c r="E2543" s="87" t="s">
        <v>83</v>
      </c>
      <c r="F2543" s="87"/>
      <c r="G2543" s="94">
        <v>7.6989429E7</v>
      </c>
      <c r="H2543" s="87"/>
      <c r="I2543" s="87"/>
    </row>
    <row r="2544">
      <c r="A2544" s="87">
        <v>1683.0</v>
      </c>
      <c r="B2544" s="87" t="s">
        <v>91</v>
      </c>
      <c r="C2544" s="93">
        <v>1.0</v>
      </c>
      <c r="D2544" s="87" t="s">
        <v>39</v>
      </c>
      <c r="E2544" s="87" t="s">
        <v>83</v>
      </c>
      <c r="F2544" s="87"/>
      <c r="G2544" s="94">
        <v>7.6989216E7</v>
      </c>
      <c r="H2544" s="87"/>
      <c r="I2544" s="87"/>
    </row>
    <row r="2545">
      <c r="A2545" s="87">
        <v>1684.0</v>
      </c>
      <c r="B2545" s="87" t="s">
        <v>91</v>
      </c>
      <c r="C2545" s="93">
        <v>1.0</v>
      </c>
      <c r="D2545" s="87" t="s">
        <v>39</v>
      </c>
      <c r="E2545" s="87" t="s">
        <v>83</v>
      </c>
      <c r="F2545" s="87"/>
      <c r="G2545" s="94">
        <v>7.6989224E7</v>
      </c>
      <c r="H2545" s="87"/>
      <c r="I2545" s="87"/>
    </row>
    <row r="2546">
      <c r="A2546" s="87">
        <v>1685.0</v>
      </c>
      <c r="B2546" s="87" t="s">
        <v>91</v>
      </c>
      <c r="C2546" s="93">
        <v>1.0</v>
      </c>
      <c r="D2546" s="87" t="s">
        <v>39</v>
      </c>
      <c r="E2546" s="87" t="s">
        <v>83</v>
      </c>
      <c r="F2546" s="87"/>
      <c r="G2546" s="94">
        <v>7.6989232E7</v>
      </c>
      <c r="H2546" s="87"/>
      <c r="I2546" s="87"/>
    </row>
    <row r="2547">
      <c r="A2547" s="87">
        <v>1563.0</v>
      </c>
      <c r="B2547" s="87" t="s">
        <v>1609</v>
      </c>
      <c r="C2547" s="93">
        <v>1.0</v>
      </c>
      <c r="D2547" s="87" t="s">
        <v>39</v>
      </c>
      <c r="E2547" s="87" t="s">
        <v>26</v>
      </c>
      <c r="F2547" s="87"/>
      <c r="G2547" s="94">
        <v>7.7005651E7</v>
      </c>
      <c r="H2547" s="87"/>
      <c r="I2547" s="87"/>
    </row>
    <row r="2548">
      <c r="A2548" s="87">
        <v>1564.0</v>
      </c>
      <c r="B2548" s="87" t="s">
        <v>1609</v>
      </c>
      <c r="C2548" s="93">
        <v>1.0</v>
      </c>
      <c r="D2548" s="87" t="s">
        <v>39</v>
      </c>
      <c r="E2548" s="87" t="s">
        <v>26</v>
      </c>
      <c r="F2548" s="87"/>
      <c r="G2548" s="94">
        <v>7.7005643E7</v>
      </c>
      <c r="H2548" s="87"/>
      <c r="I2548" s="87"/>
    </row>
    <row r="2549">
      <c r="A2549" s="87">
        <v>546.0</v>
      </c>
      <c r="B2549" s="87" t="s">
        <v>1610</v>
      </c>
      <c r="C2549" s="93">
        <v>1.0</v>
      </c>
      <c r="D2549" s="87" t="s">
        <v>39</v>
      </c>
      <c r="E2549" s="87" t="s">
        <v>253</v>
      </c>
      <c r="F2549" s="87"/>
      <c r="G2549" s="94">
        <v>1.3972677E7</v>
      </c>
      <c r="H2549" s="87"/>
      <c r="I2549" s="87" t="s">
        <v>983</v>
      </c>
    </row>
    <row r="2550">
      <c r="A2550" s="87">
        <v>1278.0</v>
      </c>
      <c r="B2550" s="87" t="s">
        <v>404</v>
      </c>
      <c r="C2550" s="93">
        <v>1.0</v>
      </c>
      <c r="D2550" s="87" t="s">
        <v>275</v>
      </c>
      <c r="E2550" s="87" t="s">
        <v>19</v>
      </c>
      <c r="F2550" s="87"/>
      <c r="G2550" s="94">
        <v>7.6905047E7</v>
      </c>
      <c r="H2550" s="87" t="s">
        <v>1611</v>
      </c>
      <c r="I2550" s="87" t="s">
        <v>1612</v>
      </c>
    </row>
    <row r="2551">
      <c r="A2551" s="87">
        <v>1230.0</v>
      </c>
      <c r="B2551" s="87" t="s">
        <v>85</v>
      </c>
      <c r="C2551" s="93">
        <v>1.0</v>
      </c>
      <c r="D2551" s="87" t="s">
        <v>39</v>
      </c>
      <c r="E2551" s="87" t="s">
        <v>72</v>
      </c>
      <c r="F2551" s="87"/>
      <c r="G2551" s="94">
        <v>8.3802681E7</v>
      </c>
      <c r="H2551" s="87" t="s">
        <v>1613</v>
      </c>
      <c r="I2551" s="87"/>
    </row>
    <row r="2552">
      <c r="A2552" s="87">
        <v>1513.0</v>
      </c>
      <c r="B2552" s="87" t="s">
        <v>85</v>
      </c>
      <c r="C2552" s="93">
        <v>1.0</v>
      </c>
      <c r="D2552" s="87" t="s">
        <v>39</v>
      </c>
      <c r="E2552" s="87" t="s">
        <v>72</v>
      </c>
      <c r="F2552" s="87"/>
      <c r="G2552" s="94">
        <v>7.6837726E7</v>
      </c>
      <c r="H2552" s="87"/>
      <c r="I2552" s="87"/>
    </row>
    <row r="2553">
      <c r="A2553" s="87">
        <v>1514.0</v>
      </c>
      <c r="B2553" s="87" t="s">
        <v>85</v>
      </c>
      <c r="C2553" s="93">
        <v>1.0</v>
      </c>
      <c r="D2553" s="87" t="s">
        <v>39</v>
      </c>
      <c r="E2553" s="87" t="s">
        <v>72</v>
      </c>
      <c r="F2553" s="87"/>
      <c r="G2553" s="94">
        <v>7.6837734E7</v>
      </c>
      <c r="H2553" s="87"/>
      <c r="I2553" s="87"/>
    </row>
    <row r="2554">
      <c r="A2554" s="87">
        <v>418.0</v>
      </c>
      <c r="B2554" s="87" t="s">
        <v>214</v>
      </c>
      <c r="C2554" s="93">
        <v>1.0</v>
      </c>
      <c r="D2554" s="87" t="s">
        <v>1003</v>
      </c>
      <c r="E2554" s="87" t="s">
        <v>1232</v>
      </c>
      <c r="F2554" s="87"/>
      <c r="G2554" s="94"/>
      <c r="H2554" s="87"/>
      <c r="I2554" s="87" t="s">
        <v>1005</v>
      </c>
    </row>
    <row r="2555">
      <c r="A2555" s="87">
        <v>421.0</v>
      </c>
      <c r="B2555" s="87" t="s">
        <v>214</v>
      </c>
      <c r="C2555" s="93">
        <v>1.0</v>
      </c>
      <c r="D2555" s="87" t="s">
        <v>1003</v>
      </c>
      <c r="E2555" s="87" t="s">
        <v>1234</v>
      </c>
      <c r="F2555" s="87"/>
      <c r="G2555" s="94"/>
      <c r="H2555" s="87"/>
      <c r="I2555" s="87" t="s">
        <v>1005</v>
      </c>
    </row>
    <row r="2556">
      <c r="A2556" s="87">
        <v>424.0</v>
      </c>
      <c r="B2556" s="87" t="s">
        <v>214</v>
      </c>
      <c r="C2556" s="93">
        <v>1.0</v>
      </c>
      <c r="D2556" s="87" t="s">
        <v>1003</v>
      </c>
      <c r="E2556" s="87" t="s">
        <v>1235</v>
      </c>
      <c r="F2556" s="87"/>
      <c r="G2556" s="94"/>
      <c r="H2556" s="87"/>
      <c r="I2556" s="87" t="s">
        <v>1005</v>
      </c>
    </row>
    <row r="2557">
      <c r="A2557" s="87">
        <v>427.0</v>
      </c>
      <c r="B2557" s="87" t="s">
        <v>214</v>
      </c>
      <c r="C2557" s="93">
        <v>1.0</v>
      </c>
      <c r="D2557" s="87" t="s">
        <v>1003</v>
      </c>
      <c r="E2557" s="87" t="s">
        <v>1242</v>
      </c>
      <c r="F2557" s="87"/>
      <c r="G2557" s="94"/>
      <c r="H2557" s="87"/>
      <c r="I2557" s="87" t="s">
        <v>1005</v>
      </c>
    </row>
    <row r="2558">
      <c r="A2558" s="87">
        <v>434.0</v>
      </c>
      <c r="B2558" s="87" t="s">
        <v>214</v>
      </c>
      <c r="C2558" s="93">
        <v>1.0</v>
      </c>
      <c r="D2558" s="87" t="s">
        <v>1003</v>
      </c>
      <c r="E2558" s="87" t="s">
        <v>1008</v>
      </c>
      <c r="F2558" s="87"/>
      <c r="G2558" s="94"/>
      <c r="H2558" s="87"/>
      <c r="I2558" s="87" t="s">
        <v>1005</v>
      </c>
    </row>
    <row r="2559">
      <c r="A2559" s="87">
        <v>641.0</v>
      </c>
      <c r="B2559" s="87" t="s">
        <v>214</v>
      </c>
      <c r="C2559" s="93">
        <v>17.0</v>
      </c>
      <c r="D2559" s="87" t="s">
        <v>39</v>
      </c>
      <c r="E2559" s="87" t="s">
        <v>1032</v>
      </c>
      <c r="F2559" s="87"/>
      <c r="G2559" s="94"/>
      <c r="H2559" s="87"/>
      <c r="I2559" s="87"/>
    </row>
    <row r="2560">
      <c r="A2560" s="87">
        <v>61.0</v>
      </c>
      <c r="B2560" s="87" t="s">
        <v>1614</v>
      </c>
      <c r="C2560" s="93">
        <v>1.0</v>
      </c>
      <c r="D2560" s="87" t="s">
        <v>39</v>
      </c>
      <c r="E2560" s="87" t="s">
        <v>664</v>
      </c>
      <c r="F2560" s="87"/>
      <c r="G2560" s="94">
        <v>4.0142019E7</v>
      </c>
      <c r="H2560" s="87"/>
      <c r="I2560" s="87"/>
    </row>
    <row r="2561">
      <c r="A2561" s="87">
        <v>617.0</v>
      </c>
      <c r="B2561" s="87" t="s">
        <v>1614</v>
      </c>
      <c r="C2561" s="93">
        <v>1.0</v>
      </c>
      <c r="D2561" s="87" t="s">
        <v>39</v>
      </c>
      <c r="E2561" s="87" t="s">
        <v>1098</v>
      </c>
      <c r="F2561" s="87"/>
      <c r="G2561" s="94">
        <v>4.0141926E7</v>
      </c>
      <c r="H2561" s="87"/>
      <c r="I2561" s="87"/>
    </row>
    <row r="2562">
      <c r="A2562" s="87">
        <v>993.0</v>
      </c>
      <c r="B2562" s="87" t="s">
        <v>1614</v>
      </c>
      <c r="C2562" s="93">
        <v>1.0</v>
      </c>
      <c r="D2562" s="87" t="s">
        <v>39</v>
      </c>
      <c r="E2562" s="87" t="s">
        <v>1018</v>
      </c>
      <c r="F2562" s="87"/>
      <c r="G2562" s="94">
        <v>7.6715701E7</v>
      </c>
      <c r="H2562" s="87"/>
      <c r="I2562" s="87"/>
    </row>
    <row r="2563">
      <c r="A2563" s="87">
        <v>489.0</v>
      </c>
      <c r="B2563" s="87" t="s">
        <v>1615</v>
      </c>
      <c r="C2563" s="93">
        <v>1.0</v>
      </c>
      <c r="D2563" s="87" t="s">
        <v>39</v>
      </c>
      <c r="E2563" s="87" t="s">
        <v>253</v>
      </c>
      <c r="F2563" s="87"/>
      <c r="G2563" s="94">
        <v>1.3727907E7</v>
      </c>
      <c r="H2563" s="87"/>
      <c r="I2563" s="87" t="s">
        <v>1012</v>
      </c>
    </row>
    <row r="2564">
      <c r="A2564" s="87">
        <v>1275.0</v>
      </c>
      <c r="B2564" s="87" t="s">
        <v>215</v>
      </c>
      <c r="C2564" s="93">
        <v>1.0</v>
      </c>
      <c r="D2564" s="87" t="s">
        <v>275</v>
      </c>
      <c r="E2564" s="87" t="s">
        <v>19</v>
      </c>
      <c r="F2564" s="87"/>
      <c r="G2564" s="94">
        <v>7.6902161E7</v>
      </c>
      <c r="H2564" s="87" t="s">
        <v>1616</v>
      </c>
      <c r="I2564" s="87"/>
    </row>
    <row r="2565">
      <c r="A2565" s="87">
        <v>1306.0</v>
      </c>
      <c r="B2565" s="87" t="s">
        <v>215</v>
      </c>
      <c r="C2565" s="93">
        <v>1.0</v>
      </c>
      <c r="D2565" s="87" t="s">
        <v>39</v>
      </c>
      <c r="E2565" s="87" t="s">
        <v>83</v>
      </c>
      <c r="F2565" s="87"/>
      <c r="G2565" s="94">
        <v>7.6892948E7</v>
      </c>
      <c r="H2565" s="87"/>
      <c r="I2565" s="87" t="s">
        <v>1617</v>
      </c>
    </row>
    <row r="2566">
      <c r="A2566" s="87">
        <v>1696.0</v>
      </c>
      <c r="B2566" s="87" t="s">
        <v>915</v>
      </c>
      <c r="C2566" s="93">
        <v>1.0</v>
      </c>
      <c r="D2566" s="87" t="s">
        <v>39</v>
      </c>
      <c r="E2566" s="87" t="s">
        <v>83</v>
      </c>
      <c r="F2566" s="87"/>
      <c r="G2566" s="94">
        <v>7.6979172E7</v>
      </c>
      <c r="H2566" s="87"/>
      <c r="I2566" s="87"/>
    </row>
    <row r="2567">
      <c r="A2567" s="87">
        <v>1697.0</v>
      </c>
      <c r="B2567" s="87" t="s">
        <v>915</v>
      </c>
      <c r="C2567" s="93">
        <v>1.0</v>
      </c>
      <c r="D2567" s="87" t="s">
        <v>39</v>
      </c>
      <c r="E2567" s="87" t="s">
        <v>83</v>
      </c>
      <c r="F2567" s="87"/>
      <c r="G2567" s="94">
        <v>7.697918E7</v>
      </c>
      <c r="H2567" s="87"/>
      <c r="I2567" s="87"/>
    </row>
    <row r="2568">
      <c r="A2568" s="87">
        <v>1698.0</v>
      </c>
      <c r="B2568" s="87" t="s">
        <v>915</v>
      </c>
      <c r="C2568" s="93">
        <v>1.0</v>
      </c>
      <c r="D2568" s="87" t="s">
        <v>39</v>
      </c>
      <c r="E2568" s="87" t="s">
        <v>83</v>
      </c>
      <c r="F2568" s="87"/>
      <c r="G2568" s="94">
        <v>7.6979199E7</v>
      </c>
      <c r="H2568" s="87"/>
      <c r="I2568" s="87"/>
    </row>
    <row r="2569">
      <c r="A2569" s="87">
        <v>464.0</v>
      </c>
      <c r="B2569" s="87" t="s">
        <v>1618</v>
      </c>
      <c r="C2569" s="93">
        <v>1.0</v>
      </c>
      <c r="D2569" s="87"/>
      <c r="E2569" s="87" t="s">
        <v>83</v>
      </c>
      <c r="F2569" s="87"/>
      <c r="G2569" s="94">
        <v>4.0259366E7</v>
      </c>
      <c r="H2569" s="87"/>
      <c r="I2569" s="87"/>
    </row>
    <row r="2570">
      <c r="A2570" s="87">
        <v>465.0</v>
      </c>
      <c r="B2570" s="87" t="s">
        <v>1618</v>
      </c>
      <c r="C2570" s="93">
        <v>1.0</v>
      </c>
      <c r="D2570" s="87"/>
      <c r="E2570" s="87" t="s">
        <v>83</v>
      </c>
      <c r="F2570" s="87"/>
      <c r="G2570" s="94">
        <v>4.0259374E7</v>
      </c>
      <c r="H2570" s="87"/>
      <c r="I2570" s="87"/>
    </row>
    <row r="2571">
      <c r="A2571" s="87">
        <v>466.0</v>
      </c>
      <c r="B2571" s="87" t="s">
        <v>1618</v>
      </c>
      <c r="C2571" s="93">
        <v>1.0</v>
      </c>
      <c r="D2571" s="87"/>
      <c r="E2571" s="87" t="s">
        <v>83</v>
      </c>
      <c r="F2571" s="87"/>
      <c r="G2571" s="94">
        <v>4.0259382E7</v>
      </c>
      <c r="H2571" s="87"/>
      <c r="I2571" s="87"/>
    </row>
    <row r="2572">
      <c r="A2572" s="87">
        <v>1507.0</v>
      </c>
      <c r="B2572" s="87" t="s">
        <v>1619</v>
      </c>
      <c r="C2572" s="93">
        <v>1.0</v>
      </c>
      <c r="D2572" s="87" t="s">
        <v>39</v>
      </c>
      <c r="E2572" s="87" t="s">
        <v>72</v>
      </c>
      <c r="F2572" s="87"/>
      <c r="G2572" s="94">
        <v>7.6837661E7</v>
      </c>
      <c r="H2572" s="87"/>
      <c r="I2572" s="87"/>
    </row>
    <row r="2573">
      <c r="A2573" s="87">
        <v>467.0</v>
      </c>
      <c r="B2573" s="87" t="s">
        <v>1620</v>
      </c>
      <c r="C2573" s="93">
        <v>1.0</v>
      </c>
      <c r="D2573" s="87"/>
      <c r="E2573" s="87" t="s">
        <v>83</v>
      </c>
      <c r="F2573" s="87"/>
      <c r="G2573" s="94">
        <v>1.4147602E7</v>
      </c>
      <c r="H2573" s="87"/>
      <c r="I2573" s="87" t="s">
        <v>1466</v>
      </c>
    </row>
    <row r="2574">
      <c r="A2574" s="87">
        <v>468.0</v>
      </c>
      <c r="B2574" s="87" t="s">
        <v>1620</v>
      </c>
      <c r="C2574" s="93">
        <v>1.0</v>
      </c>
      <c r="D2574" s="87"/>
      <c r="E2574" s="87" t="s">
        <v>83</v>
      </c>
      <c r="F2574" s="87"/>
      <c r="G2574" s="94">
        <v>4.0077063E7</v>
      </c>
      <c r="H2574" s="87"/>
      <c r="I2574" s="87" t="s">
        <v>1540</v>
      </c>
    </row>
    <row r="2575">
      <c r="A2575" s="87">
        <v>591.0</v>
      </c>
      <c r="B2575" s="87" t="s">
        <v>1620</v>
      </c>
      <c r="C2575" s="93">
        <v>1.0</v>
      </c>
      <c r="D2575" s="87" t="s">
        <v>39</v>
      </c>
      <c r="E2575" s="87" t="s">
        <v>253</v>
      </c>
      <c r="F2575" s="87"/>
      <c r="G2575" s="94">
        <v>4.007725E7</v>
      </c>
      <c r="H2575" s="87"/>
      <c r="I2575" s="87" t="s">
        <v>867</v>
      </c>
    </row>
    <row r="2576">
      <c r="A2576" s="87">
        <v>848.0</v>
      </c>
      <c r="B2576" s="87" t="s">
        <v>1620</v>
      </c>
      <c r="C2576" s="93">
        <v>1.0</v>
      </c>
      <c r="D2576" s="87" t="s">
        <v>39</v>
      </c>
      <c r="E2576" s="87" t="s">
        <v>763</v>
      </c>
      <c r="F2576" s="87"/>
      <c r="G2576" s="94">
        <v>4.0077071E7</v>
      </c>
      <c r="H2576" s="87"/>
      <c r="I2576" s="87"/>
    </row>
    <row r="2577">
      <c r="A2577" s="87">
        <v>469.0</v>
      </c>
      <c r="B2577" s="87" t="s">
        <v>1621</v>
      </c>
      <c r="C2577" s="93">
        <v>1.0</v>
      </c>
      <c r="D2577" s="87"/>
      <c r="E2577" s="87" t="s">
        <v>83</v>
      </c>
      <c r="F2577" s="87"/>
      <c r="G2577" s="94">
        <v>7.6705072E7</v>
      </c>
      <c r="H2577" s="87"/>
      <c r="I2577" s="87"/>
    </row>
    <row r="2578">
      <c r="A2578" s="87">
        <v>470.0</v>
      </c>
      <c r="B2578" s="87" t="s">
        <v>1621</v>
      </c>
      <c r="C2578" s="93">
        <v>1.0</v>
      </c>
      <c r="D2578" s="87"/>
      <c r="E2578" s="87" t="s">
        <v>83</v>
      </c>
      <c r="F2578" s="87"/>
      <c r="G2578" s="94">
        <v>7.670508E7</v>
      </c>
      <c r="H2578" s="87"/>
      <c r="I2578" s="87" t="s">
        <v>1466</v>
      </c>
    </row>
    <row r="2579">
      <c r="A2579" s="87">
        <v>471.0</v>
      </c>
      <c r="B2579" s="87" t="s">
        <v>1621</v>
      </c>
      <c r="C2579" s="93">
        <v>1.0</v>
      </c>
      <c r="D2579" s="87"/>
      <c r="E2579" s="87" t="s">
        <v>83</v>
      </c>
      <c r="F2579" s="87"/>
      <c r="G2579" s="94">
        <v>7.6730573E7</v>
      </c>
      <c r="H2579" s="87"/>
      <c r="I2579" s="87" t="s">
        <v>1466</v>
      </c>
    </row>
    <row r="2580">
      <c r="A2580" s="87">
        <v>795.0</v>
      </c>
      <c r="B2580" s="87" t="s">
        <v>1621</v>
      </c>
      <c r="C2580" s="93">
        <v>1.0</v>
      </c>
      <c r="D2580" s="87" t="s">
        <v>39</v>
      </c>
      <c r="E2580" s="87" t="s">
        <v>1020</v>
      </c>
      <c r="F2580" s="87"/>
      <c r="G2580" s="94">
        <v>4.0364119E7</v>
      </c>
      <c r="H2580" s="87"/>
      <c r="I2580" s="87" t="s">
        <v>1622</v>
      </c>
    </row>
    <row r="2581">
      <c r="A2581" s="87">
        <v>796.0</v>
      </c>
      <c r="B2581" s="87" t="s">
        <v>1621</v>
      </c>
      <c r="C2581" s="93">
        <v>1.0</v>
      </c>
      <c r="D2581" s="87" t="s">
        <v>39</v>
      </c>
      <c r="E2581" s="87" t="s">
        <v>253</v>
      </c>
      <c r="F2581" s="87"/>
      <c r="G2581" s="94">
        <v>4.0364224E7</v>
      </c>
      <c r="H2581" s="87"/>
      <c r="I2581" s="87" t="s">
        <v>1012</v>
      </c>
    </row>
    <row r="2582">
      <c r="A2582" s="87">
        <v>797.0</v>
      </c>
      <c r="B2582" s="87" t="s">
        <v>1621</v>
      </c>
      <c r="C2582" s="93">
        <v>1.0</v>
      </c>
      <c r="D2582" s="87" t="s">
        <v>39</v>
      </c>
      <c r="E2582" s="87" t="s">
        <v>253</v>
      </c>
      <c r="F2582" s="87"/>
      <c r="G2582" s="94">
        <v>4.036438E7</v>
      </c>
      <c r="H2582" s="87"/>
      <c r="I2582" s="87" t="s">
        <v>1012</v>
      </c>
    </row>
    <row r="2583">
      <c r="A2583" s="87">
        <v>1111.0</v>
      </c>
      <c r="B2583" s="87" t="s">
        <v>1621</v>
      </c>
      <c r="C2583" s="93">
        <v>1.0</v>
      </c>
      <c r="D2583" s="87" t="s">
        <v>39</v>
      </c>
      <c r="E2583" s="87" t="s">
        <v>258</v>
      </c>
      <c r="F2583" s="87"/>
      <c r="G2583" s="94">
        <v>7.6821234E7</v>
      </c>
      <c r="H2583" s="87" t="s">
        <v>1623</v>
      </c>
      <c r="I2583" s="87" t="s">
        <v>1624</v>
      </c>
    </row>
    <row r="2584">
      <c r="A2584" s="87">
        <v>1112.0</v>
      </c>
      <c r="B2584" s="87" t="s">
        <v>1621</v>
      </c>
      <c r="C2584" s="93">
        <v>1.0</v>
      </c>
      <c r="D2584" s="87" t="s">
        <v>39</v>
      </c>
      <c r="E2584" s="87" t="s">
        <v>258</v>
      </c>
      <c r="F2584" s="87"/>
      <c r="G2584" s="94">
        <v>7.6821242E7</v>
      </c>
      <c r="H2584" s="87" t="s">
        <v>1625</v>
      </c>
      <c r="I2584" s="87" t="s">
        <v>1626</v>
      </c>
    </row>
    <row r="2585">
      <c r="A2585" s="87">
        <v>1113.0</v>
      </c>
      <c r="B2585" s="87" t="s">
        <v>1621</v>
      </c>
      <c r="C2585" s="93">
        <v>1.0</v>
      </c>
      <c r="D2585" s="87" t="s">
        <v>39</v>
      </c>
      <c r="E2585" s="87" t="s">
        <v>258</v>
      </c>
      <c r="F2585" s="87"/>
      <c r="G2585" s="94">
        <v>7.682125E7</v>
      </c>
      <c r="H2585" s="87" t="s">
        <v>1627</v>
      </c>
      <c r="I2585" s="87" t="s">
        <v>1628</v>
      </c>
    </row>
    <row r="2586">
      <c r="A2586" s="87">
        <v>1114.0</v>
      </c>
      <c r="B2586" s="87" t="s">
        <v>1621</v>
      </c>
      <c r="C2586" s="93">
        <v>1.0</v>
      </c>
      <c r="D2586" s="87" t="s">
        <v>39</v>
      </c>
      <c r="E2586" s="87" t="s">
        <v>258</v>
      </c>
      <c r="F2586" s="87"/>
      <c r="G2586" s="94">
        <v>7.6821269E7</v>
      </c>
      <c r="H2586" s="87" t="s">
        <v>1629</v>
      </c>
      <c r="I2586" s="87" t="s">
        <v>1630</v>
      </c>
    </row>
    <row r="2587">
      <c r="A2587" s="87">
        <v>1115.0</v>
      </c>
      <c r="B2587" s="87" t="s">
        <v>1621</v>
      </c>
      <c r="C2587" s="93">
        <v>1.0</v>
      </c>
      <c r="D2587" s="87" t="s">
        <v>39</v>
      </c>
      <c r="E2587" s="87" t="s">
        <v>258</v>
      </c>
      <c r="F2587" s="87"/>
      <c r="G2587" s="94">
        <v>7.6821277E7</v>
      </c>
      <c r="H2587" s="87" t="s">
        <v>1631</v>
      </c>
      <c r="I2587" s="87" t="s">
        <v>1632</v>
      </c>
    </row>
    <row r="2588">
      <c r="A2588" s="87">
        <v>1116.0</v>
      </c>
      <c r="B2588" s="87" t="s">
        <v>1621</v>
      </c>
      <c r="C2588" s="93">
        <v>1.0</v>
      </c>
      <c r="D2588" s="87" t="s">
        <v>39</v>
      </c>
      <c r="E2588" s="87" t="s">
        <v>83</v>
      </c>
      <c r="F2588" s="87"/>
      <c r="G2588" s="94">
        <v>7.6822028E7</v>
      </c>
      <c r="H2588" s="87" t="s">
        <v>1633</v>
      </c>
      <c r="I2588" s="87" t="s">
        <v>1634</v>
      </c>
    </row>
    <row r="2589">
      <c r="A2589" s="87">
        <v>1117.0</v>
      </c>
      <c r="B2589" s="87" t="s">
        <v>1621</v>
      </c>
      <c r="C2589" s="93">
        <v>1.0</v>
      </c>
      <c r="D2589" s="87" t="s">
        <v>39</v>
      </c>
      <c r="E2589" s="87" t="s">
        <v>83</v>
      </c>
      <c r="F2589" s="87"/>
      <c r="G2589" s="94">
        <v>7.6822036E7</v>
      </c>
      <c r="H2589" s="87" t="s">
        <v>1635</v>
      </c>
      <c r="I2589" s="87" t="s">
        <v>1636</v>
      </c>
    </row>
    <row r="2590">
      <c r="A2590" s="87">
        <v>1529.0</v>
      </c>
      <c r="B2590" s="87" t="s">
        <v>1621</v>
      </c>
      <c r="C2590" s="93">
        <v>1.0</v>
      </c>
      <c r="D2590" s="87" t="s">
        <v>39</v>
      </c>
      <c r="E2590" s="87" t="s">
        <v>664</v>
      </c>
      <c r="F2590" s="87"/>
      <c r="G2590" s="94"/>
      <c r="H2590" s="87" t="s">
        <v>1637</v>
      </c>
      <c r="I2590" s="87" t="s">
        <v>1638</v>
      </c>
    </row>
    <row r="2591">
      <c r="A2591" s="87">
        <v>472.0</v>
      </c>
      <c r="B2591" s="87" t="s">
        <v>430</v>
      </c>
      <c r="C2591" s="93">
        <v>1.0</v>
      </c>
      <c r="D2591" s="87"/>
      <c r="E2591" s="87" t="s">
        <v>83</v>
      </c>
      <c r="F2591" s="87"/>
      <c r="G2591" s="94">
        <v>1.388954E7</v>
      </c>
      <c r="H2591" s="87"/>
      <c r="I2591" s="87"/>
    </row>
    <row r="2592">
      <c r="A2592" s="87">
        <v>473.0</v>
      </c>
      <c r="B2592" s="87" t="s">
        <v>430</v>
      </c>
      <c r="C2592" s="93">
        <v>1.0</v>
      </c>
      <c r="D2592" s="87"/>
      <c r="E2592" s="87" t="s">
        <v>83</v>
      </c>
      <c r="F2592" s="87"/>
      <c r="G2592" s="94">
        <v>4.008414E7</v>
      </c>
      <c r="H2592" s="87"/>
      <c r="I2592" s="87"/>
    </row>
    <row r="2593">
      <c r="A2593" s="87">
        <v>112.0</v>
      </c>
      <c r="B2593" s="87" t="s">
        <v>1639</v>
      </c>
      <c r="C2593" s="93">
        <v>1.0</v>
      </c>
      <c r="D2593" s="87" t="s">
        <v>275</v>
      </c>
      <c r="E2593" s="87" t="s">
        <v>12</v>
      </c>
      <c r="F2593" s="87"/>
      <c r="G2593" s="94"/>
      <c r="H2593" s="87"/>
      <c r="I2593" s="87"/>
    </row>
    <row r="2594">
      <c r="A2594" s="87">
        <v>1210.0</v>
      </c>
      <c r="B2594" s="87" t="s">
        <v>1640</v>
      </c>
      <c r="C2594" s="93">
        <v>1.0</v>
      </c>
      <c r="D2594" s="87" t="s">
        <v>275</v>
      </c>
      <c r="E2594" s="87" t="s">
        <v>21</v>
      </c>
      <c r="F2594" s="87"/>
      <c r="G2594" s="94">
        <v>1.3989626E7</v>
      </c>
      <c r="H2594" s="87"/>
      <c r="I2594" s="87" t="s">
        <v>1641</v>
      </c>
    </row>
    <row r="2595">
      <c r="A2595" s="87">
        <v>1509.0</v>
      </c>
      <c r="B2595" s="87" t="s">
        <v>917</v>
      </c>
      <c r="C2595" s="93">
        <v>1.0</v>
      </c>
      <c r="D2595" s="87" t="s">
        <v>39</v>
      </c>
      <c r="E2595" s="87" t="s">
        <v>72</v>
      </c>
      <c r="F2595" s="87"/>
      <c r="G2595" s="94">
        <v>7.6837688E7</v>
      </c>
      <c r="H2595" s="87"/>
      <c r="I2595" s="87"/>
    </row>
    <row r="2596">
      <c r="A2596" s="87">
        <v>1523.0</v>
      </c>
      <c r="B2596" s="87" t="s">
        <v>917</v>
      </c>
      <c r="C2596" s="93">
        <v>1.0</v>
      </c>
      <c r="D2596" s="87" t="s">
        <v>39</v>
      </c>
      <c r="E2596" s="87" t="s">
        <v>72</v>
      </c>
      <c r="F2596" s="87"/>
      <c r="G2596" s="94">
        <v>7.6931145E7</v>
      </c>
      <c r="H2596" s="87"/>
      <c r="I2596" s="87"/>
    </row>
    <row r="2597">
      <c r="A2597" s="87">
        <v>840.0</v>
      </c>
      <c r="B2597" s="87" t="s">
        <v>816</v>
      </c>
      <c r="C2597" s="93">
        <v>1.0</v>
      </c>
      <c r="D2597" s="87" t="s">
        <v>39</v>
      </c>
      <c r="E2597" s="87" t="s">
        <v>1096</v>
      </c>
      <c r="F2597" s="87"/>
      <c r="G2597" s="94"/>
      <c r="H2597" s="87"/>
      <c r="I2597" s="87"/>
    </row>
    <row r="2598">
      <c r="A2598" s="87">
        <v>474.0</v>
      </c>
      <c r="B2598" s="87" t="s">
        <v>821</v>
      </c>
      <c r="C2598" s="93">
        <v>1.0</v>
      </c>
      <c r="D2598" s="87" t="s">
        <v>39</v>
      </c>
      <c r="E2598" s="87" t="s">
        <v>253</v>
      </c>
      <c r="F2598" s="87"/>
      <c r="G2598" s="94">
        <v>4.0317544E7</v>
      </c>
      <c r="H2598" s="87"/>
      <c r="I2598" s="87" t="s">
        <v>1012</v>
      </c>
    </row>
    <row r="2599">
      <c r="A2599" s="87">
        <v>475.0</v>
      </c>
      <c r="B2599" s="87" t="s">
        <v>821</v>
      </c>
      <c r="C2599" s="93">
        <v>1.0</v>
      </c>
      <c r="D2599" s="87"/>
      <c r="E2599" s="87" t="s">
        <v>83</v>
      </c>
      <c r="F2599" s="87"/>
      <c r="G2599" s="94">
        <v>7.666614E7</v>
      </c>
      <c r="H2599" s="87"/>
      <c r="I2599" s="87"/>
    </row>
    <row r="2600">
      <c r="A2600" s="87">
        <v>528.0</v>
      </c>
      <c r="B2600" s="87" t="s">
        <v>821</v>
      </c>
      <c r="C2600" s="93">
        <v>1.0</v>
      </c>
      <c r="D2600" s="87" t="s">
        <v>39</v>
      </c>
      <c r="E2600" s="87" t="s">
        <v>253</v>
      </c>
      <c r="F2600" s="87"/>
      <c r="G2600" s="94">
        <v>1.3909398E7</v>
      </c>
      <c r="H2600" s="87"/>
      <c r="I2600" s="87" t="s">
        <v>983</v>
      </c>
    </row>
    <row r="2601">
      <c r="A2601" s="87">
        <v>1151.0</v>
      </c>
      <c r="B2601" s="87" t="s">
        <v>821</v>
      </c>
      <c r="C2601" s="93">
        <v>1.0</v>
      </c>
      <c r="D2601" s="87" t="s">
        <v>39</v>
      </c>
      <c r="E2601" s="87" t="s">
        <v>1098</v>
      </c>
      <c r="F2601" s="87"/>
      <c r="G2601" s="94">
        <v>7.6846962E7</v>
      </c>
      <c r="H2601" s="87"/>
      <c r="I2601" s="87"/>
    </row>
    <row r="2602">
      <c r="A2602" s="87">
        <v>1152.0</v>
      </c>
      <c r="B2602" s="87" t="s">
        <v>821</v>
      </c>
      <c r="C2602" s="93">
        <v>1.0</v>
      </c>
      <c r="D2602" s="87" t="s">
        <v>39</v>
      </c>
      <c r="E2602" s="87" t="s">
        <v>664</v>
      </c>
      <c r="F2602" s="87"/>
      <c r="G2602" s="94">
        <v>7.684697E7</v>
      </c>
      <c r="H2602" s="87"/>
      <c r="I2602" s="87" t="s">
        <v>1642</v>
      </c>
    </row>
    <row r="2603">
      <c r="A2603" s="87">
        <v>1153.0</v>
      </c>
      <c r="B2603" s="87" t="s">
        <v>821</v>
      </c>
      <c r="C2603" s="93">
        <v>1.0</v>
      </c>
      <c r="D2603" s="87" t="s">
        <v>39</v>
      </c>
      <c r="E2603" s="87" t="s">
        <v>763</v>
      </c>
      <c r="F2603" s="87"/>
      <c r="G2603" s="94">
        <v>7.6846989E7</v>
      </c>
      <c r="H2603" s="87"/>
      <c r="I2603" s="87"/>
    </row>
    <row r="2604">
      <c r="A2604" s="87">
        <v>1154.0</v>
      </c>
      <c r="B2604" s="87" t="s">
        <v>821</v>
      </c>
      <c r="C2604" s="93">
        <v>1.0</v>
      </c>
      <c r="D2604" s="87" t="s">
        <v>39</v>
      </c>
      <c r="E2604" s="87" t="s">
        <v>1098</v>
      </c>
      <c r="F2604" s="87"/>
      <c r="G2604" s="94">
        <v>7.6846997E7</v>
      </c>
      <c r="H2604" s="87"/>
      <c r="I2604" s="87"/>
    </row>
    <row r="2605">
      <c r="A2605" s="87">
        <v>1530.0</v>
      </c>
      <c r="B2605" s="87" t="s">
        <v>821</v>
      </c>
      <c r="C2605" s="93">
        <v>1.0</v>
      </c>
      <c r="D2605" s="87" t="s">
        <v>39</v>
      </c>
      <c r="E2605" s="87" t="s">
        <v>83</v>
      </c>
      <c r="F2605" s="87"/>
      <c r="G2605" s="94">
        <v>7.6990524E7</v>
      </c>
      <c r="H2605" s="87"/>
      <c r="I2605" s="87" t="s">
        <v>1643</v>
      </c>
    </row>
    <row r="2606">
      <c r="A2606" s="87">
        <v>1686.0</v>
      </c>
      <c r="B2606" s="87" t="s">
        <v>821</v>
      </c>
      <c r="C2606" s="93">
        <v>1.0</v>
      </c>
      <c r="D2606" s="87" t="s">
        <v>39</v>
      </c>
      <c r="E2606" s="87" t="s">
        <v>83</v>
      </c>
      <c r="F2606" s="87"/>
      <c r="G2606" s="94">
        <v>7.7032187E7</v>
      </c>
      <c r="H2606" s="87"/>
      <c r="I2606" s="87"/>
    </row>
    <row r="2607">
      <c r="A2607" s="87">
        <v>1540.0</v>
      </c>
      <c r="B2607" s="87" t="s">
        <v>678</v>
      </c>
      <c r="C2607" s="93">
        <v>1.0</v>
      </c>
      <c r="D2607" s="87" t="s">
        <v>39</v>
      </c>
      <c r="E2607" s="87" t="s">
        <v>83</v>
      </c>
      <c r="F2607" s="87"/>
      <c r="G2607" s="94">
        <v>7.6974782E7</v>
      </c>
      <c r="H2607" s="87"/>
      <c r="I2607" s="87" t="s">
        <v>1644</v>
      </c>
    </row>
    <row r="2608">
      <c r="A2608" s="87">
        <v>476.0</v>
      </c>
      <c r="B2608" s="87" t="s">
        <v>1645</v>
      </c>
      <c r="C2608" s="93">
        <v>1.0</v>
      </c>
      <c r="D2608" s="87"/>
      <c r="E2608" s="87" t="s">
        <v>83</v>
      </c>
      <c r="F2608" s="87"/>
      <c r="G2608" s="94">
        <v>4.0345157E7</v>
      </c>
      <c r="H2608" s="87"/>
      <c r="I2608" s="87"/>
    </row>
    <row r="2609">
      <c r="A2609" s="87">
        <v>791.0</v>
      </c>
      <c r="B2609" s="87" t="s">
        <v>1645</v>
      </c>
      <c r="C2609" s="93">
        <v>1.0</v>
      </c>
      <c r="D2609" s="87" t="s">
        <v>1003</v>
      </c>
      <c r="E2609" s="87" t="s">
        <v>1284</v>
      </c>
      <c r="F2609" s="87"/>
      <c r="G2609" s="94">
        <v>4.03448E7</v>
      </c>
      <c r="H2609" s="87" t="s">
        <v>1646</v>
      </c>
      <c r="I2609" s="87"/>
    </row>
    <row r="2610">
      <c r="A2610" s="87">
        <v>792.0</v>
      </c>
      <c r="B2610" s="87" t="s">
        <v>1645</v>
      </c>
      <c r="C2610" s="93">
        <v>1.0</v>
      </c>
      <c r="D2610" s="87" t="s">
        <v>39</v>
      </c>
      <c r="E2610" s="87" t="s">
        <v>258</v>
      </c>
      <c r="F2610" s="87"/>
      <c r="G2610" s="94">
        <v>4.0344819E7</v>
      </c>
      <c r="H2610" s="87"/>
      <c r="I2610" s="87" t="s">
        <v>1647</v>
      </c>
    </row>
    <row r="2611">
      <c r="A2611" s="87">
        <v>793.0</v>
      </c>
      <c r="B2611" s="87" t="s">
        <v>1645</v>
      </c>
      <c r="C2611" s="93">
        <v>1.0</v>
      </c>
      <c r="D2611" s="87" t="s">
        <v>39</v>
      </c>
      <c r="E2611" s="87" t="s">
        <v>258</v>
      </c>
      <c r="F2611" s="87"/>
      <c r="G2611" s="94">
        <v>4.0344827E7</v>
      </c>
      <c r="H2611" s="87"/>
      <c r="I2611" s="87" t="s">
        <v>1647</v>
      </c>
    </row>
    <row r="2612">
      <c r="A2612" s="87">
        <v>477.0</v>
      </c>
      <c r="B2612" s="87" t="s">
        <v>1648</v>
      </c>
      <c r="C2612" s="93">
        <v>1.0</v>
      </c>
      <c r="D2612" s="87" t="s">
        <v>275</v>
      </c>
      <c r="E2612" s="87" t="s">
        <v>83</v>
      </c>
      <c r="F2612" s="87"/>
      <c r="G2612" s="94">
        <v>7.683123E7</v>
      </c>
      <c r="H2612" s="87" t="s">
        <v>1649</v>
      </c>
      <c r="I2612" s="87" t="s">
        <v>1650</v>
      </c>
    </row>
    <row r="2613">
      <c r="A2613" s="87">
        <v>1215.0</v>
      </c>
      <c r="B2613" s="87" t="s">
        <v>1648</v>
      </c>
      <c r="C2613" s="93">
        <v>1.0</v>
      </c>
      <c r="D2613" s="87" t="s">
        <v>275</v>
      </c>
      <c r="E2613" s="87" t="s">
        <v>12</v>
      </c>
      <c r="F2613" s="87"/>
      <c r="G2613" s="94">
        <v>4.035709E7</v>
      </c>
      <c r="H2613" s="87"/>
      <c r="I2613" s="87" t="s">
        <v>1651</v>
      </c>
    </row>
    <row r="2614">
      <c r="A2614" s="87">
        <v>1699.0</v>
      </c>
      <c r="B2614" s="87" t="s">
        <v>1652</v>
      </c>
      <c r="C2614" s="93">
        <v>1.0</v>
      </c>
      <c r="D2614" s="87" t="s">
        <v>39</v>
      </c>
      <c r="E2614" s="87" t="s">
        <v>83</v>
      </c>
      <c r="F2614" s="87"/>
      <c r="G2614" s="94">
        <v>7.701739E7</v>
      </c>
      <c r="H2614" s="87"/>
      <c r="I2614" s="87"/>
    </row>
    <row r="2615">
      <c r="A2615" s="87">
        <v>1704.0</v>
      </c>
      <c r="B2615" s="87" t="s">
        <v>1652</v>
      </c>
      <c r="C2615" s="93">
        <v>1.0</v>
      </c>
      <c r="D2615" s="87" t="s">
        <v>39</v>
      </c>
      <c r="E2615" s="87" t="s">
        <v>25</v>
      </c>
      <c r="F2615" s="87"/>
      <c r="G2615" s="94">
        <v>7.7017498E7</v>
      </c>
      <c r="H2615" s="87"/>
      <c r="I2615" s="87"/>
    </row>
    <row r="2616">
      <c r="A2616" s="87">
        <v>478.0</v>
      </c>
      <c r="B2616" s="87" t="s">
        <v>1653</v>
      </c>
      <c r="C2616" s="93">
        <v>1.0</v>
      </c>
      <c r="D2616" s="87"/>
      <c r="E2616" s="87" t="s">
        <v>83</v>
      </c>
      <c r="F2616" s="87"/>
      <c r="G2616" s="94">
        <v>4.0280616E7</v>
      </c>
      <c r="H2616" s="87" t="s">
        <v>1654</v>
      </c>
      <c r="I2616" s="87" t="s">
        <v>1655</v>
      </c>
    </row>
    <row r="2617">
      <c r="A2617" s="87">
        <v>1211.0</v>
      </c>
      <c r="B2617" s="87" t="s">
        <v>1653</v>
      </c>
      <c r="C2617" s="93">
        <v>1.0</v>
      </c>
      <c r="D2617" s="87" t="s">
        <v>275</v>
      </c>
      <c r="E2617" s="87" t="s">
        <v>995</v>
      </c>
      <c r="F2617" s="87"/>
      <c r="G2617" s="94">
        <v>4.0280047E7</v>
      </c>
      <c r="H2617" s="87" t="s">
        <v>1656</v>
      </c>
      <c r="I2617" s="87" t="s">
        <v>1657</v>
      </c>
    </row>
    <row r="2618">
      <c r="A2618" s="87">
        <v>1212.0</v>
      </c>
      <c r="B2618" s="87" t="s">
        <v>1653</v>
      </c>
      <c r="C2618" s="93">
        <v>1.0</v>
      </c>
      <c r="D2618" s="87" t="s">
        <v>275</v>
      </c>
      <c r="E2618" s="87" t="s">
        <v>995</v>
      </c>
      <c r="F2618" s="87"/>
      <c r="G2618" s="94">
        <v>4.0280969E7</v>
      </c>
      <c r="H2618" s="87" t="s">
        <v>1658</v>
      </c>
      <c r="I2618" s="87" t="s">
        <v>1659</v>
      </c>
    </row>
    <row r="2619">
      <c r="A2619" s="87">
        <v>1213.0</v>
      </c>
      <c r="B2619" s="87" t="s">
        <v>1653</v>
      </c>
      <c r="C2619" s="93">
        <v>1.0</v>
      </c>
      <c r="D2619" s="87" t="s">
        <v>275</v>
      </c>
      <c r="E2619" s="87" t="s">
        <v>995</v>
      </c>
      <c r="F2619" s="87"/>
      <c r="G2619" s="94">
        <v>4.0282945E7</v>
      </c>
      <c r="H2619" s="87" t="s">
        <v>1660</v>
      </c>
      <c r="I2619" s="87" t="s">
        <v>1661</v>
      </c>
    </row>
    <row r="2620">
      <c r="A2620" s="87">
        <v>1533.0</v>
      </c>
      <c r="B2620" s="87" t="s">
        <v>1653</v>
      </c>
      <c r="C2620" s="93">
        <v>1.0</v>
      </c>
      <c r="D2620" s="87" t="s">
        <v>275</v>
      </c>
      <c r="E2620" s="87" t="s">
        <v>83</v>
      </c>
      <c r="F2620" s="87"/>
      <c r="G2620" s="94">
        <v>7.6989763E7</v>
      </c>
      <c r="H2620" s="87" t="s">
        <v>1662</v>
      </c>
      <c r="I2620" s="87" t="s">
        <v>1663</v>
      </c>
    </row>
    <row r="2621">
      <c r="A2621" s="87">
        <v>1588.0</v>
      </c>
      <c r="B2621" s="87" t="s">
        <v>1653</v>
      </c>
      <c r="C2621" s="93">
        <v>1.0</v>
      </c>
      <c r="D2621" s="87"/>
      <c r="E2621" s="87" t="s">
        <v>83</v>
      </c>
      <c r="F2621" s="87"/>
      <c r="G2621" s="94">
        <v>7.6916731E7</v>
      </c>
      <c r="H2621" s="87"/>
      <c r="I2621" s="87"/>
    </row>
    <row r="2622">
      <c r="A2622" s="87">
        <v>1219.0</v>
      </c>
      <c r="B2622" s="87" t="s">
        <v>1664</v>
      </c>
      <c r="C2622" s="93">
        <v>1.0</v>
      </c>
      <c r="D2622" s="87" t="s">
        <v>275</v>
      </c>
      <c r="E2622" s="87" t="s">
        <v>995</v>
      </c>
      <c r="F2622" s="87"/>
      <c r="G2622" s="94">
        <v>7.6831736E7</v>
      </c>
      <c r="H2622" s="87" t="s">
        <v>1665</v>
      </c>
      <c r="I2622" s="87" t="s">
        <v>1666</v>
      </c>
    </row>
    <row r="2623">
      <c r="A2623" s="87">
        <v>1589.0</v>
      </c>
      <c r="B2623" s="87" t="s">
        <v>1664</v>
      </c>
      <c r="C2623" s="93">
        <v>1.0</v>
      </c>
      <c r="D2623" s="87"/>
      <c r="E2623" s="87" t="s">
        <v>83</v>
      </c>
      <c r="F2623" s="87"/>
      <c r="G2623" s="94">
        <v>7.6916812E7</v>
      </c>
      <c r="H2623" s="87"/>
      <c r="I2623" s="87"/>
    </row>
    <row r="2624">
      <c r="A2624" s="87">
        <v>1590.0</v>
      </c>
      <c r="B2624" s="87" t="s">
        <v>1664</v>
      </c>
      <c r="C2624" s="93">
        <v>1.0</v>
      </c>
      <c r="D2624" s="87"/>
      <c r="E2624" s="87" t="s">
        <v>83</v>
      </c>
      <c r="F2624" s="87"/>
      <c r="G2624" s="94">
        <v>1.011102E8</v>
      </c>
      <c r="H2624" s="87"/>
      <c r="I2624" s="87"/>
    </row>
    <row r="2625">
      <c r="A2625" s="87">
        <v>479.0</v>
      </c>
      <c r="B2625" s="87" t="s">
        <v>1667</v>
      </c>
      <c r="C2625" s="93">
        <v>1.0</v>
      </c>
      <c r="D2625" s="87" t="s">
        <v>275</v>
      </c>
      <c r="E2625" s="87" t="s">
        <v>83</v>
      </c>
      <c r="F2625" s="87"/>
      <c r="G2625" s="94">
        <v>4.0283488E7</v>
      </c>
      <c r="H2625" s="87" t="s">
        <v>1668</v>
      </c>
      <c r="I2625" s="87" t="s">
        <v>1669</v>
      </c>
    </row>
    <row r="2626">
      <c r="A2626" s="87">
        <v>1222.0</v>
      </c>
      <c r="B2626" s="87" t="s">
        <v>1667</v>
      </c>
      <c r="C2626" s="93">
        <v>1.0</v>
      </c>
      <c r="D2626" s="87" t="s">
        <v>275</v>
      </c>
      <c r="E2626" s="87" t="s">
        <v>995</v>
      </c>
      <c r="F2626" s="87"/>
      <c r="G2626" s="94">
        <v>7.6839869E7</v>
      </c>
      <c r="H2626" s="87" t="s">
        <v>1670</v>
      </c>
      <c r="I2626" s="87" t="s">
        <v>1671</v>
      </c>
    </row>
    <row r="2627">
      <c r="A2627" s="87">
        <v>1289.0</v>
      </c>
      <c r="B2627" s="87" t="s">
        <v>1667</v>
      </c>
      <c r="C2627" s="93">
        <v>1.0</v>
      </c>
      <c r="D2627" s="87" t="s">
        <v>275</v>
      </c>
      <c r="E2627" s="87" t="s">
        <v>995</v>
      </c>
      <c r="F2627" s="87"/>
      <c r="G2627" s="94">
        <v>9.0106676E7</v>
      </c>
      <c r="H2627" s="87" t="s">
        <v>1672</v>
      </c>
      <c r="I2627" s="87" t="s">
        <v>1673</v>
      </c>
    </row>
    <row r="2628">
      <c r="A2628" s="87">
        <v>1320.0</v>
      </c>
      <c r="B2628" s="87" t="s">
        <v>1667</v>
      </c>
      <c r="C2628" s="93">
        <v>1.0</v>
      </c>
      <c r="D2628" s="87" t="s">
        <v>275</v>
      </c>
      <c r="E2628" s="87" t="s">
        <v>598</v>
      </c>
      <c r="F2628" s="87"/>
      <c r="G2628" s="94">
        <v>7.6897117E7</v>
      </c>
      <c r="H2628" s="87"/>
      <c r="I2628" s="87" t="s">
        <v>1674</v>
      </c>
    </row>
    <row r="2629">
      <c r="A2629" s="87">
        <v>1534.0</v>
      </c>
      <c r="B2629" s="87" t="s">
        <v>1667</v>
      </c>
      <c r="C2629" s="93">
        <v>1.0</v>
      </c>
      <c r="D2629" s="87" t="s">
        <v>275</v>
      </c>
      <c r="E2629" s="87" t="s">
        <v>83</v>
      </c>
      <c r="F2629" s="87"/>
      <c r="G2629" s="94">
        <v>7.6990605E7</v>
      </c>
      <c r="H2629" s="87" t="s">
        <v>1675</v>
      </c>
      <c r="I2629" s="87" t="s">
        <v>1676</v>
      </c>
    </row>
    <row r="2630">
      <c r="A2630" s="87">
        <v>1535.0</v>
      </c>
      <c r="B2630" s="87" t="s">
        <v>1667</v>
      </c>
      <c r="C2630" s="93">
        <v>1.0</v>
      </c>
      <c r="D2630" s="87" t="s">
        <v>275</v>
      </c>
      <c r="E2630" s="87" t="s">
        <v>83</v>
      </c>
      <c r="F2630" s="87"/>
      <c r="G2630" s="94">
        <v>7.6990613E7</v>
      </c>
      <c r="H2630" s="87" t="s">
        <v>1677</v>
      </c>
      <c r="I2630" s="87" t="s">
        <v>1676</v>
      </c>
    </row>
    <row r="2631">
      <c r="A2631" s="87">
        <v>480.0</v>
      </c>
      <c r="B2631" s="87" t="s">
        <v>640</v>
      </c>
      <c r="C2631" s="93">
        <v>1.0</v>
      </c>
      <c r="D2631" s="87"/>
      <c r="E2631" s="87" t="s">
        <v>83</v>
      </c>
      <c r="F2631" s="87"/>
      <c r="G2631" s="94">
        <v>7.686703E7</v>
      </c>
      <c r="H2631" s="87"/>
      <c r="I2631" s="87" t="s">
        <v>1087</v>
      </c>
    </row>
    <row r="2632">
      <c r="A2632" s="87">
        <v>1041.0</v>
      </c>
      <c r="B2632" s="87" t="s">
        <v>640</v>
      </c>
      <c r="C2632" s="93">
        <v>1.0</v>
      </c>
      <c r="D2632" s="87" t="s">
        <v>39</v>
      </c>
      <c r="E2632" s="87" t="s">
        <v>763</v>
      </c>
      <c r="F2632" s="87"/>
      <c r="G2632" s="94">
        <v>7.676365E7</v>
      </c>
      <c r="H2632" s="87"/>
      <c r="I2632" s="87"/>
    </row>
    <row r="2633">
      <c r="A2633" s="87">
        <v>1164.0</v>
      </c>
      <c r="B2633" s="87" t="s">
        <v>640</v>
      </c>
      <c r="C2633" s="93">
        <v>1.0</v>
      </c>
      <c r="D2633" s="87" t="s">
        <v>39</v>
      </c>
      <c r="E2633" s="87" t="s">
        <v>1018</v>
      </c>
      <c r="F2633" s="87"/>
      <c r="G2633" s="94">
        <v>7.6859495E7</v>
      </c>
      <c r="H2633" s="87"/>
      <c r="I2633" s="87"/>
    </row>
    <row r="2634">
      <c r="A2634" s="87">
        <v>1165.0</v>
      </c>
      <c r="B2634" s="87" t="s">
        <v>640</v>
      </c>
      <c r="C2634" s="93">
        <v>1.0</v>
      </c>
      <c r="D2634" s="87" t="s">
        <v>39</v>
      </c>
      <c r="E2634" s="87" t="s">
        <v>763</v>
      </c>
      <c r="F2634" s="87"/>
      <c r="G2634" s="94">
        <v>7.6859509E7</v>
      </c>
      <c r="H2634" s="87"/>
      <c r="I2634" s="87" t="s">
        <v>1678</v>
      </c>
    </row>
    <row r="2635">
      <c r="A2635" s="87">
        <v>1166.0</v>
      </c>
      <c r="B2635" s="87" t="s">
        <v>640</v>
      </c>
      <c r="C2635" s="93">
        <v>1.0</v>
      </c>
      <c r="D2635" s="87" t="s">
        <v>39</v>
      </c>
      <c r="E2635" s="87" t="s">
        <v>664</v>
      </c>
      <c r="F2635" s="87"/>
      <c r="G2635" s="94">
        <v>7.6859517E7</v>
      </c>
      <c r="H2635" s="87"/>
      <c r="I2635" s="87"/>
    </row>
    <row r="2636">
      <c r="A2636" s="87">
        <v>1167.0</v>
      </c>
      <c r="B2636" s="87" t="s">
        <v>640</v>
      </c>
      <c r="C2636" s="93">
        <v>1.0</v>
      </c>
      <c r="D2636" s="87" t="s">
        <v>39</v>
      </c>
      <c r="E2636" s="87" t="s">
        <v>763</v>
      </c>
      <c r="F2636" s="87"/>
      <c r="G2636" s="94">
        <v>7.6859525E7</v>
      </c>
      <c r="H2636" s="87" t="s">
        <v>641</v>
      </c>
      <c r="I2636" s="87" t="s">
        <v>1679</v>
      </c>
    </row>
    <row r="2637">
      <c r="A2637" s="87">
        <v>1168.0</v>
      </c>
      <c r="B2637" s="87" t="s">
        <v>640</v>
      </c>
      <c r="C2637" s="93">
        <v>1.0</v>
      </c>
      <c r="D2637" s="87" t="s">
        <v>39</v>
      </c>
      <c r="E2637" s="87" t="s">
        <v>1020</v>
      </c>
      <c r="F2637" s="87"/>
      <c r="G2637" s="94">
        <v>7.6866408E7</v>
      </c>
      <c r="H2637" s="87"/>
      <c r="I2637" s="87"/>
    </row>
    <row r="2638">
      <c r="A2638" s="87">
        <v>1169.0</v>
      </c>
      <c r="B2638" s="87" t="s">
        <v>640</v>
      </c>
      <c r="C2638" s="93">
        <v>1.0</v>
      </c>
      <c r="D2638" s="87" t="s">
        <v>39</v>
      </c>
      <c r="E2638" s="87" t="s">
        <v>258</v>
      </c>
      <c r="F2638" s="87"/>
      <c r="G2638" s="94">
        <v>7.6866416E7</v>
      </c>
      <c r="H2638" s="87"/>
      <c r="I2638" s="87"/>
    </row>
    <row r="2639">
      <c r="A2639" s="87">
        <v>1170.0</v>
      </c>
      <c r="B2639" s="87" t="s">
        <v>640</v>
      </c>
      <c r="C2639" s="93">
        <v>1.0</v>
      </c>
      <c r="D2639" s="87" t="s">
        <v>39</v>
      </c>
      <c r="E2639" s="87" t="s">
        <v>1020</v>
      </c>
      <c r="F2639" s="87"/>
      <c r="G2639" s="94">
        <v>7.6866424E7</v>
      </c>
      <c r="H2639" s="87"/>
      <c r="I2639" s="87"/>
    </row>
    <row r="2640">
      <c r="A2640" s="87">
        <v>1171.0</v>
      </c>
      <c r="B2640" s="87" t="s">
        <v>640</v>
      </c>
      <c r="C2640" s="93">
        <v>1.0</v>
      </c>
      <c r="D2640" s="87" t="s">
        <v>39</v>
      </c>
      <c r="E2640" s="87" t="s">
        <v>1020</v>
      </c>
      <c r="F2640" s="87"/>
      <c r="G2640" s="94">
        <v>7.6866432E7</v>
      </c>
      <c r="H2640" s="87"/>
      <c r="I2640" s="87"/>
    </row>
    <row r="2641">
      <c r="A2641" s="87">
        <v>1172.0</v>
      </c>
      <c r="B2641" s="87" t="s">
        <v>640</v>
      </c>
      <c r="C2641" s="93">
        <v>1.0</v>
      </c>
      <c r="D2641" s="87" t="s">
        <v>39</v>
      </c>
      <c r="E2641" s="87" t="s">
        <v>664</v>
      </c>
      <c r="F2641" s="87"/>
      <c r="G2641" s="94">
        <v>7.686644E7</v>
      </c>
      <c r="H2641" s="87"/>
      <c r="I2641" s="87"/>
    </row>
    <row r="2642">
      <c r="A2642" s="87">
        <v>1173.0</v>
      </c>
      <c r="B2642" s="87" t="s">
        <v>640</v>
      </c>
      <c r="C2642" s="93">
        <v>1.0</v>
      </c>
      <c r="D2642" s="87" t="s">
        <v>39</v>
      </c>
      <c r="E2642" s="87" t="s">
        <v>1018</v>
      </c>
      <c r="F2642" s="87"/>
      <c r="G2642" s="94">
        <v>7.6866459E7</v>
      </c>
      <c r="H2642" s="87"/>
      <c r="I2642" s="87"/>
    </row>
    <row r="2643">
      <c r="A2643" s="87">
        <v>1174.0</v>
      </c>
      <c r="B2643" s="87" t="s">
        <v>640</v>
      </c>
      <c r="C2643" s="93">
        <v>1.0</v>
      </c>
      <c r="D2643" s="87" t="s">
        <v>39</v>
      </c>
      <c r="E2643" s="87" t="s">
        <v>763</v>
      </c>
      <c r="F2643" s="87"/>
      <c r="G2643" s="94">
        <v>7.6866467E7</v>
      </c>
      <c r="H2643" s="87"/>
      <c r="I2643" s="87" t="s">
        <v>1680</v>
      </c>
    </row>
    <row r="2644">
      <c r="A2644" s="87">
        <v>1176.0</v>
      </c>
      <c r="B2644" s="87" t="s">
        <v>640</v>
      </c>
      <c r="C2644" s="93">
        <v>1.0</v>
      </c>
      <c r="D2644" s="87" t="s">
        <v>39</v>
      </c>
      <c r="E2644" s="87" t="s">
        <v>664</v>
      </c>
      <c r="F2644" s="87"/>
      <c r="G2644" s="94">
        <v>7.6866483E7</v>
      </c>
      <c r="H2644" s="87"/>
      <c r="I2644" s="87"/>
    </row>
    <row r="2645">
      <c r="A2645" s="87">
        <v>1177.0</v>
      </c>
      <c r="B2645" s="87" t="s">
        <v>640</v>
      </c>
      <c r="C2645" s="93">
        <v>1.0</v>
      </c>
      <c r="D2645" s="87" t="s">
        <v>39</v>
      </c>
      <c r="E2645" s="87" t="s">
        <v>1096</v>
      </c>
      <c r="F2645" s="87"/>
      <c r="G2645" s="94">
        <v>7.6866491E7</v>
      </c>
      <c r="H2645" s="87"/>
      <c r="I2645" s="87"/>
    </row>
    <row r="2646">
      <c r="A2646" s="87">
        <v>1181.0</v>
      </c>
      <c r="B2646" s="87" t="s">
        <v>640</v>
      </c>
      <c r="C2646" s="93">
        <v>1.0</v>
      </c>
      <c r="D2646" s="87" t="s">
        <v>39</v>
      </c>
      <c r="E2646" s="87" t="s">
        <v>40</v>
      </c>
      <c r="F2646" s="87"/>
      <c r="G2646" s="94">
        <v>7.6871932E7</v>
      </c>
      <c r="H2646" s="87" t="s">
        <v>862</v>
      </c>
      <c r="I2646" s="87" t="s">
        <v>1681</v>
      </c>
    </row>
    <row r="2647">
      <c r="A2647" s="87">
        <v>1182.0</v>
      </c>
      <c r="B2647" s="87" t="s">
        <v>640</v>
      </c>
      <c r="C2647" s="93">
        <v>1.0</v>
      </c>
      <c r="D2647" s="87" t="s">
        <v>39</v>
      </c>
      <c r="E2647" s="87" t="s">
        <v>1096</v>
      </c>
      <c r="F2647" s="87"/>
      <c r="G2647" s="94">
        <v>7.6871959E7</v>
      </c>
      <c r="H2647" s="87" t="s">
        <v>862</v>
      </c>
      <c r="I2647" s="87" t="s">
        <v>1682</v>
      </c>
    </row>
    <row r="2648">
      <c r="A2648" s="87">
        <v>1185.0</v>
      </c>
      <c r="B2648" s="87" t="s">
        <v>640</v>
      </c>
      <c r="C2648" s="93">
        <v>1.0</v>
      </c>
      <c r="D2648" s="87" t="s">
        <v>39</v>
      </c>
      <c r="E2648" s="87" t="s">
        <v>40</v>
      </c>
      <c r="F2648" s="87"/>
      <c r="G2648" s="94">
        <v>7.6871991E7</v>
      </c>
      <c r="H2648" s="87" t="s">
        <v>862</v>
      </c>
      <c r="I2648" s="87" t="s">
        <v>1681</v>
      </c>
    </row>
    <row r="2649">
      <c r="A2649" s="87">
        <v>1187.0</v>
      </c>
      <c r="B2649" s="87" t="s">
        <v>640</v>
      </c>
      <c r="C2649" s="93">
        <v>1.0</v>
      </c>
      <c r="D2649" s="87" t="s">
        <v>39</v>
      </c>
      <c r="E2649" s="87" t="s">
        <v>763</v>
      </c>
      <c r="F2649" s="87"/>
      <c r="G2649" s="94">
        <v>7.6872726E7</v>
      </c>
      <c r="H2649" s="87" t="s">
        <v>862</v>
      </c>
      <c r="I2649" s="87" t="s">
        <v>1683</v>
      </c>
    </row>
    <row r="2650">
      <c r="A2650" s="87">
        <v>1188.0</v>
      </c>
      <c r="B2650" s="87" t="s">
        <v>640</v>
      </c>
      <c r="C2650" s="93">
        <v>1.0</v>
      </c>
      <c r="D2650" s="87" t="s">
        <v>39</v>
      </c>
      <c r="E2650" s="87" t="s">
        <v>258</v>
      </c>
      <c r="F2650" s="87"/>
      <c r="G2650" s="94">
        <v>7.6872734E7</v>
      </c>
      <c r="H2650" s="87" t="s">
        <v>862</v>
      </c>
      <c r="I2650" s="87" t="s">
        <v>1684</v>
      </c>
    </row>
    <row r="2651">
      <c r="A2651" s="87">
        <v>1189.0</v>
      </c>
      <c r="B2651" s="87" t="s">
        <v>640</v>
      </c>
      <c r="C2651" s="93">
        <v>1.0</v>
      </c>
      <c r="D2651" s="87" t="s">
        <v>39</v>
      </c>
      <c r="E2651" s="87" t="s">
        <v>40</v>
      </c>
      <c r="F2651" s="87"/>
      <c r="G2651" s="94">
        <v>7.687275E7</v>
      </c>
      <c r="H2651" s="87" t="s">
        <v>862</v>
      </c>
      <c r="I2651" s="87" t="s">
        <v>1681</v>
      </c>
    </row>
    <row r="2652">
      <c r="A2652" s="87"/>
      <c r="B2652" s="87"/>
      <c r="C2652" s="87"/>
      <c r="D2652" s="87"/>
      <c r="E2652" s="87"/>
      <c r="F2652" s="87"/>
      <c r="G2652" s="87"/>
      <c r="H2652" s="87"/>
      <c r="I2652" s="87"/>
    </row>
    <row r="2653">
      <c r="A2653" s="87"/>
      <c r="B2653" s="87"/>
      <c r="C2653" s="87"/>
      <c r="D2653" s="87"/>
      <c r="E2653" s="87"/>
      <c r="F2653" s="87"/>
      <c r="G2653" s="87"/>
      <c r="H2653" s="87"/>
      <c r="I2653" s="87"/>
    </row>
    <row r="2654">
      <c r="A2654" s="87"/>
      <c r="B2654" s="87"/>
      <c r="C2654" s="87"/>
      <c r="D2654" s="87"/>
      <c r="E2654" s="87"/>
      <c r="F2654" s="87"/>
      <c r="G2654" s="87"/>
      <c r="H2654" s="87"/>
      <c r="I2654" s="87"/>
    </row>
    <row r="2655">
      <c r="A2655" s="87"/>
      <c r="B2655" s="87"/>
      <c r="C2655" s="87"/>
      <c r="D2655" s="87"/>
      <c r="E2655" s="87"/>
      <c r="F2655" s="87"/>
      <c r="G2655" s="87"/>
      <c r="H2655" s="87"/>
      <c r="I2655" s="87"/>
    </row>
    <row r="2656">
      <c r="A2656" s="87"/>
      <c r="B2656" s="87"/>
      <c r="C2656" s="87"/>
      <c r="D2656" s="87"/>
      <c r="E2656" s="87"/>
      <c r="F2656" s="87"/>
      <c r="G2656" s="87"/>
      <c r="H2656" s="87"/>
      <c r="I2656" s="87"/>
    </row>
    <row r="2657">
      <c r="A2657" s="87"/>
      <c r="B2657" s="87"/>
      <c r="C2657" s="87"/>
      <c r="D2657" s="87"/>
      <c r="E2657" s="87"/>
      <c r="F2657" s="87"/>
      <c r="G2657" s="87"/>
      <c r="H2657" s="87"/>
      <c r="I2657" s="87"/>
    </row>
    <row r="2658">
      <c r="A2658" s="87"/>
      <c r="B2658" s="87"/>
      <c r="C2658" s="87"/>
      <c r="D2658" s="87"/>
      <c r="E2658" s="87"/>
      <c r="F2658" s="87"/>
      <c r="G2658" s="87"/>
      <c r="H2658" s="87"/>
      <c r="I2658" s="87"/>
    </row>
    <row r="2659">
      <c r="A2659" s="87"/>
      <c r="B2659" s="87"/>
      <c r="C2659" s="87"/>
      <c r="D2659" s="87"/>
      <c r="E2659" s="87"/>
      <c r="F2659" s="87"/>
      <c r="G2659" s="87"/>
      <c r="H2659" s="87"/>
      <c r="I2659" s="87"/>
    </row>
    <row r="2660">
      <c r="A2660" s="87"/>
      <c r="B2660" s="87"/>
      <c r="C2660" s="87"/>
      <c r="D2660" s="87"/>
      <c r="E2660" s="87"/>
      <c r="F2660" s="87"/>
      <c r="G2660" s="87"/>
      <c r="H2660" s="87"/>
      <c r="I2660" s="87"/>
    </row>
    <row r="2661">
      <c r="A2661" s="87"/>
      <c r="B2661" s="87"/>
      <c r="C2661" s="87"/>
      <c r="D2661" s="87"/>
      <c r="E2661" s="87"/>
      <c r="F2661" s="87"/>
      <c r="G2661" s="87"/>
      <c r="H2661" s="87"/>
      <c r="I2661" s="87"/>
    </row>
    <row r="2662">
      <c r="A2662" s="87"/>
      <c r="B2662" s="87"/>
      <c r="C2662" s="87"/>
      <c r="D2662" s="87"/>
      <c r="E2662" s="87"/>
      <c r="F2662" s="87"/>
      <c r="G2662" s="87"/>
      <c r="H2662" s="87"/>
      <c r="I2662" s="87"/>
    </row>
    <row r="2663">
      <c r="A2663" s="87"/>
      <c r="B2663" s="87"/>
      <c r="C2663" s="87"/>
      <c r="D2663" s="87"/>
      <c r="E2663" s="87"/>
      <c r="F2663" s="87"/>
      <c r="G2663" s="87"/>
      <c r="H2663" s="87"/>
      <c r="I2663" s="87"/>
    </row>
    <row r="2664">
      <c r="A2664" s="87"/>
      <c r="B2664" s="87"/>
      <c r="C2664" s="87"/>
      <c r="D2664" s="87"/>
      <c r="E2664" s="87"/>
      <c r="F2664" s="87"/>
      <c r="G2664" s="87"/>
      <c r="H2664" s="87"/>
      <c r="I2664" s="87"/>
    </row>
    <row r="2665">
      <c r="A2665" s="87"/>
      <c r="B2665" s="87"/>
      <c r="C2665" s="87"/>
      <c r="D2665" s="87"/>
      <c r="E2665" s="87"/>
      <c r="F2665" s="87"/>
      <c r="G2665" s="87"/>
      <c r="H2665" s="87"/>
      <c r="I2665" s="87"/>
    </row>
    <row r="2666">
      <c r="A2666" s="87"/>
      <c r="B2666" s="87"/>
      <c r="C2666" s="87"/>
      <c r="D2666" s="87"/>
      <c r="E2666" s="87"/>
      <c r="F2666" s="87"/>
      <c r="G2666" s="87"/>
      <c r="H2666" s="87"/>
      <c r="I2666" s="87"/>
    </row>
    <row r="2667">
      <c r="A2667" s="87"/>
      <c r="B2667" s="87"/>
      <c r="C2667" s="87"/>
      <c r="D2667" s="87"/>
      <c r="E2667" s="87"/>
      <c r="F2667" s="87"/>
      <c r="G2667" s="87"/>
      <c r="H2667" s="87"/>
      <c r="I2667" s="87"/>
    </row>
    <row r="2668">
      <c r="A2668" s="87"/>
      <c r="B2668" s="87"/>
      <c r="C2668" s="87"/>
      <c r="D2668" s="87"/>
      <c r="E2668" s="87"/>
      <c r="F2668" s="87"/>
      <c r="G2668" s="87"/>
      <c r="H2668" s="87"/>
      <c r="I2668" s="87"/>
    </row>
    <row r="2669">
      <c r="A2669" s="87"/>
      <c r="B2669" s="87"/>
      <c r="C2669" s="87"/>
      <c r="D2669" s="87"/>
      <c r="E2669" s="87"/>
      <c r="F2669" s="87"/>
      <c r="G2669" s="87"/>
      <c r="H2669" s="87"/>
      <c r="I2669" s="87"/>
    </row>
    <row r="2670">
      <c r="A2670" s="87"/>
      <c r="B2670" s="87"/>
      <c r="C2670" s="87"/>
      <c r="D2670" s="87"/>
      <c r="E2670" s="87"/>
      <c r="F2670" s="87"/>
      <c r="G2670" s="87"/>
      <c r="H2670" s="87"/>
      <c r="I2670" s="87"/>
    </row>
    <row r="2671">
      <c r="A2671" s="87"/>
      <c r="B2671" s="87"/>
      <c r="C2671" s="87"/>
      <c r="D2671" s="87"/>
      <c r="E2671" s="87"/>
      <c r="F2671" s="87"/>
      <c r="G2671" s="87"/>
      <c r="H2671" s="87"/>
      <c r="I2671" s="87"/>
    </row>
    <row r="2672">
      <c r="A2672" s="87"/>
      <c r="B2672" s="87"/>
      <c r="C2672" s="87"/>
      <c r="D2672" s="87"/>
      <c r="E2672" s="87"/>
      <c r="F2672" s="87"/>
      <c r="G2672" s="87"/>
      <c r="H2672" s="87"/>
      <c r="I2672" s="87"/>
    </row>
    <row r="2673">
      <c r="A2673" s="87"/>
      <c r="B2673" s="87"/>
      <c r="C2673" s="87"/>
      <c r="D2673" s="87"/>
      <c r="E2673" s="87"/>
      <c r="F2673" s="87"/>
      <c r="G2673" s="87"/>
      <c r="H2673" s="87"/>
      <c r="I2673" s="87"/>
    </row>
    <row r="2674">
      <c r="A2674" s="87"/>
      <c r="B2674" s="87"/>
      <c r="C2674" s="87"/>
      <c r="D2674" s="87"/>
      <c r="E2674" s="87"/>
      <c r="F2674" s="87"/>
      <c r="G2674" s="87"/>
      <c r="H2674" s="87"/>
      <c r="I2674" s="87"/>
    </row>
    <row r="2675">
      <c r="A2675" s="87"/>
      <c r="B2675" s="87"/>
      <c r="C2675" s="87"/>
      <c r="D2675" s="87"/>
      <c r="E2675" s="87"/>
      <c r="F2675" s="87"/>
      <c r="G2675" s="87"/>
      <c r="H2675" s="87"/>
      <c r="I2675" s="87"/>
    </row>
    <row r="2676">
      <c r="A2676" s="87"/>
      <c r="B2676" s="87"/>
      <c r="C2676" s="87"/>
      <c r="D2676" s="87"/>
      <c r="E2676" s="87"/>
      <c r="F2676" s="87"/>
      <c r="G2676" s="87"/>
      <c r="H2676" s="87"/>
      <c r="I2676" s="87"/>
    </row>
    <row r="2677">
      <c r="A2677" s="87"/>
      <c r="B2677" s="87"/>
      <c r="C2677" s="87"/>
      <c r="D2677" s="87"/>
      <c r="E2677" s="87"/>
      <c r="F2677" s="87"/>
      <c r="G2677" s="87"/>
      <c r="H2677" s="87"/>
      <c r="I2677" s="87"/>
    </row>
    <row r="2678">
      <c r="A2678" s="87"/>
      <c r="B2678" s="87"/>
      <c r="C2678" s="87"/>
      <c r="D2678" s="87"/>
      <c r="E2678" s="87"/>
      <c r="F2678" s="87"/>
      <c r="G2678" s="87"/>
      <c r="H2678" s="87"/>
      <c r="I2678" s="87"/>
    </row>
    <row r="2679">
      <c r="A2679" s="87"/>
      <c r="B2679" s="87"/>
      <c r="C2679" s="87"/>
      <c r="D2679" s="87"/>
      <c r="E2679" s="87"/>
      <c r="F2679" s="87"/>
      <c r="G2679" s="87"/>
      <c r="H2679" s="87"/>
      <c r="I2679" s="87"/>
    </row>
    <row r="2680">
      <c r="A2680" s="87"/>
      <c r="B2680" s="87"/>
      <c r="C2680" s="87"/>
      <c r="D2680" s="87"/>
      <c r="E2680" s="87"/>
      <c r="F2680" s="87"/>
      <c r="G2680" s="87"/>
      <c r="H2680" s="87"/>
      <c r="I2680" s="87"/>
    </row>
    <row r="2681">
      <c r="A2681" s="87"/>
      <c r="B2681" s="87"/>
      <c r="C2681" s="87"/>
      <c r="D2681" s="87"/>
      <c r="E2681" s="87"/>
      <c r="F2681" s="87"/>
      <c r="G2681" s="87"/>
      <c r="H2681" s="87"/>
      <c r="I2681" s="87"/>
    </row>
    <row r="2682">
      <c r="A2682" s="87"/>
      <c r="B2682" s="87"/>
      <c r="C2682" s="87"/>
      <c r="D2682" s="87"/>
      <c r="E2682" s="87"/>
      <c r="F2682" s="87"/>
      <c r="G2682" s="87"/>
      <c r="H2682" s="87"/>
      <c r="I2682" s="87"/>
    </row>
    <row r="2683">
      <c r="A2683" s="87"/>
      <c r="B2683" s="87"/>
      <c r="C2683" s="87"/>
      <c r="D2683" s="87"/>
      <c r="E2683" s="87"/>
      <c r="F2683" s="87"/>
      <c r="G2683" s="87"/>
      <c r="H2683" s="87"/>
      <c r="I2683" s="87"/>
    </row>
    <row r="2684">
      <c r="A2684" s="87"/>
      <c r="B2684" s="87"/>
      <c r="C2684" s="87"/>
      <c r="D2684" s="87"/>
      <c r="E2684" s="87"/>
      <c r="F2684" s="87"/>
      <c r="G2684" s="87"/>
      <c r="H2684" s="87"/>
      <c r="I2684" s="87"/>
    </row>
    <row r="2685">
      <c r="A2685" s="87"/>
      <c r="B2685" s="87"/>
      <c r="C2685" s="87"/>
      <c r="D2685" s="87"/>
      <c r="E2685" s="87"/>
      <c r="F2685" s="87"/>
      <c r="G2685" s="87"/>
      <c r="H2685" s="87"/>
      <c r="I2685" s="87"/>
    </row>
    <row r="2686">
      <c r="A2686" s="87"/>
      <c r="B2686" s="87"/>
      <c r="C2686" s="87"/>
      <c r="D2686" s="87"/>
      <c r="E2686" s="87"/>
      <c r="F2686" s="87"/>
      <c r="G2686" s="87"/>
      <c r="H2686" s="87"/>
      <c r="I2686" s="87"/>
    </row>
    <row r="2687">
      <c r="A2687" s="87"/>
      <c r="B2687" s="87"/>
      <c r="C2687" s="87"/>
      <c r="D2687" s="87"/>
      <c r="E2687" s="87"/>
      <c r="F2687" s="87"/>
      <c r="G2687" s="87"/>
      <c r="H2687" s="87"/>
      <c r="I2687" s="87"/>
    </row>
    <row r="2688">
      <c r="A2688" s="87"/>
      <c r="B2688" s="87"/>
      <c r="C2688" s="87"/>
      <c r="D2688" s="87"/>
      <c r="E2688" s="87"/>
      <c r="F2688" s="87"/>
      <c r="G2688" s="87"/>
      <c r="H2688" s="87"/>
      <c r="I2688" s="87"/>
    </row>
    <row r="2689">
      <c r="A2689" s="87"/>
      <c r="B2689" s="87"/>
      <c r="C2689" s="87"/>
      <c r="D2689" s="87"/>
      <c r="E2689" s="87"/>
      <c r="F2689" s="87"/>
      <c r="G2689" s="87"/>
      <c r="H2689" s="87"/>
      <c r="I2689" s="87"/>
    </row>
    <row r="2690">
      <c r="A2690" s="87"/>
      <c r="B2690" s="87"/>
      <c r="C2690" s="87"/>
      <c r="D2690" s="87"/>
      <c r="E2690" s="87"/>
      <c r="F2690" s="87"/>
      <c r="G2690" s="87"/>
      <c r="H2690" s="87"/>
      <c r="I2690" s="87"/>
    </row>
    <row r="2691">
      <c r="A2691" s="87"/>
      <c r="B2691" s="87"/>
      <c r="C2691" s="87"/>
      <c r="D2691" s="87"/>
      <c r="E2691" s="87"/>
      <c r="F2691" s="87"/>
      <c r="G2691" s="87"/>
      <c r="H2691" s="87"/>
      <c r="I2691" s="87"/>
    </row>
    <row r="2692">
      <c r="A2692" s="87"/>
      <c r="B2692" s="87"/>
      <c r="C2692" s="87"/>
      <c r="D2692" s="87"/>
      <c r="E2692" s="87"/>
      <c r="F2692" s="87"/>
      <c r="G2692" s="87"/>
      <c r="H2692" s="87"/>
      <c r="I2692" s="87"/>
    </row>
    <row r="2693">
      <c r="A2693" s="87"/>
      <c r="B2693" s="87"/>
      <c r="C2693" s="87"/>
      <c r="D2693" s="87"/>
      <c r="E2693" s="87"/>
      <c r="F2693" s="87"/>
      <c r="G2693" s="87"/>
      <c r="H2693" s="87"/>
      <c r="I2693" s="87"/>
    </row>
    <row r="2694">
      <c r="A2694" s="87"/>
      <c r="B2694" s="87"/>
      <c r="C2694" s="87"/>
      <c r="D2694" s="87"/>
      <c r="E2694" s="87"/>
      <c r="F2694" s="87"/>
      <c r="G2694" s="87"/>
      <c r="H2694" s="87"/>
      <c r="I2694" s="87"/>
    </row>
    <row r="2695">
      <c r="A2695" s="87"/>
      <c r="B2695" s="87"/>
      <c r="C2695" s="87"/>
      <c r="D2695" s="87"/>
      <c r="E2695" s="87"/>
      <c r="F2695" s="87"/>
      <c r="G2695" s="87"/>
      <c r="H2695" s="87"/>
      <c r="I2695" s="87"/>
    </row>
    <row r="2696">
      <c r="A2696" s="87"/>
      <c r="B2696" s="87"/>
      <c r="C2696" s="87"/>
      <c r="D2696" s="87"/>
      <c r="E2696" s="87"/>
      <c r="F2696" s="87"/>
      <c r="G2696" s="87"/>
      <c r="H2696" s="87"/>
      <c r="I2696" s="87"/>
    </row>
    <row r="2697">
      <c r="A2697" s="87"/>
      <c r="B2697" s="87"/>
      <c r="C2697" s="87"/>
      <c r="D2697" s="87"/>
      <c r="E2697" s="87"/>
      <c r="F2697" s="87"/>
      <c r="G2697" s="87"/>
      <c r="H2697" s="87"/>
      <c r="I2697" s="87"/>
    </row>
    <row r="2698">
      <c r="A2698" s="87"/>
      <c r="B2698" s="87"/>
      <c r="C2698" s="87"/>
      <c r="D2698" s="87"/>
      <c r="E2698" s="87"/>
      <c r="F2698" s="87"/>
      <c r="G2698" s="87"/>
      <c r="H2698" s="87"/>
      <c r="I2698" s="87"/>
    </row>
    <row r="2699">
      <c r="A2699" s="87"/>
      <c r="B2699" s="87"/>
      <c r="C2699" s="87"/>
      <c r="D2699" s="87"/>
      <c r="E2699" s="87"/>
      <c r="F2699" s="87"/>
      <c r="G2699" s="87"/>
      <c r="H2699" s="87"/>
      <c r="I2699" s="87"/>
    </row>
    <row r="2700">
      <c r="A2700" s="87"/>
      <c r="B2700" s="87"/>
      <c r="C2700" s="87"/>
      <c r="D2700" s="87"/>
      <c r="E2700" s="87"/>
      <c r="F2700" s="87"/>
      <c r="G2700" s="87"/>
      <c r="H2700" s="87"/>
      <c r="I2700" s="87"/>
    </row>
    <row r="2701">
      <c r="A2701" s="87"/>
      <c r="B2701" s="87"/>
      <c r="C2701" s="87"/>
      <c r="D2701" s="87"/>
      <c r="E2701" s="87"/>
      <c r="F2701" s="87"/>
      <c r="G2701" s="87"/>
      <c r="H2701" s="87"/>
      <c r="I2701" s="87"/>
    </row>
    <row r="2702">
      <c r="A2702" s="87"/>
      <c r="B2702" s="87"/>
      <c r="C2702" s="87"/>
      <c r="D2702" s="87"/>
      <c r="E2702" s="87"/>
      <c r="F2702" s="87"/>
      <c r="G2702" s="87"/>
      <c r="H2702" s="87"/>
      <c r="I2702" s="87"/>
    </row>
    <row r="2703">
      <c r="A2703" s="87"/>
      <c r="B2703" s="87"/>
      <c r="C2703" s="87"/>
      <c r="D2703" s="87"/>
      <c r="E2703" s="87"/>
      <c r="F2703" s="87"/>
      <c r="G2703" s="87"/>
      <c r="H2703" s="87"/>
      <c r="I2703" s="87"/>
    </row>
    <row r="2704">
      <c r="A2704" s="87"/>
      <c r="B2704" s="87"/>
      <c r="C2704" s="87"/>
      <c r="D2704" s="87"/>
      <c r="E2704" s="87"/>
      <c r="F2704" s="87"/>
      <c r="G2704" s="87"/>
      <c r="H2704" s="87"/>
      <c r="I2704" s="87"/>
    </row>
    <row r="2705">
      <c r="A2705" s="87"/>
      <c r="B2705" s="87"/>
      <c r="C2705" s="87"/>
      <c r="D2705" s="87"/>
      <c r="E2705" s="87"/>
      <c r="F2705" s="87"/>
      <c r="G2705" s="87"/>
      <c r="H2705" s="87"/>
      <c r="I2705" s="87"/>
    </row>
    <row r="2706">
      <c r="A2706" s="87"/>
      <c r="B2706" s="87"/>
      <c r="C2706" s="87"/>
      <c r="D2706" s="87"/>
      <c r="E2706" s="87"/>
      <c r="F2706" s="87"/>
      <c r="G2706" s="87"/>
      <c r="H2706" s="87"/>
      <c r="I2706" s="87"/>
    </row>
    <row r="2707">
      <c r="A2707" s="87"/>
      <c r="B2707" s="87"/>
      <c r="C2707" s="87"/>
      <c r="D2707" s="87"/>
      <c r="E2707" s="87"/>
      <c r="F2707" s="87"/>
      <c r="G2707" s="87"/>
      <c r="H2707" s="87"/>
      <c r="I2707" s="87"/>
    </row>
    <row r="2708">
      <c r="A2708" s="87"/>
      <c r="B2708" s="87"/>
      <c r="C2708" s="87"/>
      <c r="D2708" s="87"/>
      <c r="E2708" s="87"/>
      <c r="F2708" s="87"/>
      <c r="G2708" s="87"/>
      <c r="H2708" s="87"/>
      <c r="I2708" s="87"/>
    </row>
    <row r="2709">
      <c r="A2709" s="87"/>
      <c r="B2709" s="87"/>
      <c r="C2709" s="87"/>
      <c r="D2709" s="87"/>
      <c r="E2709" s="87"/>
      <c r="F2709" s="87"/>
      <c r="G2709" s="87"/>
      <c r="H2709" s="87"/>
      <c r="I2709" s="87"/>
    </row>
    <row r="2710">
      <c r="A2710" s="87"/>
      <c r="B2710" s="87"/>
      <c r="C2710" s="87"/>
      <c r="D2710" s="87"/>
      <c r="E2710" s="87"/>
      <c r="F2710" s="87"/>
      <c r="G2710" s="87"/>
      <c r="H2710" s="87"/>
      <c r="I2710" s="87"/>
    </row>
    <row r="2711">
      <c r="A2711" s="87"/>
      <c r="B2711" s="87"/>
      <c r="C2711" s="87"/>
      <c r="D2711" s="87"/>
      <c r="E2711" s="87"/>
      <c r="F2711" s="87"/>
      <c r="G2711" s="87"/>
      <c r="H2711" s="87"/>
      <c r="I2711" s="87"/>
    </row>
    <row r="2712">
      <c r="A2712" s="87"/>
      <c r="B2712" s="87"/>
      <c r="C2712" s="87"/>
      <c r="D2712" s="87"/>
      <c r="E2712" s="87"/>
      <c r="F2712" s="87"/>
      <c r="G2712" s="87"/>
      <c r="H2712" s="87"/>
      <c r="I2712" s="87"/>
    </row>
    <row r="2713">
      <c r="A2713" s="87"/>
      <c r="B2713" s="87"/>
      <c r="C2713" s="87"/>
      <c r="D2713" s="87"/>
      <c r="E2713" s="87"/>
      <c r="F2713" s="87"/>
      <c r="G2713" s="87"/>
      <c r="H2713" s="87"/>
      <c r="I2713" s="87"/>
    </row>
    <row r="2714">
      <c r="A2714" s="87"/>
      <c r="B2714" s="87"/>
      <c r="C2714" s="87"/>
      <c r="D2714" s="87"/>
      <c r="E2714" s="87"/>
      <c r="F2714" s="87"/>
      <c r="G2714" s="87"/>
      <c r="H2714" s="87"/>
      <c r="I2714" s="87"/>
    </row>
    <row r="2715">
      <c r="A2715" s="87"/>
      <c r="B2715" s="87"/>
      <c r="C2715" s="87"/>
      <c r="D2715" s="87"/>
      <c r="E2715" s="87"/>
      <c r="F2715" s="87"/>
      <c r="G2715" s="87"/>
      <c r="H2715" s="87"/>
      <c r="I2715" s="87"/>
    </row>
    <row r="2716">
      <c r="A2716" s="87"/>
      <c r="B2716" s="87"/>
      <c r="C2716" s="87"/>
      <c r="D2716" s="87"/>
      <c r="E2716" s="87"/>
      <c r="F2716" s="87"/>
      <c r="G2716" s="87"/>
      <c r="H2716" s="87"/>
      <c r="I2716" s="87"/>
    </row>
    <row r="2717">
      <c r="A2717" s="87"/>
      <c r="B2717" s="87"/>
      <c r="C2717" s="87"/>
      <c r="D2717" s="87"/>
      <c r="E2717" s="87"/>
      <c r="F2717" s="87"/>
      <c r="G2717" s="87"/>
      <c r="H2717" s="87"/>
      <c r="I2717" s="87"/>
    </row>
    <row r="2718">
      <c r="A2718" s="87"/>
      <c r="B2718" s="87"/>
      <c r="C2718" s="87"/>
      <c r="D2718" s="87"/>
      <c r="E2718" s="87"/>
      <c r="F2718" s="87"/>
      <c r="G2718" s="87"/>
      <c r="H2718" s="87"/>
      <c r="I2718" s="87"/>
    </row>
    <row r="2719">
      <c r="A2719" s="87"/>
      <c r="B2719" s="87"/>
      <c r="C2719" s="87"/>
      <c r="D2719" s="87"/>
      <c r="E2719" s="87"/>
      <c r="F2719" s="87"/>
      <c r="G2719" s="87"/>
      <c r="H2719" s="87"/>
      <c r="I2719" s="87"/>
    </row>
    <row r="2720">
      <c r="A2720" s="87"/>
      <c r="B2720" s="87"/>
      <c r="C2720" s="87"/>
      <c r="D2720" s="87"/>
      <c r="E2720" s="87"/>
      <c r="F2720" s="87"/>
      <c r="G2720" s="87"/>
      <c r="H2720" s="87"/>
      <c r="I2720" s="87"/>
    </row>
    <row r="2721">
      <c r="A2721" s="87"/>
      <c r="B2721" s="87"/>
      <c r="C2721" s="87"/>
      <c r="D2721" s="87"/>
      <c r="E2721" s="87"/>
      <c r="F2721" s="87"/>
      <c r="G2721" s="87"/>
      <c r="H2721" s="87"/>
      <c r="I2721" s="87"/>
    </row>
    <row r="2722">
      <c r="A2722" s="87"/>
      <c r="B2722" s="87"/>
      <c r="C2722" s="87"/>
      <c r="D2722" s="87"/>
      <c r="E2722" s="87"/>
      <c r="F2722" s="87"/>
      <c r="G2722" s="87"/>
      <c r="H2722" s="87"/>
      <c r="I2722" s="87"/>
    </row>
    <row r="2723">
      <c r="A2723" s="87"/>
      <c r="B2723" s="87"/>
      <c r="C2723" s="87"/>
      <c r="D2723" s="87"/>
      <c r="E2723" s="87"/>
      <c r="F2723" s="87"/>
      <c r="G2723" s="87"/>
      <c r="H2723" s="87"/>
      <c r="I2723" s="87"/>
    </row>
    <row r="2724">
      <c r="A2724" s="87"/>
      <c r="B2724" s="87"/>
      <c r="C2724" s="87"/>
      <c r="D2724" s="87"/>
      <c r="E2724" s="87"/>
      <c r="F2724" s="87"/>
      <c r="G2724" s="87"/>
      <c r="H2724" s="87"/>
      <c r="I2724" s="87"/>
    </row>
    <row r="2725">
      <c r="A2725" s="87"/>
      <c r="B2725" s="87"/>
      <c r="C2725" s="87"/>
      <c r="D2725" s="87"/>
      <c r="E2725" s="87"/>
      <c r="F2725" s="87"/>
      <c r="G2725" s="87"/>
      <c r="H2725" s="87"/>
      <c r="I2725" s="87"/>
    </row>
    <row r="2726">
      <c r="A2726" s="87"/>
      <c r="B2726" s="87"/>
      <c r="C2726" s="87"/>
      <c r="D2726" s="87"/>
      <c r="E2726" s="87"/>
      <c r="F2726" s="87"/>
      <c r="G2726" s="87"/>
      <c r="H2726" s="87"/>
      <c r="I2726" s="87"/>
    </row>
    <row r="2727">
      <c r="A2727" s="87"/>
      <c r="B2727" s="87"/>
      <c r="C2727" s="87"/>
      <c r="D2727" s="87"/>
      <c r="E2727" s="87"/>
      <c r="F2727" s="87"/>
      <c r="G2727" s="87"/>
      <c r="H2727" s="87"/>
      <c r="I2727" s="87"/>
    </row>
    <row r="2728">
      <c r="A2728" s="87"/>
      <c r="B2728" s="87"/>
      <c r="C2728" s="87"/>
      <c r="D2728" s="87"/>
      <c r="E2728" s="87"/>
      <c r="F2728" s="87"/>
      <c r="G2728" s="87"/>
      <c r="H2728" s="87"/>
      <c r="I2728" s="87"/>
    </row>
    <row r="2729">
      <c r="A2729" s="87"/>
      <c r="B2729" s="87"/>
      <c r="C2729" s="87"/>
      <c r="D2729" s="87"/>
      <c r="E2729" s="87"/>
      <c r="F2729" s="87"/>
      <c r="G2729" s="87"/>
      <c r="H2729" s="87"/>
      <c r="I2729" s="87"/>
    </row>
    <row r="2730">
      <c r="A2730" s="87"/>
      <c r="B2730" s="87"/>
      <c r="C2730" s="87"/>
      <c r="D2730" s="87"/>
      <c r="E2730" s="87"/>
      <c r="F2730" s="87"/>
      <c r="G2730" s="87"/>
      <c r="H2730" s="87"/>
      <c r="I2730" s="87"/>
    </row>
    <row r="2731">
      <c r="A2731" s="87"/>
      <c r="B2731" s="87"/>
      <c r="C2731" s="87"/>
      <c r="D2731" s="87"/>
      <c r="E2731" s="87"/>
      <c r="F2731" s="87"/>
      <c r="G2731" s="87"/>
      <c r="H2731" s="87"/>
      <c r="I2731" s="87"/>
    </row>
    <row r="2732">
      <c r="A2732" s="87"/>
      <c r="B2732" s="87"/>
      <c r="C2732" s="87"/>
      <c r="D2732" s="87"/>
      <c r="E2732" s="87"/>
      <c r="F2732" s="87"/>
      <c r="G2732" s="87"/>
      <c r="H2732" s="87"/>
      <c r="I2732" s="87"/>
    </row>
    <row r="2733">
      <c r="A2733" s="87"/>
      <c r="B2733" s="87"/>
      <c r="C2733" s="87"/>
      <c r="D2733" s="87"/>
      <c r="E2733" s="87"/>
      <c r="F2733" s="87"/>
      <c r="G2733" s="87"/>
      <c r="H2733" s="87"/>
      <c r="I2733" s="87"/>
    </row>
    <row r="2734">
      <c r="A2734" s="87"/>
      <c r="B2734" s="87"/>
      <c r="C2734" s="87"/>
      <c r="D2734" s="87"/>
      <c r="E2734" s="87"/>
      <c r="F2734" s="87"/>
      <c r="G2734" s="87"/>
      <c r="H2734" s="87"/>
      <c r="I2734" s="87"/>
    </row>
    <row r="2735">
      <c r="A2735" s="87"/>
      <c r="B2735" s="87"/>
      <c r="C2735" s="87"/>
      <c r="D2735" s="87"/>
      <c r="E2735" s="87"/>
      <c r="F2735" s="87"/>
      <c r="G2735" s="87"/>
      <c r="H2735" s="87"/>
      <c r="I2735" s="87"/>
    </row>
    <row r="2736">
      <c r="A2736" s="87"/>
      <c r="B2736" s="87"/>
      <c r="C2736" s="87"/>
      <c r="D2736" s="87"/>
      <c r="E2736" s="87"/>
      <c r="F2736" s="87"/>
      <c r="G2736" s="87"/>
      <c r="H2736" s="87"/>
      <c r="I2736" s="87"/>
    </row>
    <row r="2737">
      <c r="A2737" s="87"/>
      <c r="B2737" s="87"/>
      <c r="C2737" s="87"/>
      <c r="D2737" s="87"/>
      <c r="E2737" s="87"/>
      <c r="F2737" s="87"/>
      <c r="G2737" s="87"/>
      <c r="H2737" s="87"/>
      <c r="I2737" s="87"/>
    </row>
    <row r="2738">
      <c r="A2738" s="87"/>
      <c r="B2738" s="87"/>
      <c r="C2738" s="87"/>
      <c r="D2738" s="87"/>
      <c r="E2738" s="87"/>
      <c r="F2738" s="87"/>
      <c r="G2738" s="87"/>
      <c r="H2738" s="87"/>
      <c r="I2738" s="87"/>
    </row>
    <row r="2739">
      <c r="A2739" s="87"/>
      <c r="B2739" s="87"/>
      <c r="C2739" s="87"/>
      <c r="D2739" s="87"/>
      <c r="E2739" s="87"/>
      <c r="F2739" s="87"/>
      <c r="G2739" s="87"/>
      <c r="H2739" s="87"/>
      <c r="I2739" s="87"/>
    </row>
    <row r="2740">
      <c r="A2740" s="87"/>
      <c r="B2740" s="87"/>
      <c r="C2740" s="87"/>
      <c r="D2740" s="87"/>
      <c r="E2740" s="87"/>
      <c r="F2740" s="87"/>
      <c r="G2740" s="87"/>
      <c r="H2740" s="87"/>
      <c r="I2740" s="87"/>
    </row>
    <row r="2741">
      <c r="A2741" s="87"/>
      <c r="B2741" s="87"/>
      <c r="C2741" s="87"/>
      <c r="D2741" s="87"/>
      <c r="E2741" s="87"/>
      <c r="F2741" s="87"/>
      <c r="G2741" s="87"/>
      <c r="H2741" s="87"/>
      <c r="I2741" s="87"/>
    </row>
    <row r="2742">
      <c r="A2742" s="87"/>
      <c r="B2742" s="87"/>
      <c r="C2742" s="87"/>
      <c r="D2742" s="87"/>
      <c r="E2742" s="87"/>
      <c r="F2742" s="87"/>
      <c r="G2742" s="87"/>
      <c r="H2742" s="87"/>
      <c r="I2742" s="87"/>
    </row>
    <row r="2743">
      <c r="A2743" s="87"/>
      <c r="B2743" s="87"/>
      <c r="C2743" s="87"/>
      <c r="D2743" s="87"/>
      <c r="E2743" s="87"/>
      <c r="F2743" s="87"/>
      <c r="G2743" s="87"/>
      <c r="H2743" s="87"/>
      <c r="I2743" s="87"/>
    </row>
    <row r="2744">
      <c r="A2744" s="87"/>
      <c r="B2744" s="87"/>
      <c r="C2744" s="87"/>
      <c r="D2744" s="87"/>
      <c r="E2744" s="87"/>
      <c r="F2744" s="87"/>
      <c r="G2744" s="87"/>
      <c r="H2744" s="87"/>
      <c r="I2744" s="87"/>
    </row>
    <row r="2745">
      <c r="A2745" s="87"/>
      <c r="B2745" s="87"/>
      <c r="C2745" s="87"/>
      <c r="D2745" s="87"/>
      <c r="E2745" s="87"/>
      <c r="F2745" s="87"/>
      <c r="G2745" s="87"/>
      <c r="H2745" s="87"/>
      <c r="I2745" s="87"/>
    </row>
    <row r="2746">
      <c r="A2746" s="87"/>
      <c r="B2746" s="87"/>
      <c r="C2746" s="87"/>
      <c r="D2746" s="87"/>
      <c r="E2746" s="87"/>
      <c r="F2746" s="87"/>
      <c r="G2746" s="87"/>
      <c r="H2746" s="87"/>
      <c r="I2746" s="87"/>
    </row>
    <row r="2747">
      <c r="A2747" s="87"/>
      <c r="B2747" s="87"/>
      <c r="C2747" s="87"/>
      <c r="D2747" s="87"/>
      <c r="E2747" s="87"/>
      <c r="F2747" s="87"/>
      <c r="G2747" s="87"/>
      <c r="H2747" s="87"/>
      <c r="I2747" s="87"/>
    </row>
    <row r="2748">
      <c r="A2748" s="87"/>
      <c r="B2748" s="87"/>
      <c r="C2748" s="87"/>
      <c r="D2748" s="87"/>
      <c r="E2748" s="87"/>
      <c r="F2748" s="87"/>
      <c r="G2748" s="87"/>
      <c r="H2748" s="87"/>
      <c r="I2748" s="87"/>
    </row>
    <row r="2749">
      <c r="A2749" s="87"/>
      <c r="B2749" s="87"/>
      <c r="C2749" s="87"/>
      <c r="D2749" s="87"/>
      <c r="E2749" s="87"/>
      <c r="F2749" s="87"/>
      <c r="G2749" s="87"/>
      <c r="H2749" s="87"/>
      <c r="I2749" s="87"/>
    </row>
    <row r="2750">
      <c r="A2750" s="87"/>
      <c r="B2750" s="87"/>
      <c r="C2750" s="87"/>
      <c r="D2750" s="87"/>
      <c r="E2750" s="87"/>
      <c r="F2750" s="87"/>
      <c r="G2750" s="87"/>
      <c r="H2750" s="87"/>
      <c r="I2750" s="87"/>
    </row>
    <row r="2751">
      <c r="A2751" s="87"/>
      <c r="B2751" s="87"/>
      <c r="C2751" s="87"/>
      <c r="D2751" s="87"/>
      <c r="E2751" s="87"/>
      <c r="F2751" s="87"/>
      <c r="G2751" s="87"/>
      <c r="H2751" s="87"/>
      <c r="I2751" s="87"/>
    </row>
    <row r="2752">
      <c r="A2752" s="87"/>
      <c r="B2752" s="87"/>
      <c r="C2752" s="87"/>
      <c r="D2752" s="87"/>
      <c r="E2752" s="87"/>
      <c r="F2752" s="87"/>
      <c r="G2752" s="87"/>
      <c r="H2752" s="87"/>
      <c r="I2752" s="87"/>
    </row>
    <row r="2753">
      <c r="A2753" s="87"/>
      <c r="B2753" s="87"/>
      <c r="C2753" s="87"/>
      <c r="D2753" s="87"/>
      <c r="E2753" s="87"/>
      <c r="F2753" s="87"/>
      <c r="G2753" s="87"/>
      <c r="H2753" s="87"/>
      <c r="I2753" s="87"/>
    </row>
    <row r="2754">
      <c r="A2754" s="87"/>
      <c r="B2754" s="87"/>
      <c r="C2754" s="87"/>
      <c r="D2754" s="87"/>
      <c r="E2754" s="87"/>
      <c r="F2754" s="87"/>
      <c r="G2754" s="87"/>
      <c r="H2754" s="87"/>
      <c r="I2754" s="87"/>
    </row>
    <row r="2755">
      <c r="A2755" s="87"/>
      <c r="B2755" s="87"/>
      <c r="C2755" s="87"/>
      <c r="D2755" s="87"/>
      <c r="E2755" s="87"/>
      <c r="F2755" s="87"/>
      <c r="G2755" s="87"/>
      <c r="H2755" s="87"/>
      <c r="I2755" s="87"/>
    </row>
    <row r="2756">
      <c r="A2756" s="87"/>
      <c r="B2756" s="87"/>
      <c r="C2756" s="87"/>
      <c r="D2756" s="87"/>
      <c r="E2756" s="87"/>
      <c r="F2756" s="87"/>
      <c r="G2756" s="87"/>
      <c r="H2756" s="87"/>
      <c r="I2756" s="87"/>
    </row>
    <row r="2757">
      <c r="A2757" s="87"/>
      <c r="B2757" s="87"/>
      <c r="C2757" s="87"/>
      <c r="D2757" s="87"/>
      <c r="E2757" s="87"/>
      <c r="F2757" s="87"/>
      <c r="G2757" s="87"/>
      <c r="H2757" s="87"/>
      <c r="I2757" s="87"/>
    </row>
    <row r="2758">
      <c r="A2758" s="87"/>
      <c r="B2758" s="87"/>
      <c r="C2758" s="87"/>
      <c r="D2758" s="87"/>
      <c r="E2758" s="87"/>
      <c r="F2758" s="87"/>
      <c r="G2758" s="87"/>
      <c r="H2758" s="87"/>
      <c r="I2758" s="87"/>
    </row>
    <row r="2759">
      <c r="A2759" s="87"/>
      <c r="B2759" s="87"/>
      <c r="C2759" s="87"/>
      <c r="D2759" s="87"/>
      <c r="E2759" s="87"/>
      <c r="F2759" s="87"/>
      <c r="G2759" s="87"/>
      <c r="H2759" s="87"/>
      <c r="I2759" s="87"/>
    </row>
    <row r="2760">
      <c r="A2760" s="87"/>
      <c r="B2760" s="87"/>
      <c r="C2760" s="87"/>
      <c r="D2760" s="87"/>
      <c r="E2760" s="87"/>
      <c r="F2760" s="87"/>
      <c r="G2760" s="87"/>
      <c r="H2760" s="87"/>
      <c r="I2760" s="87"/>
    </row>
    <row r="2761">
      <c r="A2761" s="87"/>
      <c r="B2761" s="87"/>
      <c r="C2761" s="87"/>
      <c r="D2761" s="87"/>
      <c r="E2761" s="87"/>
      <c r="F2761" s="87"/>
      <c r="G2761" s="87"/>
      <c r="H2761" s="87"/>
      <c r="I2761" s="87"/>
    </row>
    <row r="2762">
      <c r="A2762" s="87"/>
      <c r="B2762" s="87"/>
      <c r="C2762" s="87"/>
      <c r="D2762" s="87"/>
      <c r="E2762" s="87"/>
      <c r="F2762" s="87"/>
      <c r="G2762" s="87"/>
      <c r="H2762" s="87"/>
      <c r="I2762" s="87"/>
    </row>
    <row r="2763">
      <c r="A2763" s="87"/>
      <c r="B2763" s="87"/>
      <c r="C2763" s="87"/>
      <c r="D2763" s="87"/>
      <c r="E2763" s="87"/>
      <c r="F2763" s="87"/>
      <c r="G2763" s="87"/>
      <c r="H2763" s="87"/>
      <c r="I2763" s="87"/>
    </row>
    <row r="2764">
      <c r="A2764" s="87"/>
      <c r="B2764" s="87"/>
      <c r="C2764" s="87"/>
      <c r="D2764" s="87"/>
      <c r="E2764" s="87"/>
      <c r="F2764" s="87"/>
      <c r="G2764" s="87"/>
      <c r="H2764" s="87"/>
      <c r="I2764" s="87"/>
    </row>
    <row r="2765">
      <c r="A2765" s="87"/>
      <c r="B2765" s="87"/>
      <c r="C2765" s="87"/>
      <c r="D2765" s="87"/>
      <c r="E2765" s="87"/>
      <c r="F2765" s="87"/>
      <c r="G2765" s="87"/>
      <c r="H2765" s="87"/>
      <c r="I2765" s="87"/>
    </row>
    <row r="2766">
      <c r="A2766" s="87"/>
      <c r="B2766" s="87"/>
      <c r="C2766" s="87"/>
      <c r="D2766" s="87"/>
      <c r="E2766" s="87"/>
      <c r="F2766" s="87"/>
      <c r="G2766" s="87"/>
      <c r="H2766" s="87"/>
      <c r="I2766" s="87"/>
    </row>
    <row r="2767">
      <c r="A2767" s="87"/>
      <c r="B2767" s="87"/>
      <c r="C2767" s="87"/>
      <c r="D2767" s="87"/>
      <c r="E2767" s="87"/>
      <c r="F2767" s="87"/>
      <c r="G2767" s="87"/>
      <c r="H2767" s="87"/>
      <c r="I2767" s="87"/>
    </row>
    <row r="2768">
      <c r="A2768" s="87"/>
      <c r="B2768" s="87"/>
      <c r="C2768" s="87"/>
      <c r="D2768" s="87"/>
      <c r="E2768" s="87"/>
      <c r="F2768" s="87"/>
      <c r="G2768" s="87"/>
      <c r="H2768" s="87"/>
      <c r="I2768" s="87"/>
    </row>
    <row r="2769">
      <c r="A2769" s="87"/>
      <c r="B2769" s="87"/>
      <c r="C2769" s="87"/>
      <c r="D2769" s="87"/>
      <c r="E2769" s="87"/>
      <c r="F2769" s="87"/>
      <c r="G2769" s="87"/>
      <c r="H2769" s="87"/>
      <c r="I2769" s="87"/>
    </row>
    <row r="2770">
      <c r="A2770" s="87"/>
      <c r="B2770" s="87"/>
      <c r="C2770" s="87"/>
      <c r="D2770" s="87"/>
      <c r="E2770" s="87"/>
      <c r="F2770" s="87"/>
      <c r="G2770" s="87"/>
      <c r="H2770" s="87"/>
      <c r="I2770" s="87"/>
    </row>
    <row r="2771">
      <c r="A2771" s="87"/>
      <c r="B2771" s="87"/>
      <c r="C2771" s="87"/>
      <c r="D2771" s="87"/>
      <c r="E2771" s="87"/>
      <c r="F2771" s="87"/>
      <c r="G2771" s="87"/>
      <c r="H2771" s="87"/>
      <c r="I2771" s="87"/>
    </row>
    <row r="2772">
      <c r="A2772" s="87"/>
      <c r="B2772" s="87"/>
      <c r="C2772" s="87"/>
      <c r="D2772" s="87"/>
      <c r="E2772" s="87"/>
      <c r="F2772" s="87"/>
      <c r="G2772" s="87"/>
      <c r="H2772" s="87"/>
      <c r="I2772" s="87"/>
    </row>
    <row r="2773">
      <c r="A2773" s="87"/>
      <c r="B2773" s="87"/>
      <c r="C2773" s="87"/>
      <c r="D2773" s="87"/>
      <c r="E2773" s="87"/>
      <c r="F2773" s="87"/>
      <c r="G2773" s="87"/>
      <c r="H2773" s="87"/>
      <c r="I2773" s="87"/>
    </row>
    <row r="2774">
      <c r="A2774" s="87"/>
      <c r="B2774" s="87"/>
      <c r="C2774" s="87"/>
      <c r="D2774" s="87"/>
      <c r="E2774" s="87"/>
      <c r="F2774" s="87"/>
      <c r="G2774" s="87"/>
      <c r="H2774" s="87"/>
      <c r="I2774" s="87"/>
    </row>
    <row r="2775">
      <c r="A2775" s="87"/>
      <c r="B2775" s="87"/>
      <c r="C2775" s="87"/>
      <c r="D2775" s="87"/>
      <c r="E2775" s="87"/>
      <c r="F2775" s="87"/>
      <c r="G2775" s="87"/>
      <c r="H2775" s="87"/>
      <c r="I2775" s="87"/>
    </row>
    <row r="2776">
      <c r="A2776" s="87"/>
      <c r="B2776" s="87"/>
      <c r="C2776" s="87"/>
      <c r="D2776" s="87"/>
      <c r="E2776" s="87"/>
      <c r="F2776" s="87"/>
      <c r="G2776" s="87"/>
      <c r="H2776" s="87"/>
      <c r="I2776" s="87"/>
    </row>
    <row r="2777">
      <c r="A2777" s="87"/>
      <c r="B2777" s="87"/>
      <c r="C2777" s="87"/>
      <c r="D2777" s="87"/>
      <c r="E2777" s="87"/>
      <c r="F2777" s="87"/>
      <c r="G2777" s="87"/>
      <c r="H2777" s="87"/>
      <c r="I2777" s="87"/>
    </row>
    <row r="2778">
      <c r="A2778" s="87"/>
      <c r="B2778" s="87"/>
      <c r="C2778" s="87"/>
      <c r="D2778" s="87"/>
      <c r="E2778" s="87"/>
      <c r="F2778" s="87"/>
      <c r="G2778" s="87"/>
      <c r="H2778" s="87"/>
      <c r="I2778" s="87"/>
    </row>
    <row r="2779">
      <c r="A2779" s="87"/>
      <c r="B2779" s="87"/>
      <c r="C2779" s="87"/>
      <c r="D2779" s="87"/>
      <c r="E2779" s="87"/>
      <c r="F2779" s="87"/>
      <c r="G2779" s="87"/>
      <c r="H2779" s="87"/>
      <c r="I2779" s="87"/>
    </row>
    <row r="2780">
      <c r="A2780" s="87"/>
      <c r="B2780" s="87"/>
      <c r="C2780" s="87"/>
      <c r="D2780" s="87"/>
      <c r="E2780" s="87"/>
      <c r="F2780" s="87"/>
      <c r="G2780" s="87"/>
      <c r="H2780" s="87"/>
      <c r="I2780" s="87"/>
    </row>
    <row r="2781">
      <c r="A2781" s="87"/>
      <c r="B2781" s="87"/>
      <c r="C2781" s="87"/>
      <c r="D2781" s="87"/>
      <c r="E2781" s="87"/>
      <c r="F2781" s="87"/>
      <c r="G2781" s="87"/>
      <c r="H2781" s="87"/>
      <c r="I2781" s="87"/>
    </row>
    <row r="2782">
      <c r="A2782" s="87"/>
      <c r="B2782" s="87"/>
      <c r="C2782" s="87"/>
      <c r="D2782" s="87"/>
      <c r="E2782" s="87"/>
      <c r="F2782" s="87"/>
      <c r="G2782" s="87"/>
      <c r="H2782" s="87"/>
      <c r="I2782" s="87"/>
    </row>
    <row r="2783">
      <c r="A2783" s="87"/>
      <c r="B2783" s="87"/>
      <c r="C2783" s="87"/>
      <c r="D2783" s="87"/>
      <c r="E2783" s="87"/>
      <c r="F2783" s="87"/>
      <c r="G2783" s="87"/>
      <c r="H2783" s="87"/>
      <c r="I2783" s="87"/>
    </row>
    <row r="2784">
      <c r="A2784" s="87"/>
      <c r="B2784" s="87"/>
      <c r="C2784" s="87"/>
      <c r="D2784" s="87"/>
      <c r="E2784" s="87"/>
      <c r="F2784" s="87"/>
      <c r="G2784" s="87"/>
      <c r="H2784" s="87"/>
      <c r="I2784" s="87"/>
    </row>
    <row r="2785">
      <c r="A2785" s="87"/>
      <c r="B2785" s="87"/>
      <c r="C2785" s="87"/>
      <c r="D2785" s="87"/>
      <c r="E2785" s="87"/>
      <c r="F2785" s="87"/>
      <c r="G2785" s="87"/>
      <c r="H2785" s="87"/>
      <c r="I2785" s="87"/>
    </row>
    <row r="2786">
      <c r="A2786" s="87"/>
      <c r="B2786" s="87"/>
      <c r="C2786" s="87"/>
      <c r="D2786" s="87"/>
      <c r="E2786" s="87"/>
      <c r="F2786" s="87"/>
      <c r="G2786" s="87"/>
      <c r="H2786" s="87"/>
      <c r="I2786" s="87"/>
    </row>
    <row r="2787">
      <c r="A2787" s="87"/>
      <c r="B2787" s="87"/>
      <c r="C2787" s="87"/>
      <c r="D2787" s="87"/>
      <c r="E2787" s="87"/>
      <c r="F2787" s="87"/>
      <c r="G2787" s="87"/>
      <c r="H2787" s="87"/>
      <c r="I2787" s="87"/>
    </row>
    <row r="2788">
      <c r="A2788" s="87"/>
      <c r="B2788" s="87"/>
      <c r="C2788" s="87"/>
      <c r="D2788" s="87"/>
      <c r="E2788" s="87"/>
      <c r="F2788" s="87"/>
      <c r="G2788" s="87"/>
      <c r="H2788" s="87"/>
      <c r="I2788" s="87"/>
    </row>
    <row r="2789">
      <c r="A2789" s="87"/>
      <c r="B2789" s="87"/>
      <c r="C2789" s="87"/>
      <c r="D2789" s="87"/>
      <c r="E2789" s="87"/>
      <c r="F2789" s="87"/>
      <c r="G2789" s="87"/>
      <c r="H2789" s="87"/>
      <c r="I2789" s="87"/>
    </row>
    <row r="2790">
      <c r="A2790" s="87"/>
      <c r="B2790" s="87"/>
      <c r="C2790" s="87"/>
      <c r="D2790" s="87"/>
      <c r="E2790" s="87"/>
      <c r="F2790" s="87"/>
      <c r="G2790" s="87"/>
      <c r="H2790" s="87"/>
      <c r="I2790" s="87"/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7.88"/>
    <col customWidth="1" min="3" max="3" width="26.0"/>
    <col customWidth="1" min="5" max="5" width="25.0"/>
    <col customWidth="1" min="6" max="6" width="34.13"/>
    <col customWidth="1" min="7" max="7" width="21.63"/>
    <col customWidth="1" min="8" max="8" width="36.38"/>
  </cols>
  <sheetData>
    <row r="1">
      <c r="A1" s="87" t="str">
        <f>IFERROR(__xludf.DUMMYFUNCTION("IMPORTRANGE(""1-PwbPb5vRfJ6KmBoQl4zt2keHu4QWBCLD_oZslgEf6k"",""Cadastro VTR/SEÇÃO/MILITAR!A2:C"")"),"MILITAR")</f>
        <v>MILITAR</v>
      </c>
      <c r="B1" s="87" t="str">
        <f>IFERROR(__xludf.DUMMYFUNCTION("""COMPUTED_VALUE"""),"1 - *REF10509")</f>
        <v>1 - *REF10509</v>
      </c>
      <c r="C1" s="87" t="str">
        <f>IFERROR(__xludf.DUMMYFUNCTION("""COMPUTED_VALUE"""),"* MATERIAL TEMPORÁRIO")</f>
        <v>* MATERIAL TEMPORÁRIO</v>
      </c>
      <c r="E1" s="95"/>
      <c r="F1" s="95"/>
      <c r="G1" s="96"/>
    </row>
    <row r="2">
      <c r="A2" s="97" t="str">
        <f>IFERROR(__xludf.DUMMYFUNCTION("""COMPUTED_VALUE"""),"SEÇÃO")</f>
        <v>SEÇÃO</v>
      </c>
      <c r="B2" s="98" t="str">
        <f>IFERROR(__xludf.DUMMYFUNCTION("""COMPUTED_VALUE"""),"1 - ABTS1418")</f>
        <v>1 - ABTS1418</v>
      </c>
      <c r="C2" s="97" t="str">
        <f>IFERROR(__xludf.DUMMYFUNCTION("""COMPUTED_VALUE"""),"ALMOX. APH")</f>
        <v>ALMOX. APH</v>
      </c>
      <c r="D2" s="99"/>
      <c r="E2" s="100"/>
      <c r="F2" s="100"/>
      <c r="G2" s="101"/>
      <c r="H2" s="99"/>
      <c r="I2" s="99"/>
      <c r="J2" s="99"/>
      <c r="K2" s="99"/>
      <c r="L2" s="99"/>
      <c r="M2" s="99"/>
      <c r="N2" s="99"/>
      <c r="O2" s="99"/>
      <c r="P2" s="99"/>
      <c r="Q2" s="99"/>
      <c r="R2" s="99"/>
      <c r="S2" s="99"/>
      <c r="T2" s="99"/>
      <c r="U2" s="99"/>
      <c r="V2" s="99"/>
      <c r="W2" s="99"/>
      <c r="X2" s="99"/>
      <c r="Y2" s="99"/>
      <c r="Z2" s="99"/>
    </row>
    <row r="3">
      <c r="A3" s="102" t="str">
        <f>IFERROR(__xludf.DUMMYFUNCTION("""COMPUTED_VALUE"""),"VIATURA")</f>
        <v>VIATURA</v>
      </c>
      <c r="B3" s="102" t="str">
        <f>IFERROR(__xludf.DUMMYFUNCTION("""COMPUTED_VALUE"""),"1 - ABTS3026")</f>
        <v>1 - ABTS3026</v>
      </c>
      <c r="C3" s="102" t="str">
        <f>IFERROR(__xludf.DUMMYFUNCTION("""COMPUTED_VALUE"""),"ALMOX. PISCINA")</f>
        <v>ALMOX. PISCINA</v>
      </c>
      <c r="D3" s="103"/>
      <c r="E3" s="104"/>
      <c r="F3" s="105"/>
      <c r="G3" s="106"/>
      <c r="H3" s="103"/>
      <c r="I3" s="103"/>
      <c r="J3" s="103"/>
      <c r="K3" s="103"/>
      <c r="L3" s="103"/>
      <c r="M3" s="103"/>
      <c r="N3" s="103"/>
      <c r="O3" s="103"/>
      <c r="P3" s="103"/>
      <c r="Q3" s="103"/>
      <c r="R3" s="103"/>
      <c r="S3" s="103"/>
      <c r="T3" s="103"/>
      <c r="U3" s="103"/>
      <c r="V3" s="103"/>
      <c r="W3" s="103"/>
      <c r="X3" s="103"/>
      <c r="Y3" s="103"/>
      <c r="Z3" s="103"/>
    </row>
    <row r="4">
      <c r="A4" s="102"/>
      <c r="B4" s="102" t="str">
        <f>IFERROR(__xludf.DUMMYFUNCTION("""COMPUTED_VALUE"""),"1 - ABTS5911")</f>
        <v>1 - ABTS5911</v>
      </c>
      <c r="C4" s="102" t="str">
        <f>IFERROR(__xludf.DUMMYFUNCTION("""COMPUTED_VALUE"""),"ALMOX. PRINCIPAL")</f>
        <v>ALMOX. PRINCIPAL</v>
      </c>
      <c r="D4" s="103"/>
      <c r="E4" s="104"/>
      <c r="F4" s="105"/>
      <c r="G4" s="106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  <c r="Y4" s="103"/>
      <c r="Z4" s="103"/>
    </row>
    <row r="5">
      <c r="A5" s="102"/>
      <c r="B5" s="102" t="str">
        <f>IFERROR(__xludf.DUMMYFUNCTION("""COMPUTED_VALUE"""),"1 - ACA2230")</f>
        <v>1 - ACA2230</v>
      </c>
      <c r="C5" s="102" t="str">
        <f>IFERROR(__xludf.DUMMYFUNCTION("""COMPUTED_VALUE"""),"ALMOX. SAO (SEDE)")</f>
        <v>ALMOX. SAO (SEDE)</v>
      </c>
      <c r="D5" s="103"/>
      <c r="E5" s="104"/>
      <c r="F5" s="105"/>
      <c r="G5" s="106"/>
      <c r="H5" s="103"/>
      <c r="I5" s="103"/>
      <c r="J5" s="103"/>
      <c r="K5" s="103"/>
      <c r="L5" s="103"/>
      <c r="M5" s="103"/>
      <c r="N5" s="103"/>
      <c r="O5" s="103"/>
      <c r="P5" s="103"/>
      <c r="Q5" s="103"/>
      <c r="R5" s="103"/>
      <c r="S5" s="103"/>
      <c r="T5" s="103"/>
      <c r="U5" s="103"/>
      <c r="V5" s="103"/>
      <c r="W5" s="103"/>
      <c r="X5" s="103"/>
      <c r="Y5" s="103"/>
      <c r="Z5" s="103"/>
    </row>
    <row r="6">
      <c r="A6" s="102"/>
      <c r="B6" s="102" t="str">
        <f>IFERROR(__xludf.DUMMYFUNCTION("""COMPUTED_VALUE"""),"1 - ACIF5790")</f>
        <v>1 - ACIF5790</v>
      </c>
      <c r="C6" s="102" t="str">
        <f>IFERROR(__xludf.DUMMYFUNCTION("""COMPUTED_VALUE"""),"ALMOX. SAPA")</f>
        <v>ALMOX. SAPA</v>
      </c>
      <c r="D6" s="103"/>
      <c r="E6" s="104"/>
      <c r="F6" s="105"/>
      <c r="G6" s="106"/>
      <c r="H6" s="103"/>
      <c r="I6" s="103"/>
      <c r="J6" s="103"/>
      <c r="K6" s="103"/>
      <c r="L6" s="103"/>
      <c r="M6" s="103"/>
      <c r="N6" s="103"/>
      <c r="O6" s="103"/>
      <c r="P6" s="103"/>
      <c r="Q6" s="103"/>
      <c r="R6" s="103"/>
      <c r="S6" s="103"/>
      <c r="T6" s="103"/>
      <c r="U6" s="103"/>
      <c r="V6" s="103"/>
      <c r="W6" s="103"/>
      <c r="X6" s="103"/>
      <c r="Y6" s="103"/>
      <c r="Z6" s="103"/>
    </row>
    <row r="7">
      <c r="A7" s="102"/>
      <c r="B7" s="102" t="str">
        <f>IFERROR(__xludf.DUMMYFUNCTION("""COMPUTED_VALUE"""),"1 - APV1330")</f>
        <v>1 - APV1330</v>
      </c>
      <c r="C7" s="102" t="str">
        <f>IFERROR(__xludf.DUMMYFUNCTION("""COMPUTED_VALUE"""),"ALOJAMENTO CB/SD")</f>
        <v>ALOJAMENTO CB/SD</v>
      </c>
      <c r="D7" s="103"/>
      <c r="E7" s="104"/>
      <c r="F7" s="107"/>
      <c r="G7" s="106"/>
      <c r="H7" s="103"/>
      <c r="I7" s="103"/>
      <c r="J7" s="103"/>
      <c r="K7" s="103"/>
      <c r="L7" s="103"/>
      <c r="M7" s="103"/>
      <c r="N7" s="103"/>
      <c r="O7" s="103"/>
      <c r="P7" s="103"/>
      <c r="Q7" s="103"/>
      <c r="R7" s="103"/>
      <c r="S7" s="103"/>
      <c r="T7" s="103"/>
      <c r="U7" s="103"/>
      <c r="V7" s="103"/>
      <c r="W7" s="103"/>
      <c r="X7" s="103"/>
      <c r="Y7" s="103"/>
      <c r="Z7" s="103"/>
    </row>
    <row r="8">
      <c r="A8" s="102"/>
      <c r="B8" s="102" t="str">
        <f>IFERROR(__xludf.DUMMYFUNCTION("""COMPUTED_VALUE"""),"1 - APV1331")</f>
        <v>1 - APV1331</v>
      </c>
      <c r="C8" s="102" t="str">
        <f>IFERROR(__xludf.DUMMYFUNCTION("""COMPUTED_VALUE"""),"ALOJAMENTO DA GUARDA")</f>
        <v>ALOJAMENTO DA GUARDA</v>
      </c>
      <c r="D8" s="103"/>
      <c r="E8" s="108"/>
      <c r="F8" s="105"/>
      <c r="G8" s="106"/>
      <c r="H8" s="103"/>
      <c r="I8" s="103"/>
      <c r="J8" s="103"/>
      <c r="K8" s="103"/>
      <c r="L8" s="103"/>
      <c r="M8" s="103"/>
      <c r="N8" s="103"/>
      <c r="O8" s="103"/>
      <c r="P8" s="103"/>
      <c r="Q8" s="103"/>
      <c r="R8" s="103"/>
      <c r="S8" s="103"/>
      <c r="T8" s="103"/>
      <c r="U8" s="103"/>
      <c r="V8" s="103"/>
      <c r="W8" s="103"/>
      <c r="X8" s="103"/>
      <c r="Y8" s="103"/>
      <c r="Z8" s="103"/>
    </row>
    <row r="9">
      <c r="A9" s="102"/>
      <c r="B9" s="102" t="str">
        <f>IFERROR(__xludf.DUMMYFUNCTION("""COMPUTED_VALUE"""),"1 - APV8340")</f>
        <v>1 - APV8340</v>
      </c>
      <c r="C9" s="102" t="str">
        <f>IFERROR(__xludf.DUMMYFUNCTION("""COMPUTED_VALUE"""),"ALOJAMENTO FEM")</f>
        <v>ALOJAMENTO FEM</v>
      </c>
      <c r="D9" s="103"/>
      <c r="E9" s="108"/>
      <c r="F9" s="105"/>
      <c r="G9" s="106"/>
      <c r="H9" s="103"/>
      <c r="I9" s="103"/>
      <c r="J9" s="103"/>
      <c r="K9" s="103"/>
      <c r="L9" s="103"/>
      <c r="M9" s="103"/>
      <c r="N9" s="103"/>
      <c r="O9" s="103"/>
      <c r="P9" s="103"/>
      <c r="Q9" s="103"/>
      <c r="R9" s="103"/>
      <c r="S9" s="103"/>
      <c r="T9" s="103"/>
      <c r="U9" s="103"/>
      <c r="V9" s="103"/>
      <c r="W9" s="103"/>
      <c r="X9" s="103"/>
      <c r="Y9" s="103"/>
      <c r="Z9" s="103"/>
    </row>
    <row r="10">
      <c r="A10" s="102"/>
      <c r="B10" s="102" t="str">
        <f>IFERROR(__xludf.DUMMYFUNCTION("""COMPUTED_VALUE"""),"1 - ASF2163")</f>
        <v>1 - ASF2163</v>
      </c>
      <c r="C10" s="102" t="str">
        <f>IFERROR(__xludf.DUMMYFUNCTION("""COMPUTED_VALUE"""),"ALOJAMENTO OFICIAIS")</f>
        <v>ALOJAMENTO OFICIAIS</v>
      </c>
      <c r="D10" s="103"/>
      <c r="E10" s="108"/>
      <c r="F10" s="105"/>
      <c r="G10" s="106"/>
      <c r="H10" s="103"/>
      <c r="I10" s="103"/>
      <c r="J10" s="103"/>
      <c r="K10" s="103"/>
      <c r="L10" s="103"/>
      <c r="M10" s="103"/>
      <c r="N10" s="103"/>
      <c r="O10" s="103"/>
      <c r="P10" s="103"/>
      <c r="Q10" s="103"/>
      <c r="R10" s="103"/>
      <c r="S10" s="103"/>
      <c r="T10" s="103"/>
      <c r="U10" s="103"/>
      <c r="V10" s="103"/>
      <c r="W10" s="103"/>
      <c r="X10" s="103"/>
      <c r="Y10" s="103"/>
      <c r="Z10" s="103"/>
    </row>
    <row r="11">
      <c r="A11" s="102"/>
      <c r="B11" s="102" t="str">
        <f>IFERROR(__xludf.DUMMYFUNCTION("""COMPUTED_VALUE"""),"1 - ASL1080")</f>
        <v>1 - ASL1080</v>
      </c>
      <c r="C11" s="102" t="str">
        <f>IFERROR(__xludf.DUMMYFUNCTION("""COMPUTED_VALUE"""),"ALOJAMENTO SUB TEN/CAB SD")</f>
        <v>ALOJAMENTO SUB TEN/CAB SD</v>
      </c>
      <c r="D11" s="103"/>
      <c r="E11" s="108"/>
      <c r="F11" s="105"/>
      <c r="G11" s="106"/>
      <c r="H11" s="103"/>
      <c r="I11" s="103"/>
      <c r="J11" s="103"/>
      <c r="K11" s="103"/>
      <c r="L11" s="103"/>
      <c r="M11" s="103"/>
      <c r="N11" s="103"/>
      <c r="O11" s="103"/>
      <c r="P11" s="103"/>
      <c r="Q11" s="103"/>
      <c r="R11" s="103"/>
      <c r="S11" s="103"/>
      <c r="T11" s="103"/>
      <c r="U11" s="103"/>
      <c r="V11" s="103"/>
      <c r="W11" s="103"/>
      <c r="X11" s="103"/>
      <c r="Y11" s="103"/>
      <c r="Z11" s="103"/>
    </row>
    <row r="12">
      <c r="A12" s="102"/>
      <c r="B12" s="102" t="str">
        <f>IFERROR(__xludf.DUMMYFUNCTION("""COMPUTED_VALUE"""),"1 - ASL2163")</f>
        <v>1 - ASL2163</v>
      </c>
      <c r="C12" s="102" t="str">
        <f>IFERROR(__xludf.DUMMYFUNCTION("""COMPUTED_VALUE"""),"ÁREA DE DESCARGA")</f>
        <v>ÁREA DE DESCARGA</v>
      </c>
      <c r="D12" s="103"/>
      <c r="E12" s="108"/>
      <c r="F12" s="105"/>
      <c r="G12" s="106"/>
      <c r="H12" s="103"/>
      <c r="I12" s="103"/>
      <c r="J12" s="103"/>
      <c r="K12" s="103"/>
      <c r="L12" s="103"/>
      <c r="M12" s="103"/>
      <c r="N12" s="103"/>
      <c r="O12" s="103"/>
      <c r="P12" s="103"/>
      <c r="Q12" s="103"/>
      <c r="R12" s="103"/>
      <c r="S12" s="103"/>
      <c r="T12" s="103"/>
      <c r="U12" s="103"/>
      <c r="V12" s="103"/>
      <c r="W12" s="103"/>
      <c r="X12" s="103"/>
      <c r="Y12" s="103"/>
      <c r="Z12" s="103"/>
    </row>
    <row r="13">
      <c r="A13" s="102"/>
      <c r="B13" s="109" t="str">
        <f>IFERROR(__xludf.DUMMYFUNCTION("""COMPUTED_VALUE"""),"1 - ASL2285")</f>
        <v>1 - ASL2285</v>
      </c>
      <c r="C13" s="102" t="str">
        <f>IFERROR(__xludf.DUMMYFUNCTION("""COMPUTED_VALUE"""),"ARQUIVO")</f>
        <v>ARQUIVO</v>
      </c>
      <c r="D13" s="103"/>
      <c r="E13" s="108"/>
      <c r="F13" s="105"/>
      <c r="G13" s="110"/>
      <c r="H13" s="103"/>
      <c r="I13" s="103"/>
      <c r="J13" s="103"/>
      <c r="K13" s="103"/>
      <c r="L13" s="103"/>
      <c r="M13" s="103"/>
      <c r="N13" s="103"/>
      <c r="O13" s="103"/>
      <c r="P13" s="103"/>
      <c r="Q13" s="103"/>
      <c r="R13" s="103"/>
      <c r="S13" s="103"/>
      <c r="T13" s="103"/>
      <c r="U13" s="103"/>
      <c r="V13" s="103"/>
      <c r="W13" s="103"/>
      <c r="X13" s="103"/>
      <c r="Y13" s="103"/>
      <c r="Z13" s="103"/>
    </row>
    <row r="14">
      <c r="A14" s="102"/>
      <c r="B14" s="109" t="str">
        <f>IFERROR(__xludf.DUMMYFUNCTION("""COMPUTED_VALUE"""),"1 - ASL4428")</f>
        <v>1 - ASL4428</v>
      </c>
      <c r="C14" s="102" t="str">
        <f>IFERROR(__xludf.DUMMYFUNCTION("""COMPUTED_VALUE"""),"BAIXADO")</f>
        <v>BAIXADO</v>
      </c>
      <c r="D14" s="103"/>
      <c r="E14" s="108"/>
      <c r="F14" s="105"/>
      <c r="G14" s="110"/>
      <c r="H14" s="103"/>
      <c r="I14" s="103"/>
      <c r="J14" s="103"/>
      <c r="K14" s="103"/>
      <c r="L14" s="103"/>
      <c r="M14" s="103"/>
      <c r="N14" s="103"/>
      <c r="O14" s="103"/>
      <c r="P14" s="103"/>
      <c r="Q14" s="103"/>
      <c r="R14" s="103"/>
      <c r="S14" s="103"/>
      <c r="T14" s="103"/>
      <c r="U14" s="103"/>
      <c r="V14" s="103"/>
      <c r="W14" s="103"/>
      <c r="X14" s="103"/>
      <c r="Y14" s="103"/>
      <c r="Z14" s="103"/>
    </row>
    <row r="15">
      <c r="A15" s="102"/>
      <c r="B15" s="109" t="str">
        <f>IFERROR(__xludf.DUMMYFUNCTION("""COMPUTED_VALUE"""),"1 - ASL4429")</f>
        <v>1 - ASL4429</v>
      </c>
      <c r="C15" s="102" t="str">
        <f>IFERROR(__xludf.DUMMYFUNCTION("""COMPUTED_VALUE"""),"BANCO")</f>
        <v>BANCO</v>
      </c>
      <c r="D15" s="103"/>
      <c r="E15" s="108"/>
      <c r="F15" s="105"/>
      <c r="G15" s="110"/>
      <c r="H15" s="103"/>
      <c r="I15" s="103"/>
      <c r="J15" s="103"/>
      <c r="K15" s="103"/>
      <c r="L15" s="103"/>
      <c r="M15" s="103"/>
      <c r="N15" s="103"/>
      <c r="O15" s="103"/>
      <c r="P15" s="103"/>
      <c r="Q15" s="103"/>
      <c r="R15" s="103"/>
      <c r="S15" s="103"/>
      <c r="T15" s="103"/>
      <c r="U15" s="103"/>
      <c r="V15" s="103"/>
      <c r="W15" s="103"/>
      <c r="X15" s="103"/>
      <c r="Y15" s="103"/>
      <c r="Z15" s="103"/>
    </row>
    <row r="16">
      <c r="A16" s="102"/>
      <c r="B16" s="109" t="str">
        <f>IFERROR(__xludf.DUMMYFUNCTION("""COMPUTED_VALUE"""),"1 - ASM3617")</f>
        <v>1 - ASM3617</v>
      </c>
      <c r="C16" s="102" t="str">
        <f>IFERROR(__xludf.DUMMYFUNCTION("""COMPUTED_VALUE"""),"BANHEIRO PCD (SEDE)")</f>
        <v>BANHEIRO PCD (SEDE)</v>
      </c>
      <c r="D16" s="103"/>
      <c r="E16" s="108"/>
      <c r="F16" s="105"/>
      <c r="G16" s="110"/>
      <c r="H16" s="103"/>
      <c r="I16" s="103"/>
      <c r="J16" s="103"/>
      <c r="K16" s="103"/>
      <c r="L16" s="103"/>
      <c r="M16" s="103"/>
      <c r="N16" s="103"/>
      <c r="O16" s="103"/>
      <c r="P16" s="103"/>
      <c r="Q16" s="103"/>
      <c r="R16" s="103"/>
      <c r="S16" s="103"/>
      <c r="T16" s="103"/>
      <c r="U16" s="103"/>
      <c r="V16" s="103"/>
      <c r="W16" s="103"/>
      <c r="X16" s="103"/>
      <c r="Y16" s="103"/>
      <c r="Z16" s="103"/>
    </row>
    <row r="17">
      <c r="A17" s="102"/>
      <c r="B17" s="109" t="str">
        <f>IFERROR(__xludf.DUMMYFUNCTION("""COMPUTED_VALUE"""),"1 - ATB0722")</f>
        <v>1 - ATB0722</v>
      </c>
      <c r="C17" s="102" t="str">
        <f>IFERROR(__xludf.DUMMYFUNCTION("""COMPUTED_VALUE"""),"BOLSA DE OXIGÊNIO")</f>
        <v>BOLSA DE OXIGÊNIO</v>
      </c>
      <c r="D17" s="103"/>
      <c r="E17" s="108"/>
      <c r="F17" s="105"/>
      <c r="G17" s="110"/>
      <c r="H17" s="103"/>
      <c r="I17" s="103"/>
      <c r="J17" s="103"/>
      <c r="K17" s="103"/>
      <c r="L17" s="103"/>
      <c r="M17" s="103"/>
      <c r="N17" s="103"/>
      <c r="O17" s="103"/>
      <c r="P17" s="103"/>
      <c r="Q17" s="103"/>
      <c r="R17" s="103"/>
      <c r="S17" s="103"/>
      <c r="T17" s="103"/>
      <c r="U17" s="103"/>
      <c r="V17" s="103"/>
      <c r="W17" s="103"/>
      <c r="X17" s="103"/>
      <c r="Y17" s="103"/>
      <c r="Z17" s="103"/>
    </row>
    <row r="18">
      <c r="A18" s="102"/>
      <c r="B18" s="109" t="str">
        <f>IFERROR(__xludf.DUMMYFUNCTION("""COMPUTED_VALUE"""),"1 - PV1331")</f>
        <v>1 - PV1331</v>
      </c>
      <c r="C18" s="102" t="str">
        <f>IFERROR(__xludf.DUMMYFUNCTION("""COMPUTED_VALUE"""),"BOLSA DE RESGATE")</f>
        <v>BOLSA DE RESGATE</v>
      </c>
      <c r="D18" s="103"/>
      <c r="E18" s="108"/>
      <c r="F18" s="105"/>
      <c r="G18" s="110"/>
      <c r="H18" s="103"/>
      <c r="I18" s="103"/>
      <c r="J18" s="103"/>
      <c r="K18" s="103"/>
      <c r="L18" s="103"/>
      <c r="M18" s="103"/>
      <c r="N18" s="103"/>
      <c r="O18" s="103"/>
      <c r="P18" s="103"/>
      <c r="Q18" s="103"/>
      <c r="R18" s="103"/>
      <c r="S18" s="103"/>
      <c r="T18" s="103"/>
      <c r="U18" s="103"/>
      <c r="V18" s="103"/>
      <c r="W18" s="103"/>
      <c r="X18" s="103"/>
      <c r="Y18" s="103"/>
      <c r="Z18" s="103"/>
    </row>
    <row r="19">
      <c r="A19" s="102"/>
      <c r="B19" s="109" t="str">
        <f>IFERROR(__xludf.DUMMYFUNCTION("""COMPUTED_VALUE"""),"1 - UR2108")</f>
        <v>1 - UR2108</v>
      </c>
      <c r="C19" s="102" t="str">
        <f>IFERROR(__xludf.DUMMYFUNCTION("""COMPUTED_VALUE"""),"BOLSA DE SALV. ALTURA")</f>
        <v>BOLSA DE SALV. ALTURA</v>
      </c>
      <c r="D19" s="103"/>
      <c r="E19" s="108"/>
      <c r="F19" s="105"/>
      <c r="G19" s="110"/>
      <c r="H19" s="103"/>
      <c r="I19" s="103"/>
      <c r="J19" s="103"/>
      <c r="K19" s="103"/>
      <c r="L19" s="103"/>
      <c r="M19" s="103"/>
      <c r="N19" s="103"/>
      <c r="O19" s="103"/>
      <c r="P19" s="103"/>
      <c r="Q19" s="103"/>
      <c r="R19" s="103"/>
      <c r="S19" s="103"/>
      <c r="T19" s="103"/>
      <c r="U19" s="103"/>
      <c r="V19" s="103"/>
      <c r="W19" s="103"/>
      <c r="X19" s="103"/>
      <c r="Y19" s="103"/>
      <c r="Z19" s="103"/>
    </row>
    <row r="20">
      <c r="A20" s="102"/>
      <c r="B20" s="109" t="str">
        <f>IFERROR(__xludf.DUMMYFUNCTION("""COMPUTED_VALUE"""),"1 - UR3478")</f>
        <v>1 - UR3478</v>
      </c>
      <c r="C20" s="102" t="str">
        <f>IFERROR(__xludf.DUMMYFUNCTION("""COMPUTED_VALUE"""),"BOLSA SALV ALTURA CINZA LACRADA")</f>
        <v>BOLSA SALV ALTURA CINZA LACRADA</v>
      </c>
      <c r="D20" s="103"/>
      <c r="E20" s="108"/>
      <c r="F20" s="107"/>
      <c r="G20" s="110"/>
      <c r="H20" s="103"/>
      <c r="I20" s="103"/>
      <c r="J20" s="103"/>
      <c r="K20" s="103"/>
      <c r="L20" s="103"/>
      <c r="M20" s="103"/>
      <c r="N20" s="103"/>
      <c r="O20" s="103"/>
      <c r="P20" s="103"/>
      <c r="Q20" s="103"/>
      <c r="R20" s="103"/>
      <c r="S20" s="103"/>
      <c r="T20" s="103"/>
      <c r="U20" s="103"/>
      <c r="V20" s="103"/>
      <c r="W20" s="103"/>
      <c r="X20" s="103"/>
      <c r="Y20" s="103"/>
      <c r="Z20" s="103"/>
    </row>
    <row r="21">
      <c r="A21" s="102"/>
      <c r="B21" s="109" t="str">
        <f>IFERROR(__xludf.DUMMYFUNCTION("""COMPUTED_VALUE"""),"1 - UR3486")</f>
        <v>1 - UR3486</v>
      </c>
      <c r="C21" s="102" t="str">
        <f>IFERROR(__xludf.DUMMYFUNCTION("""COMPUTED_VALUE"""),"BOLSA SALV ALTURA VERMELHA LACRADA")</f>
        <v>BOLSA SALV ALTURA VERMELHA LACRADA</v>
      </c>
      <c r="D21" s="103"/>
      <c r="E21" s="111"/>
      <c r="F21" s="105"/>
      <c r="G21" s="110"/>
      <c r="H21" s="103"/>
      <c r="I21" s="103"/>
      <c r="J21" s="103"/>
      <c r="K21" s="103"/>
      <c r="L21" s="103"/>
      <c r="M21" s="103"/>
      <c r="N21" s="103"/>
      <c r="O21" s="103"/>
      <c r="P21" s="103"/>
      <c r="Q21" s="103"/>
      <c r="R21" s="103"/>
      <c r="S21" s="103"/>
      <c r="T21" s="103"/>
      <c r="U21" s="103"/>
      <c r="V21" s="103"/>
      <c r="W21" s="103"/>
      <c r="X21" s="103"/>
      <c r="Y21" s="103"/>
      <c r="Z21" s="103"/>
    </row>
    <row r="22">
      <c r="A22" s="102"/>
      <c r="B22" s="109" t="str">
        <f>IFERROR(__xludf.DUMMYFUNCTION("""COMPUTED_VALUE"""),"1 - UR3486")</f>
        <v>1 - UR3486</v>
      </c>
      <c r="C22" s="102" t="str">
        <f>IFERROR(__xludf.DUMMYFUNCTION("""COMPUTED_VALUE"""),"BOLSA SALV. ALTURA (MERET)")</f>
        <v>BOLSA SALV. ALTURA (MERET)</v>
      </c>
      <c r="D22" s="103"/>
      <c r="E22" s="111"/>
      <c r="F22" s="105"/>
      <c r="G22" s="110"/>
      <c r="H22" s="103"/>
      <c r="I22" s="103"/>
      <c r="J22" s="103"/>
      <c r="K22" s="103"/>
      <c r="L22" s="103"/>
      <c r="M22" s="103"/>
      <c r="N22" s="103"/>
      <c r="O22" s="103"/>
      <c r="P22" s="103"/>
      <c r="Q22" s="103"/>
      <c r="R22" s="103"/>
      <c r="S22" s="103"/>
      <c r="T22" s="103"/>
      <c r="U22" s="103"/>
      <c r="V22" s="103"/>
      <c r="W22" s="103"/>
      <c r="X22" s="103"/>
      <c r="Y22" s="103"/>
      <c r="Z22" s="103"/>
    </row>
    <row r="23">
      <c r="A23" s="102"/>
      <c r="B23" s="109" t="str">
        <f>IFERROR(__xludf.DUMMYFUNCTION("""COMPUTED_VALUE"""),"1 - UR5508")</f>
        <v>1 - UR5508</v>
      </c>
      <c r="C23" s="102" t="str">
        <f>IFERROR(__xludf.DUMMYFUNCTION("""COMPUTED_VALUE"""),"BOX 01")</f>
        <v>BOX 01</v>
      </c>
      <c r="D23" s="103"/>
      <c r="E23" s="111"/>
      <c r="F23" s="105"/>
      <c r="G23" s="110"/>
      <c r="H23" s="103"/>
      <c r="I23" s="103"/>
      <c r="J23" s="103"/>
      <c r="K23" s="103"/>
      <c r="L23" s="103"/>
      <c r="M23" s="103"/>
      <c r="N23" s="103"/>
      <c r="O23" s="103"/>
      <c r="P23" s="103"/>
      <c r="Q23" s="103"/>
      <c r="R23" s="103"/>
      <c r="S23" s="103"/>
      <c r="T23" s="103"/>
      <c r="U23" s="103"/>
      <c r="V23" s="103"/>
      <c r="W23" s="103"/>
      <c r="X23" s="103"/>
      <c r="Y23" s="103"/>
      <c r="Z23" s="103"/>
    </row>
    <row r="24">
      <c r="A24" s="102"/>
      <c r="B24" s="109" t="str">
        <f>IFERROR(__xludf.DUMMYFUNCTION("""COMPUTED_VALUE"""),"1 - UR5527")</f>
        <v>1 - UR5527</v>
      </c>
      <c r="C24" s="102" t="str">
        <f>IFERROR(__xludf.DUMMYFUNCTION("""COMPUTED_VALUE"""),"BOX 01 - SAO")</f>
        <v>BOX 01 - SAO</v>
      </c>
      <c r="D24" s="103"/>
      <c r="E24" s="111"/>
      <c r="F24" s="105"/>
      <c r="G24" s="110"/>
      <c r="H24" s="103"/>
      <c r="I24" s="103"/>
      <c r="J24" s="103"/>
      <c r="K24" s="103"/>
      <c r="L24" s="103"/>
      <c r="M24" s="103"/>
      <c r="N24" s="103"/>
      <c r="O24" s="103"/>
      <c r="P24" s="103"/>
      <c r="Q24" s="103"/>
      <c r="R24" s="103"/>
      <c r="S24" s="103"/>
      <c r="T24" s="103"/>
      <c r="U24" s="103"/>
      <c r="V24" s="103"/>
      <c r="W24" s="103"/>
      <c r="X24" s="103"/>
      <c r="Y24" s="103"/>
      <c r="Z24" s="103"/>
    </row>
    <row r="25">
      <c r="A25" s="102"/>
      <c r="B25" s="109" t="str">
        <f>IFERROR(__xludf.DUMMYFUNCTION("""COMPUTED_VALUE"""),"1 - UR5608")</f>
        <v>1 - UR5608</v>
      </c>
      <c r="C25" s="102" t="str">
        <f>IFERROR(__xludf.DUMMYFUNCTION("""COMPUTED_VALUE"""),"BOX 02")</f>
        <v>BOX 02</v>
      </c>
      <c r="D25" s="103"/>
      <c r="E25" s="111"/>
      <c r="F25" s="112"/>
      <c r="G25" s="113"/>
      <c r="H25" s="103"/>
      <c r="I25" s="103"/>
      <c r="J25" s="103"/>
      <c r="K25" s="103"/>
      <c r="L25" s="103"/>
      <c r="M25" s="103"/>
      <c r="N25" s="103"/>
      <c r="O25" s="103"/>
      <c r="P25" s="103"/>
      <c r="Q25" s="103"/>
      <c r="R25" s="103"/>
      <c r="S25" s="103"/>
      <c r="T25" s="103"/>
      <c r="U25" s="103"/>
      <c r="V25" s="103"/>
      <c r="W25" s="103"/>
      <c r="X25" s="103"/>
      <c r="Y25" s="103"/>
      <c r="Z25" s="103"/>
    </row>
    <row r="26">
      <c r="A26" s="102"/>
      <c r="B26" s="109" t="str">
        <f>IFERROR(__xludf.DUMMYFUNCTION("""COMPUTED_VALUE"""),"1-  APV4072")</f>
        <v>1-  APV4072</v>
      </c>
      <c r="C26" s="102"/>
      <c r="D26" s="103"/>
      <c r="E26" s="111"/>
      <c r="F26" s="105"/>
      <c r="G26" s="113"/>
      <c r="H26" s="103"/>
      <c r="I26" s="103"/>
      <c r="J26" s="103"/>
      <c r="K26" s="103"/>
      <c r="L26" s="103"/>
      <c r="M26" s="103"/>
      <c r="N26" s="103"/>
      <c r="O26" s="103"/>
      <c r="P26" s="103"/>
      <c r="Q26" s="103"/>
      <c r="R26" s="103"/>
      <c r="S26" s="103"/>
      <c r="T26" s="103"/>
      <c r="U26" s="103"/>
      <c r="V26" s="103"/>
      <c r="W26" s="103"/>
      <c r="X26" s="103"/>
      <c r="Y26" s="103"/>
      <c r="Z26" s="103"/>
    </row>
    <row r="27">
      <c r="A27" s="102"/>
      <c r="B27" s="109" t="str">
        <f>IFERROR(__xludf.DUMMYFUNCTION("""COMPUTED_VALUE"""),"2 - 1º SGT ALEX CORREIA DE ABREU")</f>
        <v>2 - 1º SGT ALEX CORREIA DE ABREU</v>
      </c>
      <c r="C27" s="102" t="str">
        <f>IFERROR(__xludf.DUMMYFUNCTION("""COMPUTED_VALUE"""),"BOX 02 - SAO")</f>
        <v>BOX 02 - SAO</v>
      </c>
      <c r="D27" s="103"/>
      <c r="E27" s="111"/>
      <c r="F27" s="112"/>
      <c r="G27" s="113"/>
      <c r="H27" s="103"/>
      <c r="I27" s="103"/>
      <c r="J27" s="103"/>
      <c r="K27" s="103"/>
      <c r="L27" s="103"/>
      <c r="M27" s="103"/>
      <c r="N27" s="103"/>
      <c r="O27" s="103"/>
      <c r="P27" s="103"/>
      <c r="Q27" s="103"/>
      <c r="R27" s="103"/>
      <c r="S27" s="103"/>
      <c r="T27" s="103"/>
      <c r="U27" s="103"/>
      <c r="V27" s="103"/>
      <c r="W27" s="103"/>
      <c r="X27" s="103"/>
      <c r="Y27" s="103"/>
      <c r="Z27" s="103"/>
    </row>
    <row r="28">
      <c r="A28" s="102"/>
      <c r="B28" s="109" t="str">
        <f>IFERROR(__xludf.DUMMYFUNCTION("""COMPUTED_VALUE"""),"2 - 1º SGT AMARILDO PEREIRA DE SOUZA")</f>
        <v>2 - 1º SGT AMARILDO PEREIRA DE SOUZA</v>
      </c>
      <c r="C28" s="102" t="str">
        <f>IFERROR(__xludf.DUMMYFUNCTION("""COMPUTED_VALUE"""),"BOX 03")</f>
        <v>BOX 03</v>
      </c>
      <c r="D28" s="103"/>
      <c r="E28" s="111"/>
      <c r="F28" s="105"/>
      <c r="G28" s="113"/>
      <c r="H28" s="103"/>
      <c r="I28" s="103"/>
      <c r="J28" s="103"/>
      <c r="K28" s="103"/>
      <c r="L28" s="103"/>
      <c r="M28" s="103"/>
      <c r="N28" s="103"/>
      <c r="O28" s="103"/>
      <c r="P28" s="103"/>
      <c r="Q28" s="103"/>
      <c r="R28" s="103"/>
      <c r="S28" s="103"/>
      <c r="T28" s="103"/>
      <c r="U28" s="103"/>
      <c r="V28" s="103"/>
      <c r="W28" s="103"/>
      <c r="X28" s="103"/>
      <c r="Y28" s="103"/>
      <c r="Z28" s="103"/>
    </row>
    <row r="29">
      <c r="A29" s="102"/>
      <c r="B29" s="109" t="str">
        <f>IFERROR(__xludf.DUMMYFUNCTION("""COMPUTED_VALUE"""),"2 - 1º SGT CRISTINA FERREIRA RODRIGUES")</f>
        <v>2 - 1º SGT CRISTINA FERREIRA RODRIGUES</v>
      </c>
      <c r="C29" s="102" t="str">
        <f>IFERROR(__xludf.DUMMYFUNCTION("""COMPUTED_VALUE"""),"BOX 03 - SAO")</f>
        <v>BOX 03 - SAO</v>
      </c>
      <c r="D29" s="103"/>
      <c r="E29" s="111"/>
      <c r="F29" s="112"/>
      <c r="G29" s="113"/>
      <c r="H29" s="103"/>
      <c r="I29" s="103"/>
      <c r="J29" s="103"/>
      <c r="K29" s="103"/>
      <c r="L29" s="103"/>
      <c r="M29" s="103"/>
      <c r="N29" s="103"/>
      <c r="O29" s="103"/>
      <c r="P29" s="103"/>
      <c r="Q29" s="103"/>
      <c r="R29" s="103"/>
      <c r="S29" s="103"/>
      <c r="T29" s="103"/>
      <c r="U29" s="103"/>
      <c r="V29" s="103"/>
      <c r="W29" s="103"/>
      <c r="X29" s="103"/>
      <c r="Y29" s="103"/>
      <c r="Z29" s="103"/>
    </row>
    <row r="30">
      <c r="A30" s="102"/>
      <c r="B30" s="109" t="str">
        <f>IFERROR(__xludf.DUMMYFUNCTION("""COMPUTED_VALUE"""),"2 - 1º SGT DAVIDSON GATTI")</f>
        <v>2 - 1º SGT DAVIDSON GATTI</v>
      </c>
      <c r="C30" s="102" t="str">
        <f>IFERROR(__xludf.DUMMYFUNCTION("""COMPUTED_VALUE"""),"BOX 04")</f>
        <v>BOX 04</v>
      </c>
      <c r="D30" s="103"/>
      <c r="E30" s="111"/>
      <c r="F30" s="105"/>
      <c r="G30" s="113"/>
      <c r="H30" s="103"/>
      <c r="I30" s="103"/>
      <c r="J30" s="103"/>
      <c r="K30" s="103"/>
      <c r="L30" s="103"/>
      <c r="M30" s="103"/>
      <c r="N30" s="103"/>
      <c r="O30" s="103"/>
      <c r="P30" s="103"/>
      <c r="Q30" s="103"/>
      <c r="R30" s="103"/>
      <c r="S30" s="103"/>
      <c r="T30" s="103"/>
      <c r="U30" s="103"/>
      <c r="V30" s="103"/>
      <c r="W30" s="103"/>
      <c r="X30" s="103"/>
      <c r="Y30" s="103"/>
      <c r="Z30" s="103"/>
    </row>
    <row r="31">
      <c r="A31" s="102"/>
      <c r="B31" s="109" t="str">
        <f>IFERROR(__xludf.DUMMYFUNCTION("""COMPUTED_VALUE"""),"2 - 1º SGT EDSON JOSÉ MACHADO")</f>
        <v>2 - 1º SGT EDSON JOSÉ MACHADO</v>
      </c>
      <c r="C31" s="102" t="str">
        <f>IFERROR(__xludf.DUMMYFUNCTION("""COMPUTED_VALUE"""),"BOX 05")</f>
        <v>BOX 05</v>
      </c>
      <c r="D31" s="103"/>
      <c r="E31" s="111"/>
      <c r="F31" s="105"/>
      <c r="G31" s="113"/>
      <c r="H31" s="103"/>
      <c r="I31" s="103"/>
      <c r="J31" s="103"/>
      <c r="K31" s="103"/>
      <c r="L31" s="103"/>
      <c r="M31" s="103"/>
      <c r="N31" s="103"/>
      <c r="O31" s="103"/>
      <c r="P31" s="103"/>
      <c r="Q31" s="103"/>
      <c r="R31" s="103"/>
      <c r="S31" s="103"/>
      <c r="T31" s="103"/>
      <c r="U31" s="103"/>
      <c r="V31" s="103"/>
      <c r="W31" s="103"/>
      <c r="X31" s="103"/>
      <c r="Y31" s="103"/>
      <c r="Z31" s="103"/>
    </row>
    <row r="32">
      <c r="A32" s="102"/>
      <c r="B32" s="103" t="str">
        <f>IFERROR(__xludf.DUMMYFUNCTION("""COMPUTED_VALUE"""),"2 - 1º SGT FLÁVIO ROBERTO BARBOSA SAMPAIO")</f>
        <v>2 - 1º SGT FLÁVIO ROBERTO BARBOSA SAMPAIO</v>
      </c>
      <c r="C32" s="103" t="str">
        <f>IFERROR(__xludf.DUMMYFUNCTION("""COMPUTED_VALUE"""),"BOX 06")</f>
        <v>BOX 06</v>
      </c>
      <c r="D32" s="103"/>
      <c r="E32" s="111"/>
      <c r="F32" s="105"/>
      <c r="G32" s="113"/>
      <c r="H32" s="103"/>
      <c r="I32" s="103"/>
      <c r="J32" s="103"/>
      <c r="K32" s="103"/>
      <c r="L32" s="103"/>
      <c r="M32" s="103"/>
      <c r="N32" s="103"/>
      <c r="O32" s="103"/>
      <c r="P32" s="103"/>
      <c r="Q32" s="103"/>
      <c r="R32" s="103"/>
      <c r="S32" s="103"/>
      <c r="T32" s="103"/>
      <c r="U32" s="103"/>
      <c r="V32" s="103"/>
      <c r="W32" s="103"/>
      <c r="X32" s="103"/>
      <c r="Y32" s="103"/>
      <c r="Z32" s="103"/>
    </row>
    <row r="33">
      <c r="A33" s="103"/>
      <c r="B33" s="103" t="str">
        <f>IFERROR(__xludf.DUMMYFUNCTION("""COMPUTED_VALUE"""),"2 - 1º SGT LUCIANO CARLOS BATISTA")</f>
        <v>2 - 1º SGT LUCIANO CARLOS BATISTA</v>
      </c>
      <c r="C33" s="103" t="str">
        <f>IFERROR(__xludf.DUMMYFUNCTION("""COMPUTED_VALUE"""),"BOX 07")</f>
        <v>BOX 07</v>
      </c>
      <c r="D33" s="103"/>
      <c r="E33" s="111"/>
      <c r="F33" s="105"/>
      <c r="G33" s="113"/>
      <c r="H33" s="103"/>
      <c r="I33" s="103"/>
      <c r="J33" s="103"/>
      <c r="K33" s="103"/>
      <c r="L33" s="103"/>
      <c r="M33" s="103"/>
      <c r="N33" s="103"/>
      <c r="O33" s="103"/>
      <c r="P33" s="103"/>
      <c r="Q33" s="103"/>
      <c r="R33" s="103"/>
      <c r="S33" s="103"/>
      <c r="T33" s="103"/>
      <c r="U33" s="103"/>
      <c r="V33" s="103"/>
      <c r="W33" s="103"/>
      <c r="X33" s="103"/>
      <c r="Y33" s="103"/>
      <c r="Z33" s="103"/>
    </row>
    <row r="34">
      <c r="A34" s="114"/>
      <c r="B34" s="103" t="str">
        <f>IFERROR(__xludf.DUMMYFUNCTION("""COMPUTED_VALUE"""),"2 - 1º SGT UDSON LEONARDO DINIZ COSTA")</f>
        <v>2 - 1º SGT UDSON LEONARDO DINIZ COSTA</v>
      </c>
      <c r="C34" s="103" t="str">
        <f>IFERROR(__xludf.DUMMYFUNCTION("""COMPUTED_VALUE"""),"BOX 08")</f>
        <v>BOX 08</v>
      </c>
      <c r="D34" s="103"/>
      <c r="E34" s="111"/>
      <c r="F34" s="105"/>
      <c r="G34" s="113"/>
      <c r="H34" s="103"/>
      <c r="I34" s="103"/>
      <c r="J34" s="103"/>
      <c r="K34" s="103"/>
      <c r="L34" s="103"/>
      <c r="M34" s="103"/>
      <c r="N34" s="103"/>
      <c r="O34" s="103"/>
      <c r="P34" s="103"/>
      <c r="Q34" s="103"/>
      <c r="R34" s="103"/>
      <c r="S34" s="103"/>
      <c r="T34" s="103"/>
      <c r="U34" s="103"/>
      <c r="V34" s="103"/>
      <c r="W34" s="103"/>
      <c r="X34" s="103"/>
      <c r="Y34" s="103"/>
      <c r="Z34" s="103"/>
    </row>
    <row r="35">
      <c r="A35" s="87"/>
      <c r="B35" s="87" t="str">
        <f>IFERROR(__xludf.DUMMYFUNCTION("""COMPUTED_VALUE"""),"2 - 1º SGT WANDERSON XAVIER ALVES")</f>
        <v>2 - 1º SGT WANDERSON XAVIER ALVES</v>
      </c>
      <c r="C35" s="87" t="str">
        <f>IFERROR(__xludf.DUMMYFUNCTION("""COMPUTED_VALUE"""),"BOX 09")</f>
        <v>BOX 09</v>
      </c>
      <c r="E35" s="111"/>
      <c r="F35" s="105"/>
      <c r="G35" s="113"/>
      <c r="H35" s="103"/>
    </row>
    <row r="36">
      <c r="A36" s="87"/>
      <c r="B36" s="87" t="str">
        <f>IFERROR(__xludf.DUMMYFUNCTION("""COMPUTED_VALUE"""),"2 - 1º TEN ALESSANDRO DE SENA COSTA")</f>
        <v>2 - 1º TEN ALESSANDRO DE SENA COSTA</v>
      </c>
      <c r="C36" s="87" t="str">
        <f>IFERROR(__xludf.DUMMYFUNCTION("""COMPUTED_VALUE"""),"BOX CENTRAL")</f>
        <v>BOX CENTRAL</v>
      </c>
      <c r="E36" s="111"/>
      <c r="F36" s="105"/>
      <c r="G36" s="113"/>
    </row>
    <row r="37">
      <c r="A37" s="87"/>
      <c r="B37" s="87" t="str">
        <f>IFERROR(__xludf.DUMMYFUNCTION("""COMPUTED_VALUE"""),"2 - 1º TEN ÁLVARO HERMÍNIO DA SILVEIRA MACHADO FILHO")</f>
        <v>2 - 1º TEN ÁLVARO HERMÍNIO DA SILVEIRA MACHADO FILHO</v>
      </c>
      <c r="C37" s="87" t="str">
        <f>IFERROR(__xludf.DUMMYFUNCTION("""COMPUTED_VALUE"""),"BOX SUPERIOR 01")</f>
        <v>BOX SUPERIOR 01</v>
      </c>
      <c r="E37" s="111"/>
      <c r="F37" s="105"/>
      <c r="G37" s="113"/>
    </row>
    <row r="38">
      <c r="A38" s="87"/>
      <c r="B38" s="87" t="str">
        <f>IFERROR(__xludf.DUMMYFUNCTION("""COMPUTED_VALUE"""),"2 - 1º TEN DANIEL SOARES MACEDO")</f>
        <v>2 - 1º TEN DANIEL SOARES MACEDO</v>
      </c>
      <c r="C38" s="87" t="str">
        <f>IFERROR(__xludf.DUMMYFUNCTION("""COMPUTED_VALUE"""),"BOX SUPERIOR 02")</f>
        <v>BOX SUPERIOR 02</v>
      </c>
      <c r="E38" s="111"/>
      <c r="F38" s="105"/>
      <c r="G38" s="113"/>
    </row>
    <row r="39">
      <c r="A39" s="87"/>
      <c r="B39" s="87" t="str">
        <f>IFERROR(__xludf.DUMMYFUNCTION("""COMPUTED_VALUE"""),"2 - 1º TEN DOUGLAS WILLIAM ARAÚJO DA SILVA")</f>
        <v>2 - 1º TEN DOUGLAS WILLIAM ARAÚJO DA SILVA</v>
      </c>
      <c r="C39" s="87" t="str">
        <f>IFERROR(__xludf.DUMMYFUNCTION("""COMPUTED_VALUE"""),"BOX TRASEIRO")</f>
        <v>BOX TRASEIRO</v>
      </c>
      <c r="E39" s="111"/>
      <c r="F39" s="105"/>
      <c r="G39" s="113"/>
    </row>
    <row r="40">
      <c r="A40" s="87"/>
      <c r="B40" s="87" t="str">
        <f>IFERROR(__xludf.DUMMYFUNCTION("""COMPUTED_VALUE"""),"2 - 1º TEN MATEUS FONTANA GOMES NEVES")</f>
        <v>2 - 1º TEN MATEUS FONTANA GOMES NEVES</v>
      </c>
      <c r="C40" s="87" t="str">
        <f>IFERROR(__xludf.DUMMYFUNCTION("""COMPUTED_VALUE"""),"CABINE")</f>
        <v>CABINE</v>
      </c>
      <c r="E40" s="111"/>
      <c r="F40" s="105"/>
      <c r="G40" s="113"/>
    </row>
    <row r="41">
      <c r="A41" s="87"/>
      <c r="B41" s="87" t="str">
        <f>IFERROR(__xludf.DUMMYFUNCTION("""COMPUTED_VALUE"""),"2 - 1º TEN OTACILIO COUTINHO JÚNIOR")</f>
        <v>2 - 1º TEN OTACILIO COUTINHO JÚNIOR</v>
      </c>
      <c r="C41" s="87" t="str">
        <f>IFERROR(__xludf.DUMMYFUNCTION("""COMPUTED_VALUE"""),"CAIXA DE FERRAMENTA")</f>
        <v>CAIXA DE FERRAMENTA</v>
      </c>
      <c r="E41" s="111"/>
      <c r="F41" s="105"/>
      <c r="G41" s="113"/>
    </row>
    <row r="42">
      <c r="A42" s="87"/>
      <c r="B42" s="87" t="str">
        <f>IFERROR(__xludf.DUMMYFUNCTION("""COMPUTED_VALUE"""),"2 - 1º TEN PEDRO HENRIQUE TAVARES VIEIRA DINIZ")</f>
        <v>2 - 1º TEN PEDRO HENRIQUE TAVARES VIEIRA DINIZ</v>
      </c>
      <c r="C42" s="87" t="str">
        <f>IFERROR(__xludf.DUMMYFUNCTION("""COMPUTED_VALUE"""),"CAMARIM")</f>
        <v>CAMARIM</v>
      </c>
      <c r="E42" s="111"/>
      <c r="F42" s="112"/>
      <c r="G42" s="113"/>
    </row>
    <row r="43">
      <c r="A43" s="87"/>
      <c r="B43" s="87" t="str">
        <f>IFERROR(__xludf.DUMMYFUNCTION("""COMPUTED_VALUE"""),"2 - 2º SGT ADENILSON LUIZ MENDES")</f>
        <v>2 - 2º SGT ADENILSON LUIZ MENDES</v>
      </c>
      <c r="C43" s="87" t="str">
        <f>IFERROR(__xludf.DUMMYFUNCTION("""COMPUTED_VALUE"""),"CARROCERIA")</f>
        <v>CARROCERIA</v>
      </c>
      <c r="E43" s="111"/>
      <c r="F43" s="105"/>
      <c r="G43" s="113"/>
    </row>
    <row r="44">
      <c r="A44" s="87"/>
      <c r="B44" s="87" t="str">
        <f>IFERROR(__xludf.DUMMYFUNCTION("""COMPUTED_VALUE"""),"2 - 2º SGT ADRIANO DE CASTRO MIRANDA")</f>
        <v>2 - 2º SGT ADRIANO DE CASTRO MIRANDA</v>
      </c>
      <c r="C44" s="87" t="str">
        <f>IFERROR(__xludf.DUMMYFUNCTION("""COMPUTED_VALUE"""),"CASE DRONE")</f>
        <v>CASE DRONE</v>
      </c>
      <c r="E44" s="111"/>
      <c r="F44" s="105"/>
      <c r="G44" s="113"/>
    </row>
    <row r="45">
      <c r="A45" s="87"/>
      <c r="B45" s="87" t="str">
        <f>IFERROR(__xludf.DUMMYFUNCTION("""COMPUTED_VALUE"""),"2 - 2º SGT AGNALDO CELESTINO DO COUTO")</f>
        <v>2 - 2º SGT AGNALDO CELESTINO DO COUTO</v>
      </c>
      <c r="C45" s="87" t="str">
        <f>IFERROR(__xludf.DUMMYFUNCTION("""COMPUTED_VALUE"""),"CMT OPERACIONAL")</f>
        <v>CMT OPERACIONAL</v>
      </c>
      <c r="E45" s="111"/>
      <c r="F45" s="105"/>
      <c r="G45" s="113"/>
    </row>
    <row r="46">
      <c r="A46" s="87"/>
      <c r="B46" s="87" t="str">
        <f>IFERROR(__xludf.DUMMYFUNCTION("""COMPUTED_VALUE"""),"2 - 2º SGT ALESSANDRA DUARTE FONSECA KLEIN")</f>
        <v>2 - 2º SGT ALESSANDRA DUARTE FONSECA KLEIN</v>
      </c>
      <c r="C46" s="87" t="str">
        <f>IFERROR(__xludf.DUMMYFUNCTION("""COMPUTED_VALUE"""),"CMT PPV")</f>
        <v>CMT PPV</v>
      </c>
      <c r="E46" s="111"/>
      <c r="F46" s="105"/>
      <c r="G46" s="113"/>
    </row>
    <row r="47">
      <c r="A47" s="87"/>
      <c r="B47" s="87" t="str">
        <f>IFERROR(__xludf.DUMMYFUNCTION("""COMPUTED_VALUE"""),"2 - 2º SGT ALEX SANDRO MARQUES DE LIMA")</f>
        <v>2 - 2º SGT ALEX SANDRO MARQUES DE LIMA</v>
      </c>
      <c r="C47" s="87" t="str">
        <f>IFERROR(__xludf.DUMMYFUNCTION("""COMPUTED_VALUE"""),"CPD")</f>
        <v>CPD</v>
      </c>
      <c r="E47" s="111"/>
      <c r="F47" s="105"/>
      <c r="G47" s="113"/>
    </row>
    <row r="48">
      <c r="A48" s="87"/>
      <c r="B48" s="87" t="str">
        <f>IFERROR(__xludf.DUMMYFUNCTION("""COMPUTED_VALUE"""),"2 - 2º SGT ANDRÉ ALVES DOS SANTOS")</f>
        <v>2 - 2º SGT ANDRÉ ALVES DOS SANTOS</v>
      </c>
      <c r="C48" s="87" t="str">
        <f>IFERROR(__xludf.DUMMYFUNCTION("""COMPUTED_VALUE"""),"DEPÓSITO")</f>
        <v>DEPÓSITO</v>
      </c>
      <c r="E48" s="111"/>
      <c r="F48" s="105"/>
      <c r="G48" s="113"/>
    </row>
    <row r="49">
      <c r="A49" s="87"/>
      <c r="B49" s="87" t="str">
        <f>IFERROR(__xludf.DUMMYFUNCTION("""COMPUTED_VALUE"""),"2 - 2º SGT ANÍBAL PEREIRA DE SOUZA")</f>
        <v>2 - 2º SGT ANÍBAL PEREIRA DE SOUZA</v>
      </c>
      <c r="C49" s="87" t="str">
        <f>IFERROR(__xludf.DUMMYFUNCTION("""COMPUTED_VALUE"""),"MATERIAL DE CONSUMO")</f>
        <v>MATERIAL DE CONSUMO</v>
      </c>
      <c r="E49" s="111"/>
      <c r="F49" s="105"/>
      <c r="G49" s="113"/>
    </row>
    <row r="50">
      <c r="A50" s="87"/>
      <c r="B50" s="87" t="str">
        <f>IFERROR(__xludf.DUMMYFUNCTION("""COMPUTED_VALUE"""),"2 - 2º SGT ANTÔNIO FREDERICO RIBEIRO")</f>
        <v>2 - 2º SGT ANTÔNIO FREDERICO RIBEIRO</v>
      </c>
      <c r="C50" s="87" t="str">
        <f>IFERROR(__xludf.DUMMYFUNCTION("""COMPUTED_VALUE"""),"MATERIAL DE MERGULHO")</f>
        <v>MATERIAL DE MERGULHO</v>
      </c>
      <c r="E50" s="111"/>
      <c r="F50" s="105"/>
      <c r="G50" s="113"/>
    </row>
    <row r="51">
      <c r="A51" s="87"/>
      <c r="B51" s="87" t="str">
        <f>IFERROR(__xludf.DUMMYFUNCTION("""COMPUTED_VALUE"""),"2 - 2º SGT CLÁUDIO DO CARMO SILVA")</f>
        <v>2 - 2º SGT CLÁUDIO DO CARMO SILVA</v>
      </c>
      <c r="C51" s="87" t="str">
        <f>IFERROR(__xludf.DUMMYFUNCTION("""COMPUTED_VALUE"""),"OFICINA")</f>
        <v>OFICINA</v>
      </c>
      <c r="E51" s="111"/>
      <c r="F51" s="105"/>
      <c r="G51" s="113"/>
    </row>
    <row r="52">
      <c r="A52" s="87"/>
      <c r="B52" s="87" t="str">
        <f>IFERROR(__xludf.DUMMYFUNCTION("""COMPUTED_VALUE"""),"2 - 2º SGT CLEITON ANTÔNIO RODRIGUES")</f>
        <v>2 - 2º SGT CLEITON ANTÔNIO RODRIGUES</v>
      </c>
      <c r="C52" s="87" t="str">
        <f>IFERROR(__xludf.DUMMYFUNCTION("""COMPUTED_VALUE"""),"PARTE EXTERNA")</f>
        <v>PARTE EXTERNA</v>
      </c>
      <c r="E52" s="111"/>
      <c r="F52" s="105"/>
      <c r="G52" s="113"/>
    </row>
    <row r="53">
      <c r="A53" s="87"/>
      <c r="B53" s="87" t="str">
        <f>IFERROR(__xludf.DUMMYFUNCTION("""COMPUTED_VALUE"""),"2 - 2º SGT DEMÉTRIO DE CARVALHO SILVA")</f>
        <v>2 - 2º SGT DEMÉTRIO DE CARVALHO SILVA</v>
      </c>
      <c r="C53" s="87" t="str">
        <f>IFERROR(__xludf.DUMMYFUNCTION("""COMPUTED_VALUE"""),"PPV (ANTIGA)")</f>
        <v>PPV (ANTIGA)</v>
      </c>
      <c r="E53" s="111"/>
      <c r="F53" s="105"/>
      <c r="G53" s="113"/>
    </row>
    <row r="54">
      <c r="A54" s="87"/>
      <c r="B54" s="87" t="str">
        <f>IFERROR(__xludf.DUMMYFUNCTION("""COMPUTED_VALUE"""),"2 - 2º SGT DIEGO RAPHAEL DE MOURA")</f>
        <v>2 - 2º SGT DIEGO RAPHAEL DE MOURA</v>
      </c>
      <c r="C54" s="87" t="str">
        <f>IFERROR(__xludf.DUMMYFUNCTION("""COMPUTED_VALUE"""),"PRATELEIRAS E GAVETAS")</f>
        <v>PRATELEIRAS E GAVETAS</v>
      </c>
      <c r="E54" s="111"/>
      <c r="F54" s="105"/>
      <c r="G54" s="113"/>
    </row>
    <row r="55">
      <c r="A55" s="87"/>
      <c r="B55" s="87" t="str">
        <f>IFERROR(__xludf.DUMMYFUNCTION("""COMPUTED_VALUE"""),"2 - 2º SGT DOUGLAS DOS ANJOS CHAGAS")</f>
        <v>2 - 2º SGT DOUGLAS DOS ANJOS CHAGAS</v>
      </c>
      <c r="C55" s="87" t="str">
        <f>IFERROR(__xludf.DUMMYFUNCTION("""COMPUTED_VALUE"""),"RÁDIO OPERADOR")</f>
        <v>RÁDIO OPERADOR</v>
      </c>
      <c r="E55" s="111"/>
      <c r="F55" s="112"/>
      <c r="G55" s="113"/>
    </row>
    <row r="56">
      <c r="A56" s="87"/>
      <c r="B56" s="87" t="str">
        <f>IFERROR(__xludf.DUMMYFUNCTION("""COMPUTED_VALUE"""),"2 - 2º SGT EDNEI ALVES DA SILVA")</f>
        <v>2 - 2º SGT EDNEI ALVES DA SILVA</v>
      </c>
      <c r="C56" s="87" t="str">
        <f>IFERROR(__xludf.DUMMYFUNCTION("""COMPUTED_VALUE"""),"REFEITÓRIO (CIA OP)")</f>
        <v>REFEITÓRIO (CIA OP)</v>
      </c>
      <c r="E56" s="111"/>
      <c r="F56" s="105"/>
      <c r="G56" s="113"/>
    </row>
    <row r="57">
      <c r="A57" s="87"/>
      <c r="B57" s="87" t="str">
        <f>IFERROR(__xludf.DUMMYFUNCTION("""COMPUTED_VALUE"""),"2 - 2º SGT ELMIRO LAUDELINO PACHECO JÚNIOR")</f>
        <v>2 - 2º SGT ELMIRO LAUDELINO PACHECO JÚNIOR</v>
      </c>
      <c r="C57" s="87" t="str">
        <f>IFERROR(__xludf.DUMMYFUNCTION("""COMPUTED_VALUE"""),"RESERVA")</f>
        <v>RESERVA</v>
      </c>
      <c r="E57" s="111"/>
      <c r="F57" s="112"/>
      <c r="G57" s="113"/>
    </row>
    <row r="58">
      <c r="A58" s="87"/>
      <c r="B58" s="87" t="str">
        <f>IFERROR(__xludf.DUMMYFUNCTION("""COMPUTED_VALUE"""),"2 - 2º SGT GABRIEL CAMILO SANTOS")</f>
        <v>2 - 2º SGT GABRIEL CAMILO SANTOS</v>
      </c>
      <c r="C58" s="87" t="str">
        <f>IFERROR(__xludf.DUMMYFUNCTION("""COMPUTED_VALUE"""),"SALA ANÁLISE/VISTORIADOR")</f>
        <v>SALA ANÁLISE/VISTORIADOR</v>
      </c>
      <c r="E58" s="111"/>
      <c r="F58" s="105"/>
      <c r="G58" s="113"/>
    </row>
    <row r="59">
      <c r="A59" s="87"/>
      <c r="B59" s="87" t="str">
        <f>IFERROR(__xludf.DUMMYFUNCTION("""COMPUTED_VALUE"""),"2 - 2º SGT GLEDSON JOSÉ DOS SANTOS")</f>
        <v>2 - 2º SGT GLEDSON JOSÉ DOS SANTOS</v>
      </c>
      <c r="C59" s="87" t="str">
        <f>IFERROR(__xludf.DUMMYFUNCTION("""COMPUTED_VALUE"""),"SALA DE ASSEPSIA")</f>
        <v>SALA DE ASSEPSIA</v>
      </c>
      <c r="E59" s="111"/>
      <c r="F59" s="105"/>
      <c r="G59" s="113"/>
    </row>
    <row r="60">
      <c r="A60" s="87"/>
      <c r="B60" s="87" t="str">
        <f>IFERROR(__xludf.DUMMYFUNCTION("""COMPUTED_VALUE"""),"2 - 2º SGT HELMO MESSIAS GUARANI")</f>
        <v>2 - 2º SGT HELMO MESSIAS GUARANI</v>
      </c>
      <c r="C60" s="87" t="str">
        <f>IFERROR(__xludf.DUMMYFUNCTION("""COMPUTED_VALUE"""),"SALA DE AUDIÇÃO")</f>
        <v>SALA DE AUDIÇÃO</v>
      </c>
      <c r="E60" s="111"/>
      <c r="F60" s="105"/>
      <c r="G60" s="113"/>
    </row>
    <row r="61">
      <c r="A61" s="87"/>
      <c r="B61" s="87" t="str">
        <f>IFERROR(__xludf.DUMMYFUNCTION("""COMPUTED_VALUE"""),"2 - 2º SGT LUIS FERNANDO JOSÉ FERREIRA")</f>
        <v>2 - 2º SGT LUIS FERNANDO JOSÉ FERREIRA</v>
      </c>
      <c r="C61" s="87" t="str">
        <f>IFERROR(__xludf.DUMMYFUNCTION("""COMPUTED_VALUE"""),"SALA DE MERGULHO")</f>
        <v>SALA DE MERGULHO</v>
      </c>
      <c r="E61" s="111"/>
      <c r="F61" s="105"/>
      <c r="G61" s="113"/>
    </row>
    <row r="62">
      <c r="A62" s="87"/>
      <c r="B62" s="87" t="str">
        <f>IFERROR(__xludf.DUMMYFUNCTION("""COMPUTED_VALUE"""),"2 - 2º SGT NILSIMAR SIMÕES DE FIGUEIREDO")</f>
        <v>2 - 2º SGT NILSIMAR SIMÕES DE FIGUEIREDO</v>
      </c>
      <c r="C62" s="87" t="str">
        <f>IFERROR(__xludf.DUMMYFUNCTION("""COMPUTED_VALUE"""),"SALA DE REDS")</f>
        <v>SALA DE REDS</v>
      </c>
      <c r="E62" s="111"/>
      <c r="F62" s="105"/>
      <c r="G62" s="113"/>
    </row>
    <row r="63">
      <c r="A63" s="87"/>
      <c r="B63" s="87" t="str">
        <f>IFERROR(__xludf.DUMMYFUNCTION("""COMPUTED_VALUE"""),"2 - 2º SGT RICARDO AMENDOEIRA")</f>
        <v>2 - 2º SGT RICARDO AMENDOEIRA</v>
      </c>
      <c r="C63" s="87" t="str">
        <f>IFERROR(__xludf.DUMMYFUNCTION("""COMPUTED_VALUE"""),"SALA DO FUTEBOL (SEDE)")</f>
        <v>SALA DO FUTEBOL (SEDE)</v>
      </c>
      <c r="E63" s="111"/>
      <c r="F63" s="105"/>
      <c r="G63" s="113"/>
    </row>
    <row r="64">
      <c r="A64" s="87"/>
      <c r="B64" s="87" t="str">
        <f>IFERROR(__xludf.DUMMYFUNCTION("""COMPUTED_VALUE"""),"2 - 2º SGT ROMILDO MARTINS DE VASCONCELOS JÚNIOR")</f>
        <v>2 - 2º SGT ROMILDO MARTINS DE VASCONCELOS JÚNIOR</v>
      </c>
      <c r="C64" s="87" t="str">
        <f>IFERROR(__xludf.DUMMYFUNCTION("""COMPUTED_VALUE"""),"SALA PRICIPAL")</f>
        <v>SALA PRICIPAL</v>
      </c>
      <c r="E64" s="111"/>
      <c r="F64" s="105"/>
      <c r="G64" s="113"/>
    </row>
    <row r="65">
      <c r="A65" s="87"/>
      <c r="B65" s="87" t="str">
        <f>IFERROR(__xludf.DUMMYFUNCTION("""COMPUTED_VALUE"""),"2 - 2º TEN CARLOS EDUARDO COSTA DIAS")</f>
        <v>2 - 2º TEN CARLOS EDUARDO COSTA DIAS</v>
      </c>
      <c r="C65" s="87" t="str">
        <f>IFERROR(__xludf.DUMMYFUNCTION("""COMPUTED_VALUE"""),"SAO")</f>
        <v>SAO</v>
      </c>
      <c r="E65" s="111"/>
      <c r="F65" s="105"/>
      <c r="G65" s="113"/>
    </row>
    <row r="66">
      <c r="A66" s="87"/>
      <c r="B66" s="87" t="str">
        <f>IFERROR(__xludf.DUMMYFUNCTION("""COMPUTED_VALUE"""),"2 - 2º TEN MARCO PAULO LAGES")</f>
        <v>2 - 2º TEN MARCO PAULO LAGES</v>
      </c>
      <c r="C66" s="87" t="str">
        <f>IFERROR(__xludf.DUMMYFUNCTION("""COMPUTED_VALUE"""),"SECRETARIA")</f>
        <v>SECRETARIA</v>
      </c>
      <c r="E66" s="111"/>
      <c r="F66" s="105"/>
      <c r="G66" s="113"/>
    </row>
    <row r="67">
      <c r="A67" s="87"/>
      <c r="B67" s="87" t="str">
        <f>IFERROR(__xludf.DUMMYFUNCTION("""COMPUTED_VALUE"""),"2 - 2º TEN PAULO VITOR MARTINELLI CUNHA")</f>
        <v>2 - 2º TEN PAULO VITOR MARTINELLI CUNHA</v>
      </c>
      <c r="C67" s="87" t="str">
        <f>IFERROR(__xludf.DUMMYFUNCTION("""COMPUTED_VALUE"""),"SETOR DE MEIOS")</f>
        <v>SETOR DE MEIOS</v>
      </c>
      <c r="E67" s="111"/>
      <c r="F67" s="105"/>
      <c r="G67" s="113"/>
    </row>
    <row r="68">
      <c r="A68" s="87"/>
      <c r="B68" s="87" t="str">
        <f>IFERROR(__xludf.DUMMYFUNCTION("""COMPUTED_VALUE"""),"2 - 2º TEN RAFAEL SEMIÃO RIBEIRO")</f>
        <v>2 - 2º TEN RAFAEL SEMIÃO RIBEIRO</v>
      </c>
      <c r="C68" s="87" t="str">
        <f>IFERROR(__xludf.DUMMYFUNCTION("""COMPUTED_VALUE"""),"VIATURA")</f>
        <v>VIATURA</v>
      </c>
      <c r="E68" s="111"/>
      <c r="F68" s="105"/>
      <c r="G68" s="113"/>
    </row>
    <row r="69">
      <c r="A69" s="87"/>
      <c r="B69" s="87" t="str">
        <f>IFERROR(__xludf.DUMMYFUNCTION("""COMPUTED_VALUE"""),"2 - 2º TEN RODRIGO ALVES TEIXEIRA")</f>
        <v>2 - 2º TEN RODRIGO ALVES TEIXEIRA</v>
      </c>
      <c r="C69" s="87" t="str">
        <f>IFERROR(__xludf.DUMMYFUNCTION("""COMPUTED_VALUE"""),"PROTOCOLO")</f>
        <v>PROTOCOLO</v>
      </c>
      <c r="E69" s="111"/>
      <c r="F69" s="105"/>
      <c r="G69" s="113"/>
    </row>
    <row r="70">
      <c r="A70" s="87"/>
      <c r="B70" s="87" t="str">
        <f>IFERROR(__xludf.DUMMYFUNCTION("""COMPUTED_VALUE"""),"2 - 3º SGT ANDERSON REIS SILVEIRA")</f>
        <v>2 - 3º SGT ANDERSON REIS SILVEIRA</v>
      </c>
      <c r="C70" s="87"/>
      <c r="E70" s="104"/>
      <c r="F70" s="112"/>
      <c r="G70" s="113"/>
    </row>
    <row r="71">
      <c r="A71" s="87"/>
      <c r="B71" s="87" t="str">
        <f>IFERROR(__xludf.DUMMYFUNCTION("""COMPUTED_VALUE"""),"2 - 3º SGT EVERSON CORRÊA")</f>
        <v>2 - 3º SGT EVERSON CORRÊA</v>
      </c>
      <c r="C71" s="87"/>
      <c r="E71" s="108"/>
      <c r="F71" s="115"/>
      <c r="G71" s="113"/>
    </row>
    <row r="72">
      <c r="A72" s="87"/>
      <c r="B72" s="87" t="str">
        <f>IFERROR(__xludf.DUMMYFUNCTION("""COMPUTED_VALUE"""),"2 - 3º SGT GEOVANI RODRIGUES SIQUEIRA SOARES")</f>
        <v>2 - 3º SGT GEOVANI RODRIGUES SIQUEIRA SOARES</v>
      </c>
      <c r="C72" s="87"/>
      <c r="E72" s="108"/>
      <c r="F72" s="115"/>
      <c r="G72" s="113"/>
    </row>
    <row r="73">
      <c r="A73" s="87"/>
      <c r="B73" s="87" t="str">
        <f>IFERROR(__xludf.DUMMYFUNCTION("""COMPUTED_VALUE"""),"2 - 3º SGT JORGE ANDRÉ RUAS DE OLIVEIRA")</f>
        <v>2 - 3º SGT JORGE ANDRÉ RUAS DE OLIVEIRA</v>
      </c>
      <c r="C73" s="87"/>
      <c r="E73" s="108"/>
      <c r="F73" s="115"/>
      <c r="G73" s="113"/>
    </row>
    <row r="74">
      <c r="A74" s="87"/>
      <c r="B74" s="87" t="str">
        <f>IFERROR(__xludf.DUMMYFUNCTION("""COMPUTED_VALUE"""),"2 - 3º SGT RAFAEL AMARAL FELÍCIO")</f>
        <v>2 - 3º SGT RAFAEL AMARAL FELÍCIO</v>
      </c>
      <c r="C74" s="87"/>
      <c r="E74" s="108"/>
      <c r="F74" s="115"/>
      <c r="G74" s="113"/>
    </row>
    <row r="75">
      <c r="A75" s="87"/>
      <c r="B75" s="87" t="str">
        <f>IFERROR(__xludf.DUMMYFUNCTION("""COMPUTED_VALUE"""),"2 - 3º SGT REGINALDO AVELAR BARBOSA")</f>
        <v>2 - 3º SGT REGINALDO AVELAR BARBOSA</v>
      </c>
      <c r="C75" s="87"/>
      <c r="E75" s="104"/>
      <c r="F75" s="112"/>
      <c r="G75" s="113"/>
    </row>
    <row r="76">
      <c r="A76" s="87"/>
      <c r="B76" s="87" t="str">
        <f>IFERROR(__xludf.DUMMYFUNCTION("""COMPUTED_VALUE"""),"2 - 3º SGT RICARDO ALEXANDRE BARBOSA TEIXEIRA")</f>
        <v>2 - 3º SGT RICARDO ALEXANDRE BARBOSA TEIXEIRA</v>
      </c>
      <c r="C76" s="87"/>
      <c r="E76" s="108"/>
      <c r="F76" s="115"/>
      <c r="G76" s="113"/>
    </row>
    <row r="77">
      <c r="A77" s="87"/>
      <c r="B77" s="87" t="str">
        <f>IFERROR(__xludf.DUMMYFUNCTION("""COMPUTED_VALUE"""),"2 - 3º SGT RONALDO DE MEIRA SANTIAGO")</f>
        <v>2 - 3º SGT RONALDO DE MEIRA SANTIAGO</v>
      </c>
      <c r="C77" s="87"/>
      <c r="E77" s="108"/>
      <c r="F77" s="115"/>
      <c r="G77" s="113"/>
    </row>
    <row r="78">
      <c r="A78" s="87"/>
      <c r="B78" s="87" t="str">
        <f>IFERROR(__xludf.DUMMYFUNCTION("""COMPUTED_VALUE"""),"2 - 3º SGT SABRINE LARISSA PRATES CARMO")</f>
        <v>2 - 3º SGT SABRINE LARISSA PRATES CARMO</v>
      </c>
      <c r="C78" s="87"/>
      <c r="E78" s="104"/>
      <c r="F78" s="112"/>
      <c r="G78" s="113"/>
    </row>
    <row r="79">
      <c r="A79" s="87"/>
      <c r="B79" s="87" t="str">
        <f>IFERROR(__xludf.DUMMYFUNCTION("""COMPUTED_VALUE"""),"2 - 3º SGT WALDECIR DE JESUS SANTOS")</f>
        <v>2 - 3º SGT WALDECIR DE JESUS SANTOS</v>
      </c>
      <c r="C79" s="87"/>
      <c r="E79" s="109"/>
      <c r="F79" s="112"/>
      <c r="G79" s="113"/>
    </row>
    <row r="80">
      <c r="A80" s="87"/>
      <c r="B80" s="87" t="str">
        <f>IFERROR(__xludf.DUMMYFUNCTION("""COMPUTED_VALUE"""),"2 - 3º SGT WEISMAN RODRIGUES FERREIRA")</f>
        <v>2 - 3º SGT WEISMAN RODRIGUES FERREIRA</v>
      </c>
      <c r="C80" s="87"/>
      <c r="E80" s="109"/>
      <c r="F80" s="112"/>
      <c r="G80" s="113"/>
    </row>
    <row r="81">
      <c r="A81" s="87"/>
      <c r="B81" s="87" t="str">
        <f>IFERROR(__xludf.DUMMYFUNCTION("""COMPUTED_VALUE"""),"2 - AL CARLOS EDUARDO COSTA DIAS")</f>
        <v>2 - AL CARLOS EDUARDO COSTA DIAS</v>
      </c>
      <c r="C81" s="87"/>
      <c r="E81" s="109"/>
      <c r="F81" s="112"/>
      <c r="G81" s="113"/>
    </row>
    <row r="82">
      <c r="A82" s="87"/>
      <c r="B82" s="87" t="str">
        <f>IFERROR(__xludf.DUMMYFUNCTION("""COMPUTED_VALUE"""),"2 - AL MARCO PAULO LAGES")</f>
        <v>2 - AL MARCO PAULO LAGES</v>
      </c>
      <c r="C82" s="87"/>
      <c r="E82" s="109"/>
      <c r="F82" s="112"/>
      <c r="G82" s="113"/>
    </row>
    <row r="83">
      <c r="A83" s="87"/>
      <c r="B83" s="87" t="str">
        <f>IFERROR(__xludf.DUMMYFUNCTION("""COMPUTED_VALUE"""),"2 - ASP HENRIQUE BITTARÃES MAGALHÃES")</f>
        <v>2 - ASP HENRIQUE BITTARÃES MAGALHÃES</v>
      </c>
      <c r="C83" s="87"/>
      <c r="E83" s="109"/>
      <c r="F83" s="112"/>
      <c r="G83" s="113"/>
    </row>
    <row r="84">
      <c r="A84" s="87"/>
      <c r="B84" s="87" t="str">
        <f>IFERROR(__xludf.DUMMYFUNCTION("""COMPUTED_VALUE"""),"2 - ASP PAULO VITOR MARTINELLI CUNHA")</f>
        <v>2 - ASP PAULO VITOR MARTINELLI CUNHA</v>
      </c>
      <c r="C84" s="87"/>
      <c r="E84" s="109"/>
      <c r="F84" s="112"/>
      <c r="G84" s="113"/>
    </row>
    <row r="85">
      <c r="A85" s="87"/>
      <c r="B85" s="87" t="str">
        <f>IFERROR(__xludf.DUMMYFUNCTION("""COMPUTED_VALUE"""),"2 - CAD LEONARDO BARROS SANTINI")</f>
        <v>2 - CAD LEONARDO BARROS SANTINI</v>
      </c>
      <c r="C85" s="87"/>
      <c r="E85" s="109"/>
      <c r="F85" s="112"/>
      <c r="G85" s="113"/>
    </row>
    <row r="86">
      <c r="A86" s="87"/>
      <c r="B86" s="87" t="str">
        <f>IFERROR(__xludf.DUMMYFUNCTION("""COMPUTED_VALUE"""),"2 - CAP EVANDRO SAMUEL DA VEIGA PIMENTEL")</f>
        <v>2 - CAP EVANDRO SAMUEL DA VEIGA PIMENTEL</v>
      </c>
      <c r="C86" s="87"/>
      <c r="E86" s="109"/>
      <c r="F86" s="112"/>
      <c r="G86" s="113"/>
    </row>
    <row r="87">
      <c r="A87" s="87"/>
      <c r="B87" s="87" t="str">
        <f>IFERROR(__xludf.DUMMYFUNCTION("""COMPUTED_VALUE"""),"2 - CAP JEFFERSON GERALDO DE MIRANDA")</f>
        <v>2 - CAP JEFFERSON GERALDO DE MIRANDA</v>
      </c>
      <c r="C87" s="87"/>
      <c r="E87" s="109"/>
      <c r="F87" s="112"/>
      <c r="G87" s="113"/>
    </row>
    <row r="88">
      <c r="A88" s="87"/>
      <c r="B88" s="87" t="str">
        <f>IFERROR(__xludf.DUMMYFUNCTION("""COMPUTED_VALUE"""),"2 - CAP RAFAEL DE FIGUEIREDO BARBOSA")</f>
        <v>2 - CAP RAFAEL DE FIGUEIREDO BARBOSA</v>
      </c>
      <c r="C88" s="87"/>
      <c r="E88" s="109"/>
      <c r="F88" s="112"/>
      <c r="G88" s="113"/>
    </row>
    <row r="89">
      <c r="A89" s="87"/>
      <c r="B89" s="87" t="str">
        <f>IFERROR(__xludf.DUMMYFUNCTION("""COMPUTED_VALUE"""),"2 - CB ALCEBÍADES RIBEIRO DE VARGAS")</f>
        <v>2 - CB ALCEBÍADES RIBEIRO DE VARGAS</v>
      </c>
      <c r="C89" s="87"/>
      <c r="E89" s="109"/>
      <c r="F89" s="112"/>
      <c r="G89" s="113"/>
    </row>
    <row r="90">
      <c r="A90" s="87"/>
      <c r="B90" s="87" t="str">
        <f>IFERROR(__xludf.DUMMYFUNCTION("""COMPUTED_VALUE"""),"2 - 3° SGT  ALEX COSTA MACHADO")</f>
        <v>2 - 3° SGT  ALEX COSTA MACHADO</v>
      </c>
      <c r="C90" s="87"/>
      <c r="E90" s="109"/>
      <c r="F90" s="115"/>
      <c r="G90" s="113"/>
    </row>
    <row r="91">
      <c r="A91" s="87"/>
      <c r="B91" s="87" t="str">
        <f>IFERROR(__xludf.DUMMYFUNCTION("""COMPUTED_VALUE"""),"2 - 3° SGT BRUNO MENDES SILVA")</f>
        <v>2 - 3° SGT BRUNO MENDES SILVA</v>
      </c>
      <c r="C91" s="87"/>
      <c r="E91" s="109"/>
      <c r="F91" s="112"/>
      <c r="G91" s="113"/>
    </row>
    <row r="92">
      <c r="A92" s="87"/>
      <c r="B92" s="87" t="str">
        <f>IFERROR(__xludf.DUMMYFUNCTION("""COMPUTED_VALUE"""),"2 - CB CLEITON SOUZA ROCHA")</f>
        <v>2 - CB CLEITON SOUZA ROCHA</v>
      </c>
      <c r="C92" s="87"/>
      <c r="E92" s="109"/>
      <c r="F92" s="112"/>
      <c r="G92" s="113"/>
    </row>
    <row r="93">
      <c r="A93" s="87"/>
      <c r="B93" s="87" t="str">
        <f>IFERROR(__xludf.DUMMYFUNCTION("""COMPUTED_VALUE"""),"2 - CB DOUGLAS PETERSON TORTIERI COSTA")</f>
        <v>2 - CB DOUGLAS PETERSON TORTIERI COSTA</v>
      </c>
      <c r="C93" s="87"/>
      <c r="E93" s="109"/>
      <c r="F93" s="112"/>
      <c r="G93" s="113"/>
    </row>
    <row r="94">
      <c r="A94" s="87"/>
      <c r="B94" s="87" t="str">
        <f>IFERROR(__xludf.DUMMYFUNCTION("""COMPUTED_VALUE"""),"2 - CB ÉDER CHRISTIAN SOUZA")</f>
        <v>2 - CB ÉDER CHRISTIAN SOUZA</v>
      </c>
      <c r="C94" s="87"/>
      <c r="E94" s="109"/>
      <c r="F94" s="112"/>
      <c r="G94" s="113"/>
    </row>
    <row r="95">
      <c r="A95" s="87"/>
      <c r="B95" s="87" t="str">
        <f>IFERROR(__xludf.DUMMYFUNCTION("""COMPUTED_VALUE"""),"2 - 3° SGT FÁBIO DA CUNHA LARA")</f>
        <v>2 - 3° SGT FÁBIO DA CUNHA LARA</v>
      </c>
      <c r="C95" s="87"/>
      <c r="E95" s="109"/>
      <c r="F95" s="112"/>
      <c r="G95" s="113"/>
    </row>
    <row r="96">
      <c r="A96" s="87"/>
      <c r="B96" s="87" t="str">
        <f>IFERROR(__xludf.DUMMYFUNCTION("""COMPUTED_VALUE"""),"2 - CB GABRIEL LUÍS CARVALHO DA SILVA")</f>
        <v>2 - CB GABRIEL LUÍS CARVALHO DA SILVA</v>
      </c>
      <c r="C96" s="87"/>
      <c r="E96" s="109"/>
      <c r="F96" s="116"/>
      <c r="G96" s="113"/>
    </row>
    <row r="97">
      <c r="A97" s="87"/>
      <c r="B97" s="87" t="str">
        <f>IFERROR(__xludf.DUMMYFUNCTION("""COMPUTED_VALUE"""),"2 - CB GERALDO MAGELA DE SOUSA")</f>
        <v>2 - CB GERALDO MAGELA DE SOUSA</v>
      </c>
      <c r="C97" s="87"/>
      <c r="E97" s="109"/>
      <c r="F97" s="116"/>
      <c r="G97" s="113"/>
    </row>
    <row r="98">
      <c r="A98" s="87"/>
      <c r="B98" s="87" t="str">
        <f>IFERROR(__xludf.DUMMYFUNCTION("""COMPUTED_VALUE"""),"2 - 3° SGT GUILHERME HENRIQUE PAULINO ORDONHES")</f>
        <v>2 - 3° SGT GUILHERME HENRIQUE PAULINO ORDONHES</v>
      </c>
      <c r="C98" s="87"/>
      <c r="E98" s="103"/>
      <c r="F98" s="116"/>
      <c r="G98" s="113"/>
    </row>
    <row r="99">
      <c r="A99" s="87"/>
      <c r="B99" s="87" t="str">
        <f>IFERROR(__xludf.DUMMYFUNCTION("""COMPUTED_VALUE"""),"2 - 3° SGT HUDSON HENRIQUE RODRIGUES PEREIRA")</f>
        <v>2 - 3° SGT HUDSON HENRIQUE RODRIGUES PEREIRA</v>
      </c>
      <c r="C99" s="87"/>
      <c r="E99" s="117"/>
      <c r="F99" s="118"/>
      <c r="G99" s="113"/>
    </row>
    <row r="100">
      <c r="A100" s="87"/>
      <c r="B100" s="87" t="str">
        <f>IFERROR(__xludf.DUMMYFUNCTION("""COMPUTED_VALUE"""),"2 - CB JOSÉ GERALDO SOARES DA SILVA")</f>
        <v>2 - CB JOSÉ GERALDO SOARES DA SILVA</v>
      </c>
      <c r="C100" s="87"/>
      <c r="E100" s="117"/>
      <c r="F100" s="118"/>
      <c r="G100" s="113"/>
    </row>
    <row r="101">
      <c r="A101" s="87"/>
      <c r="B101" s="87" t="str">
        <f>IFERROR(__xludf.DUMMYFUNCTION("""COMPUTED_VALUE"""),"2 - CB LEONARDO OLIVEIRA DE DEUS")</f>
        <v>2 - CB LEONARDO OLIVEIRA DE DEUS</v>
      </c>
      <c r="C101" s="87"/>
      <c r="E101" s="117"/>
      <c r="F101" s="116"/>
      <c r="G101" s="113"/>
    </row>
    <row r="102">
      <c r="A102" s="87"/>
      <c r="B102" s="87" t="str">
        <f>IFERROR(__xludf.DUMMYFUNCTION("""COMPUTED_VALUE"""),"2 - CB LÍLIAN TATIANE ARAÚJO PEREIRA")</f>
        <v>2 - CB LÍLIAN TATIANE ARAÚJO PEREIRA</v>
      </c>
      <c r="C102" s="87"/>
      <c r="E102" s="117"/>
      <c r="F102" s="116"/>
      <c r="G102" s="110"/>
    </row>
    <row r="103">
      <c r="A103" s="87"/>
      <c r="B103" s="87" t="str">
        <f>IFERROR(__xludf.DUMMYFUNCTION("""COMPUTED_VALUE"""),"2 - CB MARCOS AURÉLIO DA SILVA PEREIRA")</f>
        <v>2 - CB MARCOS AURÉLIO DA SILVA PEREIRA</v>
      </c>
      <c r="C103" s="87"/>
      <c r="E103" s="102"/>
      <c r="F103" s="105"/>
      <c r="G103" s="110"/>
    </row>
    <row r="104">
      <c r="A104" s="87"/>
      <c r="B104" s="87" t="str">
        <f>IFERROR(__xludf.DUMMYFUNCTION("""COMPUTED_VALUE"""),"2 - CB PAULO HENRIQUE DA ROCHA RODRIGUES")</f>
        <v>2 - CB PAULO HENRIQUE DA ROCHA RODRIGUES</v>
      </c>
      <c r="C104" s="87"/>
      <c r="E104" s="102"/>
      <c r="F104" s="105"/>
      <c r="G104" s="110"/>
    </row>
    <row r="105">
      <c r="A105" s="87"/>
      <c r="B105" s="87" t="str">
        <f>IFERROR(__xludf.DUMMYFUNCTION("""COMPUTED_VALUE"""),"2 - CB RAFAEL PEREIRA DE SOUZA")</f>
        <v>2 - CB RAFAEL PEREIRA DE SOUZA</v>
      </c>
      <c r="C105" s="87"/>
      <c r="E105" s="102"/>
      <c r="F105" s="105"/>
      <c r="G105" s="110"/>
    </row>
    <row r="106">
      <c r="A106" s="87"/>
      <c r="B106" s="87" t="str">
        <f>IFERROR(__xludf.DUMMYFUNCTION("""COMPUTED_VALUE"""),"2 - CB ROMANO PIRES LIMA FILHO")</f>
        <v>2 - CB ROMANO PIRES LIMA FILHO</v>
      </c>
      <c r="C106" s="87"/>
      <c r="E106" s="102"/>
      <c r="F106" s="105"/>
      <c r="G106" s="110"/>
    </row>
    <row r="107">
      <c r="A107" s="87"/>
      <c r="B107" s="87" t="str">
        <f>IFERROR(__xludf.DUMMYFUNCTION("""COMPUTED_VALUE"""),"2 - 3° SGT SHEILA CRISTINA DA SILVA RUAS")</f>
        <v>2 - 3° SGT SHEILA CRISTINA DA SILVA RUAS</v>
      </c>
      <c r="C107" s="87"/>
      <c r="E107" s="107"/>
      <c r="F107" s="107"/>
      <c r="G107" s="110"/>
    </row>
    <row r="108">
      <c r="A108" s="87"/>
      <c r="B108" s="87" t="str">
        <f>IFERROR(__xludf.DUMMYFUNCTION("""COMPUTED_VALUE"""),"2 - CB SUELEN SANTIAGO ALVES DA SILVA")</f>
        <v>2 - CB SUELEN SANTIAGO ALVES DA SILVA</v>
      </c>
      <c r="C108" s="87"/>
      <c r="E108" s="107"/>
      <c r="F108" s="107"/>
      <c r="G108" s="110"/>
    </row>
    <row r="109">
      <c r="A109" s="87"/>
      <c r="B109" s="87" t="str">
        <f>IFERROR(__xludf.DUMMYFUNCTION("""COMPUTED_VALUE"""),"2 - CB THIAGO HENRIQUE DUARTE")</f>
        <v>2 - CB THIAGO HENRIQUE DUARTE</v>
      </c>
      <c r="C109" s="87"/>
      <c r="E109" s="107"/>
      <c r="F109" s="107"/>
      <c r="G109" s="110"/>
    </row>
    <row r="110">
      <c r="A110" s="87"/>
      <c r="B110" s="87" t="str">
        <f>IFERROR(__xludf.DUMMYFUNCTION("""COMPUTED_VALUE"""),"2 - 3° SGT TIAGO DE OLIVEIRA ALMEIDA")</f>
        <v>2 - 3° SGT TIAGO DE OLIVEIRA ALMEIDA</v>
      </c>
      <c r="C110" s="87"/>
      <c r="E110" s="107"/>
      <c r="F110" s="107"/>
      <c r="G110" s="110"/>
    </row>
    <row r="111">
      <c r="A111" s="87"/>
      <c r="B111" s="87" t="str">
        <f>IFERROR(__xludf.DUMMYFUNCTION("""COMPUTED_VALUE"""),"2 - GERSON GONÇALVES COSTA")</f>
        <v>2 - GERSON GONÇALVES COSTA</v>
      </c>
      <c r="C111" s="87"/>
      <c r="E111" s="107"/>
      <c r="F111" s="107"/>
      <c r="G111" s="110"/>
    </row>
    <row r="112">
      <c r="A112" s="87"/>
      <c r="B112" s="87" t="str">
        <f>IFERROR(__xludf.DUMMYFUNCTION("""COMPUTED_VALUE"""),"2 - KENNEDY LUCAS XAVIER COLEN")</f>
        <v>2 - KENNEDY LUCAS XAVIER COLEN</v>
      </c>
      <c r="C112" s="87"/>
      <c r="E112" s="107"/>
      <c r="F112" s="95"/>
      <c r="G112" s="110"/>
    </row>
    <row r="113">
      <c r="A113" s="87"/>
      <c r="B113" s="87" t="str">
        <f>IFERROR(__xludf.DUMMYFUNCTION("""COMPUTED_VALUE"""),"2 - LORRAINE TORTIERI COSTA")</f>
        <v>2 - LORRAINE TORTIERI COSTA</v>
      </c>
      <c r="C113" s="87"/>
      <c r="E113" s="107"/>
      <c r="F113" s="95"/>
      <c r="G113" s="110"/>
    </row>
    <row r="114">
      <c r="A114" s="87"/>
      <c r="B114" s="87" t="str">
        <f>IFERROR(__xludf.DUMMYFUNCTION("""COMPUTED_VALUE"""),"2 - MAJ LUIZ PAULO BARBOSA ARAÚJO")</f>
        <v>2 - MAJ LUIZ PAULO BARBOSA ARAÚJO</v>
      </c>
      <c r="C114" s="87"/>
      <c r="E114" s="107"/>
      <c r="F114" s="95"/>
      <c r="G114" s="110"/>
    </row>
    <row r="115">
      <c r="A115" s="87"/>
      <c r="B115" s="87" t="str">
        <f>IFERROR(__xludf.DUMMYFUNCTION("""COMPUTED_VALUE"""),"2 - MAJ ULISSES SILVA DE OLIVEIRA")</f>
        <v>2 - MAJ ULISSES SILVA DE OLIVEIRA</v>
      </c>
      <c r="C115" s="87"/>
      <c r="E115" s="107"/>
      <c r="F115" s="95"/>
      <c r="G115" s="110"/>
    </row>
    <row r="116">
      <c r="A116" s="87"/>
      <c r="B116" s="87" t="str">
        <f>IFERROR(__xludf.DUMMYFUNCTION("""COMPUTED_VALUE"""),"2 - MARIA ALICE DE ALMEIDA CRUZ FÉLIX")</f>
        <v>2 - MARIA ALICE DE ALMEIDA CRUZ FÉLIX</v>
      </c>
      <c r="C116" s="87"/>
      <c r="E116" s="107"/>
      <c r="F116" s="95"/>
      <c r="G116" s="110"/>
    </row>
    <row r="117">
      <c r="A117" s="87"/>
      <c r="B117" s="87" t="str">
        <f>IFERROR(__xludf.DUMMYFUNCTION("""COMPUTED_VALUE"""),"2 - PATRÍCIO SANTOS CHAMONE")</f>
        <v>2 - PATRÍCIO SANTOS CHAMONE</v>
      </c>
      <c r="C117" s="87"/>
      <c r="E117" s="107"/>
      <c r="F117" s="95"/>
      <c r="G117" s="110"/>
    </row>
    <row r="118">
      <c r="A118" s="87"/>
      <c r="B118" s="87" t="str">
        <f>IFERROR(__xludf.DUMMYFUNCTION("""COMPUTED_VALUE"""),"2 - SD 2º CL GABRIEL DA SILVA FREITAS")</f>
        <v>2 - SD 2º CL GABRIEL DA SILVA FREITAS</v>
      </c>
      <c r="C118" s="87"/>
      <c r="E118" s="107"/>
      <c r="F118" s="95"/>
      <c r="G118" s="110"/>
    </row>
    <row r="119">
      <c r="A119" s="87"/>
      <c r="B119" s="87" t="str">
        <f>IFERROR(__xludf.DUMMYFUNCTION("""COMPUTED_VALUE"""),"2 - SD ALEX JUNIOR BASTOS MARTINS")</f>
        <v>2 - SD ALEX JUNIOR BASTOS MARTINS</v>
      </c>
      <c r="C119" s="87"/>
      <c r="E119" s="107"/>
      <c r="F119" s="95"/>
      <c r="G119" s="110"/>
    </row>
    <row r="120">
      <c r="A120" s="87"/>
      <c r="B120" s="87" t="str">
        <f>IFERROR(__xludf.DUMMYFUNCTION("""COMPUTED_VALUE"""),"2 - SD ALEXANDRE ANTUNES MEDEIROS")</f>
        <v>2 - SD ALEXANDRE ANTUNES MEDEIROS</v>
      </c>
      <c r="C120" s="87"/>
      <c r="E120" s="107"/>
      <c r="F120" s="95"/>
      <c r="G120" s="96"/>
    </row>
    <row r="121">
      <c r="A121" s="87"/>
      <c r="B121" s="87" t="str">
        <f>IFERROR(__xludf.DUMMYFUNCTION("""COMPUTED_VALUE"""),"2 - SD ALICE OLIVEIRA DE AGUIAR")</f>
        <v>2 - SD ALICE OLIVEIRA DE AGUIAR</v>
      </c>
      <c r="C121" s="87"/>
      <c r="E121" s="107"/>
      <c r="F121" s="95"/>
      <c r="G121" s="96"/>
    </row>
    <row r="122">
      <c r="A122" s="87"/>
      <c r="B122" s="87" t="str">
        <f>IFERROR(__xludf.DUMMYFUNCTION("""COMPUTED_VALUE"""),"2 - SD ALISSON MATEUS DIONISIO MOURA")</f>
        <v>2 - SD ALISSON MATEUS DIONISIO MOURA</v>
      </c>
      <c r="C122" s="87"/>
      <c r="E122" s="107"/>
      <c r="F122" s="95"/>
      <c r="G122" s="96"/>
    </row>
    <row r="123">
      <c r="A123" s="87"/>
      <c r="B123" s="87" t="str">
        <f>IFERROR(__xludf.DUMMYFUNCTION("""COMPUTED_VALUE"""),"2 - SD ALONSO RODRIGUES DO CARMO NETO")</f>
        <v>2 - SD ALONSO RODRIGUES DO CARMO NETO</v>
      </c>
      <c r="C123" s="87"/>
      <c r="E123" s="107"/>
      <c r="F123" s="95"/>
      <c r="G123" s="96"/>
    </row>
    <row r="124">
      <c r="A124" s="87"/>
      <c r="B124" s="87" t="str">
        <f>IFERROR(__xludf.DUMMYFUNCTION("""COMPUTED_VALUE"""),"2 - SD ARTHUR DE BARROS VIEIRA ROCHA")</f>
        <v>2 - SD ARTHUR DE BARROS VIEIRA ROCHA</v>
      </c>
      <c r="C124" s="87"/>
      <c r="E124" s="107"/>
      <c r="F124" s="95"/>
      <c r="G124" s="96"/>
    </row>
    <row r="125">
      <c r="A125" s="87"/>
      <c r="B125" s="87" t="str">
        <f>IFERROR(__xludf.DUMMYFUNCTION("""COMPUTED_VALUE"""),"2 - SD ARTHUR HENRIQUE ALVARENGA LAGE")</f>
        <v>2 - SD ARTHUR HENRIQUE ALVARENGA LAGE</v>
      </c>
      <c r="C125" s="87"/>
      <c r="E125" s="107"/>
      <c r="F125" s="95"/>
      <c r="G125" s="96"/>
    </row>
    <row r="126">
      <c r="A126" s="87"/>
      <c r="B126" s="87" t="str">
        <f>IFERROR(__xludf.DUMMYFUNCTION("""COMPUTED_VALUE"""),"2 - SD ARTHUR LIMA VIEIRA")</f>
        <v>2 - SD ARTHUR LIMA VIEIRA</v>
      </c>
      <c r="C126" s="87"/>
      <c r="E126" s="107"/>
      <c r="F126" s="95"/>
      <c r="G126" s="96"/>
    </row>
    <row r="127">
      <c r="A127" s="87"/>
      <c r="B127" s="87" t="str">
        <f>IFERROR(__xludf.DUMMYFUNCTION("""COMPUTED_VALUE"""),"2 - SD ARTUR LIMA VIEIRA")</f>
        <v>2 - SD ARTUR LIMA VIEIRA</v>
      </c>
      <c r="C127" s="87"/>
      <c r="E127" s="107"/>
      <c r="F127" s="95"/>
      <c r="G127" s="96"/>
    </row>
    <row r="128">
      <c r="A128" s="87"/>
      <c r="B128" s="87" t="str">
        <f>IFERROR(__xludf.DUMMYFUNCTION("""COMPUTED_VALUE"""),"2 - SD BERNARDO LACERDA ASSUNÇÃO")</f>
        <v>2 - SD BERNARDO LACERDA ASSUNÇÃO</v>
      </c>
      <c r="C128" s="87"/>
      <c r="E128" s="107"/>
      <c r="F128" s="95"/>
      <c r="G128" s="96"/>
    </row>
    <row r="129">
      <c r="A129" s="87"/>
      <c r="B129" s="87" t="str">
        <f>IFERROR(__xludf.DUMMYFUNCTION("""COMPUTED_VALUE"""),"2 - SD BRUNO HENRIQUES DE CAMARGOS")</f>
        <v>2 - SD BRUNO HENRIQUES DE CAMARGOS</v>
      </c>
      <c r="C129" s="87"/>
      <c r="E129" s="107"/>
      <c r="F129" s="95"/>
      <c r="G129" s="96"/>
    </row>
    <row r="130">
      <c r="A130" s="87"/>
      <c r="B130" s="87" t="str">
        <f>IFERROR(__xludf.DUMMYFUNCTION("""COMPUTED_VALUE"""),"2 - SD CAIO GABRIEL CARVALHO DE ALMEIDA")</f>
        <v>2 - SD CAIO GABRIEL CARVALHO DE ALMEIDA</v>
      </c>
      <c r="C130" s="87"/>
      <c r="E130" s="107"/>
      <c r="F130" s="95"/>
      <c r="G130" s="96"/>
    </row>
    <row r="131">
      <c r="A131" s="87"/>
      <c r="B131" s="87" t="str">
        <f>IFERROR(__xludf.DUMMYFUNCTION("""COMPUTED_VALUE"""),"2 - SD CHRISTIAN FELIPE RODRIGUES DA COSTA")</f>
        <v>2 - SD CHRISTIAN FELIPE RODRIGUES DA COSTA</v>
      </c>
      <c r="C131" s="87"/>
      <c r="E131" s="107"/>
      <c r="F131" s="95"/>
      <c r="G131" s="96"/>
    </row>
    <row r="132">
      <c r="A132" s="87"/>
      <c r="B132" s="87" t="str">
        <f>IFERROR(__xludf.DUMMYFUNCTION("""COMPUTED_VALUE"""),"2 - SD DIEGO LUCAS DA SILVA MENDES")</f>
        <v>2 - SD DIEGO LUCAS DA SILVA MENDES</v>
      </c>
      <c r="C132" s="87"/>
      <c r="E132" s="107"/>
      <c r="F132" s="95"/>
      <c r="G132" s="96"/>
    </row>
    <row r="133">
      <c r="A133" s="87"/>
      <c r="B133" s="87" t="str">
        <f>IFERROR(__xludf.DUMMYFUNCTION("""COMPUTED_VALUE"""),"2 - SD ERIC ROSCELI ALVES RODRIGUES")</f>
        <v>2 - SD ERIC ROSCELI ALVES RODRIGUES</v>
      </c>
      <c r="C133" s="87"/>
      <c r="E133" s="107"/>
      <c r="F133" s="95"/>
      <c r="G133" s="96"/>
    </row>
    <row r="134">
      <c r="A134" s="87"/>
      <c r="B134" s="87" t="str">
        <f>IFERROR(__xludf.DUMMYFUNCTION("""COMPUTED_VALUE"""),"2 - SD FILIPE COSTA ARAUJO")</f>
        <v>2 - SD FILIPE COSTA ARAUJO</v>
      </c>
      <c r="C134" s="87"/>
      <c r="E134" s="107"/>
      <c r="F134" s="95"/>
      <c r="G134" s="96"/>
    </row>
    <row r="135">
      <c r="A135" s="87"/>
      <c r="B135" s="87" t="str">
        <f>IFERROR(__xludf.DUMMYFUNCTION("""COMPUTED_VALUE"""),"2 - SD HEITOR GABRIEL SILVA COSTA")</f>
        <v>2 - SD HEITOR GABRIEL SILVA COSTA</v>
      </c>
      <c r="C135" s="87"/>
      <c r="E135" s="107"/>
      <c r="F135" s="95"/>
      <c r="G135" s="96"/>
    </row>
    <row r="136">
      <c r="A136" s="87"/>
      <c r="B136" s="87" t="str">
        <f>IFERROR(__xludf.DUMMYFUNCTION("""COMPUTED_VALUE"""),"2 - SD HELBERT SOARES LARA JÚNIOR")</f>
        <v>2 - SD HELBERT SOARES LARA JÚNIOR</v>
      </c>
      <c r="C136" s="87"/>
      <c r="E136" s="107"/>
      <c r="F136" s="95"/>
      <c r="G136" s="96"/>
    </row>
    <row r="137">
      <c r="A137" s="87"/>
      <c r="B137" s="87" t="str">
        <f>IFERROR(__xludf.DUMMYFUNCTION("""COMPUTED_VALUE"""),"2 - SD HERICK LUCAS CARDOSO SALGUEIRO")</f>
        <v>2 - SD HERICK LUCAS CARDOSO SALGUEIRO</v>
      </c>
      <c r="C137" s="87"/>
      <c r="E137" s="107"/>
      <c r="F137" s="95"/>
      <c r="G137" s="96"/>
    </row>
    <row r="138">
      <c r="A138" s="87"/>
      <c r="B138" s="87" t="str">
        <f>IFERROR(__xludf.DUMMYFUNCTION("""COMPUTED_VALUE"""),"2 - SD JEYZER FELIPE JOSE ALMEIDA FERREIRA")</f>
        <v>2 - SD JEYZER FELIPE JOSE ALMEIDA FERREIRA</v>
      </c>
      <c r="C138" s="87"/>
      <c r="E138" s="107"/>
      <c r="F138" s="95"/>
      <c r="G138" s="96"/>
    </row>
    <row r="139">
      <c r="A139" s="119"/>
      <c r="B139" s="87" t="str">
        <f>IFERROR(__xludf.DUMMYFUNCTION("""COMPUTED_VALUE"""),"2 - SD JOSÉ OLYMPIO SOUZA CARDOSO DAMASCENO")</f>
        <v>2 - SD JOSÉ OLYMPIO SOUZA CARDOSO DAMASCENO</v>
      </c>
      <c r="C139" s="87"/>
      <c r="E139" s="107"/>
      <c r="F139" s="95"/>
      <c r="G139" s="96"/>
    </row>
    <row r="140">
      <c r="A140" s="87"/>
      <c r="B140" s="87" t="str">
        <f>IFERROR(__xludf.DUMMYFUNCTION("""COMPUTED_VALUE"""),"2 - SD KEVIN ALLISSON FROIS ")</f>
        <v>2 - SD KEVIN ALLISSON FROIS </v>
      </c>
      <c r="C140" s="87"/>
      <c r="E140" s="107"/>
      <c r="F140" s="95"/>
      <c r="G140" s="96"/>
    </row>
    <row r="141">
      <c r="A141" s="87"/>
      <c r="B141" s="87" t="str">
        <f>IFERROR(__xludf.DUMMYFUNCTION("""COMPUTED_VALUE"""),"2 - SD LEONARDO VICTOR SILVA BRUM")</f>
        <v>2 - SD LEONARDO VICTOR SILVA BRUM</v>
      </c>
      <c r="C141" s="87"/>
      <c r="E141" s="107"/>
      <c r="F141" s="95"/>
      <c r="G141" s="96"/>
    </row>
    <row r="142">
      <c r="A142" s="87"/>
      <c r="B142" s="87" t="str">
        <f>IFERROR(__xludf.DUMMYFUNCTION("""COMPUTED_VALUE"""),"2 - SD LETÍCIA DE SOUZA TAVARES")</f>
        <v>2 - SD LETÍCIA DE SOUZA TAVARES</v>
      </c>
      <c r="C142" s="87"/>
      <c r="E142" s="107"/>
      <c r="F142" s="95"/>
      <c r="G142" s="96"/>
    </row>
    <row r="143">
      <c r="A143" s="87"/>
      <c r="B143" s="87" t="str">
        <f>IFERROR(__xludf.DUMMYFUNCTION("""COMPUTED_VALUE"""),"2 - SD LETÍCIA FERREIRA SILVEIRA")</f>
        <v>2 - SD LETÍCIA FERREIRA SILVEIRA</v>
      </c>
      <c r="C143" s="87"/>
      <c r="E143" s="107"/>
      <c r="F143" s="95"/>
      <c r="G143" s="96"/>
    </row>
    <row r="144">
      <c r="A144" s="87"/>
      <c r="B144" s="87" t="str">
        <f>IFERROR(__xludf.DUMMYFUNCTION("""COMPUTED_VALUE"""),"2 - SD LUCAS CARVALHO DE ALMEIDA")</f>
        <v>2 - SD LUCAS CARVALHO DE ALMEIDA</v>
      </c>
      <c r="C144" s="87"/>
      <c r="E144" s="107"/>
      <c r="F144" s="95"/>
      <c r="G144" s="96"/>
    </row>
    <row r="145">
      <c r="A145" s="87"/>
      <c r="B145" s="87" t="str">
        <f>IFERROR(__xludf.DUMMYFUNCTION("""COMPUTED_VALUE"""),"2 - SD LUIS PAULO")</f>
        <v>2 - SD LUIS PAULO</v>
      </c>
      <c r="C145" s="87"/>
      <c r="E145" s="107"/>
      <c r="F145" s="95"/>
      <c r="G145" s="96"/>
    </row>
    <row r="146">
      <c r="A146" s="87"/>
      <c r="B146" s="87" t="str">
        <f>IFERROR(__xludf.DUMMYFUNCTION("""COMPUTED_VALUE"""),"2 - SD LUIZ CARLOS DA SILVA JÚNIOR")</f>
        <v>2 - SD LUIZ CARLOS DA SILVA JÚNIOR</v>
      </c>
      <c r="C146" s="87"/>
      <c r="E146" s="107"/>
      <c r="F146" s="95"/>
      <c r="G146" s="96"/>
    </row>
    <row r="147">
      <c r="A147" s="87"/>
      <c r="B147" s="87" t="str">
        <f>IFERROR(__xludf.DUMMYFUNCTION("""COMPUTED_VALUE"""),"2 - SD MÁRCIO PEDRO DE ANDRADE")</f>
        <v>2 - SD MÁRCIO PEDRO DE ANDRADE</v>
      </c>
      <c r="C147" s="87"/>
      <c r="E147" s="107"/>
      <c r="F147" s="95"/>
      <c r="G147" s="96"/>
    </row>
    <row r="148">
      <c r="A148" s="87"/>
      <c r="B148" s="87" t="str">
        <f>IFERROR(__xludf.DUMMYFUNCTION("""COMPUTED_VALUE"""),"2 - SD NUNES")</f>
        <v>2 - SD NUNES</v>
      </c>
      <c r="C148" s="87"/>
      <c r="E148" s="107"/>
      <c r="F148" s="95"/>
      <c r="G148" s="96"/>
    </row>
    <row r="149">
      <c r="A149" s="87"/>
      <c r="B149" s="87" t="str">
        <f>IFERROR(__xludf.DUMMYFUNCTION("""COMPUTED_VALUE"""),"2 - SD OLIVIER MATHEUS MENDES ALVES")</f>
        <v>2 - SD OLIVIER MATHEUS MENDES ALVES</v>
      </c>
      <c r="C149" s="87"/>
      <c r="E149" s="107"/>
      <c r="F149" s="95"/>
      <c r="G149" s="96"/>
    </row>
    <row r="150">
      <c r="A150" s="87"/>
      <c r="B150" s="87" t="str">
        <f>IFERROR(__xludf.DUMMYFUNCTION("""COMPUTED_VALUE"""),"2 - SD PEDRO BRANDÃO DE PAULA")</f>
        <v>2 - SD PEDRO BRANDÃO DE PAULA</v>
      </c>
      <c r="C150" s="87"/>
      <c r="E150" s="107"/>
      <c r="F150" s="95"/>
      <c r="G150" s="96"/>
    </row>
    <row r="151">
      <c r="A151" s="87"/>
      <c r="B151" s="87" t="str">
        <f>IFERROR(__xludf.DUMMYFUNCTION("""COMPUTED_VALUE"""),"2 - SD RENILSON ADRIANO CAMPOS FILHO")</f>
        <v>2 - SD RENILSON ADRIANO CAMPOS FILHO</v>
      </c>
      <c r="C151" s="87"/>
      <c r="E151" s="107"/>
      <c r="F151" s="95"/>
      <c r="G151" s="96"/>
    </row>
    <row r="152">
      <c r="A152" s="87"/>
      <c r="B152" s="87" t="str">
        <f>IFERROR(__xludf.DUMMYFUNCTION("""COMPUTED_VALUE"""),"2 - SD RHUAN SAMUEL SANTOS SOARES")</f>
        <v>2 - SD RHUAN SAMUEL SANTOS SOARES</v>
      </c>
      <c r="C152" s="87"/>
      <c r="E152" s="107"/>
      <c r="F152" s="95"/>
      <c r="G152" s="96"/>
    </row>
    <row r="153">
      <c r="A153" s="87"/>
      <c r="B153" s="87" t="str">
        <f>IFERROR(__xludf.DUMMYFUNCTION("""COMPUTED_VALUE"""),"2 - SD RODRIGO BARBOSA VIÇOSO")</f>
        <v>2 - SD RODRIGO BARBOSA VIÇOSO</v>
      </c>
      <c r="C153" s="87"/>
      <c r="E153" s="107"/>
      <c r="F153" s="95"/>
      <c r="G153" s="96"/>
    </row>
    <row r="154">
      <c r="A154" s="87"/>
      <c r="B154" s="87" t="str">
        <f>IFERROR(__xludf.DUMMYFUNCTION("""COMPUTED_VALUE"""),"2 - SD SANDRO ANTÔNIO PEREIRA NASCIMENTO")</f>
        <v>2 - SD SANDRO ANTÔNIO PEREIRA NASCIMENTO</v>
      </c>
      <c r="C154" s="87"/>
      <c r="E154" s="107"/>
      <c r="F154" s="95"/>
      <c r="G154" s="96"/>
    </row>
    <row r="155">
      <c r="A155" s="87"/>
      <c r="B155" s="87" t="str">
        <f>IFERROR(__xludf.DUMMYFUNCTION("""COMPUTED_VALUE"""),"2 - SD THIAGO AZEVEDO DE FREITAS COSTA")</f>
        <v>2 - SD THIAGO AZEVEDO DE FREITAS COSTA</v>
      </c>
      <c r="C155" s="87"/>
      <c r="E155" s="107"/>
      <c r="F155" s="95"/>
      <c r="G155" s="96"/>
    </row>
    <row r="156">
      <c r="A156" s="87"/>
      <c r="B156" s="87" t="str">
        <f>IFERROR(__xludf.DUMMYFUNCTION("""COMPUTED_VALUE"""),"2 - SD THIAGO AZEVEDO DE FREITAS COSTA")</f>
        <v>2 - SD THIAGO AZEVEDO DE FREITAS COSTA</v>
      </c>
      <c r="C156" s="87"/>
      <c r="E156" s="107"/>
      <c r="F156" s="95"/>
      <c r="G156" s="96"/>
    </row>
    <row r="157">
      <c r="A157" s="87"/>
      <c r="B157" s="87" t="str">
        <f>IFERROR(__xludf.DUMMYFUNCTION("""COMPUTED_VALUE"""),"2 - SD TIAGO DIAS MARIANO")</f>
        <v>2 - SD TIAGO DIAS MARIANO</v>
      </c>
      <c r="C157" s="87"/>
      <c r="E157" s="107"/>
      <c r="F157" s="95"/>
      <c r="G157" s="96"/>
    </row>
    <row r="158">
      <c r="A158" s="87"/>
      <c r="B158" s="87" t="str">
        <f>IFERROR(__xludf.DUMMYFUNCTION("""COMPUTED_VALUE"""),"2 - SD TÚLIO FONSECA PAES DE CASTRO")</f>
        <v>2 - SD TÚLIO FONSECA PAES DE CASTRO</v>
      </c>
      <c r="C158" s="87"/>
      <c r="E158" s="107"/>
      <c r="F158" s="95"/>
      <c r="G158" s="96"/>
    </row>
    <row r="159">
      <c r="A159" s="87"/>
      <c r="B159" s="87" t="str">
        <f>IFERROR(__xludf.DUMMYFUNCTION("""COMPUTED_VALUE"""),"2 - SD VITOR GONTIJO RODRIGUES")</f>
        <v>2 - SD VITOR GONTIJO RODRIGUES</v>
      </c>
      <c r="C159" s="87"/>
      <c r="E159" s="107"/>
      <c r="F159" s="95"/>
      <c r="G159" s="96"/>
    </row>
    <row r="160">
      <c r="A160" s="87"/>
      <c r="B160" s="87" t="str">
        <f>IFERROR(__xludf.DUMMYFUNCTION("""COMPUTED_VALUE"""),"2 - SD WESLEY DE SOUZA SOARES")</f>
        <v>2 - SD WESLEY DE SOUZA SOARES</v>
      </c>
      <c r="C160" s="87"/>
      <c r="E160" s="107"/>
      <c r="F160" s="95"/>
      <c r="G160" s="96"/>
    </row>
    <row r="161">
      <c r="A161" s="87"/>
      <c r="B161" s="87" t="str">
        <f>IFERROR(__xludf.DUMMYFUNCTION("""COMPUTED_VALUE"""),"2 - SUBTEN DAWISON MAIA FERNANDES")</f>
        <v>2 - SUBTEN DAWISON MAIA FERNANDES</v>
      </c>
      <c r="C161" s="87"/>
      <c r="E161" s="107"/>
      <c r="F161" s="95"/>
      <c r="G161" s="96"/>
    </row>
    <row r="162">
      <c r="A162" s="87"/>
      <c r="B162" s="87" t="str">
        <f>IFERROR(__xludf.DUMMYFUNCTION("""COMPUTED_VALUE"""),"2 - SUBTEN WALISTON ALEX DOURADO SIQUEIRA")</f>
        <v>2 - SUBTEN WALISTON ALEX DOURADO SIQUEIRA</v>
      </c>
      <c r="C162" s="87"/>
      <c r="E162" s="107"/>
      <c r="F162" s="95"/>
      <c r="G162" s="96"/>
    </row>
    <row r="163">
      <c r="A163" s="87"/>
      <c r="B163" s="87" t="str">
        <f>IFERROR(__xludf.DUMMYFUNCTION("""COMPUTED_VALUE"""),"2 - TEN CEL HEITOR AGUIAR MENDONÇA")</f>
        <v>2 - TEN CEL HEITOR AGUIAR MENDONÇA</v>
      </c>
      <c r="C163" s="87"/>
      <c r="E163" s="107"/>
      <c r="F163" s="95"/>
      <c r="G163" s="96"/>
    </row>
    <row r="164">
      <c r="A164" s="87"/>
      <c r="B164" s="87" t="str">
        <f>IFERROR(__xludf.DUMMYFUNCTION("""COMPUTED_VALUE"""),"2- SD PEDRO HENRIQUE PASSOS PEREIRA")</f>
        <v>2- SD PEDRO HENRIQUE PASSOS PEREIRA</v>
      </c>
      <c r="C164" s="87"/>
      <c r="E164" s="107"/>
      <c r="F164" s="95"/>
      <c r="G164" s="96"/>
    </row>
    <row r="165">
      <c r="A165" s="87"/>
      <c r="B165" s="87" t="str">
        <f>IFERROR(__xludf.DUMMYFUNCTION("""COMPUTED_VALUE"""),"2 - 3º SGT ADILSON BARBOSA VIEIRA JUNIOR")</f>
        <v>2 - 3º SGT ADILSON BARBOSA VIEIRA JUNIOR</v>
      </c>
      <c r="C165" s="87"/>
      <c r="E165" s="107"/>
      <c r="F165" s="95"/>
      <c r="G165" s="96"/>
    </row>
    <row r="166">
      <c r="A166" s="87"/>
      <c r="B166" s="87" t="str">
        <f>IFERROR(__xludf.DUMMYFUNCTION("""COMPUTED_VALUE"""),"2 - 3º SGT JONAS FERREIRA ROCHA")</f>
        <v>2 - 3º SGT JONAS FERREIRA ROCHA</v>
      </c>
      <c r="C166" s="87"/>
      <c r="E166" s="107"/>
      <c r="F166" s="95"/>
      <c r="G166" s="96"/>
    </row>
    <row r="167">
      <c r="A167" s="87"/>
      <c r="B167" s="87" t="str">
        <f>IFERROR(__xludf.DUMMYFUNCTION("""COMPUTED_VALUE"""),"2 - 3º SGT MOISES DA LUZ BALBINO")</f>
        <v>2 - 3º SGT MOISES DA LUZ BALBINO</v>
      </c>
      <c r="C167" s="87"/>
      <c r="E167" s="107"/>
      <c r="F167" s="95"/>
      <c r="G167" s="96"/>
    </row>
    <row r="168">
      <c r="A168" s="87"/>
      <c r="B168" s="87" t="str">
        <f>IFERROR(__xludf.DUMMYFUNCTION("""COMPUTED_VALUE"""),"2 - 3º SGT RICARDO LEITE NERES")</f>
        <v>2 - 3º SGT RICARDO LEITE NERES</v>
      </c>
      <c r="C168" s="87"/>
      <c r="E168" s="107"/>
      <c r="F168" s="95"/>
      <c r="G168" s="96"/>
    </row>
    <row r="169">
      <c r="A169" s="87"/>
      <c r="B169" s="87" t="str">
        <f>IFERROR(__xludf.DUMMYFUNCTION("""COMPUTED_VALUE"""),"2 - 3º SGT HUGO NUNES ALEXANDRE")</f>
        <v>2 - 3º SGT HUGO NUNES ALEXANDRE</v>
      </c>
      <c r="C169" s="87"/>
      <c r="E169" s="107"/>
      <c r="F169" s="95"/>
      <c r="G169" s="96"/>
    </row>
    <row r="170">
      <c r="A170" s="87"/>
      <c r="B170" s="87" t="str">
        <f>IFERROR(__xludf.DUMMYFUNCTION("""COMPUTED_VALUE"""),"2 - 3º SGT ANTONIO CARLOS DE ABREU FILHO")</f>
        <v>2 - 3º SGT ANTONIO CARLOS DE ABREU FILHO</v>
      </c>
      <c r="C170" s="87"/>
      <c r="E170" s="107"/>
      <c r="F170" s="95"/>
      <c r="G170" s="96"/>
    </row>
    <row r="171">
      <c r="A171" s="87"/>
      <c r="B171" s="87" t="str">
        <f>IFERROR(__xludf.DUMMYFUNCTION("""COMPUTED_VALUE"""),"2 - 3º SGT HERNANE SILVA FERREIRA")</f>
        <v>2 - 3º SGT HERNANE SILVA FERREIRA</v>
      </c>
      <c r="C171" s="87"/>
      <c r="E171" s="107"/>
      <c r="F171" s="95"/>
      <c r="G171" s="96"/>
    </row>
    <row r="172">
      <c r="A172" s="87"/>
      <c r="B172" s="87" t="str">
        <f>IFERROR(__xludf.DUMMYFUNCTION("""COMPUTED_VALUE"""),"2 - 3º SGT RENAN MENDES ROCHA")</f>
        <v>2 - 3º SGT RENAN MENDES ROCHA</v>
      </c>
      <c r="C172" s="87"/>
      <c r="E172" s="107"/>
      <c r="F172" s="95"/>
      <c r="G172" s="96"/>
    </row>
    <row r="173">
      <c r="A173" s="87"/>
      <c r="B173" s="87" t="str">
        <f>IFERROR(__xludf.DUMMYFUNCTION("""COMPUTED_VALUE"""),"2 - 3º SGT SOLIMAR SILVA NEVES PAIVA DE ARAUJO")</f>
        <v>2 - 3º SGT SOLIMAR SILVA NEVES PAIVA DE ARAUJO</v>
      </c>
      <c r="C173" s="87"/>
      <c r="E173" s="107"/>
      <c r="F173" s="95"/>
      <c r="G173" s="96"/>
    </row>
    <row r="174">
      <c r="A174" s="87"/>
      <c r="B174" s="87" t="str">
        <f>IFERROR(__xludf.DUMMYFUNCTION("""COMPUTED_VALUE"""),"3 - 1ª ALA OP.")</f>
        <v>3 - 1ª ALA OP.</v>
      </c>
      <c r="C174" s="87"/>
      <c r="E174" s="107"/>
      <c r="F174" s="95"/>
      <c r="G174" s="96"/>
    </row>
    <row r="175">
      <c r="A175" s="87"/>
      <c r="B175" s="87" t="str">
        <f>IFERROR(__xludf.DUMMYFUNCTION("""COMPUTED_VALUE"""),"3 - 1ª CIA OP")</f>
        <v>3 - 1ª CIA OP</v>
      </c>
      <c r="C175" s="87"/>
      <c r="E175" s="107"/>
      <c r="F175" s="95"/>
      <c r="G175" s="96"/>
    </row>
    <row r="176">
      <c r="A176" s="87"/>
      <c r="B176" s="87" t="str">
        <f>IFERROR(__xludf.DUMMYFUNCTION("""COMPUTED_VALUE"""),"3 - 2ª ALA OP.")</f>
        <v>3 - 2ª ALA OP.</v>
      </c>
      <c r="C176" s="87"/>
      <c r="E176" s="107"/>
      <c r="F176" s="95"/>
      <c r="G176" s="96"/>
    </row>
    <row r="177">
      <c r="A177" s="87"/>
      <c r="B177" s="87" t="str">
        <f>IFERROR(__xludf.DUMMYFUNCTION("""COMPUTED_VALUE"""),"3 - 3ª ALA OP.")</f>
        <v>3 - 3ª ALA OP.</v>
      </c>
      <c r="C177" s="87"/>
      <c r="E177" s="107"/>
      <c r="F177" s="95"/>
      <c r="G177" s="96"/>
    </row>
    <row r="178">
      <c r="A178" s="87"/>
      <c r="B178" s="87" t="str">
        <f>IFERROR(__xludf.DUMMYFUNCTION("""COMPUTED_VALUE"""),"3 - 4ª ALA OP.")</f>
        <v>3 - 4ª ALA OP.</v>
      </c>
      <c r="C178" s="87"/>
      <c r="E178" s="107"/>
      <c r="F178" s="95"/>
      <c r="G178" s="96"/>
    </row>
    <row r="179">
      <c r="A179" s="87"/>
      <c r="B179" s="87" t="str">
        <f>IFERROR(__xludf.DUMMYFUNCTION("""COMPUTED_VALUE"""),"3 - ABM")</f>
        <v>3 - ABM</v>
      </c>
      <c r="C179" s="87"/>
      <c r="E179" s="107"/>
      <c r="F179" s="95"/>
      <c r="G179" s="96"/>
    </row>
    <row r="180">
      <c r="A180" s="87"/>
      <c r="B180" s="87" t="str">
        <f>IFERROR(__xludf.DUMMYFUNCTION("""COMPUTED_VALUE"""),"3 - ADM Cia OP.")</f>
        <v>3 - ADM Cia OP.</v>
      </c>
      <c r="C180" s="87"/>
      <c r="E180" s="107"/>
      <c r="F180" s="95"/>
      <c r="G180" s="96"/>
    </row>
    <row r="181">
      <c r="A181" s="87"/>
      <c r="B181" s="87" t="str">
        <f>IFERROR(__xludf.DUMMYFUNCTION("""COMPUTED_VALUE"""),"3 - ALMOX. ESTOQUE")</f>
        <v>3 - ALMOX. ESTOQUE</v>
      </c>
      <c r="C181" s="87"/>
      <c r="E181" s="107"/>
      <c r="F181" s="95"/>
      <c r="G181" s="96"/>
    </row>
    <row r="182">
      <c r="A182" s="87"/>
      <c r="B182" s="87" t="str">
        <f>IFERROR(__xludf.DUMMYFUNCTION("""COMPUTED_VALUE"""),"3 - ALOJAMENTO FEM (SEDE)")</f>
        <v>3 - ALOJAMENTO FEM (SEDE)</v>
      </c>
      <c r="C182" s="87"/>
      <c r="E182" s="107"/>
      <c r="F182" s="95"/>
      <c r="G182" s="96"/>
    </row>
    <row r="183">
      <c r="A183" s="87"/>
      <c r="B183" s="87" t="str">
        <f>IFERROR(__xludf.DUMMYFUNCTION("""COMPUTED_VALUE"""),"3 - ÁREA DE VEÍCULOS ESTACIONÁRIOS")</f>
        <v>3 - ÁREA DE VEÍCULOS ESTACIONÁRIOS</v>
      </c>
      <c r="C183" s="87"/>
      <c r="E183" s="107"/>
      <c r="F183" s="95"/>
      <c r="G183" s="96"/>
    </row>
    <row r="184">
      <c r="A184" s="87"/>
      <c r="B184" s="87" t="str">
        <f>IFERROR(__xludf.DUMMYFUNCTION("""COMPUTED_VALUE"""),"3 - ARMARIA")</f>
        <v>3 - ARMARIA</v>
      </c>
      <c r="C184" s="87"/>
      <c r="E184" s="107"/>
      <c r="F184" s="95"/>
      <c r="G184" s="96"/>
    </row>
    <row r="185">
      <c r="A185" s="87"/>
      <c r="B185" s="87" t="str">
        <f>IFERROR(__xludf.DUMMYFUNCTION("""COMPUTED_VALUE"""),"3 - B4 CURVELO")</f>
        <v>3 - B4 CURVELO</v>
      </c>
      <c r="C185" s="87"/>
      <c r="E185" s="107"/>
      <c r="F185" s="95"/>
      <c r="G185" s="96"/>
    </row>
    <row r="186">
      <c r="A186" s="87"/>
      <c r="B186" s="87" t="str">
        <f>IFERROR(__xludf.DUMMYFUNCTION("""COMPUTED_VALUE"""),"3 - CARTÓRIO")</f>
        <v>3 - CARTÓRIO</v>
      </c>
      <c r="C186" s="87"/>
      <c r="E186" s="107"/>
      <c r="F186" s="95"/>
      <c r="G186" s="96"/>
    </row>
    <row r="187">
      <c r="A187" s="87"/>
      <c r="B187" s="87" t="str">
        <f>IFERROR(__xludf.DUMMYFUNCTION("""COMPUTED_VALUE"""),"3 - COMANDANTE")</f>
        <v>3 - COMANDANTE</v>
      </c>
      <c r="C187" s="87"/>
      <c r="E187" s="107"/>
      <c r="F187" s="95"/>
      <c r="G187" s="96"/>
    </row>
    <row r="188">
      <c r="A188" s="87"/>
      <c r="B188" s="87" t="str">
        <f>IFERROR(__xludf.DUMMYFUNCTION("""COMPUTED_VALUE"""),"3 - CONTABIL")</f>
        <v>3 - CONTABIL</v>
      </c>
      <c r="C188" s="87"/>
      <c r="E188" s="107"/>
      <c r="F188" s="95"/>
      <c r="G188" s="96"/>
    </row>
    <row r="189">
      <c r="A189" s="87"/>
      <c r="B189" s="87" t="str">
        <f>IFERROR(__xludf.DUMMYFUNCTION("""COMPUTED_VALUE"""),"3 - CSM")</f>
        <v>3 - CSM</v>
      </c>
      <c r="C189" s="87"/>
      <c r="E189" s="107"/>
      <c r="F189" s="95"/>
      <c r="G189" s="96"/>
    </row>
    <row r="190">
      <c r="A190" s="87"/>
      <c r="B190" s="87" t="str">
        <f>IFERROR(__xludf.DUMMYFUNCTION("""COMPUTED_VALUE"""),"3 - CURVELO")</f>
        <v>3 - CURVELO</v>
      </c>
      <c r="C190" s="87"/>
      <c r="E190" s="107"/>
      <c r="F190" s="95"/>
      <c r="G190" s="96"/>
    </row>
    <row r="191">
      <c r="A191" s="87"/>
      <c r="B191" s="87" t="str">
        <f>IFERROR(__xludf.DUMMYFUNCTION("""COMPUTED_VALUE"""),"3 - DESCARGA")</f>
        <v>3 - DESCARGA</v>
      </c>
      <c r="C191" s="87"/>
      <c r="E191" s="107"/>
      <c r="F191" s="95"/>
      <c r="G191" s="96"/>
    </row>
    <row r="192">
      <c r="A192" s="87"/>
      <c r="B192" s="87" t="str">
        <f>IFERROR(__xludf.DUMMYFUNCTION("""COMPUTED_VALUE"""),"3 - FROTA 5ª CIA IND")</f>
        <v>3 - FROTA 5ª CIA IND</v>
      </c>
      <c r="C192" s="87"/>
      <c r="E192" s="107"/>
      <c r="F192" s="95"/>
      <c r="G192" s="96"/>
    </row>
    <row r="193">
      <c r="A193" s="87"/>
      <c r="B193" s="87" t="str">
        <f>IFERROR(__xludf.DUMMYFUNCTION("""COMPUTED_VALUE"""),"3 - GRD")</f>
        <v>3 - GRD</v>
      </c>
      <c r="C193" s="87"/>
      <c r="E193" s="107"/>
      <c r="F193" s="95"/>
      <c r="G193" s="96"/>
    </row>
    <row r="194">
      <c r="A194" s="87"/>
      <c r="B194" s="87" t="str">
        <f>IFERROR(__xludf.DUMMYFUNCTION("""COMPUTED_VALUE"""),"3 - GUARDA")</f>
        <v>3 - GUARDA</v>
      </c>
      <c r="C194" s="87"/>
      <c r="E194" s="107"/>
      <c r="F194" s="95"/>
      <c r="G194" s="96"/>
    </row>
    <row r="195">
      <c r="A195" s="87"/>
      <c r="B195" s="87" t="str">
        <f>IFERROR(__xludf.DUMMYFUNCTION("""COMPUTED_VALUE"""),"3 - INDIVIDUAL")</f>
        <v>3 - INDIVIDUAL</v>
      </c>
      <c r="C195" s="87"/>
      <c r="E195" s="107"/>
      <c r="F195" s="95"/>
      <c r="G195" s="96"/>
    </row>
    <row r="196">
      <c r="A196" s="87"/>
      <c r="B196" s="87" t="str">
        <f>IFERROR(__xludf.DUMMYFUNCTION("""COMPUTED_VALUE"""),"3 - NTS")</f>
        <v>3 - NTS</v>
      </c>
      <c r="C196" s="87"/>
      <c r="E196" s="107"/>
      <c r="F196" s="95"/>
      <c r="G196" s="96"/>
    </row>
    <row r="197">
      <c r="A197" s="87"/>
      <c r="B197" s="87" t="str">
        <f>IFERROR(__xludf.DUMMYFUNCTION("""COMPUTED_VALUE"""),"3 - PPV")</f>
        <v>3 - PPV</v>
      </c>
      <c r="C197" s="87"/>
      <c r="E197" s="107"/>
      <c r="F197" s="95"/>
      <c r="G197" s="96"/>
    </row>
    <row r="198">
      <c r="A198" s="87"/>
      <c r="B198" s="87" t="str">
        <f>IFERROR(__xludf.DUMMYFUNCTION("""COMPUTED_VALUE"""),"3 - REFEITÓRIO (SEDE)")</f>
        <v>3 - REFEITÓRIO (SEDE)</v>
      </c>
      <c r="C198" s="87"/>
      <c r="E198" s="107"/>
      <c r="F198" s="95"/>
      <c r="G198" s="96"/>
    </row>
    <row r="199">
      <c r="A199" s="87"/>
      <c r="B199" s="87" t="str">
        <f>IFERROR(__xludf.DUMMYFUNCTION("""COMPUTED_VALUE"""),"3 - SALA DE INSTRUÇÃO")</f>
        <v>3 - SALA DE INSTRUÇÃO</v>
      </c>
      <c r="C199" s="87"/>
      <c r="E199" s="107"/>
      <c r="F199" s="95"/>
      <c r="G199" s="96"/>
    </row>
    <row r="200">
      <c r="A200" s="87"/>
      <c r="B200" s="87" t="str">
        <f>IFERROR(__xludf.DUMMYFUNCTION("""COMPUTED_VALUE"""),"3 - SALA DE MERGULHO (SEDE)")</f>
        <v>3 - SALA DE MERGULHO (SEDE)</v>
      </c>
      <c r="C200" s="87"/>
      <c r="E200" s="107"/>
      <c r="F200" s="95"/>
      <c r="G200" s="96"/>
    </row>
    <row r="201">
      <c r="A201" s="87"/>
      <c r="B201" s="87" t="str">
        <f>IFERROR(__xludf.DUMMYFUNCTION("""COMPUTED_VALUE"""),"3 - SAO")</f>
        <v>3 - SAO</v>
      </c>
      <c r="C201" s="87"/>
      <c r="E201" s="107"/>
      <c r="F201" s="95"/>
      <c r="G201" s="96"/>
    </row>
    <row r="202">
      <c r="A202" s="87"/>
      <c r="B202" s="87" t="str">
        <f>IFERROR(__xludf.DUMMYFUNCTION("""COMPUTED_VALUE"""),"3 - SAO - CURVELO")</f>
        <v>3 - SAO - CURVELO</v>
      </c>
      <c r="C202" s="87"/>
      <c r="E202" s="107"/>
      <c r="F202" s="95"/>
      <c r="G202" s="96"/>
    </row>
    <row r="203">
      <c r="A203" s="87"/>
      <c r="B203" s="87" t="str">
        <f>IFERROR(__xludf.DUMMYFUNCTION("""COMPUTED_VALUE"""),"3 - SEPLAN")</f>
        <v>3 - SEPLAN</v>
      </c>
      <c r="C203" s="87"/>
      <c r="E203" s="107"/>
      <c r="F203" s="95"/>
      <c r="G203" s="96"/>
    </row>
    <row r="204">
      <c r="A204" s="87"/>
      <c r="B204" s="87" t="str">
        <f>IFERROR(__xludf.DUMMYFUNCTION("""COMPUTED_VALUE"""),"3 - SETOR DE MEIOS")</f>
        <v>3 - SETOR DE MEIOS</v>
      </c>
      <c r="C204" s="87"/>
      <c r="E204" s="107"/>
      <c r="F204" s="95"/>
      <c r="G204" s="96"/>
    </row>
    <row r="205">
      <c r="A205" s="87"/>
      <c r="B205" s="87" t="str">
        <f>IFERROR(__xludf.DUMMYFUNCTION("""COMPUTED_VALUE"""),"3 - SOU")</f>
        <v>3 - SOU</v>
      </c>
      <c r="C205" s="87"/>
      <c r="E205" s="107"/>
      <c r="F205" s="95"/>
      <c r="G205" s="96"/>
    </row>
    <row r="206">
      <c r="A206" s="87"/>
      <c r="B206" s="87" t="str">
        <f>IFERROR(__xludf.DUMMYFUNCTION("""COMPUTED_VALUE"""),"3 - SUB COMANDANTE")</f>
        <v>3 - SUB COMANDANTE</v>
      </c>
      <c r="C206" s="87"/>
      <c r="E206" s="107"/>
      <c r="F206" s="95"/>
      <c r="G206" s="96"/>
    </row>
    <row r="207">
      <c r="A207" s="87"/>
      <c r="B207" s="87" t="str">
        <f>IFERROR(__xludf.DUMMYFUNCTION("""COMPUTED_VALUE"""),"3 - SUPRIMENTOS")</f>
        <v>3 - SUPRIMENTOS</v>
      </c>
      <c r="C207" s="87"/>
      <c r="E207" s="107"/>
      <c r="F207" s="95"/>
      <c r="G207" s="96"/>
    </row>
    <row r="208">
      <c r="A208" s="87"/>
      <c r="B208" s="87"/>
      <c r="C208" s="87"/>
      <c r="E208" s="107"/>
      <c r="F208" s="95"/>
      <c r="G208" s="96"/>
    </row>
    <row r="209">
      <c r="A209" s="87"/>
      <c r="B209" s="87"/>
      <c r="C209" s="87"/>
      <c r="E209" s="107"/>
      <c r="F209" s="95"/>
      <c r="G209" s="96"/>
    </row>
    <row r="210">
      <c r="A210" s="87"/>
      <c r="B210" s="87"/>
      <c r="C210" s="87"/>
      <c r="E210" s="107"/>
      <c r="F210" s="95"/>
      <c r="G210" s="96"/>
    </row>
    <row r="211">
      <c r="A211" s="87"/>
      <c r="B211" s="87"/>
      <c r="C211" s="87"/>
      <c r="E211" s="107"/>
      <c r="F211" s="95"/>
      <c r="G211" s="96"/>
    </row>
    <row r="212">
      <c r="A212" s="87"/>
      <c r="B212" s="87"/>
      <c r="C212" s="87"/>
      <c r="E212" s="107"/>
      <c r="F212" s="95"/>
      <c r="G212" s="96"/>
    </row>
    <row r="213">
      <c r="A213" s="87"/>
      <c r="B213" s="87"/>
      <c r="C213" s="87"/>
      <c r="E213" s="107"/>
      <c r="F213" s="95"/>
      <c r="G213" s="96"/>
    </row>
    <row r="214">
      <c r="A214" s="87"/>
      <c r="B214" s="87"/>
      <c r="C214" s="87"/>
      <c r="E214" s="107"/>
      <c r="F214" s="95"/>
      <c r="G214" s="96"/>
    </row>
    <row r="215">
      <c r="A215" s="87"/>
      <c r="B215" s="87"/>
      <c r="C215" s="87"/>
      <c r="E215" s="107"/>
      <c r="F215" s="95"/>
      <c r="G215" s="96"/>
    </row>
    <row r="216">
      <c r="A216" s="87"/>
      <c r="B216" s="87"/>
      <c r="C216" s="87"/>
      <c r="E216" s="107"/>
      <c r="F216" s="95"/>
      <c r="G216" s="96"/>
    </row>
    <row r="217">
      <c r="A217" s="87"/>
      <c r="B217" s="87"/>
      <c r="C217" s="87"/>
      <c r="E217" s="107"/>
      <c r="F217" s="95"/>
      <c r="G217" s="96"/>
    </row>
    <row r="218">
      <c r="A218" s="87"/>
      <c r="B218" s="87"/>
      <c r="C218" s="87"/>
      <c r="E218" s="107"/>
      <c r="F218" s="95"/>
      <c r="G218" s="96"/>
    </row>
    <row r="219">
      <c r="A219" s="87"/>
      <c r="B219" s="87"/>
      <c r="C219" s="87"/>
      <c r="E219" s="107"/>
      <c r="F219" s="95"/>
      <c r="G219" s="96"/>
    </row>
    <row r="220">
      <c r="A220" s="87"/>
      <c r="B220" s="87"/>
      <c r="C220" s="87"/>
      <c r="E220" s="107"/>
      <c r="F220" s="95"/>
      <c r="G220" s="96"/>
    </row>
    <row r="221">
      <c r="A221" s="87"/>
      <c r="B221" s="87"/>
      <c r="C221" s="87"/>
      <c r="E221" s="107"/>
      <c r="F221" s="95"/>
      <c r="G221" s="96"/>
    </row>
    <row r="222">
      <c r="A222" s="87"/>
      <c r="B222" s="87"/>
      <c r="C222" s="87"/>
      <c r="E222" s="107"/>
      <c r="F222" s="95"/>
      <c r="G222" s="96"/>
    </row>
    <row r="223">
      <c r="A223" s="87"/>
      <c r="B223" s="87"/>
      <c r="C223" s="87"/>
      <c r="E223" s="107"/>
      <c r="F223" s="95"/>
      <c r="G223" s="96"/>
    </row>
    <row r="224">
      <c r="A224" s="87"/>
      <c r="B224" s="87"/>
      <c r="C224" s="87"/>
      <c r="E224" s="107"/>
      <c r="F224" s="95"/>
      <c r="G224" s="96"/>
    </row>
    <row r="225">
      <c r="A225" s="87"/>
      <c r="B225" s="87"/>
      <c r="C225" s="87"/>
      <c r="E225" s="107"/>
      <c r="F225" s="95"/>
      <c r="G225" s="96"/>
    </row>
    <row r="226">
      <c r="A226" s="87"/>
      <c r="B226" s="87"/>
      <c r="C226" s="87"/>
      <c r="E226" s="107"/>
      <c r="F226" s="95"/>
      <c r="G226" s="96"/>
    </row>
    <row r="227">
      <c r="A227" s="87"/>
      <c r="B227" s="87"/>
      <c r="C227" s="87"/>
      <c r="E227" s="107"/>
      <c r="F227" s="95"/>
      <c r="G227" s="96"/>
    </row>
    <row r="228">
      <c r="A228" s="87"/>
      <c r="B228" s="87"/>
      <c r="C228" s="87"/>
      <c r="E228" s="107"/>
      <c r="F228" s="95"/>
      <c r="G228" s="96"/>
    </row>
    <row r="229">
      <c r="A229" s="87"/>
      <c r="B229" s="87"/>
      <c r="C229" s="87"/>
      <c r="E229" s="107"/>
      <c r="F229" s="95"/>
      <c r="G229" s="96"/>
    </row>
    <row r="230">
      <c r="A230" s="87"/>
      <c r="B230" s="87"/>
      <c r="C230" s="87"/>
      <c r="E230" s="107"/>
      <c r="F230" s="95"/>
      <c r="G230" s="96"/>
    </row>
    <row r="231">
      <c r="A231" s="87"/>
      <c r="B231" s="87"/>
      <c r="C231" s="87"/>
      <c r="E231" s="107"/>
      <c r="F231" s="95"/>
      <c r="G231" s="96"/>
    </row>
    <row r="232">
      <c r="A232" s="87"/>
      <c r="B232" s="87"/>
      <c r="C232" s="87"/>
      <c r="E232" s="107"/>
      <c r="F232" s="95"/>
      <c r="G232" s="96"/>
    </row>
    <row r="233">
      <c r="A233" s="87"/>
      <c r="B233" s="87"/>
      <c r="C233" s="87"/>
      <c r="E233" s="107"/>
      <c r="F233" s="95"/>
      <c r="G233" s="96"/>
    </row>
    <row r="234">
      <c r="A234" s="87"/>
      <c r="B234" s="87"/>
      <c r="C234" s="87"/>
      <c r="E234" s="107"/>
      <c r="F234" s="95"/>
      <c r="G234" s="96"/>
    </row>
    <row r="235">
      <c r="A235" s="87"/>
      <c r="B235" s="87"/>
      <c r="C235" s="87"/>
      <c r="E235" s="107"/>
      <c r="F235" s="95"/>
      <c r="G235" s="96"/>
    </row>
    <row r="236">
      <c r="A236" s="87"/>
      <c r="B236" s="87"/>
      <c r="C236" s="87"/>
      <c r="E236" s="107"/>
      <c r="F236" s="95"/>
      <c r="G236" s="96"/>
    </row>
    <row r="237">
      <c r="A237" s="87"/>
      <c r="B237" s="87"/>
      <c r="C237" s="87"/>
      <c r="E237" s="107"/>
      <c r="F237" s="95"/>
      <c r="G237" s="96"/>
    </row>
    <row r="238">
      <c r="A238" s="87"/>
      <c r="B238" s="87"/>
      <c r="C238" s="87"/>
      <c r="E238" s="107"/>
      <c r="F238" s="95"/>
      <c r="G238" s="96"/>
    </row>
    <row r="239">
      <c r="A239" s="87"/>
      <c r="B239" s="87"/>
      <c r="C239" s="87"/>
      <c r="E239" s="107"/>
      <c r="F239" s="95"/>
      <c r="G239" s="96"/>
    </row>
    <row r="240">
      <c r="A240" s="87"/>
      <c r="B240" s="87"/>
      <c r="C240" s="87"/>
      <c r="E240" s="107"/>
      <c r="F240" s="95"/>
      <c r="G240" s="96"/>
    </row>
    <row r="241">
      <c r="A241" s="87"/>
      <c r="B241" s="87"/>
      <c r="C241" s="87"/>
      <c r="E241" s="107"/>
      <c r="F241" s="95"/>
      <c r="G241" s="96"/>
    </row>
    <row r="242">
      <c r="A242" s="87"/>
      <c r="B242" s="87"/>
      <c r="C242" s="87"/>
      <c r="E242" s="107"/>
      <c r="F242" s="95"/>
      <c r="G242" s="96"/>
    </row>
    <row r="243">
      <c r="A243" s="87"/>
      <c r="B243" s="87"/>
      <c r="C243" s="87"/>
      <c r="E243" s="107"/>
      <c r="F243" s="95"/>
      <c r="G243" s="96"/>
    </row>
    <row r="244">
      <c r="A244" s="87"/>
      <c r="B244" s="87"/>
      <c r="C244" s="87"/>
      <c r="E244" s="107"/>
      <c r="F244" s="95"/>
      <c r="G244" s="96"/>
    </row>
    <row r="245">
      <c r="A245" s="87"/>
      <c r="B245" s="87"/>
      <c r="C245" s="87"/>
      <c r="E245" s="107"/>
      <c r="F245" s="95"/>
      <c r="G245" s="96"/>
    </row>
    <row r="246">
      <c r="A246" s="87"/>
      <c r="B246" s="87"/>
      <c r="C246" s="87"/>
      <c r="E246" s="107"/>
      <c r="F246" s="95"/>
      <c r="G246" s="96"/>
    </row>
    <row r="247">
      <c r="A247" s="87"/>
      <c r="B247" s="87"/>
      <c r="C247" s="87"/>
      <c r="E247" s="107"/>
      <c r="F247" s="95"/>
      <c r="G247" s="96"/>
    </row>
    <row r="248">
      <c r="A248" s="87"/>
      <c r="B248" s="87"/>
      <c r="C248" s="87"/>
      <c r="E248" s="107"/>
      <c r="F248" s="95"/>
      <c r="G248" s="96"/>
    </row>
    <row r="249">
      <c r="A249" s="87"/>
      <c r="B249" s="87"/>
      <c r="C249" s="87"/>
      <c r="E249" s="107"/>
      <c r="F249" s="95"/>
      <c r="G249" s="96"/>
    </row>
    <row r="250">
      <c r="A250" s="87"/>
      <c r="B250" s="87"/>
      <c r="C250" s="87"/>
      <c r="E250" s="107"/>
      <c r="F250" s="95"/>
      <c r="G250" s="96"/>
    </row>
    <row r="251">
      <c r="A251" s="87"/>
      <c r="B251" s="87"/>
      <c r="C251" s="87"/>
      <c r="E251" s="107"/>
      <c r="F251" s="95"/>
      <c r="G251" s="96"/>
    </row>
    <row r="252">
      <c r="A252" s="87"/>
      <c r="B252" s="87"/>
      <c r="C252" s="87"/>
      <c r="E252" s="107"/>
      <c r="F252" s="95"/>
      <c r="G252" s="96"/>
    </row>
    <row r="253">
      <c r="A253" s="87"/>
      <c r="B253" s="87"/>
      <c r="C253" s="87"/>
      <c r="E253" s="107"/>
      <c r="F253" s="95"/>
      <c r="G253" s="96"/>
    </row>
    <row r="254">
      <c r="A254" s="87"/>
      <c r="B254" s="87"/>
      <c r="C254" s="87"/>
      <c r="E254" s="107"/>
      <c r="F254" s="95"/>
      <c r="G254" s="96"/>
    </row>
    <row r="255">
      <c r="A255" s="87"/>
      <c r="B255" s="87"/>
      <c r="C255" s="87"/>
      <c r="E255" s="107"/>
      <c r="F255" s="95"/>
      <c r="G255" s="96"/>
    </row>
    <row r="256">
      <c r="A256" s="87"/>
      <c r="B256" s="87"/>
      <c r="C256" s="87"/>
      <c r="E256" s="107"/>
      <c r="F256" s="95"/>
      <c r="G256" s="96"/>
    </row>
    <row r="257">
      <c r="A257" s="87"/>
      <c r="B257" s="87"/>
      <c r="C257" s="87"/>
      <c r="E257" s="107"/>
      <c r="F257" s="95"/>
      <c r="G257" s="96"/>
    </row>
    <row r="258">
      <c r="A258" s="87"/>
      <c r="B258" s="87"/>
      <c r="C258" s="87"/>
      <c r="E258" s="107"/>
      <c r="F258" s="95"/>
      <c r="G258" s="96"/>
    </row>
    <row r="259">
      <c r="A259" s="87"/>
      <c r="B259" s="87"/>
      <c r="C259" s="87"/>
      <c r="E259" s="107"/>
      <c r="F259" s="95"/>
      <c r="G259" s="96"/>
    </row>
    <row r="260">
      <c r="A260" s="87"/>
      <c r="B260" s="87"/>
      <c r="C260" s="87"/>
      <c r="E260" s="107"/>
      <c r="F260" s="95"/>
      <c r="G260" s="96"/>
    </row>
    <row r="261">
      <c r="A261" s="87"/>
      <c r="B261" s="87"/>
      <c r="C261" s="87"/>
      <c r="E261" s="107"/>
      <c r="F261" s="95"/>
      <c r="G261" s="96"/>
    </row>
    <row r="262">
      <c r="A262" s="87"/>
      <c r="B262" s="87"/>
      <c r="C262" s="87"/>
      <c r="E262" s="107"/>
      <c r="F262" s="95"/>
      <c r="G262" s="96"/>
    </row>
    <row r="263">
      <c r="A263" s="87"/>
      <c r="B263" s="87"/>
      <c r="C263" s="87"/>
      <c r="E263" s="107"/>
      <c r="F263" s="95"/>
      <c r="G263" s="96"/>
    </row>
    <row r="264">
      <c r="A264" s="87"/>
      <c r="B264" s="87"/>
      <c r="C264" s="87"/>
      <c r="E264" s="107"/>
      <c r="F264" s="95"/>
      <c r="G264" s="96"/>
    </row>
    <row r="265">
      <c r="A265" s="87"/>
      <c r="B265" s="87"/>
      <c r="C265" s="87"/>
      <c r="E265" s="107"/>
      <c r="F265" s="95"/>
      <c r="G265" s="96"/>
    </row>
    <row r="266">
      <c r="A266" s="87"/>
      <c r="B266" s="87"/>
      <c r="C266" s="87"/>
      <c r="E266" s="107"/>
      <c r="F266" s="95"/>
      <c r="G266" s="96"/>
    </row>
    <row r="267">
      <c r="A267" s="87"/>
      <c r="B267" s="87"/>
      <c r="C267" s="87"/>
      <c r="E267" s="107"/>
      <c r="F267" s="95"/>
      <c r="G267" s="96"/>
    </row>
    <row r="268">
      <c r="A268" s="87"/>
      <c r="B268" s="87"/>
      <c r="C268" s="87"/>
      <c r="E268" s="107"/>
      <c r="F268" s="95"/>
      <c r="G268" s="96"/>
    </row>
    <row r="269">
      <c r="A269" s="87"/>
      <c r="B269" s="87"/>
      <c r="C269" s="87"/>
      <c r="E269" s="107"/>
      <c r="F269" s="95"/>
      <c r="G269" s="96"/>
    </row>
    <row r="270">
      <c r="A270" s="87"/>
      <c r="B270" s="87"/>
      <c r="C270" s="87"/>
      <c r="E270" s="107"/>
      <c r="F270" s="95"/>
      <c r="G270" s="96"/>
    </row>
    <row r="271">
      <c r="A271" s="87"/>
      <c r="B271" s="87"/>
      <c r="C271" s="87"/>
      <c r="E271" s="107"/>
      <c r="F271" s="95"/>
      <c r="G271" s="96"/>
    </row>
    <row r="272">
      <c r="A272" s="87"/>
      <c r="B272" s="87"/>
      <c r="C272" s="87"/>
      <c r="E272" s="107"/>
      <c r="F272" s="95"/>
      <c r="G272" s="96"/>
    </row>
    <row r="273">
      <c r="A273" s="87"/>
      <c r="B273" s="87"/>
      <c r="C273" s="87"/>
      <c r="E273" s="107"/>
      <c r="F273" s="95"/>
      <c r="G273" s="96"/>
    </row>
    <row r="274">
      <c r="A274" s="87"/>
      <c r="B274" s="87"/>
      <c r="C274" s="87"/>
      <c r="E274" s="107"/>
      <c r="F274" s="95"/>
      <c r="G274" s="96"/>
    </row>
    <row r="275">
      <c r="A275" s="87"/>
      <c r="B275" s="87"/>
      <c r="C275" s="87"/>
      <c r="E275" s="107"/>
      <c r="F275" s="95"/>
      <c r="G275" s="96"/>
    </row>
    <row r="276">
      <c r="A276" s="87"/>
      <c r="B276" s="87"/>
      <c r="C276" s="87"/>
      <c r="E276" s="107"/>
      <c r="F276" s="95"/>
      <c r="G276" s="96"/>
    </row>
    <row r="277">
      <c r="A277" s="87"/>
      <c r="B277" s="87"/>
      <c r="C277" s="87"/>
      <c r="E277" s="107"/>
      <c r="F277" s="95"/>
      <c r="G277" s="96"/>
    </row>
    <row r="278">
      <c r="A278" s="87"/>
      <c r="B278" s="87"/>
      <c r="C278" s="87"/>
      <c r="E278" s="107"/>
      <c r="F278" s="95"/>
      <c r="G278" s="96"/>
    </row>
    <row r="279">
      <c r="A279" s="87"/>
      <c r="B279" s="87"/>
      <c r="C279" s="87"/>
      <c r="E279" s="107"/>
      <c r="F279" s="95"/>
      <c r="G279" s="96"/>
    </row>
    <row r="280">
      <c r="A280" s="87"/>
      <c r="B280" s="87"/>
      <c r="C280" s="87"/>
      <c r="E280" s="107"/>
      <c r="F280" s="95"/>
      <c r="G280" s="96"/>
    </row>
    <row r="281">
      <c r="A281" s="87"/>
      <c r="B281" s="87"/>
      <c r="C281" s="87"/>
      <c r="E281" s="107"/>
      <c r="F281" s="95"/>
      <c r="G281" s="96"/>
    </row>
    <row r="282">
      <c r="A282" s="87"/>
      <c r="B282" s="87"/>
      <c r="C282" s="87"/>
      <c r="E282" s="107"/>
      <c r="F282" s="95"/>
      <c r="G282" s="96"/>
    </row>
    <row r="283">
      <c r="A283" s="87"/>
      <c r="B283" s="87"/>
      <c r="C283" s="87"/>
      <c r="E283" s="107"/>
      <c r="F283" s="95"/>
      <c r="G283" s="96"/>
    </row>
    <row r="284">
      <c r="A284" s="87"/>
      <c r="B284" s="87"/>
      <c r="C284" s="87"/>
      <c r="E284" s="107"/>
      <c r="F284" s="95"/>
      <c r="G284" s="96"/>
    </row>
    <row r="285">
      <c r="A285" s="87"/>
      <c r="B285" s="87"/>
      <c r="C285" s="87"/>
      <c r="E285" s="107"/>
      <c r="F285" s="95"/>
      <c r="G285" s="96"/>
    </row>
    <row r="286">
      <c r="A286" s="87"/>
      <c r="B286" s="87"/>
      <c r="C286" s="87"/>
      <c r="E286" s="107"/>
      <c r="F286" s="95"/>
      <c r="G286" s="96"/>
    </row>
    <row r="287">
      <c r="A287" s="87"/>
      <c r="B287" s="87"/>
      <c r="C287" s="87"/>
      <c r="E287" s="107"/>
      <c r="F287" s="95"/>
      <c r="G287" s="96"/>
    </row>
    <row r="288">
      <c r="A288" s="87"/>
      <c r="B288" s="87"/>
      <c r="C288" s="87"/>
      <c r="E288" s="107"/>
      <c r="F288" s="95"/>
      <c r="G288" s="96"/>
    </row>
    <row r="289">
      <c r="A289" s="87"/>
      <c r="B289" s="87"/>
      <c r="C289" s="87"/>
      <c r="E289" s="107"/>
      <c r="F289" s="95"/>
      <c r="G289" s="96"/>
    </row>
    <row r="290">
      <c r="A290" s="87"/>
      <c r="B290" s="87"/>
      <c r="C290" s="87"/>
      <c r="E290" s="107"/>
      <c r="F290" s="95"/>
      <c r="G290" s="96"/>
    </row>
    <row r="291">
      <c r="A291" s="87"/>
      <c r="B291" s="87"/>
      <c r="C291" s="87"/>
      <c r="E291" s="107"/>
      <c r="F291" s="95"/>
      <c r="G291" s="96"/>
    </row>
    <row r="292">
      <c r="A292" s="87"/>
      <c r="B292" s="87"/>
      <c r="C292" s="87"/>
      <c r="E292" s="107"/>
      <c r="F292" s="95"/>
      <c r="G292" s="96"/>
    </row>
    <row r="293">
      <c r="A293" s="87"/>
      <c r="B293" s="87"/>
      <c r="C293" s="87"/>
      <c r="E293" s="107"/>
      <c r="F293" s="95"/>
      <c r="G293" s="96"/>
    </row>
    <row r="294">
      <c r="A294" s="87"/>
      <c r="B294" s="87"/>
      <c r="C294" s="87"/>
      <c r="E294" s="107"/>
      <c r="F294" s="95"/>
      <c r="G294" s="96"/>
    </row>
    <row r="295">
      <c r="A295" s="87"/>
      <c r="B295" s="87"/>
      <c r="C295" s="87"/>
      <c r="E295" s="107"/>
      <c r="F295" s="95"/>
      <c r="G295" s="96"/>
    </row>
    <row r="296">
      <c r="A296" s="87"/>
      <c r="B296" s="87"/>
      <c r="C296" s="87"/>
      <c r="E296" s="107"/>
      <c r="F296" s="95"/>
      <c r="G296" s="96"/>
    </row>
    <row r="297">
      <c r="A297" s="87"/>
      <c r="B297" s="87"/>
      <c r="C297" s="87"/>
      <c r="E297" s="107"/>
      <c r="F297" s="95"/>
      <c r="G297" s="96"/>
    </row>
    <row r="298">
      <c r="A298" s="87"/>
      <c r="B298" s="87"/>
      <c r="C298" s="87"/>
      <c r="E298" s="107"/>
      <c r="F298" s="95"/>
      <c r="G298" s="96"/>
    </row>
    <row r="299">
      <c r="A299" s="87"/>
      <c r="B299" s="87"/>
      <c r="C299" s="87"/>
      <c r="E299" s="107"/>
      <c r="F299" s="95"/>
      <c r="G299" s="96"/>
    </row>
    <row r="300">
      <c r="A300" s="87"/>
      <c r="B300" s="87"/>
      <c r="C300" s="87"/>
      <c r="E300" s="107"/>
      <c r="F300" s="95"/>
      <c r="G300" s="96"/>
    </row>
    <row r="301">
      <c r="A301" s="87"/>
      <c r="B301" s="87"/>
      <c r="C301" s="87"/>
      <c r="E301" s="107"/>
      <c r="F301" s="95"/>
      <c r="G301" s="96"/>
    </row>
    <row r="302">
      <c r="A302" s="87"/>
      <c r="B302" s="87"/>
      <c r="C302" s="87"/>
      <c r="E302" s="107"/>
      <c r="F302" s="95"/>
      <c r="G302" s="96"/>
    </row>
    <row r="303">
      <c r="A303" s="87"/>
      <c r="B303" s="87"/>
      <c r="C303" s="87"/>
      <c r="E303" s="107"/>
      <c r="F303" s="95"/>
      <c r="G303" s="96"/>
    </row>
    <row r="304">
      <c r="A304" s="87"/>
      <c r="B304" s="87"/>
      <c r="C304" s="87"/>
      <c r="E304" s="107"/>
      <c r="F304" s="95"/>
      <c r="G304" s="96"/>
    </row>
    <row r="305">
      <c r="A305" s="87"/>
      <c r="B305" s="87"/>
      <c r="C305" s="87"/>
      <c r="E305" s="107"/>
      <c r="F305" s="95"/>
      <c r="G305" s="96"/>
    </row>
    <row r="306">
      <c r="A306" s="87"/>
      <c r="B306" s="87"/>
      <c r="C306" s="87"/>
      <c r="E306" s="107"/>
      <c r="F306" s="95"/>
      <c r="G306" s="96"/>
    </row>
    <row r="307">
      <c r="A307" s="87"/>
      <c r="B307" s="87"/>
      <c r="C307" s="87"/>
      <c r="E307" s="107"/>
      <c r="F307" s="95"/>
      <c r="G307" s="96"/>
    </row>
    <row r="308">
      <c r="A308" s="87"/>
      <c r="B308" s="87"/>
      <c r="C308" s="87"/>
      <c r="E308" s="107"/>
      <c r="F308" s="95"/>
      <c r="G308" s="96"/>
    </row>
    <row r="309">
      <c r="A309" s="87"/>
      <c r="B309" s="87"/>
      <c r="C309" s="87"/>
      <c r="E309" s="107"/>
      <c r="F309" s="95"/>
      <c r="G309" s="96"/>
    </row>
    <row r="310">
      <c r="A310" s="87"/>
      <c r="B310" s="87"/>
      <c r="C310" s="87"/>
      <c r="E310" s="107"/>
      <c r="F310" s="95"/>
      <c r="G310" s="96"/>
    </row>
    <row r="311">
      <c r="E311" s="107"/>
      <c r="F311" s="95"/>
      <c r="G311" s="96"/>
    </row>
    <row r="312">
      <c r="E312" s="107"/>
      <c r="F312" s="95"/>
      <c r="G312" s="96"/>
    </row>
    <row r="313">
      <c r="E313" s="107"/>
      <c r="F313" s="95"/>
      <c r="G313" s="96"/>
    </row>
    <row r="314">
      <c r="E314" s="107"/>
      <c r="F314" s="95"/>
      <c r="G314" s="96"/>
    </row>
    <row r="315">
      <c r="E315" s="107"/>
      <c r="F315" s="95"/>
      <c r="G315" s="96"/>
    </row>
    <row r="316">
      <c r="E316" s="107"/>
      <c r="F316" s="95"/>
      <c r="G316" s="96"/>
    </row>
    <row r="317">
      <c r="E317" s="107"/>
      <c r="F317" s="95"/>
      <c r="G317" s="96"/>
    </row>
    <row r="318">
      <c r="E318" s="107"/>
      <c r="F318" s="95"/>
      <c r="G318" s="96"/>
    </row>
    <row r="319">
      <c r="E319" s="107"/>
      <c r="F319" s="95"/>
      <c r="G319" s="96"/>
    </row>
    <row r="320">
      <c r="E320" s="107"/>
      <c r="F320" s="95"/>
      <c r="G320" s="96"/>
    </row>
    <row r="321">
      <c r="E321" s="107"/>
      <c r="F321" s="95"/>
      <c r="G321" s="96"/>
    </row>
    <row r="322">
      <c r="E322" s="107"/>
      <c r="F322" s="95"/>
      <c r="G322" s="96"/>
    </row>
    <row r="323">
      <c r="E323" s="107"/>
      <c r="F323" s="95"/>
      <c r="G323" s="96"/>
    </row>
    <row r="324">
      <c r="E324" s="107"/>
      <c r="F324" s="95"/>
      <c r="G324" s="96"/>
    </row>
    <row r="325">
      <c r="E325" s="107"/>
      <c r="F325" s="95"/>
      <c r="G325" s="96"/>
    </row>
    <row r="326">
      <c r="E326" s="107"/>
      <c r="F326" s="95"/>
      <c r="G326" s="96"/>
    </row>
    <row r="327">
      <c r="E327" s="107"/>
      <c r="F327" s="95"/>
      <c r="G327" s="96"/>
    </row>
    <row r="328">
      <c r="E328" s="107"/>
      <c r="F328" s="95"/>
      <c r="G328" s="96"/>
    </row>
    <row r="329">
      <c r="E329" s="107"/>
      <c r="F329" s="95"/>
      <c r="G329" s="96"/>
    </row>
    <row r="330">
      <c r="E330" s="107"/>
      <c r="F330" s="95"/>
      <c r="G330" s="96"/>
    </row>
    <row r="331">
      <c r="E331" s="107"/>
      <c r="F331" s="95"/>
      <c r="G331" s="96"/>
    </row>
    <row r="332">
      <c r="E332" s="107"/>
      <c r="F332" s="95"/>
      <c r="G332" s="96"/>
    </row>
    <row r="333">
      <c r="E333" s="107"/>
      <c r="F333" s="95"/>
      <c r="G333" s="96"/>
    </row>
    <row r="334">
      <c r="E334" s="107"/>
      <c r="F334" s="95"/>
      <c r="G334" s="96"/>
    </row>
    <row r="335">
      <c r="E335" s="107"/>
      <c r="F335" s="95"/>
      <c r="G335" s="96"/>
    </row>
    <row r="336">
      <c r="E336" s="107"/>
      <c r="F336" s="95"/>
      <c r="G336" s="96"/>
    </row>
    <row r="337">
      <c r="E337" s="107"/>
      <c r="F337" s="95"/>
      <c r="G337" s="96"/>
    </row>
    <row r="338">
      <c r="E338" s="107"/>
      <c r="F338" s="95"/>
      <c r="G338" s="96"/>
    </row>
    <row r="339">
      <c r="E339" s="107"/>
      <c r="F339" s="95"/>
      <c r="G339" s="96"/>
    </row>
    <row r="340">
      <c r="E340" s="107"/>
      <c r="F340" s="95"/>
      <c r="G340" s="96"/>
    </row>
    <row r="341">
      <c r="E341" s="107"/>
      <c r="F341" s="95"/>
      <c r="G341" s="96"/>
    </row>
    <row r="342">
      <c r="E342" s="107"/>
      <c r="F342" s="95"/>
      <c r="G342" s="96"/>
    </row>
    <row r="343">
      <c r="E343" s="107"/>
      <c r="F343" s="95"/>
      <c r="G343" s="96"/>
    </row>
    <row r="344">
      <c r="E344" s="107"/>
      <c r="F344" s="95"/>
      <c r="G344" s="96"/>
    </row>
    <row r="345">
      <c r="E345" s="107"/>
      <c r="F345" s="95"/>
      <c r="G345" s="96"/>
    </row>
    <row r="346">
      <c r="E346" s="107"/>
      <c r="F346" s="95"/>
      <c r="G346" s="96"/>
    </row>
    <row r="347">
      <c r="E347" s="107"/>
      <c r="F347" s="95"/>
      <c r="G347" s="96"/>
    </row>
    <row r="348">
      <c r="E348" s="107"/>
      <c r="F348" s="95"/>
      <c r="G348" s="96"/>
    </row>
    <row r="349">
      <c r="E349" s="107"/>
      <c r="F349" s="95"/>
      <c r="G349" s="96"/>
    </row>
    <row r="350">
      <c r="E350" s="107"/>
      <c r="F350" s="95"/>
      <c r="G350" s="96"/>
    </row>
    <row r="351">
      <c r="E351" s="107"/>
      <c r="F351" s="95"/>
      <c r="G351" s="96"/>
    </row>
    <row r="352">
      <c r="E352" s="107"/>
      <c r="F352" s="95"/>
      <c r="G352" s="96"/>
    </row>
    <row r="353">
      <c r="E353" s="107"/>
      <c r="F353" s="95"/>
      <c r="G353" s="96"/>
    </row>
    <row r="354">
      <c r="E354" s="107"/>
      <c r="F354" s="95"/>
      <c r="G354" s="96"/>
    </row>
    <row r="355">
      <c r="E355" s="107"/>
      <c r="F355" s="95"/>
      <c r="G355" s="96"/>
    </row>
    <row r="356">
      <c r="E356" s="107"/>
      <c r="F356" s="95"/>
      <c r="G356" s="96"/>
    </row>
    <row r="357">
      <c r="E357" s="107"/>
      <c r="F357" s="95"/>
      <c r="G357" s="96"/>
    </row>
    <row r="358">
      <c r="E358" s="107"/>
      <c r="F358" s="95"/>
      <c r="G358" s="96"/>
    </row>
    <row r="359">
      <c r="E359" s="107"/>
      <c r="F359" s="95"/>
      <c r="G359" s="96"/>
    </row>
    <row r="360">
      <c r="E360" s="107"/>
      <c r="F360" s="95"/>
      <c r="G360" s="96"/>
    </row>
    <row r="361">
      <c r="E361" s="107"/>
      <c r="F361" s="95"/>
      <c r="G361" s="96"/>
    </row>
    <row r="362">
      <c r="E362" s="107"/>
      <c r="F362" s="95"/>
      <c r="G362" s="96"/>
    </row>
    <row r="363">
      <c r="E363" s="107"/>
      <c r="F363" s="95"/>
      <c r="G363" s="96"/>
    </row>
    <row r="364">
      <c r="E364" s="107"/>
      <c r="F364" s="95"/>
      <c r="G364" s="96"/>
    </row>
    <row r="365">
      <c r="E365" s="107"/>
      <c r="F365" s="95"/>
      <c r="G365" s="96"/>
    </row>
    <row r="366">
      <c r="E366" s="107"/>
      <c r="F366" s="95"/>
      <c r="G366" s="96"/>
    </row>
    <row r="367">
      <c r="E367" s="107"/>
      <c r="F367" s="95"/>
      <c r="G367" s="96"/>
    </row>
    <row r="368">
      <c r="E368" s="107"/>
      <c r="F368" s="95"/>
      <c r="G368" s="96"/>
    </row>
    <row r="369">
      <c r="E369" s="107"/>
      <c r="F369" s="95"/>
      <c r="G369" s="96"/>
    </row>
    <row r="370">
      <c r="E370" s="107"/>
      <c r="F370" s="95"/>
      <c r="G370" s="96"/>
    </row>
    <row r="371">
      <c r="E371" s="107"/>
      <c r="F371" s="95"/>
      <c r="G371" s="96"/>
    </row>
    <row r="372">
      <c r="E372" s="107"/>
      <c r="F372" s="95"/>
      <c r="G372" s="96"/>
    </row>
    <row r="373">
      <c r="E373" s="107"/>
      <c r="F373" s="95"/>
      <c r="G373" s="96"/>
    </row>
    <row r="374">
      <c r="E374" s="107"/>
      <c r="F374" s="95"/>
      <c r="G374" s="96"/>
    </row>
    <row r="375">
      <c r="E375" s="107"/>
      <c r="F375" s="95"/>
      <c r="G375" s="96"/>
    </row>
    <row r="376">
      <c r="E376" s="107"/>
      <c r="F376" s="95"/>
      <c r="G376" s="96"/>
    </row>
    <row r="377">
      <c r="E377" s="107"/>
      <c r="F377" s="95"/>
      <c r="G377" s="96"/>
    </row>
    <row r="378">
      <c r="E378" s="107"/>
      <c r="F378" s="95"/>
      <c r="G378" s="96"/>
    </row>
    <row r="379">
      <c r="E379" s="107"/>
      <c r="F379" s="95"/>
      <c r="G379" s="96"/>
    </row>
    <row r="380">
      <c r="E380" s="107"/>
      <c r="F380" s="95"/>
      <c r="G380" s="96"/>
    </row>
    <row r="381">
      <c r="E381" s="107"/>
      <c r="F381" s="95"/>
      <c r="G381" s="96"/>
    </row>
    <row r="382">
      <c r="E382" s="107"/>
      <c r="F382" s="95"/>
      <c r="G382" s="96"/>
    </row>
    <row r="383">
      <c r="E383" s="107"/>
      <c r="F383" s="95"/>
      <c r="G383" s="96"/>
    </row>
    <row r="384">
      <c r="E384" s="107"/>
      <c r="F384" s="95"/>
      <c r="G384" s="96"/>
    </row>
    <row r="385">
      <c r="E385" s="107"/>
      <c r="F385" s="95"/>
      <c r="G385" s="96"/>
    </row>
    <row r="386">
      <c r="E386" s="107"/>
      <c r="F386" s="95"/>
      <c r="G386" s="96"/>
    </row>
    <row r="387">
      <c r="E387" s="107"/>
      <c r="F387" s="95"/>
      <c r="G387" s="96"/>
    </row>
    <row r="388">
      <c r="E388" s="107"/>
      <c r="F388" s="95"/>
      <c r="G388" s="96"/>
    </row>
    <row r="389">
      <c r="E389" s="107"/>
      <c r="F389" s="95"/>
      <c r="G389" s="96"/>
    </row>
    <row r="390">
      <c r="E390" s="107"/>
      <c r="F390" s="95"/>
      <c r="G390" s="96"/>
    </row>
    <row r="391">
      <c r="E391" s="107"/>
      <c r="F391" s="95"/>
      <c r="G391" s="96"/>
    </row>
    <row r="392">
      <c r="E392" s="107"/>
      <c r="F392" s="95"/>
      <c r="G392" s="96"/>
    </row>
    <row r="393">
      <c r="E393" s="107"/>
      <c r="F393" s="95"/>
      <c r="G393" s="96"/>
    </row>
    <row r="394">
      <c r="E394" s="107"/>
      <c r="F394" s="95"/>
      <c r="G394" s="96"/>
    </row>
    <row r="395">
      <c r="E395" s="107"/>
      <c r="F395" s="95"/>
      <c r="G395" s="96"/>
    </row>
    <row r="396">
      <c r="E396" s="107"/>
      <c r="F396" s="95"/>
      <c r="G396" s="96"/>
    </row>
    <row r="397">
      <c r="E397" s="107"/>
      <c r="F397" s="95"/>
      <c r="G397" s="96"/>
    </row>
    <row r="398">
      <c r="E398" s="107"/>
      <c r="F398" s="95"/>
      <c r="G398" s="96"/>
    </row>
    <row r="399">
      <c r="E399" s="107"/>
      <c r="F399" s="95"/>
      <c r="G399" s="96"/>
    </row>
    <row r="400">
      <c r="E400" s="107"/>
      <c r="F400" s="95"/>
      <c r="G400" s="96"/>
    </row>
    <row r="401">
      <c r="E401" s="107"/>
      <c r="F401" s="95"/>
      <c r="G401" s="96"/>
    </row>
    <row r="402">
      <c r="E402" s="107"/>
      <c r="F402" s="95"/>
      <c r="G402" s="96"/>
    </row>
    <row r="403">
      <c r="E403" s="107"/>
      <c r="F403" s="95"/>
      <c r="G403" s="96"/>
    </row>
    <row r="404">
      <c r="E404" s="107"/>
      <c r="F404" s="95"/>
      <c r="G404" s="96"/>
    </row>
    <row r="405">
      <c r="E405" s="107"/>
      <c r="F405" s="95"/>
      <c r="G405" s="96"/>
    </row>
    <row r="406">
      <c r="E406" s="107"/>
      <c r="F406" s="95"/>
      <c r="G406" s="96"/>
    </row>
    <row r="407">
      <c r="E407" s="107"/>
      <c r="F407" s="95"/>
      <c r="G407" s="96"/>
    </row>
    <row r="408">
      <c r="E408" s="107"/>
      <c r="F408" s="95"/>
      <c r="G408" s="96"/>
    </row>
    <row r="409">
      <c r="E409" s="107"/>
      <c r="F409" s="95"/>
      <c r="G409" s="96"/>
    </row>
    <row r="410">
      <c r="E410" s="107"/>
      <c r="F410" s="95"/>
      <c r="G410" s="96"/>
    </row>
    <row r="411">
      <c r="E411" s="107"/>
      <c r="F411" s="95"/>
      <c r="G411" s="96"/>
    </row>
    <row r="412">
      <c r="E412" s="107"/>
      <c r="F412" s="95"/>
      <c r="G412" s="96"/>
    </row>
    <row r="413">
      <c r="E413" s="107"/>
      <c r="F413" s="95"/>
      <c r="G413" s="96"/>
    </row>
    <row r="414">
      <c r="E414" s="107"/>
      <c r="F414" s="95"/>
      <c r="G414" s="96"/>
    </row>
    <row r="415">
      <c r="E415" s="107"/>
      <c r="F415" s="95"/>
      <c r="G415" s="96"/>
    </row>
    <row r="416">
      <c r="E416" s="107"/>
      <c r="F416" s="95"/>
      <c r="G416" s="96"/>
    </row>
    <row r="417">
      <c r="E417" s="107"/>
      <c r="F417" s="95"/>
      <c r="G417" s="96"/>
    </row>
    <row r="418">
      <c r="E418" s="107"/>
      <c r="F418" s="95"/>
      <c r="G418" s="96"/>
    </row>
    <row r="419">
      <c r="E419" s="107"/>
      <c r="F419" s="95"/>
      <c r="G419" s="96"/>
    </row>
    <row r="420">
      <c r="E420" s="107"/>
      <c r="F420" s="95"/>
      <c r="G420" s="96"/>
    </row>
    <row r="421">
      <c r="E421" s="107"/>
      <c r="F421" s="95"/>
      <c r="G421" s="96"/>
    </row>
    <row r="422">
      <c r="E422" s="107"/>
      <c r="F422" s="95"/>
      <c r="G422" s="96"/>
    </row>
    <row r="423">
      <c r="E423" s="107"/>
      <c r="F423" s="95"/>
      <c r="G423" s="96"/>
    </row>
    <row r="424">
      <c r="E424" s="107"/>
      <c r="F424" s="95"/>
      <c r="G424" s="96"/>
    </row>
    <row r="425">
      <c r="E425" s="107"/>
      <c r="F425" s="95"/>
      <c r="G425" s="96"/>
    </row>
    <row r="426">
      <c r="E426" s="107"/>
      <c r="F426" s="95"/>
      <c r="G426" s="96"/>
    </row>
    <row r="427">
      <c r="E427" s="107"/>
      <c r="F427" s="95"/>
      <c r="G427" s="96"/>
    </row>
    <row r="428">
      <c r="E428" s="107"/>
      <c r="F428" s="95"/>
      <c r="G428" s="96"/>
    </row>
    <row r="429">
      <c r="E429" s="107"/>
      <c r="F429" s="95"/>
      <c r="G429" s="96"/>
    </row>
    <row r="430">
      <c r="E430" s="107"/>
      <c r="F430" s="95"/>
      <c r="G430" s="96"/>
    </row>
    <row r="431">
      <c r="E431" s="107"/>
      <c r="F431" s="95"/>
      <c r="G431" s="96"/>
    </row>
    <row r="432">
      <c r="E432" s="107"/>
      <c r="F432" s="95"/>
      <c r="G432" s="96"/>
    </row>
    <row r="433">
      <c r="E433" s="107"/>
      <c r="F433" s="95"/>
      <c r="G433" s="96"/>
    </row>
    <row r="434">
      <c r="E434" s="107"/>
      <c r="F434" s="95"/>
      <c r="G434" s="96"/>
    </row>
    <row r="435">
      <c r="E435" s="107"/>
      <c r="F435" s="95"/>
      <c r="G435" s="96"/>
    </row>
    <row r="436">
      <c r="E436" s="107"/>
      <c r="F436" s="95"/>
      <c r="G436" s="96"/>
    </row>
    <row r="437">
      <c r="E437" s="107"/>
      <c r="F437" s="95"/>
      <c r="G437" s="96"/>
    </row>
    <row r="438">
      <c r="E438" s="107"/>
      <c r="F438" s="95"/>
      <c r="G438" s="96"/>
    </row>
    <row r="439">
      <c r="E439" s="107"/>
      <c r="F439" s="95"/>
      <c r="G439" s="96"/>
    </row>
    <row r="440">
      <c r="E440" s="107"/>
      <c r="F440" s="95"/>
      <c r="G440" s="96"/>
    </row>
    <row r="441">
      <c r="E441" s="107"/>
      <c r="F441" s="95"/>
      <c r="G441" s="96"/>
    </row>
    <row r="442">
      <c r="E442" s="107"/>
      <c r="F442" s="95"/>
      <c r="G442" s="96"/>
    </row>
    <row r="443">
      <c r="E443" s="107"/>
      <c r="F443" s="95"/>
      <c r="G443" s="96"/>
    </row>
    <row r="444">
      <c r="E444" s="107"/>
      <c r="F444" s="95"/>
      <c r="G444" s="96"/>
    </row>
    <row r="445">
      <c r="E445" s="107"/>
      <c r="F445" s="95"/>
      <c r="G445" s="96"/>
    </row>
    <row r="446">
      <c r="E446" s="107"/>
      <c r="F446" s="95"/>
      <c r="G446" s="96"/>
    </row>
    <row r="447">
      <c r="E447" s="107"/>
      <c r="F447" s="95"/>
      <c r="G447" s="96"/>
    </row>
    <row r="448">
      <c r="E448" s="107"/>
      <c r="F448" s="95"/>
      <c r="G448" s="96"/>
    </row>
    <row r="449">
      <c r="E449" s="107"/>
      <c r="F449" s="95"/>
      <c r="G449" s="96"/>
    </row>
    <row r="450">
      <c r="E450" s="107"/>
      <c r="F450" s="95"/>
      <c r="G450" s="96"/>
    </row>
    <row r="451">
      <c r="E451" s="107"/>
      <c r="F451" s="95"/>
      <c r="G451" s="96"/>
    </row>
    <row r="452">
      <c r="E452" s="107"/>
      <c r="F452" s="95"/>
      <c r="G452" s="96"/>
    </row>
    <row r="453">
      <c r="E453" s="107"/>
      <c r="F453" s="95"/>
      <c r="G453" s="96"/>
    </row>
    <row r="454">
      <c r="E454" s="107"/>
      <c r="F454" s="95"/>
      <c r="G454" s="96"/>
    </row>
    <row r="455">
      <c r="E455" s="107"/>
      <c r="F455" s="95"/>
      <c r="G455" s="96"/>
    </row>
    <row r="456">
      <c r="E456" s="107"/>
      <c r="F456" s="95"/>
      <c r="G456" s="96"/>
    </row>
    <row r="457">
      <c r="E457" s="107"/>
      <c r="F457" s="95"/>
      <c r="G457" s="96"/>
    </row>
    <row r="458">
      <c r="E458" s="107"/>
      <c r="F458" s="95"/>
      <c r="G458" s="96"/>
    </row>
    <row r="459">
      <c r="E459" s="107"/>
      <c r="F459" s="95"/>
      <c r="G459" s="96"/>
    </row>
    <row r="460">
      <c r="E460" s="107"/>
      <c r="F460" s="95"/>
      <c r="G460" s="96"/>
    </row>
    <row r="461">
      <c r="E461" s="107"/>
      <c r="F461" s="95"/>
      <c r="G461" s="96"/>
    </row>
    <row r="462">
      <c r="E462" s="107"/>
      <c r="F462" s="95"/>
      <c r="G462" s="96"/>
    </row>
    <row r="463">
      <c r="E463" s="107"/>
      <c r="F463" s="95"/>
      <c r="G463" s="96"/>
    </row>
    <row r="464">
      <c r="E464" s="107"/>
      <c r="F464" s="95"/>
      <c r="G464" s="96"/>
    </row>
    <row r="465">
      <c r="E465" s="107"/>
      <c r="F465" s="95"/>
      <c r="G465" s="96"/>
    </row>
    <row r="466">
      <c r="E466" s="107"/>
      <c r="F466" s="95"/>
      <c r="G466" s="96"/>
    </row>
    <row r="467">
      <c r="E467" s="107"/>
      <c r="F467" s="95"/>
      <c r="G467" s="96"/>
    </row>
    <row r="468">
      <c r="E468" s="107"/>
      <c r="F468" s="95"/>
      <c r="G468" s="96"/>
    </row>
    <row r="469">
      <c r="E469" s="107"/>
      <c r="F469" s="95"/>
      <c r="G469" s="96"/>
    </row>
    <row r="470">
      <c r="E470" s="107"/>
      <c r="F470" s="95"/>
      <c r="G470" s="96"/>
    </row>
    <row r="471">
      <c r="E471" s="107"/>
      <c r="F471" s="95"/>
      <c r="G471" s="96"/>
    </row>
    <row r="472">
      <c r="E472" s="107"/>
      <c r="F472" s="95"/>
      <c r="G472" s="96"/>
    </row>
    <row r="473">
      <c r="E473" s="107"/>
      <c r="F473" s="95"/>
      <c r="G473" s="96"/>
    </row>
    <row r="474">
      <c r="E474" s="107"/>
      <c r="F474" s="95"/>
      <c r="G474" s="96"/>
    </row>
    <row r="475">
      <c r="E475" s="107"/>
      <c r="F475" s="95"/>
      <c r="G475" s="96"/>
    </row>
    <row r="476">
      <c r="E476" s="107"/>
      <c r="F476" s="95"/>
      <c r="G476" s="96"/>
    </row>
    <row r="477">
      <c r="E477" s="107"/>
      <c r="F477" s="95"/>
      <c r="G477" s="96"/>
    </row>
    <row r="478">
      <c r="E478" s="107"/>
      <c r="F478" s="95"/>
      <c r="G478" s="96"/>
    </row>
    <row r="479">
      <c r="E479" s="107"/>
      <c r="F479" s="95"/>
      <c r="G479" s="96"/>
    </row>
    <row r="480">
      <c r="E480" s="107"/>
      <c r="F480" s="95"/>
      <c r="G480" s="96"/>
    </row>
    <row r="481">
      <c r="E481" s="107"/>
      <c r="F481" s="95"/>
      <c r="G481" s="96"/>
    </row>
    <row r="482">
      <c r="E482" s="107"/>
      <c r="F482" s="95"/>
      <c r="G482" s="96"/>
    </row>
    <row r="483">
      <c r="E483" s="107"/>
      <c r="F483" s="95"/>
      <c r="G483" s="96"/>
    </row>
    <row r="484">
      <c r="E484" s="107"/>
      <c r="F484" s="95"/>
      <c r="G484" s="96"/>
    </row>
    <row r="485">
      <c r="E485" s="107"/>
      <c r="F485" s="95"/>
      <c r="G485" s="96"/>
    </row>
    <row r="486">
      <c r="E486" s="107"/>
      <c r="F486" s="95"/>
      <c r="G486" s="96"/>
    </row>
    <row r="487">
      <c r="E487" s="107"/>
      <c r="F487" s="95"/>
      <c r="G487" s="96"/>
    </row>
    <row r="488">
      <c r="E488" s="107"/>
      <c r="F488" s="95"/>
      <c r="G488" s="96"/>
    </row>
    <row r="489">
      <c r="E489" s="107"/>
      <c r="F489" s="95"/>
      <c r="G489" s="96"/>
    </row>
    <row r="490">
      <c r="E490" s="107"/>
      <c r="F490" s="95"/>
      <c r="G490" s="96"/>
    </row>
    <row r="491">
      <c r="E491" s="107"/>
      <c r="F491" s="95"/>
      <c r="G491" s="96"/>
    </row>
    <row r="492">
      <c r="E492" s="107"/>
      <c r="F492" s="95"/>
      <c r="G492" s="96"/>
    </row>
    <row r="493">
      <c r="E493" s="107"/>
      <c r="F493" s="95"/>
      <c r="G493" s="96"/>
    </row>
    <row r="494">
      <c r="E494" s="107"/>
      <c r="F494" s="95"/>
      <c r="G494" s="96"/>
    </row>
    <row r="495">
      <c r="E495" s="107"/>
      <c r="F495" s="95"/>
      <c r="G495" s="96"/>
    </row>
    <row r="496">
      <c r="E496" s="107"/>
      <c r="F496" s="95"/>
      <c r="G496" s="96"/>
    </row>
    <row r="497">
      <c r="E497" s="107"/>
      <c r="F497" s="95"/>
      <c r="G497" s="96"/>
    </row>
    <row r="498">
      <c r="E498" s="107"/>
      <c r="F498" s="95"/>
      <c r="G498" s="96"/>
    </row>
    <row r="499">
      <c r="E499" s="107"/>
      <c r="F499" s="95"/>
      <c r="G499" s="96"/>
    </row>
    <row r="500">
      <c r="E500" s="107"/>
      <c r="F500" s="95"/>
      <c r="G500" s="96"/>
    </row>
    <row r="501">
      <c r="E501" s="107"/>
      <c r="F501" s="95"/>
      <c r="G501" s="96"/>
    </row>
    <row r="502">
      <c r="E502" s="107"/>
      <c r="F502" s="95"/>
      <c r="G502" s="96"/>
    </row>
    <row r="503">
      <c r="E503" s="107"/>
      <c r="F503" s="95"/>
      <c r="G503" s="96"/>
    </row>
    <row r="504">
      <c r="E504" s="107"/>
      <c r="F504" s="95"/>
      <c r="G504" s="96"/>
    </row>
    <row r="505">
      <c r="E505" s="107"/>
      <c r="F505" s="95"/>
      <c r="G505" s="96"/>
    </row>
    <row r="506">
      <c r="E506" s="107"/>
      <c r="F506" s="95"/>
      <c r="G506" s="96"/>
    </row>
    <row r="507">
      <c r="E507" s="107"/>
      <c r="F507" s="95"/>
      <c r="G507" s="96"/>
    </row>
    <row r="508">
      <c r="E508" s="107"/>
      <c r="F508" s="95"/>
      <c r="G508" s="96"/>
    </row>
    <row r="509">
      <c r="E509" s="107"/>
      <c r="F509" s="95"/>
      <c r="G509" s="96"/>
    </row>
    <row r="510">
      <c r="E510" s="107"/>
      <c r="F510" s="95"/>
      <c r="G510" s="96"/>
    </row>
    <row r="511">
      <c r="E511" s="107"/>
      <c r="F511" s="95"/>
      <c r="G511" s="96"/>
    </row>
    <row r="512">
      <c r="E512" s="107"/>
      <c r="F512" s="95"/>
      <c r="G512" s="96"/>
    </row>
    <row r="513">
      <c r="E513" s="107"/>
      <c r="F513" s="95"/>
      <c r="G513" s="96"/>
    </row>
    <row r="514">
      <c r="E514" s="107"/>
      <c r="F514" s="95"/>
      <c r="G514" s="96"/>
    </row>
    <row r="515">
      <c r="E515" s="107"/>
      <c r="F515" s="95"/>
      <c r="G515" s="96"/>
    </row>
    <row r="516">
      <c r="E516" s="107"/>
      <c r="F516" s="95"/>
      <c r="G516" s="96"/>
    </row>
    <row r="517">
      <c r="E517" s="107"/>
      <c r="F517" s="95"/>
      <c r="G517" s="96"/>
    </row>
    <row r="518">
      <c r="E518" s="107"/>
      <c r="F518" s="95"/>
      <c r="G518" s="96"/>
    </row>
    <row r="519">
      <c r="E519" s="107"/>
      <c r="F519" s="95"/>
      <c r="G519" s="96"/>
    </row>
    <row r="520">
      <c r="E520" s="107"/>
      <c r="F520" s="95"/>
      <c r="G520" s="96"/>
    </row>
    <row r="521">
      <c r="E521" s="107"/>
      <c r="F521" s="95"/>
      <c r="G521" s="96"/>
    </row>
    <row r="522">
      <c r="E522" s="107"/>
      <c r="F522" s="95"/>
      <c r="G522" s="96"/>
    </row>
    <row r="523">
      <c r="E523" s="107"/>
      <c r="F523" s="95"/>
      <c r="G523" s="96"/>
    </row>
    <row r="524">
      <c r="E524" s="107"/>
      <c r="F524" s="95"/>
      <c r="G524" s="96"/>
    </row>
    <row r="525">
      <c r="E525" s="107"/>
      <c r="F525" s="95"/>
      <c r="G525" s="96"/>
    </row>
    <row r="526">
      <c r="E526" s="107"/>
      <c r="F526" s="95"/>
      <c r="G526" s="96"/>
    </row>
    <row r="527">
      <c r="E527" s="107"/>
      <c r="F527" s="95"/>
      <c r="G527" s="96"/>
    </row>
    <row r="528">
      <c r="E528" s="107"/>
      <c r="F528" s="95"/>
      <c r="G528" s="96"/>
    </row>
    <row r="529">
      <c r="E529" s="107"/>
      <c r="F529" s="95"/>
      <c r="G529" s="96"/>
    </row>
    <row r="530">
      <c r="E530" s="107"/>
      <c r="F530" s="95"/>
      <c r="G530" s="96"/>
    </row>
    <row r="531">
      <c r="E531" s="107"/>
      <c r="F531" s="95"/>
      <c r="G531" s="96"/>
    </row>
    <row r="532">
      <c r="E532" s="107"/>
      <c r="F532" s="95"/>
      <c r="G532" s="96"/>
    </row>
    <row r="533">
      <c r="E533" s="107"/>
      <c r="F533" s="95"/>
      <c r="G533" s="96"/>
    </row>
    <row r="534">
      <c r="E534" s="107"/>
      <c r="F534" s="95"/>
      <c r="G534" s="96"/>
    </row>
    <row r="535">
      <c r="E535" s="107"/>
      <c r="F535" s="95"/>
      <c r="G535" s="96"/>
    </row>
    <row r="536">
      <c r="E536" s="107"/>
      <c r="F536" s="95"/>
      <c r="G536" s="96"/>
    </row>
    <row r="537">
      <c r="E537" s="107"/>
      <c r="F537" s="95"/>
      <c r="G537" s="96"/>
    </row>
    <row r="538">
      <c r="E538" s="107"/>
      <c r="F538" s="95"/>
      <c r="G538" s="96"/>
    </row>
    <row r="539">
      <c r="E539" s="107"/>
      <c r="F539" s="95"/>
      <c r="G539" s="96"/>
    </row>
    <row r="540">
      <c r="E540" s="107"/>
      <c r="F540" s="95"/>
      <c r="G540" s="96"/>
    </row>
    <row r="541">
      <c r="E541" s="107"/>
      <c r="F541" s="95"/>
      <c r="G541" s="96"/>
    </row>
    <row r="542">
      <c r="E542" s="107"/>
      <c r="F542" s="95"/>
      <c r="G542" s="96"/>
    </row>
    <row r="543">
      <c r="E543" s="107"/>
      <c r="F543" s="95"/>
      <c r="G543" s="96"/>
    </row>
    <row r="544">
      <c r="E544" s="107"/>
      <c r="F544" s="95"/>
      <c r="G544" s="96"/>
    </row>
    <row r="545">
      <c r="E545" s="107"/>
      <c r="F545" s="95"/>
      <c r="G545" s="96"/>
    </row>
    <row r="546">
      <c r="E546" s="107"/>
      <c r="F546" s="95"/>
      <c r="G546" s="96"/>
    </row>
    <row r="547">
      <c r="E547" s="107"/>
      <c r="F547" s="95"/>
      <c r="G547" s="96"/>
    </row>
    <row r="548">
      <c r="E548" s="107"/>
      <c r="F548" s="95"/>
      <c r="G548" s="96"/>
    </row>
    <row r="549">
      <c r="E549" s="107"/>
      <c r="F549" s="95"/>
      <c r="G549" s="96"/>
    </row>
    <row r="550">
      <c r="E550" s="107"/>
      <c r="F550" s="95"/>
      <c r="G550" s="96"/>
    </row>
    <row r="551">
      <c r="E551" s="107"/>
      <c r="F551" s="95"/>
      <c r="G551" s="96"/>
    </row>
    <row r="552">
      <c r="E552" s="107"/>
      <c r="F552" s="95"/>
      <c r="G552" s="96"/>
    </row>
    <row r="553">
      <c r="E553" s="107"/>
      <c r="F553" s="95"/>
      <c r="G553" s="96"/>
    </row>
    <row r="554">
      <c r="E554" s="107"/>
      <c r="F554" s="95"/>
      <c r="G554" s="96"/>
    </row>
    <row r="555">
      <c r="E555" s="107"/>
      <c r="F555" s="95"/>
      <c r="G555" s="96"/>
    </row>
    <row r="556">
      <c r="E556" s="107"/>
      <c r="F556" s="95"/>
      <c r="G556" s="96"/>
    </row>
    <row r="557">
      <c r="E557" s="107"/>
      <c r="F557" s="95"/>
      <c r="G557" s="96"/>
    </row>
    <row r="558">
      <c r="E558" s="107"/>
      <c r="F558" s="95"/>
      <c r="G558" s="96"/>
    </row>
    <row r="559">
      <c r="E559" s="107"/>
      <c r="F559" s="95"/>
      <c r="G559" s="96"/>
    </row>
    <row r="560">
      <c r="E560" s="107"/>
      <c r="F560" s="95"/>
      <c r="G560" s="96"/>
    </row>
    <row r="561">
      <c r="E561" s="107"/>
      <c r="F561" s="95"/>
      <c r="G561" s="96"/>
    </row>
    <row r="562">
      <c r="E562" s="107"/>
      <c r="F562" s="95"/>
      <c r="G562" s="96"/>
    </row>
    <row r="563">
      <c r="E563" s="107"/>
      <c r="F563" s="95"/>
      <c r="G563" s="96"/>
    </row>
    <row r="564">
      <c r="E564" s="107"/>
      <c r="F564" s="95"/>
      <c r="G564" s="96"/>
    </row>
    <row r="565">
      <c r="E565" s="107"/>
      <c r="F565" s="95"/>
      <c r="G565" s="96"/>
    </row>
    <row r="566">
      <c r="E566" s="107"/>
      <c r="F566" s="95"/>
      <c r="G566" s="96"/>
    </row>
    <row r="567">
      <c r="E567" s="107"/>
      <c r="F567" s="95"/>
      <c r="G567" s="96"/>
    </row>
    <row r="568">
      <c r="E568" s="107"/>
      <c r="F568" s="95"/>
      <c r="G568" s="96"/>
    </row>
    <row r="569">
      <c r="E569" s="107"/>
      <c r="F569" s="95"/>
      <c r="G569" s="96"/>
    </row>
    <row r="570">
      <c r="E570" s="107"/>
      <c r="F570" s="95"/>
      <c r="G570" s="96"/>
    </row>
    <row r="571">
      <c r="E571" s="107"/>
      <c r="F571" s="95"/>
      <c r="G571" s="96"/>
    </row>
    <row r="572">
      <c r="E572" s="107"/>
      <c r="F572" s="95"/>
      <c r="G572" s="96"/>
    </row>
    <row r="573">
      <c r="E573" s="107"/>
      <c r="F573" s="95"/>
      <c r="G573" s="96"/>
    </row>
    <row r="574">
      <c r="E574" s="107"/>
      <c r="F574" s="95"/>
      <c r="G574" s="96"/>
    </row>
    <row r="575">
      <c r="E575" s="107"/>
      <c r="F575" s="95"/>
      <c r="G575" s="96"/>
    </row>
    <row r="576">
      <c r="E576" s="107"/>
      <c r="F576" s="95"/>
      <c r="G576" s="96"/>
    </row>
    <row r="577">
      <c r="E577" s="107"/>
      <c r="F577" s="95"/>
      <c r="G577" s="96"/>
    </row>
    <row r="578">
      <c r="E578" s="107"/>
      <c r="F578" s="95"/>
      <c r="G578" s="96"/>
    </row>
    <row r="579">
      <c r="E579" s="107"/>
      <c r="F579" s="95"/>
      <c r="G579" s="96"/>
    </row>
    <row r="580">
      <c r="E580" s="107"/>
      <c r="F580" s="95"/>
      <c r="G580" s="96"/>
    </row>
    <row r="581">
      <c r="E581" s="107"/>
      <c r="F581" s="95"/>
      <c r="G581" s="96"/>
    </row>
    <row r="582">
      <c r="E582" s="107"/>
      <c r="F582" s="95"/>
      <c r="G582" s="96"/>
    </row>
    <row r="583">
      <c r="E583" s="107"/>
      <c r="F583" s="95"/>
      <c r="G583" s="96"/>
    </row>
    <row r="584">
      <c r="E584" s="107"/>
      <c r="F584" s="95"/>
      <c r="G584" s="96"/>
    </row>
    <row r="585">
      <c r="E585" s="107"/>
      <c r="F585" s="95"/>
      <c r="G585" s="96"/>
    </row>
    <row r="586">
      <c r="E586" s="107"/>
      <c r="F586" s="95"/>
      <c r="G586" s="96"/>
    </row>
    <row r="587">
      <c r="E587" s="107"/>
      <c r="F587" s="95"/>
      <c r="G587" s="96"/>
    </row>
    <row r="588">
      <c r="E588" s="107"/>
      <c r="F588" s="95"/>
      <c r="G588" s="96"/>
    </row>
    <row r="589">
      <c r="E589" s="107"/>
      <c r="F589" s="95"/>
      <c r="G589" s="96"/>
    </row>
    <row r="590">
      <c r="E590" s="107"/>
      <c r="F590" s="95"/>
      <c r="G590" s="96"/>
    </row>
    <row r="591">
      <c r="E591" s="107"/>
      <c r="F591" s="95"/>
      <c r="G591" s="96"/>
    </row>
    <row r="592">
      <c r="E592" s="107"/>
      <c r="F592" s="95"/>
      <c r="G592" s="96"/>
    </row>
    <row r="593">
      <c r="E593" s="107"/>
      <c r="F593" s="95"/>
      <c r="G593" s="96"/>
    </row>
    <row r="594">
      <c r="E594" s="107"/>
      <c r="F594" s="95"/>
      <c r="G594" s="96"/>
    </row>
    <row r="595">
      <c r="E595" s="107"/>
      <c r="F595" s="95"/>
      <c r="G595" s="96"/>
    </row>
    <row r="596">
      <c r="E596" s="107"/>
      <c r="F596" s="95"/>
      <c r="G596" s="96"/>
    </row>
    <row r="597">
      <c r="E597" s="107"/>
      <c r="F597" s="95"/>
      <c r="G597" s="96"/>
    </row>
    <row r="598">
      <c r="E598" s="107"/>
      <c r="F598" s="95"/>
      <c r="G598" s="96"/>
    </row>
    <row r="599">
      <c r="E599" s="107"/>
      <c r="F599" s="95"/>
      <c r="G599" s="96"/>
    </row>
    <row r="600">
      <c r="E600" s="107"/>
      <c r="F600" s="95"/>
      <c r="G600" s="96"/>
    </row>
    <row r="601">
      <c r="E601" s="107"/>
      <c r="F601" s="95"/>
      <c r="G601" s="96"/>
    </row>
    <row r="602">
      <c r="E602" s="107"/>
      <c r="F602" s="95"/>
      <c r="G602" s="96"/>
    </row>
    <row r="603">
      <c r="E603" s="107"/>
      <c r="F603" s="95"/>
      <c r="G603" s="96"/>
    </row>
    <row r="604">
      <c r="E604" s="107"/>
      <c r="F604" s="95"/>
      <c r="G604" s="96"/>
    </row>
    <row r="605">
      <c r="E605" s="107"/>
      <c r="F605" s="95"/>
      <c r="G605" s="96"/>
    </row>
    <row r="606">
      <c r="E606" s="107"/>
      <c r="F606" s="95"/>
      <c r="G606" s="96"/>
    </row>
    <row r="607">
      <c r="E607" s="107"/>
      <c r="F607" s="95"/>
      <c r="G607" s="96"/>
    </row>
    <row r="608">
      <c r="E608" s="107"/>
      <c r="F608" s="95"/>
      <c r="G608" s="96"/>
    </row>
    <row r="609">
      <c r="E609" s="107"/>
      <c r="F609" s="95"/>
      <c r="G609" s="96"/>
    </row>
    <row r="610">
      <c r="E610" s="107"/>
      <c r="F610" s="95"/>
      <c r="G610" s="96"/>
    </row>
    <row r="611">
      <c r="E611" s="107"/>
      <c r="F611" s="95"/>
      <c r="G611" s="96"/>
    </row>
    <row r="612">
      <c r="E612" s="107"/>
      <c r="F612" s="95"/>
      <c r="G612" s="96"/>
    </row>
    <row r="613">
      <c r="E613" s="107"/>
      <c r="F613" s="95"/>
      <c r="G613" s="96"/>
    </row>
    <row r="614">
      <c r="E614" s="107"/>
      <c r="F614" s="95"/>
      <c r="G614" s="96"/>
    </row>
    <row r="615">
      <c r="E615" s="107"/>
      <c r="F615" s="95"/>
      <c r="G615" s="96"/>
    </row>
    <row r="616">
      <c r="E616" s="107"/>
      <c r="F616" s="95"/>
      <c r="G616" s="96"/>
    </row>
    <row r="617">
      <c r="E617" s="107"/>
      <c r="F617" s="95"/>
      <c r="G617" s="96"/>
    </row>
    <row r="618">
      <c r="E618" s="107"/>
      <c r="F618" s="95"/>
      <c r="G618" s="96"/>
    </row>
    <row r="619">
      <c r="E619" s="107"/>
      <c r="F619" s="95"/>
      <c r="G619" s="96"/>
    </row>
    <row r="620">
      <c r="E620" s="107"/>
      <c r="F620" s="95"/>
      <c r="G620" s="96"/>
    </row>
    <row r="621">
      <c r="E621" s="107"/>
      <c r="F621" s="95"/>
      <c r="G621" s="96"/>
    </row>
    <row r="622">
      <c r="E622" s="107"/>
      <c r="F622" s="95"/>
      <c r="G622" s="96"/>
    </row>
    <row r="623">
      <c r="E623" s="107"/>
      <c r="F623" s="95"/>
      <c r="G623" s="96"/>
    </row>
    <row r="624">
      <c r="E624" s="107"/>
      <c r="F624" s="95"/>
      <c r="G624" s="96"/>
    </row>
    <row r="625">
      <c r="E625" s="107"/>
      <c r="F625" s="95"/>
      <c r="G625" s="96"/>
    </row>
    <row r="626">
      <c r="E626" s="107"/>
      <c r="F626" s="95"/>
      <c r="G626" s="96"/>
    </row>
    <row r="627">
      <c r="E627" s="107"/>
      <c r="F627" s="95"/>
      <c r="G627" s="96"/>
    </row>
    <row r="628">
      <c r="E628" s="107"/>
      <c r="F628" s="95"/>
      <c r="G628" s="96"/>
    </row>
    <row r="629">
      <c r="E629" s="107"/>
      <c r="F629" s="95"/>
      <c r="G629" s="96"/>
    </row>
    <row r="630">
      <c r="E630" s="107"/>
      <c r="F630" s="95"/>
      <c r="G630" s="96"/>
    </row>
    <row r="631">
      <c r="E631" s="107"/>
      <c r="F631" s="95"/>
      <c r="G631" s="96"/>
    </row>
    <row r="632">
      <c r="E632" s="107"/>
      <c r="F632" s="95"/>
      <c r="G632" s="96"/>
    </row>
    <row r="633">
      <c r="E633" s="107"/>
      <c r="F633" s="95"/>
      <c r="G633" s="96"/>
    </row>
    <row r="634">
      <c r="E634" s="107"/>
      <c r="F634" s="95"/>
      <c r="G634" s="96"/>
    </row>
    <row r="635">
      <c r="E635" s="107"/>
      <c r="F635" s="95"/>
      <c r="G635" s="96"/>
    </row>
    <row r="636">
      <c r="E636" s="107"/>
      <c r="F636" s="95"/>
      <c r="G636" s="96"/>
    </row>
    <row r="637">
      <c r="E637" s="107"/>
      <c r="F637" s="95"/>
      <c r="G637" s="96"/>
    </row>
    <row r="638">
      <c r="E638" s="107"/>
      <c r="F638" s="95"/>
      <c r="G638" s="96"/>
    </row>
    <row r="639">
      <c r="E639" s="107"/>
      <c r="F639" s="95"/>
      <c r="G639" s="96"/>
    </row>
    <row r="640">
      <c r="E640" s="107"/>
      <c r="F640" s="95"/>
      <c r="G640" s="96"/>
    </row>
    <row r="641">
      <c r="E641" s="107"/>
      <c r="F641" s="95"/>
      <c r="G641" s="96"/>
    </row>
    <row r="642">
      <c r="E642" s="107"/>
      <c r="F642" s="95"/>
      <c r="G642" s="96"/>
    </row>
    <row r="643">
      <c r="E643" s="107"/>
      <c r="F643" s="95"/>
      <c r="G643" s="96"/>
    </row>
    <row r="644">
      <c r="E644" s="107"/>
      <c r="F644" s="95"/>
      <c r="G644" s="96"/>
    </row>
    <row r="645">
      <c r="E645" s="107"/>
      <c r="F645" s="95"/>
      <c r="G645" s="96"/>
    </row>
    <row r="646">
      <c r="E646" s="107"/>
      <c r="F646" s="95"/>
      <c r="G646" s="96"/>
    </row>
    <row r="647">
      <c r="E647" s="107"/>
      <c r="F647" s="95"/>
      <c r="G647" s="96"/>
    </row>
    <row r="648">
      <c r="E648" s="107"/>
      <c r="F648" s="95"/>
      <c r="G648" s="96"/>
    </row>
    <row r="649">
      <c r="E649" s="107"/>
      <c r="F649" s="95"/>
      <c r="G649" s="96"/>
    </row>
    <row r="650">
      <c r="E650" s="107"/>
      <c r="F650" s="95"/>
      <c r="G650" s="96"/>
    </row>
    <row r="651">
      <c r="E651" s="107"/>
      <c r="F651" s="95"/>
      <c r="G651" s="96"/>
    </row>
    <row r="652">
      <c r="E652" s="107"/>
      <c r="F652" s="95"/>
      <c r="G652" s="96"/>
    </row>
    <row r="653">
      <c r="E653" s="107"/>
      <c r="F653" s="95"/>
      <c r="G653" s="96"/>
    </row>
    <row r="654">
      <c r="E654" s="107"/>
      <c r="F654" s="95"/>
      <c r="G654" s="96"/>
    </row>
    <row r="655">
      <c r="E655" s="107"/>
      <c r="F655" s="95"/>
      <c r="G655" s="96"/>
    </row>
    <row r="656">
      <c r="E656" s="107"/>
      <c r="F656" s="95"/>
      <c r="G656" s="96"/>
    </row>
    <row r="657">
      <c r="E657" s="107"/>
      <c r="F657" s="95"/>
      <c r="G657" s="96"/>
    </row>
    <row r="658">
      <c r="E658" s="107"/>
      <c r="F658" s="95"/>
      <c r="G658" s="96"/>
    </row>
    <row r="659">
      <c r="E659" s="107"/>
      <c r="F659" s="95"/>
      <c r="G659" s="96"/>
    </row>
    <row r="660">
      <c r="E660" s="107"/>
      <c r="F660" s="95"/>
      <c r="G660" s="96"/>
    </row>
    <row r="661">
      <c r="E661" s="107"/>
      <c r="F661" s="95"/>
      <c r="G661" s="96"/>
    </row>
    <row r="662">
      <c r="E662" s="107"/>
      <c r="F662" s="95"/>
      <c r="G662" s="96"/>
    </row>
    <row r="663">
      <c r="E663" s="107"/>
      <c r="F663" s="95"/>
      <c r="G663" s="96"/>
    </row>
    <row r="664">
      <c r="E664" s="107"/>
      <c r="F664" s="95"/>
      <c r="G664" s="96"/>
    </row>
    <row r="665">
      <c r="E665" s="107"/>
      <c r="F665" s="95"/>
      <c r="G665" s="96"/>
    </row>
    <row r="666">
      <c r="E666" s="107"/>
      <c r="F666" s="95"/>
      <c r="G666" s="96"/>
    </row>
    <row r="667">
      <c r="E667" s="107"/>
      <c r="F667" s="95"/>
      <c r="G667" s="96"/>
    </row>
    <row r="668">
      <c r="E668" s="107"/>
      <c r="F668" s="95"/>
      <c r="G668" s="96"/>
    </row>
    <row r="669">
      <c r="E669" s="107"/>
      <c r="F669" s="95"/>
      <c r="G669" s="96"/>
    </row>
    <row r="670">
      <c r="E670" s="107"/>
      <c r="F670" s="95"/>
      <c r="G670" s="96"/>
    </row>
    <row r="671">
      <c r="E671" s="107"/>
      <c r="F671" s="95"/>
      <c r="G671" s="96"/>
    </row>
    <row r="672">
      <c r="E672" s="107"/>
      <c r="F672" s="95"/>
      <c r="G672" s="96"/>
    </row>
    <row r="673">
      <c r="E673" s="107"/>
      <c r="F673" s="95"/>
      <c r="G673" s="96"/>
    </row>
    <row r="674">
      <c r="E674" s="107"/>
      <c r="F674" s="95"/>
      <c r="G674" s="96"/>
    </row>
    <row r="675">
      <c r="E675" s="107"/>
      <c r="F675" s="95"/>
      <c r="G675" s="96"/>
    </row>
    <row r="676">
      <c r="E676" s="107"/>
      <c r="F676" s="95"/>
      <c r="G676" s="96"/>
    </row>
    <row r="677">
      <c r="E677" s="107"/>
      <c r="F677" s="95"/>
      <c r="G677" s="96"/>
    </row>
    <row r="678">
      <c r="E678" s="107"/>
      <c r="F678" s="95"/>
      <c r="G678" s="96"/>
    </row>
    <row r="679">
      <c r="E679" s="107"/>
      <c r="F679" s="95"/>
      <c r="G679" s="96"/>
    </row>
    <row r="680">
      <c r="E680" s="107"/>
      <c r="F680" s="95"/>
      <c r="G680" s="96"/>
    </row>
    <row r="681">
      <c r="E681" s="107"/>
      <c r="F681" s="95"/>
      <c r="G681" s="96"/>
    </row>
    <row r="682">
      <c r="E682" s="107"/>
      <c r="F682" s="95"/>
      <c r="G682" s="96"/>
    </row>
    <row r="683">
      <c r="E683" s="107"/>
      <c r="F683" s="95"/>
      <c r="G683" s="96"/>
    </row>
    <row r="684">
      <c r="E684" s="107"/>
      <c r="F684" s="95"/>
      <c r="G684" s="96"/>
    </row>
    <row r="685">
      <c r="E685" s="107"/>
      <c r="F685" s="95"/>
      <c r="G685" s="96"/>
    </row>
    <row r="686">
      <c r="E686" s="107"/>
      <c r="F686" s="95"/>
      <c r="G686" s="96"/>
    </row>
    <row r="687">
      <c r="E687" s="107"/>
      <c r="F687" s="95"/>
      <c r="G687" s="96"/>
    </row>
    <row r="688">
      <c r="E688" s="107"/>
      <c r="F688" s="95"/>
      <c r="G688" s="96"/>
    </row>
    <row r="689">
      <c r="E689" s="107"/>
      <c r="F689" s="95"/>
      <c r="G689" s="96"/>
    </row>
    <row r="690">
      <c r="E690" s="107"/>
      <c r="F690" s="95"/>
      <c r="G690" s="96"/>
    </row>
    <row r="691">
      <c r="E691" s="107"/>
      <c r="F691" s="95"/>
      <c r="G691" s="96"/>
    </row>
    <row r="692">
      <c r="E692" s="107"/>
      <c r="F692" s="95"/>
      <c r="G692" s="96"/>
    </row>
    <row r="693">
      <c r="E693" s="107"/>
      <c r="F693" s="95"/>
      <c r="G693" s="96"/>
    </row>
    <row r="694">
      <c r="E694" s="107"/>
      <c r="F694" s="95"/>
      <c r="G694" s="96"/>
    </row>
    <row r="695">
      <c r="E695" s="107"/>
      <c r="F695" s="95"/>
      <c r="G695" s="96"/>
    </row>
    <row r="696">
      <c r="E696" s="107"/>
      <c r="F696" s="95"/>
      <c r="G696" s="96"/>
    </row>
    <row r="697">
      <c r="E697" s="107"/>
      <c r="F697" s="95"/>
      <c r="G697" s="96"/>
    </row>
    <row r="698">
      <c r="E698" s="107"/>
      <c r="F698" s="95"/>
      <c r="G698" s="96"/>
    </row>
    <row r="699">
      <c r="E699" s="107"/>
      <c r="F699" s="95"/>
      <c r="G699" s="96"/>
    </row>
    <row r="700">
      <c r="E700" s="107"/>
      <c r="F700" s="95"/>
      <c r="G700" s="96"/>
    </row>
    <row r="701">
      <c r="E701" s="107"/>
      <c r="F701" s="95"/>
      <c r="G701" s="96"/>
    </row>
    <row r="702">
      <c r="E702" s="107"/>
      <c r="F702" s="95"/>
      <c r="G702" s="96"/>
    </row>
    <row r="703">
      <c r="E703" s="107"/>
      <c r="F703" s="95"/>
      <c r="G703" s="96"/>
    </row>
    <row r="704">
      <c r="E704" s="107"/>
      <c r="F704" s="95"/>
      <c r="G704" s="96"/>
    </row>
    <row r="705">
      <c r="E705" s="107"/>
      <c r="F705" s="95"/>
      <c r="G705" s="96"/>
    </row>
    <row r="706">
      <c r="E706" s="107"/>
      <c r="F706" s="95"/>
      <c r="G706" s="96"/>
    </row>
    <row r="707">
      <c r="E707" s="107"/>
      <c r="F707" s="95"/>
      <c r="G707" s="96"/>
    </row>
    <row r="708">
      <c r="E708" s="107"/>
      <c r="F708" s="95"/>
      <c r="G708" s="96"/>
    </row>
    <row r="709">
      <c r="E709" s="107"/>
      <c r="F709" s="95"/>
      <c r="G709" s="96"/>
    </row>
    <row r="710">
      <c r="E710" s="107"/>
      <c r="F710" s="95"/>
      <c r="G710" s="96"/>
    </row>
    <row r="711">
      <c r="E711" s="107"/>
      <c r="F711" s="95"/>
      <c r="G711" s="96"/>
    </row>
    <row r="712">
      <c r="E712" s="107"/>
      <c r="F712" s="95"/>
      <c r="G712" s="96"/>
    </row>
    <row r="713">
      <c r="E713" s="107"/>
      <c r="F713" s="95"/>
      <c r="G713" s="96"/>
    </row>
    <row r="714">
      <c r="E714" s="107"/>
      <c r="F714" s="95"/>
      <c r="G714" s="96"/>
    </row>
    <row r="715">
      <c r="E715" s="107"/>
      <c r="F715" s="95"/>
      <c r="G715" s="96"/>
    </row>
    <row r="716">
      <c r="E716" s="107"/>
      <c r="F716" s="95"/>
      <c r="G716" s="96"/>
    </row>
    <row r="717">
      <c r="E717" s="107"/>
      <c r="F717" s="95"/>
      <c r="G717" s="96"/>
    </row>
    <row r="718">
      <c r="E718" s="107"/>
      <c r="F718" s="95"/>
      <c r="G718" s="96"/>
    </row>
    <row r="719">
      <c r="E719" s="107"/>
      <c r="F719" s="95"/>
      <c r="G719" s="96"/>
    </row>
    <row r="720">
      <c r="E720" s="107"/>
      <c r="F720" s="95"/>
      <c r="G720" s="96"/>
    </row>
    <row r="721">
      <c r="E721" s="107"/>
      <c r="F721" s="95"/>
      <c r="G721" s="96"/>
    </row>
    <row r="722">
      <c r="E722" s="107"/>
      <c r="F722" s="95"/>
      <c r="G722" s="96"/>
    </row>
    <row r="723">
      <c r="E723" s="107"/>
      <c r="F723" s="95"/>
      <c r="G723" s="96"/>
    </row>
    <row r="724">
      <c r="E724" s="107"/>
      <c r="F724" s="95"/>
      <c r="G724" s="96"/>
    </row>
    <row r="725">
      <c r="E725" s="107"/>
      <c r="F725" s="95"/>
      <c r="G725" s="96"/>
    </row>
    <row r="726">
      <c r="E726" s="107"/>
      <c r="F726" s="95"/>
      <c r="G726" s="96"/>
    </row>
    <row r="727">
      <c r="E727" s="107"/>
      <c r="F727" s="95"/>
      <c r="G727" s="96"/>
    </row>
    <row r="728">
      <c r="E728" s="107"/>
      <c r="F728" s="95"/>
      <c r="G728" s="96"/>
    </row>
    <row r="729">
      <c r="E729" s="107"/>
      <c r="F729" s="95"/>
      <c r="G729" s="96"/>
    </row>
    <row r="730">
      <c r="E730" s="107"/>
      <c r="F730" s="95"/>
      <c r="G730" s="96"/>
    </row>
    <row r="731">
      <c r="E731" s="107"/>
      <c r="F731" s="95"/>
      <c r="G731" s="96"/>
    </row>
    <row r="732">
      <c r="E732" s="107"/>
      <c r="F732" s="95"/>
      <c r="G732" s="96"/>
    </row>
    <row r="733">
      <c r="E733" s="107"/>
      <c r="F733" s="95"/>
      <c r="G733" s="96"/>
    </row>
    <row r="734">
      <c r="E734" s="107"/>
      <c r="F734" s="95"/>
      <c r="G734" s="96"/>
    </row>
    <row r="735">
      <c r="E735" s="107"/>
      <c r="F735" s="95"/>
      <c r="G735" s="96"/>
    </row>
    <row r="736">
      <c r="E736" s="107"/>
      <c r="F736" s="95"/>
      <c r="G736" s="96"/>
    </row>
    <row r="737">
      <c r="E737" s="107"/>
      <c r="F737" s="95"/>
      <c r="G737" s="96"/>
    </row>
    <row r="738">
      <c r="E738" s="107"/>
      <c r="F738" s="95"/>
      <c r="G738" s="96"/>
    </row>
    <row r="739">
      <c r="E739" s="107"/>
      <c r="F739" s="95"/>
      <c r="G739" s="96"/>
    </row>
    <row r="740">
      <c r="E740" s="107"/>
      <c r="F740" s="95"/>
      <c r="G740" s="96"/>
    </row>
    <row r="741">
      <c r="E741" s="107"/>
      <c r="F741" s="95"/>
      <c r="G741" s="96"/>
    </row>
    <row r="742">
      <c r="E742" s="107"/>
      <c r="F742" s="95"/>
      <c r="G742" s="96"/>
    </row>
    <row r="743">
      <c r="E743" s="107"/>
      <c r="F743" s="95"/>
      <c r="G743" s="96"/>
    </row>
    <row r="744">
      <c r="E744" s="107"/>
      <c r="F744" s="95"/>
      <c r="G744" s="96"/>
    </row>
    <row r="745">
      <c r="E745" s="107"/>
      <c r="F745" s="95"/>
      <c r="G745" s="96"/>
    </row>
    <row r="746">
      <c r="E746" s="107"/>
      <c r="F746" s="95"/>
      <c r="G746" s="96"/>
    </row>
    <row r="747">
      <c r="E747" s="107"/>
      <c r="F747" s="95"/>
      <c r="G747" s="96"/>
    </row>
    <row r="748">
      <c r="E748" s="107"/>
      <c r="F748" s="95"/>
      <c r="G748" s="96"/>
    </row>
    <row r="749">
      <c r="E749" s="107"/>
      <c r="F749" s="95"/>
      <c r="G749" s="96"/>
    </row>
    <row r="750">
      <c r="E750" s="107"/>
      <c r="F750" s="95"/>
      <c r="G750" s="96"/>
    </row>
    <row r="751">
      <c r="E751" s="107"/>
      <c r="F751" s="95"/>
      <c r="G751" s="96"/>
    </row>
    <row r="752">
      <c r="E752" s="107"/>
      <c r="F752" s="95"/>
      <c r="G752" s="96"/>
    </row>
    <row r="753">
      <c r="E753" s="107"/>
      <c r="F753" s="95"/>
      <c r="G753" s="96"/>
    </row>
    <row r="754">
      <c r="E754" s="107"/>
      <c r="F754" s="95"/>
      <c r="G754" s="96"/>
    </row>
    <row r="755">
      <c r="E755" s="107"/>
      <c r="F755" s="95"/>
      <c r="G755" s="96"/>
    </row>
    <row r="756">
      <c r="E756" s="107"/>
      <c r="F756" s="95"/>
      <c r="G756" s="96"/>
    </row>
    <row r="757">
      <c r="E757" s="107"/>
      <c r="F757" s="95"/>
      <c r="G757" s="96"/>
    </row>
    <row r="758">
      <c r="E758" s="107"/>
      <c r="F758" s="95"/>
      <c r="G758" s="96"/>
    </row>
    <row r="759">
      <c r="E759" s="107"/>
      <c r="F759" s="95"/>
      <c r="G759" s="96"/>
    </row>
    <row r="760">
      <c r="E760" s="107"/>
      <c r="F760" s="95"/>
      <c r="G760" s="96"/>
    </row>
    <row r="761">
      <c r="E761" s="107"/>
      <c r="F761" s="95"/>
      <c r="G761" s="96"/>
    </row>
    <row r="762">
      <c r="E762" s="107"/>
      <c r="F762" s="95"/>
      <c r="G762" s="96"/>
    </row>
    <row r="763">
      <c r="E763" s="107"/>
      <c r="F763" s="95"/>
      <c r="G763" s="96"/>
    </row>
    <row r="764">
      <c r="E764" s="107"/>
      <c r="F764" s="95"/>
      <c r="G764" s="96"/>
    </row>
    <row r="765">
      <c r="E765" s="107"/>
      <c r="F765" s="95"/>
      <c r="G765" s="96"/>
    </row>
    <row r="766">
      <c r="E766" s="107"/>
      <c r="F766" s="95"/>
      <c r="G766" s="96"/>
    </row>
    <row r="767">
      <c r="E767" s="107"/>
      <c r="F767" s="95"/>
      <c r="G767" s="96"/>
    </row>
    <row r="768">
      <c r="E768" s="107"/>
      <c r="F768" s="95"/>
      <c r="G768" s="96"/>
    </row>
    <row r="769">
      <c r="E769" s="107"/>
      <c r="F769" s="95"/>
      <c r="G769" s="96"/>
    </row>
    <row r="770">
      <c r="E770" s="107"/>
      <c r="F770" s="95"/>
      <c r="G770" s="96"/>
    </row>
    <row r="771">
      <c r="E771" s="107"/>
      <c r="F771" s="95"/>
      <c r="G771" s="96"/>
    </row>
    <row r="772">
      <c r="E772" s="107"/>
      <c r="F772" s="95"/>
      <c r="G772" s="96"/>
    </row>
    <row r="773">
      <c r="E773" s="107"/>
      <c r="F773" s="95"/>
      <c r="G773" s="96"/>
    </row>
    <row r="774">
      <c r="E774" s="107"/>
      <c r="F774" s="95"/>
      <c r="G774" s="96"/>
    </row>
    <row r="775">
      <c r="E775" s="107"/>
      <c r="F775" s="95"/>
      <c r="G775" s="96"/>
    </row>
    <row r="776">
      <c r="E776" s="107"/>
      <c r="F776" s="95"/>
      <c r="G776" s="96"/>
    </row>
    <row r="777">
      <c r="E777" s="107"/>
      <c r="F777" s="95"/>
      <c r="G777" s="96"/>
    </row>
    <row r="778">
      <c r="E778" s="107"/>
      <c r="F778" s="95"/>
      <c r="G778" s="96"/>
    </row>
    <row r="779">
      <c r="E779" s="107"/>
      <c r="F779" s="95"/>
      <c r="G779" s="96"/>
    </row>
    <row r="780">
      <c r="E780" s="107"/>
      <c r="F780" s="95"/>
      <c r="G780" s="96"/>
    </row>
    <row r="781">
      <c r="E781" s="107"/>
      <c r="F781" s="95"/>
      <c r="G781" s="96"/>
    </row>
    <row r="782">
      <c r="E782" s="107"/>
      <c r="F782" s="95"/>
      <c r="G782" s="96"/>
    </row>
    <row r="783">
      <c r="E783" s="107"/>
      <c r="F783" s="95"/>
      <c r="G783" s="96"/>
    </row>
    <row r="784">
      <c r="E784" s="107"/>
      <c r="F784" s="95"/>
      <c r="G784" s="96"/>
    </row>
    <row r="785">
      <c r="E785" s="107"/>
      <c r="F785" s="95"/>
      <c r="G785" s="96"/>
    </row>
    <row r="786">
      <c r="E786" s="107"/>
      <c r="F786" s="95"/>
      <c r="G786" s="96"/>
    </row>
    <row r="787">
      <c r="E787" s="107"/>
      <c r="F787" s="95"/>
      <c r="G787" s="96"/>
    </row>
    <row r="788">
      <c r="E788" s="107"/>
      <c r="F788" s="95"/>
      <c r="G788" s="96"/>
    </row>
    <row r="789">
      <c r="E789" s="107"/>
      <c r="F789" s="95"/>
      <c r="G789" s="96"/>
    </row>
    <row r="790">
      <c r="E790" s="107"/>
      <c r="F790" s="95"/>
      <c r="G790" s="96"/>
    </row>
    <row r="791">
      <c r="E791" s="107"/>
      <c r="F791" s="95"/>
      <c r="G791" s="96"/>
    </row>
    <row r="792">
      <c r="E792" s="107"/>
      <c r="F792" s="95"/>
      <c r="G792" s="96"/>
    </row>
    <row r="793">
      <c r="E793" s="107"/>
      <c r="F793" s="95"/>
      <c r="G793" s="96"/>
    </row>
    <row r="794">
      <c r="E794" s="107"/>
      <c r="F794" s="95"/>
      <c r="G794" s="96"/>
    </row>
    <row r="795">
      <c r="E795" s="107"/>
      <c r="F795" s="95"/>
      <c r="G795" s="96"/>
    </row>
    <row r="796">
      <c r="E796" s="107"/>
      <c r="F796" s="95"/>
      <c r="G796" s="96"/>
    </row>
    <row r="797">
      <c r="E797" s="107"/>
      <c r="F797" s="95"/>
      <c r="G797" s="96"/>
    </row>
    <row r="798">
      <c r="E798" s="107"/>
      <c r="F798" s="95"/>
      <c r="G798" s="96"/>
    </row>
    <row r="799">
      <c r="E799" s="107"/>
      <c r="F799" s="95"/>
      <c r="G799" s="96"/>
    </row>
    <row r="800">
      <c r="E800" s="107"/>
      <c r="F800" s="95"/>
      <c r="G800" s="96"/>
    </row>
    <row r="801">
      <c r="E801" s="107"/>
      <c r="F801" s="95"/>
      <c r="G801" s="96"/>
    </row>
    <row r="802">
      <c r="E802" s="107"/>
      <c r="F802" s="95"/>
      <c r="G802" s="96"/>
    </row>
    <row r="803">
      <c r="E803" s="107"/>
      <c r="F803" s="95"/>
      <c r="G803" s="96"/>
    </row>
    <row r="804">
      <c r="E804" s="107"/>
      <c r="F804" s="95"/>
      <c r="G804" s="96"/>
    </row>
    <row r="805">
      <c r="E805" s="107"/>
      <c r="F805" s="95"/>
      <c r="G805" s="96"/>
    </row>
    <row r="806">
      <c r="E806" s="107"/>
      <c r="F806" s="95"/>
      <c r="G806" s="96"/>
    </row>
    <row r="807">
      <c r="E807" s="107"/>
      <c r="F807" s="95"/>
      <c r="G807" s="96"/>
    </row>
    <row r="808">
      <c r="E808" s="107"/>
      <c r="F808" s="95"/>
      <c r="G808" s="96"/>
    </row>
    <row r="809">
      <c r="E809" s="107"/>
      <c r="F809" s="95"/>
      <c r="G809" s="96"/>
    </row>
    <row r="810">
      <c r="E810" s="107"/>
      <c r="F810" s="95"/>
      <c r="G810" s="96"/>
    </row>
    <row r="811">
      <c r="E811" s="107"/>
      <c r="F811" s="95"/>
      <c r="G811" s="96"/>
    </row>
    <row r="812">
      <c r="E812" s="107"/>
      <c r="F812" s="95"/>
      <c r="G812" s="96"/>
    </row>
    <row r="813">
      <c r="E813" s="107"/>
      <c r="F813" s="95"/>
      <c r="G813" s="96"/>
    </row>
    <row r="814">
      <c r="E814" s="107"/>
      <c r="F814" s="95"/>
      <c r="G814" s="96"/>
    </row>
    <row r="815">
      <c r="E815" s="107"/>
      <c r="F815" s="95"/>
      <c r="G815" s="96"/>
    </row>
    <row r="816">
      <c r="E816" s="107"/>
      <c r="F816" s="95"/>
      <c r="G816" s="96"/>
    </row>
    <row r="817">
      <c r="E817" s="107"/>
      <c r="F817" s="95"/>
      <c r="G817" s="96"/>
    </row>
    <row r="818">
      <c r="E818" s="107"/>
      <c r="F818" s="95"/>
      <c r="G818" s="96"/>
    </row>
    <row r="819">
      <c r="E819" s="107"/>
      <c r="F819" s="95"/>
      <c r="G819" s="96"/>
    </row>
    <row r="820">
      <c r="E820" s="107"/>
      <c r="F820" s="95"/>
      <c r="G820" s="96"/>
    </row>
    <row r="821">
      <c r="E821" s="107"/>
      <c r="F821" s="95"/>
      <c r="G821" s="96"/>
    </row>
    <row r="822">
      <c r="E822" s="107"/>
      <c r="F822" s="95"/>
      <c r="G822" s="96"/>
    </row>
    <row r="823">
      <c r="E823" s="107"/>
      <c r="F823" s="95"/>
      <c r="G823" s="96"/>
    </row>
    <row r="824">
      <c r="E824" s="107"/>
      <c r="F824" s="95"/>
      <c r="G824" s="96"/>
    </row>
    <row r="825">
      <c r="E825" s="107"/>
      <c r="F825" s="95"/>
      <c r="G825" s="96"/>
    </row>
    <row r="826">
      <c r="E826" s="107"/>
      <c r="F826" s="95"/>
      <c r="G826" s="96"/>
    </row>
    <row r="827">
      <c r="E827" s="107"/>
      <c r="F827" s="95"/>
      <c r="G827" s="96"/>
    </row>
    <row r="828">
      <c r="E828" s="107"/>
      <c r="F828" s="95"/>
      <c r="G828" s="96"/>
    </row>
    <row r="829">
      <c r="E829" s="107"/>
      <c r="F829" s="95"/>
      <c r="G829" s="96"/>
    </row>
    <row r="830">
      <c r="E830" s="107"/>
      <c r="F830" s="95"/>
      <c r="G830" s="96"/>
    </row>
    <row r="831">
      <c r="E831" s="107"/>
      <c r="F831" s="95"/>
      <c r="G831" s="96"/>
    </row>
    <row r="832">
      <c r="E832" s="107"/>
      <c r="F832" s="95"/>
      <c r="G832" s="96"/>
    </row>
    <row r="833">
      <c r="E833" s="107"/>
      <c r="F833" s="95"/>
      <c r="G833" s="96"/>
    </row>
    <row r="834">
      <c r="E834" s="107"/>
      <c r="F834" s="95"/>
      <c r="G834" s="96"/>
    </row>
    <row r="835">
      <c r="E835" s="107"/>
      <c r="F835" s="95"/>
      <c r="G835" s="96"/>
    </row>
    <row r="836">
      <c r="E836" s="107"/>
      <c r="F836" s="95"/>
      <c r="G836" s="96"/>
    </row>
    <row r="837">
      <c r="E837" s="107"/>
      <c r="F837" s="95"/>
      <c r="G837" s="96"/>
    </row>
    <row r="838">
      <c r="E838" s="107"/>
      <c r="F838" s="95"/>
      <c r="G838" s="96"/>
    </row>
    <row r="839">
      <c r="E839" s="107"/>
      <c r="F839" s="95"/>
      <c r="G839" s="96"/>
    </row>
    <row r="840">
      <c r="E840" s="107"/>
      <c r="F840" s="95"/>
      <c r="G840" s="96"/>
    </row>
    <row r="841">
      <c r="E841" s="107"/>
      <c r="F841" s="95"/>
      <c r="G841" s="96"/>
    </row>
    <row r="842">
      <c r="E842" s="107"/>
      <c r="F842" s="95"/>
      <c r="G842" s="96"/>
    </row>
    <row r="843">
      <c r="E843" s="107"/>
      <c r="F843" s="95"/>
      <c r="G843" s="96"/>
    </row>
    <row r="844">
      <c r="E844" s="107"/>
      <c r="F844" s="95"/>
      <c r="G844" s="96"/>
    </row>
    <row r="845">
      <c r="E845" s="107"/>
      <c r="F845" s="95"/>
      <c r="G845" s="96"/>
    </row>
    <row r="846">
      <c r="E846" s="107"/>
      <c r="F846" s="95"/>
      <c r="G846" s="96"/>
    </row>
    <row r="847">
      <c r="E847" s="107"/>
      <c r="F847" s="95"/>
      <c r="G847" s="96"/>
    </row>
    <row r="848">
      <c r="E848" s="107"/>
      <c r="F848" s="95"/>
      <c r="G848" s="96"/>
    </row>
    <row r="849">
      <c r="E849" s="107"/>
      <c r="F849" s="95"/>
      <c r="G849" s="96"/>
    </row>
    <row r="850">
      <c r="E850" s="107"/>
      <c r="F850" s="95"/>
      <c r="G850" s="96"/>
    </row>
    <row r="851">
      <c r="E851" s="107"/>
      <c r="F851" s="95"/>
      <c r="G851" s="96"/>
    </row>
    <row r="852">
      <c r="E852" s="107"/>
      <c r="F852" s="95"/>
      <c r="G852" s="96"/>
    </row>
    <row r="853">
      <c r="E853" s="107"/>
      <c r="F853" s="95"/>
      <c r="G853" s="96"/>
    </row>
    <row r="854">
      <c r="E854" s="107"/>
      <c r="F854" s="95"/>
      <c r="G854" s="96"/>
    </row>
    <row r="855">
      <c r="E855" s="107"/>
      <c r="F855" s="95"/>
      <c r="G855" s="96"/>
    </row>
    <row r="856">
      <c r="E856" s="107"/>
      <c r="F856" s="95"/>
      <c r="G856" s="96"/>
    </row>
    <row r="857">
      <c r="E857" s="107"/>
      <c r="F857" s="95"/>
      <c r="G857" s="96"/>
    </row>
    <row r="858">
      <c r="E858" s="107"/>
      <c r="F858" s="95"/>
      <c r="G858" s="96"/>
    </row>
    <row r="859">
      <c r="E859" s="107"/>
      <c r="F859" s="95"/>
      <c r="G859" s="96"/>
    </row>
    <row r="860">
      <c r="E860" s="107"/>
      <c r="F860" s="95"/>
      <c r="G860" s="96"/>
    </row>
    <row r="861">
      <c r="E861" s="107"/>
      <c r="F861" s="95"/>
      <c r="G861" s="96"/>
    </row>
    <row r="862">
      <c r="E862" s="107"/>
      <c r="F862" s="95"/>
      <c r="G862" s="96"/>
    </row>
    <row r="863">
      <c r="E863" s="107"/>
      <c r="F863" s="95"/>
      <c r="G863" s="96"/>
    </row>
    <row r="864">
      <c r="E864" s="107"/>
      <c r="F864" s="95"/>
      <c r="G864" s="96"/>
    </row>
    <row r="865">
      <c r="E865" s="107"/>
      <c r="F865" s="95"/>
      <c r="G865" s="96"/>
    </row>
    <row r="866">
      <c r="E866" s="107"/>
      <c r="F866" s="95"/>
      <c r="G866" s="96"/>
    </row>
    <row r="867">
      <c r="E867" s="107"/>
      <c r="F867" s="95"/>
      <c r="G867" s="96"/>
    </row>
    <row r="868">
      <c r="E868" s="107"/>
      <c r="F868" s="95"/>
      <c r="G868" s="96"/>
    </row>
    <row r="869">
      <c r="E869" s="107"/>
      <c r="F869" s="95"/>
      <c r="G869" s="96"/>
    </row>
    <row r="870">
      <c r="E870" s="107"/>
      <c r="F870" s="95"/>
      <c r="G870" s="96"/>
    </row>
    <row r="871">
      <c r="E871" s="107"/>
      <c r="F871" s="95"/>
      <c r="G871" s="96"/>
    </row>
    <row r="872">
      <c r="E872" s="107"/>
      <c r="F872" s="95"/>
      <c r="G872" s="96"/>
    </row>
    <row r="873">
      <c r="E873" s="107"/>
      <c r="F873" s="95"/>
      <c r="G873" s="96"/>
    </row>
    <row r="874">
      <c r="E874" s="107"/>
      <c r="F874" s="95"/>
      <c r="G874" s="96"/>
    </row>
    <row r="875">
      <c r="E875" s="107"/>
      <c r="F875" s="95"/>
      <c r="G875" s="96"/>
    </row>
    <row r="876">
      <c r="E876" s="107"/>
      <c r="F876" s="95"/>
      <c r="G876" s="96"/>
    </row>
    <row r="877">
      <c r="E877" s="107"/>
      <c r="F877" s="95"/>
      <c r="G877" s="96"/>
    </row>
    <row r="878">
      <c r="E878" s="107"/>
      <c r="F878" s="95"/>
      <c r="G878" s="96"/>
    </row>
    <row r="879">
      <c r="E879" s="107"/>
      <c r="F879" s="95"/>
      <c r="G879" s="96"/>
    </row>
    <row r="880">
      <c r="E880" s="107"/>
      <c r="F880" s="95"/>
      <c r="G880" s="96"/>
    </row>
    <row r="881">
      <c r="E881" s="107"/>
      <c r="F881" s="95"/>
      <c r="G881" s="96"/>
    </row>
    <row r="882">
      <c r="E882" s="107"/>
      <c r="F882" s="95"/>
      <c r="G882" s="96"/>
    </row>
    <row r="883">
      <c r="E883" s="107"/>
      <c r="F883" s="95"/>
      <c r="G883" s="96"/>
    </row>
    <row r="884">
      <c r="E884" s="107"/>
      <c r="F884" s="95"/>
      <c r="G884" s="96"/>
    </row>
    <row r="885">
      <c r="E885" s="107"/>
      <c r="F885" s="95"/>
      <c r="G885" s="96"/>
    </row>
    <row r="886">
      <c r="E886" s="107"/>
      <c r="F886" s="95"/>
      <c r="G886" s="96"/>
    </row>
    <row r="887">
      <c r="E887" s="107"/>
      <c r="F887" s="95"/>
      <c r="G887" s="96"/>
    </row>
    <row r="888">
      <c r="E888" s="107"/>
      <c r="F888" s="95"/>
      <c r="G888" s="96"/>
    </row>
    <row r="889">
      <c r="E889" s="107"/>
      <c r="F889" s="95"/>
      <c r="G889" s="96"/>
    </row>
    <row r="890">
      <c r="E890" s="107"/>
      <c r="F890" s="95"/>
      <c r="G890" s="96"/>
    </row>
    <row r="891">
      <c r="E891" s="107"/>
      <c r="F891" s="95"/>
      <c r="G891" s="96"/>
    </row>
    <row r="892">
      <c r="E892" s="107"/>
      <c r="F892" s="95"/>
      <c r="G892" s="96"/>
    </row>
    <row r="893">
      <c r="E893" s="107"/>
      <c r="F893" s="95"/>
      <c r="G893" s="96"/>
    </row>
    <row r="894">
      <c r="E894" s="107"/>
      <c r="F894" s="95"/>
      <c r="G894" s="96"/>
    </row>
    <row r="895">
      <c r="E895" s="107"/>
      <c r="F895" s="95"/>
      <c r="G895" s="96"/>
    </row>
    <row r="896">
      <c r="E896" s="107"/>
      <c r="F896" s="95"/>
      <c r="G896" s="96"/>
    </row>
    <row r="897">
      <c r="E897" s="107"/>
      <c r="F897" s="95"/>
      <c r="G897" s="96"/>
    </row>
    <row r="898">
      <c r="E898" s="107"/>
      <c r="F898" s="95"/>
      <c r="G898" s="96"/>
    </row>
    <row r="899">
      <c r="E899" s="107"/>
      <c r="F899" s="95"/>
      <c r="G899" s="96"/>
    </row>
    <row r="900">
      <c r="E900" s="107"/>
      <c r="F900" s="95"/>
      <c r="G900" s="96"/>
    </row>
    <row r="901">
      <c r="E901" s="107"/>
      <c r="F901" s="95"/>
      <c r="G901" s="96"/>
    </row>
    <row r="902">
      <c r="E902" s="107"/>
      <c r="F902" s="95"/>
      <c r="G902" s="96"/>
    </row>
    <row r="903">
      <c r="E903" s="107"/>
      <c r="F903" s="95"/>
      <c r="G903" s="96"/>
    </row>
    <row r="904">
      <c r="E904" s="107"/>
      <c r="F904" s="95"/>
      <c r="G904" s="96"/>
    </row>
    <row r="905">
      <c r="E905" s="107"/>
      <c r="F905" s="95"/>
      <c r="G905" s="96"/>
    </row>
    <row r="906">
      <c r="E906" s="107"/>
      <c r="F906" s="95"/>
      <c r="G906" s="96"/>
    </row>
    <row r="907">
      <c r="E907" s="107"/>
      <c r="F907" s="95"/>
      <c r="G907" s="96"/>
    </row>
    <row r="908">
      <c r="E908" s="107"/>
      <c r="F908" s="95"/>
      <c r="G908" s="96"/>
    </row>
    <row r="909">
      <c r="E909" s="107"/>
      <c r="F909" s="95"/>
      <c r="G909" s="96"/>
    </row>
    <row r="910">
      <c r="E910" s="107"/>
      <c r="F910" s="95"/>
      <c r="G910" s="96"/>
    </row>
    <row r="911">
      <c r="E911" s="107"/>
      <c r="F911" s="95"/>
      <c r="G911" s="96"/>
    </row>
    <row r="912">
      <c r="E912" s="107"/>
      <c r="F912" s="95"/>
      <c r="G912" s="96"/>
    </row>
    <row r="913">
      <c r="E913" s="107"/>
      <c r="F913" s="95"/>
      <c r="G913" s="96"/>
    </row>
    <row r="914">
      <c r="E914" s="107"/>
      <c r="F914" s="95"/>
      <c r="G914" s="96"/>
    </row>
    <row r="915">
      <c r="E915" s="107"/>
      <c r="F915" s="95"/>
      <c r="G915" s="96"/>
    </row>
    <row r="916">
      <c r="E916" s="107"/>
      <c r="F916" s="95"/>
      <c r="G916" s="96"/>
    </row>
    <row r="917">
      <c r="E917" s="107"/>
      <c r="F917" s="95"/>
      <c r="G917" s="96"/>
    </row>
    <row r="918">
      <c r="E918" s="107"/>
      <c r="F918" s="95"/>
      <c r="G918" s="96"/>
    </row>
    <row r="919">
      <c r="E919" s="107"/>
      <c r="F919" s="95"/>
      <c r="G919" s="96"/>
    </row>
    <row r="920">
      <c r="E920" s="107"/>
      <c r="F920" s="95"/>
      <c r="G920" s="96"/>
    </row>
    <row r="921">
      <c r="E921" s="107"/>
      <c r="F921" s="95"/>
      <c r="G921" s="96"/>
    </row>
    <row r="922">
      <c r="E922" s="107"/>
      <c r="F922" s="95"/>
      <c r="G922" s="96"/>
    </row>
    <row r="923">
      <c r="E923" s="107"/>
      <c r="F923" s="95"/>
      <c r="G923" s="96"/>
    </row>
    <row r="924">
      <c r="E924" s="107"/>
      <c r="F924" s="95"/>
      <c r="G924" s="96"/>
    </row>
    <row r="925">
      <c r="E925" s="107"/>
      <c r="F925" s="95"/>
      <c r="G925" s="96"/>
    </row>
    <row r="926">
      <c r="E926" s="107"/>
      <c r="F926" s="95"/>
      <c r="G926" s="96"/>
    </row>
    <row r="927">
      <c r="E927" s="107"/>
      <c r="F927" s="95"/>
      <c r="G927" s="96"/>
    </row>
    <row r="928">
      <c r="E928" s="107"/>
      <c r="F928" s="95"/>
      <c r="G928" s="96"/>
    </row>
    <row r="929">
      <c r="E929" s="107"/>
      <c r="F929" s="95"/>
      <c r="G929" s="96"/>
    </row>
    <row r="930">
      <c r="E930" s="107"/>
      <c r="F930" s="95"/>
      <c r="G930" s="96"/>
    </row>
    <row r="931">
      <c r="E931" s="107"/>
      <c r="F931" s="95"/>
      <c r="G931" s="96"/>
    </row>
    <row r="932">
      <c r="E932" s="107"/>
      <c r="F932" s="95"/>
      <c r="G932" s="96"/>
    </row>
    <row r="933">
      <c r="E933" s="107"/>
      <c r="F933" s="95"/>
      <c r="G933" s="96"/>
    </row>
    <row r="934">
      <c r="E934" s="107"/>
      <c r="F934" s="95"/>
      <c r="G934" s="96"/>
    </row>
    <row r="935">
      <c r="E935" s="107"/>
      <c r="F935" s="95"/>
      <c r="G935" s="96"/>
    </row>
    <row r="936">
      <c r="E936" s="107"/>
      <c r="F936" s="95"/>
      <c r="G936" s="96"/>
    </row>
    <row r="937">
      <c r="E937" s="107"/>
      <c r="F937" s="95"/>
      <c r="G937" s="96"/>
    </row>
    <row r="938">
      <c r="E938" s="107"/>
      <c r="F938" s="95"/>
      <c r="G938" s="96"/>
    </row>
    <row r="939">
      <c r="E939" s="107"/>
      <c r="F939" s="95"/>
      <c r="G939" s="96"/>
    </row>
    <row r="940">
      <c r="E940" s="107"/>
      <c r="F940" s="95"/>
      <c r="G940" s="96"/>
    </row>
    <row r="941">
      <c r="E941" s="107"/>
      <c r="F941" s="95"/>
      <c r="G941" s="96"/>
    </row>
    <row r="942">
      <c r="E942" s="107"/>
      <c r="F942" s="95"/>
      <c r="G942" s="96"/>
    </row>
    <row r="943">
      <c r="E943" s="107"/>
      <c r="F943" s="95"/>
      <c r="G943" s="96"/>
    </row>
    <row r="944">
      <c r="E944" s="107"/>
      <c r="F944" s="95"/>
      <c r="G944" s="96"/>
    </row>
    <row r="945">
      <c r="E945" s="107"/>
      <c r="F945" s="95"/>
      <c r="G945" s="96"/>
    </row>
    <row r="946">
      <c r="E946" s="107"/>
      <c r="F946" s="95"/>
      <c r="G946" s="96"/>
    </row>
    <row r="947">
      <c r="E947" s="107"/>
      <c r="F947" s="95"/>
      <c r="G947" s="96"/>
    </row>
    <row r="948">
      <c r="E948" s="107"/>
      <c r="F948" s="95"/>
      <c r="G948" s="96"/>
    </row>
    <row r="949">
      <c r="E949" s="107"/>
      <c r="F949" s="95"/>
      <c r="G949" s="96"/>
    </row>
    <row r="950">
      <c r="E950" s="107"/>
      <c r="F950" s="95"/>
      <c r="G950" s="96"/>
    </row>
    <row r="951">
      <c r="E951" s="107"/>
      <c r="F951" s="95"/>
      <c r="G951" s="96"/>
    </row>
    <row r="952">
      <c r="E952" s="107"/>
      <c r="F952" s="95"/>
      <c r="G952" s="96"/>
    </row>
    <row r="953">
      <c r="E953" s="107"/>
      <c r="F953" s="95"/>
      <c r="G953" s="96"/>
    </row>
    <row r="954">
      <c r="E954" s="107"/>
      <c r="F954" s="95"/>
      <c r="G954" s="96"/>
    </row>
    <row r="955">
      <c r="E955" s="107"/>
      <c r="F955" s="95"/>
      <c r="G955" s="96"/>
    </row>
    <row r="956">
      <c r="E956" s="107"/>
      <c r="F956" s="95"/>
      <c r="G956" s="96"/>
    </row>
    <row r="957">
      <c r="E957" s="107"/>
      <c r="F957" s="95"/>
      <c r="G957" s="96"/>
    </row>
    <row r="958">
      <c r="E958" s="107"/>
      <c r="F958" s="95"/>
      <c r="G958" s="96"/>
    </row>
    <row r="959">
      <c r="E959" s="107"/>
      <c r="F959" s="95"/>
      <c r="G959" s="96"/>
    </row>
    <row r="960">
      <c r="E960" s="107"/>
      <c r="F960" s="95"/>
      <c r="G960" s="96"/>
    </row>
    <row r="961">
      <c r="E961" s="107"/>
      <c r="F961" s="95"/>
      <c r="G961" s="96"/>
    </row>
    <row r="962">
      <c r="E962" s="107"/>
      <c r="F962" s="95"/>
      <c r="G962" s="96"/>
    </row>
    <row r="963">
      <c r="E963" s="107"/>
      <c r="F963" s="95"/>
      <c r="G963" s="96"/>
    </row>
    <row r="964">
      <c r="E964" s="107"/>
      <c r="F964" s="95"/>
      <c r="G964" s="96"/>
    </row>
    <row r="965">
      <c r="E965" s="107"/>
      <c r="F965" s="95"/>
      <c r="G965" s="96"/>
    </row>
    <row r="966">
      <c r="E966" s="107"/>
      <c r="F966" s="95"/>
      <c r="G966" s="96"/>
    </row>
    <row r="967">
      <c r="E967" s="107"/>
      <c r="F967" s="95"/>
      <c r="G967" s="96"/>
    </row>
    <row r="968">
      <c r="E968" s="107"/>
      <c r="F968" s="95"/>
      <c r="G968" s="96"/>
    </row>
    <row r="969">
      <c r="E969" s="107"/>
      <c r="F969" s="95"/>
      <c r="G969" s="96"/>
    </row>
    <row r="970">
      <c r="E970" s="107"/>
      <c r="F970" s="95"/>
      <c r="G970" s="96"/>
    </row>
    <row r="971">
      <c r="E971" s="107"/>
      <c r="F971" s="95"/>
      <c r="G971" s="96"/>
    </row>
    <row r="972">
      <c r="E972" s="107"/>
      <c r="F972" s="95"/>
      <c r="G972" s="96"/>
    </row>
    <row r="973">
      <c r="E973" s="107"/>
      <c r="F973" s="95"/>
      <c r="G973" s="96"/>
    </row>
    <row r="974">
      <c r="E974" s="107"/>
      <c r="F974" s="95"/>
      <c r="G974" s="96"/>
    </row>
    <row r="975">
      <c r="E975" s="107"/>
      <c r="F975" s="95"/>
      <c r="G975" s="96"/>
    </row>
    <row r="976">
      <c r="E976" s="107"/>
      <c r="F976" s="95"/>
      <c r="G976" s="96"/>
    </row>
    <row r="977">
      <c r="E977" s="107"/>
      <c r="F977" s="95"/>
      <c r="G977" s="96"/>
    </row>
    <row r="978">
      <c r="E978" s="107"/>
      <c r="F978" s="95"/>
      <c r="G978" s="96"/>
    </row>
    <row r="979">
      <c r="E979" s="107"/>
      <c r="F979" s="95"/>
      <c r="G979" s="96"/>
    </row>
    <row r="980">
      <c r="E980" s="107"/>
      <c r="F980" s="95"/>
      <c r="G980" s="96"/>
    </row>
    <row r="981">
      <c r="E981" s="107"/>
      <c r="F981" s="95"/>
      <c r="G981" s="96"/>
    </row>
    <row r="982">
      <c r="E982" s="107"/>
      <c r="F982" s="95"/>
      <c r="G982" s="96"/>
    </row>
    <row r="983">
      <c r="E983" s="107"/>
      <c r="F983" s="95"/>
      <c r="G983" s="96"/>
    </row>
    <row r="984">
      <c r="E984" s="107"/>
      <c r="F984" s="95"/>
      <c r="G984" s="96"/>
    </row>
    <row r="985">
      <c r="E985" s="107"/>
      <c r="F985" s="95"/>
      <c r="G985" s="96"/>
    </row>
    <row r="986">
      <c r="E986" s="107"/>
      <c r="F986" s="95"/>
      <c r="G986" s="96"/>
    </row>
    <row r="987">
      <c r="E987" s="107"/>
      <c r="F987" s="95"/>
      <c r="G987" s="96"/>
    </row>
    <row r="988">
      <c r="E988" s="107"/>
      <c r="F988" s="95"/>
      <c r="G988" s="96"/>
    </row>
    <row r="989">
      <c r="E989" s="107"/>
      <c r="F989" s="95"/>
      <c r="G989" s="96"/>
    </row>
    <row r="990">
      <c r="E990" s="107"/>
      <c r="F990" s="95"/>
      <c r="G990" s="96"/>
    </row>
    <row r="991">
      <c r="E991" s="107"/>
      <c r="F991" s="95"/>
      <c r="G991" s="96"/>
    </row>
    <row r="992">
      <c r="E992" s="107"/>
      <c r="F992" s="95"/>
      <c r="G992" s="96"/>
    </row>
    <row r="993">
      <c r="E993" s="107"/>
      <c r="F993" s="95"/>
      <c r="G993" s="96"/>
    </row>
    <row r="994">
      <c r="E994" s="107"/>
      <c r="F994" s="95"/>
      <c r="G994" s="96"/>
    </row>
    <row r="995">
      <c r="E995" s="107"/>
      <c r="F995" s="95"/>
      <c r="G995" s="96"/>
    </row>
    <row r="996">
      <c r="E996" s="107"/>
      <c r="F996" s="95"/>
      <c r="G996" s="96"/>
    </row>
    <row r="997">
      <c r="E997" s="107"/>
      <c r="F997" s="95"/>
      <c r="G997" s="96"/>
    </row>
    <row r="998">
      <c r="E998" s="107"/>
      <c r="F998" s="95"/>
      <c r="G998" s="96"/>
    </row>
    <row r="999">
      <c r="E999" s="107"/>
      <c r="F999" s="95"/>
      <c r="G999" s="96"/>
    </row>
  </sheetData>
  <drawing r:id="rId1"/>
  <tableParts count="2">
    <tablePart r:id="rId4"/>
    <tablePart r:id="rId5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13" width="27.0"/>
  </cols>
  <sheetData>
    <row r="1">
      <c r="A1" s="120" t="str">
        <f>IFERROR(__xludf.DUMMYFUNCTION("TRANSPOSE(QUERY('Cadastro VTR/SEÇÃO/MILITAR'!$A$3:$B2000,""SELECT B WHERE A LIKE '""&amp;#REF!&amp;""'""))"),"#REF!")</f>
        <v>#REF!</v>
      </c>
    </row>
    <row r="2">
      <c r="A2" s="120" t="str">
        <f>IFERROR(__xludf.DUMMYFUNCTION("TRANSPOSE(QUERY('Cadastro VTR/SEÇÃO/MILITAR'!$A$3:$B2000,""SELECT B WHERE A LIKE '""&amp;#REF!&amp;""'""))"),"#REF!")</f>
        <v>#REF!</v>
      </c>
    </row>
    <row r="3">
      <c r="A3" s="120" t="str">
        <f>IFERROR(__xludf.DUMMYFUNCTION("TRANSPOSE(QUERY('Cadastro VTR/SEÇÃO/MILITAR'!$A$3:$B2000,""SELECT B WHERE A LIKE '""&amp;'carga de materiais'!D4&amp;""'""))"),"#REF!")</f>
        <v>#REF!</v>
      </c>
    </row>
    <row r="4">
      <c r="A4" s="120" t="str">
        <f>IFERROR(__xludf.DUMMYFUNCTION("TRANSPOSE(QUERY('Cadastro VTR/SEÇÃO/MILITAR'!$A$3:$B2000,""SELECT B WHERE A LIKE '""&amp;'carga de materiais'!D5&amp;""'""))"),"#REF!")</f>
        <v>#REF!</v>
      </c>
    </row>
    <row r="5">
      <c r="A5" s="120" t="str">
        <f>IFERROR(__xludf.DUMMYFUNCTION("TRANSPOSE(QUERY('Cadastro VTR/SEÇÃO/MILITAR'!$A$3:$B2000,""SELECT B WHERE A LIKE '""&amp;'carga de materiais'!D6&amp;""'""))"),"#REF!")</f>
        <v>#REF!</v>
      </c>
    </row>
    <row r="6">
      <c r="A6" s="120" t="str">
        <f>IFERROR(__xludf.DUMMYFUNCTION("TRANSPOSE(QUERY('Cadastro VTR/SEÇÃO/MILITAR'!$A$3:$B2000,""SELECT B WHERE A LIKE '""&amp;'carga de materiais'!D7&amp;""'""))"),"#REF!")</f>
        <v>#REF!</v>
      </c>
    </row>
    <row r="7">
      <c r="A7" s="120" t="str">
        <f>IFERROR(__xludf.DUMMYFUNCTION("TRANSPOSE(QUERY('Cadastro VTR/SEÇÃO/MILITAR'!$A$3:$B2000,""SELECT B WHERE A LIKE '""&amp;'carga de materiais'!D8&amp;""'""))"),"#REF!")</f>
        <v>#REF!</v>
      </c>
    </row>
    <row r="8">
      <c r="A8" s="120" t="str">
        <f>IFERROR(__xludf.DUMMYFUNCTION("TRANSPOSE(QUERY('Cadastro VTR/SEÇÃO/MILITAR'!$A$3:$B2000,""SELECT B WHERE A LIKE '""&amp;'carga de materiais'!D9&amp;""'""))"),"#REF!")</f>
        <v>#REF!</v>
      </c>
    </row>
    <row r="9">
      <c r="A9" s="120" t="str">
        <f>IFERROR(__xludf.DUMMYFUNCTION("TRANSPOSE(QUERY('Cadastro VTR/SEÇÃO/MILITAR'!$A$3:$B2000,""SELECT B WHERE A LIKE '""&amp;'carga de materiais'!D10&amp;""'""))"),"#REF!")</f>
        <v>#REF!</v>
      </c>
    </row>
    <row r="10">
      <c r="A10" s="120" t="str">
        <f>IFERROR(__xludf.DUMMYFUNCTION("TRANSPOSE(QUERY('Cadastro VTR/SEÇÃO/MILITAR'!$A$3:$B2000,""SELECT B WHERE A LIKE '""&amp;'carga de materiais'!D11&amp;""'""))"),"#REF!")</f>
        <v>#REF!</v>
      </c>
    </row>
    <row r="11">
      <c r="A11" s="120" t="str">
        <f>IFERROR(__xludf.DUMMYFUNCTION("TRANSPOSE(QUERY('Cadastro VTR/SEÇÃO/MILITAR'!$A$3:$B2000,""SELECT B WHERE A LIKE '""&amp;'carga de materiais'!D12&amp;""'""))"),"#REF!")</f>
        <v>#REF!</v>
      </c>
    </row>
    <row r="12">
      <c r="A12" s="120" t="str">
        <f>IFERROR(__xludf.DUMMYFUNCTION("TRANSPOSE(QUERY('Cadastro VTR/SEÇÃO/MILITAR'!$A$3:$B2000,""SELECT B WHERE A LIKE '""&amp;'carga de materiais'!D13&amp;""'""))"),"#REF!")</f>
        <v>#REF!</v>
      </c>
    </row>
    <row r="13">
      <c r="A13" s="120" t="str">
        <f>IFERROR(__xludf.DUMMYFUNCTION("TRANSPOSE(QUERY('Cadastro VTR/SEÇÃO/MILITAR'!$A$3:$B2000,""SELECT B WHERE A LIKE '""&amp;'carga de materiais'!D14&amp;""'""))"),"#REF!")</f>
        <v>#REF!</v>
      </c>
    </row>
    <row r="14">
      <c r="A14" s="120" t="str">
        <f>IFERROR(__xludf.DUMMYFUNCTION("TRANSPOSE(QUERY('Cadastro VTR/SEÇÃO/MILITAR'!$A$3:$B2000,""SELECT B WHERE A LIKE '""&amp;'carga de materiais'!D15&amp;""'""))"),"#REF!")</f>
        <v>#REF!</v>
      </c>
    </row>
    <row r="15">
      <c r="A15" s="120" t="str">
        <f>IFERROR(__xludf.DUMMYFUNCTION("TRANSPOSE(QUERY('Cadastro VTR/SEÇÃO/MILITAR'!$A$3:$B2000,""SELECT B WHERE A LIKE '""&amp;'carga de materiais'!D16&amp;""'""))"),"#REF!")</f>
        <v>#REF!</v>
      </c>
    </row>
    <row r="16">
      <c r="A16" s="120" t="str">
        <f>IFERROR(__xludf.DUMMYFUNCTION("TRANSPOSE(QUERY('Cadastro VTR/SEÇÃO/MILITAR'!$A$3:$B2000,""SELECT B WHERE A LIKE '""&amp;'carga de materiais'!D17&amp;""'""))"),"#REF!")</f>
        <v>#REF!</v>
      </c>
    </row>
    <row r="17">
      <c r="A17" s="120" t="str">
        <f>IFERROR(__xludf.DUMMYFUNCTION("TRANSPOSE(QUERY('Cadastro VTR/SEÇÃO/MILITAR'!$A$3:$B2000,""SELECT B WHERE A LIKE '""&amp;'carga de materiais'!D18&amp;""'""))"),"#REF!")</f>
        <v>#REF!</v>
      </c>
    </row>
    <row r="18">
      <c r="A18" s="120" t="str">
        <f>IFERROR(__xludf.DUMMYFUNCTION("TRANSPOSE(QUERY('Cadastro VTR/SEÇÃO/MILITAR'!$A$3:$B2000,""SELECT B WHERE A LIKE '""&amp;'carga de materiais'!D19&amp;""'""))"),"#REF!")</f>
        <v>#REF!</v>
      </c>
    </row>
    <row r="19">
      <c r="A19" s="120" t="str">
        <f>IFERROR(__xludf.DUMMYFUNCTION("TRANSPOSE(QUERY('Cadastro VTR/SEÇÃO/MILITAR'!$A$3:$B2000,""SELECT B WHERE A LIKE '""&amp;'carga de materiais'!D20&amp;""'""))"),"#REF!")</f>
        <v>#REF!</v>
      </c>
    </row>
    <row r="20">
      <c r="A20" s="120" t="str">
        <f>IFERROR(__xludf.DUMMYFUNCTION("TRANSPOSE(QUERY('Cadastro VTR/SEÇÃO/MILITAR'!$A$3:$B2000,""SELECT B WHERE A LIKE '""&amp;'carga de materiais'!D21&amp;""'""))"),"#REF!")</f>
        <v>#REF!</v>
      </c>
    </row>
    <row r="21">
      <c r="A21" s="120" t="str">
        <f>IFERROR(__xludf.DUMMYFUNCTION("TRANSPOSE(QUERY('Cadastro VTR/SEÇÃO/MILITAR'!$A$3:$B2000,""SELECT B WHERE A LIKE '""&amp;'carga de materiais'!D22&amp;""'""))"),"#REF!")</f>
        <v>#REF!</v>
      </c>
    </row>
    <row r="22">
      <c r="A22" s="120" t="str">
        <f>IFERROR(__xludf.DUMMYFUNCTION("TRANSPOSE(QUERY('Cadastro VTR/SEÇÃO/MILITAR'!$A$3:$B2000,""SELECT B WHERE A LIKE '""&amp;'carga de materiais'!D23&amp;""'""))"),"#REF!")</f>
        <v>#REF!</v>
      </c>
    </row>
    <row r="23">
      <c r="A23" s="120" t="str">
        <f>IFERROR(__xludf.DUMMYFUNCTION("TRANSPOSE(QUERY('Cadastro VTR/SEÇÃO/MILITAR'!$A$3:$B2000,""SELECT B WHERE A LIKE '""&amp;'carga de materiais'!D24&amp;""'""))"),"#REF!")</f>
        <v>#REF!</v>
      </c>
    </row>
    <row r="24">
      <c r="A24" s="120" t="str">
        <f>IFERROR(__xludf.DUMMYFUNCTION("TRANSPOSE(QUERY('Cadastro VTR/SEÇÃO/MILITAR'!$A$3:$B2000,""SELECT B WHERE A LIKE '""&amp;'carga de materiais'!D25&amp;""'""))"),"#REF!")</f>
        <v>#REF!</v>
      </c>
    </row>
    <row r="25">
      <c r="A25" s="120" t="str">
        <f>IFERROR(__xludf.DUMMYFUNCTION("TRANSPOSE(QUERY('Cadastro VTR/SEÇÃO/MILITAR'!$A$3:$B2000,""SELECT B WHERE A LIKE '""&amp;'carga de materiais'!D26&amp;""'""))"),"#REF!")</f>
        <v>#REF!</v>
      </c>
    </row>
    <row r="26">
      <c r="A26" s="120" t="str">
        <f>IFERROR(__xludf.DUMMYFUNCTION("TRANSPOSE(QUERY('Cadastro VTR/SEÇÃO/MILITAR'!$A$3:$B2000,""SELECT B WHERE A LIKE '""&amp;'carga de materiais'!D27&amp;""'""))"),"#REF!")</f>
        <v>#REF!</v>
      </c>
    </row>
    <row r="27">
      <c r="A27" s="120" t="str">
        <f>IFERROR(__xludf.DUMMYFUNCTION("TRANSPOSE(QUERY('Cadastro VTR/SEÇÃO/MILITAR'!$A$3:$B2000,""SELECT B WHERE A LIKE '""&amp;'carga de materiais'!D28&amp;""'""))"),"#REF!")</f>
        <v>#REF!</v>
      </c>
    </row>
    <row r="28">
      <c r="A28" s="120" t="str">
        <f>IFERROR(__xludf.DUMMYFUNCTION("TRANSPOSE(QUERY('Cadastro VTR/SEÇÃO/MILITAR'!$A$3:$B2000,""SELECT B WHERE A LIKE '""&amp;'carga de materiais'!D29&amp;""'""))"),"#REF!")</f>
        <v>#REF!</v>
      </c>
    </row>
    <row r="29">
      <c r="A29" s="120" t="str">
        <f>IFERROR(__xludf.DUMMYFUNCTION("TRANSPOSE(QUERY('Cadastro VTR/SEÇÃO/MILITAR'!$A$3:$B2000,""SELECT B WHERE A LIKE '""&amp;'carga de materiais'!D30&amp;""'""))"),"#REF!")</f>
        <v>#REF!</v>
      </c>
    </row>
    <row r="30">
      <c r="A30" s="120" t="str">
        <f>IFERROR(__xludf.DUMMYFUNCTION("TRANSPOSE(QUERY('Cadastro VTR/SEÇÃO/MILITAR'!$A$3:$B2000,""SELECT B WHERE A LIKE '""&amp;'carga de materiais'!D31&amp;""'""))"),"#REF!")</f>
        <v>#REF!</v>
      </c>
    </row>
    <row r="31">
      <c r="A31" s="120" t="str">
        <f>IFERROR(__xludf.DUMMYFUNCTION("TRANSPOSE(QUERY('Cadastro VTR/SEÇÃO/MILITAR'!$A$3:$B2000,""SELECT B WHERE A LIKE '""&amp;'carga de materiais'!D32&amp;""'""))"),"#REF!")</f>
        <v>#REF!</v>
      </c>
    </row>
    <row r="32">
      <c r="A32" s="120" t="str">
        <f>IFERROR(__xludf.DUMMYFUNCTION("TRANSPOSE(QUERY('Cadastro VTR/SEÇÃO/MILITAR'!$A$3:$B2000,""SELECT B WHERE A LIKE '""&amp;'carga de materiais'!D33&amp;""'""))"),"#REF!")</f>
        <v>#REF!</v>
      </c>
    </row>
    <row r="33">
      <c r="A33" s="120" t="str">
        <f>IFERROR(__xludf.DUMMYFUNCTION("TRANSPOSE(QUERY('Cadastro VTR/SEÇÃO/MILITAR'!$A$3:$B2000,""SELECT B WHERE A LIKE '""&amp;'carga de materiais'!D34&amp;""'""))"),"#REF!")</f>
        <v>#REF!</v>
      </c>
    </row>
    <row r="34">
      <c r="A34" s="120" t="str">
        <f>IFERROR(__xludf.DUMMYFUNCTION("TRANSPOSE(QUERY('Cadastro VTR/SEÇÃO/MILITAR'!$A$3:$B2000,""SELECT B WHERE A LIKE '""&amp;'carga de materiais'!D35&amp;""'""))"),"#REF!")</f>
        <v>#REF!</v>
      </c>
    </row>
    <row r="35">
      <c r="A35" s="120" t="str">
        <f>IFERROR(__xludf.DUMMYFUNCTION("TRANSPOSE(QUERY('Cadastro VTR/SEÇÃO/MILITAR'!$A$3:$B2000,""SELECT B WHERE A LIKE '""&amp;'carga de materiais'!D36&amp;""'""))"),"#REF!")</f>
        <v>#REF!</v>
      </c>
    </row>
    <row r="36">
      <c r="A36" s="120" t="str">
        <f>IFERROR(__xludf.DUMMYFUNCTION("TRANSPOSE(QUERY('Cadastro VTR/SEÇÃO/MILITAR'!$A$3:$B2000,""SELECT B WHERE A LIKE '""&amp;'carga de materiais'!D37&amp;""'""))"),"#REF!")</f>
        <v>#REF!</v>
      </c>
    </row>
    <row r="37">
      <c r="A37" s="120" t="str">
        <f>IFERROR(__xludf.DUMMYFUNCTION("TRANSPOSE(QUERY('Cadastro VTR/SEÇÃO/MILITAR'!$A$3:$B2000,""SELECT B WHERE A LIKE '""&amp;'carga de materiais'!D38&amp;""'""))"),"#REF!")</f>
        <v>#REF!</v>
      </c>
    </row>
    <row r="38">
      <c r="A38" s="120" t="str">
        <f>IFERROR(__xludf.DUMMYFUNCTION("TRANSPOSE(QUERY('Cadastro VTR/SEÇÃO/MILITAR'!$A$3:$B2000,""SELECT B WHERE A LIKE '""&amp;'carga de materiais'!D39&amp;""'""))"),"#REF!")</f>
        <v>#REF!</v>
      </c>
    </row>
    <row r="39">
      <c r="A39" s="120" t="str">
        <f>IFERROR(__xludf.DUMMYFUNCTION("TRANSPOSE(QUERY('Cadastro VTR/SEÇÃO/MILITAR'!$A$3:$B2000,""SELECT B WHERE A LIKE '""&amp;'carga de materiais'!D40&amp;""'""))"),"#REF!")</f>
        <v>#REF!</v>
      </c>
    </row>
    <row r="40">
      <c r="A40" s="120" t="str">
        <f>IFERROR(__xludf.DUMMYFUNCTION("TRANSPOSE(QUERY('Cadastro VTR/SEÇÃO/MILITAR'!$A$3:$B2000,""SELECT B WHERE A LIKE '""&amp;'carga de materiais'!D41&amp;""'""))"),"#REF!")</f>
        <v>#REF!</v>
      </c>
    </row>
    <row r="41">
      <c r="A41" s="120" t="str">
        <f>IFERROR(__xludf.DUMMYFUNCTION("TRANSPOSE(QUERY('Cadastro VTR/SEÇÃO/MILITAR'!$A$3:$B2000,""SELECT B WHERE A LIKE '""&amp;'carga de materiais'!D42&amp;""'""))"),"#REF!")</f>
        <v>#REF!</v>
      </c>
    </row>
    <row r="42">
      <c r="A42" s="120" t="str">
        <f>IFERROR(__xludf.DUMMYFUNCTION("TRANSPOSE(QUERY('Cadastro VTR/SEÇÃO/MILITAR'!$A$3:$B2000,""SELECT B WHERE A LIKE '""&amp;'carga de materiais'!D43&amp;""'""))"),"#REF!")</f>
        <v>#REF!</v>
      </c>
    </row>
    <row r="43">
      <c r="A43" s="120" t="str">
        <f>IFERROR(__xludf.DUMMYFUNCTION("TRANSPOSE(QUERY('Cadastro VTR/SEÇÃO/MILITAR'!$A$3:$B2000,""SELECT B WHERE A LIKE '""&amp;'carga de materiais'!D44&amp;""'""))"),"#REF!")</f>
        <v>#REF!</v>
      </c>
    </row>
    <row r="44">
      <c r="A44" s="120" t="str">
        <f>IFERROR(__xludf.DUMMYFUNCTION("TRANSPOSE(QUERY('Cadastro VTR/SEÇÃO/MILITAR'!$A$3:$B2000,""SELECT B WHERE A LIKE '""&amp;'carga de materiais'!D45&amp;""'""))"),"#REF!")</f>
        <v>#REF!</v>
      </c>
    </row>
    <row r="45">
      <c r="A45" s="120" t="str">
        <f>IFERROR(__xludf.DUMMYFUNCTION("TRANSPOSE(QUERY('Cadastro VTR/SEÇÃO/MILITAR'!$A$3:$B2000,""SELECT B WHERE A LIKE '""&amp;'carga de materiais'!D46&amp;""'""))"),"#REF!")</f>
        <v>#REF!</v>
      </c>
    </row>
    <row r="46">
      <c r="A46" s="120" t="str">
        <f>IFERROR(__xludf.DUMMYFUNCTION("TRANSPOSE(QUERY('Cadastro VTR/SEÇÃO/MILITAR'!$A$3:$B2000,""SELECT B WHERE A LIKE '""&amp;'carga de materiais'!D47&amp;""'""))"),"#REF!")</f>
        <v>#REF!</v>
      </c>
    </row>
    <row r="47">
      <c r="A47" s="120" t="str">
        <f>IFERROR(__xludf.DUMMYFUNCTION("TRANSPOSE(QUERY('Cadastro VTR/SEÇÃO/MILITAR'!$A$3:$B2000,""SELECT B WHERE A LIKE '""&amp;'carga de materiais'!D48&amp;""'""))"),"#REF!")</f>
        <v>#REF!</v>
      </c>
    </row>
    <row r="48">
      <c r="A48" s="120" t="str">
        <f>IFERROR(__xludf.DUMMYFUNCTION("TRANSPOSE(QUERY('Cadastro VTR/SEÇÃO/MILITAR'!$A$3:$B2000,""SELECT B WHERE A LIKE '""&amp;'carga de materiais'!D49&amp;""'""))"),"#REF!")</f>
        <v>#REF!</v>
      </c>
    </row>
    <row r="49">
      <c r="A49" s="120" t="str">
        <f>IFERROR(__xludf.DUMMYFUNCTION("TRANSPOSE(QUERY('Cadastro VTR/SEÇÃO/MILITAR'!$A$3:$B2000,""SELECT B WHERE A LIKE '""&amp;'carga de materiais'!D50&amp;""'""))"),"#REF!")</f>
        <v>#REF!</v>
      </c>
    </row>
    <row r="50">
      <c r="A50" s="120" t="str">
        <f>IFERROR(__xludf.DUMMYFUNCTION("TRANSPOSE(QUERY('Cadastro VTR/SEÇÃO/MILITAR'!$A$3:$B2000,""SELECT B WHERE A LIKE '""&amp;'carga de materiais'!D51&amp;""'""))"),"#REF!")</f>
        <v>#REF!</v>
      </c>
    </row>
    <row r="51">
      <c r="A51" s="120" t="str">
        <f>IFERROR(__xludf.DUMMYFUNCTION("TRANSPOSE(QUERY('Cadastro VTR/SEÇÃO/MILITAR'!$A$3:$B2000,""SELECT B WHERE A LIKE '""&amp;'carga de materiais'!D52&amp;""'""))"),"#REF!")</f>
        <v>#REF!</v>
      </c>
    </row>
    <row r="52">
      <c r="A52" s="120" t="str">
        <f>IFERROR(__xludf.DUMMYFUNCTION("TRANSPOSE(QUERY('Cadastro VTR/SEÇÃO/MILITAR'!$A$3:$B2000,""SELECT B WHERE A LIKE '""&amp;'carga de materiais'!D53&amp;""'""))"),"#REF!")</f>
        <v>#REF!</v>
      </c>
    </row>
    <row r="53">
      <c r="A53" s="120" t="str">
        <f>IFERROR(__xludf.DUMMYFUNCTION("TRANSPOSE(QUERY('Cadastro VTR/SEÇÃO/MILITAR'!$A$3:$B2000,""SELECT B WHERE A LIKE '""&amp;'carga de materiais'!D54&amp;""'""))"),"#REF!")</f>
        <v>#REF!</v>
      </c>
    </row>
    <row r="54">
      <c r="A54" s="120" t="str">
        <f>IFERROR(__xludf.DUMMYFUNCTION("TRANSPOSE(QUERY('Cadastro VTR/SEÇÃO/MILITAR'!$A$3:$B2000,""SELECT B WHERE A LIKE '""&amp;'carga de materiais'!D55&amp;""'""))"),"#REF!")</f>
        <v>#REF!</v>
      </c>
    </row>
    <row r="55">
      <c r="A55" s="120" t="str">
        <f>IFERROR(__xludf.DUMMYFUNCTION("TRANSPOSE(QUERY('Cadastro VTR/SEÇÃO/MILITAR'!$A$3:$B2000,""SELECT B WHERE A LIKE '""&amp;'carga de materiais'!D56&amp;""'""))"),"#REF!")</f>
        <v>#REF!</v>
      </c>
    </row>
    <row r="56">
      <c r="A56" s="120" t="str">
        <f>IFERROR(__xludf.DUMMYFUNCTION("TRANSPOSE(QUERY('Cadastro VTR/SEÇÃO/MILITAR'!$A$3:$B2000,""SELECT B WHERE A LIKE '""&amp;'carga de materiais'!D57&amp;""'""))"),"#REF!")</f>
        <v>#REF!</v>
      </c>
    </row>
    <row r="57">
      <c r="A57" s="120" t="str">
        <f>IFERROR(__xludf.DUMMYFUNCTION("TRANSPOSE(QUERY('Cadastro VTR/SEÇÃO/MILITAR'!$A$3:$B2000,""SELECT B WHERE A LIKE '""&amp;'carga de materiais'!D58&amp;""'""))"),"#REF!")</f>
        <v>#REF!</v>
      </c>
      <c r="B57" s="87"/>
      <c r="C57" s="87"/>
      <c r="D57" s="87"/>
      <c r="E57" s="87"/>
      <c r="F57" s="87"/>
      <c r="G57" s="87"/>
      <c r="H57" s="87"/>
      <c r="I57" s="87"/>
      <c r="J57" s="87"/>
      <c r="K57" s="87"/>
      <c r="L57" s="87"/>
      <c r="M57" s="87"/>
      <c r="N57" s="87"/>
      <c r="O57" s="87"/>
      <c r="P57" s="87"/>
      <c r="Q57" s="87"/>
      <c r="R57" s="87"/>
      <c r="S57" s="87"/>
      <c r="T57" s="87"/>
      <c r="U57" s="87"/>
      <c r="V57" s="87"/>
      <c r="W57" s="87"/>
      <c r="X57" s="87"/>
      <c r="Y57" s="87"/>
      <c r="Z57" s="87"/>
      <c r="AA57" s="87"/>
      <c r="AB57" s="87"/>
      <c r="AC57" s="87"/>
      <c r="AD57" s="87"/>
      <c r="AE57" s="87"/>
      <c r="AF57" s="87"/>
      <c r="AG57" s="87"/>
      <c r="AH57" s="87"/>
      <c r="AI57" s="87"/>
      <c r="AJ57" s="87"/>
      <c r="AK57" s="87"/>
      <c r="AL57" s="87"/>
      <c r="AM57" s="87"/>
      <c r="AN57" s="87"/>
      <c r="AO57" s="87"/>
      <c r="AP57" s="87"/>
      <c r="AQ57" s="87"/>
      <c r="AR57" s="87"/>
      <c r="AS57" s="87"/>
      <c r="AT57" s="87"/>
      <c r="AU57" s="87"/>
      <c r="AV57" s="87"/>
      <c r="AW57" s="87"/>
      <c r="AX57" s="87"/>
      <c r="AY57" s="87"/>
      <c r="AZ57" s="87"/>
      <c r="BA57" s="87"/>
      <c r="BB57" s="87"/>
      <c r="BC57" s="87"/>
      <c r="BD57" s="87"/>
      <c r="BE57" s="87"/>
      <c r="BF57" s="87"/>
      <c r="BG57" s="87"/>
      <c r="BH57" s="87"/>
      <c r="BI57" s="87"/>
      <c r="BJ57" s="87"/>
      <c r="BK57" s="87"/>
      <c r="BL57" s="87"/>
      <c r="BM57" s="87"/>
      <c r="BN57" s="87"/>
      <c r="BO57" s="87"/>
      <c r="BP57" s="87"/>
      <c r="BQ57" s="87"/>
      <c r="BR57" s="87"/>
      <c r="BS57" s="87"/>
      <c r="BT57" s="87"/>
      <c r="BU57" s="87"/>
      <c r="BV57" s="87"/>
      <c r="BW57" s="87"/>
      <c r="BX57" s="87"/>
      <c r="BY57" s="87"/>
      <c r="BZ57" s="87"/>
      <c r="CA57" s="87"/>
      <c r="CB57" s="87"/>
      <c r="CC57" s="87"/>
      <c r="CD57" s="87"/>
      <c r="CE57" s="87"/>
      <c r="CF57" s="87"/>
      <c r="CG57" s="87"/>
      <c r="CH57" s="87"/>
      <c r="CI57" s="87"/>
      <c r="CJ57" s="87"/>
      <c r="CK57" s="87"/>
      <c r="CL57" s="87"/>
      <c r="CM57" s="87"/>
      <c r="CN57" s="87"/>
      <c r="CO57" s="87"/>
      <c r="CP57" s="87"/>
      <c r="CQ57" s="87"/>
      <c r="CR57" s="87"/>
      <c r="CS57" s="87"/>
      <c r="CT57" s="87"/>
      <c r="CU57" s="87"/>
      <c r="CV57" s="87"/>
      <c r="CW57" s="87"/>
      <c r="CX57" s="87"/>
      <c r="CY57" s="87"/>
      <c r="CZ57" s="87"/>
      <c r="DA57" s="87"/>
      <c r="DB57" s="87"/>
      <c r="DC57" s="87"/>
      <c r="DD57" s="87"/>
      <c r="DE57" s="87"/>
      <c r="DF57" s="87"/>
      <c r="DG57" s="87"/>
      <c r="DH57" s="87"/>
      <c r="DI57" s="87"/>
    </row>
    <row r="58">
      <c r="A58" s="120" t="str">
        <f>IFERROR(__xludf.DUMMYFUNCTION("TRANSPOSE(QUERY('Cadastro VTR/SEÇÃO/MILITAR'!$A$3:$B2000,""SELECT B WHERE A LIKE '""&amp;'carga de materiais'!D59&amp;""'""))"),"#REF!")</f>
        <v>#REF!</v>
      </c>
    </row>
    <row r="59">
      <c r="A59" s="120" t="str">
        <f>IFERROR(__xludf.DUMMYFUNCTION("TRANSPOSE(QUERY('Cadastro VTR/SEÇÃO/MILITAR'!$A$3:$B2000,""SELECT B WHERE A LIKE '""&amp;'carga de materiais'!D60&amp;""'""))"),"#REF!")</f>
        <v>#REF!</v>
      </c>
    </row>
    <row r="60">
      <c r="A60" s="120" t="str">
        <f>IFERROR(__xludf.DUMMYFUNCTION("TRANSPOSE(QUERY('Cadastro VTR/SEÇÃO/MILITAR'!$A$3:$B2000,""SELECT B WHERE A LIKE '""&amp;'carga de materiais'!D61&amp;""'""))"),"#REF!")</f>
        <v>#REF!</v>
      </c>
    </row>
    <row r="61">
      <c r="A61" s="120" t="str">
        <f>IFERROR(__xludf.DUMMYFUNCTION("TRANSPOSE(QUERY('Cadastro VTR/SEÇÃO/MILITAR'!$A$3:$B2000,""SELECT B WHERE A LIKE '""&amp;'carga de materiais'!D62&amp;""'""))"),"#REF!")</f>
        <v>#REF!</v>
      </c>
    </row>
    <row r="62">
      <c r="A62" s="120" t="str">
        <f>IFERROR(__xludf.DUMMYFUNCTION("TRANSPOSE(QUERY('Cadastro VTR/SEÇÃO/MILITAR'!$A$3:$B2000,""SELECT B WHERE A LIKE '""&amp;'carga de materiais'!D63&amp;""'""))"),"#REF!")</f>
        <v>#REF!</v>
      </c>
    </row>
    <row r="63">
      <c r="A63" s="120" t="str">
        <f>IFERROR(__xludf.DUMMYFUNCTION("TRANSPOSE(QUERY('Cadastro VTR/SEÇÃO/MILITAR'!$A$3:$B2000,""SELECT B WHERE A LIKE '""&amp;'carga de materiais'!D64&amp;""'""))"),"#REF!")</f>
        <v>#REF!</v>
      </c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7"/>
      <c r="AB63" s="87"/>
      <c r="AC63" s="87"/>
      <c r="AD63" s="87"/>
      <c r="AE63" s="87"/>
      <c r="AF63" s="87"/>
      <c r="AG63" s="87"/>
      <c r="AH63" s="87"/>
      <c r="AI63" s="87"/>
      <c r="AJ63" s="87"/>
      <c r="AK63" s="87"/>
      <c r="AL63" s="87"/>
      <c r="AM63" s="87"/>
      <c r="AN63" s="87"/>
      <c r="AO63" s="87"/>
      <c r="AP63" s="87"/>
      <c r="AQ63" s="87"/>
      <c r="AR63" s="87"/>
      <c r="AS63" s="87"/>
      <c r="AT63" s="87"/>
      <c r="AU63" s="87"/>
      <c r="AV63" s="87"/>
      <c r="AW63" s="87"/>
      <c r="AX63" s="87"/>
      <c r="AY63" s="87"/>
      <c r="AZ63" s="87"/>
      <c r="BA63" s="87"/>
      <c r="BB63" s="87"/>
      <c r="BC63" s="87"/>
      <c r="BD63" s="87"/>
      <c r="BE63" s="87"/>
      <c r="BF63" s="87"/>
      <c r="BG63" s="87"/>
      <c r="BH63" s="87"/>
      <c r="BI63" s="87"/>
      <c r="BJ63" s="87"/>
      <c r="BK63" s="87"/>
      <c r="BL63" s="87"/>
      <c r="BM63" s="87"/>
      <c r="BN63" s="87"/>
      <c r="BO63" s="87"/>
      <c r="BP63" s="87"/>
      <c r="BQ63" s="87"/>
      <c r="BR63" s="87"/>
      <c r="BS63" s="87"/>
      <c r="BT63" s="87"/>
      <c r="BU63" s="87"/>
      <c r="BV63" s="87"/>
      <c r="BW63" s="87"/>
      <c r="BX63" s="87"/>
      <c r="BY63" s="87"/>
      <c r="BZ63" s="87"/>
      <c r="CA63" s="87"/>
      <c r="CB63" s="87"/>
      <c r="CC63" s="87"/>
      <c r="CD63" s="87"/>
      <c r="CE63" s="87"/>
      <c r="CF63" s="87"/>
      <c r="CG63" s="87"/>
      <c r="CH63" s="87"/>
      <c r="CI63" s="87"/>
      <c r="CJ63" s="87"/>
      <c r="CK63" s="87"/>
      <c r="CL63" s="87"/>
      <c r="CM63" s="87"/>
      <c r="CN63" s="87"/>
      <c r="CO63" s="87"/>
      <c r="CP63" s="87"/>
      <c r="CQ63" s="87"/>
      <c r="CR63" s="87"/>
      <c r="CS63" s="87"/>
      <c r="CT63" s="87"/>
      <c r="CU63" s="87"/>
      <c r="CV63" s="87"/>
      <c r="CW63" s="87"/>
      <c r="CX63" s="87"/>
      <c r="CY63" s="87"/>
      <c r="CZ63" s="87"/>
      <c r="DA63" s="87"/>
      <c r="DB63" s="87"/>
      <c r="DC63" s="87"/>
      <c r="DD63" s="87"/>
      <c r="DE63" s="87"/>
      <c r="DF63" s="87"/>
      <c r="DG63" s="87"/>
      <c r="DH63" s="87"/>
      <c r="DI63" s="87"/>
    </row>
    <row r="64">
      <c r="A64" s="120" t="str">
        <f>IFERROR(__xludf.DUMMYFUNCTION("TRANSPOSE(QUERY('Cadastro VTR/SEÇÃO/MILITAR'!$A$3:$B2000,""SELECT B WHERE A LIKE '""&amp;'carga de materiais'!D65&amp;""'""))"),"#REF!")</f>
        <v>#REF!</v>
      </c>
    </row>
    <row r="65">
      <c r="A65" s="120" t="str">
        <f>IFERROR(__xludf.DUMMYFUNCTION("TRANSPOSE(QUERY('Cadastro VTR/SEÇÃO/MILITAR'!$A$3:$B2000,""SELECT B WHERE A LIKE '""&amp;'carga de materiais'!D66&amp;""'""))"),"#REF!")</f>
        <v>#REF!</v>
      </c>
    </row>
    <row r="66">
      <c r="A66" s="120" t="str">
        <f>IFERROR(__xludf.DUMMYFUNCTION("TRANSPOSE(QUERY('Cadastro VTR/SEÇÃO/MILITAR'!$A$3:$B2000,""SELECT B WHERE A LIKE '""&amp;'carga de materiais'!D67&amp;""'""))"),"#REF!")</f>
        <v>#REF!</v>
      </c>
    </row>
    <row r="67">
      <c r="A67" s="120" t="str">
        <f>IFERROR(__xludf.DUMMYFUNCTION("TRANSPOSE(QUERY('Cadastro VTR/SEÇÃO/MILITAR'!$A$3:$B2000,""SELECT B WHERE A LIKE '""&amp;'carga de materiais'!D68&amp;""'""))"),"#REF!")</f>
        <v>#REF!</v>
      </c>
    </row>
    <row r="68">
      <c r="A68" s="120" t="str">
        <f>IFERROR(__xludf.DUMMYFUNCTION("TRANSPOSE(QUERY('Cadastro VTR/SEÇÃO/MILITAR'!$A$3:$B2000,""SELECT B WHERE A LIKE '""&amp;'carga de materiais'!D69&amp;""'""))"),"#REF!")</f>
        <v>#REF!</v>
      </c>
    </row>
    <row r="69">
      <c r="A69" s="120" t="str">
        <f>IFERROR(__xludf.DUMMYFUNCTION("TRANSPOSE(QUERY('Cadastro VTR/SEÇÃO/MILITAR'!$A$3:$B2000,""SELECT B WHERE A LIKE '""&amp;'carga de materiais'!D70&amp;""'""))"),"#REF!")</f>
        <v>#REF!</v>
      </c>
    </row>
    <row r="70">
      <c r="A70" s="120" t="str">
        <f>IFERROR(__xludf.DUMMYFUNCTION("TRANSPOSE(QUERY('Cadastro VTR/SEÇÃO/MILITAR'!$A$3:$B2000,""SELECT B WHERE A LIKE '""&amp;'carga de materiais'!D71&amp;""'""))"),"#REF!")</f>
        <v>#REF!</v>
      </c>
    </row>
    <row r="71">
      <c r="A71" s="120" t="str">
        <f>IFERROR(__xludf.DUMMYFUNCTION("TRANSPOSE(QUERY('Cadastro VTR/SEÇÃO/MILITAR'!$A$3:$B2000,""SELECT B WHERE A LIKE '""&amp;'carga de materiais'!D72&amp;""'""))"),"#REF!")</f>
        <v>#REF!</v>
      </c>
    </row>
    <row r="72">
      <c r="A72" s="120" t="str">
        <f>IFERROR(__xludf.DUMMYFUNCTION("TRANSPOSE(QUERY('Cadastro VTR/SEÇÃO/MILITAR'!$A$3:$B2000,""SELECT B WHERE A LIKE '""&amp;'carga de materiais'!D73&amp;""'""))"),"#REF!")</f>
        <v>#REF!</v>
      </c>
    </row>
    <row r="73">
      <c r="A73" s="120" t="str">
        <f>IFERROR(__xludf.DUMMYFUNCTION("TRANSPOSE(QUERY('Cadastro VTR/SEÇÃO/MILITAR'!$A$3:$B2000,""SELECT B WHERE A LIKE '""&amp;'carga de materiais'!D74&amp;""'""))"),"#REF!")</f>
        <v>#REF!</v>
      </c>
    </row>
    <row r="74">
      <c r="A74" s="120" t="str">
        <f>IFERROR(__xludf.DUMMYFUNCTION("TRANSPOSE(QUERY('Cadastro VTR/SEÇÃO/MILITAR'!$A$3:$B2000,""SELECT B WHERE A LIKE '""&amp;'carga de materiais'!D75&amp;""'""))"),"#REF!")</f>
        <v>#REF!</v>
      </c>
    </row>
    <row r="75">
      <c r="A75" s="120" t="str">
        <f>IFERROR(__xludf.DUMMYFUNCTION("TRANSPOSE(QUERY('Cadastro VTR/SEÇÃO/MILITAR'!$A$3:$B2000,""SELECT B WHERE A LIKE '""&amp;'carga de materiais'!D76&amp;""'""))"),"#REF!")</f>
        <v>#REF!</v>
      </c>
    </row>
    <row r="76">
      <c r="A76" s="120" t="str">
        <f>IFERROR(__xludf.DUMMYFUNCTION("TRANSPOSE(QUERY('Cadastro VTR/SEÇÃO/MILITAR'!$A$3:$B2000,""SELECT B WHERE A LIKE '""&amp;'carga de materiais'!D77&amp;""'""))"),"#REF!")</f>
        <v>#REF!</v>
      </c>
    </row>
    <row r="77">
      <c r="A77" s="120" t="str">
        <f>IFERROR(__xludf.DUMMYFUNCTION("TRANSPOSE(QUERY('Cadastro VTR/SEÇÃO/MILITAR'!$A$3:$B2000,""SELECT B WHERE A LIKE '""&amp;'carga de materiais'!D78&amp;""'""))"),"#REF!")</f>
        <v>#REF!</v>
      </c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7"/>
      <c r="AB77" s="87"/>
      <c r="AC77" s="87"/>
      <c r="AD77" s="87"/>
      <c r="AE77" s="87"/>
      <c r="AF77" s="87"/>
      <c r="AG77" s="87"/>
      <c r="AH77" s="87"/>
      <c r="AI77" s="87"/>
      <c r="AJ77" s="87"/>
      <c r="AK77" s="87"/>
      <c r="AL77" s="87"/>
      <c r="AM77" s="87"/>
      <c r="AN77" s="87"/>
      <c r="AO77" s="87"/>
      <c r="AP77" s="87"/>
      <c r="AQ77" s="87"/>
      <c r="AR77" s="87"/>
      <c r="AS77" s="87"/>
      <c r="AT77" s="87"/>
      <c r="AU77" s="87"/>
      <c r="AV77" s="87"/>
      <c r="AW77" s="87"/>
      <c r="AX77" s="87"/>
      <c r="AY77" s="87"/>
      <c r="AZ77" s="87"/>
      <c r="BA77" s="87"/>
      <c r="BB77" s="87"/>
      <c r="BC77" s="87"/>
      <c r="BD77" s="87"/>
      <c r="BE77" s="87"/>
      <c r="BF77" s="87"/>
      <c r="BG77" s="87"/>
      <c r="BH77" s="87"/>
      <c r="BI77" s="87"/>
      <c r="BJ77" s="87"/>
      <c r="BK77" s="87"/>
      <c r="BL77" s="87"/>
      <c r="BM77" s="87"/>
      <c r="BN77" s="87"/>
      <c r="BO77" s="87"/>
      <c r="BP77" s="87"/>
      <c r="BQ77" s="87"/>
      <c r="BR77" s="87"/>
      <c r="BS77" s="87"/>
      <c r="BT77" s="87"/>
      <c r="BU77" s="87"/>
      <c r="BV77" s="87"/>
      <c r="BW77" s="87"/>
      <c r="BX77" s="87"/>
      <c r="BY77" s="87"/>
      <c r="BZ77" s="87"/>
      <c r="CA77" s="87"/>
      <c r="CB77" s="87"/>
      <c r="CC77" s="87"/>
      <c r="CD77" s="87"/>
      <c r="CE77" s="87"/>
      <c r="CF77" s="87"/>
      <c r="CG77" s="87"/>
      <c r="CH77" s="87"/>
      <c r="CI77" s="87"/>
      <c r="CJ77" s="87"/>
      <c r="CK77" s="87"/>
      <c r="CL77" s="87"/>
      <c r="CM77" s="87"/>
      <c r="CN77" s="87"/>
      <c r="CO77" s="87"/>
      <c r="CP77" s="87"/>
      <c r="CQ77" s="87"/>
      <c r="CR77" s="87"/>
      <c r="CS77" s="87"/>
      <c r="CT77" s="87"/>
      <c r="CU77" s="87"/>
      <c r="CV77" s="87"/>
      <c r="CW77" s="87"/>
      <c r="CX77" s="87"/>
      <c r="CY77" s="87"/>
      <c r="CZ77" s="87"/>
      <c r="DA77" s="87"/>
      <c r="DB77" s="87"/>
      <c r="DC77" s="87"/>
      <c r="DD77" s="87"/>
      <c r="DE77" s="87"/>
      <c r="DF77" s="87"/>
      <c r="DG77" s="87"/>
      <c r="DH77" s="87"/>
      <c r="DI77" s="87"/>
    </row>
    <row r="78">
      <c r="A78" s="120" t="str">
        <f>IFERROR(__xludf.DUMMYFUNCTION("TRANSPOSE(QUERY('Cadastro VTR/SEÇÃO/MILITAR'!$A$3:$B2000,""SELECT B WHERE A LIKE '""&amp;'carga de materiais'!D79&amp;""'""))"),"#REF!")</f>
        <v>#REF!</v>
      </c>
    </row>
    <row r="79">
      <c r="A79" s="120" t="str">
        <f>IFERROR(__xludf.DUMMYFUNCTION("TRANSPOSE(QUERY('Cadastro VTR/SEÇÃO/MILITAR'!$A$3:$B2000,""SELECT B WHERE A LIKE '""&amp;'carga de materiais'!D80&amp;""'""))"),"#REF!")</f>
        <v>#REF!</v>
      </c>
    </row>
    <row r="80">
      <c r="A80" s="120" t="str">
        <f>IFERROR(__xludf.DUMMYFUNCTION("TRANSPOSE(QUERY('Cadastro VTR/SEÇÃO/MILITAR'!$A$3:$B2000,""SELECT B WHERE A LIKE '""&amp;'carga de materiais'!D81&amp;""'""))"),"#REF!")</f>
        <v>#REF!</v>
      </c>
    </row>
    <row r="81">
      <c r="A81" s="120" t="str">
        <f>IFERROR(__xludf.DUMMYFUNCTION("TRANSPOSE(QUERY('Cadastro VTR/SEÇÃO/MILITAR'!$A$3:$B2000,""SELECT B WHERE A LIKE '""&amp;'carga de materiais'!D82&amp;""'""))"),"#REF!")</f>
        <v>#REF!</v>
      </c>
    </row>
    <row r="82">
      <c r="A82" s="120" t="str">
        <f>IFERROR(__xludf.DUMMYFUNCTION("TRANSPOSE(QUERY('Cadastro VTR/SEÇÃO/MILITAR'!$A$3:$B2000,""SELECT B WHERE A LIKE '""&amp;'carga de materiais'!D83&amp;""'""))"),"#REF!")</f>
        <v>#REF!</v>
      </c>
    </row>
    <row r="83">
      <c r="A83" s="120" t="str">
        <f>IFERROR(__xludf.DUMMYFUNCTION("TRANSPOSE(QUERY('Cadastro VTR/SEÇÃO/MILITAR'!$A$3:$B2000,""SELECT B WHERE A LIKE '""&amp;'carga de materiais'!D84&amp;""'""))"),"#REF!")</f>
        <v>#REF!</v>
      </c>
    </row>
    <row r="84">
      <c r="A84" s="120" t="str">
        <f>IFERROR(__xludf.DUMMYFUNCTION("TRANSPOSE(QUERY('Cadastro VTR/SEÇÃO/MILITAR'!$A$3:$B2000,""SELECT B WHERE A LIKE '""&amp;'carga de materiais'!D85&amp;""'""))"),"#REF!")</f>
        <v>#REF!</v>
      </c>
    </row>
    <row r="85">
      <c r="A85" s="120" t="str">
        <f>IFERROR(__xludf.DUMMYFUNCTION("TRANSPOSE(QUERY('Cadastro VTR/SEÇÃO/MILITAR'!$A$3:$B2000,""SELECT B WHERE A LIKE '""&amp;'carga de materiais'!D86&amp;""'""))"),"#REF!")</f>
        <v>#REF!</v>
      </c>
    </row>
    <row r="86">
      <c r="A86" s="120" t="str">
        <f>IFERROR(__xludf.DUMMYFUNCTION("TRANSPOSE(QUERY('Cadastro VTR/SEÇÃO/MILITAR'!$A$3:$B2000,""SELECT B WHERE A LIKE '""&amp;'carga de materiais'!D87&amp;""'""))"),"#REF!")</f>
        <v>#REF!</v>
      </c>
    </row>
    <row r="87">
      <c r="A87" s="120" t="str">
        <f>IFERROR(__xludf.DUMMYFUNCTION("TRANSPOSE(QUERY('Cadastro VTR/SEÇÃO/MILITAR'!$A$3:$B2000,""SELECT B WHERE A LIKE '""&amp;'carga de materiais'!D88&amp;""'""))"),"#REF!")</f>
        <v>#REF!</v>
      </c>
    </row>
    <row r="88">
      <c r="A88" s="120" t="str">
        <f>IFERROR(__xludf.DUMMYFUNCTION("TRANSPOSE(QUERY('Cadastro VTR/SEÇÃO/MILITAR'!$A$3:$B2000,""SELECT B WHERE A LIKE '""&amp;'carga de materiais'!D89&amp;""'""))"),"#REF!")</f>
        <v>#REF!</v>
      </c>
    </row>
    <row r="89">
      <c r="A89" s="120" t="str">
        <f>IFERROR(__xludf.DUMMYFUNCTION("TRANSPOSE(QUERY('Cadastro VTR/SEÇÃO/MILITAR'!$A$3:$B2000,""SELECT B WHERE A LIKE '""&amp;'carga de materiais'!D90&amp;""'""))"),"#REF!")</f>
        <v>#REF!</v>
      </c>
      <c r="B89" s="87"/>
      <c r="C89" s="87"/>
      <c r="D89" s="87"/>
      <c r="E89" s="87"/>
      <c r="F89" s="87"/>
      <c r="G89" s="87"/>
      <c r="H89" s="87"/>
      <c r="I89" s="87"/>
      <c r="J89" s="87"/>
      <c r="K89" s="87"/>
      <c r="L89" s="87"/>
      <c r="M89" s="87"/>
      <c r="N89" s="87"/>
      <c r="O89" s="87"/>
      <c r="P89" s="87"/>
      <c r="Q89" s="87"/>
      <c r="R89" s="87"/>
      <c r="S89" s="87"/>
      <c r="T89" s="87"/>
      <c r="U89" s="87"/>
      <c r="V89" s="87"/>
      <c r="W89" s="87"/>
      <c r="X89" s="87"/>
      <c r="Y89" s="87"/>
      <c r="Z89" s="87"/>
      <c r="AA89" s="87"/>
      <c r="AB89" s="87"/>
      <c r="AC89" s="87"/>
      <c r="AD89" s="87"/>
      <c r="AE89" s="87"/>
      <c r="AF89" s="87"/>
      <c r="AG89" s="87"/>
      <c r="AH89" s="87"/>
      <c r="AI89" s="87"/>
      <c r="AJ89" s="87"/>
      <c r="AK89" s="87"/>
      <c r="AL89" s="87"/>
      <c r="AM89" s="87"/>
      <c r="AN89" s="87"/>
      <c r="AO89" s="87"/>
      <c r="AP89" s="87"/>
      <c r="AQ89" s="87"/>
      <c r="AR89" s="87"/>
      <c r="AS89" s="87"/>
      <c r="AT89" s="87"/>
      <c r="AU89" s="87"/>
      <c r="AV89" s="87"/>
      <c r="AW89" s="87"/>
      <c r="AX89" s="87"/>
      <c r="AY89" s="87"/>
      <c r="AZ89" s="87"/>
      <c r="BA89" s="87"/>
      <c r="BB89" s="87"/>
      <c r="BC89" s="87"/>
      <c r="BD89" s="87"/>
      <c r="BE89" s="87"/>
      <c r="BF89" s="87"/>
      <c r="BG89" s="87"/>
      <c r="BH89" s="87"/>
      <c r="BI89" s="87"/>
      <c r="BJ89" s="87"/>
      <c r="BK89" s="87"/>
      <c r="BL89" s="87"/>
      <c r="BM89" s="87"/>
      <c r="BN89" s="87"/>
      <c r="BO89" s="87"/>
      <c r="BP89" s="87"/>
      <c r="BQ89" s="87"/>
      <c r="BR89" s="87"/>
      <c r="BS89" s="87"/>
      <c r="BT89" s="87"/>
      <c r="BU89" s="87"/>
      <c r="BV89" s="87"/>
      <c r="BW89" s="87"/>
      <c r="BX89" s="87"/>
      <c r="BY89" s="87"/>
      <c r="BZ89" s="87"/>
      <c r="CA89" s="87"/>
      <c r="CB89" s="87"/>
      <c r="CC89" s="87"/>
      <c r="CD89" s="87"/>
      <c r="CE89" s="87"/>
      <c r="CF89" s="87"/>
      <c r="CG89" s="87"/>
      <c r="CH89" s="87"/>
      <c r="CI89" s="87"/>
      <c r="CJ89" s="87"/>
      <c r="CK89" s="87"/>
      <c r="CL89" s="87"/>
      <c r="CM89" s="87"/>
      <c r="CN89" s="87"/>
      <c r="CO89" s="87"/>
      <c r="CP89" s="87"/>
      <c r="CQ89" s="87"/>
      <c r="CR89" s="87"/>
      <c r="CS89" s="87"/>
      <c r="CT89" s="87"/>
      <c r="CU89" s="87"/>
      <c r="CV89" s="87"/>
      <c r="CW89" s="87"/>
      <c r="CX89" s="87"/>
      <c r="CY89" s="87"/>
      <c r="CZ89" s="87"/>
      <c r="DA89" s="87"/>
      <c r="DB89" s="87"/>
      <c r="DC89" s="87"/>
      <c r="DD89" s="87"/>
      <c r="DE89" s="87"/>
      <c r="DF89" s="87"/>
      <c r="DG89" s="87"/>
      <c r="DH89" s="87"/>
      <c r="DI89" s="87"/>
    </row>
    <row r="90">
      <c r="A90" s="120" t="str">
        <f>IFERROR(__xludf.DUMMYFUNCTION("TRANSPOSE(QUERY('Cadastro VTR/SEÇÃO/MILITAR'!$A$3:$B2000,""SELECT B WHERE A LIKE '""&amp;'carga de materiais'!D91&amp;""'""))"),"#REF!")</f>
        <v>#REF!</v>
      </c>
    </row>
    <row r="91">
      <c r="A91" s="120" t="str">
        <f>IFERROR(__xludf.DUMMYFUNCTION("TRANSPOSE(QUERY('Cadastro VTR/SEÇÃO/MILITAR'!$A$3:$B2000,""SELECT B WHERE A LIKE '""&amp;'carga de materiais'!D92&amp;""'""))"),"#REF!")</f>
        <v>#REF!</v>
      </c>
    </row>
    <row r="92">
      <c r="A92" s="120" t="str">
        <f>IFERROR(__xludf.DUMMYFUNCTION("TRANSPOSE(QUERY('Cadastro VTR/SEÇÃO/MILITAR'!$A$3:$B2000,""SELECT B WHERE A LIKE '""&amp;'carga de materiais'!D93&amp;""'""))"),"#REF!")</f>
        <v>#REF!</v>
      </c>
    </row>
    <row r="93">
      <c r="A93" s="120" t="str">
        <f>IFERROR(__xludf.DUMMYFUNCTION("TRANSPOSE(QUERY('Cadastro VTR/SEÇÃO/MILITAR'!$A$3:$B2000,""SELECT B WHERE A LIKE '""&amp;'carga de materiais'!D94&amp;""'""))"),"#REF!")</f>
        <v>#REF!</v>
      </c>
    </row>
    <row r="94">
      <c r="A94" s="120" t="str">
        <f>IFERROR(__xludf.DUMMYFUNCTION("TRANSPOSE(QUERY('Cadastro VTR/SEÇÃO/MILITAR'!$A$3:$B2000,""SELECT B WHERE A LIKE '""&amp;'carga de materiais'!D95&amp;""'""))"),"#REF!")</f>
        <v>#REF!</v>
      </c>
    </row>
    <row r="95">
      <c r="A95" s="120" t="str">
        <f>IFERROR(__xludf.DUMMYFUNCTION("TRANSPOSE(QUERY('Cadastro VTR/SEÇÃO/MILITAR'!$A$3:$B2000,""SELECT B WHERE A LIKE '""&amp;'carga de materiais'!D96&amp;""'""))"),"#REF!")</f>
        <v>#REF!</v>
      </c>
    </row>
    <row r="96">
      <c r="A96" s="120" t="str">
        <f>IFERROR(__xludf.DUMMYFUNCTION("TRANSPOSE(QUERY('Cadastro VTR/SEÇÃO/MILITAR'!$A$3:$B2000,""SELECT B WHERE A LIKE '""&amp;'carga de materiais'!D97&amp;""'""))"),"#REF!")</f>
        <v>#REF!</v>
      </c>
    </row>
    <row r="97">
      <c r="A97" s="120" t="str">
        <f>IFERROR(__xludf.DUMMYFUNCTION("TRANSPOSE(QUERY('Cadastro VTR/SEÇÃO/MILITAR'!$A$3:$B2000,""SELECT B WHERE A LIKE '""&amp;'carga de materiais'!D98&amp;""'""))"),"#REF!")</f>
        <v>#REF!</v>
      </c>
    </row>
    <row r="98">
      <c r="A98" s="120" t="str">
        <f>IFERROR(__xludf.DUMMYFUNCTION("TRANSPOSE(QUERY('Cadastro VTR/SEÇÃO/MILITAR'!$A$3:$B2000,""SELECT B WHERE A LIKE '""&amp;'carga de materiais'!D99&amp;""'""))"),"#REF!")</f>
        <v>#REF!</v>
      </c>
    </row>
    <row r="99">
      <c r="A99" s="120" t="str">
        <f>IFERROR(__xludf.DUMMYFUNCTION("TRANSPOSE(QUERY('Cadastro VTR/SEÇÃO/MILITAR'!$A$3:$B2000,""SELECT B WHERE A LIKE '""&amp;'carga de materiais'!D100&amp;""'""))"),"#REF!")</f>
        <v>#REF!</v>
      </c>
    </row>
    <row r="100">
      <c r="A100" s="120" t="str">
        <f>IFERROR(__xludf.DUMMYFUNCTION("TRANSPOSE(QUERY('Cadastro VTR/SEÇÃO/MILITAR'!$A$3:$B2000,""SELECT B WHERE A LIKE '""&amp;'carga de materiais'!D101&amp;""'""))"),"#REF!")</f>
        <v>#REF!</v>
      </c>
    </row>
    <row r="101">
      <c r="A101" s="120" t="str">
        <f>IFERROR(__xludf.DUMMYFUNCTION("TRANSPOSE(QUERY('Cadastro VTR/SEÇÃO/MILITAR'!$A$3:$B2000,""SELECT B WHERE A LIKE '""&amp;'carga de materiais'!D102&amp;""'""))"),"#REF!")</f>
        <v>#REF!</v>
      </c>
    </row>
    <row r="102">
      <c r="A102" s="120" t="str">
        <f>IFERROR(__xludf.DUMMYFUNCTION("TRANSPOSE(QUERY('Cadastro VTR/SEÇÃO/MILITAR'!$A$3:$B2000,""SELECT B WHERE A LIKE '""&amp;'carga de materiais'!D103&amp;""'""))"),"#REF!")</f>
        <v>#REF!</v>
      </c>
    </row>
    <row r="103">
      <c r="A103" s="120" t="str">
        <f>IFERROR(__xludf.DUMMYFUNCTION("TRANSPOSE(QUERY('Cadastro VTR/SEÇÃO/MILITAR'!$A$3:$B2000,""SELECT B WHERE A LIKE '""&amp;'carga de materiais'!D104&amp;""'""))"),"#REF!")</f>
        <v>#REF!</v>
      </c>
    </row>
    <row r="104">
      <c r="A104" s="120" t="str">
        <f>IFERROR(__xludf.DUMMYFUNCTION("TRANSPOSE(QUERY('Cadastro VTR/SEÇÃO/MILITAR'!$A$3:$B2000,""SELECT B WHERE A LIKE '""&amp;'carga de materiais'!D105&amp;""'""))"),"#REF!")</f>
        <v>#REF!</v>
      </c>
    </row>
    <row r="105">
      <c r="A105" s="120" t="str">
        <f>IFERROR(__xludf.DUMMYFUNCTION("TRANSPOSE(QUERY('Cadastro VTR/SEÇÃO/MILITAR'!$A$3:$B2000,""SELECT B WHERE A LIKE '""&amp;'carga de materiais'!D106&amp;""'""))"),"#REF!")</f>
        <v>#REF!</v>
      </c>
    </row>
    <row r="106">
      <c r="A106" s="120" t="str">
        <f>IFERROR(__xludf.DUMMYFUNCTION("TRANSPOSE(QUERY('Cadastro VTR/SEÇÃO/MILITAR'!$A$3:$B2000,""SELECT B WHERE A LIKE '""&amp;'carga de materiais'!D107&amp;""'""))"),"#REF!")</f>
        <v>#REF!</v>
      </c>
    </row>
    <row r="107">
      <c r="A107" s="120" t="str">
        <f>IFERROR(__xludf.DUMMYFUNCTION("TRANSPOSE(QUERY('Cadastro VTR/SEÇÃO/MILITAR'!$A$3:$B2000,""SELECT B WHERE A LIKE '""&amp;'carga de materiais'!D108&amp;""'""))"),"#REF!")</f>
        <v>#REF!</v>
      </c>
    </row>
    <row r="108">
      <c r="A108" s="120" t="str">
        <f>IFERROR(__xludf.DUMMYFUNCTION("TRANSPOSE(QUERY('Cadastro VTR/SEÇÃO/MILITAR'!$A$3:$B2000,""SELECT B WHERE A LIKE '""&amp;'carga de materiais'!D109&amp;""'""))"),"#REF!")</f>
        <v>#REF!</v>
      </c>
    </row>
    <row r="109">
      <c r="A109" s="120" t="str">
        <f>IFERROR(__xludf.DUMMYFUNCTION("TRANSPOSE(QUERY('Cadastro VTR/SEÇÃO/MILITAR'!$A$3:$B2000,""SELECT B WHERE A LIKE '""&amp;'carga de materiais'!D110&amp;""'""))"),"#REF!")</f>
        <v>#REF!</v>
      </c>
    </row>
    <row r="110">
      <c r="A110" s="120" t="str">
        <f>IFERROR(__xludf.DUMMYFUNCTION("TRANSPOSE(QUERY('Cadastro VTR/SEÇÃO/MILITAR'!$A$3:$B2000,""SELECT B WHERE A LIKE '""&amp;'carga de materiais'!D111&amp;""'""))"),"#REF!")</f>
        <v>#REF!</v>
      </c>
    </row>
    <row r="111">
      <c r="A111" s="120" t="str">
        <f>IFERROR(__xludf.DUMMYFUNCTION("TRANSPOSE(QUERY('Cadastro VTR/SEÇÃO/MILITAR'!$A$3:$B2000,""SELECT B WHERE A LIKE '""&amp;'carga de materiais'!D112&amp;""'""))"),"#REF!")</f>
        <v>#REF!</v>
      </c>
    </row>
    <row r="112">
      <c r="A112" s="120" t="str">
        <f>IFERROR(__xludf.DUMMYFUNCTION("TRANSPOSE(QUERY('Cadastro VTR/SEÇÃO/MILITAR'!$A$3:$B2000,""SELECT B WHERE A LIKE '""&amp;'carga de materiais'!D113&amp;""'""))"),"#REF!")</f>
        <v>#REF!</v>
      </c>
    </row>
    <row r="113">
      <c r="A113" s="120" t="str">
        <f>IFERROR(__xludf.DUMMYFUNCTION("TRANSPOSE(QUERY('Cadastro VTR/SEÇÃO/MILITAR'!$A$3:$B2000,""SELECT B WHERE A LIKE '""&amp;'carga de materiais'!D114&amp;""'""))"),"#REF!")</f>
        <v>#REF!</v>
      </c>
    </row>
    <row r="114">
      <c r="A114" s="120" t="str">
        <f>IFERROR(__xludf.DUMMYFUNCTION("TRANSPOSE(QUERY('Cadastro VTR/SEÇÃO/MILITAR'!$A$3:$B2000,""SELECT B WHERE A LIKE '""&amp;'carga de materiais'!D115&amp;""'""))"),"#REF!")</f>
        <v>#REF!</v>
      </c>
    </row>
    <row r="115">
      <c r="A115" s="120" t="str">
        <f>IFERROR(__xludf.DUMMYFUNCTION("TRANSPOSE(QUERY('Cadastro VTR/SEÇÃO/MILITAR'!$A$3:$B2000,""SELECT B WHERE A LIKE '""&amp;'carga de materiais'!D116&amp;""'""))"),"#REF!")</f>
        <v>#REF!</v>
      </c>
    </row>
    <row r="116">
      <c r="A116" s="120" t="str">
        <f>IFERROR(__xludf.DUMMYFUNCTION("TRANSPOSE(QUERY('Cadastro VTR/SEÇÃO/MILITAR'!$A$3:$B2000,""SELECT B WHERE A LIKE '""&amp;'carga de materiais'!D117&amp;""'""))"),"#REF!")</f>
        <v>#REF!</v>
      </c>
    </row>
    <row r="117">
      <c r="A117" s="120" t="str">
        <f>IFERROR(__xludf.DUMMYFUNCTION("TRANSPOSE(QUERY('Cadastro VTR/SEÇÃO/MILITAR'!$A$3:$B2000,""SELECT B WHERE A LIKE '""&amp;'carga de materiais'!D118&amp;""'""))"),"#REF!")</f>
        <v>#REF!</v>
      </c>
    </row>
    <row r="118">
      <c r="A118" s="120" t="str">
        <f>IFERROR(__xludf.DUMMYFUNCTION("TRANSPOSE(QUERY('Cadastro VTR/SEÇÃO/MILITAR'!$A$3:$B2000,""SELECT B WHERE A LIKE '""&amp;'carga de materiais'!D119&amp;""'""))"),"#REF!")</f>
        <v>#REF!</v>
      </c>
    </row>
    <row r="119">
      <c r="A119" s="120" t="str">
        <f>IFERROR(__xludf.DUMMYFUNCTION("TRANSPOSE(QUERY('Cadastro VTR/SEÇÃO/MILITAR'!$A$3:$B2000,""SELECT B WHERE A LIKE '""&amp;'carga de materiais'!D120&amp;""'""))"),"#REF!")</f>
        <v>#REF!</v>
      </c>
    </row>
    <row r="120">
      <c r="A120" s="120" t="str">
        <f>IFERROR(__xludf.DUMMYFUNCTION("TRANSPOSE(QUERY('Cadastro VTR/SEÇÃO/MILITAR'!$A$3:$B2000,""SELECT B WHERE A LIKE '""&amp;'carga de materiais'!D121&amp;""'""))"),"#REF!")</f>
        <v>#REF!</v>
      </c>
    </row>
    <row r="121">
      <c r="A121" s="120" t="str">
        <f>IFERROR(__xludf.DUMMYFUNCTION("TRANSPOSE(QUERY('Cadastro VTR/SEÇÃO/MILITAR'!$A$3:$B2000,""SELECT B WHERE A LIKE '""&amp;'carga de materiais'!D122&amp;""'""))"),"#REF!")</f>
        <v>#REF!</v>
      </c>
      <c r="B121" s="87"/>
      <c r="C121" s="87"/>
      <c r="D121" s="87"/>
      <c r="E121" s="87"/>
      <c r="F121" s="87"/>
      <c r="G121" s="87"/>
      <c r="H121" s="87"/>
      <c r="I121" s="87"/>
      <c r="J121" s="87"/>
      <c r="K121" s="87"/>
      <c r="L121" s="87"/>
      <c r="M121" s="87"/>
      <c r="N121" s="87"/>
      <c r="O121" s="87"/>
      <c r="P121" s="87"/>
      <c r="Q121" s="87"/>
      <c r="R121" s="87"/>
      <c r="S121" s="87"/>
      <c r="T121" s="87"/>
      <c r="U121" s="87"/>
      <c r="V121" s="87"/>
      <c r="W121" s="87"/>
      <c r="X121" s="87"/>
      <c r="Y121" s="87"/>
      <c r="Z121" s="87"/>
      <c r="AA121" s="87"/>
      <c r="AB121" s="87"/>
      <c r="AC121" s="87"/>
      <c r="AD121" s="87"/>
      <c r="AE121" s="87"/>
      <c r="AF121" s="87"/>
      <c r="AG121" s="87"/>
      <c r="AH121" s="87"/>
      <c r="AI121" s="87"/>
      <c r="AJ121" s="87"/>
      <c r="AK121" s="87"/>
      <c r="AL121" s="87"/>
      <c r="AM121" s="87"/>
      <c r="AN121" s="87"/>
      <c r="AO121" s="87"/>
      <c r="AP121" s="87"/>
      <c r="AQ121" s="87"/>
      <c r="AR121" s="87"/>
      <c r="AS121" s="87"/>
      <c r="AT121" s="87"/>
      <c r="AU121" s="87"/>
      <c r="AV121" s="87"/>
      <c r="AW121" s="87"/>
      <c r="AX121" s="87"/>
      <c r="AY121" s="87"/>
      <c r="AZ121" s="87"/>
      <c r="BA121" s="87"/>
      <c r="BB121" s="87"/>
      <c r="BC121" s="87"/>
      <c r="BD121" s="87"/>
      <c r="BE121" s="87"/>
      <c r="BF121" s="87"/>
      <c r="BG121" s="87"/>
      <c r="BH121" s="87"/>
      <c r="BI121" s="87"/>
      <c r="BJ121" s="87"/>
      <c r="BK121" s="87"/>
      <c r="BL121" s="87"/>
      <c r="BM121" s="87"/>
      <c r="BN121" s="87"/>
      <c r="BO121" s="87"/>
      <c r="BP121" s="87"/>
      <c r="BQ121" s="87"/>
      <c r="BR121" s="87"/>
      <c r="BS121" s="87"/>
      <c r="BT121" s="87"/>
      <c r="BU121" s="87"/>
      <c r="BV121" s="87"/>
      <c r="BW121" s="87"/>
      <c r="BX121" s="87"/>
      <c r="BY121" s="87"/>
      <c r="BZ121" s="87"/>
      <c r="CA121" s="87"/>
      <c r="CB121" s="87"/>
      <c r="CC121" s="87"/>
      <c r="CD121" s="87"/>
      <c r="CE121" s="87"/>
      <c r="CF121" s="87"/>
      <c r="CG121" s="87"/>
      <c r="CH121" s="87"/>
      <c r="CI121" s="87"/>
      <c r="CJ121" s="87"/>
      <c r="CK121" s="87"/>
      <c r="CL121" s="87"/>
      <c r="CM121" s="87"/>
      <c r="CN121" s="87"/>
      <c r="CO121" s="87"/>
      <c r="CP121" s="87"/>
      <c r="CQ121" s="87"/>
      <c r="CR121" s="87"/>
      <c r="CS121" s="87"/>
      <c r="CT121" s="87"/>
      <c r="CU121" s="87"/>
      <c r="CV121" s="87"/>
      <c r="CW121" s="87"/>
      <c r="CX121" s="87"/>
      <c r="CY121" s="87"/>
      <c r="CZ121" s="87"/>
      <c r="DA121" s="87"/>
      <c r="DB121" s="87"/>
      <c r="DC121" s="87"/>
      <c r="DD121" s="87"/>
      <c r="DE121" s="87"/>
      <c r="DF121" s="87"/>
      <c r="DG121" s="87"/>
      <c r="DH121" s="87"/>
      <c r="DI121" s="87"/>
    </row>
    <row r="122">
      <c r="A122" s="120" t="str">
        <f>IFERROR(__xludf.DUMMYFUNCTION("TRANSPOSE(QUERY('Cadastro VTR/SEÇÃO/MILITAR'!$A$3:$B2000,""SELECT B WHERE A LIKE '""&amp;'carga de materiais'!D123&amp;""'""))"),"#REF!")</f>
        <v>#REF!</v>
      </c>
    </row>
    <row r="123">
      <c r="A123" s="120" t="str">
        <f>IFERROR(__xludf.DUMMYFUNCTION("TRANSPOSE(QUERY('Cadastro VTR/SEÇÃO/MILITAR'!$A$3:$B2000,""SELECT B WHERE A LIKE '""&amp;'carga de materiais'!D124&amp;""'""))"),"#REF!")</f>
        <v>#REF!</v>
      </c>
    </row>
    <row r="124">
      <c r="A124" s="120" t="str">
        <f>IFERROR(__xludf.DUMMYFUNCTION("TRANSPOSE(QUERY('Cadastro VTR/SEÇÃO/MILITAR'!$A$3:$B2000,""SELECT B WHERE A LIKE '""&amp;'carga de materiais'!D125&amp;""'""))"),"#REF!")</f>
        <v>#REF!</v>
      </c>
    </row>
    <row r="125">
      <c r="A125" s="120" t="str">
        <f>IFERROR(__xludf.DUMMYFUNCTION("TRANSPOSE(QUERY('Cadastro VTR/SEÇÃO/MILITAR'!$A$3:$B2000,""SELECT B WHERE A LIKE '""&amp;'carga de materiais'!D126&amp;""'""))"),"#REF!")</f>
        <v>#REF!</v>
      </c>
    </row>
    <row r="126">
      <c r="A126" s="120" t="str">
        <f>IFERROR(__xludf.DUMMYFUNCTION("TRANSPOSE(QUERY('Cadastro VTR/SEÇÃO/MILITAR'!$A$3:$B2000,""SELECT B WHERE A LIKE '""&amp;'carga de materiais'!D127&amp;""'""))"),"#REF!")</f>
        <v>#REF!</v>
      </c>
    </row>
    <row r="127">
      <c r="A127" s="120" t="str">
        <f>IFERROR(__xludf.DUMMYFUNCTION("TRANSPOSE(QUERY('Cadastro VTR/SEÇÃO/MILITAR'!$A$3:$B2000,""SELECT B WHERE A LIKE '""&amp;'carga de materiais'!D128&amp;""'""))"),"#REF!")</f>
        <v>#REF!</v>
      </c>
    </row>
    <row r="128">
      <c r="A128" s="120" t="str">
        <f>IFERROR(__xludf.DUMMYFUNCTION("TRANSPOSE(QUERY('Cadastro VTR/SEÇÃO/MILITAR'!$A$3:$B2000,""SELECT B WHERE A LIKE '""&amp;'carga de materiais'!D129&amp;""'""))"),"#REF!")</f>
        <v>#REF!</v>
      </c>
    </row>
    <row r="129">
      <c r="A129" s="120" t="str">
        <f>IFERROR(__xludf.DUMMYFUNCTION("TRANSPOSE(QUERY('Cadastro VTR/SEÇÃO/MILITAR'!$A$3:$B2000,""SELECT B WHERE A LIKE '""&amp;'carga de materiais'!D130&amp;""'""))"),"#REF!")</f>
        <v>#REF!</v>
      </c>
    </row>
    <row r="130">
      <c r="A130" s="120" t="str">
        <f>IFERROR(__xludf.DUMMYFUNCTION("TRANSPOSE(QUERY('Cadastro VTR/SEÇÃO/MILITAR'!$A$3:$B2000,""SELECT B WHERE A LIKE '""&amp;'carga de materiais'!D131&amp;""'""))"),"#REF!")</f>
        <v>#REF!</v>
      </c>
    </row>
    <row r="131">
      <c r="A131" s="120" t="str">
        <f>IFERROR(__xludf.DUMMYFUNCTION("TRANSPOSE(QUERY('Cadastro VTR/SEÇÃO/MILITAR'!$A$3:$B2000,""SELECT B WHERE A LIKE '""&amp;'carga de materiais'!D132&amp;""'""))"),"#REF!")</f>
        <v>#REF!</v>
      </c>
    </row>
    <row r="132">
      <c r="A132" s="120" t="str">
        <f>IFERROR(__xludf.DUMMYFUNCTION("TRANSPOSE(QUERY('Cadastro VTR/SEÇÃO/MILITAR'!$A$3:$B2000,""SELECT B WHERE A LIKE '""&amp;'carga de materiais'!D133&amp;""'""))"),"#REF!")</f>
        <v>#REF!</v>
      </c>
    </row>
    <row r="133">
      <c r="A133" s="120" t="str">
        <f>IFERROR(__xludf.DUMMYFUNCTION("TRANSPOSE(QUERY('Cadastro VTR/SEÇÃO/MILITAR'!$A$3:$B2000,""SELECT B WHERE A LIKE '""&amp;'carga de materiais'!D134&amp;""'""))"),"#REF!")</f>
        <v>#REF!</v>
      </c>
    </row>
    <row r="134">
      <c r="A134" s="120" t="str">
        <f>IFERROR(__xludf.DUMMYFUNCTION("TRANSPOSE(QUERY('Cadastro VTR/SEÇÃO/MILITAR'!$A$3:$B2000,""SELECT B WHERE A LIKE '""&amp;'carga de materiais'!D135&amp;""'""))"),"#REF!")</f>
        <v>#REF!</v>
      </c>
    </row>
    <row r="135">
      <c r="A135" s="120" t="str">
        <f>IFERROR(__xludf.DUMMYFUNCTION("TRANSPOSE(QUERY('Cadastro VTR/SEÇÃO/MILITAR'!$A$3:$B2000,""SELECT B WHERE A LIKE '""&amp;'carga de materiais'!D136&amp;""'""))"),"#REF!")</f>
        <v>#REF!</v>
      </c>
    </row>
    <row r="136">
      <c r="A136" s="120" t="str">
        <f>IFERROR(__xludf.DUMMYFUNCTION("TRANSPOSE(QUERY('Cadastro VTR/SEÇÃO/MILITAR'!$A$3:$B2000,""SELECT B WHERE A LIKE '""&amp;'carga de materiais'!D137&amp;""'""))"),"#REF!")</f>
        <v>#REF!</v>
      </c>
    </row>
    <row r="137">
      <c r="A137" s="120" t="str">
        <f>IFERROR(__xludf.DUMMYFUNCTION("TRANSPOSE(QUERY('Cadastro VTR/SEÇÃO/MILITAR'!$A$3:$B2000,""SELECT B WHERE A LIKE '""&amp;'carga de materiais'!D138&amp;""'""))"),"#REF!")</f>
        <v>#REF!</v>
      </c>
    </row>
    <row r="138">
      <c r="A138" s="120" t="str">
        <f>IFERROR(__xludf.DUMMYFUNCTION("TRANSPOSE(QUERY('Cadastro VTR/SEÇÃO/MILITAR'!$A$3:$B2000,""SELECT B WHERE A LIKE '""&amp;'carga de materiais'!D139&amp;""'""))"),"#REF!")</f>
        <v>#REF!</v>
      </c>
    </row>
    <row r="139">
      <c r="A139" s="120" t="str">
        <f>IFERROR(__xludf.DUMMYFUNCTION("TRANSPOSE(QUERY('Cadastro VTR/SEÇÃO/MILITAR'!$A$3:$B2000,""SELECT B WHERE A LIKE '""&amp;'carga de materiais'!D140&amp;""'""))"),"#REF!")</f>
        <v>#REF!</v>
      </c>
    </row>
    <row r="140">
      <c r="A140" s="120" t="str">
        <f>IFERROR(__xludf.DUMMYFUNCTION("TRANSPOSE(QUERY('Cadastro VTR/SEÇÃO/MILITAR'!$A$3:$B2000,""SELECT B WHERE A LIKE '""&amp;'carga de materiais'!D141&amp;""'""))"),"#REF!")</f>
        <v>#REF!</v>
      </c>
    </row>
    <row r="141">
      <c r="A141" s="120" t="str">
        <f>IFERROR(__xludf.DUMMYFUNCTION("TRANSPOSE(QUERY('Cadastro VTR/SEÇÃO/MILITAR'!$A$3:$B2000,""SELECT B WHERE A LIKE '""&amp;'carga de materiais'!D142&amp;""'""))"),"#REF!")</f>
        <v>#REF!</v>
      </c>
    </row>
    <row r="142">
      <c r="A142" s="120" t="str">
        <f>IFERROR(__xludf.DUMMYFUNCTION("TRANSPOSE(QUERY('Cadastro VTR/SEÇÃO/MILITAR'!$A$3:$B2000,""SELECT B WHERE A LIKE '""&amp;'carga de materiais'!D143&amp;""'""))"),"#REF!")</f>
        <v>#REF!</v>
      </c>
    </row>
    <row r="143">
      <c r="A143" s="120" t="str">
        <f>IFERROR(__xludf.DUMMYFUNCTION("TRANSPOSE(QUERY('Cadastro VTR/SEÇÃO/MILITAR'!$A$3:$B2000,""SELECT B WHERE A LIKE '""&amp;'carga de materiais'!D144&amp;""'""))"),"#REF!")</f>
        <v>#REF!</v>
      </c>
    </row>
    <row r="144">
      <c r="A144" s="120" t="str">
        <f>IFERROR(__xludf.DUMMYFUNCTION("TRANSPOSE(QUERY('Cadastro VTR/SEÇÃO/MILITAR'!$A$3:$B2000,""SELECT B WHERE A LIKE '""&amp;'carga de materiais'!D145&amp;""'""))"),"#REF!")</f>
        <v>#REF!</v>
      </c>
    </row>
    <row r="145">
      <c r="A145" s="120" t="str">
        <f>IFERROR(__xludf.DUMMYFUNCTION("TRANSPOSE(QUERY('Cadastro VTR/SEÇÃO/MILITAR'!$A$3:$B2000,""SELECT B WHERE A LIKE '""&amp;'carga de materiais'!D146&amp;""'""))"),"#REF!")</f>
        <v>#REF!</v>
      </c>
    </row>
    <row r="146">
      <c r="A146" s="120" t="str">
        <f>IFERROR(__xludf.DUMMYFUNCTION("TRANSPOSE(QUERY('Cadastro VTR/SEÇÃO/MILITAR'!$A$3:$B2000,""SELECT B WHERE A LIKE '""&amp;'carga de materiais'!D147&amp;""'""))"),"#REF!")</f>
        <v>#REF!</v>
      </c>
    </row>
    <row r="147">
      <c r="A147" s="120" t="str">
        <f>IFERROR(__xludf.DUMMYFUNCTION("TRANSPOSE(QUERY('Cadastro VTR/SEÇÃO/MILITAR'!$A$3:$B2000,""SELECT B WHERE A LIKE '""&amp;'carga de materiais'!D148&amp;""'""))"),"#REF!")</f>
        <v>#REF!</v>
      </c>
    </row>
    <row r="148">
      <c r="A148" s="120" t="str">
        <f>IFERROR(__xludf.DUMMYFUNCTION("TRANSPOSE(QUERY('Cadastro VTR/SEÇÃO/MILITAR'!$A$3:$B2000,""SELECT B WHERE A LIKE '""&amp;'carga de materiais'!D149&amp;""'""))"),"#REF!")</f>
        <v>#REF!</v>
      </c>
    </row>
    <row r="149">
      <c r="A149" s="120" t="str">
        <f>IFERROR(__xludf.DUMMYFUNCTION("TRANSPOSE(QUERY('Cadastro VTR/SEÇÃO/MILITAR'!$A$3:$B2000,""SELECT B WHERE A LIKE '""&amp;'carga de materiais'!D150&amp;""'""))"),"#REF!")</f>
        <v>#REF!</v>
      </c>
    </row>
    <row r="150">
      <c r="A150" s="120" t="str">
        <f>IFERROR(__xludf.DUMMYFUNCTION("TRANSPOSE(QUERY('Cadastro VTR/SEÇÃO/MILITAR'!$A$3:$B2000,""SELECT B WHERE A LIKE '""&amp;'carga de materiais'!D151&amp;""'""))"),"#REF!")</f>
        <v>#REF!</v>
      </c>
    </row>
    <row r="151">
      <c r="A151" s="120" t="str">
        <f>IFERROR(__xludf.DUMMYFUNCTION("TRANSPOSE(QUERY('Cadastro VTR/SEÇÃO/MILITAR'!$A$3:$B2000,""SELECT B WHERE A LIKE '""&amp;'carga de materiais'!D152&amp;""'""))"),"#REF!")</f>
        <v>#REF!</v>
      </c>
    </row>
    <row r="152">
      <c r="A152" s="120" t="str">
        <f>IFERROR(__xludf.DUMMYFUNCTION("TRANSPOSE(QUERY('Cadastro VTR/SEÇÃO/MILITAR'!$A$3:$B2000,""SELECT B WHERE A LIKE '""&amp;'carga de materiais'!D153&amp;""'""))"),"#REF!")</f>
        <v>#REF!</v>
      </c>
    </row>
    <row r="153">
      <c r="A153" s="120" t="str">
        <f>IFERROR(__xludf.DUMMYFUNCTION("TRANSPOSE(QUERY('Cadastro VTR/SEÇÃO/MILITAR'!$A$3:$B2000,""SELECT B WHERE A LIKE '""&amp;'carga de materiais'!D154&amp;""'""))"),"#REF!")</f>
        <v>#REF!</v>
      </c>
    </row>
    <row r="154">
      <c r="A154" s="120" t="str">
        <f>IFERROR(__xludf.DUMMYFUNCTION("TRANSPOSE(QUERY('Cadastro VTR/SEÇÃO/MILITAR'!$A$3:$B2000,""SELECT B WHERE A LIKE '""&amp;'carga de materiais'!D155&amp;""'""))"),"#REF!")</f>
        <v>#REF!</v>
      </c>
    </row>
    <row r="155">
      <c r="A155" s="120" t="str">
        <f>IFERROR(__xludf.DUMMYFUNCTION("TRANSPOSE(QUERY('Cadastro VTR/SEÇÃO/MILITAR'!$A$3:$B2000,""SELECT B WHERE A LIKE '""&amp;'carga de materiais'!D156&amp;""'""))"),"#REF!")</f>
        <v>#REF!</v>
      </c>
    </row>
    <row r="156">
      <c r="A156" s="120" t="str">
        <f>IFERROR(__xludf.DUMMYFUNCTION("TRANSPOSE(QUERY('Cadastro VTR/SEÇÃO/MILITAR'!$A$3:$B2000,""SELECT B WHERE A LIKE '""&amp;'carga de materiais'!D157&amp;""'""))"),"#REF!")</f>
        <v>#REF!</v>
      </c>
    </row>
    <row r="157">
      <c r="A157" s="120" t="str">
        <f>IFERROR(__xludf.DUMMYFUNCTION("TRANSPOSE(QUERY('Cadastro VTR/SEÇÃO/MILITAR'!$A$3:$B2000,""SELECT B WHERE A LIKE '""&amp;'carga de materiais'!D158&amp;""'""))"),"#REF!")</f>
        <v>#REF!</v>
      </c>
    </row>
    <row r="158">
      <c r="A158" s="120" t="str">
        <f>IFERROR(__xludf.DUMMYFUNCTION("TRANSPOSE(QUERY('Cadastro VTR/SEÇÃO/MILITAR'!$A$3:$B2000,""SELECT B WHERE A LIKE '""&amp;'carga de materiais'!D159&amp;""'""))"),"#REF!")</f>
        <v>#REF!</v>
      </c>
    </row>
    <row r="159">
      <c r="A159" s="120" t="str">
        <f>IFERROR(__xludf.DUMMYFUNCTION("TRANSPOSE(QUERY('Cadastro VTR/SEÇÃO/MILITAR'!$A$3:$B2000,""SELECT B WHERE A LIKE '""&amp;'carga de materiais'!D160&amp;""'""))"),"#REF!")</f>
        <v>#REF!</v>
      </c>
    </row>
    <row r="160">
      <c r="A160" s="120" t="str">
        <f>IFERROR(__xludf.DUMMYFUNCTION("TRANSPOSE(QUERY('Cadastro VTR/SEÇÃO/MILITAR'!$A$3:$B2000,""SELECT B WHERE A LIKE '""&amp;'carga de materiais'!D161&amp;""'""))"),"#REF!")</f>
        <v>#REF!</v>
      </c>
    </row>
    <row r="161">
      <c r="A161" s="120" t="str">
        <f>IFERROR(__xludf.DUMMYFUNCTION("TRANSPOSE(QUERY('Cadastro VTR/SEÇÃO/MILITAR'!$A$3:$B2000,""SELECT B WHERE A LIKE '""&amp;'carga de materiais'!D162&amp;""'""))"),"#REF!")</f>
        <v>#REF!</v>
      </c>
    </row>
    <row r="162">
      <c r="A162" s="120" t="str">
        <f>IFERROR(__xludf.DUMMYFUNCTION("TRANSPOSE(QUERY('Cadastro VTR/SEÇÃO/MILITAR'!$A$3:$B2000,""SELECT B WHERE A LIKE '""&amp;'carga de materiais'!D163&amp;""'""))"),"#REF!")</f>
        <v>#REF!</v>
      </c>
    </row>
    <row r="163">
      <c r="A163" s="120" t="str">
        <f>IFERROR(__xludf.DUMMYFUNCTION("TRANSPOSE(QUERY('Cadastro VTR/SEÇÃO/MILITAR'!$A$3:$B2000,""SELECT B WHERE A LIKE '""&amp;'carga de materiais'!D164&amp;""'""))"),"#REF!")</f>
        <v>#REF!</v>
      </c>
    </row>
    <row r="164">
      <c r="A164" s="120" t="str">
        <f>IFERROR(__xludf.DUMMYFUNCTION("TRANSPOSE(QUERY('Cadastro VTR/SEÇÃO/MILITAR'!$A$3:$B2000,""SELECT B WHERE A LIKE '""&amp;'carga de materiais'!D165&amp;""'""))"),"#REF!")</f>
        <v>#REF!</v>
      </c>
    </row>
    <row r="165">
      <c r="A165" s="120" t="str">
        <f>IFERROR(__xludf.DUMMYFUNCTION("TRANSPOSE(QUERY('Cadastro VTR/SEÇÃO/MILITAR'!$A$3:$B2000,""SELECT B WHERE A LIKE '""&amp;'carga de materiais'!D166&amp;""'""))"),"#REF!")</f>
        <v>#REF!</v>
      </c>
    </row>
    <row r="166">
      <c r="A166" s="120" t="str">
        <f>IFERROR(__xludf.DUMMYFUNCTION("TRANSPOSE(QUERY('Cadastro VTR/SEÇÃO/MILITAR'!$A$3:$B2000,""SELECT B WHERE A LIKE '""&amp;'carga de materiais'!D167&amp;""'""))"),"#REF!")</f>
        <v>#REF!</v>
      </c>
    </row>
    <row r="167">
      <c r="A167" s="120" t="str">
        <f>IFERROR(__xludf.DUMMYFUNCTION("TRANSPOSE(QUERY('Cadastro VTR/SEÇÃO/MILITAR'!$A$3:$B2000,""SELECT B WHERE A LIKE '""&amp;'carga de materiais'!D168&amp;""'""))"),"#REF!")</f>
        <v>#REF!</v>
      </c>
    </row>
    <row r="168">
      <c r="A168" s="120" t="str">
        <f>IFERROR(__xludf.DUMMYFUNCTION("TRANSPOSE(QUERY('Cadastro VTR/SEÇÃO/MILITAR'!$A$3:$B2000,""SELECT B WHERE A LIKE '""&amp;'carga de materiais'!D169&amp;""'""))"),"#REF!")</f>
        <v>#REF!</v>
      </c>
    </row>
    <row r="169">
      <c r="A169" s="120" t="str">
        <f>IFERROR(__xludf.DUMMYFUNCTION("TRANSPOSE(QUERY('Cadastro VTR/SEÇÃO/MILITAR'!$A$3:$B2000,""SELECT B WHERE A LIKE '""&amp;'carga de materiais'!D170&amp;""'""))"),"#REF!")</f>
        <v>#REF!</v>
      </c>
    </row>
    <row r="170">
      <c r="A170" s="120" t="str">
        <f>IFERROR(__xludf.DUMMYFUNCTION("TRANSPOSE(QUERY('Cadastro VTR/SEÇÃO/MILITAR'!$A$3:$B2000,""SELECT B WHERE A LIKE '""&amp;'carga de materiais'!D171&amp;""'""))"),"#REF!")</f>
        <v>#REF!</v>
      </c>
    </row>
    <row r="171">
      <c r="A171" s="120" t="str">
        <f>IFERROR(__xludf.DUMMYFUNCTION("TRANSPOSE(QUERY('Cadastro VTR/SEÇÃO/MILITAR'!$A$3:$B2000,""SELECT B WHERE A LIKE '""&amp;'carga de materiais'!D172&amp;""'""))"),"#REF!")</f>
        <v>#REF!</v>
      </c>
    </row>
    <row r="172">
      <c r="A172" s="120" t="str">
        <f>IFERROR(__xludf.DUMMYFUNCTION("TRANSPOSE(QUERY('Cadastro VTR/SEÇÃO/MILITAR'!$A$3:$B2000,""SELECT B WHERE A LIKE '""&amp;'carga de materiais'!D173&amp;""'""))"),"#REF!")</f>
        <v>#REF!</v>
      </c>
    </row>
    <row r="173">
      <c r="A173" s="120" t="str">
        <f>IFERROR(__xludf.DUMMYFUNCTION("TRANSPOSE(QUERY('Cadastro VTR/SEÇÃO/MILITAR'!$A$3:$B2000,""SELECT B WHERE A LIKE '""&amp;'carga de materiais'!D174&amp;""'""))"),"#REF!")</f>
        <v>#REF!</v>
      </c>
    </row>
    <row r="174">
      <c r="A174" s="120" t="str">
        <f>IFERROR(__xludf.DUMMYFUNCTION("TRANSPOSE(QUERY('Cadastro VTR/SEÇÃO/MILITAR'!$A$3:$B2000,""SELECT B WHERE A LIKE '""&amp;'carga de materiais'!D175&amp;""'""))"),"#REF!")</f>
        <v>#REF!</v>
      </c>
    </row>
    <row r="175">
      <c r="A175" s="120" t="str">
        <f>IFERROR(__xludf.DUMMYFUNCTION("TRANSPOSE(QUERY('Cadastro VTR/SEÇÃO/MILITAR'!$A$3:$B2000,""SELECT B WHERE A LIKE '""&amp;'carga de materiais'!D176&amp;""'""))"),"#REF!")</f>
        <v>#REF!</v>
      </c>
    </row>
    <row r="176">
      <c r="A176" s="120" t="str">
        <f>IFERROR(__xludf.DUMMYFUNCTION("TRANSPOSE(QUERY('Cadastro VTR/SEÇÃO/MILITAR'!$A$3:$B2000,""SELECT B WHERE A LIKE '""&amp;'carga de materiais'!D177&amp;""'""))"),"#REF!")</f>
        <v>#REF!</v>
      </c>
    </row>
    <row r="177">
      <c r="A177" s="120" t="str">
        <f>IFERROR(__xludf.DUMMYFUNCTION("TRANSPOSE(QUERY('Cadastro VTR/SEÇÃO/MILITAR'!$A$3:$B2000,""SELECT B WHERE A LIKE '""&amp;'carga de materiais'!D178&amp;""'""))"),"#REF!")</f>
        <v>#REF!</v>
      </c>
    </row>
    <row r="178">
      <c r="A178" s="120" t="str">
        <f>IFERROR(__xludf.DUMMYFUNCTION("TRANSPOSE(QUERY('Cadastro VTR/SEÇÃO/MILITAR'!$A$3:$B2000,""SELECT B WHERE A LIKE '""&amp;'carga de materiais'!D179&amp;""'""))"),"#REF!")</f>
        <v>#REF!</v>
      </c>
    </row>
    <row r="179">
      <c r="A179" s="120" t="str">
        <f>IFERROR(__xludf.DUMMYFUNCTION("TRANSPOSE(QUERY('Cadastro VTR/SEÇÃO/MILITAR'!$A$3:$B2000,""SELECT B WHERE A LIKE '""&amp;'carga de materiais'!D180&amp;""'""))"),"#REF!")</f>
        <v>#REF!</v>
      </c>
    </row>
    <row r="180">
      <c r="A180" s="120" t="str">
        <f>IFERROR(__xludf.DUMMYFUNCTION("TRANSPOSE(QUERY('Cadastro VTR/SEÇÃO/MILITAR'!$A$3:$B2000,""SELECT B WHERE A LIKE '""&amp;'carga de materiais'!D181&amp;""'""))"),"#REF!")</f>
        <v>#REF!</v>
      </c>
    </row>
    <row r="181">
      <c r="A181" s="120" t="str">
        <f>IFERROR(__xludf.DUMMYFUNCTION("TRANSPOSE(QUERY('Cadastro VTR/SEÇÃO/MILITAR'!$A$3:$B2000,""SELECT B WHERE A LIKE '""&amp;'carga de materiais'!D182&amp;""'""))"),"#REF!")</f>
        <v>#REF!</v>
      </c>
    </row>
    <row r="182">
      <c r="A182" s="120" t="str">
        <f>IFERROR(__xludf.DUMMYFUNCTION("TRANSPOSE(QUERY('Cadastro VTR/SEÇÃO/MILITAR'!$A$3:$B2000,""SELECT B WHERE A LIKE '""&amp;'carga de materiais'!D183&amp;""'""))"),"#REF!")</f>
        <v>#REF!</v>
      </c>
    </row>
    <row r="183">
      <c r="A183" s="120" t="str">
        <f>IFERROR(__xludf.DUMMYFUNCTION("TRANSPOSE(QUERY('Cadastro VTR/SEÇÃO/MILITAR'!$A$3:$B2000,""SELECT B WHERE A LIKE '""&amp;'carga de materiais'!D184&amp;""'""))"),"#REF!")</f>
        <v>#REF!</v>
      </c>
    </row>
    <row r="184">
      <c r="A184" s="120" t="str">
        <f>IFERROR(__xludf.DUMMYFUNCTION("TRANSPOSE(QUERY('Cadastro VTR/SEÇÃO/MILITAR'!$A$3:$B2000,""SELECT B WHERE A LIKE '""&amp;'carga de materiais'!D185&amp;""'""))"),"#REF!")</f>
        <v>#REF!</v>
      </c>
    </row>
    <row r="185">
      <c r="A185" s="120" t="str">
        <f>IFERROR(__xludf.DUMMYFUNCTION("TRANSPOSE(QUERY('Cadastro VTR/SEÇÃO/MILITAR'!$A$3:$B2000,""SELECT B WHERE A LIKE '""&amp;'carga de materiais'!D186&amp;""'""))"),"#REF!")</f>
        <v>#REF!</v>
      </c>
    </row>
    <row r="186">
      <c r="A186" s="120" t="str">
        <f>IFERROR(__xludf.DUMMYFUNCTION("TRANSPOSE(QUERY('Cadastro VTR/SEÇÃO/MILITAR'!$A$3:$B2000,""SELECT B WHERE A LIKE '""&amp;'carga de materiais'!D187&amp;""'""))"),"#REF!")</f>
        <v>#REF!</v>
      </c>
    </row>
    <row r="187">
      <c r="A187" s="120" t="str">
        <f>IFERROR(__xludf.DUMMYFUNCTION("TRANSPOSE(QUERY('Cadastro VTR/SEÇÃO/MILITAR'!$A$3:$B2000,""SELECT B WHERE A LIKE '""&amp;'carga de materiais'!D188&amp;""'""))"),"#REF!")</f>
        <v>#REF!</v>
      </c>
    </row>
    <row r="188">
      <c r="A188" s="120" t="str">
        <f>IFERROR(__xludf.DUMMYFUNCTION("TRANSPOSE(QUERY('Cadastro VTR/SEÇÃO/MILITAR'!$A$3:$B2000,""SELECT B WHERE A LIKE '""&amp;'carga de materiais'!D189&amp;""'""))"),"#REF!")</f>
        <v>#REF!</v>
      </c>
    </row>
    <row r="189">
      <c r="A189" s="120" t="str">
        <f>IFERROR(__xludf.DUMMYFUNCTION("TRANSPOSE(QUERY('Cadastro VTR/SEÇÃO/MILITAR'!$A$3:$B2000,""SELECT B WHERE A LIKE '""&amp;'carga de materiais'!D190&amp;""'""))"),"#REF!")</f>
        <v>#REF!</v>
      </c>
    </row>
    <row r="190">
      <c r="A190" s="120" t="str">
        <f>IFERROR(__xludf.DUMMYFUNCTION("TRANSPOSE(QUERY('Cadastro VTR/SEÇÃO/MILITAR'!$A$3:$B2000,""SELECT B WHERE A LIKE '""&amp;'carga de materiais'!D191&amp;""'""))"),"#REF!")</f>
        <v>#REF!</v>
      </c>
    </row>
    <row r="191">
      <c r="A191" s="120" t="str">
        <f>IFERROR(__xludf.DUMMYFUNCTION("TRANSPOSE(QUERY('Cadastro VTR/SEÇÃO/MILITAR'!$A$3:$B2000,""SELECT B WHERE A LIKE '""&amp;'carga de materiais'!D192&amp;""'""))"),"#REF!")</f>
        <v>#REF!</v>
      </c>
    </row>
    <row r="192">
      <c r="A192" s="120" t="str">
        <f>IFERROR(__xludf.DUMMYFUNCTION("TRANSPOSE(QUERY('Cadastro VTR/SEÇÃO/MILITAR'!$A$3:$B2000,""SELECT B WHERE A LIKE '""&amp;'carga de materiais'!D193&amp;""'""))"),"#REF!")</f>
        <v>#REF!</v>
      </c>
    </row>
    <row r="193">
      <c r="A193" s="120" t="str">
        <f>IFERROR(__xludf.DUMMYFUNCTION("TRANSPOSE(QUERY('Cadastro VTR/SEÇÃO/MILITAR'!$A$3:$B2000,""SELECT B WHERE A LIKE '""&amp;'carga de materiais'!D194&amp;""'""))"),"#REF!")</f>
        <v>#REF!</v>
      </c>
    </row>
    <row r="194">
      <c r="A194" s="120" t="str">
        <f>IFERROR(__xludf.DUMMYFUNCTION("TRANSPOSE(QUERY('Cadastro VTR/SEÇÃO/MILITAR'!$A$3:$B2000,""SELECT B WHERE A LIKE '""&amp;'carga de materiais'!D195&amp;""'""))"),"#REF!")</f>
        <v>#REF!</v>
      </c>
    </row>
    <row r="195">
      <c r="A195" s="120" t="str">
        <f>IFERROR(__xludf.DUMMYFUNCTION("TRANSPOSE(QUERY('Cadastro VTR/SEÇÃO/MILITAR'!$A$3:$B2000,""SELECT B WHERE A LIKE '""&amp;'carga de materiais'!D196&amp;""'""))"),"#REF!")</f>
        <v>#REF!</v>
      </c>
    </row>
    <row r="196">
      <c r="A196" s="120" t="str">
        <f>IFERROR(__xludf.DUMMYFUNCTION("TRANSPOSE(QUERY('Cadastro VTR/SEÇÃO/MILITAR'!$A$3:$B2000,""SELECT B WHERE A LIKE '""&amp;'carga de materiais'!D197&amp;""'""))"),"#REF!")</f>
        <v>#REF!</v>
      </c>
    </row>
    <row r="197">
      <c r="A197" s="120" t="str">
        <f>IFERROR(__xludf.DUMMYFUNCTION("TRANSPOSE(QUERY('Cadastro VTR/SEÇÃO/MILITAR'!$A$3:$B2000,""SELECT B WHERE A LIKE '""&amp;'carga de materiais'!D198&amp;""'""))"),"#REF!")</f>
        <v>#REF!</v>
      </c>
    </row>
    <row r="198">
      <c r="A198" s="120" t="str">
        <f>IFERROR(__xludf.DUMMYFUNCTION("TRANSPOSE(QUERY('Cadastro VTR/SEÇÃO/MILITAR'!$A$3:$B2000,""SELECT B WHERE A LIKE '""&amp;'carga de materiais'!D199&amp;""'""))"),"#REF!")</f>
        <v>#REF!</v>
      </c>
    </row>
    <row r="199">
      <c r="A199" s="120" t="str">
        <f>IFERROR(__xludf.DUMMYFUNCTION("TRANSPOSE(QUERY('Cadastro VTR/SEÇÃO/MILITAR'!$A$3:$B2000,""SELECT B WHERE A LIKE '""&amp;'carga de materiais'!D200&amp;""'""))"),"#REF!")</f>
        <v>#REF!</v>
      </c>
    </row>
    <row r="200">
      <c r="A200" s="120" t="str">
        <f>IFERROR(__xludf.DUMMYFUNCTION("TRANSPOSE(QUERY('Cadastro VTR/SEÇÃO/MILITAR'!$A$3:$B2000,""SELECT B WHERE A LIKE '""&amp;'carga de materiais'!D201&amp;""'""))"),"#REF!")</f>
        <v>#REF!</v>
      </c>
    </row>
    <row r="201">
      <c r="A201" s="120" t="str">
        <f>IFERROR(__xludf.DUMMYFUNCTION("TRANSPOSE(QUERY('Cadastro VTR/SEÇÃO/MILITAR'!$A$3:$B2000,""SELECT B WHERE A LIKE '""&amp;'carga de materiais'!D202&amp;""'""))"),"#REF!")</f>
        <v>#REF!</v>
      </c>
    </row>
    <row r="202">
      <c r="A202" s="120" t="str">
        <f>IFERROR(__xludf.DUMMYFUNCTION("TRANSPOSE(QUERY('Cadastro VTR/SEÇÃO/MILITAR'!$A$3:$B2000,""SELECT B WHERE A LIKE '""&amp;'carga de materiais'!D203&amp;""'""))"),"#REF!")</f>
        <v>#REF!</v>
      </c>
    </row>
    <row r="203">
      <c r="A203" s="120" t="str">
        <f>IFERROR(__xludf.DUMMYFUNCTION("TRANSPOSE(QUERY('Cadastro VTR/SEÇÃO/MILITAR'!$A$3:$B2000,""SELECT B WHERE A LIKE '""&amp;'carga de materiais'!D204&amp;""'""))"),"#REF!")</f>
        <v>#REF!</v>
      </c>
    </row>
    <row r="204">
      <c r="A204" s="120" t="str">
        <f>IFERROR(__xludf.DUMMYFUNCTION("TRANSPOSE(QUERY('Cadastro VTR/SEÇÃO/MILITAR'!$A$3:$B2000,""SELECT B WHERE A LIKE '""&amp;'carga de materiais'!D205&amp;""'""))"),"#REF!")</f>
        <v>#REF!</v>
      </c>
    </row>
    <row r="205">
      <c r="A205" s="120" t="str">
        <f>IFERROR(__xludf.DUMMYFUNCTION("TRANSPOSE(QUERY('Cadastro VTR/SEÇÃO/MILITAR'!$A$3:$B2000,""SELECT B WHERE A LIKE '""&amp;'carga de materiais'!D206&amp;""'""))"),"#REF!")</f>
        <v>#REF!</v>
      </c>
    </row>
    <row r="206">
      <c r="A206" s="120" t="str">
        <f>IFERROR(__xludf.DUMMYFUNCTION("TRANSPOSE(QUERY('Cadastro VTR/SEÇÃO/MILITAR'!$A$3:$B2000,""SELECT B WHERE A LIKE '""&amp;'carga de materiais'!D207&amp;""'""))"),"#REF!")</f>
        <v>#REF!</v>
      </c>
    </row>
    <row r="207">
      <c r="A207" s="120" t="str">
        <f>IFERROR(__xludf.DUMMYFUNCTION("TRANSPOSE(QUERY('Cadastro VTR/SEÇÃO/MILITAR'!$A$3:$B2000,""SELECT B WHERE A LIKE '""&amp;'carga de materiais'!D208&amp;""'""))"),"#REF!")</f>
        <v>#REF!</v>
      </c>
    </row>
    <row r="208">
      <c r="A208" s="120" t="str">
        <f>IFERROR(__xludf.DUMMYFUNCTION("TRANSPOSE(QUERY('Cadastro VTR/SEÇÃO/MILITAR'!$A$3:$B2000,""SELECT B WHERE A LIKE '""&amp;'carga de materiais'!D209&amp;""'""))"),"#REF!")</f>
        <v>#REF!</v>
      </c>
    </row>
    <row r="209">
      <c r="A209" s="120" t="str">
        <f>IFERROR(__xludf.DUMMYFUNCTION("TRANSPOSE(QUERY('Cadastro VTR/SEÇÃO/MILITAR'!$A$3:$B2000,""SELECT B WHERE A LIKE '""&amp;'carga de materiais'!D210&amp;""'""))"),"#REF!")</f>
        <v>#REF!</v>
      </c>
    </row>
    <row r="210">
      <c r="A210" s="120" t="str">
        <f>IFERROR(__xludf.DUMMYFUNCTION("TRANSPOSE(QUERY('Cadastro VTR/SEÇÃO/MILITAR'!$A$3:$B2000,""SELECT B WHERE A LIKE '""&amp;'carga de materiais'!D211&amp;""'""))"),"#REF!")</f>
        <v>#REF!</v>
      </c>
    </row>
    <row r="211">
      <c r="A211" s="120" t="str">
        <f>IFERROR(__xludf.DUMMYFUNCTION("TRANSPOSE(QUERY('Cadastro VTR/SEÇÃO/MILITAR'!$A$3:$B2000,""SELECT B WHERE A LIKE '""&amp;'carga de materiais'!D212&amp;""'""))"),"#REF!")</f>
        <v>#REF!</v>
      </c>
    </row>
    <row r="212">
      <c r="A212" s="120" t="str">
        <f>IFERROR(__xludf.DUMMYFUNCTION("TRANSPOSE(QUERY('Cadastro VTR/SEÇÃO/MILITAR'!$A$3:$B2000,""SELECT B WHERE A LIKE '""&amp;'carga de materiais'!D213&amp;""'""))"),"#REF!")</f>
        <v>#REF!</v>
      </c>
    </row>
    <row r="213">
      <c r="A213" s="120" t="str">
        <f>IFERROR(__xludf.DUMMYFUNCTION("TRANSPOSE(QUERY('Cadastro VTR/SEÇÃO/MILITAR'!$A$3:$B2000,""SELECT B WHERE A LIKE '""&amp;'carga de materiais'!D214&amp;""'""))"),"#REF!")</f>
        <v>#REF!</v>
      </c>
    </row>
    <row r="214">
      <c r="A214" s="120" t="str">
        <f>IFERROR(__xludf.DUMMYFUNCTION("TRANSPOSE(QUERY('Cadastro VTR/SEÇÃO/MILITAR'!$A$3:$B2000,""SELECT B WHERE A LIKE '""&amp;'carga de materiais'!D215&amp;""'""))"),"#REF!")</f>
        <v>#REF!</v>
      </c>
    </row>
    <row r="215">
      <c r="A215" s="120" t="str">
        <f>IFERROR(__xludf.DUMMYFUNCTION("TRANSPOSE(QUERY('Cadastro VTR/SEÇÃO/MILITAR'!$A$3:$B2000,""SELECT B WHERE A LIKE '""&amp;'carga de materiais'!D216&amp;""'""))"),"#REF!")</f>
        <v>#REF!</v>
      </c>
    </row>
    <row r="216">
      <c r="A216" s="120" t="str">
        <f>IFERROR(__xludf.DUMMYFUNCTION("TRANSPOSE(QUERY('Cadastro VTR/SEÇÃO/MILITAR'!$A$3:$B2000,""SELECT B WHERE A LIKE '""&amp;'carga de materiais'!D217&amp;""'""))"),"#REF!")</f>
        <v>#REF!</v>
      </c>
    </row>
    <row r="217">
      <c r="A217" s="120" t="str">
        <f>IFERROR(__xludf.DUMMYFUNCTION("TRANSPOSE(QUERY('Cadastro VTR/SEÇÃO/MILITAR'!$A$3:$B2000,""SELECT B WHERE A LIKE '""&amp;'carga de materiais'!D218&amp;""'""))"),"#REF!")</f>
        <v>#REF!</v>
      </c>
    </row>
    <row r="218">
      <c r="A218" s="120" t="str">
        <f>IFERROR(__xludf.DUMMYFUNCTION("TRANSPOSE(QUERY('Cadastro VTR/SEÇÃO/MILITAR'!$A$3:$B2000,""SELECT B WHERE A LIKE '""&amp;'carga de materiais'!D219&amp;""'""))"),"#REF!")</f>
        <v>#REF!</v>
      </c>
    </row>
    <row r="219">
      <c r="A219" s="120" t="str">
        <f>IFERROR(__xludf.DUMMYFUNCTION("TRANSPOSE(QUERY('Cadastro VTR/SEÇÃO/MILITAR'!$A$3:$B2000,""SELECT B WHERE A LIKE '""&amp;'carga de materiais'!D220&amp;""'""))"),"#REF!")</f>
        <v>#REF!</v>
      </c>
    </row>
    <row r="220">
      <c r="A220" s="120" t="str">
        <f>IFERROR(__xludf.DUMMYFUNCTION("TRANSPOSE(QUERY('Cadastro VTR/SEÇÃO/MILITAR'!$A$3:$B2000,""SELECT B WHERE A LIKE '""&amp;'carga de materiais'!D221&amp;""'""))"),"#REF!")</f>
        <v>#REF!</v>
      </c>
    </row>
    <row r="221">
      <c r="A221" s="120" t="str">
        <f>IFERROR(__xludf.DUMMYFUNCTION("TRANSPOSE(QUERY('Cadastro VTR/SEÇÃO/MILITAR'!$A$3:$B2000,""SELECT B WHERE A LIKE '""&amp;'carga de materiais'!D222&amp;""'""))"),"#REF!")</f>
        <v>#REF!</v>
      </c>
    </row>
    <row r="222">
      <c r="A222" s="120" t="str">
        <f>IFERROR(__xludf.DUMMYFUNCTION("TRANSPOSE(QUERY('Cadastro VTR/SEÇÃO/MILITAR'!$A$3:$B2000,""SELECT B WHERE A LIKE '""&amp;'carga de materiais'!D223&amp;""'""))"),"#REF!")</f>
        <v>#REF!</v>
      </c>
    </row>
    <row r="223">
      <c r="A223" s="120" t="str">
        <f>IFERROR(__xludf.DUMMYFUNCTION("TRANSPOSE(QUERY('Cadastro VTR/SEÇÃO/MILITAR'!$A$3:$B2000,""SELECT B WHERE A LIKE '""&amp;'carga de materiais'!D224&amp;""'""))"),"#REF!")</f>
        <v>#REF!</v>
      </c>
    </row>
    <row r="224">
      <c r="A224" s="120" t="str">
        <f>IFERROR(__xludf.DUMMYFUNCTION("TRANSPOSE(QUERY('Cadastro VTR/SEÇÃO/MILITAR'!$A$3:$B2000,""SELECT B WHERE A LIKE '""&amp;'carga de materiais'!D225&amp;""'""))"),"#REF!")</f>
        <v>#REF!</v>
      </c>
    </row>
    <row r="225">
      <c r="A225" s="120" t="str">
        <f>IFERROR(__xludf.DUMMYFUNCTION("TRANSPOSE(QUERY('Cadastro VTR/SEÇÃO/MILITAR'!$A$3:$B2000,""SELECT B WHERE A LIKE '""&amp;'carga de materiais'!D226&amp;""'""))"),"#REF!")</f>
        <v>#REF!</v>
      </c>
    </row>
    <row r="226">
      <c r="A226" s="120" t="str">
        <f>IFERROR(__xludf.DUMMYFUNCTION("TRANSPOSE(QUERY('Cadastro VTR/SEÇÃO/MILITAR'!$A$3:$B2000,""SELECT B WHERE A LIKE '""&amp;'carga de materiais'!D227&amp;""'""))"),"#REF!")</f>
        <v>#REF!</v>
      </c>
    </row>
    <row r="227">
      <c r="A227" s="120" t="str">
        <f>IFERROR(__xludf.DUMMYFUNCTION("TRANSPOSE(QUERY('Cadastro VTR/SEÇÃO/MILITAR'!$A$3:$B2000,""SELECT B WHERE A LIKE '""&amp;'carga de materiais'!D228&amp;""'""))"),"#REF!")</f>
        <v>#REF!</v>
      </c>
    </row>
    <row r="228">
      <c r="A228" s="120" t="str">
        <f>IFERROR(__xludf.DUMMYFUNCTION("TRANSPOSE(QUERY('Cadastro VTR/SEÇÃO/MILITAR'!$A$3:$B2000,""SELECT B WHERE A LIKE '""&amp;'carga de materiais'!D229&amp;""'""))"),"#REF!")</f>
        <v>#REF!</v>
      </c>
    </row>
    <row r="229">
      <c r="A229" s="120" t="str">
        <f>IFERROR(__xludf.DUMMYFUNCTION("TRANSPOSE(QUERY('Cadastro VTR/SEÇÃO/MILITAR'!$A$3:$B2000,""SELECT B WHERE A LIKE '""&amp;'carga de materiais'!D230&amp;""'""))"),"#REF!")</f>
        <v>#REF!</v>
      </c>
    </row>
    <row r="230">
      <c r="A230" s="120" t="str">
        <f>IFERROR(__xludf.DUMMYFUNCTION("TRANSPOSE(QUERY('Cadastro VTR/SEÇÃO/MILITAR'!$A$3:$B2000,""SELECT B WHERE A LIKE '""&amp;'carga de materiais'!D231&amp;""'""))"),"#REF!")</f>
        <v>#REF!</v>
      </c>
    </row>
    <row r="231">
      <c r="A231" s="120" t="str">
        <f>IFERROR(__xludf.DUMMYFUNCTION("TRANSPOSE(QUERY('Cadastro VTR/SEÇÃO/MILITAR'!$A$3:$B2000,""SELECT B WHERE A LIKE '""&amp;'carga de materiais'!D232&amp;""'""))"),"#REF!")</f>
        <v>#REF!</v>
      </c>
    </row>
    <row r="232">
      <c r="A232" s="120" t="str">
        <f>IFERROR(__xludf.DUMMYFUNCTION("TRANSPOSE(QUERY('Cadastro VTR/SEÇÃO/MILITAR'!$A$3:$B2000,""SELECT B WHERE A LIKE '""&amp;'carga de materiais'!D233&amp;""'""))"),"#REF!")</f>
        <v>#REF!</v>
      </c>
    </row>
    <row r="233">
      <c r="A233" s="120" t="str">
        <f>IFERROR(__xludf.DUMMYFUNCTION("TRANSPOSE(QUERY('Cadastro VTR/SEÇÃO/MILITAR'!$A$3:$B2000,""SELECT B WHERE A LIKE '""&amp;'carga de materiais'!D234&amp;""'""))"),"#REF!")</f>
        <v>#REF!</v>
      </c>
    </row>
    <row r="234">
      <c r="A234" s="120" t="str">
        <f>IFERROR(__xludf.DUMMYFUNCTION("TRANSPOSE(QUERY('Cadastro VTR/SEÇÃO/MILITAR'!$A$3:$B2000,""SELECT B WHERE A LIKE '""&amp;'carga de materiais'!D235&amp;""'""))"),"#REF!")</f>
        <v>#REF!</v>
      </c>
    </row>
    <row r="235">
      <c r="A235" s="120" t="str">
        <f>IFERROR(__xludf.DUMMYFUNCTION("TRANSPOSE(QUERY('Cadastro VTR/SEÇÃO/MILITAR'!$A$3:$B2000,""SELECT B WHERE A LIKE '""&amp;'carga de materiais'!D236&amp;""'""))"),"#REF!")</f>
        <v>#REF!</v>
      </c>
    </row>
    <row r="236">
      <c r="A236" s="120" t="str">
        <f>IFERROR(__xludf.DUMMYFUNCTION("TRANSPOSE(QUERY('Cadastro VTR/SEÇÃO/MILITAR'!$A$3:$B2000,""SELECT B WHERE A LIKE '""&amp;'carga de materiais'!D237&amp;""'""))"),"#REF!")</f>
        <v>#REF!</v>
      </c>
    </row>
    <row r="237">
      <c r="A237" s="120" t="str">
        <f>IFERROR(__xludf.DUMMYFUNCTION("TRANSPOSE(QUERY('Cadastro VTR/SEÇÃO/MILITAR'!$A$3:$B2000,""SELECT B WHERE A LIKE '""&amp;'carga de materiais'!D238&amp;""'""))"),"#REF!")</f>
        <v>#REF!</v>
      </c>
    </row>
    <row r="238">
      <c r="A238" s="120" t="str">
        <f>IFERROR(__xludf.DUMMYFUNCTION("TRANSPOSE(QUERY('Cadastro VTR/SEÇÃO/MILITAR'!$A$3:$B2000,""SELECT B WHERE A LIKE '""&amp;'carga de materiais'!D239&amp;""'""))"),"#REF!")</f>
        <v>#REF!</v>
      </c>
    </row>
    <row r="239">
      <c r="A239" s="120" t="str">
        <f>IFERROR(__xludf.DUMMYFUNCTION("TRANSPOSE(QUERY('Cadastro VTR/SEÇÃO/MILITAR'!$A$3:$B2000,""SELECT B WHERE A LIKE '""&amp;'carga de materiais'!D240&amp;""'""))"),"#REF!")</f>
        <v>#REF!</v>
      </c>
    </row>
    <row r="240">
      <c r="A240" s="120" t="str">
        <f>IFERROR(__xludf.DUMMYFUNCTION("TRANSPOSE(QUERY('Cadastro VTR/SEÇÃO/MILITAR'!$A$3:$B2000,""SELECT B WHERE A LIKE '""&amp;'carga de materiais'!D241&amp;""'""))"),"#REF!")</f>
        <v>#REF!</v>
      </c>
    </row>
    <row r="241">
      <c r="A241" s="120" t="str">
        <f>IFERROR(__xludf.DUMMYFUNCTION("TRANSPOSE(QUERY('Cadastro VTR/SEÇÃO/MILITAR'!$A$3:$B2000,""SELECT B WHERE A LIKE '""&amp;'carga de materiais'!D242&amp;""'""))"),"#REF!")</f>
        <v>#REF!</v>
      </c>
    </row>
    <row r="242">
      <c r="A242" s="120" t="str">
        <f>IFERROR(__xludf.DUMMYFUNCTION("TRANSPOSE(QUERY('Cadastro VTR/SEÇÃO/MILITAR'!$A$3:$B2000,""SELECT B WHERE A LIKE '""&amp;'carga de materiais'!D243&amp;""'""))"),"#REF!")</f>
        <v>#REF!</v>
      </c>
    </row>
    <row r="243">
      <c r="A243" s="120" t="str">
        <f>IFERROR(__xludf.DUMMYFUNCTION("TRANSPOSE(QUERY('Cadastro VTR/SEÇÃO/MILITAR'!$A$3:$B2000,""SELECT B WHERE A LIKE '""&amp;'carga de materiais'!D244&amp;""'""))"),"#REF!")</f>
        <v>#REF!</v>
      </c>
    </row>
    <row r="244">
      <c r="A244" s="120" t="str">
        <f>IFERROR(__xludf.DUMMYFUNCTION("TRANSPOSE(QUERY('Cadastro VTR/SEÇÃO/MILITAR'!$A$3:$B2000,""SELECT B WHERE A LIKE '""&amp;'carga de materiais'!D245&amp;""'""))"),"#REF!")</f>
        <v>#REF!</v>
      </c>
    </row>
    <row r="245">
      <c r="A245" s="120" t="str">
        <f>IFERROR(__xludf.DUMMYFUNCTION("TRANSPOSE(QUERY('Cadastro VTR/SEÇÃO/MILITAR'!$A$3:$B2000,""SELECT B WHERE A LIKE '""&amp;'carga de materiais'!D246&amp;""'""))"),"#REF!")</f>
        <v>#REF!</v>
      </c>
    </row>
    <row r="246">
      <c r="A246" s="120" t="str">
        <f>IFERROR(__xludf.DUMMYFUNCTION("TRANSPOSE(QUERY('Cadastro VTR/SEÇÃO/MILITAR'!$A$3:$B2000,""SELECT B WHERE A LIKE '""&amp;'carga de materiais'!D247&amp;""'""))"),"#REF!")</f>
        <v>#REF!</v>
      </c>
    </row>
    <row r="247">
      <c r="A247" s="120" t="str">
        <f>IFERROR(__xludf.DUMMYFUNCTION("TRANSPOSE(QUERY('Cadastro VTR/SEÇÃO/MILITAR'!$A$3:$B2000,""SELECT B WHERE A LIKE '""&amp;'carga de materiais'!D248&amp;""'""))"),"#REF!")</f>
        <v>#REF!</v>
      </c>
    </row>
    <row r="248">
      <c r="A248" s="120" t="str">
        <f>IFERROR(__xludf.DUMMYFUNCTION("TRANSPOSE(QUERY('Cadastro VTR/SEÇÃO/MILITAR'!$A$3:$B2000,""SELECT B WHERE A LIKE '""&amp;'carga de materiais'!D249&amp;""'""))"),"#REF!")</f>
        <v>#REF!</v>
      </c>
    </row>
    <row r="249">
      <c r="A249" s="120" t="str">
        <f>IFERROR(__xludf.DUMMYFUNCTION("TRANSPOSE(QUERY('Cadastro VTR/SEÇÃO/MILITAR'!$A$3:$B2000,""SELECT B WHERE A LIKE '""&amp;'carga de materiais'!D250&amp;""'""))"),"#REF!")</f>
        <v>#REF!</v>
      </c>
    </row>
    <row r="250">
      <c r="A250" s="120" t="str">
        <f>IFERROR(__xludf.DUMMYFUNCTION("TRANSPOSE(QUERY('Cadastro VTR/SEÇÃO/MILITAR'!$A$3:$B2000,""SELECT B WHERE A LIKE '""&amp;'carga de materiais'!D251&amp;""'""))"),"#REF!")</f>
        <v>#REF!</v>
      </c>
    </row>
    <row r="251">
      <c r="A251" s="120" t="str">
        <f>IFERROR(__xludf.DUMMYFUNCTION("TRANSPOSE(QUERY('Cadastro VTR/SEÇÃO/MILITAR'!$A$3:$B2000,""SELECT B WHERE A LIKE '""&amp;'carga de materiais'!D252&amp;""'""))"),"#REF!")</f>
        <v>#REF!</v>
      </c>
    </row>
    <row r="252">
      <c r="A252" s="120" t="str">
        <f>IFERROR(__xludf.DUMMYFUNCTION("TRANSPOSE(QUERY('Cadastro VTR/SEÇÃO/MILITAR'!$A$3:$B2000,""SELECT B WHERE A LIKE '""&amp;'carga de materiais'!D253&amp;""'""))"),"#REF!")</f>
        <v>#REF!</v>
      </c>
    </row>
    <row r="253">
      <c r="A253" s="120" t="str">
        <f>IFERROR(__xludf.DUMMYFUNCTION("TRANSPOSE(QUERY('Cadastro VTR/SEÇÃO/MILITAR'!$A$3:$B2000,""SELECT B WHERE A LIKE '""&amp;'carga de materiais'!D254&amp;""'""))"),"#REF!")</f>
        <v>#REF!</v>
      </c>
    </row>
    <row r="254">
      <c r="A254" s="120" t="str">
        <f>IFERROR(__xludf.DUMMYFUNCTION("TRANSPOSE(QUERY('Cadastro VTR/SEÇÃO/MILITAR'!$A$3:$B2000,""SELECT B WHERE A LIKE '""&amp;'carga de materiais'!D255&amp;""'""))"),"#REF!")</f>
        <v>#REF!</v>
      </c>
    </row>
    <row r="255">
      <c r="A255" s="120" t="str">
        <f>IFERROR(__xludf.DUMMYFUNCTION("TRANSPOSE(QUERY('Cadastro VTR/SEÇÃO/MILITAR'!$A$3:$B2000,""SELECT B WHERE A LIKE '""&amp;'carga de materiais'!D256&amp;""'""))"),"#REF!")</f>
        <v>#REF!</v>
      </c>
    </row>
    <row r="256">
      <c r="A256" s="120" t="str">
        <f>IFERROR(__xludf.DUMMYFUNCTION("TRANSPOSE(QUERY('Cadastro VTR/SEÇÃO/MILITAR'!$A$3:$B2000,""SELECT B WHERE A LIKE '""&amp;'carga de materiais'!D257&amp;""'""))"),"#REF!")</f>
        <v>#REF!</v>
      </c>
    </row>
    <row r="257">
      <c r="A257" s="120" t="str">
        <f>IFERROR(__xludf.DUMMYFUNCTION("TRANSPOSE(QUERY('Cadastro VTR/SEÇÃO/MILITAR'!$A$3:$B2000,""SELECT B WHERE A LIKE '""&amp;'carga de materiais'!D258&amp;""'""))"),"#REF!")</f>
        <v>#REF!</v>
      </c>
    </row>
    <row r="258">
      <c r="A258" s="120" t="str">
        <f>IFERROR(__xludf.DUMMYFUNCTION("TRANSPOSE(QUERY('Cadastro VTR/SEÇÃO/MILITAR'!$A$3:$B2000,""SELECT B WHERE A LIKE '""&amp;'carga de materiais'!D259&amp;""'""))"),"#REF!")</f>
        <v>#REF!</v>
      </c>
    </row>
    <row r="259">
      <c r="A259" s="120" t="str">
        <f>IFERROR(__xludf.DUMMYFUNCTION("TRANSPOSE(QUERY('Cadastro VTR/SEÇÃO/MILITAR'!$A$3:$B2000,""SELECT B WHERE A LIKE '""&amp;'carga de materiais'!D260&amp;""'""))"),"#REF!")</f>
        <v>#REF!</v>
      </c>
    </row>
    <row r="260">
      <c r="A260" s="120" t="str">
        <f>IFERROR(__xludf.DUMMYFUNCTION("TRANSPOSE(QUERY('Cadastro VTR/SEÇÃO/MILITAR'!$A$3:$B2000,""SELECT B WHERE A LIKE '""&amp;'carga de materiais'!D261&amp;""'""))"),"#REF!")</f>
        <v>#REF!</v>
      </c>
    </row>
    <row r="261">
      <c r="A261" s="120" t="str">
        <f>IFERROR(__xludf.DUMMYFUNCTION("TRANSPOSE(QUERY('Cadastro VTR/SEÇÃO/MILITAR'!$A$3:$B2000,""SELECT B WHERE A LIKE '""&amp;'carga de materiais'!D262&amp;""'""))"),"#REF!")</f>
        <v>#REF!</v>
      </c>
    </row>
    <row r="262">
      <c r="A262" s="120" t="str">
        <f>IFERROR(__xludf.DUMMYFUNCTION("TRANSPOSE(QUERY('Cadastro VTR/SEÇÃO/MILITAR'!$A$3:$B2000,""SELECT B WHERE A LIKE '""&amp;'carga de materiais'!D263&amp;""'""))"),"#REF!")</f>
        <v>#REF!</v>
      </c>
      <c r="B262" s="87"/>
      <c r="C262" s="87"/>
      <c r="D262" s="87"/>
      <c r="E262" s="87"/>
      <c r="F262" s="87"/>
      <c r="G262" s="87"/>
      <c r="H262" s="87"/>
      <c r="I262" s="87"/>
      <c r="J262" s="87"/>
      <c r="K262" s="87"/>
      <c r="L262" s="87"/>
      <c r="M262" s="87"/>
      <c r="N262" s="87"/>
      <c r="O262" s="87"/>
      <c r="P262" s="87"/>
      <c r="Q262" s="87"/>
      <c r="R262" s="87"/>
      <c r="S262" s="87"/>
      <c r="T262" s="87"/>
      <c r="U262" s="87"/>
      <c r="V262" s="87"/>
      <c r="W262" s="87"/>
      <c r="X262" s="87"/>
      <c r="Y262" s="87"/>
      <c r="Z262" s="87"/>
      <c r="AA262" s="87"/>
      <c r="AB262" s="87"/>
      <c r="AC262" s="87"/>
      <c r="AD262" s="87"/>
      <c r="AE262" s="87"/>
      <c r="AF262" s="87"/>
      <c r="AG262" s="87"/>
      <c r="AH262" s="87"/>
      <c r="AI262" s="87"/>
      <c r="AJ262" s="87"/>
      <c r="AK262" s="87"/>
      <c r="AL262" s="87"/>
      <c r="AM262" s="87"/>
      <c r="AN262" s="87"/>
      <c r="AO262" s="87"/>
      <c r="AP262" s="87"/>
      <c r="AQ262" s="87"/>
      <c r="AR262" s="87"/>
      <c r="AS262" s="87"/>
      <c r="AT262" s="87"/>
      <c r="AU262" s="87"/>
      <c r="AV262" s="87"/>
      <c r="AW262" s="87"/>
      <c r="AX262" s="87"/>
      <c r="AY262" s="87"/>
      <c r="AZ262" s="87"/>
      <c r="BA262" s="87"/>
      <c r="BB262" s="87"/>
      <c r="BC262" s="87"/>
      <c r="BD262" s="87"/>
      <c r="BE262" s="87"/>
      <c r="BF262" s="87"/>
      <c r="BG262" s="87"/>
      <c r="BH262" s="87"/>
      <c r="BI262" s="87"/>
      <c r="BJ262" s="87"/>
      <c r="BK262" s="87"/>
      <c r="BL262" s="87"/>
      <c r="BM262" s="87"/>
      <c r="BN262" s="87"/>
      <c r="BO262" s="87"/>
      <c r="BP262" s="87"/>
      <c r="BQ262" s="87"/>
      <c r="BR262" s="87"/>
      <c r="BS262" s="87"/>
      <c r="BT262" s="87"/>
      <c r="BU262" s="87"/>
      <c r="BV262" s="87"/>
      <c r="BW262" s="87"/>
      <c r="BX262" s="87"/>
      <c r="BY262" s="87"/>
      <c r="BZ262" s="87"/>
      <c r="CA262" s="87"/>
      <c r="CB262" s="87"/>
      <c r="CC262" s="87"/>
      <c r="CD262" s="87"/>
      <c r="CE262" s="87"/>
      <c r="CF262" s="87"/>
      <c r="CG262" s="87"/>
      <c r="CH262" s="87"/>
      <c r="CI262" s="87"/>
      <c r="CJ262" s="87"/>
      <c r="CK262" s="87"/>
      <c r="CL262" s="87"/>
      <c r="CM262" s="87"/>
      <c r="CN262" s="87"/>
      <c r="CO262" s="87"/>
      <c r="CP262" s="87"/>
      <c r="CQ262" s="87"/>
      <c r="CR262" s="87"/>
      <c r="CS262" s="87"/>
      <c r="CT262" s="87"/>
      <c r="CU262" s="87"/>
      <c r="CV262" s="87"/>
      <c r="CW262" s="87"/>
      <c r="CX262" s="87"/>
      <c r="CY262" s="87"/>
      <c r="CZ262" s="87"/>
      <c r="DA262" s="87"/>
      <c r="DB262" s="87"/>
      <c r="DC262" s="87"/>
      <c r="DD262" s="87"/>
      <c r="DE262" s="87"/>
      <c r="DF262" s="87"/>
      <c r="DG262" s="87"/>
      <c r="DH262" s="87"/>
      <c r="DI262" s="87"/>
    </row>
    <row r="263">
      <c r="A263" s="120" t="str">
        <f>IFERROR(__xludf.DUMMYFUNCTION("TRANSPOSE(QUERY('Cadastro VTR/SEÇÃO/MILITAR'!$A$3:$B2000,""SELECT B WHERE A LIKE '""&amp;'carga de materiais'!D264&amp;""'""))"),"#REF!")</f>
        <v>#REF!</v>
      </c>
    </row>
    <row r="264">
      <c r="A264" s="120" t="str">
        <f>IFERROR(__xludf.DUMMYFUNCTION("TRANSPOSE(QUERY('Cadastro VTR/SEÇÃO/MILITAR'!$A$3:$B2000,""SELECT B WHERE A LIKE '""&amp;'carga de materiais'!D265&amp;""'""))"),"#REF!")</f>
        <v>#REF!</v>
      </c>
    </row>
    <row r="265">
      <c r="A265" s="120" t="str">
        <f>IFERROR(__xludf.DUMMYFUNCTION("TRANSPOSE(QUERY('Cadastro VTR/SEÇÃO/MILITAR'!$A$3:$B2000,""SELECT B WHERE A LIKE '""&amp;'carga de materiais'!D266&amp;""'""))"),"#REF!")</f>
        <v>#REF!</v>
      </c>
    </row>
    <row r="266">
      <c r="A266" s="120" t="str">
        <f>IFERROR(__xludf.DUMMYFUNCTION("TRANSPOSE(QUERY('Cadastro VTR/SEÇÃO/MILITAR'!$A$3:$B2000,""SELECT B WHERE A LIKE '""&amp;'carga de materiais'!D267&amp;""'""))"),"#REF!")</f>
        <v>#REF!</v>
      </c>
    </row>
    <row r="267">
      <c r="A267" s="120" t="str">
        <f>IFERROR(__xludf.DUMMYFUNCTION("TRANSPOSE(QUERY('Cadastro VTR/SEÇÃO/MILITAR'!$A$3:$B2000,""SELECT B WHERE A LIKE '""&amp;'carga de materiais'!D268&amp;""'""))"),"#REF!")</f>
        <v>#REF!</v>
      </c>
    </row>
    <row r="268">
      <c r="A268" s="120" t="str">
        <f>IFERROR(__xludf.DUMMYFUNCTION("TRANSPOSE(QUERY('Cadastro VTR/SEÇÃO/MILITAR'!$A$3:$B2000,""SELECT B WHERE A LIKE '""&amp;'carga de materiais'!D269&amp;""'""))"),"#REF!")</f>
        <v>#REF!</v>
      </c>
    </row>
    <row r="269">
      <c r="A269" s="120" t="str">
        <f>IFERROR(__xludf.DUMMYFUNCTION("TRANSPOSE(QUERY('Cadastro VTR/SEÇÃO/MILITAR'!$A$3:$B2000,""SELECT B WHERE A LIKE '""&amp;'carga de materiais'!D270&amp;""'""))"),"#REF!")</f>
        <v>#REF!</v>
      </c>
    </row>
    <row r="270">
      <c r="A270" s="120" t="str">
        <f>IFERROR(__xludf.DUMMYFUNCTION("TRANSPOSE(QUERY('Cadastro VTR/SEÇÃO/MILITAR'!$A$3:$B2000,""SELECT B WHERE A LIKE '""&amp;'carga de materiais'!D271&amp;""'""))"),"#REF!")</f>
        <v>#REF!</v>
      </c>
    </row>
    <row r="271">
      <c r="A271" s="120" t="str">
        <f>IFERROR(__xludf.DUMMYFUNCTION("TRANSPOSE(QUERY('Cadastro VTR/SEÇÃO/MILITAR'!$A$3:$B2000,""SELECT B WHERE A LIKE '""&amp;'carga de materiais'!D272&amp;""'""))"),"#REF!")</f>
        <v>#REF!</v>
      </c>
    </row>
    <row r="272">
      <c r="A272" s="120" t="str">
        <f>IFERROR(__xludf.DUMMYFUNCTION("TRANSPOSE(QUERY('Cadastro VTR/SEÇÃO/MILITAR'!$A$3:$B2000,""SELECT B WHERE A LIKE '""&amp;'carga de materiais'!D273&amp;""'""))"),"#REF!")</f>
        <v>#REF!</v>
      </c>
    </row>
    <row r="273">
      <c r="A273" s="120" t="str">
        <f>IFERROR(__xludf.DUMMYFUNCTION("TRANSPOSE(QUERY('Cadastro VTR/SEÇÃO/MILITAR'!$A$3:$B2000,""SELECT B WHERE A LIKE '""&amp;'carga de materiais'!D274&amp;""'""))"),"#REF!")</f>
        <v>#REF!</v>
      </c>
    </row>
    <row r="274">
      <c r="A274" s="120" t="str">
        <f>IFERROR(__xludf.DUMMYFUNCTION("TRANSPOSE(QUERY('Cadastro VTR/SEÇÃO/MILITAR'!$A$3:$B2000,""SELECT B WHERE A LIKE '""&amp;'carga de materiais'!D275&amp;""'""))"),"#REF!")</f>
        <v>#REF!</v>
      </c>
    </row>
    <row r="275">
      <c r="A275" s="120" t="str">
        <f>IFERROR(__xludf.DUMMYFUNCTION("TRANSPOSE(QUERY('Cadastro VTR/SEÇÃO/MILITAR'!$A$3:$B2000,""SELECT B WHERE A LIKE '""&amp;'carga de materiais'!D276&amp;""'""))"),"#REF!")</f>
        <v>#REF!</v>
      </c>
    </row>
    <row r="276">
      <c r="A276" s="120" t="str">
        <f>IFERROR(__xludf.DUMMYFUNCTION("TRANSPOSE(QUERY('Cadastro VTR/SEÇÃO/MILITAR'!$A$3:$B2000,""SELECT B WHERE A LIKE '""&amp;'carga de materiais'!D277&amp;""'""))"),"#REF!")</f>
        <v>#REF!</v>
      </c>
    </row>
    <row r="277">
      <c r="A277" s="120" t="str">
        <f>IFERROR(__xludf.DUMMYFUNCTION("TRANSPOSE(QUERY('Cadastro VTR/SEÇÃO/MILITAR'!$A$3:$B2000,""SELECT B WHERE A LIKE '""&amp;'carga de materiais'!D278&amp;""'""))"),"#REF!")</f>
        <v>#REF!</v>
      </c>
    </row>
    <row r="278">
      <c r="A278" s="120" t="str">
        <f>IFERROR(__xludf.DUMMYFUNCTION("TRANSPOSE(QUERY('Cadastro VTR/SEÇÃO/MILITAR'!$A$3:$B2000,""SELECT B WHERE A LIKE '""&amp;'carga de materiais'!D279&amp;""'""))"),"#REF!")</f>
        <v>#REF!</v>
      </c>
    </row>
    <row r="279">
      <c r="A279" s="120" t="str">
        <f>IFERROR(__xludf.DUMMYFUNCTION("TRANSPOSE(QUERY('Cadastro VTR/SEÇÃO/MILITAR'!$A$3:$B2000,""SELECT B WHERE A LIKE '""&amp;'carga de materiais'!D280&amp;""'""))"),"#REF!")</f>
        <v>#REF!</v>
      </c>
    </row>
    <row r="280">
      <c r="A280" s="120" t="str">
        <f>IFERROR(__xludf.DUMMYFUNCTION("TRANSPOSE(QUERY('Cadastro VTR/SEÇÃO/MILITAR'!$A$3:$B2000,""SELECT B WHERE A LIKE '""&amp;'carga de materiais'!D281&amp;""'""))"),"#REF!")</f>
        <v>#REF!</v>
      </c>
    </row>
    <row r="281">
      <c r="A281" s="120" t="str">
        <f>IFERROR(__xludf.DUMMYFUNCTION("TRANSPOSE(QUERY('Cadastro VTR/SEÇÃO/MILITAR'!$A$3:$B2000,""SELECT B WHERE A LIKE '""&amp;'carga de materiais'!D282&amp;""'""))"),"#REF!")</f>
        <v>#REF!</v>
      </c>
    </row>
    <row r="282">
      <c r="A282" s="120" t="str">
        <f>IFERROR(__xludf.DUMMYFUNCTION("TRANSPOSE(QUERY('Cadastro VTR/SEÇÃO/MILITAR'!$A$3:$B2000,""SELECT B WHERE A LIKE '""&amp;'carga de materiais'!D283&amp;""'""))"),"#REF!")</f>
        <v>#REF!</v>
      </c>
    </row>
    <row r="283">
      <c r="A283" s="120" t="str">
        <f>IFERROR(__xludf.DUMMYFUNCTION("TRANSPOSE(QUERY('Cadastro VTR/SEÇÃO/MILITAR'!$A$3:$B2000,""SELECT B WHERE A LIKE '""&amp;'carga de materiais'!D284&amp;""'""))"),"#REF!")</f>
        <v>#REF!</v>
      </c>
    </row>
    <row r="284">
      <c r="A284" s="120" t="str">
        <f>IFERROR(__xludf.DUMMYFUNCTION("TRANSPOSE(QUERY('Cadastro VTR/SEÇÃO/MILITAR'!$A$3:$B2000,""SELECT B WHERE A LIKE '""&amp;'carga de materiais'!D285&amp;""'""))"),"#REF!")</f>
        <v>#REF!</v>
      </c>
    </row>
    <row r="285">
      <c r="A285" s="120" t="str">
        <f>IFERROR(__xludf.DUMMYFUNCTION("TRANSPOSE(QUERY('Cadastro VTR/SEÇÃO/MILITAR'!$A$3:$B2000,""SELECT B WHERE A LIKE '""&amp;'carga de materiais'!D286&amp;""'""))"),"#REF!")</f>
        <v>#REF!</v>
      </c>
    </row>
    <row r="286">
      <c r="A286" s="120" t="str">
        <f>IFERROR(__xludf.DUMMYFUNCTION("TRANSPOSE(QUERY('Cadastro VTR/SEÇÃO/MILITAR'!$A$3:$B2000,""SELECT B WHERE A LIKE '""&amp;'carga de materiais'!D287&amp;""'""))"),"#REF!")</f>
        <v>#REF!</v>
      </c>
    </row>
    <row r="287">
      <c r="A287" s="120" t="str">
        <f>IFERROR(__xludf.DUMMYFUNCTION("TRANSPOSE(QUERY('Cadastro VTR/SEÇÃO/MILITAR'!$A$3:$B2000,""SELECT B WHERE A LIKE '""&amp;'carga de materiais'!D288&amp;""'""))"),"#REF!")</f>
        <v>#REF!</v>
      </c>
      <c r="B287" s="87"/>
      <c r="C287" s="87"/>
      <c r="D287" s="87"/>
      <c r="E287" s="87"/>
      <c r="F287" s="87"/>
      <c r="G287" s="87"/>
      <c r="H287" s="87"/>
      <c r="I287" s="87"/>
      <c r="J287" s="87"/>
      <c r="K287" s="87"/>
      <c r="L287" s="87"/>
      <c r="M287" s="87"/>
      <c r="N287" s="87"/>
      <c r="O287" s="87"/>
      <c r="P287" s="87"/>
      <c r="Q287" s="87"/>
      <c r="R287" s="87"/>
      <c r="S287" s="87"/>
      <c r="T287" s="87"/>
      <c r="U287" s="87"/>
      <c r="V287" s="87"/>
      <c r="W287" s="87"/>
      <c r="X287" s="87"/>
      <c r="Y287" s="87"/>
      <c r="Z287" s="87"/>
      <c r="AA287" s="87"/>
      <c r="AB287" s="87"/>
      <c r="AC287" s="87"/>
      <c r="AD287" s="87"/>
      <c r="AE287" s="87"/>
      <c r="AF287" s="87"/>
      <c r="AG287" s="87"/>
      <c r="AH287" s="87"/>
      <c r="AI287" s="87"/>
      <c r="AJ287" s="87"/>
      <c r="AK287" s="87"/>
      <c r="AL287" s="87"/>
      <c r="AM287" s="87"/>
      <c r="AN287" s="87"/>
      <c r="AO287" s="87"/>
      <c r="AP287" s="87"/>
      <c r="AQ287" s="87"/>
      <c r="AR287" s="87"/>
      <c r="AS287" s="87"/>
      <c r="AT287" s="87"/>
      <c r="AU287" s="87"/>
      <c r="AV287" s="87"/>
      <c r="AW287" s="87"/>
      <c r="AX287" s="87"/>
      <c r="AY287" s="87"/>
      <c r="AZ287" s="87"/>
      <c r="BA287" s="87"/>
      <c r="BB287" s="87"/>
      <c r="BC287" s="87"/>
      <c r="BD287" s="87"/>
      <c r="BE287" s="87"/>
      <c r="BF287" s="87"/>
      <c r="BG287" s="87"/>
      <c r="BH287" s="87"/>
      <c r="BI287" s="87"/>
      <c r="BJ287" s="87"/>
      <c r="BK287" s="87"/>
      <c r="BL287" s="87"/>
      <c r="BM287" s="87"/>
      <c r="BN287" s="87"/>
      <c r="BO287" s="87"/>
      <c r="BP287" s="87"/>
      <c r="BQ287" s="87"/>
      <c r="BR287" s="87"/>
      <c r="BS287" s="87"/>
      <c r="BT287" s="87"/>
      <c r="BU287" s="87"/>
      <c r="BV287" s="87"/>
      <c r="BW287" s="87"/>
      <c r="BX287" s="87"/>
      <c r="BY287" s="87"/>
      <c r="BZ287" s="87"/>
      <c r="CA287" s="87"/>
      <c r="CB287" s="87"/>
      <c r="CC287" s="87"/>
      <c r="CD287" s="87"/>
      <c r="CE287" s="87"/>
      <c r="CF287" s="87"/>
      <c r="CG287" s="87"/>
      <c r="CH287" s="87"/>
      <c r="CI287" s="87"/>
      <c r="CJ287" s="87"/>
      <c r="CK287" s="87"/>
      <c r="CL287" s="87"/>
      <c r="CM287" s="87"/>
      <c r="CN287" s="87"/>
      <c r="CO287" s="87"/>
      <c r="CP287" s="87"/>
      <c r="CQ287" s="87"/>
      <c r="CR287" s="87"/>
      <c r="CS287" s="87"/>
      <c r="CT287" s="87"/>
      <c r="CU287" s="87"/>
      <c r="CV287" s="87"/>
      <c r="CW287" s="87"/>
      <c r="CX287" s="87"/>
      <c r="CY287" s="87"/>
      <c r="CZ287" s="87"/>
      <c r="DA287" s="87"/>
      <c r="DB287" s="87"/>
      <c r="DC287" s="87"/>
      <c r="DD287" s="87"/>
      <c r="DE287" s="87"/>
      <c r="DF287" s="87"/>
      <c r="DG287" s="87"/>
      <c r="DH287" s="87"/>
      <c r="DI287" s="87"/>
    </row>
    <row r="288">
      <c r="A288" s="120" t="str">
        <f>IFERROR(__xludf.DUMMYFUNCTION("TRANSPOSE(QUERY('Cadastro VTR/SEÇÃO/MILITAR'!$A$3:$B2000,""SELECT B WHERE A LIKE '""&amp;'carga de materiais'!D289&amp;""'""))"),"#REF!")</f>
        <v>#REF!</v>
      </c>
    </row>
    <row r="289">
      <c r="A289" s="120" t="str">
        <f>IFERROR(__xludf.DUMMYFUNCTION("TRANSPOSE(QUERY('Cadastro VTR/SEÇÃO/MILITAR'!$A$3:$B2000,""SELECT B WHERE A LIKE '""&amp;'carga de materiais'!D290&amp;""'""))"),"#REF!")</f>
        <v>#REF!</v>
      </c>
    </row>
    <row r="290">
      <c r="A290" s="120" t="str">
        <f>IFERROR(__xludf.DUMMYFUNCTION("TRANSPOSE(QUERY('Cadastro VTR/SEÇÃO/MILITAR'!$A$3:$B2000,""SELECT B WHERE A LIKE '""&amp;'carga de materiais'!D291&amp;""'""))"),"#REF!")</f>
        <v>#REF!</v>
      </c>
    </row>
    <row r="291">
      <c r="A291" s="120" t="str">
        <f>IFERROR(__xludf.DUMMYFUNCTION("TRANSPOSE(QUERY('Cadastro VTR/SEÇÃO/MILITAR'!$A$3:$B2000,""SELECT B WHERE A LIKE '""&amp;'carga de materiais'!D292&amp;""'""))"),"#REF!")</f>
        <v>#REF!</v>
      </c>
    </row>
    <row r="292">
      <c r="A292" s="120" t="str">
        <f>IFERROR(__xludf.DUMMYFUNCTION("TRANSPOSE(QUERY('Cadastro VTR/SEÇÃO/MILITAR'!$A$3:$B2000,""SELECT B WHERE A LIKE '""&amp;'carga de materiais'!D293&amp;""'""))"),"#REF!")</f>
        <v>#REF!</v>
      </c>
    </row>
    <row r="293">
      <c r="A293" s="120" t="str">
        <f>IFERROR(__xludf.DUMMYFUNCTION("TRANSPOSE(QUERY('Cadastro VTR/SEÇÃO/MILITAR'!$A$3:$B2000,""SELECT B WHERE A LIKE '""&amp;'carga de materiais'!D294&amp;""'""))"),"#REF!")</f>
        <v>#REF!</v>
      </c>
    </row>
    <row r="294">
      <c r="A294" s="120" t="str">
        <f>IFERROR(__xludf.DUMMYFUNCTION("TRANSPOSE(QUERY('Cadastro VTR/SEÇÃO/MILITAR'!$A$3:$B2000,""SELECT B WHERE A LIKE '""&amp;'carga de materiais'!D295&amp;""'""))"),"#REF!")</f>
        <v>#REF!</v>
      </c>
    </row>
    <row r="295">
      <c r="A295" s="120" t="str">
        <f>IFERROR(__xludf.DUMMYFUNCTION("TRANSPOSE(QUERY('Cadastro VTR/SEÇÃO/MILITAR'!$A$3:$B2000,""SELECT B WHERE A LIKE '""&amp;'carga de materiais'!D296&amp;""'""))"),"#REF!")</f>
        <v>#REF!</v>
      </c>
    </row>
    <row r="296">
      <c r="A296" s="120" t="str">
        <f>IFERROR(__xludf.DUMMYFUNCTION("TRANSPOSE(QUERY('Cadastro VTR/SEÇÃO/MILITAR'!$A$3:$B2000,""SELECT B WHERE A LIKE '""&amp;'carga de materiais'!D297&amp;""'""))"),"#REF!")</f>
        <v>#REF!</v>
      </c>
    </row>
    <row r="297">
      <c r="A297" s="120" t="str">
        <f>IFERROR(__xludf.DUMMYFUNCTION("TRANSPOSE(QUERY('Cadastro VTR/SEÇÃO/MILITAR'!$A$3:$B2000,""SELECT B WHERE A LIKE '""&amp;'carga de materiais'!D298&amp;""'""))"),"#REF!")</f>
        <v>#REF!</v>
      </c>
    </row>
    <row r="298">
      <c r="A298" s="120" t="str">
        <f>IFERROR(__xludf.DUMMYFUNCTION("TRANSPOSE(QUERY('Cadastro VTR/SEÇÃO/MILITAR'!$A$3:$B2000,""SELECT B WHERE A LIKE '""&amp;'carga de materiais'!D299&amp;""'""))"),"#REF!")</f>
        <v>#REF!</v>
      </c>
    </row>
    <row r="299">
      <c r="A299" s="120" t="str">
        <f>IFERROR(__xludf.DUMMYFUNCTION("TRANSPOSE(QUERY('Cadastro VTR/SEÇÃO/MILITAR'!$A$3:$B2000,""SELECT B WHERE A LIKE '""&amp;'carga de materiais'!D300&amp;""'""))"),"#REF!")</f>
        <v>#REF!</v>
      </c>
    </row>
    <row r="300">
      <c r="A300" s="120" t="str">
        <f>IFERROR(__xludf.DUMMYFUNCTION("TRANSPOSE(QUERY('Cadastro VTR/SEÇÃO/MILITAR'!$A$3:$B2000,""SELECT B WHERE A LIKE '""&amp;'carga de materiais'!D301&amp;""'""))"),"#REF!")</f>
        <v>#REF!</v>
      </c>
    </row>
    <row r="301">
      <c r="A301" s="120" t="str">
        <f>IFERROR(__xludf.DUMMYFUNCTION("TRANSPOSE(QUERY('Cadastro VTR/SEÇÃO/MILITAR'!$A$3:$B2000,""SELECT B WHERE A LIKE '""&amp;'carga de materiais'!D302&amp;""'""))"),"#REF!")</f>
        <v>#REF!</v>
      </c>
    </row>
    <row r="302">
      <c r="A302" s="120" t="str">
        <f>IFERROR(__xludf.DUMMYFUNCTION("TRANSPOSE(QUERY('Cadastro VTR/SEÇÃO/MILITAR'!$A$3:$B2000,""SELECT B WHERE A LIKE '""&amp;'carga de materiais'!D303&amp;""'""))"),"#REF!")</f>
        <v>#REF!</v>
      </c>
    </row>
    <row r="303">
      <c r="A303" s="120" t="str">
        <f>IFERROR(__xludf.DUMMYFUNCTION("TRANSPOSE(QUERY('Cadastro VTR/SEÇÃO/MILITAR'!$A$3:$B2000,""SELECT B WHERE A LIKE '""&amp;'carga de materiais'!D304&amp;""'""))"),"#REF!")</f>
        <v>#REF!</v>
      </c>
    </row>
    <row r="304">
      <c r="A304" s="120" t="str">
        <f>IFERROR(__xludf.DUMMYFUNCTION("TRANSPOSE(QUERY('Cadastro VTR/SEÇÃO/MILITAR'!$A$3:$B2000,""SELECT B WHERE A LIKE '""&amp;'carga de materiais'!D305&amp;""'""))"),"#REF!")</f>
        <v>#REF!</v>
      </c>
    </row>
    <row r="305">
      <c r="A305" s="120" t="str">
        <f>IFERROR(__xludf.DUMMYFUNCTION("TRANSPOSE(QUERY('Cadastro VTR/SEÇÃO/MILITAR'!$A$3:$B2000,""SELECT B WHERE A LIKE '""&amp;'carga de materiais'!D306&amp;""'""))"),"#REF!")</f>
        <v>#REF!</v>
      </c>
    </row>
    <row r="306">
      <c r="A306" s="120" t="str">
        <f>IFERROR(__xludf.DUMMYFUNCTION("TRANSPOSE(QUERY('Cadastro VTR/SEÇÃO/MILITAR'!$A$3:$B2000,""SELECT B WHERE A LIKE '""&amp;'carga de materiais'!D307&amp;""'""))"),"#REF!")</f>
        <v>#REF!</v>
      </c>
    </row>
    <row r="307">
      <c r="A307" s="120" t="str">
        <f>IFERROR(__xludf.DUMMYFUNCTION("TRANSPOSE(QUERY('Cadastro VTR/SEÇÃO/MILITAR'!$A$3:$B2000,""SELECT B WHERE A LIKE '""&amp;'carga de materiais'!D308&amp;""'""))"),"#REF!")</f>
        <v>#REF!</v>
      </c>
    </row>
    <row r="308">
      <c r="A308" s="120" t="str">
        <f>IFERROR(__xludf.DUMMYFUNCTION("TRANSPOSE(QUERY('Cadastro VTR/SEÇÃO/MILITAR'!$A$3:$B2000,""SELECT B WHERE A LIKE '""&amp;'carga de materiais'!D309&amp;""'""))"),"#REF!")</f>
        <v>#REF!</v>
      </c>
    </row>
    <row r="309">
      <c r="A309" s="120" t="str">
        <f>IFERROR(__xludf.DUMMYFUNCTION("TRANSPOSE(QUERY('Cadastro VTR/SEÇÃO/MILITAR'!$A$3:$B2000,""SELECT B WHERE A LIKE '""&amp;'carga de materiais'!D310&amp;""'""))"),"#REF!")</f>
        <v>#REF!</v>
      </c>
    </row>
    <row r="310">
      <c r="A310" s="120" t="str">
        <f>IFERROR(__xludf.DUMMYFUNCTION("TRANSPOSE(QUERY('Cadastro VTR/SEÇÃO/MILITAR'!$A$3:$B2000,""SELECT B WHERE A LIKE '""&amp;'carga de materiais'!D311&amp;""'""))"),"#REF!")</f>
        <v>#REF!</v>
      </c>
    </row>
    <row r="311">
      <c r="A311" s="120" t="str">
        <f>IFERROR(__xludf.DUMMYFUNCTION("TRANSPOSE(QUERY('Cadastro VTR/SEÇÃO/MILITAR'!$A$3:$B2000,""SELECT B WHERE A LIKE '""&amp;'carga de materiais'!D312&amp;""'""))"),"#REF!")</f>
        <v>#REF!</v>
      </c>
    </row>
    <row r="312">
      <c r="A312" s="120" t="str">
        <f>IFERROR(__xludf.DUMMYFUNCTION("TRANSPOSE(QUERY('Cadastro VTR/SEÇÃO/MILITAR'!$A$3:$B2000,""SELECT B WHERE A LIKE '""&amp;'carga de materiais'!D313&amp;""'""))"),"#REF!")</f>
        <v>#REF!</v>
      </c>
    </row>
    <row r="313">
      <c r="A313" s="120" t="str">
        <f>IFERROR(__xludf.DUMMYFUNCTION("TRANSPOSE(QUERY('Cadastro VTR/SEÇÃO/MILITAR'!$A$3:$B2000,""SELECT B WHERE A LIKE '""&amp;'carga de materiais'!D314&amp;""'""))"),"#REF!")</f>
        <v>#REF!</v>
      </c>
    </row>
    <row r="314">
      <c r="A314" s="120" t="str">
        <f>IFERROR(__xludf.DUMMYFUNCTION("TRANSPOSE(QUERY('Cadastro VTR/SEÇÃO/MILITAR'!$A$3:$B2000,""SELECT B WHERE A LIKE '""&amp;'carga de materiais'!D315&amp;""'""))"),"#REF!")</f>
        <v>#REF!</v>
      </c>
    </row>
    <row r="315">
      <c r="A315" s="120" t="str">
        <f>IFERROR(__xludf.DUMMYFUNCTION("TRANSPOSE(QUERY('Cadastro VTR/SEÇÃO/MILITAR'!$A$3:$B2000,""SELECT B WHERE A LIKE '""&amp;'carga de materiais'!D316&amp;""'""))"),"#REF!")</f>
        <v>#REF!</v>
      </c>
    </row>
    <row r="316">
      <c r="A316" s="120" t="str">
        <f>IFERROR(__xludf.DUMMYFUNCTION("TRANSPOSE(QUERY('Cadastro VTR/SEÇÃO/MILITAR'!$A$3:$B2000,""SELECT B WHERE A LIKE '""&amp;'carga de materiais'!D317&amp;""'""))"),"#REF!")</f>
        <v>#REF!</v>
      </c>
    </row>
    <row r="317">
      <c r="A317" s="120" t="str">
        <f>IFERROR(__xludf.DUMMYFUNCTION("TRANSPOSE(QUERY('Cadastro VTR/SEÇÃO/MILITAR'!$A$3:$B2000,""SELECT B WHERE A LIKE '""&amp;'carga de materiais'!D318&amp;""'""))"),"#REF!")</f>
        <v>#REF!</v>
      </c>
    </row>
    <row r="318">
      <c r="A318" s="120" t="str">
        <f>IFERROR(__xludf.DUMMYFUNCTION("TRANSPOSE(QUERY('Cadastro VTR/SEÇÃO/MILITAR'!$A$3:$B2000,""SELECT B WHERE A LIKE '""&amp;'carga de materiais'!D319&amp;""'""))"),"#REF!")</f>
        <v>#REF!</v>
      </c>
    </row>
    <row r="319">
      <c r="A319" s="120" t="str">
        <f>IFERROR(__xludf.DUMMYFUNCTION("TRANSPOSE(QUERY('Cadastro VTR/SEÇÃO/MILITAR'!$A$3:$B2000,""SELECT B WHERE A LIKE '""&amp;'carga de materiais'!D320&amp;""'""))"),"#REF!")</f>
        <v>#REF!</v>
      </c>
    </row>
    <row r="320">
      <c r="A320" s="120" t="str">
        <f>IFERROR(__xludf.DUMMYFUNCTION("TRANSPOSE(QUERY('Cadastro VTR/SEÇÃO/MILITAR'!$A$3:$B2000,""SELECT B WHERE A LIKE '""&amp;'carga de materiais'!D321&amp;""'""))"),"#REF!")</f>
        <v>#REF!</v>
      </c>
    </row>
    <row r="321">
      <c r="A321" s="120" t="str">
        <f>IFERROR(__xludf.DUMMYFUNCTION("TRANSPOSE(QUERY('Cadastro VTR/SEÇÃO/MILITAR'!$A$3:$B2000,""SELECT B WHERE A LIKE '""&amp;'carga de materiais'!D322&amp;""'""))"),"#REF!")</f>
        <v>#REF!</v>
      </c>
    </row>
    <row r="322">
      <c r="A322" s="120" t="str">
        <f>IFERROR(__xludf.DUMMYFUNCTION("TRANSPOSE(QUERY('Cadastro VTR/SEÇÃO/MILITAR'!$A$3:$B2000,""SELECT B WHERE A LIKE '""&amp;'carga de materiais'!D323&amp;""'""))"),"#REF!")</f>
        <v>#REF!</v>
      </c>
    </row>
    <row r="323">
      <c r="A323" s="120" t="str">
        <f>IFERROR(__xludf.DUMMYFUNCTION("TRANSPOSE(QUERY('Cadastro VTR/SEÇÃO/MILITAR'!$A$3:$B2000,""SELECT B WHERE A LIKE '""&amp;'carga de materiais'!D324&amp;""'""))"),"#REF!")</f>
        <v>#REF!</v>
      </c>
    </row>
    <row r="324">
      <c r="A324" s="120" t="str">
        <f>IFERROR(__xludf.DUMMYFUNCTION("TRANSPOSE(QUERY('Cadastro VTR/SEÇÃO/MILITAR'!$A$3:$B2000,""SELECT B WHERE A LIKE '""&amp;'carga de materiais'!D325&amp;""'""))"),"#REF!")</f>
        <v>#REF!</v>
      </c>
    </row>
    <row r="325">
      <c r="A325" s="120" t="str">
        <f>IFERROR(__xludf.DUMMYFUNCTION("TRANSPOSE(QUERY('Cadastro VTR/SEÇÃO/MILITAR'!$A$3:$B2000,""SELECT B WHERE A LIKE '""&amp;'carga de materiais'!D326&amp;""'""))"),"#REF!")</f>
        <v>#REF!</v>
      </c>
    </row>
    <row r="326">
      <c r="A326" s="120" t="str">
        <f>IFERROR(__xludf.DUMMYFUNCTION("TRANSPOSE(QUERY('Cadastro VTR/SEÇÃO/MILITAR'!$A$3:$B2000,""SELECT B WHERE A LIKE '""&amp;'carga de materiais'!D327&amp;""'""))"),"#REF!")</f>
        <v>#REF!</v>
      </c>
    </row>
    <row r="327">
      <c r="A327" s="120" t="str">
        <f>IFERROR(__xludf.DUMMYFUNCTION("TRANSPOSE(QUERY('Cadastro VTR/SEÇÃO/MILITAR'!$A$3:$B2000,""SELECT B WHERE A LIKE '""&amp;'carga de materiais'!D328&amp;""'""))"),"#REF!")</f>
        <v>#REF!</v>
      </c>
    </row>
    <row r="328">
      <c r="A328" s="120" t="str">
        <f>IFERROR(__xludf.DUMMYFUNCTION("TRANSPOSE(QUERY('Cadastro VTR/SEÇÃO/MILITAR'!$A$3:$B2000,""SELECT B WHERE A LIKE '""&amp;'carga de materiais'!D329&amp;""'""))"),"#REF!")</f>
        <v>#REF!</v>
      </c>
    </row>
    <row r="329">
      <c r="A329" s="120" t="str">
        <f>IFERROR(__xludf.DUMMYFUNCTION("TRANSPOSE(QUERY('Cadastro VTR/SEÇÃO/MILITAR'!$A$3:$B2000,""SELECT B WHERE A LIKE '""&amp;'carga de materiais'!D330&amp;""'""))"),"#REF!")</f>
        <v>#REF!</v>
      </c>
    </row>
    <row r="330">
      <c r="A330" s="120" t="str">
        <f>IFERROR(__xludf.DUMMYFUNCTION("TRANSPOSE(QUERY('Cadastro VTR/SEÇÃO/MILITAR'!$A$3:$B2000,""SELECT B WHERE A LIKE '""&amp;'carga de materiais'!D331&amp;""'""))"),"#REF!")</f>
        <v>#REF!</v>
      </c>
    </row>
    <row r="331">
      <c r="A331" s="120" t="str">
        <f>IFERROR(__xludf.DUMMYFUNCTION("TRANSPOSE(QUERY('Cadastro VTR/SEÇÃO/MILITAR'!$A$3:$B2000,""SELECT B WHERE A LIKE '""&amp;'carga de materiais'!D332&amp;""'""))"),"#REF!")</f>
        <v>#REF!</v>
      </c>
    </row>
    <row r="332">
      <c r="A332" s="120" t="str">
        <f>IFERROR(__xludf.DUMMYFUNCTION("TRANSPOSE(QUERY('Cadastro VTR/SEÇÃO/MILITAR'!$A$3:$B2000,""SELECT B WHERE A LIKE '""&amp;'carga de materiais'!D333&amp;""'""))"),"#REF!")</f>
        <v>#REF!</v>
      </c>
    </row>
    <row r="333">
      <c r="A333" s="120" t="str">
        <f>IFERROR(__xludf.DUMMYFUNCTION("TRANSPOSE(QUERY('Cadastro VTR/SEÇÃO/MILITAR'!$A$3:$B2000,""SELECT B WHERE A LIKE '""&amp;'carga de materiais'!D334&amp;""'""))"),"#REF!")</f>
        <v>#REF!</v>
      </c>
    </row>
    <row r="334">
      <c r="A334" s="120" t="str">
        <f>IFERROR(__xludf.DUMMYFUNCTION("TRANSPOSE(QUERY('Cadastro VTR/SEÇÃO/MILITAR'!$A$3:$B2000,""SELECT B WHERE A LIKE '""&amp;'carga de materiais'!D335&amp;""'""))"),"#REF!")</f>
        <v>#REF!</v>
      </c>
    </row>
    <row r="335">
      <c r="A335" s="120" t="str">
        <f>IFERROR(__xludf.DUMMYFUNCTION("TRANSPOSE(QUERY('Cadastro VTR/SEÇÃO/MILITAR'!$A$3:$B2000,""SELECT B WHERE A LIKE '""&amp;'carga de materiais'!D336&amp;""'""))"),"#REF!")</f>
        <v>#REF!</v>
      </c>
    </row>
    <row r="336">
      <c r="A336" s="120" t="str">
        <f>IFERROR(__xludf.DUMMYFUNCTION("TRANSPOSE(QUERY('Cadastro VTR/SEÇÃO/MILITAR'!$A$3:$B2000,""SELECT B WHERE A LIKE '""&amp;'carga de materiais'!D337&amp;""'""))"),"#REF!")</f>
        <v>#REF!</v>
      </c>
    </row>
    <row r="337">
      <c r="A337" s="120" t="str">
        <f>IFERROR(__xludf.DUMMYFUNCTION("TRANSPOSE(QUERY('Cadastro VTR/SEÇÃO/MILITAR'!$A$3:$B2000,""SELECT B WHERE A LIKE '""&amp;'carga de materiais'!D338&amp;""'""))"),"#REF!")</f>
        <v>#REF!</v>
      </c>
    </row>
    <row r="338">
      <c r="A338" s="120" t="str">
        <f>IFERROR(__xludf.DUMMYFUNCTION("TRANSPOSE(QUERY('Cadastro VTR/SEÇÃO/MILITAR'!$A$3:$B2000,""SELECT B WHERE A LIKE '""&amp;'carga de materiais'!D339&amp;""'""))"),"#REF!")</f>
        <v>#REF!</v>
      </c>
    </row>
    <row r="339">
      <c r="A339" s="120" t="str">
        <f>IFERROR(__xludf.DUMMYFUNCTION("TRANSPOSE(QUERY('Cadastro VTR/SEÇÃO/MILITAR'!$A$3:$B2000,""SELECT B WHERE A LIKE '""&amp;'carga de materiais'!D340&amp;""'""))"),"#REF!")</f>
        <v>#REF!</v>
      </c>
    </row>
    <row r="340">
      <c r="A340" s="120" t="str">
        <f>IFERROR(__xludf.DUMMYFUNCTION("TRANSPOSE(QUERY('Cadastro VTR/SEÇÃO/MILITAR'!$A$3:$B2000,""SELECT B WHERE A LIKE '""&amp;'carga de materiais'!D341&amp;""'""))"),"#REF!")</f>
        <v>#REF!</v>
      </c>
    </row>
    <row r="341">
      <c r="A341" s="120" t="str">
        <f>IFERROR(__xludf.DUMMYFUNCTION("TRANSPOSE(QUERY('Cadastro VTR/SEÇÃO/MILITAR'!$A$3:$B2000,""SELECT B WHERE A LIKE '""&amp;'carga de materiais'!D342&amp;""'""))"),"#REF!")</f>
        <v>#REF!</v>
      </c>
    </row>
    <row r="342">
      <c r="A342" s="120" t="str">
        <f>IFERROR(__xludf.DUMMYFUNCTION("TRANSPOSE(QUERY('Cadastro VTR/SEÇÃO/MILITAR'!$A$3:$B2000,""SELECT B WHERE A LIKE '""&amp;'carga de materiais'!D343&amp;""'""))"),"#REF!")</f>
        <v>#REF!</v>
      </c>
    </row>
    <row r="343">
      <c r="A343" s="120" t="str">
        <f>IFERROR(__xludf.DUMMYFUNCTION("TRANSPOSE(QUERY('Cadastro VTR/SEÇÃO/MILITAR'!$A$3:$B2000,""SELECT B WHERE A LIKE '""&amp;'carga de materiais'!D344&amp;""'""))"),"#REF!")</f>
        <v>#REF!</v>
      </c>
    </row>
    <row r="344">
      <c r="A344" s="120" t="str">
        <f>IFERROR(__xludf.DUMMYFUNCTION("TRANSPOSE(QUERY('Cadastro VTR/SEÇÃO/MILITAR'!$A$3:$B2000,""SELECT B WHERE A LIKE '""&amp;'carga de materiais'!D345&amp;""'""))"),"#REF!")</f>
        <v>#REF!</v>
      </c>
    </row>
    <row r="345">
      <c r="A345" s="120" t="str">
        <f>IFERROR(__xludf.DUMMYFUNCTION("TRANSPOSE(QUERY('Cadastro VTR/SEÇÃO/MILITAR'!$A$3:$B2000,""SELECT B WHERE A LIKE '""&amp;'carga de materiais'!D346&amp;""'""))"),"#REF!")</f>
        <v>#REF!</v>
      </c>
    </row>
    <row r="346">
      <c r="A346" s="120" t="str">
        <f>IFERROR(__xludf.DUMMYFUNCTION("TRANSPOSE(QUERY('Cadastro VTR/SEÇÃO/MILITAR'!$A$3:$B2000,""SELECT B WHERE A LIKE '""&amp;'carga de materiais'!D347&amp;""'""))"),"#REF!")</f>
        <v>#REF!</v>
      </c>
    </row>
    <row r="347">
      <c r="A347" s="120" t="str">
        <f>IFERROR(__xludf.DUMMYFUNCTION("TRANSPOSE(QUERY('Cadastro VTR/SEÇÃO/MILITAR'!$A$3:$B2000,""SELECT B WHERE A LIKE '""&amp;'carga de materiais'!D348&amp;""'""))"),"#REF!")</f>
        <v>#REF!</v>
      </c>
    </row>
    <row r="348">
      <c r="A348" s="120" t="str">
        <f>IFERROR(__xludf.DUMMYFUNCTION("TRANSPOSE(QUERY('Cadastro VTR/SEÇÃO/MILITAR'!$A$3:$B2000,""SELECT B WHERE A LIKE '""&amp;'carga de materiais'!D349&amp;""'""))"),"#REF!")</f>
        <v>#REF!</v>
      </c>
    </row>
    <row r="349">
      <c r="A349" s="120" t="str">
        <f>IFERROR(__xludf.DUMMYFUNCTION("TRANSPOSE(QUERY('Cadastro VTR/SEÇÃO/MILITAR'!$A$3:$B2000,""SELECT B WHERE A LIKE '""&amp;'carga de materiais'!D350&amp;""'""))"),"#REF!")</f>
        <v>#REF!</v>
      </c>
    </row>
    <row r="350">
      <c r="A350" s="120" t="str">
        <f>IFERROR(__xludf.DUMMYFUNCTION("TRANSPOSE(QUERY('Cadastro VTR/SEÇÃO/MILITAR'!$A$3:$B2000,""SELECT B WHERE A LIKE '""&amp;'carga de materiais'!D351&amp;""'""))"),"#REF!")</f>
        <v>#REF!</v>
      </c>
    </row>
    <row r="351">
      <c r="A351" s="120" t="str">
        <f>IFERROR(__xludf.DUMMYFUNCTION("TRANSPOSE(QUERY('Cadastro VTR/SEÇÃO/MILITAR'!$A$3:$B2000,""SELECT B WHERE A LIKE '""&amp;'carga de materiais'!D352&amp;""'""))"),"#REF!")</f>
        <v>#REF!</v>
      </c>
    </row>
    <row r="352">
      <c r="A352" s="120" t="str">
        <f>IFERROR(__xludf.DUMMYFUNCTION("TRANSPOSE(QUERY('Cadastro VTR/SEÇÃO/MILITAR'!$A$3:$B2000,""SELECT B WHERE A LIKE '""&amp;'carga de materiais'!D353&amp;""'""))"),"#REF!")</f>
        <v>#REF!</v>
      </c>
    </row>
    <row r="353">
      <c r="A353" s="120" t="str">
        <f>IFERROR(__xludf.DUMMYFUNCTION("TRANSPOSE(QUERY('Cadastro VTR/SEÇÃO/MILITAR'!$A$3:$B2000,""SELECT B WHERE A LIKE '""&amp;'carga de materiais'!D354&amp;""'""))"),"#REF!")</f>
        <v>#REF!</v>
      </c>
    </row>
    <row r="354">
      <c r="A354" s="120" t="str">
        <f>IFERROR(__xludf.DUMMYFUNCTION("TRANSPOSE(QUERY('Cadastro VTR/SEÇÃO/MILITAR'!$A$3:$B2000,""SELECT B WHERE A LIKE '""&amp;'carga de materiais'!D355&amp;""'""))"),"#REF!")</f>
        <v>#REF!</v>
      </c>
    </row>
    <row r="355">
      <c r="A355" s="120" t="str">
        <f>IFERROR(__xludf.DUMMYFUNCTION("TRANSPOSE(QUERY('Cadastro VTR/SEÇÃO/MILITAR'!$A$3:$B2000,""SELECT B WHERE A LIKE '""&amp;'carga de materiais'!D356&amp;""'""))"),"#REF!")</f>
        <v>#REF!</v>
      </c>
    </row>
    <row r="356">
      <c r="A356" s="120" t="str">
        <f>IFERROR(__xludf.DUMMYFUNCTION("TRANSPOSE(QUERY('Cadastro VTR/SEÇÃO/MILITAR'!$A$3:$B2000,""SELECT B WHERE A LIKE '""&amp;'carga de materiais'!D357&amp;""'""))"),"#REF!")</f>
        <v>#REF!</v>
      </c>
    </row>
    <row r="357">
      <c r="A357" s="120" t="str">
        <f>IFERROR(__xludf.DUMMYFUNCTION("TRANSPOSE(QUERY('Cadastro VTR/SEÇÃO/MILITAR'!$A$3:$B2000,""SELECT B WHERE A LIKE '""&amp;'carga de materiais'!D358&amp;""'""))"),"#REF!")</f>
        <v>#REF!</v>
      </c>
    </row>
    <row r="358">
      <c r="A358" s="120" t="str">
        <f>IFERROR(__xludf.DUMMYFUNCTION("TRANSPOSE(QUERY('Cadastro VTR/SEÇÃO/MILITAR'!$A$3:$B2000,""SELECT B WHERE A LIKE '""&amp;'carga de materiais'!D359&amp;""'""))"),"#REF!")</f>
        <v>#REF!</v>
      </c>
    </row>
    <row r="359">
      <c r="A359" s="120" t="str">
        <f>IFERROR(__xludf.DUMMYFUNCTION("TRANSPOSE(QUERY('Cadastro VTR/SEÇÃO/MILITAR'!$A$3:$B2000,""SELECT B WHERE A LIKE '""&amp;'carga de materiais'!D360&amp;""'""))"),"#REF!")</f>
        <v>#REF!</v>
      </c>
    </row>
    <row r="360">
      <c r="A360" s="120" t="str">
        <f>IFERROR(__xludf.DUMMYFUNCTION("TRANSPOSE(QUERY('Cadastro VTR/SEÇÃO/MILITAR'!$A$3:$B2000,""SELECT B WHERE A LIKE '""&amp;'carga de materiais'!D361&amp;""'""))"),"#REF!")</f>
        <v>#REF!</v>
      </c>
    </row>
    <row r="361">
      <c r="A361" s="120" t="str">
        <f>IFERROR(__xludf.DUMMYFUNCTION("TRANSPOSE(QUERY('Cadastro VTR/SEÇÃO/MILITAR'!$A$3:$B2000,""SELECT B WHERE A LIKE '""&amp;'carga de materiais'!D362&amp;""'""))"),"#REF!")</f>
        <v>#REF!</v>
      </c>
    </row>
    <row r="362">
      <c r="A362" s="120" t="str">
        <f>IFERROR(__xludf.DUMMYFUNCTION("TRANSPOSE(QUERY('Cadastro VTR/SEÇÃO/MILITAR'!$A$3:$B2000,""SELECT B WHERE A LIKE '""&amp;'carga de materiais'!D363&amp;""'""))"),"#REF!")</f>
        <v>#REF!</v>
      </c>
    </row>
    <row r="363">
      <c r="A363" s="120" t="str">
        <f>IFERROR(__xludf.DUMMYFUNCTION("TRANSPOSE(QUERY('Cadastro VTR/SEÇÃO/MILITAR'!$A$3:$B2000,""SELECT B WHERE A LIKE '""&amp;'carga de materiais'!D364&amp;""'""))"),"#REF!")</f>
        <v>#REF!</v>
      </c>
    </row>
    <row r="364">
      <c r="A364" s="120" t="str">
        <f>IFERROR(__xludf.DUMMYFUNCTION("TRANSPOSE(QUERY('Cadastro VTR/SEÇÃO/MILITAR'!$A$3:$B2000,""SELECT B WHERE A LIKE '""&amp;'carga de materiais'!D365&amp;""'""))"),"#REF!")</f>
        <v>#REF!</v>
      </c>
    </row>
    <row r="365">
      <c r="A365" s="120" t="str">
        <f>IFERROR(__xludf.DUMMYFUNCTION("TRANSPOSE(QUERY('Cadastro VTR/SEÇÃO/MILITAR'!$A$3:$B2000,""SELECT B WHERE A LIKE '""&amp;'carga de materiais'!D366&amp;""'""))"),"#REF!")</f>
        <v>#REF!</v>
      </c>
    </row>
    <row r="366">
      <c r="A366" s="120" t="str">
        <f>IFERROR(__xludf.DUMMYFUNCTION("TRANSPOSE(QUERY('Cadastro VTR/SEÇÃO/MILITAR'!$A$3:$B2000,""SELECT B WHERE A LIKE '""&amp;'carga de materiais'!D367&amp;""'""))"),"#REF!")</f>
        <v>#REF!</v>
      </c>
    </row>
    <row r="367">
      <c r="A367" s="120" t="str">
        <f>IFERROR(__xludf.DUMMYFUNCTION("TRANSPOSE(QUERY('Cadastro VTR/SEÇÃO/MILITAR'!$A$3:$B2000,""SELECT B WHERE A LIKE '""&amp;'carga de materiais'!D368&amp;""'""))"),"#REF!")</f>
        <v>#REF!</v>
      </c>
    </row>
    <row r="368">
      <c r="A368" s="120" t="str">
        <f>IFERROR(__xludf.DUMMYFUNCTION("TRANSPOSE(QUERY('Cadastro VTR/SEÇÃO/MILITAR'!$A$3:$B2000,""SELECT B WHERE A LIKE '""&amp;'carga de materiais'!D369&amp;""'""))"),"#REF!")</f>
        <v>#REF!</v>
      </c>
    </row>
    <row r="369">
      <c r="A369" s="120" t="str">
        <f>IFERROR(__xludf.DUMMYFUNCTION("TRANSPOSE(QUERY('Cadastro VTR/SEÇÃO/MILITAR'!$A$3:$B2000,""SELECT B WHERE A LIKE '""&amp;'carga de materiais'!D370&amp;""'""))"),"#REF!")</f>
        <v>#REF!</v>
      </c>
    </row>
    <row r="370">
      <c r="A370" s="120" t="str">
        <f>IFERROR(__xludf.DUMMYFUNCTION("TRANSPOSE(QUERY('Cadastro VTR/SEÇÃO/MILITAR'!$A$3:$B2000,""SELECT B WHERE A LIKE '""&amp;'carga de materiais'!D371&amp;""'""))"),"#REF!")</f>
        <v>#REF!</v>
      </c>
    </row>
    <row r="371">
      <c r="A371" s="120" t="str">
        <f>IFERROR(__xludf.DUMMYFUNCTION("TRANSPOSE(QUERY('Cadastro VTR/SEÇÃO/MILITAR'!$A$3:$B2000,""SELECT B WHERE A LIKE '""&amp;'carga de materiais'!D372&amp;""'""))"),"#REF!")</f>
        <v>#REF!</v>
      </c>
    </row>
    <row r="372">
      <c r="A372" s="120" t="str">
        <f>IFERROR(__xludf.DUMMYFUNCTION("TRANSPOSE(QUERY('Cadastro VTR/SEÇÃO/MILITAR'!$A$3:$B2000,""SELECT B WHERE A LIKE '""&amp;'carga de materiais'!D373&amp;""'""))"),"#REF!")</f>
        <v>#REF!</v>
      </c>
    </row>
    <row r="373">
      <c r="A373" s="120" t="str">
        <f>IFERROR(__xludf.DUMMYFUNCTION("TRANSPOSE(QUERY('Cadastro VTR/SEÇÃO/MILITAR'!$A$3:$B2000,""SELECT B WHERE A LIKE '""&amp;'carga de materiais'!D374&amp;""'""))"),"#REF!")</f>
        <v>#REF!</v>
      </c>
    </row>
    <row r="374">
      <c r="A374" s="120" t="str">
        <f>IFERROR(__xludf.DUMMYFUNCTION("TRANSPOSE(QUERY('Cadastro VTR/SEÇÃO/MILITAR'!$A$3:$B2000,""SELECT B WHERE A LIKE '""&amp;'carga de materiais'!D375&amp;""'""))"),"#REF!")</f>
        <v>#REF!</v>
      </c>
    </row>
    <row r="375">
      <c r="A375" s="120" t="str">
        <f>IFERROR(__xludf.DUMMYFUNCTION("TRANSPOSE(QUERY('Cadastro VTR/SEÇÃO/MILITAR'!$A$3:$B2000,""SELECT B WHERE A LIKE '""&amp;'carga de materiais'!D376&amp;""'""))"),"#REF!")</f>
        <v>#REF!</v>
      </c>
    </row>
    <row r="376">
      <c r="A376" s="120" t="str">
        <f>IFERROR(__xludf.DUMMYFUNCTION("TRANSPOSE(QUERY('Cadastro VTR/SEÇÃO/MILITAR'!$A$3:$B2000,""SELECT B WHERE A LIKE '""&amp;'carga de materiais'!D377&amp;""'""))"),"#REF!")</f>
        <v>#REF!</v>
      </c>
    </row>
    <row r="377">
      <c r="A377" s="120" t="str">
        <f>IFERROR(__xludf.DUMMYFUNCTION("TRANSPOSE(QUERY('Cadastro VTR/SEÇÃO/MILITAR'!$A$3:$B2000,""SELECT B WHERE A LIKE '""&amp;'carga de materiais'!D378&amp;""'""))"),"#REF!")</f>
        <v>#REF!</v>
      </c>
    </row>
    <row r="378">
      <c r="A378" s="120" t="str">
        <f>IFERROR(__xludf.DUMMYFUNCTION("TRANSPOSE(QUERY('Cadastro VTR/SEÇÃO/MILITAR'!$A$3:$B2000,""SELECT B WHERE A LIKE '""&amp;'carga de materiais'!D379&amp;""'""))"),"#REF!")</f>
        <v>#REF!</v>
      </c>
    </row>
    <row r="379">
      <c r="A379" s="120" t="str">
        <f>IFERROR(__xludf.DUMMYFUNCTION("TRANSPOSE(QUERY('Cadastro VTR/SEÇÃO/MILITAR'!$A$3:$B2000,""SELECT B WHERE A LIKE '""&amp;'carga de materiais'!D380&amp;""'""))"),"#REF!")</f>
        <v>#REF!</v>
      </c>
    </row>
    <row r="380">
      <c r="A380" s="120" t="str">
        <f>IFERROR(__xludf.DUMMYFUNCTION("TRANSPOSE(QUERY('Cadastro VTR/SEÇÃO/MILITAR'!$A$3:$B2000,""SELECT B WHERE A LIKE '""&amp;'carga de materiais'!D381&amp;""'""))"),"#REF!")</f>
        <v>#REF!</v>
      </c>
    </row>
    <row r="381">
      <c r="A381" s="120" t="str">
        <f>IFERROR(__xludf.DUMMYFUNCTION("TRANSPOSE(QUERY('Cadastro VTR/SEÇÃO/MILITAR'!$A$3:$B2000,""SELECT B WHERE A LIKE '""&amp;'carga de materiais'!D382&amp;""'""))"),"#REF!")</f>
        <v>#REF!</v>
      </c>
    </row>
    <row r="382">
      <c r="A382" s="120" t="str">
        <f>IFERROR(__xludf.DUMMYFUNCTION("TRANSPOSE(QUERY('Cadastro VTR/SEÇÃO/MILITAR'!$A$3:$B2000,""SELECT B WHERE A LIKE '""&amp;'carga de materiais'!D383&amp;""'""))"),"#REF!")</f>
        <v>#REF!</v>
      </c>
    </row>
    <row r="383">
      <c r="A383" s="120" t="str">
        <f>IFERROR(__xludf.DUMMYFUNCTION("TRANSPOSE(QUERY('Cadastro VTR/SEÇÃO/MILITAR'!$A$3:$B2000,""SELECT B WHERE A LIKE '""&amp;'carga de materiais'!D384&amp;""'""))"),"#REF!")</f>
        <v>#REF!</v>
      </c>
    </row>
    <row r="384">
      <c r="A384" s="120" t="str">
        <f>IFERROR(__xludf.DUMMYFUNCTION("TRANSPOSE(QUERY('Cadastro VTR/SEÇÃO/MILITAR'!$A$3:$B2000,""SELECT B WHERE A LIKE '""&amp;'carga de materiais'!D385&amp;""'""))"),"#REF!")</f>
        <v>#REF!</v>
      </c>
    </row>
    <row r="385">
      <c r="A385" s="120" t="str">
        <f>IFERROR(__xludf.DUMMYFUNCTION("TRANSPOSE(QUERY('Cadastro VTR/SEÇÃO/MILITAR'!$A$3:$B2000,""SELECT B WHERE A LIKE '""&amp;'carga de materiais'!D386&amp;""'""))"),"#REF!")</f>
        <v>#REF!</v>
      </c>
    </row>
    <row r="386">
      <c r="A386" s="120" t="str">
        <f>IFERROR(__xludf.DUMMYFUNCTION("TRANSPOSE(QUERY('Cadastro VTR/SEÇÃO/MILITAR'!$A$3:$B2000,""SELECT B WHERE A LIKE '""&amp;'carga de materiais'!D387&amp;""'""))"),"#REF!")</f>
        <v>#REF!</v>
      </c>
    </row>
    <row r="387">
      <c r="A387" s="120" t="str">
        <f>IFERROR(__xludf.DUMMYFUNCTION("TRANSPOSE(QUERY('Cadastro VTR/SEÇÃO/MILITAR'!$A$3:$B2000,""SELECT B WHERE A LIKE '""&amp;'carga de materiais'!D388&amp;""'""))"),"#REF!")</f>
        <v>#REF!</v>
      </c>
    </row>
    <row r="388">
      <c r="A388" s="120" t="str">
        <f>IFERROR(__xludf.DUMMYFUNCTION("TRANSPOSE(QUERY('Cadastro VTR/SEÇÃO/MILITAR'!$A$3:$B2000,""SELECT B WHERE A LIKE '""&amp;'carga de materiais'!D389&amp;""'""))"),"#REF!")</f>
        <v>#REF!</v>
      </c>
    </row>
    <row r="389">
      <c r="A389" s="120" t="str">
        <f>IFERROR(__xludf.DUMMYFUNCTION("TRANSPOSE(QUERY('Cadastro VTR/SEÇÃO/MILITAR'!$A$3:$B2000,""SELECT B WHERE A LIKE '""&amp;'carga de materiais'!D390&amp;""'""))"),"#REF!")</f>
        <v>#REF!</v>
      </c>
    </row>
    <row r="390">
      <c r="A390" s="120" t="str">
        <f>IFERROR(__xludf.DUMMYFUNCTION("TRANSPOSE(QUERY('Cadastro VTR/SEÇÃO/MILITAR'!$A$3:$B2000,""SELECT B WHERE A LIKE '""&amp;'carga de materiais'!D391&amp;""'""))"),"#REF!")</f>
        <v>#REF!</v>
      </c>
    </row>
    <row r="391">
      <c r="A391" s="120" t="str">
        <f>IFERROR(__xludf.DUMMYFUNCTION("TRANSPOSE(QUERY('Cadastro VTR/SEÇÃO/MILITAR'!$A$3:$B2000,""SELECT B WHERE A LIKE '""&amp;'carga de materiais'!D392&amp;""'""))"),"#REF!")</f>
        <v>#REF!</v>
      </c>
    </row>
    <row r="392">
      <c r="A392" s="120" t="str">
        <f>IFERROR(__xludf.DUMMYFUNCTION("TRANSPOSE(QUERY('Cadastro VTR/SEÇÃO/MILITAR'!$A$3:$B2000,""SELECT B WHERE A LIKE '""&amp;'carga de materiais'!D393&amp;""'""))"),"#REF!")</f>
        <v>#REF!</v>
      </c>
      <c r="B392" s="87"/>
      <c r="C392" s="87"/>
      <c r="D392" s="87"/>
      <c r="E392" s="87"/>
      <c r="F392" s="87"/>
      <c r="G392" s="87"/>
      <c r="H392" s="87"/>
      <c r="I392" s="87"/>
      <c r="J392" s="87"/>
      <c r="K392" s="87"/>
      <c r="L392" s="87"/>
      <c r="M392" s="87"/>
      <c r="N392" s="87"/>
      <c r="O392" s="87"/>
      <c r="P392" s="87"/>
      <c r="Q392" s="87"/>
      <c r="R392" s="87"/>
      <c r="S392" s="87"/>
      <c r="T392" s="87"/>
      <c r="U392" s="87"/>
      <c r="V392" s="87"/>
      <c r="W392" s="87"/>
      <c r="X392" s="87"/>
      <c r="Y392" s="87"/>
      <c r="Z392" s="87"/>
      <c r="AA392" s="87"/>
      <c r="AB392" s="87"/>
      <c r="AC392" s="87"/>
      <c r="AD392" s="87"/>
      <c r="AE392" s="87"/>
      <c r="AF392" s="87"/>
      <c r="AG392" s="87"/>
      <c r="AH392" s="87"/>
      <c r="AI392" s="87"/>
      <c r="AJ392" s="87"/>
      <c r="AK392" s="87"/>
      <c r="AL392" s="87"/>
      <c r="AM392" s="87"/>
      <c r="AN392" s="87"/>
      <c r="AO392" s="87"/>
      <c r="AP392" s="87"/>
      <c r="AQ392" s="87"/>
      <c r="AR392" s="87"/>
      <c r="AS392" s="87"/>
      <c r="AT392" s="87"/>
      <c r="AU392" s="87"/>
      <c r="AV392" s="87"/>
      <c r="AW392" s="87"/>
      <c r="AX392" s="87"/>
      <c r="AY392" s="87"/>
      <c r="AZ392" s="87"/>
      <c r="BA392" s="87"/>
      <c r="BB392" s="87"/>
      <c r="BC392" s="87"/>
      <c r="BD392" s="87"/>
      <c r="BE392" s="87"/>
      <c r="BF392" s="87"/>
      <c r="BG392" s="87"/>
      <c r="BH392" s="87"/>
      <c r="BI392" s="87"/>
      <c r="BJ392" s="87"/>
      <c r="BK392" s="87"/>
      <c r="BL392" s="87"/>
      <c r="BM392" s="87"/>
      <c r="BN392" s="87"/>
      <c r="BO392" s="87"/>
      <c r="BP392" s="87"/>
      <c r="BQ392" s="87"/>
      <c r="BR392" s="87"/>
      <c r="BS392" s="87"/>
      <c r="BT392" s="87"/>
      <c r="BU392" s="87"/>
      <c r="BV392" s="87"/>
      <c r="BW392" s="87"/>
      <c r="BX392" s="87"/>
      <c r="BY392" s="87"/>
      <c r="BZ392" s="87"/>
      <c r="CA392" s="87"/>
      <c r="CB392" s="87"/>
      <c r="CC392" s="87"/>
      <c r="CD392" s="87"/>
      <c r="CE392" s="87"/>
      <c r="CF392" s="87"/>
      <c r="CG392" s="87"/>
      <c r="CH392" s="87"/>
      <c r="CI392" s="87"/>
      <c r="CJ392" s="87"/>
      <c r="CK392" s="87"/>
      <c r="CL392" s="87"/>
      <c r="CM392" s="87"/>
      <c r="CN392" s="87"/>
      <c r="CO392" s="87"/>
      <c r="CP392" s="87"/>
      <c r="CQ392" s="87"/>
      <c r="CR392" s="87"/>
      <c r="CS392" s="87"/>
      <c r="CT392" s="87"/>
      <c r="CU392" s="87"/>
      <c r="CV392" s="87"/>
      <c r="CW392" s="87"/>
      <c r="CX392" s="87"/>
      <c r="CY392" s="87"/>
      <c r="CZ392" s="87"/>
      <c r="DA392" s="87"/>
      <c r="DB392" s="87"/>
      <c r="DC392" s="87"/>
      <c r="DD392" s="87"/>
      <c r="DE392" s="87"/>
      <c r="DF392" s="87"/>
      <c r="DG392" s="87"/>
      <c r="DH392" s="87"/>
      <c r="DI392" s="87"/>
    </row>
    <row r="393">
      <c r="A393" s="120" t="str">
        <f>IFERROR(__xludf.DUMMYFUNCTION("TRANSPOSE(QUERY('Cadastro VTR/SEÇÃO/MILITAR'!$A$3:$B2000,""SELECT B WHERE A LIKE '""&amp;'carga de materiais'!D394&amp;""'""))"),"#REF!")</f>
        <v>#REF!</v>
      </c>
    </row>
    <row r="394">
      <c r="A394" s="120" t="str">
        <f>IFERROR(__xludf.DUMMYFUNCTION("TRANSPOSE(QUERY('Cadastro VTR/SEÇÃO/MILITAR'!$A$3:$B2000,""SELECT B WHERE A LIKE '""&amp;'carga de materiais'!D395&amp;""'""))"),"#REF!")</f>
        <v>#REF!</v>
      </c>
    </row>
    <row r="395">
      <c r="A395" s="120" t="str">
        <f>IFERROR(__xludf.DUMMYFUNCTION("TRANSPOSE(QUERY('Cadastro VTR/SEÇÃO/MILITAR'!$A$3:$B2000,""SELECT B WHERE A LIKE '""&amp;'carga de materiais'!D396&amp;""'""))"),"#REF!")</f>
        <v>#REF!</v>
      </c>
    </row>
    <row r="396">
      <c r="A396" s="120" t="str">
        <f>IFERROR(__xludf.DUMMYFUNCTION("TRANSPOSE(QUERY('Cadastro VTR/SEÇÃO/MILITAR'!$A$3:$B2000,""SELECT B WHERE A LIKE '""&amp;'carga de materiais'!D397&amp;""'""))"),"#REF!")</f>
        <v>#REF!</v>
      </c>
    </row>
    <row r="397">
      <c r="A397" s="120" t="str">
        <f>IFERROR(__xludf.DUMMYFUNCTION("TRANSPOSE(QUERY('Cadastro VTR/SEÇÃO/MILITAR'!$A$3:$B2000,""SELECT B WHERE A LIKE '""&amp;'carga de materiais'!D398&amp;""'""))"),"#REF!")</f>
        <v>#REF!</v>
      </c>
    </row>
    <row r="398">
      <c r="A398" s="120" t="str">
        <f>IFERROR(__xludf.DUMMYFUNCTION("TRANSPOSE(QUERY('Cadastro VTR/SEÇÃO/MILITAR'!$A$3:$B2000,""SELECT B WHERE A LIKE '""&amp;'carga de materiais'!D399&amp;""'""))"),"#REF!")</f>
        <v>#REF!</v>
      </c>
    </row>
    <row r="399">
      <c r="A399" s="120" t="str">
        <f>IFERROR(__xludf.DUMMYFUNCTION("TRANSPOSE(QUERY('Cadastro VTR/SEÇÃO/MILITAR'!$A$3:$B2000,""SELECT B WHERE A LIKE '""&amp;'carga de materiais'!D400&amp;""'""))"),"#REF!")</f>
        <v>#REF!</v>
      </c>
    </row>
    <row r="400">
      <c r="A400" s="120" t="str">
        <f>IFERROR(__xludf.DUMMYFUNCTION("TRANSPOSE(QUERY('Cadastro VTR/SEÇÃO/MILITAR'!$A$3:$B2000,""SELECT B WHERE A LIKE '""&amp;'carga de materiais'!D401&amp;""'""))"),"#REF!")</f>
        <v>#REF!</v>
      </c>
    </row>
    <row r="401">
      <c r="A401" s="120" t="str">
        <f>IFERROR(__xludf.DUMMYFUNCTION("TRANSPOSE(QUERY('Cadastro VTR/SEÇÃO/MILITAR'!$A$3:$B2000,""SELECT B WHERE A LIKE '""&amp;'carga de materiais'!D402&amp;""'""))"),"#REF!")</f>
        <v>#REF!</v>
      </c>
    </row>
    <row r="402">
      <c r="A402" s="120" t="str">
        <f>IFERROR(__xludf.DUMMYFUNCTION("TRANSPOSE(QUERY('Cadastro VTR/SEÇÃO/MILITAR'!$A$3:$B2000,""SELECT B WHERE A LIKE '""&amp;'carga de materiais'!D403&amp;""'""))"),"#REF!")</f>
        <v>#REF!</v>
      </c>
    </row>
    <row r="403">
      <c r="A403" s="120" t="str">
        <f>IFERROR(__xludf.DUMMYFUNCTION("TRANSPOSE(QUERY('Cadastro VTR/SEÇÃO/MILITAR'!$A$3:$B2000,""SELECT B WHERE A LIKE '""&amp;'carga de materiais'!D404&amp;""'""))"),"#REF!")</f>
        <v>#REF!</v>
      </c>
    </row>
    <row r="404">
      <c r="A404" s="120" t="str">
        <f>IFERROR(__xludf.DUMMYFUNCTION("TRANSPOSE(QUERY('Cadastro VTR/SEÇÃO/MILITAR'!$A$3:$B2000,""SELECT B WHERE A LIKE '""&amp;'carga de materiais'!D405&amp;""'""))"),"#REF!")</f>
        <v>#REF!</v>
      </c>
    </row>
    <row r="405">
      <c r="A405" s="120" t="str">
        <f>IFERROR(__xludf.DUMMYFUNCTION("TRANSPOSE(QUERY('Cadastro VTR/SEÇÃO/MILITAR'!$A$3:$B2000,""SELECT B WHERE A LIKE '""&amp;'carga de materiais'!D406&amp;""'""))"),"#REF!")</f>
        <v>#REF!</v>
      </c>
    </row>
    <row r="406">
      <c r="A406" s="120" t="str">
        <f>IFERROR(__xludf.DUMMYFUNCTION("TRANSPOSE(QUERY('Cadastro VTR/SEÇÃO/MILITAR'!$A$3:$B2000,""SELECT B WHERE A LIKE '""&amp;'carga de materiais'!D407&amp;""'""))"),"#REF!")</f>
        <v>#REF!</v>
      </c>
    </row>
    <row r="407">
      <c r="A407" s="120" t="str">
        <f>IFERROR(__xludf.DUMMYFUNCTION("TRANSPOSE(QUERY('Cadastro VTR/SEÇÃO/MILITAR'!$A$3:$B2000,""SELECT B WHERE A LIKE '""&amp;'carga de materiais'!D408&amp;""'""))"),"#REF!")</f>
        <v>#REF!</v>
      </c>
    </row>
    <row r="408">
      <c r="A408" s="120" t="str">
        <f>IFERROR(__xludf.DUMMYFUNCTION("TRANSPOSE(QUERY('Cadastro VTR/SEÇÃO/MILITAR'!$A$3:$B2000,""SELECT B WHERE A LIKE '""&amp;'carga de materiais'!D409&amp;""'""))"),"#REF!")</f>
        <v>#REF!</v>
      </c>
    </row>
    <row r="409">
      <c r="A409" s="120" t="str">
        <f>IFERROR(__xludf.DUMMYFUNCTION("TRANSPOSE(QUERY('Cadastro VTR/SEÇÃO/MILITAR'!$A$3:$B2000,""SELECT B WHERE A LIKE '""&amp;'carga de materiais'!D410&amp;""'""))"),"#REF!")</f>
        <v>#REF!</v>
      </c>
    </row>
    <row r="410">
      <c r="A410" s="120" t="str">
        <f>IFERROR(__xludf.DUMMYFUNCTION("TRANSPOSE(QUERY('Cadastro VTR/SEÇÃO/MILITAR'!$A$3:$B2000,""SELECT B WHERE A LIKE '""&amp;'carga de materiais'!D411&amp;""'""))"),"#REF!")</f>
        <v>#REF!</v>
      </c>
    </row>
    <row r="411">
      <c r="A411" s="120" t="str">
        <f>IFERROR(__xludf.DUMMYFUNCTION("TRANSPOSE(QUERY('Cadastro VTR/SEÇÃO/MILITAR'!$A$3:$B2000,""SELECT B WHERE A LIKE '""&amp;'carga de materiais'!D412&amp;""'""))"),"#REF!")</f>
        <v>#REF!</v>
      </c>
    </row>
    <row r="412">
      <c r="A412" s="120" t="str">
        <f>IFERROR(__xludf.DUMMYFUNCTION("TRANSPOSE(QUERY('Cadastro VTR/SEÇÃO/MILITAR'!$A$3:$B2000,""SELECT B WHERE A LIKE '""&amp;'carga de materiais'!D413&amp;""'""))"),"#REF!")</f>
        <v>#REF!</v>
      </c>
    </row>
    <row r="413">
      <c r="A413" s="120" t="str">
        <f>IFERROR(__xludf.DUMMYFUNCTION("TRANSPOSE(QUERY('Cadastro VTR/SEÇÃO/MILITAR'!$A$3:$B2000,""SELECT B WHERE A LIKE '""&amp;'carga de materiais'!D414&amp;""'""))"),"#REF!")</f>
        <v>#REF!</v>
      </c>
    </row>
    <row r="414">
      <c r="A414" s="120" t="str">
        <f>IFERROR(__xludf.DUMMYFUNCTION("TRANSPOSE(QUERY('Cadastro VTR/SEÇÃO/MILITAR'!$A$3:$B2000,""SELECT B WHERE A LIKE '""&amp;'carga de materiais'!D415&amp;""'""))"),"#REF!")</f>
        <v>#REF!</v>
      </c>
    </row>
    <row r="415">
      <c r="A415" s="120" t="str">
        <f>IFERROR(__xludf.DUMMYFUNCTION("TRANSPOSE(QUERY('Cadastro VTR/SEÇÃO/MILITAR'!$A$3:$B2000,""SELECT B WHERE A LIKE '""&amp;'carga de materiais'!D416&amp;""'""))"),"#REF!")</f>
        <v>#REF!</v>
      </c>
    </row>
    <row r="416">
      <c r="A416" s="120" t="str">
        <f>IFERROR(__xludf.DUMMYFUNCTION("TRANSPOSE(QUERY('Cadastro VTR/SEÇÃO/MILITAR'!$A$3:$B2000,""SELECT B WHERE A LIKE '""&amp;'carga de materiais'!D417&amp;""'""))"),"#REF!")</f>
        <v>#REF!</v>
      </c>
    </row>
    <row r="417">
      <c r="A417" s="120" t="str">
        <f>IFERROR(__xludf.DUMMYFUNCTION("TRANSPOSE(QUERY('Cadastro VTR/SEÇÃO/MILITAR'!$A$3:$B2000,""SELECT B WHERE A LIKE '""&amp;'carga de materiais'!D418&amp;""'""))"),"#REF!")</f>
        <v>#REF!</v>
      </c>
    </row>
    <row r="418">
      <c r="A418" s="120" t="str">
        <f>IFERROR(__xludf.DUMMYFUNCTION("TRANSPOSE(QUERY('Cadastro VTR/SEÇÃO/MILITAR'!$A$3:$B2000,""SELECT B WHERE A LIKE '""&amp;'carga de materiais'!D419&amp;""'""))"),"#REF!")</f>
        <v>#REF!</v>
      </c>
    </row>
    <row r="419">
      <c r="A419" s="120" t="str">
        <f>IFERROR(__xludf.DUMMYFUNCTION("TRANSPOSE(QUERY('Cadastro VTR/SEÇÃO/MILITAR'!$A$3:$B2000,""SELECT B WHERE A LIKE '""&amp;'carga de materiais'!D420&amp;""'""))"),"#REF!")</f>
        <v>#REF!</v>
      </c>
    </row>
    <row r="420">
      <c r="A420" s="120" t="str">
        <f>IFERROR(__xludf.DUMMYFUNCTION("TRANSPOSE(QUERY('Cadastro VTR/SEÇÃO/MILITAR'!$A$3:$B2000,""SELECT B WHERE A LIKE '""&amp;'carga de materiais'!D421&amp;""'""))"),"#REF!")</f>
        <v>#REF!</v>
      </c>
    </row>
    <row r="421">
      <c r="A421" s="120" t="str">
        <f>IFERROR(__xludf.DUMMYFUNCTION("TRANSPOSE(QUERY('Cadastro VTR/SEÇÃO/MILITAR'!$A$3:$B2000,""SELECT B WHERE A LIKE '""&amp;'carga de materiais'!D422&amp;""'""))"),"#REF!")</f>
        <v>#REF!</v>
      </c>
    </row>
    <row r="422">
      <c r="A422" s="120" t="str">
        <f>IFERROR(__xludf.DUMMYFUNCTION("TRANSPOSE(QUERY('Cadastro VTR/SEÇÃO/MILITAR'!$A$3:$B2000,""SELECT B WHERE A LIKE '""&amp;'carga de materiais'!D423&amp;""'""))"),"#REF!")</f>
        <v>#REF!</v>
      </c>
    </row>
    <row r="423">
      <c r="A423" s="120" t="str">
        <f>IFERROR(__xludf.DUMMYFUNCTION("TRANSPOSE(QUERY('Cadastro VTR/SEÇÃO/MILITAR'!$A$3:$B2000,""SELECT B WHERE A LIKE '""&amp;'carga de materiais'!D424&amp;""'""))"),"#REF!")</f>
        <v>#REF!</v>
      </c>
    </row>
    <row r="424">
      <c r="A424" s="120" t="str">
        <f>IFERROR(__xludf.DUMMYFUNCTION("TRANSPOSE(QUERY('Cadastro VTR/SEÇÃO/MILITAR'!$A$3:$B2000,""SELECT B WHERE A LIKE '""&amp;'carga de materiais'!D425&amp;""'""))"),"#REF!")</f>
        <v>#REF!</v>
      </c>
    </row>
    <row r="425">
      <c r="A425" s="120" t="str">
        <f>IFERROR(__xludf.DUMMYFUNCTION("TRANSPOSE(QUERY('Cadastro VTR/SEÇÃO/MILITAR'!$A$3:$B2000,""SELECT B WHERE A LIKE '""&amp;'carga de materiais'!D426&amp;""'""))"),"#REF!")</f>
        <v>#REF!</v>
      </c>
    </row>
    <row r="426">
      <c r="A426" s="120" t="str">
        <f>IFERROR(__xludf.DUMMYFUNCTION("TRANSPOSE(QUERY('Cadastro VTR/SEÇÃO/MILITAR'!$A$3:$B2000,""SELECT B WHERE A LIKE '""&amp;'carga de materiais'!D427&amp;""'""))"),"#REF!")</f>
        <v>#REF!</v>
      </c>
    </row>
    <row r="427">
      <c r="A427" s="120" t="str">
        <f>IFERROR(__xludf.DUMMYFUNCTION("TRANSPOSE(QUERY('Cadastro VTR/SEÇÃO/MILITAR'!$A$3:$B2000,""SELECT B WHERE A LIKE '""&amp;'carga de materiais'!D428&amp;""'""))"),"#REF!")</f>
        <v>#REF!</v>
      </c>
    </row>
    <row r="428">
      <c r="A428" s="120" t="str">
        <f>IFERROR(__xludf.DUMMYFUNCTION("TRANSPOSE(QUERY('Cadastro VTR/SEÇÃO/MILITAR'!$A$3:$B2000,""SELECT B WHERE A LIKE '""&amp;'carga de materiais'!D429&amp;""'""))"),"#REF!")</f>
        <v>#REF!</v>
      </c>
    </row>
    <row r="429">
      <c r="A429" s="120" t="str">
        <f>IFERROR(__xludf.DUMMYFUNCTION("TRANSPOSE(QUERY('Cadastro VTR/SEÇÃO/MILITAR'!$A$3:$B2000,""SELECT B WHERE A LIKE '""&amp;'carga de materiais'!D430&amp;""'""))"),"#REF!")</f>
        <v>#REF!</v>
      </c>
    </row>
    <row r="430">
      <c r="A430" s="120" t="str">
        <f>IFERROR(__xludf.DUMMYFUNCTION("TRANSPOSE(QUERY('Cadastro VTR/SEÇÃO/MILITAR'!$A$3:$B2000,""SELECT B WHERE A LIKE '""&amp;'carga de materiais'!D431&amp;""'""))"),"#REF!")</f>
        <v>#REF!</v>
      </c>
    </row>
    <row r="431">
      <c r="A431" s="120" t="str">
        <f>IFERROR(__xludf.DUMMYFUNCTION("TRANSPOSE(QUERY('Cadastro VTR/SEÇÃO/MILITAR'!$A$3:$B2000,""SELECT B WHERE A LIKE '""&amp;'carga de materiais'!D432&amp;""'""))"),"#REF!")</f>
        <v>#REF!</v>
      </c>
    </row>
    <row r="432">
      <c r="A432" s="120" t="str">
        <f>IFERROR(__xludf.DUMMYFUNCTION("TRANSPOSE(QUERY('Cadastro VTR/SEÇÃO/MILITAR'!$A$3:$B2000,""SELECT B WHERE A LIKE '""&amp;'carga de materiais'!D433&amp;""'""))"),"#REF!")</f>
        <v>#REF!</v>
      </c>
    </row>
    <row r="433">
      <c r="A433" s="120" t="str">
        <f>IFERROR(__xludf.DUMMYFUNCTION("TRANSPOSE(QUERY('Cadastro VTR/SEÇÃO/MILITAR'!$A$3:$B2000,""SELECT B WHERE A LIKE '""&amp;'carga de materiais'!D434&amp;""'""))"),"#REF!")</f>
        <v>#REF!</v>
      </c>
    </row>
    <row r="434">
      <c r="A434" s="120" t="str">
        <f>IFERROR(__xludf.DUMMYFUNCTION("TRANSPOSE(QUERY('Cadastro VTR/SEÇÃO/MILITAR'!$A$3:$B2000,""SELECT B WHERE A LIKE '""&amp;'carga de materiais'!D435&amp;""'""))"),"#REF!")</f>
        <v>#REF!</v>
      </c>
    </row>
    <row r="435">
      <c r="A435" s="120" t="str">
        <f>IFERROR(__xludf.DUMMYFUNCTION("TRANSPOSE(QUERY('Cadastro VTR/SEÇÃO/MILITAR'!$A$3:$B2000,""SELECT B WHERE A LIKE '""&amp;'carga de materiais'!D436&amp;""'""))"),"#REF!")</f>
        <v>#REF!</v>
      </c>
    </row>
    <row r="436">
      <c r="A436" s="120" t="str">
        <f>IFERROR(__xludf.DUMMYFUNCTION("TRANSPOSE(QUERY('Cadastro VTR/SEÇÃO/MILITAR'!$A$3:$B2000,""SELECT B WHERE A LIKE '""&amp;'carga de materiais'!D437&amp;""'""))"),"#REF!")</f>
        <v>#REF!</v>
      </c>
    </row>
    <row r="437">
      <c r="A437" s="120" t="str">
        <f>IFERROR(__xludf.DUMMYFUNCTION("TRANSPOSE(QUERY('Cadastro VTR/SEÇÃO/MILITAR'!$A$3:$B2000,""SELECT B WHERE A LIKE '""&amp;'carga de materiais'!D438&amp;""'""))"),"#REF!")</f>
        <v>#REF!</v>
      </c>
    </row>
    <row r="438">
      <c r="A438" s="120" t="str">
        <f>IFERROR(__xludf.DUMMYFUNCTION("TRANSPOSE(QUERY('Cadastro VTR/SEÇÃO/MILITAR'!$A$3:$B2000,""SELECT B WHERE A LIKE '""&amp;'carga de materiais'!D439&amp;""'""))"),"#REF!")</f>
        <v>#REF!</v>
      </c>
    </row>
    <row r="439">
      <c r="A439" s="120" t="str">
        <f>IFERROR(__xludf.DUMMYFUNCTION("TRANSPOSE(QUERY('Cadastro VTR/SEÇÃO/MILITAR'!$A$3:$B2000,""SELECT B WHERE A LIKE '""&amp;'carga de materiais'!D440&amp;""'""))"),"#REF!")</f>
        <v>#REF!</v>
      </c>
    </row>
    <row r="440">
      <c r="A440" s="120" t="str">
        <f>IFERROR(__xludf.DUMMYFUNCTION("TRANSPOSE(QUERY('Cadastro VTR/SEÇÃO/MILITAR'!$A$3:$B2000,""SELECT B WHERE A LIKE '""&amp;'carga de materiais'!D441&amp;""'""))"),"#REF!")</f>
        <v>#REF!</v>
      </c>
    </row>
    <row r="441">
      <c r="A441" s="120" t="str">
        <f>IFERROR(__xludf.DUMMYFUNCTION("TRANSPOSE(QUERY('Cadastro VTR/SEÇÃO/MILITAR'!$A$3:$B2000,""SELECT B WHERE A LIKE '""&amp;'carga de materiais'!D442&amp;""'""))"),"#REF!")</f>
        <v>#REF!</v>
      </c>
    </row>
    <row r="442">
      <c r="A442" s="120" t="str">
        <f>IFERROR(__xludf.DUMMYFUNCTION("TRANSPOSE(QUERY('Cadastro VTR/SEÇÃO/MILITAR'!$A$3:$B2000,""SELECT B WHERE A LIKE '""&amp;'carga de materiais'!D443&amp;""'""))"),"#REF!")</f>
        <v>#REF!</v>
      </c>
    </row>
    <row r="443">
      <c r="A443" s="120" t="str">
        <f>IFERROR(__xludf.DUMMYFUNCTION("TRANSPOSE(QUERY('Cadastro VTR/SEÇÃO/MILITAR'!$A$3:$B2000,""SELECT B WHERE A LIKE '""&amp;'carga de materiais'!D444&amp;""'""))"),"#REF!")</f>
        <v>#REF!</v>
      </c>
    </row>
    <row r="444">
      <c r="A444" s="120" t="str">
        <f>IFERROR(__xludf.DUMMYFUNCTION("TRANSPOSE(QUERY('Cadastro VTR/SEÇÃO/MILITAR'!$A$3:$B2000,""SELECT B WHERE A LIKE '""&amp;'carga de materiais'!D445&amp;""'""))"),"#REF!")</f>
        <v>#REF!</v>
      </c>
    </row>
    <row r="445">
      <c r="A445" s="120" t="str">
        <f>IFERROR(__xludf.DUMMYFUNCTION("TRANSPOSE(QUERY('Cadastro VTR/SEÇÃO/MILITAR'!$A$3:$B2000,""SELECT B WHERE A LIKE '""&amp;'carga de materiais'!D446&amp;""'""))"),"#REF!")</f>
        <v>#REF!</v>
      </c>
    </row>
    <row r="446">
      <c r="A446" s="120" t="str">
        <f>IFERROR(__xludf.DUMMYFUNCTION("TRANSPOSE(QUERY('Cadastro VTR/SEÇÃO/MILITAR'!$A$3:$B2000,""SELECT B WHERE A LIKE '""&amp;'carga de materiais'!D447&amp;""'""))"),"#REF!")</f>
        <v>#REF!</v>
      </c>
    </row>
    <row r="447">
      <c r="A447" s="120" t="str">
        <f>IFERROR(__xludf.DUMMYFUNCTION("TRANSPOSE(QUERY('Cadastro VTR/SEÇÃO/MILITAR'!$A$3:$B2000,""SELECT B WHERE A LIKE '""&amp;'carga de materiais'!D448&amp;""'""))"),"#REF!")</f>
        <v>#REF!</v>
      </c>
    </row>
    <row r="448">
      <c r="A448" s="120" t="str">
        <f>IFERROR(__xludf.DUMMYFUNCTION("TRANSPOSE(QUERY('Cadastro VTR/SEÇÃO/MILITAR'!$A$3:$B2000,""SELECT B WHERE A LIKE '""&amp;'carga de materiais'!D449&amp;""'""))"),"#REF!")</f>
        <v>#REF!</v>
      </c>
    </row>
    <row r="449">
      <c r="A449" s="120" t="str">
        <f>IFERROR(__xludf.DUMMYFUNCTION("TRANSPOSE(QUERY('Cadastro VTR/SEÇÃO/MILITAR'!$A$3:$B2000,""SELECT B WHERE A LIKE '""&amp;'carga de materiais'!D450&amp;""'""))"),"#REF!")</f>
        <v>#REF!</v>
      </c>
    </row>
    <row r="450">
      <c r="A450" s="120" t="str">
        <f>IFERROR(__xludf.DUMMYFUNCTION("TRANSPOSE(QUERY('Cadastro VTR/SEÇÃO/MILITAR'!$A$3:$B2000,""SELECT B WHERE A LIKE '""&amp;'carga de materiais'!D451&amp;""'""))"),"#REF!")</f>
        <v>#REF!</v>
      </c>
    </row>
    <row r="451">
      <c r="A451" s="120" t="str">
        <f>IFERROR(__xludf.DUMMYFUNCTION("TRANSPOSE(QUERY('Cadastro VTR/SEÇÃO/MILITAR'!$A$3:$B2000,""SELECT B WHERE A LIKE '""&amp;'carga de materiais'!D452&amp;""'""))"),"#REF!")</f>
        <v>#REF!</v>
      </c>
    </row>
    <row r="452">
      <c r="A452" s="120" t="str">
        <f>IFERROR(__xludf.DUMMYFUNCTION("TRANSPOSE(QUERY('Cadastro VTR/SEÇÃO/MILITAR'!$A$3:$B2000,""SELECT B WHERE A LIKE '""&amp;'carga de materiais'!D453&amp;""'""))"),"#REF!")</f>
        <v>#REF!</v>
      </c>
    </row>
    <row r="453">
      <c r="A453" s="120" t="str">
        <f>IFERROR(__xludf.DUMMYFUNCTION("TRANSPOSE(QUERY('Cadastro VTR/SEÇÃO/MILITAR'!$A$3:$B2000,""SELECT B WHERE A LIKE '""&amp;'carga de materiais'!D454&amp;""'""))"),"#REF!")</f>
        <v>#REF!</v>
      </c>
    </row>
    <row r="454">
      <c r="A454" s="120" t="str">
        <f>IFERROR(__xludf.DUMMYFUNCTION("TRANSPOSE(QUERY('Cadastro VTR/SEÇÃO/MILITAR'!$A$3:$B2000,""SELECT B WHERE A LIKE '""&amp;'carga de materiais'!D455&amp;""'""))"),"#REF!")</f>
        <v>#REF!</v>
      </c>
    </row>
    <row r="455">
      <c r="A455" s="120" t="str">
        <f>IFERROR(__xludf.DUMMYFUNCTION("TRANSPOSE(QUERY('Cadastro VTR/SEÇÃO/MILITAR'!$A$3:$B2000,""SELECT B WHERE A LIKE '""&amp;'carga de materiais'!D456&amp;""'""))"),"#REF!")</f>
        <v>#REF!</v>
      </c>
    </row>
    <row r="456">
      <c r="A456" s="120" t="str">
        <f>IFERROR(__xludf.DUMMYFUNCTION("TRANSPOSE(QUERY('Cadastro VTR/SEÇÃO/MILITAR'!$A$3:$B2000,""SELECT B WHERE A LIKE '""&amp;'carga de materiais'!D457&amp;""'""))"),"#REF!")</f>
        <v>#REF!</v>
      </c>
    </row>
    <row r="457">
      <c r="A457" s="120" t="str">
        <f>IFERROR(__xludf.DUMMYFUNCTION("TRANSPOSE(QUERY('Cadastro VTR/SEÇÃO/MILITAR'!$A$3:$B2000,""SELECT B WHERE A LIKE '""&amp;'carga de materiais'!D458&amp;""'""))"),"#REF!")</f>
        <v>#REF!</v>
      </c>
    </row>
    <row r="458">
      <c r="A458" s="120" t="str">
        <f>IFERROR(__xludf.DUMMYFUNCTION("TRANSPOSE(QUERY('Cadastro VTR/SEÇÃO/MILITAR'!$A$3:$B2000,""SELECT B WHERE A LIKE '""&amp;'carga de materiais'!D459&amp;""'""))"),"#REF!")</f>
        <v>#REF!</v>
      </c>
    </row>
    <row r="459">
      <c r="A459" s="120" t="str">
        <f>IFERROR(__xludf.DUMMYFUNCTION("TRANSPOSE(QUERY('Cadastro VTR/SEÇÃO/MILITAR'!$A$3:$B2000,""SELECT B WHERE A LIKE '""&amp;'carga de materiais'!D460&amp;""'""))"),"#REF!")</f>
        <v>#REF!</v>
      </c>
    </row>
    <row r="460">
      <c r="A460" s="120" t="str">
        <f>IFERROR(__xludf.DUMMYFUNCTION("TRANSPOSE(QUERY('Cadastro VTR/SEÇÃO/MILITAR'!$A$3:$B2000,""SELECT B WHERE A LIKE '""&amp;'carga de materiais'!D461&amp;""'""))"),"#REF!")</f>
        <v>#REF!</v>
      </c>
    </row>
    <row r="461">
      <c r="A461" s="120" t="str">
        <f>IFERROR(__xludf.DUMMYFUNCTION("TRANSPOSE(QUERY('Cadastro VTR/SEÇÃO/MILITAR'!$A$3:$B2000,""SELECT B WHERE A LIKE '""&amp;'carga de materiais'!D462&amp;""'""))"),"#REF!")</f>
        <v>#REF!</v>
      </c>
    </row>
    <row r="462">
      <c r="A462" s="120" t="str">
        <f>IFERROR(__xludf.DUMMYFUNCTION("TRANSPOSE(QUERY('Cadastro VTR/SEÇÃO/MILITAR'!$A$3:$B2000,""SELECT B WHERE A LIKE '""&amp;'carga de materiais'!D463&amp;""'""))"),"#REF!")</f>
        <v>#REF!</v>
      </c>
    </row>
    <row r="463">
      <c r="A463" s="120" t="str">
        <f>IFERROR(__xludf.DUMMYFUNCTION("TRANSPOSE(QUERY('Cadastro VTR/SEÇÃO/MILITAR'!$A$3:$B2000,""SELECT B WHERE A LIKE '""&amp;'carga de materiais'!D464&amp;""'""))"),"#REF!")</f>
        <v>#REF!</v>
      </c>
    </row>
    <row r="464">
      <c r="A464" s="120" t="str">
        <f>IFERROR(__xludf.DUMMYFUNCTION("TRANSPOSE(QUERY('Cadastro VTR/SEÇÃO/MILITAR'!$A$3:$B2000,""SELECT B WHERE A LIKE '""&amp;'carga de materiais'!D465&amp;""'""))"),"#REF!")</f>
        <v>#REF!</v>
      </c>
    </row>
    <row r="465">
      <c r="A465" s="120" t="str">
        <f>IFERROR(__xludf.DUMMYFUNCTION("TRANSPOSE(QUERY('Cadastro VTR/SEÇÃO/MILITAR'!$A$3:$B2000,""SELECT B WHERE A LIKE '""&amp;'carga de materiais'!D466&amp;""'""))"),"#REF!")</f>
        <v>#REF!</v>
      </c>
    </row>
    <row r="466">
      <c r="A466" s="120" t="str">
        <f>IFERROR(__xludf.DUMMYFUNCTION("TRANSPOSE(QUERY('Cadastro VTR/SEÇÃO/MILITAR'!$A$3:$B2000,""SELECT B WHERE A LIKE '""&amp;'carga de materiais'!D467&amp;""'""))"),"#REF!")</f>
        <v>#REF!</v>
      </c>
    </row>
    <row r="467">
      <c r="A467" s="120" t="str">
        <f>IFERROR(__xludf.DUMMYFUNCTION("TRANSPOSE(QUERY('Cadastro VTR/SEÇÃO/MILITAR'!$A$3:$B2000,""SELECT B WHERE A LIKE '""&amp;'carga de materiais'!D468&amp;""'""))"),"#REF!")</f>
        <v>#REF!</v>
      </c>
      <c r="B467" s="87"/>
      <c r="C467" s="87"/>
      <c r="D467" s="87"/>
      <c r="E467" s="87"/>
      <c r="F467" s="87"/>
      <c r="G467" s="87"/>
      <c r="H467" s="87"/>
      <c r="I467" s="87"/>
      <c r="J467" s="87"/>
      <c r="K467" s="87"/>
      <c r="L467" s="87"/>
      <c r="M467" s="87"/>
      <c r="N467" s="87"/>
      <c r="O467" s="87"/>
      <c r="P467" s="87"/>
      <c r="Q467" s="87"/>
      <c r="R467" s="87"/>
      <c r="S467" s="87"/>
      <c r="T467" s="87"/>
      <c r="U467" s="87"/>
      <c r="V467" s="87"/>
      <c r="W467" s="87"/>
      <c r="X467" s="87"/>
      <c r="Y467" s="87"/>
      <c r="Z467" s="87"/>
      <c r="AA467" s="87"/>
      <c r="AB467" s="87"/>
      <c r="AC467" s="87"/>
      <c r="AD467" s="87"/>
      <c r="AE467" s="87"/>
      <c r="AF467" s="87"/>
      <c r="AG467" s="87"/>
      <c r="AH467" s="87"/>
      <c r="AI467" s="87"/>
      <c r="AJ467" s="87"/>
      <c r="AK467" s="87"/>
      <c r="AL467" s="87"/>
      <c r="AM467" s="87"/>
      <c r="AN467" s="87"/>
      <c r="AO467" s="87"/>
      <c r="AP467" s="87"/>
      <c r="AQ467" s="87"/>
      <c r="AR467" s="87"/>
      <c r="AS467" s="87"/>
      <c r="AT467" s="87"/>
      <c r="AU467" s="87"/>
      <c r="AV467" s="87"/>
      <c r="AW467" s="87"/>
      <c r="AX467" s="87"/>
      <c r="AY467" s="87"/>
      <c r="AZ467" s="87"/>
      <c r="BA467" s="87"/>
      <c r="BB467" s="87"/>
      <c r="BC467" s="87"/>
      <c r="BD467" s="87"/>
      <c r="BE467" s="87"/>
      <c r="BF467" s="87"/>
      <c r="BG467" s="87"/>
      <c r="BH467" s="87"/>
      <c r="BI467" s="87"/>
      <c r="BJ467" s="87"/>
      <c r="BK467" s="87"/>
      <c r="BL467" s="87"/>
      <c r="BM467" s="87"/>
      <c r="BN467" s="87"/>
      <c r="BO467" s="87"/>
      <c r="BP467" s="87"/>
      <c r="BQ467" s="87"/>
      <c r="BR467" s="87"/>
      <c r="BS467" s="87"/>
      <c r="BT467" s="87"/>
      <c r="BU467" s="87"/>
      <c r="BV467" s="87"/>
      <c r="BW467" s="87"/>
      <c r="BX467" s="87"/>
      <c r="BY467" s="87"/>
      <c r="BZ467" s="87"/>
      <c r="CA467" s="87"/>
      <c r="CB467" s="87"/>
      <c r="CC467" s="87"/>
      <c r="CD467" s="87"/>
      <c r="CE467" s="87"/>
      <c r="CF467" s="87"/>
      <c r="CG467" s="87"/>
      <c r="CH467" s="87"/>
      <c r="CI467" s="87"/>
      <c r="CJ467" s="87"/>
      <c r="CK467" s="87"/>
      <c r="CL467" s="87"/>
      <c r="CM467" s="87"/>
      <c r="CN467" s="87"/>
      <c r="CO467" s="87"/>
      <c r="CP467" s="87"/>
      <c r="CQ467" s="87"/>
      <c r="CR467" s="87"/>
      <c r="CS467" s="87"/>
      <c r="CT467" s="87"/>
      <c r="CU467" s="87"/>
      <c r="CV467" s="87"/>
      <c r="CW467" s="87"/>
      <c r="CX467" s="87"/>
      <c r="CY467" s="87"/>
      <c r="CZ467" s="87"/>
      <c r="DA467" s="87"/>
      <c r="DB467" s="87"/>
      <c r="DC467" s="87"/>
      <c r="DD467" s="87"/>
      <c r="DE467" s="87"/>
      <c r="DF467" s="87"/>
      <c r="DG467" s="87"/>
      <c r="DH467" s="87"/>
      <c r="DI467" s="87"/>
    </row>
    <row r="468">
      <c r="A468" s="120" t="str">
        <f>IFERROR(__xludf.DUMMYFUNCTION("TRANSPOSE(QUERY('Cadastro VTR/SEÇÃO/MILITAR'!$A$3:$B2000,""SELECT B WHERE A LIKE '""&amp;'carga de materiais'!D469&amp;""'""))"),"#REF!")</f>
        <v>#REF!</v>
      </c>
    </row>
    <row r="469">
      <c r="A469" s="120" t="str">
        <f>IFERROR(__xludf.DUMMYFUNCTION("TRANSPOSE(QUERY('Cadastro VTR/SEÇÃO/MILITAR'!$A$3:$B2000,""SELECT B WHERE A LIKE '""&amp;'carga de materiais'!D470&amp;""'""))"),"#REF!")</f>
        <v>#REF!</v>
      </c>
    </row>
    <row r="470">
      <c r="A470" s="120" t="str">
        <f>IFERROR(__xludf.DUMMYFUNCTION("TRANSPOSE(QUERY('Cadastro VTR/SEÇÃO/MILITAR'!$A$3:$B2000,""SELECT B WHERE A LIKE '""&amp;'carga de materiais'!D471&amp;""'""))"),"#REF!")</f>
        <v>#REF!</v>
      </c>
    </row>
    <row r="471">
      <c r="A471" s="120" t="str">
        <f>IFERROR(__xludf.DUMMYFUNCTION("TRANSPOSE(QUERY('Cadastro VTR/SEÇÃO/MILITAR'!$A$3:$B2000,""SELECT B WHERE A LIKE '""&amp;'carga de materiais'!D472&amp;""'""))"),"#REF!")</f>
        <v>#REF!</v>
      </c>
    </row>
    <row r="472">
      <c r="A472" s="120" t="str">
        <f>IFERROR(__xludf.DUMMYFUNCTION("TRANSPOSE(QUERY('Cadastro VTR/SEÇÃO/MILITAR'!$A$3:$B2000,""SELECT B WHERE A LIKE '""&amp;'carga de materiais'!D473&amp;""'""))"),"#REF!")</f>
        <v>#REF!</v>
      </c>
    </row>
    <row r="473">
      <c r="A473" s="120" t="str">
        <f>IFERROR(__xludf.DUMMYFUNCTION("TRANSPOSE(QUERY('Cadastro VTR/SEÇÃO/MILITAR'!$A$3:$B2000,""SELECT B WHERE A LIKE '""&amp;'carga de materiais'!D474&amp;""'""))"),"#REF!")</f>
        <v>#REF!</v>
      </c>
    </row>
    <row r="474">
      <c r="A474" s="120" t="str">
        <f>IFERROR(__xludf.DUMMYFUNCTION("TRANSPOSE(QUERY('Cadastro VTR/SEÇÃO/MILITAR'!$A$3:$B2000,""SELECT B WHERE A LIKE '""&amp;'carga de materiais'!D475&amp;""'""))"),"#REF!")</f>
        <v>#REF!</v>
      </c>
    </row>
    <row r="475">
      <c r="A475" s="120" t="str">
        <f>IFERROR(__xludf.DUMMYFUNCTION("TRANSPOSE(QUERY('Cadastro VTR/SEÇÃO/MILITAR'!$A$3:$B2000,""SELECT B WHERE A LIKE '""&amp;'carga de materiais'!D476&amp;""'""))"),"#REF!")</f>
        <v>#REF!</v>
      </c>
    </row>
    <row r="476">
      <c r="A476" s="120" t="str">
        <f>IFERROR(__xludf.DUMMYFUNCTION("TRANSPOSE(QUERY('Cadastro VTR/SEÇÃO/MILITAR'!$A$3:$B2000,""SELECT B WHERE A LIKE '""&amp;'carga de materiais'!D477&amp;""'""))"),"#REF!")</f>
        <v>#REF!</v>
      </c>
    </row>
    <row r="477">
      <c r="A477" s="120" t="str">
        <f>IFERROR(__xludf.DUMMYFUNCTION("TRANSPOSE(QUERY('Cadastro VTR/SEÇÃO/MILITAR'!$A$3:$B2000,""SELECT B WHERE A LIKE '""&amp;'carga de materiais'!D478&amp;""'""))"),"#REF!")</f>
        <v>#REF!</v>
      </c>
    </row>
    <row r="478">
      <c r="A478" s="120" t="str">
        <f>IFERROR(__xludf.DUMMYFUNCTION("TRANSPOSE(QUERY('Cadastro VTR/SEÇÃO/MILITAR'!$A$3:$B2000,""SELECT B WHERE A LIKE '""&amp;'carga de materiais'!D479&amp;""'""))"),"#REF!")</f>
        <v>#REF!</v>
      </c>
    </row>
    <row r="479">
      <c r="A479" s="120" t="str">
        <f>IFERROR(__xludf.DUMMYFUNCTION("TRANSPOSE(QUERY('Cadastro VTR/SEÇÃO/MILITAR'!$A$3:$B2000,""SELECT B WHERE A LIKE '""&amp;'carga de materiais'!D480&amp;""'""))"),"#REF!")</f>
        <v>#REF!</v>
      </c>
    </row>
    <row r="480">
      <c r="A480" s="120" t="str">
        <f>IFERROR(__xludf.DUMMYFUNCTION("TRANSPOSE(QUERY('Cadastro VTR/SEÇÃO/MILITAR'!$A$3:$B2000,""SELECT B WHERE A LIKE '""&amp;'carga de materiais'!D481&amp;""'""))"),"#REF!")</f>
        <v>#REF!</v>
      </c>
    </row>
    <row r="481">
      <c r="A481" s="120" t="str">
        <f>IFERROR(__xludf.DUMMYFUNCTION("TRANSPOSE(QUERY('Cadastro VTR/SEÇÃO/MILITAR'!$A$3:$B2000,""SELECT B WHERE A LIKE '""&amp;'carga de materiais'!D482&amp;""'""))"),"#REF!")</f>
        <v>#REF!</v>
      </c>
    </row>
    <row r="482">
      <c r="A482" s="120" t="str">
        <f>IFERROR(__xludf.DUMMYFUNCTION("TRANSPOSE(QUERY('Cadastro VTR/SEÇÃO/MILITAR'!$A$3:$B2000,""SELECT B WHERE A LIKE '""&amp;'carga de materiais'!D483&amp;""'""))"),"#REF!")</f>
        <v>#REF!</v>
      </c>
    </row>
    <row r="483">
      <c r="A483" s="120" t="str">
        <f>IFERROR(__xludf.DUMMYFUNCTION("TRANSPOSE(QUERY('Cadastro VTR/SEÇÃO/MILITAR'!$A$3:$B2000,""SELECT B WHERE A LIKE '""&amp;'carga de materiais'!D484&amp;""'""))"),"#REF!")</f>
        <v>#REF!</v>
      </c>
    </row>
    <row r="484">
      <c r="A484" s="120" t="str">
        <f>IFERROR(__xludf.DUMMYFUNCTION("TRANSPOSE(QUERY('Cadastro VTR/SEÇÃO/MILITAR'!$A$3:$B2000,""SELECT B WHERE A LIKE '""&amp;'carga de materiais'!D485&amp;""'""))"),"#REF!")</f>
        <v>#REF!</v>
      </c>
    </row>
    <row r="485">
      <c r="A485" s="120" t="str">
        <f>IFERROR(__xludf.DUMMYFUNCTION("TRANSPOSE(QUERY('Cadastro VTR/SEÇÃO/MILITAR'!$A$3:$B2000,""SELECT B WHERE A LIKE '""&amp;'carga de materiais'!D486&amp;""'""))"),"#REF!")</f>
        <v>#REF!</v>
      </c>
    </row>
    <row r="486">
      <c r="A486" s="120" t="str">
        <f>IFERROR(__xludf.DUMMYFUNCTION("TRANSPOSE(QUERY('Cadastro VTR/SEÇÃO/MILITAR'!$A$3:$B2000,""SELECT B WHERE A LIKE '""&amp;'carga de materiais'!D487&amp;""'""))"),"#REF!")</f>
        <v>#REF!</v>
      </c>
    </row>
    <row r="487">
      <c r="A487" s="120" t="str">
        <f>IFERROR(__xludf.DUMMYFUNCTION("TRANSPOSE(QUERY('Cadastro VTR/SEÇÃO/MILITAR'!$A$3:$B2000,""SELECT B WHERE A LIKE '""&amp;'carga de materiais'!D488&amp;""'""))"),"#REF!")</f>
        <v>#REF!</v>
      </c>
    </row>
    <row r="488">
      <c r="A488" s="120" t="str">
        <f>IFERROR(__xludf.DUMMYFUNCTION("TRANSPOSE(QUERY('Cadastro VTR/SEÇÃO/MILITAR'!$A$3:$B2000,""SELECT B WHERE A LIKE '""&amp;'carga de materiais'!D489&amp;""'""))"),"#REF!")</f>
        <v>#REF!</v>
      </c>
    </row>
    <row r="489">
      <c r="A489" s="120" t="str">
        <f>IFERROR(__xludf.DUMMYFUNCTION("TRANSPOSE(QUERY('Cadastro VTR/SEÇÃO/MILITAR'!$A$3:$B2000,""SELECT B WHERE A LIKE '""&amp;'carga de materiais'!D490&amp;""'""))"),"#REF!")</f>
        <v>#REF!</v>
      </c>
    </row>
    <row r="490">
      <c r="A490" s="120" t="str">
        <f>IFERROR(__xludf.DUMMYFUNCTION("TRANSPOSE(QUERY('Cadastro VTR/SEÇÃO/MILITAR'!$A$3:$B2000,""SELECT B WHERE A LIKE '""&amp;'carga de materiais'!D491&amp;""'""))"),"#REF!")</f>
        <v>#REF!</v>
      </c>
    </row>
    <row r="491">
      <c r="A491" s="120" t="str">
        <f>IFERROR(__xludf.DUMMYFUNCTION("TRANSPOSE(QUERY('Cadastro VTR/SEÇÃO/MILITAR'!$A$3:$B2000,""SELECT B WHERE A LIKE '""&amp;'carga de materiais'!D492&amp;""'""))"),"#REF!")</f>
        <v>#REF!</v>
      </c>
    </row>
    <row r="492">
      <c r="A492" s="120" t="str">
        <f>IFERROR(__xludf.DUMMYFUNCTION("TRANSPOSE(QUERY('Cadastro VTR/SEÇÃO/MILITAR'!$A$3:$B2000,""SELECT B WHERE A LIKE '""&amp;'carga de materiais'!D493&amp;""'""))"),"#REF!")</f>
        <v>#REF!</v>
      </c>
    </row>
    <row r="493">
      <c r="A493" s="120" t="str">
        <f>IFERROR(__xludf.DUMMYFUNCTION("TRANSPOSE(QUERY('Cadastro VTR/SEÇÃO/MILITAR'!$A$3:$B2000,""SELECT B WHERE A LIKE '""&amp;'carga de materiais'!D494&amp;""'""))"),"#REF!")</f>
        <v>#REF!</v>
      </c>
    </row>
    <row r="494">
      <c r="A494" s="120" t="str">
        <f>IFERROR(__xludf.DUMMYFUNCTION("TRANSPOSE(QUERY('Cadastro VTR/SEÇÃO/MILITAR'!$A$3:$B2000,""SELECT B WHERE A LIKE '""&amp;'carga de materiais'!D495&amp;""'""))"),"#REF!")</f>
        <v>#REF!</v>
      </c>
    </row>
    <row r="495">
      <c r="A495" s="120" t="str">
        <f>IFERROR(__xludf.DUMMYFUNCTION("TRANSPOSE(QUERY('Cadastro VTR/SEÇÃO/MILITAR'!$A$3:$B2000,""SELECT B WHERE A LIKE '""&amp;'carga de materiais'!D496&amp;""'""))"),"#REF!")</f>
        <v>#REF!</v>
      </c>
    </row>
    <row r="496">
      <c r="A496" s="120" t="str">
        <f>IFERROR(__xludf.DUMMYFUNCTION("TRANSPOSE(QUERY('Cadastro VTR/SEÇÃO/MILITAR'!$A$3:$B2000,""SELECT B WHERE A LIKE '""&amp;'carga de materiais'!D497&amp;""'""))"),"#REF!")</f>
        <v>#REF!</v>
      </c>
    </row>
    <row r="497">
      <c r="A497" s="120" t="str">
        <f>IFERROR(__xludf.DUMMYFUNCTION("TRANSPOSE(QUERY('Cadastro VTR/SEÇÃO/MILITAR'!$A$3:$B2000,""SELECT B WHERE A LIKE '""&amp;'carga de materiais'!D498&amp;""'""))"),"#REF!")</f>
        <v>#REF!</v>
      </c>
    </row>
    <row r="498">
      <c r="A498" s="120" t="str">
        <f>IFERROR(__xludf.DUMMYFUNCTION("TRANSPOSE(QUERY('Cadastro VTR/SEÇÃO/MILITAR'!$A$3:$B2000,""SELECT B WHERE A LIKE '""&amp;'carga de materiais'!D499&amp;""'""))"),"#REF!")</f>
        <v>#REF!</v>
      </c>
    </row>
    <row r="499">
      <c r="A499" s="120" t="str">
        <f>IFERROR(__xludf.DUMMYFUNCTION("TRANSPOSE(QUERY('Cadastro VTR/SEÇÃO/MILITAR'!$A$3:$B2000,""SELECT B WHERE A LIKE '""&amp;'carga de materiais'!D500&amp;""'""))"),"#REF!")</f>
        <v>#REF!</v>
      </c>
    </row>
    <row r="500">
      <c r="A500" s="120" t="str">
        <f>IFERROR(__xludf.DUMMYFUNCTION("TRANSPOSE(QUERY('Cadastro VTR/SEÇÃO/MILITAR'!$A$3:$B2000,""SELECT B WHERE A LIKE '""&amp;'carga de materiais'!D501&amp;""'""))"),"#REF!")</f>
        <v>#REF!</v>
      </c>
    </row>
    <row r="501">
      <c r="A501" s="120" t="str">
        <f>IFERROR(__xludf.DUMMYFUNCTION("TRANSPOSE(QUERY('Cadastro VTR/SEÇÃO/MILITAR'!$A$3:$B2000,""SELECT B WHERE A LIKE '""&amp;'carga de materiais'!D502&amp;""'""))"),"#REF!")</f>
        <v>#REF!</v>
      </c>
    </row>
    <row r="502">
      <c r="A502" s="120" t="str">
        <f>IFERROR(__xludf.DUMMYFUNCTION("TRANSPOSE(QUERY('Cadastro VTR/SEÇÃO/MILITAR'!$A$3:$B2000,""SELECT B WHERE A LIKE '""&amp;'carga de materiais'!D503&amp;""'""))"),"#REF!")</f>
        <v>#REF!</v>
      </c>
    </row>
    <row r="503">
      <c r="A503" s="120" t="str">
        <f>IFERROR(__xludf.DUMMYFUNCTION("TRANSPOSE(QUERY('Cadastro VTR/SEÇÃO/MILITAR'!$A$3:$B2000,""SELECT B WHERE A LIKE '""&amp;'carga de materiais'!D504&amp;""'""))"),"#REF!")</f>
        <v>#REF!</v>
      </c>
    </row>
    <row r="504">
      <c r="A504" s="120" t="str">
        <f>IFERROR(__xludf.DUMMYFUNCTION("TRANSPOSE(QUERY('Cadastro VTR/SEÇÃO/MILITAR'!$A$3:$B2000,""SELECT B WHERE A LIKE '""&amp;'carga de materiais'!D505&amp;""'""))"),"#REF!")</f>
        <v>#REF!</v>
      </c>
    </row>
    <row r="505">
      <c r="A505" s="120" t="str">
        <f>IFERROR(__xludf.DUMMYFUNCTION("TRANSPOSE(QUERY('Cadastro VTR/SEÇÃO/MILITAR'!$A$3:$B2000,""SELECT B WHERE A LIKE '""&amp;'carga de materiais'!D506&amp;""'""))"),"#REF!")</f>
        <v>#REF!</v>
      </c>
    </row>
    <row r="506">
      <c r="A506" s="120" t="str">
        <f>IFERROR(__xludf.DUMMYFUNCTION("TRANSPOSE(QUERY('Cadastro VTR/SEÇÃO/MILITAR'!$A$3:$B2000,""SELECT B WHERE A LIKE '""&amp;'carga de materiais'!D507&amp;""'""))"),"#REF!")</f>
        <v>#REF!</v>
      </c>
    </row>
    <row r="507">
      <c r="A507" s="120" t="str">
        <f>IFERROR(__xludf.DUMMYFUNCTION("TRANSPOSE(QUERY('Cadastro VTR/SEÇÃO/MILITAR'!$A$3:$B2000,""SELECT B WHERE A LIKE '""&amp;'carga de materiais'!D508&amp;""'""))"),"#REF!")</f>
        <v>#REF!</v>
      </c>
    </row>
    <row r="508">
      <c r="A508" s="120" t="str">
        <f>IFERROR(__xludf.DUMMYFUNCTION("TRANSPOSE(QUERY('Cadastro VTR/SEÇÃO/MILITAR'!$A$3:$B2000,""SELECT B WHERE A LIKE '""&amp;'carga de materiais'!D509&amp;""'""))"),"#REF!")</f>
        <v>#REF!</v>
      </c>
    </row>
    <row r="509">
      <c r="A509" s="120" t="str">
        <f>IFERROR(__xludf.DUMMYFUNCTION("TRANSPOSE(QUERY('Cadastro VTR/SEÇÃO/MILITAR'!$A$3:$B2000,""SELECT B WHERE A LIKE '""&amp;'carga de materiais'!D510&amp;""'""))"),"#REF!")</f>
        <v>#REF!</v>
      </c>
    </row>
    <row r="510">
      <c r="A510" s="120" t="str">
        <f>IFERROR(__xludf.DUMMYFUNCTION("TRANSPOSE(QUERY('Cadastro VTR/SEÇÃO/MILITAR'!$A$3:$B2000,""SELECT B WHERE A LIKE '""&amp;'carga de materiais'!D511&amp;""'""))"),"#REF!")</f>
        <v>#REF!</v>
      </c>
    </row>
    <row r="511">
      <c r="A511" s="120" t="str">
        <f>IFERROR(__xludf.DUMMYFUNCTION("TRANSPOSE(QUERY('Cadastro VTR/SEÇÃO/MILITAR'!$A$3:$B2000,""SELECT B WHERE A LIKE '""&amp;'carga de materiais'!D512&amp;""'""))"),"#REF!")</f>
        <v>#REF!</v>
      </c>
    </row>
    <row r="512">
      <c r="A512" s="120" t="str">
        <f>IFERROR(__xludf.DUMMYFUNCTION("TRANSPOSE(QUERY('Cadastro VTR/SEÇÃO/MILITAR'!$A$3:$B2000,""SELECT B WHERE A LIKE '""&amp;'carga de materiais'!D513&amp;""'""))"),"#REF!")</f>
        <v>#REF!</v>
      </c>
    </row>
    <row r="513">
      <c r="A513" s="120" t="str">
        <f>IFERROR(__xludf.DUMMYFUNCTION("TRANSPOSE(QUERY('Cadastro VTR/SEÇÃO/MILITAR'!$A$3:$B2000,""SELECT B WHERE A LIKE '""&amp;'carga de materiais'!D514&amp;""'""))"),"#REF!")</f>
        <v>#REF!</v>
      </c>
    </row>
    <row r="514">
      <c r="A514" s="120" t="str">
        <f>IFERROR(__xludf.DUMMYFUNCTION("TRANSPOSE(QUERY('Cadastro VTR/SEÇÃO/MILITAR'!$A$3:$B2000,""SELECT B WHERE A LIKE '""&amp;'carga de materiais'!D515&amp;""'""))"),"#REF!")</f>
        <v>#REF!</v>
      </c>
    </row>
    <row r="515">
      <c r="A515" s="120" t="str">
        <f>IFERROR(__xludf.DUMMYFUNCTION("TRANSPOSE(QUERY('Cadastro VTR/SEÇÃO/MILITAR'!$A$3:$B2000,""SELECT B WHERE A LIKE '""&amp;'carga de materiais'!D516&amp;""'""))"),"#REF!")</f>
        <v>#REF!</v>
      </c>
    </row>
    <row r="516">
      <c r="A516" s="120" t="str">
        <f>IFERROR(__xludf.DUMMYFUNCTION("TRANSPOSE(QUERY('Cadastro VTR/SEÇÃO/MILITAR'!$A$3:$B2000,""SELECT B WHERE A LIKE '""&amp;'carga de materiais'!D517&amp;""'""))"),"#REF!")</f>
        <v>#REF!</v>
      </c>
    </row>
    <row r="517">
      <c r="A517" s="120" t="str">
        <f>IFERROR(__xludf.DUMMYFUNCTION("TRANSPOSE(QUERY('Cadastro VTR/SEÇÃO/MILITAR'!$A$3:$B2000,""SELECT B WHERE A LIKE '""&amp;'carga de materiais'!D518&amp;""'""))"),"#REF!")</f>
        <v>#REF!</v>
      </c>
    </row>
    <row r="518">
      <c r="A518" s="120" t="str">
        <f>IFERROR(__xludf.DUMMYFUNCTION("TRANSPOSE(QUERY('Cadastro VTR/SEÇÃO/MILITAR'!$A$3:$B2000,""SELECT B WHERE A LIKE '""&amp;'carga de materiais'!D519&amp;""'""))"),"#REF!")</f>
        <v>#REF!</v>
      </c>
    </row>
    <row r="519">
      <c r="A519" s="120" t="str">
        <f>IFERROR(__xludf.DUMMYFUNCTION("TRANSPOSE(QUERY('Cadastro VTR/SEÇÃO/MILITAR'!$A$3:$B2000,""SELECT B WHERE A LIKE '""&amp;'carga de materiais'!D520&amp;""'""))"),"#REF!")</f>
        <v>#REF!</v>
      </c>
    </row>
    <row r="520">
      <c r="A520" s="120" t="str">
        <f>IFERROR(__xludf.DUMMYFUNCTION("TRANSPOSE(QUERY('Cadastro VTR/SEÇÃO/MILITAR'!$A$3:$B2000,""SELECT B WHERE A LIKE '""&amp;'carga de materiais'!D521&amp;""'""))"),"#REF!")</f>
        <v>#REF!</v>
      </c>
    </row>
    <row r="521">
      <c r="A521" s="120" t="str">
        <f>IFERROR(__xludf.DUMMYFUNCTION("TRANSPOSE(QUERY('Cadastro VTR/SEÇÃO/MILITAR'!$A$3:$B2000,""SELECT B WHERE A LIKE '""&amp;'carga de materiais'!D522&amp;""'""))"),"#REF!")</f>
        <v>#REF!</v>
      </c>
    </row>
    <row r="522">
      <c r="A522" s="120" t="str">
        <f>IFERROR(__xludf.DUMMYFUNCTION("TRANSPOSE(QUERY('Cadastro VTR/SEÇÃO/MILITAR'!$A$3:$B2000,""SELECT B WHERE A LIKE '""&amp;'carga de materiais'!D523&amp;""'""))"),"#REF!")</f>
        <v>#REF!</v>
      </c>
    </row>
    <row r="523">
      <c r="A523" s="120" t="str">
        <f>IFERROR(__xludf.DUMMYFUNCTION("TRANSPOSE(QUERY('Cadastro VTR/SEÇÃO/MILITAR'!$A$3:$B2000,""SELECT B WHERE A LIKE '""&amp;'carga de materiais'!D524&amp;""'""))"),"#REF!")</f>
        <v>#REF!</v>
      </c>
    </row>
    <row r="524">
      <c r="A524" s="120" t="str">
        <f>IFERROR(__xludf.DUMMYFUNCTION("TRANSPOSE(QUERY('Cadastro VTR/SEÇÃO/MILITAR'!$A$3:$B2000,""SELECT B WHERE A LIKE '""&amp;'carga de materiais'!D525&amp;""'""))"),"#REF!")</f>
        <v>#REF!</v>
      </c>
    </row>
    <row r="525">
      <c r="A525" s="120" t="str">
        <f>IFERROR(__xludf.DUMMYFUNCTION("TRANSPOSE(QUERY('Cadastro VTR/SEÇÃO/MILITAR'!$A$3:$B2000,""SELECT B WHERE A LIKE '""&amp;'carga de materiais'!D526&amp;""'""))"),"#REF!")</f>
        <v>#REF!</v>
      </c>
    </row>
    <row r="526">
      <c r="A526" s="120" t="str">
        <f>IFERROR(__xludf.DUMMYFUNCTION("TRANSPOSE(QUERY('Cadastro VTR/SEÇÃO/MILITAR'!$A$3:$B2000,""SELECT B WHERE A LIKE '""&amp;'carga de materiais'!D527&amp;""'""))"),"#REF!")</f>
        <v>#REF!</v>
      </c>
    </row>
    <row r="527">
      <c r="A527" s="120" t="str">
        <f>IFERROR(__xludf.DUMMYFUNCTION("TRANSPOSE(QUERY('Cadastro VTR/SEÇÃO/MILITAR'!$A$3:$B2000,""SELECT B WHERE A LIKE '""&amp;'carga de materiais'!D528&amp;""'""))"),"#REF!")</f>
        <v>#REF!</v>
      </c>
    </row>
    <row r="528">
      <c r="A528" s="120" t="str">
        <f>IFERROR(__xludf.DUMMYFUNCTION("TRANSPOSE(QUERY('Cadastro VTR/SEÇÃO/MILITAR'!$A$3:$B2000,""SELECT B WHERE A LIKE '""&amp;'carga de materiais'!D529&amp;""'""))"),"#REF!")</f>
        <v>#REF!</v>
      </c>
    </row>
    <row r="529">
      <c r="A529" s="120" t="str">
        <f>IFERROR(__xludf.DUMMYFUNCTION("TRANSPOSE(QUERY('Cadastro VTR/SEÇÃO/MILITAR'!$A$3:$B2000,""SELECT B WHERE A LIKE '""&amp;'carga de materiais'!D530&amp;""'""))"),"#REF!")</f>
        <v>#REF!</v>
      </c>
    </row>
    <row r="530">
      <c r="A530" s="120" t="str">
        <f>IFERROR(__xludf.DUMMYFUNCTION("TRANSPOSE(QUERY('Cadastro VTR/SEÇÃO/MILITAR'!$A$3:$B2000,""SELECT B WHERE A LIKE '""&amp;'carga de materiais'!D531&amp;""'""))"),"#REF!")</f>
        <v>#REF!</v>
      </c>
    </row>
    <row r="531">
      <c r="A531" s="120" t="str">
        <f>IFERROR(__xludf.DUMMYFUNCTION("TRANSPOSE(QUERY('Cadastro VTR/SEÇÃO/MILITAR'!$A$3:$B2000,""SELECT B WHERE A LIKE '""&amp;'carga de materiais'!D532&amp;""'""))"),"#REF!")</f>
        <v>#REF!</v>
      </c>
    </row>
    <row r="532">
      <c r="A532" s="120" t="str">
        <f>IFERROR(__xludf.DUMMYFUNCTION("TRANSPOSE(QUERY('Cadastro VTR/SEÇÃO/MILITAR'!$A$3:$B2000,""SELECT B WHERE A LIKE '""&amp;'carga de materiais'!D533&amp;""'""))"),"#REF!")</f>
        <v>#REF!</v>
      </c>
    </row>
    <row r="533">
      <c r="A533" s="120" t="str">
        <f>IFERROR(__xludf.DUMMYFUNCTION("TRANSPOSE(QUERY('Cadastro VTR/SEÇÃO/MILITAR'!$A$3:$B2000,""SELECT B WHERE A LIKE '""&amp;'carga de materiais'!D534&amp;""'""))"),"#REF!")</f>
        <v>#REF!</v>
      </c>
    </row>
    <row r="534">
      <c r="A534" s="120" t="str">
        <f>IFERROR(__xludf.DUMMYFUNCTION("TRANSPOSE(QUERY('Cadastro VTR/SEÇÃO/MILITAR'!$A$3:$B2000,""SELECT B WHERE A LIKE '""&amp;'carga de materiais'!D535&amp;""'""))"),"#REF!")</f>
        <v>#REF!</v>
      </c>
    </row>
    <row r="535">
      <c r="A535" s="120" t="str">
        <f>IFERROR(__xludf.DUMMYFUNCTION("TRANSPOSE(QUERY('Cadastro VTR/SEÇÃO/MILITAR'!$A$3:$B2000,""SELECT B WHERE A LIKE '""&amp;'carga de materiais'!D536&amp;""'""))"),"#REF!")</f>
        <v>#REF!</v>
      </c>
    </row>
    <row r="536">
      <c r="A536" s="120" t="str">
        <f>IFERROR(__xludf.DUMMYFUNCTION("TRANSPOSE(QUERY('Cadastro VTR/SEÇÃO/MILITAR'!$A$3:$B2000,""SELECT B WHERE A LIKE '""&amp;'carga de materiais'!D537&amp;""'""))"),"#REF!")</f>
        <v>#REF!</v>
      </c>
    </row>
    <row r="537">
      <c r="A537" s="120" t="str">
        <f>IFERROR(__xludf.DUMMYFUNCTION("TRANSPOSE(QUERY('Cadastro VTR/SEÇÃO/MILITAR'!$A$3:$B2000,""SELECT B WHERE A LIKE '""&amp;'carga de materiais'!D538&amp;""'""))"),"#REF!")</f>
        <v>#REF!</v>
      </c>
    </row>
    <row r="538">
      <c r="A538" s="120" t="str">
        <f>IFERROR(__xludf.DUMMYFUNCTION("TRANSPOSE(QUERY('Cadastro VTR/SEÇÃO/MILITAR'!$A$3:$B2000,""SELECT B WHERE A LIKE '""&amp;'carga de materiais'!D539&amp;""'""))"),"#REF!")</f>
        <v>#REF!</v>
      </c>
    </row>
    <row r="539">
      <c r="A539" s="120" t="str">
        <f>IFERROR(__xludf.DUMMYFUNCTION("TRANSPOSE(QUERY('Cadastro VTR/SEÇÃO/MILITAR'!$A$3:$B2000,""SELECT B WHERE A LIKE '""&amp;'carga de materiais'!D540&amp;""'""))"),"#REF!")</f>
        <v>#REF!</v>
      </c>
    </row>
    <row r="540">
      <c r="A540" s="120" t="str">
        <f>IFERROR(__xludf.DUMMYFUNCTION("TRANSPOSE(QUERY('Cadastro VTR/SEÇÃO/MILITAR'!$A$3:$B2000,""SELECT B WHERE A LIKE '""&amp;'carga de materiais'!D541&amp;""'""))"),"#REF!")</f>
        <v>#REF!</v>
      </c>
    </row>
    <row r="541">
      <c r="A541" s="120" t="str">
        <f>IFERROR(__xludf.DUMMYFUNCTION("TRANSPOSE(QUERY('Cadastro VTR/SEÇÃO/MILITAR'!$A$3:$B2000,""SELECT B WHERE A LIKE '""&amp;'carga de materiais'!D542&amp;""'""))"),"#REF!")</f>
        <v>#REF!</v>
      </c>
    </row>
    <row r="542">
      <c r="A542" s="120" t="str">
        <f>IFERROR(__xludf.DUMMYFUNCTION("TRANSPOSE(QUERY('Cadastro VTR/SEÇÃO/MILITAR'!$A$3:$B2000,""SELECT B WHERE A LIKE '""&amp;'carga de materiais'!D543&amp;""'""))"),"#REF!")</f>
        <v>#REF!</v>
      </c>
    </row>
    <row r="543">
      <c r="A543" s="120" t="str">
        <f>IFERROR(__xludf.DUMMYFUNCTION("TRANSPOSE(QUERY('Cadastro VTR/SEÇÃO/MILITAR'!$A$3:$B2000,""SELECT B WHERE A LIKE '""&amp;'carga de materiais'!D544&amp;""'""))"),"#REF!")</f>
        <v>#REF!</v>
      </c>
    </row>
    <row r="544">
      <c r="A544" s="120" t="str">
        <f>IFERROR(__xludf.DUMMYFUNCTION("TRANSPOSE(QUERY('Cadastro VTR/SEÇÃO/MILITAR'!$A$3:$B2000,""SELECT B WHERE A LIKE '""&amp;'carga de materiais'!D545&amp;""'""))"),"#REF!")</f>
        <v>#REF!</v>
      </c>
    </row>
    <row r="545">
      <c r="A545" s="120" t="str">
        <f>IFERROR(__xludf.DUMMYFUNCTION("TRANSPOSE(QUERY('Cadastro VTR/SEÇÃO/MILITAR'!$A$3:$B2000,""SELECT B WHERE A LIKE '""&amp;'carga de materiais'!D546&amp;""'""))"),"#REF!")</f>
        <v>#REF!</v>
      </c>
    </row>
    <row r="546">
      <c r="A546" s="120" t="str">
        <f>IFERROR(__xludf.DUMMYFUNCTION("TRANSPOSE(QUERY('Cadastro VTR/SEÇÃO/MILITAR'!$A$3:$B2000,""SELECT B WHERE A LIKE '""&amp;'carga de materiais'!D547&amp;""'""))"),"#REF!")</f>
        <v>#REF!</v>
      </c>
    </row>
    <row r="547">
      <c r="A547" s="120" t="str">
        <f>IFERROR(__xludf.DUMMYFUNCTION("TRANSPOSE(QUERY('Cadastro VTR/SEÇÃO/MILITAR'!$A$3:$B2000,""SELECT B WHERE A LIKE '""&amp;'carga de materiais'!D548&amp;""'""))"),"#REF!")</f>
        <v>#REF!</v>
      </c>
    </row>
    <row r="548">
      <c r="A548" s="120" t="str">
        <f>IFERROR(__xludf.DUMMYFUNCTION("TRANSPOSE(QUERY('Cadastro VTR/SEÇÃO/MILITAR'!$A$3:$B2000,""SELECT B WHERE A LIKE '""&amp;'carga de materiais'!D549&amp;""'""))"),"#REF!")</f>
        <v>#REF!</v>
      </c>
    </row>
    <row r="549">
      <c r="A549" s="120" t="str">
        <f>IFERROR(__xludf.DUMMYFUNCTION("TRANSPOSE(QUERY('Cadastro VTR/SEÇÃO/MILITAR'!$A$3:$B2000,""SELECT B WHERE A LIKE '""&amp;'carga de materiais'!D550&amp;""'""))"),"#REF!")</f>
        <v>#REF!</v>
      </c>
    </row>
    <row r="550">
      <c r="A550" s="120" t="str">
        <f>IFERROR(__xludf.DUMMYFUNCTION("TRANSPOSE(QUERY('Cadastro VTR/SEÇÃO/MILITAR'!$A$3:$B2000,""SELECT B WHERE A LIKE '""&amp;'carga de materiais'!D551&amp;""'""))"),"#REF!")</f>
        <v>#REF!</v>
      </c>
    </row>
    <row r="551">
      <c r="A551" s="120" t="str">
        <f>IFERROR(__xludf.DUMMYFUNCTION("TRANSPOSE(QUERY('Cadastro VTR/SEÇÃO/MILITAR'!$A$3:$B2000,""SELECT B WHERE A LIKE '""&amp;'carga de materiais'!D552&amp;""'""))"),"#REF!")</f>
        <v>#REF!</v>
      </c>
    </row>
    <row r="552">
      <c r="A552" s="120" t="str">
        <f>IFERROR(__xludf.DUMMYFUNCTION("TRANSPOSE(QUERY('Cadastro VTR/SEÇÃO/MILITAR'!$A$3:$B2000,""SELECT B WHERE A LIKE '""&amp;'carga de materiais'!D553&amp;""'""))"),"#REF!")</f>
        <v>#REF!</v>
      </c>
    </row>
    <row r="553">
      <c r="A553" s="120" t="str">
        <f>IFERROR(__xludf.DUMMYFUNCTION("TRANSPOSE(QUERY('Cadastro VTR/SEÇÃO/MILITAR'!$A$3:$B2000,""SELECT B WHERE A LIKE '""&amp;'carga de materiais'!D554&amp;""'""))"),"#REF!")</f>
        <v>#REF!</v>
      </c>
    </row>
    <row r="554">
      <c r="A554" s="120" t="str">
        <f>IFERROR(__xludf.DUMMYFUNCTION("TRANSPOSE(QUERY('Cadastro VTR/SEÇÃO/MILITAR'!$A$3:$B2000,""SELECT B WHERE A LIKE '""&amp;'carga de materiais'!D555&amp;""'""))"),"#REF!")</f>
        <v>#REF!</v>
      </c>
    </row>
    <row r="555">
      <c r="A555" s="120" t="str">
        <f>IFERROR(__xludf.DUMMYFUNCTION("TRANSPOSE(QUERY('Cadastro VTR/SEÇÃO/MILITAR'!$A$3:$B2000,""SELECT B WHERE A LIKE '""&amp;'carga de materiais'!D556&amp;""'""))"),"#REF!")</f>
        <v>#REF!</v>
      </c>
    </row>
    <row r="556">
      <c r="A556" s="120" t="str">
        <f>IFERROR(__xludf.DUMMYFUNCTION("TRANSPOSE(QUERY('Cadastro VTR/SEÇÃO/MILITAR'!$A$3:$B2000,""SELECT B WHERE A LIKE '""&amp;'carga de materiais'!D557&amp;""'""))"),"#REF!")</f>
        <v>#REF!</v>
      </c>
    </row>
    <row r="557">
      <c r="A557" s="120" t="str">
        <f>IFERROR(__xludf.DUMMYFUNCTION("TRANSPOSE(QUERY('Cadastro VTR/SEÇÃO/MILITAR'!$A$3:$B2000,""SELECT B WHERE A LIKE '""&amp;'carga de materiais'!D558&amp;""'""))"),"#REF!")</f>
        <v>#REF!</v>
      </c>
    </row>
    <row r="558">
      <c r="A558" s="120" t="str">
        <f>IFERROR(__xludf.DUMMYFUNCTION("TRANSPOSE(QUERY('Cadastro VTR/SEÇÃO/MILITAR'!$A$3:$B2000,""SELECT B WHERE A LIKE '""&amp;'carga de materiais'!D559&amp;""'""))"),"#REF!")</f>
        <v>#REF!</v>
      </c>
    </row>
    <row r="559">
      <c r="A559" s="120" t="str">
        <f>IFERROR(__xludf.DUMMYFUNCTION("TRANSPOSE(QUERY('Cadastro VTR/SEÇÃO/MILITAR'!$A$3:$B2000,""SELECT B WHERE A LIKE '""&amp;'carga de materiais'!D560&amp;""'""))"),"#REF!")</f>
        <v>#REF!</v>
      </c>
    </row>
    <row r="560">
      <c r="A560" s="120" t="str">
        <f>IFERROR(__xludf.DUMMYFUNCTION("TRANSPOSE(QUERY('Cadastro VTR/SEÇÃO/MILITAR'!$A$3:$B2000,""SELECT B WHERE A LIKE '""&amp;'carga de materiais'!D561&amp;""'""))"),"#REF!")</f>
        <v>#REF!</v>
      </c>
    </row>
    <row r="561">
      <c r="A561" s="120" t="str">
        <f>IFERROR(__xludf.DUMMYFUNCTION("TRANSPOSE(QUERY('Cadastro VTR/SEÇÃO/MILITAR'!$A$3:$B2000,""SELECT B WHERE A LIKE '""&amp;'carga de materiais'!D562&amp;""'""))"),"#REF!")</f>
        <v>#REF!</v>
      </c>
    </row>
    <row r="562">
      <c r="A562" s="120" t="str">
        <f>IFERROR(__xludf.DUMMYFUNCTION("TRANSPOSE(QUERY('Cadastro VTR/SEÇÃO/MILITAR'!$A$3:$B2000,""SELECT B WHERE A LIKE '""&amp;'carga de materiais'!D563&amp;""'""))"),"#REF!")</f>
        <v>#REF!</v>
      </c>
    </row>
    <row r="563">
      <c r="A563" s="120" t="str">
        <f>IFERROR(__xludf.DUMMYFUNCTION("TRANSPOSE(QUERY('Cadastro VTR/SEÇÃO/MILITAR'!$A$3:$B2000,""SELECT B WHERE A LIKE '""&amp;'carga de materiais'!D564&amp;""'""))"),"#REF!")</f>
        <v>#REF!</v>
      </c>
    </row>
    <row r="564">
      <c r="A564" s="120" t="str">
        <f>IFERROR(__xludf.DUMMYFUNCTION("TRANSPOSE(QUERY('Cadastro VTR/SEÇÃO/MILITAR'!$A$3:$B2000,""SELECT B WHERE A LIKE '""&amp;'carga de materiais'!D565&amp;""'""))"),"#REF!")</f>
        <v>#REF!</v>
      </c>
    </row>
    <row r="565">
      <c r="A565" s="120" t="str">
        <f>IFERROR(__xludf.DUMMYFUNCTION("TRANSPOSE(QUERY('Cadastro VTR/SEÇÃO/MILITAR'!$A$3:$B2000,""SELECT B WHERE A LIKE '""&amp;'carga de materiais'!D566&amp;""'""))"),"#REF!")</f>
        <v>#REF!</v>
      </c>
    </row>
    <row r="566">
      <c r="A566" s="120" t="str">
        <f>IFERROR(__xludf.DUMMYFUNCTION("TRANSPOSE(QUERY('Cadastro VTR/SEÇÃO/MILITAR'!$A$3:$B2000,""SELECT B WHERE A LIKE '""&amp;'carga de materiais'!D567&amp;""'""))"),"#REF!")</f>
        <v>#REF!</v>
      </c>
    </row>
    <row r="567">
      <c r="A567" s="120" t="str">
        <f>IFERROR(__xludf.DUMMYFUNCTION("TRANSPOSE(QUERY('Cadastro VTR/SEÇÃO/MILITAR'!$A$3:$B2000,""SELECT B WHERE A LIKE '""&amp;'carga de materiais'!D568&amp;""'""))"),"#REF!")</f>
        <v>#REF!</v>
      </c>
    </row>
    <row r="568">
      <c r="A568" s="120" t="str">
        <f>IFERROR(__xludf.DUMMYFUNCTION("TRANSPOSE(QUERY('Cadastro VTR/SEÇÃO/MILITAR'!$A$3:$B2000,""SELECT B WHERE A LIKE '""&amp;'carga de materiais'!D569&amp;""'""))"),"#REF!")</f>
        <v>#REF!</v>
      </c>
    </row>
    <row r="569">
      <c r="A569" s="120" t="str">
        <f>IFERROR(__xludf.DUMMYFUNCTION("TRANSPOSE(QUERY('Cadastro VTR/SEÇÃO/MILITAR'!$A$3:$B2000,""SELECT B WHERE A LIKE '""&amp;'carga de materiais'!D570&amp;""'""))"),"#REF!")</f>
        <v>#REF!</v>
      </c>
    </row>
    <row r="570">
      <c r="A570" s="120" t="str">
        <f>IFERROR(__xludf.DUMMYFUNCTION("TRANSPOSE(QUERY('Cadastro VTR/SEÇÃO/MILITAR'!$A$3:$B2000,""SELECT B WHERE A LIKE '""&amp;'carga de materiais'!D571&amp;""'""))"),"#REF!")</f>
        <v>#REF!</v>
      </c>
    </row>
    <row r="571">
      <c r="A571" s="120" t="str">
        <f>IFERROR(__xludf.DUMMYFUNCTION("TRANSPOSE(QUERY('Cadastro VTR/SEÇÃO/MILITAR'!$A$3:$B2000,""SELECT B WHERE A LIKE '""&amp;'carga de materiais'!D572&amp;""'""))"),"#REF!")</f>
        <v>#REF!</v>
      </c>
    </row>
    <row r="572">
      <c r="A572" s="120" t="str">
        <f>IFERROR(__xludf.DUMMYFUNCTION("TRANSPOSE(QUERY('Cadastro VTR/SEÇÃO/MILITAR'!$A$3:$B2000,""SELECT B WHERE A LIKE '""&amp;'carga de materiais'!D573&amp;""'""))"),"#REF!")</f>
        <v>#REF!</v>
      </c>
    </row>
    <row r="573">
      <c r="A573" s="120" t="str">
        <f>IFERROR(__xludf.DUMMYFUNCTION("TRANSPOSE(QUERY('Cadastro VTR/SEÇÃO/MILITAR'!$A$3:$B2000,""SELECT B WHERE A LIKE '""&amp;'carga de materiais'!D574&amp;""'""))"),"#REF!")</f>
        <v>#REF!</v>
      </c>
    </row>
    <row r="574">
      <c r="A574" s="120" t="str">
        <f>IFERROR(__xludf.DUMMYFUNCTION("TRANSPOSE(QUERY('Cadastro VTR/SEÇÃO/MILITAR'!$A$3:$B2000,""SELECT B WHERE A LIKE '""&amp;'carga de materiais'!D575&amp;""'""))"),"#REF!")</f>
        <v>#REF!</v>
      </c>
    </row>
    <row r="575">
      <c r="A575" s="120" t="str">
        <f>IFERROR(__xludf.DUMMYFUNCTION("TRANSPOSE(QUERY('Cadastro VTR/SEÇÃO/MILITAR'!$A$3:$B2000,""SELECT B WHERE A LIKE '""&amp;'carga de materiais'!D576&amp;""'""))"),"#REF!")</f>
        <v>#REF!</v>
      </c>
    </row>
    <row r="576">
      <c r="A576" s="120" t="str">
        <f>IFERROR(__xludf.DUMMYFUNCTION("TRANSPOSE(QUERY('Cadastro VTR/SEÇÃO/MILITAR'!$A$3:$B2000,""SELECT B WHERE A LIKE '""&amp;'carga de materiais'!D577&amp;""'""))"),"#REF!")</f>
        <v>#REF!</v>
      </c>
    </row>
    <row r="577">
      <c r="A577" s="120" t="str">
        <f>IFERROR(__xludf.DUMMYFUNCTION("TRANSPOSE(QUERY('Cadastro VTR/SEÇÃO/MILITAR'!$A$3:$B2000,""SELECT B WHERE A LIKE '""&amp;'carga de materiais'!D578&amp;""'""))"),"#REF!")</f>
        <v>#REF!</v>
      </c>
    </row>
    <row r="578">
      <c r="A578" s="120" t="str">
        <f>IFERROR(__xludf.DUMMYFUNCTION("TRANSPOSE(QUERY('Cadastro VTR/SEÇÃO/MILITAR'!$A$3:$B2000,""SELECT B WHERE A LIKE '""&amp;'carga de materiais'!D579&amp;""'""))"),"#REF!")</f>
        <v>#REF!</v>
      </c>
    </row>
    <row r="579">
      <c r="A579" s="120" t="str">
        <f>IFERROR(__xludf.DUMMYFUNCTION("TRANSPOSE(QUERY('Cadastro VTR/SEÇÃO/MILITAR'!$A$3:$B2000,""SELECT B WHERE A LIKE '""&amp;'carga de materiais'!D580&amp;""'""))"),"#REF!")</f>
        <v>#REF!</v>
      </c>
    </row>
    <row r="580">
      <c r="A580" s="120" t="str">
        <f>IFERROR(__xludf.DUMMYFUNCTION("TRANSPOSE(QUERY('Cadastro VTR/SEÇÃO/MILITAR'!$A$3:$B2000,""SELECT B WHERE A LIKE '""&amp;'carga de materiais'!D581&amp;""'""))"),"#REF!")</f>
        <v>#REF!</v>
      </c>
    </row>
    <row r="581">
      <c r="A581" s="120" t="str">
        <f>IFERROR(__xludf.DUMMYFUNCTION("TRANSPOSE(QUERY('Cadastro VTR/SEÇÃO/MILITAR'!$A$3:$B2000,""SELECT B WHERE A LIKE '""&amp;'carga de materiais'!D582&amp;""'""))"),"#REF!")</f>
        <v>#REF!</v>
      </c>
    </row>
    <row r="582">
      <c r="A582" s="120" t="str">
        <f>IFERROR(__xludf.DUMMYFUNCTION("TRANSPOSE(QUERY('Cadastro VTR/SEÇÃO/MILITAR'!$A$3:$B2000,""SELECT B WHERE A LIKE '""&amp;'carga de materiais'!D583&amp;""'""))"),"#REF!")</f>
        <v>#REF!</v>
      </c>
    </row>
    <row r="583">
      <c r="A583" s="120" t="str">
        <f>IFERROR(__xludf.DUMMYFUNCTION("TRANSPOSE(QUERY('Cadastro VTR/SEÇÃO/MILITAR'!$A$3:$B2000,""SELECT B WHERE A LIKE '""&amp;'carga de materiais'!D584&amp;""'""))"),"#REF!")</f>
        <v>#REF!</v>
      </c>
    </row>
    <row r="584">
      <c r="A584" s="120" t="str">
        <f>IFERROR(__xludf.DUMMYFUNCTION("TRANSPOSE(QUERY('Cadastro VTR/SEÇÃO/MILITAR'!$A$3:$B2000,""SELECT B WHERE A LIKE '""&amp;'carga de materiais'!D585&amp;""'""))"),"#REF!")</f>
        <v>#REF!</v>
      </c>
    </row>
    <row r="585">
      <c r="A585" s="120" t="str">
        <f>IFERROR(__xludf.DUMMYFUNCTION("TRANSPOSE(QUERY('Cadastro VTR/SEÇÃO/MILITAR'!$A$3:$B2000,""SELECT B WHERE A LIKE '""&amp;'carga de materiais'!D586&amp;""'""))"),"#REF!")</f>
        <v>#REF!</v>
      </c>
      <c r="B585" s="87"/>
      <c r="C585" s="87"/>
      <c r="D585" s="87"/>
      <c r="E585" s="87"/>
      <c r="F585" s="87"/>
      <c r="G585" s="87"/>
      <c r="H585" s="87"/>
      <c r="I585" s="87"/>
      <c r="J585" s="87"/>
      <c r="K585" s="87"/>
      <c r="L585" s="87"/>
      <c r="M585" s="87"/>
      <c r="N585" s="87"/>
      <c r="O585" s="87"/>
      <c r="P585" s="87"/>
      <c r="Q585" s="87"/>
      <c r="R585" s="87"/>
      <c r="S585" s="87"/>
      <c r="T585" s="87"/>
      <c r="U585" s="87"/>
      <c r="V585" s="87"/>
      <c r="W585" s="87"/>
      <c r="X585" s="87"/>
      <c r="Y585" s="87"/>
      <c r="Z585" s="87"/>
      <c r="AA585" s="87"/>
      <c r="AB585" s="87"/>
      <c r="AC585" s="87"/>
      <c r="AD585" s="87"/>
      <c r="AE585" s="87"/>
      <c r="AF585" s="87"/>
      <c r="AG585" s="87"/>
      <c r="AH585" s="87"/>
      <c r="AI585" s="87"/>
      <c r="AJ585" s="87"/>
      <c r="AK585" s="87"/>
      <c r="AL585" s="87"/>
      <c r="AM585" s="87"/>
      <c r="AN585" s="87"/>
      <c r="AO585" s="87"/>
      <c r="AP585" s="87"/>
      <c r="AQ585" s="87"/>
      <c r="AR585" s="87"/>
      <c r="AS585" s="87"/>
      <c r="AT585" s="87"/>
      <c r="AU585" s="87"/>
      <c r="AV585" s="87"/>
      <c r="AW585" s="87"/>
      <c r="AX585" s="87"/>
      <c r="AY585" s="87"/>
      <c r="AZ585" s="87"/>
      <c r="BA585" s="87"/>
      <c r="BB585" s="87"/>
      <c r="BC585" s="87"/>
      <c r="BD585" s="87"/>
      <c r="BE585" s="87"/>
      <c r="BF585" s="87"/>
      <c r="BG585" s="87"/>
      <c r="BH585" s="87"/>
      <c r="BI585" s="87"/>
      <c r="BJ585" s="87"/>
      <c r="BK585" s="87"/>
      <c r="BL585" s="87"/>
      <c r="BM585" s="87"/>
      <c r="BN585" s="87"/>
      <c r="BO585" s="87"/>
      <c r="BP585" s="87"/>
      <c r="BQ585" s="87"/>
      <c r="BR585" s="87"/>
      <c r="BS585" s="87"/>
      <c r="BT585" s="87"/>
      <c r="BU585" s="87"/>
      <c r="BV585" s="87"/>
      <c r="BW585" s="87"/>
      <c r="BX585" s="87"/>
      <c r="BY585" s="87"/>
      <c r="BZ585" s="87"/>
      <c r="CA585" s="87"/>
      <c r="CB585" s="87"/>
      <c r="CC585" s="87"/>
      <c r="CD585" s="87"/>
      <c r="CE585" s="87"/>
      <c r="CF585" s="87"/>
      <c r="CG585" s="87"/>
      <c r="CH585" s="87"/>
      <c r="CI585" s="87"/>
      <c r="CJ585" s="87"/>
      <c r="CK585" s="87"/>
      <c r="CL585" s="87"/>
      <c r="CM585" s="87"/>
      <c r="CN585" s="87"/>
      <c r="CO585" s="87"/>
      <c r="CP585" s="87"/>
      <c r="CQ585" s="87"/>
      <c r="CR585" s="87"/>
      <c r="CS585" s="87"/>
      <c r="CT585" s="87"/>
      <c r="CU585" s="87"/>
      <c r="CV585" s="87"/>
      <c r="CW585" s="87"/>
      <c r="CX585" s="87"/>
      <c r="CY585" s="87"/>
      <c r="CZ585" s="87"/>
      <c r="DA585" s="87"/>
      <c r="DB585" s="87"/>
      <c r="DC585" s="87"/>
      <c r="DD585" s="87"/>
      <c r="DE585" s="87"/>
      <c r="DF585" s="87"/>
      <c r="DG585" s="87"/>
      <c r="DH585" s="87"/>
      <c r="DI585" s="87"/>
    </row>
    <row r="586">
      <c r="A586" s="120" t="str">
        <f>IFERROR(__xludf.DUMMYFUNCTION("TRANSPOSE(QUERY('Cadastro VTR/SEÇÃO/MILITAR'!$A$3:$B2000,""SELECT B WHERE A LIKE '""&amp;'carga de materiais'!D587&amp;""'""))"),"#REF!")</f>
        <v>#REF!</v>
      </c>
    </row>
    <row r="587">
      <c r="A587" s="120" t="str">
        <f>IFERROR(__xludf.DUMMYFUNCTION("TRANSPOSE(QUERY('Cadastro VTR/SEÇÃO/MILITAR'!$A$3:$B2000,""SELECT B WHERE A LIKE '""&amp;'carga de materiais'!D588&amp;""'""))"),"#REF!")</f>
        <v>#REF!</v>
      </c>
    </row>
    <row r="588">
      <c r="A588" s="120" t="str">
        <f>IFERROR(__xludf.DUMMYFUNCTION("TRANSPOSE(QUERY('Cadastro VTR/SEÇÃO/MILITAR'!$A$3:$B2000,""SELECT B WHERE A LIKE '""&amp;'carga de materiais'!D589&amp;""'""))"),"#REF!")</f>
        <v>#REF!</v>
      </c>
    </row>
    <row r="589">
      <c r="A589" s="120" t="str">
        <f>IFERROR(__xludf.DUMMYFUNCTION("TRANSPOSE(QUERY('Cadastro VTR/SEÇÃO/MILITAR'!$A$3:$B2000,""SELECT B WHERE A LIKE '""&amp;'carga de materiais'!D590&amp;""'""))"),"#REF!")</f>
        <v>#REF!</v>
      </c>
    </row>
    <row r="590">
      <c r="A590" s="120" t="str">
        <f>IFERROR(__xludf.DUMMYFUNCTION("TRANSPOSE(QUERY('Cadastro VTR/SEÇÃO/MILITAR'!$A$3:$B2000,""SELECT B WHERE A LIKE '""&amp;'carga de materiais'!D591&amp;""'""))"),"#REF!")</f>
        <v>#REF!</v>
      </c>
    </row>
    <row r="591">
      <c r="A591" s="120" t="str">
        <f>IFERROR(__xludf.DUMMYFUNCTION("TRANSPOSE(QUERY('Cadastro VTR/SEÇÃO/MILITAR'!$A$3:$B2000,""SELECT B WHERE A LIKE '""&amp;'carga de materiais'!D592&amp;""'""))"),"#REF!")</f>
        <v>#REF!</v>
      </c>
    </row>
    <row r="592">
      <c r="A592" s="120" t="str">
        <f>IFERROR(__xludf.DUMMYFUNCTION("TRANSPOSE(QUERY('Cadastro VTR/SEÇÃO/MILITAR'!$A$3:$B2000,""SELECT B WHERE A LIKE '""&amp;'carga de materiais'!D593&amp;""'""))"),"#REF!")</f>
        <v>#REF!</v>
      </c>
    </row>
    <row r="593">
      <c r="A593" s="120" t="str">
        <f>IFERROR(__xludf.DUMMYFUNCTION("TRANSPOSE(QUERY('Cadastro VTR/SEÇÃO/MILITAR'!$A$3:$B2000,""SELECT B WHERE A LIKE '""&amp;'carga de materiais'!D594&amp;""'""))"),"#REF!")</f>
        <v>#REF!</v>
      </c>
    </row>
    <row r="594">
      <c r="A594" s="120" t="str">
        <f>IFERROR(__xludf.DUMMYFUNCTION("TRANSPOSE(QUERY('Cadastro VTR/SEÇÃO/MILITAR'!$A$3:$B2000,""SELECT B WHERE A LIKE '""&amp;'carga de materiais'!D595&amp;""'""))"),"#REF!")</f>
        <v>#REF!</v>
      </c>
    </row>
    <row r="595">
      <c r="A595" s="120" t="str">
        <f>IFERROR(__xludf.DUMMYFUNCTION("TRANSPOSE(QUERY('Cadastro VTR/SEÇÃO/MILITAR'!$A$3:$B2000,""SELECT B WHERE A LIKE '""&amp;'carga de materiais'!D596&amp;""'""))"),"#REF!")</f>
        <v>#REF!</v>
      </c>
    </row>
    <row r="596">
      <c r="A596" s="120" t="str">
        <f>IFERROR(__xludf.DUMMYFUNCTION("TRANSPOSE(QUERY('Cadastro VTR/SEÇÃO/MILITAR'!$A$3:$B2000,""SELECT B WHERE A LIKE '""&amp;'carga de materiais'!D597&amp;""'""))"),"#REF!")</f>
        <v>#REF!</v>
      </c>
    </row>
    <row r="597">
      <c r="A597" s="120" t="str">
        <f>IFERROR(__xludf.DUMMYFUNCTION("TRANSPOSE(QUERY('Cadastro VTR/SEÇÃO/MILITAR'!$A$3:$B2000,""SELECT B WHERE A LIKE '""&amp;'carga de materiais'!D598&amp;""'""))"),"#REF!")</f>
        <v>#REF!</v>
      </c>
    </row>
    <row r="598">
      <c r="A598" s="120" t="str">
        <f>IFERROR(__xludf.DUMMYFUNCTION("TRANSPOSE(QUERY('Cadastro VTR/SEÇÃO/MILITAR'!$A$3:$B2000,""SELECT B WHERE A LIKE '""&amp;'carga de materiais'!D599&amp;""'""))"),"#REF!")</f>
        <v>#REF!</v>
      </c>
    </row>
    <row r="599">
      <c r="A599" s="120" t="str">
        <f>IFERROR(__xludf.DUMMYFUNCTION("TRANSPOSE(QUERY('Cadastro VTR/SEÇÃO/MILITAR'!$A$3:$B2000,""SELECT B WHERE A LIKE '""&amp;'carga de materiais'!D600&amp;""'""))"),"#REF!")</f>
        <v>#REF!</v>
      </c>
    </row>
    <row r="600">
      <c r="A600" s="120" t="str">
        <f>IFERROR(__xludf.DUMMYFUNCTION("TRANSPOSE(QUERY('Cadastro VTR/SEÇÃO/MILITAR'!$A$3:$B2000,""SELECT B WHERE A LIKE '""&amp;'carga de materiais'!D601&amp;""'""))"),"#REF!")</f>
        <v>#REF!</v>
      </c>
    </row>
    <row r="601">
      <c r="A601" s="120" t="str">
        <f>IFERROR(__xludf.DUMMYFUNCTION("TRANSPOSE(QUERY('Cadastro VTR/SEÇÃO/MILITAR'!$A$3:$B2000,""SELECT B WHERE A LIKE '""&amp;'carga de materiais'!D602&amp;""'""))"),"#REF!")</f>
        <v>#REF!</v>
      </c>
    </row>
    <row r="602">
      <c r="A602" s="120" t="str">
        <f>IFERROR(__xludf.DUMMYFUNCTION("TRANSPOSE(QUERY('Cadastro VTR/SEÇÃO/MILITAR'!$A$3:$B2000,""SELECT B WHERE A LIKE '""&amp;'carga de materiais'!D603&amp;""'""))"),"#REF!")</f>
        <v>#REF!</v>
      </c>
    </row>
    <row r="603">
      <c r="A603" s="120" t="str">
        <f>IFERROR(__xludf.DUMMYFUNCTION("TRANSPOSE(QUERY('Cadastro VTR/SEÇÃO/MILITAR'!$A$3:$B2000,""SELECT B WHERE A LIKE '""&amp;'carga de materiais'!D604&amp;""'""))"),"#REF!")</f>
        <v>#REF!</v>
      </c>
    </row>
    <row r="604">
      <c r="A604" s="120" t="str">
        <f>IFERROR(__xludf.DUMMYFUNCTION("TRANSPOSE(QUERY('Cadastro VTR/SEÇÃO/MILITAR'!$A$3:$B2000,""SELECT B WHERE A LIKE '""&amp;'carga de materiais'!D605&amp;""'""))"),"#REF!")</f>
        <v>#REF!</v>
      </c>
    </row>
    <row r="605">
      <c r="A605" s="120" t="str">
        <f>IFERROR(__xludf.DUMMYFUNCTION("TRANSPOSE(QUERY('Cadastro VTR/SEÇÃO/MILITAR'!$A$3:$B2000,""SELECT B WHERE A LIKE '""&amp;'carga de materiais'!D606&amp;""'""))"),"#REF!")</f>
        <v>#REF!</v>
      </c>
    </row>
    <row r="606">
      <c r="A606" s="120" t="str">
        <f>IFERROR(__xludf.DUMMYFUNCTION("TRANSPOSE(QUERY('Cadastro VTR/SEÇÃO/MILITAR'!$A$3:$B2000,""SELECT B WHERE A LIKE '""&amp;'carga de materiais'!D607&amp;""'""))"),"#REF!")</f>
        <v>#REF!</v>
      </c>
    </row>
    <row r="607">
      <c r="A607" s="120" t="str">
        <f>IFERROR(__xludf.DUMMYFUNCTION("TRANSPOSE(QUERY('Cadastro VTR/SEÇÃO/MILITAR'!$A$3:$B2000,""SELECT B WHERE A LIKE '""&amp;'carga de materiais'!D608&amp;""'""))"),"#REF!")</f>
        <v>#REF!</v>
      </c>
    </row>
    <row r="608">
      <c r="A608" s="120" t="str">
        <f>IFERROR(__xludf.DUMMYFUNCTION("TRANSPOSE(QUERY('Cadastro VTR/SEÇÃO/MILITAR'!$A$3:$B2000,""SELECT B WHERE A LIKE '""&amp;'carga de materiais'!D609&amp;""'""))"),"#REF!")</f>
        <v>#REF!</v>
      </c>
    </row>
    <row r="609">
      <c r="A609" s="120" t="str">
        <f>IFERROR(__xludf.DUMMYFUNCTION("TRANSPOSE(QUERY('Cadastro VTR/SEÇÃO/MILITAR'!$A$3:$B2000,""SELECT B WHERE A LIKE '""&amp;'carga de materiais'!D610&amp;""'""))"),"#REF!")</f>
        <v>#REF!</v>
      </c>
    </row>
    <row r="610">
      <c r="A610" s="120" t="str">
        <f>IFERROR(__xludf.DUMMYFUNCTION("TRANSPOSE(QUERY('Cadastro VTR/SEÇÃO/MILITAR'!$A$3:$B2000,""SELECT B WHERE A LIKE '""&amp;'carga de materiais'!D611&amp;""'""))"),"#REF!")</f>
        <v>#REF!</v>
      </c>
    </row>
    <row r="611">
      <c r="A611" s="120" t="str">
        <f>IFERROR(__xludf.DUMMYFUNCTION("TRANSPOSE(QUERY('Cadastro VTR/SEÇÃO/MILITAR'!$A$3:$B2000,""SELECT B WHERE A LIKE '""&amp;'carga de materiais'!D612&amp;""'""))"),"#REF!")</f>
        <v>#REF!</v>
      </c>
    </row>
    <row r="612">
      <c r="A612" s="120" t="str">
        <f>IFERROR(__xludf.DUMMYFUNCTION("TRANSPOSE(QUERY('Cadastro VTR/SEÇÃO/MILITAR'!$A$3:$B2000,""SELECT B WHERE A LIKE '""&amp;'carga de materiais'!D613&amp;""'""))"),"#REF!")</f>
        <v>#REF!</v>
      </c>
    </row>
    <row r="613">
      <c r="A613" s="120" t="str">
        <f>IFERROR(__xludf.DUMMYFUNCTION("TRANSPOSE(QUERY('Cadastro VTR/SEÇÃO/MILITAR'!$A$3:$B2000,""SELECT B WHERE A LIKE '""&amp;'carga de materiais'!D614&amp;""'""))"),"#REF!")</f>
        <v>#REF!</v>
      </c>
    </row>
    <row r="614">
      <c r="A614" s="120" t="str">
        <f>IFERROR(__xludf.DUMMYFUNCTION("TRANSPOSE(QUERY('Cadastro VTR/SEÇÃO/MILITAR'!$A$3:$B2000,""SELECT B WHERE A LIKE '""&amp;'carga de materiais'!D615&amp;""'""))"),"#REF!")</f>
        <v>#REF!</v>
      </c>
    </row>
    <row r="615">
      <c r="A615" s="120" t="str">
        <f>IFERROR(__xludf.DUMMYFUNCTION("TRANSPOSE(QUERY('Cadastro VTR/SEÇÃO/MILITAR'!$A$3:$B2000,""SELECT B WHERE A LIKE '""&amp;'carga de materiais'!D616&amp;""'""))"),"#REF!")</f>
        <v>#REF!</v>
      </c>
    </row>
    <row r="616">
      <c r="A616" s="120" t="str">
        <f>IFERROR(__xludf.DUMMYFUNCTION("TRANSPOSE(QUERY('Cadastro VTR/SEÇÃO/MILITAR'!$A$3:$B2000,""SELECT B WHERE A LIKE '""&amp;'carga de materiais'!D617&amp;""'""))"),"#REF!")</f>
        <v>#REF!</v>
      </c>
    </row>
    <row r="617">
      <c r="A617" s="120" t="str">
        <f>IFERROR(__xludf.DUMMYFUNCTION("TRANSPOSE(QUERY('Cadastro VTR/SEÇÃO/MILITAR'!$A$3:$B2000,""SELECT B WHERE A LIKE '""&amp;'carga de materiais'!D618&amp;""'""))"),"#REF!")</f>
        <v>#REF!</v>
      </c>
    </row>
    <row r="618">
      <c r="A618" s="120" t="str">
        <f>IFERROR(__xludf.DUMMYFUNCTION("TRANSPOSE(QUERY('Cadastro VTR/SEÇÃO/MILITAR'!$A$3:$B2000,""SELECT B WHERE A LIKE '""&amp;'carga de materiais'!D619&amp;""'""))"),"#REF!")</f>
        <v>#REF!</v>
      </c>
    </row>
    <row r="619">
      <c r="A619" s="120" t="str">
        <f>IFERROR(__xludf.DUMMYFUNCTION("TRANSPOSE(QUERY('Cadastro VTR/SEÇÃO/MILITAR'!$A$3:$B2000,""SELECT B WHERE A LIKE '""&amp;'carga de materiais'!D620&amp;""'""))"),"#REF!")</f>
        <v>#REF!</v>
      </c>
    </row>
    <row r="620">
      <c r="A620" s="120" t="str">
        <f>IFERROR(__xludf.DUMMYFUNCTION("TRANSPOSE(QUERY('Cadastro VTR/SEÇÃO/MILITAR'!$A$3:$B2000,""SELECT B WHERE A LIKE '""&amp;'carga de materiais'!D621&amp;""'""))"),"#REF!")</f>
        <v>#REF!</v>
      </c>
    </row>
    <row r="621">
      <c r="A621" s="120" t="str">
        <f>IFERROR(__xludf.DUMMYFUNCTION("TRANSPOSE(QUERY('Cadastro VTR/SEÇÃO/MILITAR'!$A$3:$B2000,""SELECT B WHERE A LIKE '""&amp;'carga de materiais'!D622&amp;""'""))"),"#REF!")</f>
        <v>#REF!</v>
      </c>
    </row>
    <row r="622">
      <c r="A622" s="120" t="str">
        <f>IFERROR(__xludf.DUMMYFUNCTION("TRANSPOSE(QUERY('Cadastro VTR/SEÇÃO/MILITAR'!$A$3:$B2000,""SELECT B WHERE A LIKE '""&amp;'carga de materiais'!D623&amp;""'""))"),"#REF!")</f>
        <v>#REF!</v>
      </c>
    </row>
    <row r="623">
      <c r="A623" s="120" t="str">
        <f>IFERROR(__xludf.DUMMYFUNCTION("TRANSPOSE(QUERY('Cadastro VTR/SEÇÃO/MILITAR'!$A$3:$B2000,""SELECT B WHERE A LIKE '""&amp;'carga de materiais'!D624&amp;""'""))"),"#REF!")</f>
        <v>#REF!</v>
      </c>
    </row>
    <row r="624">
      <c r="A624" s="120" t="str">
        <f>IFERROR(__xludf.DUMMYFUNCTION("TRANSPOSE(QUERY('Cadastro VTR/SEÇÃO/MILITAR'!$A$3:$B2000,""SELECT B WHERE A LIKE '""&amp;'carga de materiais'!D625&amp;""'""))"),"#REF!")</f>
        <v>#REF!</v>
      </c>
    </row>
    <row r="625">
      <c r="A625" s="120" t="str">
        <f>IFERROR(__xludf.DUMMYFUNCTION("TRANSPOSE(QUERY('Cadastro VTR/SEÇÃO/MILITAR'!$A$3:$B2000,""SELECT B WHERE A LIKE '""&amp;'carga de materiais'!D626&amp;""'""))"),"#REF!")</f>
        <v>#REF!</v>
      </c>
    </row>
    <row r="626">
      <c r="A626" s="120" t="str">
        <f>IFERROR(__xludf.DUMMYFUNCTION("TRANSPOSE(QUERY('Cadastro VTR/SEÇÃO/MILITAR'!$A$3:$B2000,""SELECT B WHERE A LIKE '""&amp;'carga de materiais'!D627&amp;""'""))"),"#REF!")</f>
        <v>#REF!</v>
      </c>
    </row>
    <row r="627">
      <c r="A627" s="120" t="str">
        <f>IFERROR(__xludf.DUMMYFUNCTION("TRANSPOSE(QUERY('Cadastro VTR/SEÇÃO/MILITAR'!$A$3:$B2000,""SELECT B WHERE A LIKE '""&amp;'carga de materiais'!D628&amp;""'""))"),"#REF!")</f>
        <v>#REF!</v>
      </c>
    </row>
    <row r="628">
      <c r="A628" s="120" t="str">
        <f>IFERROR(__xludf.DUMMYFUNCTION("TRANSPOSE(QUERY('Cadastro VTR/SEÇÃO/MILITAR'!$A$3:$B2000,""SELECT B WHERE A LIKE '""&amp;'carga de materiais'!D629&amp;""'""))"),"#REF!")</f>
        <v>#REF!</v>
      </c>
    </row>
    <row r="629">
      <c r="A629" s="120" t="str">
        <f>IFERROR(__xludf.DUMMYFUNCTION("TRANSPOSE(QUERY('Cadastro VTR/SEÇÃO/MILITAR'!$A$3:$B2000,""SELECT B WHERE A LIKE '""&amp;'carga de materiais'!D630&amp;""'""))"),"#REF!")</f>
        <v>#REF!</v>
      </c>
    </row>
    <row r="630">
      <c r="A630" s="120" t="str">
        <f>IFERROR(__xludf.DUMMYFUNCTION("TRANSPOSE(QUERY('Cadastro VTR/SEÇÃO/MILITAR'!$A$3:$B2000,""SELECT B WHERE A LIKE '""&amp;'carga de materiais'!D631&amp;""'""))"),"#REF!")</f>
        <v>#REF!</v>
      </c>
    </row>
    <row r="631">
      <c r="A631" s="120" t="str">
        <f>IFERROR(__xludf.DUMMYFUNCTION("TRANSPOSE(QUERY('Cadastro VTR/SEÇÃO/MILITAR'!$A$3:$B2000,""SELECT B WHERE A LIKE '""&amp;'carga de materiais'!D632&amp;""'""))"),"#REF!")</f>
        <v>#REF!</v>
      </c>
    </row>
    <row r="632">
      <c r="A632" s="120" t="str">
        <f>IFERROR(__xludf.DUMMYFUNCTION("TRANSPOSE(QUERY('Cadastro VTR/SEÇÃO/MILITAR'!$A$3:$B2000,""SELECT B WHERE A LIKE '""&amp;'carga de materiais'!D633&amp;""'""))"),"#REF!")</f>
        <v>#REF!</v>
      </c>
    </row>
    <row r="633">
      <c r="A633" s="120" t="str">
        <f>IFERROR(__xludf.DUMMYFUNCTION("TRANSPOSE(QUERY('Cadastro VTR/SEÇÃO/MILITAR'!$A$3:$B2000,""SELECT B WHERE A LIKE '""&amp;'carga de materiais'!D634&amp;""'""))"),"#REF!")</f>
        <v>#REF!</v>
      </c>
    </row>
    <row r="634">
      <c r="A634" s="120" t="str">
        <f>IFERROR(__xludf.DUMMYFUNCTION("TRANSPOSE(QUERY('Cadastro VTR/SEÇÃO/MILITAR'!$A$3:$B2000,""SELECT B WHERE A LIKE '""&amp;'carga de materiais'!D635&amp;""'""))"),"#REF!")</f>
        <v>#REF!</v>
      </c>
    </row>
    <row r="635">
      <c r="A635" s="120" t="str">
        <f>IFERROR(__xludf.DUMMYFUNCTION("TRANSPOSE(QUERY('Cadastro VTR/SEÇÃO/MILITAR'!$A$3:$B2000,""SELECT B WHERE A LIKE '""&amp;'carga de materiais'!D636&amp;""'""))"),"#REF!")</f>
        <v>#REF!</v>
      </c>
    </row>
    <row r="636">
      <c r="A636" s="120" t="str">
        <f>IFERROR(__xludf.DUMMYFUNCTION("TRANSPOSE(QUERY('Cadastro VTR/SEÇÃO/MILITAR'!$A$3:$B2000,""SELECT B WHERE A LIKE '""&amp;'carga de materiais'!D637&amp;""'""))"),"#REF!")</f>
        <v>#REF!</v>
      </c>
    </row>
    <row r="637">
      <c r="A637" s="120" t="str">
        <f>IFERROR(__xludf.DUMMYFUNCTION("TRANSPOSE(QUERY('Cadastro VTR/SEÇÃO/MILITAR'!$A$3:$B2000,""SELECT B WHERE A LIKE '""&amp;'carga de materiais'!D638&amp;""'""))"),"#REF!")</f>
        <v>#REF!</v>
      </c>
      <c r="B637" s="87"/>
      <c r="C637" s="87"/>
      <c r="D637" s="87"/>
      <c r="E637" s="87"/>
      <c r="F637" s="87"/>
      <c r="G637" s="87"/>
      <c r="H637" s="87"/>
      <c r="I637" s="87"/>
      <c r="J637" s="87"/>
      <c r="K637" s="87"/>
      <c r="L637" s="87"/>
      <c r="M637" s="87"/>
      <c r="N637" s="87"/>
      <c r="O637" s="87"/>
      <c r="P637" s="87"/>
      <c r="Q637" s="87"/>
      <c r="R637" s="87"/>
      <c r="S637" s="87"/>
      <c r="T637" s="87"/>
      <c r="U637" s="87"/>
      <c r="V637" s="87"/>
      <c r="W637" s="87"/>
      <c r="X637" s="87"/>
      <c r="Y637" s="87"/>
      <c r="Z637" s="87"/>
      <c r="AA637" s="87"/>
      <c r="AB637" s="87"/>
      <c r="AC637" s="87"/>
      <c r="AD637" s="87"/>
      <c r="AE637" s="87"/>
      <c r="AF637" s="87"/>
      <c r="AG637" s="87"/>
      <c r="AH637" s="87"/>
      <c r="AI637" s="87"/>
      <c r="AJ637" s="87"/>
      <c r="AK637" s="87"/>
      <c r="AL637" s="87"/>
      <c r="AM637" s="87"/>
      <c r="AN637" s="87"/>
      <c r="AO637" s="87"/>
      <c r="AP637" s="87"/>
      <c r="AQ637" s="87"/>
      <c r="AR637" s="87"/>
      <c r="AS637" s="87"/>
      <c r="AT637" s="87"/>
      <c r="AU637" s="87"/>
      <c r="AV637" s="87"/>
      <c r="AW637" s="87"/>
      <c r="AX637" s="87"/>
      <c r="AY637" s="87"/>
      <c r="AZ637" s="87"/>
      <c r="BA637" s="87"/>
      <c r="BB637" s="87"/>
      <c r="BC637" s="87"/>
      <c r="BD637" s="87"/>
      <c r="BE637" s="87"/>
      <c r="BF637" s="87"/>
      <c r="BG637" s="87"/>
      <c r="BH637" s="87"/>
      <c r="BI637" s="87"/>
      <c r="BJ637" s="87"/>
      <c r="BK637" s="87"/>
      <c r="BL637" s="87"/>
      <c r="BM637" s="87"/>
      <c r="BN637" s="87"/>
      <c r="BO637" s="87"/>
      <c r="BP637" s="87"/>
      <c r="BQ637" s="87"/>
      <c r="BR637" s="87"/>
      <c r="BS637" s="87"/>
      <c r="BT637" s="87"/>
      <c r="BU637" s="87"/>
      <c r="BV637" s="87"/>
      <c r="BW637" s="87"/>
      <c r="BX637" s="87"/>
      <c r="BY637" s="87"/>
      <c r="BZ637" s="87"/>
      <c r="CA637" s="87"/>
      <c r="CB637" s="87"/>
      <c r="CC637" s="87"/>
      <c r="CD637" s="87"/>
      <c r="CE637" s="87"/>
      <c r="CF637" s="87"/>
      <c r="CG637" s="87"/>
      <c r="CH637" s="87"/>
      <c r="CI637" s="87"/>
      <c r="CJ637" s="87"/>
      <c r="CK637" s="87"/>
      <c r="CL637" s="87"/>
      <c r="CM637" s="87"/>
      <c r="CN637" s="87"/>
      <c r="CO637" s="87"/>
      <c r="CP637" s="87"/>
      <c r="CQ637" s="87"/>
      <c r="CR637" s="87"/>
      <c r="CS637" s="87"/>
      <c r="CT637" s="87"/>
      <c r="CU637" s="87"/>
      <c r="CV637" s="87"/>
      <c r="CW637" s="87"/>
      <c r="CX637" s="87"/>
      <c r="CY637" s="87"/>
      <c r="CZ637" s="87"/>
      <c r="DA637" s="87"/>
      <c r="DB637" s="87"/>
      <c r="DC637" s="87"/>
      <c r="DD637" s="87"/>
      <c r="DE637" s="87"/>
      <c r="DF637" s="87"/>
      <c r="DG637" s="87"/>
      <c r="DH637" s="87"/>
      <c r="DI637" s="87"/>
    </row>
    <row r="638">
      <c r="A638" s="120" t="str">
        <f>IFERROR(__xludf.DUMMYFUNCTION("TRANSPOSE(QUERY('Cadastro VTR/SEÇÃO/MILITAR'!$A$3:$B2000,""SELECT B WHERE A LIKE '""&amp;'carga de materiais'!D639&amp;""'""))"),"#REF!")</f>
        <v>#REF!</v>
      </c>
    </row>
    <row r="639">
      <c r="A639" s="120" t="str">
        <f>IFERROR(__xludf.DUMMYFUNCTION("TRANSPOSE(QUERY('Cadastro VTR/SEÇÃO/MILITAR'!$A$3:$B2000,""SELECT B WHERE A LIKE '""&amp;'carga de materiais'!D640&amp;""'""))"),"#REF!")</f>
        <v>#REF!</v>
      </c>
    </row>
    <row r="640">
      <c r="A640" s="120" t="str">
        <f>IFERROR(__xludf.DUMMYFUNCTION("TRANSPOSE(QUERY('Cadastro VTR/SEÇÃO/MILITAR'!$A$3:$B2000,""SELECT B WHERE A LIKE '""&amp;'carga de materiais'!D641&amp;""'""))"),"#REF!")</f>
        <v>#REF!</v>
      </c>
    </row>
    <row r="641">
      <c r="A641" s="120" t="str">
        <f>IFERROR(__xludf.DUMMYFUNCTION("TRANSPOSE(QUERY('Cadastro VTR/SEÇÃO/MILITAR'!$A$3:$B2000,""SELECT B WHERE A LIKE '""&amp;'carga de materiais'!D642&amp;""'""))"),"#REF!")</f>
        <v>#REF!</v>
      </c>
    </row>
    <row r="642">
      <c r="A642" s="120" t="str">
        <f>IFERROR(__xludf.DUMMYFUNCTION("TRANSPOSE(QUERY('Cadastro VTR/SEÇÃO/MILITAR'!$A$3:$B2000,""SELECT B WHERE A LIKE '""&amp;'carga de materiais'!D643&amp;""'""))"),"#REF!")</f>
        <v>#REF!</v>
      </c>
    </row>
    <row r="643">
      <c r="A643" s="120" t="str">
        <f>IFERROR(__xludf.DUMMYFUNCTION("TRANSPOSE(QUERY('Cadastro VTR/SEÇÃO/MILITAR'!$A$3:$B2000,""SELECT B WHERE A LIKE '""&amp;'carga de materiais'!D644&amp;""'""))"),"#REF!")</f>
        <v>#REF!</v>
      </c>
    </row>
    <row r="644">
      <c r="A644" s="120" t="str">
        <f>IFERROR(__xludf.DUMMYFUNCTION("TRANSPOSE(QUERY('Cadastro VTR/SEÇÃO/MILITAR'!$A$3:$B2000,""SELECT B WHERE A LIKE '""&amp;'carga de materiais'!D645&amp;""'""))"),"#REF!")</f>
        <v>#REF!</v>
      </c>
    </row>
    <row r="645">
      <c r="A645" s="120" t="str">
        <f>IFERROR(__xludf.DUMMYFUNCTION("TRANSPOSE(QUERY('Cadastro VTR/SEÇÃO/MILITAR'!$A$3:$B2000,""SELECT B WHERE A LIKE '""&amp;'carga de materiais'!D646&amp;""'""))"),"#REF!")</f>
        <v>#REF!</v>
      </c>
      <c r="B645" s="87"/>
      <c r="C645" s="87"/>
      <c r="D645" s="87"/>
      <c r="E645" s="87"/>
      <c r="F645" s="87"/>
      <c r="G645" s="87"/>
      <c r="H645" s="87"/>
      <c r="I645" s="87"/>
      <c r="J645" s="87"/>
      <c r="K645" s="87"/>
      <c r="L645" s="87"/>
      <c r="M645" s="87"/>
      <c r="N645" s="87"/>
      <c r="O645" s="87"/>
      <c r="P645" s="87"/>
      <c r="Q645" s="87"/>
      <c r="R645" s="87"/>
      <c r="S645" s="87"/>
      <c r="T645" s="87"/>
      <c r="U645" s="87"/>
      <c r="V645" s="87"/>
      <c r="W645" s="87"/>
      <c r="X645" s="87"/>
      <c r="Y645" s="87"/>
      <c r="Z645" s="87"/>
      <c r="AA645" s="87"/>
      <c r="AB645" s="87"/>
      <c r="AC645" s="87"/>
      <c r="AD645" s="87"/>
      <c r="AE645" s="87"/>
      <c r="AF645" s="87"/>
      <c r="AG645" s="87"/>
      <c r="AH645" s="87"/>
      <c r="AI645" s="87"/>
      <c r="AJ645" s="87"/>
      <c r="AK645" s="87"/>
      <c r="AL645" s="87"/>
      <c r="AM645" s="87"/>
      <c r="AN645" s="87"/>
      <c r="AO645" s="87"/>
      <c r="AP645" s="87"/>
      <c r="AQ645" s="87"/>
      <c r="AR645" s="87"/>
      <c r="AS645" s="87"/>
      <c r="AT645" s="87"/>
      <c r="AU645" s="87"/>
      <c r="AV645" s="87"/>
      <c r="AW645" s="87"/>
      <c r="AX645" s="87"/>
      <c r="AY645" s="87"/>
      <c r="AZ645" s="87"/>
      <c r="BA645" s="87"/>
      <c r="BB645" s="87"/>
      <c r="BC645" s="87"/>
      <c r="BD645" s="87"/>
      <c r="BE645" s="87"/>
      <c r="BF645" s="87"/>
      <c r="BG645" s="87"/>
      <c r="BH645" s="87"/>
      <c r="BI645" s="87"/>
      <c r="BJ645" s="87"/>
      <c r="BK645" s="87"/>
      <c r="BL645" s="87"/>
      <c r="BM645" s="87"/>
      <c r="BN645" s="87"/>
      <c r="BO645" s="87"/>
      <c r="BP645" s="87"/>
      <c r="BQ645" s="87"/>
      <c r="BR645" s="87"/>
      <c r="BS645" s="87"/>
      <c r="BT645" s="87"/>
      <c r="BU645" s="87"/>
      <c r="BV645" s="87"/>
      <c r="BW645" s="87"/>
      <c r="BX645" s="87"/>
      <c r="BY645" s="87"/>
      <c r="BZ645" s="87"/>
      <c r="CA645" s="87"/>
      <c r="CB645" s="87"/>
      <c r="CC645" s="87"/>
      <c r="CD645" s="87"/>
      <c r="CE645" s="87"/>
      <c r="CF645" s="87"/>
      <c r="CG645" s="87"/>
      <c r="CH645" s="87"/>
      <c r="CI645" s="87"/>
      <c r="CJ645" s="87"/>
      <c r="CK645" s="87"/>
      <c r="CL645" s="87"/>
      <c r="CM645" s="87"/>
      <c r="CN645" s="87"/>
      <c r="CO645" s="87"/>
      <c r="CP645" s="87"/>
      <c r="CQ645" s="87"/>
      <c r="CR645" s="87"/>
      <c r="CS645" s="87"/>
      <c r="CT645" s="87"/>
      <c r="CU645" s="87"/>
      <c r="CV645" s="87"/>
      <c r="CW645" s="87"/>
      <c r="CX645" s="87"/>
      <c r="CY645" s="87"/>
      <c r="CZ645" s="87"/>
      <c r="DA645" s="87"/>
      <c r="DB645" s="87"/>
      <c r="DC645" s="87"/>
      <c r="DD645" s="87"/>
      <c r="DE645" s="87"/>
      <c r="DF645" s="87"/>
      <c r="DG645" s="87"/>
      <c r="DH645" s="87"/>
      <c r="DI645" s="87"/>
    </row>
    <row r="646">
      <c r="A646" s="120" t="str">
        <f>IFERROR(__xludf.DUMMYFUNCTION("TRANSPOSE(QUERY('Cadastro VTR/SEÇÃO/MILITAR'!$A$3:$B2000,""SELECT B WHERE A LIKE '""&amp;'carga de materiais'!D647&amp;""'""))"),"#REF!")</f>
        <v>#REF!</v>
      </c>
    </row>
    <row r="647">
      <c r="A647" s="120" t="str">
        <f>IFERROR(__xludf.DUMMYFUNCTION("TRANSPOSE(QUERY('Cadastro VTR/SEÇÃO/MILITAR'!$A$3:$B2000,""SELECT B WHERE A LIKE '""&amp;'carga de materiais'!D648&amp;""'""))"),"#REF!")</f>
        <v>#REF!</v>
      </c>
    </row>
    <row r="648">
      <c r="A648" s="120" t="str">
        <f>IFERROR(__xludf.DUMMYFUNCTION("TRANSPOSE(QUERY('Cadastro VTR/SEÇÃO/MILITAR'!$A$3:$B2000,""SELECT B WHERE A LIKE '""&amp;'carga de materiais'!D649&amp;""'""))"),"#REF!")</f>
        <v>#REF!</v>
      </c>
    </row>
    <row r="649">
      <c r="A649" s="120" t="str">
        <f>IFERROR(__xludf.DUMMYFUNCTION("TRANSPOSE(QUERY('Cadastro VTR/SEÇÃO/MILITAR'!$A$3:$B2000,""SELECT B WHERE A LIKE '""&amp;'carga de materiais'!D650&amp;""'""))"),"#REF!")</f>
        <v>#REF!</v>
      </c>
    </row>
    <row r="650">
      <c r="A650" s="120" t="str">
        <f>IFERROR(__xludf.DUMMYFUNCTION("TRANSPOSE(QUERY('Cadastro VTR/SEÇÃO/MILITAR'!$A$3:$B2000,""SELECT B WHERE A LIKE '""&amp;'carga de materiais'!D651&amp;""'""))"),"#REF!")</f>
        <v>#REF!</v>
      </c>
    </row>
    <row r="651">
      <c r="A651" s="120" t="str">
        <f>IFERROR(__xludf.DUMMYFUNCTION("TRANSPOSE(QUERY('Cadastro VTR/SEÇÃO/MILITAR'!$A$3:$B2000,""SELECT B WHERE A LIKE '""&amp;'carga de materiais'!D652&amp;""'""))"),"#REF!")</f>
        <v>#REF!</v>
      </c>
    </row>
    <row r="652">
      <c r="A652" s="120" t="str">
        <f>IFERROR(__xludf.DUMMYFUNCTION("TRANSPOSE(QUERY('Cadastro VTR/SEÇÃO/MILITAR'!$A$3:$B2000,""SELECT B WHERE A LIKE '""&amp;'carga de materiais'!D653&amp;""'""))"),"#REF!")</f>
        <v>#REF!</v>
      </c>
    </row>
    <row r="653">
      <c r="A653" s="120" t="str">
        <f>IFERROR(__xludf.DUMMYFUNCTION("TRANSPOSE(QUERY('Cadastro VTR/SEÇÃO/MILITAR'!$A$3:$B2000,""SELECT B WHERE A LIKE '""&amp;'carga de materiais'!D654&amp;""'""))"),"#REF!")</f>
        <v>#REF!</v>
      </c>
    </row>
    <row r="654">
      <c r="A654" s="120" t="str">
        <f>IFERROR(__xludf.DUMMYFUNCTION("TRANSPOSE(QUERY('Cadastro VTR/SEÇÃO/MILITAR'!$A$3:$B2000,""SELECT B WHERE A LIKE '""&amp;'carga de materiais'!D655&amp;""'""))"),"#REF!")</f>
        <v>#REF!</v>
      </c>
    </row>
    <row r="655">
      <c r="A655" s="120" t="str">
        <f>IFERROR(__xludf.DUMMYFUNCTION("TRANSPOSE(QUERY('Cadastro VTR/SEÇÃO/MILITAR'!$A$3:$B2000,""SELECT B WHERE A LIKE '""&amp;'carga de materiais'!D656&amp;""'""))"),"#REF!")</f>
        <v>#REF!</v>
      </c>
    </row>
    <row r="656">
      <c r="A656" s="120" t="str">
        <f>IFERROR(__xludf.DUMMYFUNCTION("TRANSPOSE(QUERY('Cadastro VTR/SEÇÃO/MILITAR'!$A$3:$B2000,""SELECT B WHERE A LIKE '""&amp;'carga de materiais'!D657&amp;""'""))"),"#REF!")</f>
        <v>#REF!</v>
      </c>
    </row>
    <row r="657">
      <c r="A657" s="120" t="str">
        <f>IFERROR(__xludf.DUMMYFUNCTION("TRANSPOSE(QUERY('Cadastro VTR/SEÇÃO/MILITAR'!$A$3:$B2000,""SELECT B WHERE A LIKE '""&amp;'carga de materiais'!D658&amp;""'""))"),"#REF!")</f>
        <v>#REF!</v>
      </c>
    </row>
    <row r="658">
      <c r="A658" s="120" t="str">
        <f>IFERROR(__xludf.DUMMYFUNCTION("TRANSPOSE(QUERY('Cadastro VTR/SEÇÃO/MILITAR'!$A$3:$B2000,""SELECT B WHERE A LIKE '""&amp;'carga de materiais'!D659&amp;""'""))"),"#REF!")</f>
        <v>#REF!</v>
      </c>
    </row>
    <row r="659">
      <c r="A659" s="120" t="str">
        <f>IFERROR(__xludf.DUMMYFUNCTION("TRANSPOSE(QUERY('Cadastro VTR/SEÇÃO/MILITAR'!$A$3:$B2000,""SELECT B WHERE A LIKE '""&amp;'carga de materiais'!D660&amp;""'""))"),"#REF!")</f>
        <v>#REF!</v>
      </c>
    </row>
    <row r="660">
      <c r="A660" s="120" t="str">
        <f>IFERROR(__xludf.DUMMYFUNCTION("TRANSPOSE(QUERY('Cadastro VTR/SEÇÃO/MILITAR'!$A$3:$B2000,""SELECT B WHERE A LIKE '""&amp;'carga de materiais'!D661&amp;""'""))"),"#REF!")</f>
        <v>#REF!</v>
      </c>
    </row>
    <row r="661">
      <c r="A661" s="120" t="str">
        <f>IFERROR(__xludf.DUMMYFUNCTION("TRANSPOSE(QUERY('Cadastro VTR/SEÇÃO/MILITAR'!$A$3:$B2000,""SELECT B WHERE A LIKE '""&amp;'carga de materiais'!D662&amp;""'""))"),"#REF!")</f>
        <v>#REF!</v>
      </c>
    </row>
    <row r="662">
      <c r="A662" s="120" t="str">
        <f>IFERROR(__xludf.DUMMYFUNCTION("TRANSPOSE(QUERY('Cadastro VTR/SEÇÃO/MILITAR'!$A$3:$B2000,""SELECT B WHERE A LIKE '""&amp;'carga de materiais'!D663&amp;""'""))"),"#REF!")</f>
        <v>#REF!</v>
      </c>
    </row>
    <row r="663">
      <c r="A663" s="120" t="str">
        <f>IFERROR(__xludf.DUMMYFUNCTION("TRANSPOSE(QUERY('Cadastro VTR/SEÇÃO/MILITAR'!$A$3:$B2000,""SELECT B WHERE A LIKE '""&amp;'carga de materiais'!D664&amp;""'""))"),"#REF!")</f>
        <v>#REF!</v>
      </c>
    </row>
    <row r="664">
      <c r="A664" s="120" t="str">
        <f>IFERROR(__xludf.DUMMYFUNCTION("TRANSPOSE(QUERY('Cadastro VTR/SEÇÃO/MILITAR'!$A$3:$B2000,""SELECT B WHERE A LIKE '""&amp;'carga de materiais'!D665&amp;""'""))"),"#REF!")</f>
        <v>#REF!</v>
      </c>
    </row>
    <row r="665">
      <c r="A665" s="120" t="str">
        <f>IFERROR(__xludf.DUMMYFUNCTION("TRANSPOSE(QUERY('Cadastro VTR/SEÇÃO/MILITAR'!$A$3:$B2000,""SELECT B WHERE A LIKE '""&amp;'carga de materiais'!D666&amp;""'""))"),"#REF!")</f>
        <v>#REF!</v>
      </c>
    </row>
    <row r="666">
      <c r="A666" s="120" t="str">
        <f>IFERROR(__xludf.DUMMYFUNCTION("TRANSPOSE(QUERY('Cadastro VTR/SEÇÃO/MILITAR'!$A$3:$B2000,""SELECT B WHERE A LIKE '""&amp;'carga de materiais'!D667&amp;""'""))"),"#REF!")</f>
        <v>#REF!</v>
      </c>
    </row>
    <row r="667">
      <c r="A667" s="120" t="str">
        <f>IFERROR(__xludf.DUMMYFUNCTION("TRANSPOSE(QUERY('Cadastro VTR/SEÇÃO/MILITAR'!$A$3:$B2000,""SELECT B WHERE A LIKE '""&amp;'carga de materiais'!D668&amp;""'""))"),"#REF!")</f>
        <v>#REF!</v>
      </c>
    </row>
    <row r="668">
      <c r="A668" s="120" t="str">
        <f>IFERROR(__xludf.DUMMYFUNCTION("TRANSPOSE(QUERY('Cadastro VTR/SEÇÃO/MILITAR'!$A$3:$B2000,""SELECT B WHERE A LIKE '""&amp;'carga de materiais'!D669&amp;""'""))"),"#REF!")</f>
        <v>#REF!</v>
      </c>
    </row>
    <row r="669">
      <c r="A669" s="120" t="str">
        <f>IFERROR(__xludf.DUMMYFUNCTION("TRANSPOSE(QUERY('Cadastro VTR/SEÇÃO/MILITAR'!$A$3:$B2000,""SELECT B WHERE A LIKE '""&amp;'carga de materiais'!D670&amp;""'""))"),"#REF!")</f>
        <v>#REF!</v>
      </c>
    </row>
    <row r="670">
      <c r="A670" s="120" t="str">
        <f>IFERROR(__xludf.DUMMYFUNCTION("TRANSPOSE(QUERY('Cadastro VTR/SEÇÃO/MILITAR'!$A$3:$B2000,""SELECT B WHERE A LIKE '""&amp;'carga de materiais'!D671&amp;""'""))"),"#REF!")</f>
        <v>#REF!</v>
      </c>
    </row>
    <row r="671">
      <c r="A671" s="120" t="str">
        <f>IFERROR(__xludf.DUMMYFUNCTION("TRANSPOSE(QUERY('Cadastro VTR/SEÇÃO/MILITAR'!$A$3:$B2000,""SELECT B WHERE A LIKE '""&amp;'carga de materiais'!D672&amp;""'""))"),"#REF!")</f>
        <v>#REF!</v>
      </c>
    </row>
    <row r="672">
      <c r="A672" s="120" t="str">
        <f>IFERROR(__xludf.DUMMYFUNCTION("TRANSPOSE(QUERY('Cadastro VTR/SEÇÃO/MILITAR'!$A$3:$B2000,""SELECT B WHERE A LIKE '""&amp;'carga de materiais'!D673&amp;""'""))"),"#REF!")</f>
        <v>#REF!</v>
      </c>
    </row>
    <row r="673">
      <c r="A673" s="120" t="str">
        <f>IFERROR(__xludf.DUMMYFUNCTION("TRANSPOSE(QUERY('Cadastro VTR/SEÇÃO/MILITAR'!$A$3:$B2000,""SELECT B WHERE A LIKE '""&amp;'carga de materiais'!D674&amp;""'""))"),"#REF!")</f>
        <v>#REF!</v>
      </c>
    </row>
    <row r="674">
      <c r="A674" s="120" t="str">
        <f>IFERROR(__xludf.DUMMYFUNCTION("TRANSPOSE(QUERY('Cadastro VTR/SEÇÃO/MILITAR'!$A$3:$B2000,""SELECT B WHERE A LIKE '""&amp;'carga de materiais'!D675&amp;""'""))"),"#REF!")</f>
        <v>#REF!</v>
      </c>
    </row>
    <row r="675">
      <c r="A675" s="120" t="str">
        <f>IFERROR(__xludf.DUMMYFUNCTION("TRANSPOSE(QUERY('Cadastro VTR/SEÇÃO/MILITAR'!$A$3:$B2000,""SELECT B WHERE A LIKE '""&amp;'carga de materiais'!D676&amp;""'""))"),"#REF!")</f>
        <v>#REF!</v>
      </c>
    </row>
    <row r="676">
      <c r="A676" s="120" t="str">
        <f>IFERROR(__xludf.DUMMYFUNCTION("TRANSPOSE(QUERY('Cadastro VTR/SEÇÃO/MILITAR'!$A$3:$B2000,""SELECT B WHERE A LIKE '""&amp;'carga de materiais'!D677&amp;""'""))"),"#REF!")</f>
        <v>#REF!</v>
      </c>
    </row>
    <row r="677">
      <c r="A677" s="120" t="str">
        <f>IFERROR(__xludf.DUMMYFUNCTION("TRANSPOSE(QUERY('Cadastro VTR/SEÇÃO/MILITAR'!$A$3:$B2000,""SELECT B WHERE A LIKE '""&amp;'carga de materiais'!D678&amp;""'""))"),"#REF!")</f>
        <v>#REF!</v>
      </c>
    </row>
    <row r="678">
      <c r="A678" s="120" t="str">
        <f>IFERROR(__xludf.DUMMYFUNCTION("TRANSPOSE(QUERY('Cadastro VTR/SEÇÃO/MILITAR'!$A$3:$B2000,""SELECT B WHERE A LIKE '""&amp;'carga de materiais'!D679&amp;""'""))"),"#REF!")</f>
        <v>#REF!</v>
      </c>
    </row>
    <row r="679">
      <c r="A679" s="120" t="str">
        <f>IFERROR(__xludf.DUMMYFUNCTION("TRANSPOSE(QUERY('Cadastro VTR/SEÇÃO/MILITAR'!$A$3:$B2000,""SELECT B WHERE A LIKE '""&amp;'carga de materiais'!D680&amp;""'""))"),"#REF!")</f>
        <v>#REF!</v>
      </c>
    </row>
    <row r="680">
      <c r="A680" s="120" t="str">
        <f>IFERROR(__xludf.DUMMYFUNCTION("TRANSPOSE(QUERY('Cadastro VTR/SEÇÃO/MILITAR'!$A$3:$B2000,""SELECT B WHERE A LIKE '""&amp;'carga de materiais'!D681&amp;""'""))"),"#REF!")</f>
        <v>#REF!</v>
      </c>
    </row>
    <row r="681">
      <c r="A681" s="120" t="str">
        <f>IFERROR(__xludf.DUMMYFUNCTION("TRANSPOSE(QUERY('Cadastro VTR/SEÇÃO/MILITAR'!$A$3:$B2000,""SELECT B WHERE A LIKE '""&amp;'carga de materiais'!D682&amp;""'""))"),"#REF!")</f>
        <v>#REF!</v>
      </c>
    </row>
    <row r="682">
      <c r="A682" s="120" t="str">
        <f>IFERROR(__xludf.DUMMYFUNCTION("TRANSPOSE(QUERY('Cadastro VTR/SEÇÃO/MILITAR'!$A$3:$B2000,""SELECT B WHERE A LIKE '""&amp;'carga de materiais'!D683&amp;""'""))"),"#REF!")</f>
        <v>#REF!</v>
      </c>
    </row>
    <row r="683">
      <c r="A683" s="120" t="str">
        <f>IFERROR(__xludf.DUMMYFUNCTION("TRANSPOSE(QUERY('Cadastro VTR/SEÇÃO/MILITAR'!$A$3:$B2000,""SELECT B WHERE A LIKE '""&amp;'carga de materiais'!D684&amp;""'""))"),"#REF!")</f>
        <v>#REF!</v>
      </c>
    </row>
    <row r="684">
      <c r="A684" s="120" t="str">
        <f>IFERROR(__xludf.DUMMYFUNCTION("TRANSPOSE(QUERY('Cadastro VTR/SEÇÃO/MILITAR'!$A$3:$B2000,""SELECT B WHERE A LIKE '""&amp;'carga de materiais'!D685&amp;""'""))"),"#REF!")</f>
        <v>#REF!</v>
      </c>
    </row>
    <row r="685">
      <c r="A685" s="120" t="str">
        <f>IFERROR(__xludf.DUMMYFUNCTION("TRANSPOSE(QUERY('Cadastro VTR/SEÇÃO/MILITAR'!$A$3:$B2000,""SELECT B WHERE A LIKE '""&amp;'carga de materiais'!D686&amp;""'""))"),"#REF!")</f>
        <v>#REF!</v>
      </c>
    </row>
    <row r="686">
      <c r="A686" s="120" t="str">
        <f>IFERROR(__xludf.DUMMYFUNCTION("TRANSPOSE(QUERY('Cadastro VTR/SEÇÃO/MILITAR'!$A$3:$B2000,""SELECT B WHERE A LIKE '""&amp;'carga de materiais'!D687&amp;""'""))"),"#REF!")</f>
        <v>#REF!</v>
      </c>
    </row>
    <row r="687">
      <c r="A687" s="120" t="str">
        <f>IFERROR(__xludf.DUMMYFUNCTION("TRANSPOSE(QUERY('Cadastro VTR/SEÇÃO/MILITAR'!$A$3:$B2000,""SELECT B WHERE A LIKE '""&amp;'carga de materiais'!D688&amp;""'""))"),"#REF!")</f>
        <v>#REF!</v>
      </c>
    </row>
    <row r="688">
      <c r="A688" s="120" t="str">
        <f>IFERROR(__xludf.DUMMYFUNCTION("TRANSPOSE(QUERY('Cadastro VTR/SEÇÃO/MILITAR'!$A$3:$B2000,""SELECT B WHERE A LIKE '""&amp;'carga de materiais'!D689&amp;""'""))"),"#REF!")</f>
        <v>#REF!</v>
      </c>
    </row>
    <row r="689">
      <c r="A689" s="120" t="str">
        <f>IFERROR(__xludf.DUMMYFUNCTION("TRANSPOSE(QUERY('Cadastro VTR/SEÇÃO/MILITAR'!$A$3:$B2000,""SELECT B WHERE A LIKE '""&amp;'carga de materiais'!D690&amp;""'""))"),"#REF!")</f>
        <v>#REF!</v>
      </c>
    </row>
    <row r="690">
      <c r="A690" s="120" t="str">
        <f>IFERROR(__xludf.DUMMYFUNCTION("TRANSPOSE(QUERY('Cadastro VTR/SEÇÃO/MILITAR'!$A$3:$B2000,""SELECT B WHERE A LIKE '""&amp;'carga de materiais'!D691&amp;""'""))"),"#REF!")</f>
        <v>#REF!</v>
      </c>
    </row>
    <row r="691">
      <c r="A691" s="120" t="str">
        <f>IFERROR(__xludf.DUMMYFUNCTION("TRANSPOSE(QUERY('Cadastro VTR/SEÇÃO/MILITAR'!$A$3:$B2000,""SELECT B WHERE A LIKE '""&amp;'carga de materiais'!D692&amp;""'""))"),"#REF!")</f>
        <v>#REF!</v>
      </c>
    </row>
    <row r="692">
      <c r="A692" s="120" t="str">
        <f>IFERROR(__xludf.DUMMYFUNCTION("TRANSPOSE(QUERY('Cadastro VTR/SEÇÃO/MILITAR'!$A$3:$B2000,""SELECT B WHERE A LIKE '""&amp;'carga de materiais'!D693&amp;""'""))"),"#REF!")</f>
        <v>#REF!</v>
      </c>
    </row>
    <row r="693">
      <c r="A693" s="120" t="str">
        <f>IFERROR(__xludf.DUMMYFUNCTION("TRANSPOSE(QUERY('Cadastro VTR/SEÇÃO/MILITAR'!$A$3:$B2000,""SELECT B WHERE A LIKE '""&amp;'carga de materiais'!D694&amp;""'""))"),"#REF!")</f>
        <v>#REF!</v>
      </c>
    </row>
    <row r="694">
      <c r="A694" s="120" t="str">
        <f>IFERROR(__xludf.DUMMYFUNCTION("TRANSPOSE(QUERY('Cadastro VTR/SEÇÃO/MILITAR'!$A$3:$B2000,""SELECT B WHERE A LIKE '""&amp;'carga de materiais'!D695&amp;""'""))"),"#REF!")</f>
        <v>#REF!</v>
      </c>
    </row>
    <row r="695">
      <c r="A695" s="120" t="str">
        <f>IFERROR(__xludf.DUMMYFUNCTION("TRANSPOSE(QUERY('Cadastro VTR/SEÇÃO/MILITAR'!$A$3:$B2000,""SELECT B WHERE A LIKE '""&amp;'carga de materiais'!D696&amp;""'""))"),"#REF!")</f>
        <v>#REF!</v>
      </c>
    </row>
    <row r="696">
      <c r="A696" s="120" t="str">
        <f>IFERROR(__xludf.DUMMYFUNCTION("TRANSPOSE(QUERY('Cadastro VTR/SEÇÃO/MILITAR'!$A$3:$B2000,""SELECT B WHERE A LIKE '""&amp;'carga de materiais'!D697&amp;""'""))"),"#REF!")</f>
        <v>#REF!</v>
      </c>
    </row>
    <row r="697">
      <c r="A697" s="120" t="str">
        <f>IFERROR(__xludf.DUMMYFUNCTION("TRANSPOSE(QUERY('Cadastro VTR/SEÇÃO/MILITAR'!$A$3:$B2000,""SELECT B WHERE A LIKE '""&amp;'carga de materiais'!D698&amp;""'""))"),"#REF!")</f>
        <v>#REF!</v>
      </c>
    </row>
    <row r="698">
      <c r="A698" s="120" t="str">
        <f>IFERROR(__xludf.DUMMYFUNCTION("TRANSPOSE(QUERY('Cadastro VTR/SEÇÃO/MILITAR'!$A$3:$B2000,""SELECT B WHERE A LIKE '""&amp;'carga de materiais'!D699&amp;""'""))"),"#REF!")</f>
        <v>#REF!</v>
      </c>
    </row>
    <row r="699">
      <c r="A699" s="120" t="str">
        <f>IFERROR(__xludf.DUMMYFUNCTION("TRANSPOSE(QUERY('Cadastro VTR/SEÇÃO/MILITAR'!$A$3:$B2000,""SELECT B WHERE A LIKE '""&amp;'carga de materiais'!D700&amp;""'""))"),"#REF!")</f>
        <v>#REF!</v>
      </c>
    </row>
    <row r="700">
      <c r="A700" s="120" t="str">
        <f>IFERROR(__xludf.DUMMYFUNCTION("TRANSPOSE(QUERY('Cadastro VTR/SEÇÃO/MILITAR'!$A$3:$B2000,""SELECT B WHERE A LIKE '""&amp;'carga de materiais'!D701&amp;""'""))"),"#REF!")</f>
        <v>#REF!</v>
      </c>
    </row>
    <row r="701">
      <c r="A701" s="120" t="str">
        <f>IFERROR(__xludf.DUMMYFUNCTION("TRANSPOSE(QUERY('Cadastro VTR/SEÇÃO/MILITAR'!$A$3:$B2000,""SELECT B WHERE A LIKE '""&amp;'carga de materiais'!D702&amp;""'""))"),"#REF!")</f>
        <v>#REF!</v>
      </c>
    </row>
    <row r="702">
      <c r="A702" s="120" t="str">
        <f>IFERROR(__xludf.DUMMYFUNCTION("TRANSPOSE(QUERY('Cadastro VTR/SEÇÃO/MILITAR'!$A$3:$B2000,""SELECT B WHERE A LIKE '""&amp;'carga de materiais'!D703&amp;""'""))"),"#REF!")</f>
        <v>#REF!</v>
      </c>
    </row>
    <row r="703">
      <c r="A703" s="120" t="str">
        <f>IFERROR(__xludf.DUMMYFUNCTION("TRANSPOSE(QUERY('Cadastro VTR/SEÇÃO/MILITAR'!$A$3:$B2000,""SELECT B WHERE A LIKE '""&amp;'carga de materiais'!D704&amp;""'""))"),"#REF!")</f>
        <v>#REF!</v>
      </c>
    </row>
    <row r="704">
      <c r="A704" s="120" t="str">
        <f>IFERROR(__xludf.DUMMYFUNCTION("TRANSPOSE(QUERY('Cadastro VTR/SEÇÃO/MILITAR'!$A$3:$B2000,""SELECT B WHERE A LIKE '""&amp;'carga de materiais'!D705&amp;""'""))"),"#REF!")</f>
        <v>#REF!</v>
      </c>
    </row>
    <row r="705">
      <c r="A705" s="120" t="str">
        <f>IFERROR(__xludf.DUMMYFUNCTION("TRANSPOSE(QUERY('Cadastro VTR/SEÇÃO/MILITAR'!$A$3:$B2000,""SELECT B WHERE A LIKE '""&amp;'carga de materiais'!D706&amp;""'""))"),"#REF!")</f>
        <v>#REF!</v>
      </c>
    </row>
    <row r="706">
      <c r="A706" s="120" t="str">
        <f>IFERROR(__xludf.DUMMYFUNCTION("TRANSPOSE(QUERY('Cadastro VTR/SEÇÃO/MILITAR'!$A$3:$B2000,""SELECT B WHERE A LIKE '""&amp;'carga de materiais'!D707&amp;""'""))"),"#REF!")</f>
        <v>#REF!</v>
      </c>
    </row>
    <row r="707">
      <c r="A707" s="120" t="str">
        <f>IFERROR(__xludf.DUMMYFUNCTION("TRANSPOSE(QUERY('Cadastro VTR/SEÇÃO/MILITAR'!$A$3:$B2000,""SELECT B WHERE A LIKE '""&amp;'carga de materiais'!D708&amp;""'""))"),"#REF!")</f>
        <v>#REF!</v>
      </c>
    </row>
    <row r="708">
      <c r="A708" s="120" t="str">
        <f>IFERROR(__xludf.DUMMYFUNCTION("TRANSPOSE(QUERY('Cadastro VTR/SEÇÃO/MILITAR'!$A$3:$B2000,""SELECT B WHERE A LIKE '""&amp;'carga de materiais'!D709&amp;""'""))"),"#REF!")</f>
        <v>#REF!</v>
      </c>
    </row>
    <row r="709">
      <c r="A709" s="120" t="str">
        <f>IFERROR(__xludf.DUMMYFUNCTION("TRANSPOSE(QUERY('Cadastro VTR/SEÇÃO/MILITAR'!$A$3:$B2000,""SELECT B WHERE A LIKE '""&amp;'carga de materiais'!D710&amp;""'""))"),"#REF!")</f>
        <v>#REF!</v>
      </c>
    </row>
    <row r="710">
      <c r="A710" s="120" t="str">
        <f>IFERROR(__xludf.DUMMYFUNCTION("TRANSPOSE(QUERY('Cadastro VTR/SEÇÃO/MILITAR'!$A$3:$B2000,""SELECT B WHERE A LIKE '""&amp;'carga de materiais'!D711&amp;""'""))"),"#REF!")</f>
        <v>#REF!</v>
      </c>
    </row>
    <row r="711">
      <c r="A711" s="120" t="str">
        <f>IFERROR(__xludf.DUMMYFUNCTION("TRANSPOSE(QUERY('Cadastro VTR/SEÇÃO/MILITAR'!$A$3:$B2000,""SELECT B WHERE A LIKE '""&amp;'carga de materiais'!D712&amp;""'""))"),"#REF!")</f>
        <v>#REF!</v>
      </c>
    </row>
    <row r="712">
      <c r="A712" s="120" t="str">
        <f>IFERROR(__xludf.DUMMYFUNCTION("TRANSPOSE(QUERY('Cadastro VTR/SEÇÃO/MILITAR'!$A$3:$B2000,""SELECT B WHERE A LIKE '""&amp;'carga de materiais'!D713&amp;""'""))"),"#REF!")</f>
        <v>#REF!</v>
      </c>
    </row>
    <row r="713">
      <c r="A713" s="120" t="str">
        <f>IFERROR(__xludf.DUMMYFUNCTION("TRANSPOSE(QUERY('Cadastro VTR/SEÇÃO/MILITAR'!$A$3:$B2000,""SELECT B WHERE A LIKE '""&amp;'carga de materiais'!D714&amp;""'""))"),"#REF!")</f>
        <v>#REF!</v>
      </c>
    </row>
    <row r="714">
      <c r="A714" s="120" t="str">
        <f>IFERROR(__xludf.DUMMYFUNCTION("TRANSPOSE(QUERY('Cadastro VTR/SEÇÃO/MILITAR'!$A$3:$B2000,""SELECT B WHERE A LIKE '""&amp;'carga de materiais'!D715&amp;""'""))"),"#REF!")</f>
        <v>#REF!</v>
      </c>
      <c r="B714" s="87"/>
      <c r="C714" s="87"/>
      <c r="D714" s="87"/>
      <c r="E714" s="87"/>
      <c r="F714" s="87"/>
      <c r="G714" s="87"/>
      <c r="H714" s="87"/>
      <c r="I714" s="87"/>
      <c r="J714" s="87"/>
      <c r="K714" s="87"/>
      <c r="L714" s="87"/>
      <c r="M714" s="87"/>
      <c r="N714" s="87"/>
      <c r="O714" s="87"/>
      <c r="P714" s="87"/>
      <c r="Q714" s="87"/>
      <c r="R714" s="87"/>
      <c r="S714" s="87"/>
      <c r="T714" s="87"/>
      <c r="U714" s="87"/>
      <c r="V714" s="87"/>
      <c r="W714" s="87"/>
      <c r="X714" s="87"/>
      <c r="Y714" s="87"/>
      <c r="Z714" s="87"/>
      <c r="AA714" s="87"/>
      <c r="AB714" s="87"/>
      <c r="AC714" s="87"/>
      <c r="AD714" s="87"/>
      <c r="AE714" s="87"/>
      <c r="AF714" s="87"/>
      <c r="AG714" s="87"/>
      <c r="AH714" s="87"/>
      <c r="AI714" s="87"/>
      <c r="AJ714" s="87"/>
      <c r="AK714" s="87"/>
      <c r="AL714" s="87"/>
      <c r="AM714" s="87"/>
      <c r="AN714" s="87"/>
      <c r="AO714" s="87"/>
      <c r="AP714" s="87"/>
      <c r="AQ714" s="87"/>
      <c r="AR714" s="87"/>
      <c r="AS714" s="87"/>
      <c r="AT714" s="87"/>
      <c r="AU714" s="87"/>
      <c r="AV714" s="87"/>
      <c r="AW714" s="87"/>
      <c r="AX714" s="87"/>
      <c r="AY714" s="87"/>
      <c r="AZ714" s="87"/>
      <c r="BA714" s="87"/>
      <c r="BB714" s="87"/>
      <c r="BC714" s="87"/>
      <c r="BD714" s="87"/>
      <c r="BE714" s="87"/>
      <c r="BF714" s="87"/>
      <c r="BG714" s="87"/>
      <c r="BH714" s="87"/>
      <c r="BI714" s="87"/>
      <c r="BJ714" s="87"/>
      <c r="BK714" s="87"/>
      <c r="BL714" s="87"/>
      <c r="BM714" s="87"/>
      <c r="BN714" s="87"/>
      <c r="BO714" s="87"/>
      <c r="BP714" s="87"/>
      <c r="BQ714" s="87"/>
      <c r="BR714" s="87"/>
      <c r="BS714" s="87"/>
      <c r="BT714" s="87"/>
      <c r="BU714" s="87"/>
      <c r="BV714" s="87"/>
      <c r="BW714" s="87"/>
      <c r="BX714" s="87"/>
      <c r="BY714" s="87"/>
      <c r="BZ714" s="87"/>
      <c r="CA714" s="87"/>
      <c r="CB714" s="87"/>
      <c r="CC714" s="87"/>
      <c r="CD714" s="87"/>
      <c r="CE714" s="87"/>
      <c r="CF714" s="87"/>
      <c r="CG714" s="87"/>
      <c r="CH714" s="87"/>
      <c r="CI714" s="87"/>
      <c r="CJ714" s="87"/>
      <c r="CK714" s="87"/>
      <c r="CL714" s="87"/>
      <c r="CM714" s="87"/>
      <c r="CN714" s="87"/>
      <c r="CO714" s="87"/>
      <c r="CP714" s="87"/>
      <c r="CQ714" s="87"/>
      <c r="CR714" s="87"/>
      <c r="CS714" s="87"/>
      <c r="CT714" s="87"/>
      <c r="CU714" s="87"/>
      <c r="CV714" s="87"/>
      <c r="CW714" s="87"/>
      <c r="CX714" s="87"/>
      <c r="CY714" s="87"/>
      <c r="CZ714" s="87"/>
      <c r="DA714" s="87"/>
      <c r="DB714" s="87"/>
      <c r="DC714" s="87"/>
      <c r="DD714" s="87"/>
      <c r="DE714" s="87"/>
      <c r="DF714" s="87"/>
      <c r="DG714" s="87"/>
      <c r="DH714" s="87"/>
      <c r="DI714" s="87"/>
    </row>
    <row r="715">
      <c r="A715" s="120" t="str">
        <f>IFERROR(__xludf.DUMMYFUNCTION("TRANSPOSE(QUERY('Cadastro VTR/SEÇÃO/MILITAR'!$A$3:$B2000,""SELECT B WHERE A LIKE '""&amp;'carga de materiais'!D716&amp;""'""))"),"#REF!")</f>
        <v>#REF!</v>
      </c>
    </row>
    <row r="716">
      <c r="A716" s="120" t="str">
        <f>IFERROR(__xludf.DUMMYFUNCTION("TRANSPOSE(QUERY('Cadastro VTR/SEÇÃO/MILITAR'!$A$3:$B2000,""SELECT B WHERE A LIKE '""&amp;'carga de materiais'!D717&amp;""'""))"),"#REF!")</f>
        <v>#REF!</v>
      </c>
    </row>
    <row r="717">
      <c r="A717" s="120" t="str">
        <f>IFERROR(__xludf.DUMMYFUNCTION("TRANSPOSE(QUERY('Cadastro VTR/SEÇÃO/MILITAR'!$A$3:$B2000,""SELECT B WHERE A LIKE '""&amp;'carga de materiais'!D718&amp;""'""))"),"#REF!")</f>
        <v>#REF!</v>
      </c>
    </row>
    <row r="718">
      <c r="A718" s="120" t="str">
        <f>IFERROR(__xludf.DUMMYFUNCTION("TRANSPOSE(QUERY('Cadastro VTR/SEÇÃO/MILITAR'!$A$3:$B2000,""SELECT B WHERE A LIKE '""&amp;'carga de materiais'!D719&amp;""'""))"),"#REF!")</f>
        <v>#REF!</v>
      </c>
    </row>
    <row r="719">
      <c r="A719" s="120" t="str">
        <f>IFERROR(__xludf.DUMMYFUNCTION("TRANSPOSE(QUERY('Cadastro VTR/SEÇÃO/MILITAR'!$A$3:$B2000,""SELECT B WHERE A LIKE '""&amp;'carga de materiais'!D720&amp;""'""))"),"#REF!")</f>
        <v>#REF!</v>
      </c>
    </row>
    <row r="720">
      <c r="A720" s="120" t="str">
        <f>IFERROR(__xludf.DUMMYFUNCTION("TRANSPOSE(QUERY('Cadastro VTR/SEÇÃO/MILITAR'!$A$3:$B2000,""SELECT B WHERE A LIKE '""&amp;'carga de materiais'!D721&amp;""'""))"),"#REF!")</f>
        <v>#REF!</v>
      </c>
    </row>
    <row r="721">
      <c r="A721" s="120" t="str">
        <f>IFERROR(__xludf.DUMMYFUNCTION("TRANSPOSE(QUERY('Cadastro VTR/SEÇÃO/MILITAR'!$A$3:$B2000,""SELECT B WHERE A LIKE '""&amp;'carga de materiais'!D722&amp;""'""))"),"#REF!")</f>
        <v>#REF!</v>
      </c>
    </row>
    <row r="722">
      <c r="A722" s="120" t="str">
        <f>IFERROR(__xludf.DUMMYFUNCTION("TRANSPOSE(QUERY('Cadastro VTR/SEÇÃO/MILITAR'!$A$3:$B2000,""SELECT B WHERE A LIKE '""&amp;'carga de materiais'!D723&amp;""'""))"),"#REF!")</f>
        <v>#REF!</v>
      </c>
    </row>
    <row r="723">
      <c r="A723" s="120" t="str">
        <f>IFERROR(__xludf.DUMMYFUNCTION("TRANSPOSE(QUERY('Cadastro VTR/SEÇÃO/MILITAR'!$A$3:$B2000,""SELECT B WHERE A LIKE '""&amp;'carga de materiais'!D724&amp;""'""))"),"#REF!")</f>
        <v>#REF!</v>
      </c>
    </row>
    <row r="724">
      <c r="A724" s="120" t="str">
        <f>IFERROR(__xludf.DUMMYFUNCTION("TRANSPOSE(QUERY('Cadastro VTR/SEÇÃO/MILITAR'!$A$3:$B2000,""SELECT B WHERE A LIKE '""&amp;'carga de materiais'!D725&amp;""'""))"),"#REF!")</f>
        <v>#REF!</v>
      </c>
    </row>
    <row r="725">
      <c r="A725" s="120" t="str">
        <f>IFERROR(__xludf.DUMMYFUNCTION("TRANSPOSE(QUERY('Cadastro VTR/SEÇÃO/MILITAR'!$A$3:$B2000,""SELECT B WHERE A LIKE '""&amp;'carga de materiais'!D726&amp;""'""))"),"#REF!")</f>
        <v>#REF!</v>
      </c>
    </row>
    <row r="726">
      <c r="A726" s="120" t="str">
        <f>IFERROR(__xludf.DUMMYFUNCTION("TRANSPOSE(QUERY('Cadastro VTR/SEÇÃO/MILITAR'!$A$3:$B2000,""SELECT B WHERE A LIKE '""&amp;'carga de materiais'!D727&amp;""'""))"),"#REF!")</f>
        <v>#REF!</v>
      </c>
    </row>
    <row r="727">
      <c r="A727" s="120" t="str">
        <f>IFERROR(__xludf.DUMMYFUNCTION("TRANSPOSE(QUERY('Cadastro VTR/SEÇÃO/MILITAR'!$A$3:$B2000,""SELECT B WHERE A LIKE '""&amp;'carga de materiais'!D728&amp;""'""))"),"#REF!")</f>
        <v>#REF!</v>
      </c>
    </row>
    <row r="728">
      <c r="A728" s="120" t="str">
        <f>IFERROR(__xludf.DUMMYFUNCTION("TRANSPOSE(QUERY('Cadastro VTR/SEÇÃO/MILITAR'!$A$3:$B2000,""SELECT B WHERE A LIKE '""&amp;'carga de materiais'!D729&amp;""'""))"),"#REF!")</f>
        <v>#REF!</v>
      </c>
    </row>
    <row r="729">
      <c r="A729" s="120" t="str">
        <f>IFERROR(__xludf.DUMMYFUNCTION("TRANSPOSE(QUERY('Cadastro VTR/SEÇÃO/MILITAR'!$A$3:$B2000,""SELECT B WHERE A LIKE '""&amp;'carga de materiais'!D730&amp;""'""))"),"#REF!")</f>
        <v>#REF!</v>
      </c>
    </row>
    <row r="730">
      <c r="A730" s="120" t="str">
        <f>IFERROR(__xludf.DUMMYFUNCTION("TRANSPOSE(QUERY('Cadastro VTR/SEÇÃO/MILITAR'!$A$3:$B2000,""SELECT B WHERE A LIKE '""&amp;'carga de materiais'!D731&amp;""'""))"),"#REF!")</f>
        <v>#REF!</v>
      </c>
    </row>
    <row r="731">
      <c r="A731" s="120" t="str">
        <f>IFERROR(__xludf.DUMMYFUNCTION("TRANSPOSE(QUERY('Cadastro VTR/SEÇÃO/MILITAR'!$A$3:$B2000,""SELECT B WHERE A LIKE '""&amp;'carga de materiais'!D732&amp;""'""))"),"#REF!")</f>
        <v>#REF!</v>
      </c>
    </row>
    <row r="732">
      <c r="A732" s="120" t="str">
        <f>IFERROR(__xludf.DUMMYFUNCTION("TRANSPOSE(QUERY('Cadastro VTR/SEÇÃO/MILITAR'!$A$3:$B2000,""SELECT B WHERE A LIKE '""&amp;'carga de materiais'!D733&amp;""'""))"),"#REF!")</f>
        <v>#REF!</v>
      </c>
      <c r="B732" s="87"/>
      <c r="C732" s="87"/>
      <c r="D732" s="87"/>
      <c r="E732" s="87"/>
      <c r="F732" s="87"/>
      <c r="G732" s="87"/>
      <c r="H732" s="87"/>
      <c r="I732" s="87"/>
      <c r="J732" s="87"/>
      <c r="K732" s="87"/>
      <c r="L732" s="87"/>
      <c r="M732" s="87"/>
      <c r="N732" s="87"/>
      <c r="O732" s="87"/>
      <c r="P732" s="87"/>
      <c r="Q732" s="87"/>
      <c r="R732" s="87"/>
      <c r="S732" s="87"/>
      <c r="T732" s="87"/>
      <c r="U732" s="87"/>
      <c r="V732" s="87"/>
      <c r="W732" s="87"/>
      <c r="X732" s="87"/>
      <c r="Y732" s="87"/>
      <c r="Z732" s="87"/>
      <c r="AA732" s="87"/>
      <c r="AB732" s="87"/>
      <c r="AC732" s="87"/>
      <c r="AD732" s="87"/>
      <c r="AE732" s="87"/>
      <c r="AF732" s="87"/>
      <c r="AG732" s="87"/>
      <c r="AH732" s="87"/>
      <c r="AI732" s="87"/>
      <c r="AJ732" s="87"/>
      <c r="AK732" s="87"/>
      <c r="AL732" s="87"/>
      <c r="AM732" s="87"/>
      <c r="AN732" s="87"/>
      <c r="AO732" s="87"/>
      <c r="AP732" s="87"/>
      <c r="AQ732" s="87"/>
      <c r="AR732" s="87"/>
      <c r="AS732" s="87"/>
      <c r="AT732" s="87"/>
      <c r="AU732" s="87"/>
      <c r="AV732" s="87"/>
      <c r="AW732" s="87"/>
      <c r="AX732" s="87"/>
      <c r="AY732" s="87"/>
      <c r="AZ732" s="87"/>
      <c r="BA732" s="87"/>
      <c r="BB732" s="87"/>
      <c r="BC732" s="87"/>
      <c r="BD732" s="87"/>
      <c r="BE732" s="87"/>
      <c r="BF732" s="87"/>
      <c r="BG732" s="87"/>
      <c r="BH732" s="87"/>
      <c r="BI732" s="87"/>
      <c r="BJ732" s="87"/>
      <c r="BK732" s="87"/>
      <c r="BL732" s="87"/>
      <c r="BM732" s="87"/>
      <c r="BN732" s="87"/>
      <c r="BO732" s="87"/>
      <c r="BP732" s="87"/>
      <c r="BQ732" s="87"/>
      <c r="BR732" s="87"/>
      <c r="BS732" s="87"/>
      <c r="BT732" s="87"/>
      <c r="BU732" s="87"/>
      <c r="BV732" s="87"/>
      <c r="BW732" s="87"/>
      <c r="BX732" s="87"/>
      <c r="BY732" s="87"/>
      <c r="BZ732" s="87"/>
      <c r="CA732" s="87"/>
      <c r="CB732" s="87"/>
      <c r="CC732" s="87"/>
      <c r="CD732" s="87"/>
      <c r="CE732" s="87"/>
      <c r="CF732" s="87"/>
      <c r="CG732" s="87"/>
      <c r="CH732" s="87"/>
      <c r="CI732" s="87"/>
      <c r="CJ732" s="87"/>
      <c r="CK732" s="87"/>
      <c r="CL732" s="87"/>
      <c r="CM732" s="87"/>
      <c r="CN732" s="87"/>
      <c r="CO732" s="87"/>
      <c r="CP732" s="87"/>
      <c r="CQ732" s="87"/>
      <c r="CR732" s="87"/>
      <c r="CS732" s="87"/>
      <c r="CT732" s="87"/>
      <c r="CU732" s="87"/>
      <c r="CV732" s="87"/>
      <c r="CW732" s="87"/>
      <c r="CX732" s="87"/>
      <c r="CY732" s="87"/>
      <c r="CZ732" s="87"/>
      <c r="DA732" s="87"/>
      <c r="DB732" s="87"/>
      <c r="DC732" s="87"/>
      <c r="DD732" s="87"/>
      <c r="DE732" s="87"/>
      <c r="DF732" s="87"/>
      <c r="DG732" s="87"/>
      <c r="DH732" s="87"/>
      <c r="DI732" s="87"/>
    </row>
    <row r="733">
      <c r="A733" s="120" t="str">
        <f>IFERROR(__xludf.DUMMYFUNCTION("TRANSPOSE(QUERY('Cadastro VTR/SEÇÃO/MILITAR'!$A$3:$B2000,""SELECT B WHERE A LIKE '""&amp;'carga de materiais'!D734&amp;""'""))"),"#REF!")</f>
        <v>#REF!</v>
      </c>
    </row>
    <row r="734">
      <c r="A734" s="120" t="str">
        <f>IFERROR(__xludf.DUMMYFUNCTION("TRANSPOSE(QUERY('Cadastro VTR/SEÇÃO/MILITAR'!$A$3:$B2000,""SELECT B WHERE A LIKE '""&amp;'carga de materiais'!D735&amp;""'""))"),"#REF!")</f>
        <v>#REF!</v>
      </c>
    </row>
    <row r="735">
      <c r="A735" s="120" t="str">
        <f>IFERROR(__xludf.DUMMYFUNCTION("TRANSPOSE(QUERY('Cadastro VTR/SEÇÃO/MILITAR'!$A$3:$B2000,""SELECT B WHERE A LIKE '""&amp;'carga de materiais'!D736&amp;""'""))"),"#REF!")</f>
        <v>#REF!</v>
      </c>
    </row>
    <row r="736">
      <c r="A736" s="120" t="str">
        <f>IFERROR(__xludf.DUMMYFUNCTION("TRANSPOSE(QUERY('Cadastro VTR/SEÇÃO/MILITAR'!$A$3:$B2000,""SELECT B WHERE A LIKE '""&amp;'carga de materiais'!D737&amp;""'""))"),"#REF!")</f>
        <v>#REF!</v>
      </c>
    </row>
    <row r="737">
      <c r="A737" s="120" t="str">
        <f>IFERROR(__xludf.DUMMYFUNCTION("TRANSPOSE(QUERY('Cadastro VTR/SEÇÃO/MILITAR'!$A$3:$B2000,""SELECT B WHERE A LIKE '""&amp;'carga de materiais'!D738&amp;""'""))"),"#REF!")</f>
        <v>#REF!</v>
      </c>
    </row>
    <row r="738">
      <c r="A738" s="120" t="str">
        <f>IFERROR(__xludf.DUMMYFUNCTION("TRANSPOSE(QUERY('Cadastro VTR/SEÇÃO/MILITAR'!$A$3:$B2000,""SELECT B WHERE A LIKE '""&amp;'carga de materiais'!D739&amp;""'""))"),"#REF!")</f>
        <v>#REF!</v>
      </c>
    </row>
    <row r="739">
      <c r="A739" s="120" t="str">
        <f>IFERROR(__xludf.DUMMYFUNCTION("TRANSPOSE(QUERY('Cadastro VTR/SEÇÃO/MILITAR'!$A$3:$B2000,""SELECT B WHERE A LIKE '""&amp;'carga de materiais'!D740&amp;""'""))"),"#REF!")</f>
        <v>#REF!</v>
      </c>
    </row>
    <row r="740">
      <c r="A740" s="120" t="str">
        <f>IFERROR(__xludf.DUMMYFUNCTION("TRANSPOSE(QUERY('Cadastro VTR/SEÇÃO/MILITAR'!$A$3:$B2000,""SELECT B WHERE A LIKE '""&amp;'carga de materiais'!D741&amp;""'""))"),"#REF!")</f>
        <v>#REF!</v>
      </c>
    </row>
    <row r="741">
      <c r="A741" s="120" t="str">
        <f>IFERROR(__xludf.DUMMYFUNCTION("TRANSPOSE(QUERY('Cadastro VTR/SEÇÃO/MILITAR'!$A$3:$B2000,""SELECT B WHERE A LIKE '""&amp;'carga de materiais'!D742&amp;""'""))"),"#REF!")</f>
        <v>#REF!</v>
      </c>
    </row>
    <row r="742">
      <c r="A742" s="120" t="str">
        <f>IFERROR(__xludf.DUMMYFUNCTION("TRANSPOSE(QUERY('Cadastro VTR/SEÇÃO/MILITAR'!$A$3:$B2000,""SELECT B WHERE A LIKE '""&amp;'carga de materiais'!D743&amp;""'""))"),"#REF!")</f>
        <v>#REF!</v>
      </c>
    </row>
    <row r="743">
      <c r="A743" s="120" t="str">
        <f>IFERROR(__xludf.DUMMYFUNCTION("TRANSPOSE(QUERY('Cadastro VTR/SEÇÃO/MILITAR'!$A$3:$B2000,""SELECT B WHERE A LIKE '""&amp;'carga de materiais'!D744&amp;""'""))"),"#REF!")</f>
        <v>#REF!</v>
      </c>
    </row>
    <row r="744">
      <c r="A744" s="120" t="str">
        <f>IFERROR(__xludf.DUMMYFUNCTION("TRANSPOSE(QUERY('Cadastro VTR/SEÇÃO/MILITAR'!$A$3:$B2000,""SELECT B WHERE A LIKE '""&amp;'carga de materiais'!D745&amp;""'""))"),"#REF!")</f>
        <v>#REF!</v>
      </c>
    </row>
    <row r="745">
      <c r="A745" s="120" t="str">
        <f>IFERROR(__xludf.DUMMYFUNCTION("TRANSPOSE(QUERY('Cadastro VTR/SEÇÃO/MILITAR'!$A$3:$B2000,""SELECT B WHERE A LIKE '""&amp;'carga de materiais'!D746&amp;""'""))"),"#REF!")</f>
        <v>#REF!</v>
      </c>
    </row>
    <row r="746">
      <c r="A746" s="120" t="str">
        <f>IFERROR(__xludf.DUMMYFUNCTION("TRANSPOSE(QUERY('Cadastro VTR/SEÇÃO/MILITAR'!$A$3:$B2000,""SELECT B WHERE A LIKE '""&amp;'carga de materiais'!D747&amp;""'""))"),"#REF!")</f>
        <v>#REF!</v>
      </c>
    </row>
    <row r="747">
      <c r="A747" s="120" t="str">
        <f>IFERROR(__xludf.DUMMYFUNCTION("TRANSPOSE(QUERY('Cadastro VTR/SEÇÃO/MILITAR'!$A$3:$B2000,""SELECT B WHERE A LIKE '""&amp;'carga de materiais'!D748&amp;""'""))"),"#REF!")</f>
        <v>#REF!</v>
      </c>
    </row>
    <row r="748">
      <c r="A748" s="120" t="str">
        <f>IFERROR(__xludf.DUMMYFUNCTION("TRANSPOSE(QUERY('Cadastro VTR/SEÇÃO/MILITAR'!$A$3:$B2000,""SELECT B WHERE A LIKE '""&amp;'carga de materiais'!D749&amp;""'""))"),"#REF!")</f>
        <v>#REF!</v>
      </c>
    </row>
    <row r="749">
      <c r="A749" s="120" t="str">
        <f>IFERROR(__xludf.DUMMYFUNCTION("TRANSPOSE(QUERY('Cadastro VTR/SEÇÃO/MILITAR'!$A$3:$B2000,""SELECT B WHERE A LIKE '""&amp;'carga de materiais'!D750&amp;""'""))"),"#REF!")</f>
        <v>#REF!</v>
      </c>
    </row>
    <row r="750">
      <c r="A750" s="120" t="str">
        <f>IFERROR(__xludf.DUMMYFUNCTION("TRANSPOSE(QUERY('Cadastro VTR/SEÇÃO/MILITAR'!$A$3:$B2000,""SELECT B WHERE A LIKE '""&amp;'carga de materiais'!D751&amp;""'""))"),"#REF!")</f>
        <v>#REF!</v>
      </c>
    </row>
    <row r="751">
      <c r="A751" s="120" t="str">
        <f>IFERROR(__xludf.DUMMYFUNCTION("TRANSPOSE(QUERY('Cadastro VTR/SEÇÃO/MILITAR'!$A$3:$B2000,""SELECT B WHERE A LIKE '""&amp;'carga de materiais'!D752&amp;""'""))"),"#REF!")</f>
        <v>#REF!</v>
      </c>
    </row>
    <row r="752">
      <c r="A752" s="120" t="str">
        <f>IFERROR(__xludf.DUMMYFUNCTION("TRANSPOSE(QUERY('Cadastro VTR/SEÇÃO/MILITAR'!$A$3:$B2000,""SELECT B WHERE A LIKE '""&amp;'carga de materiais'!D753&amp;""'""))"),"#REF!")</f>
        <v>#REF!</v>
      </c>
    </row>
    <row r="753">
      <c r="A753" s="120" t="str">
        <f>IFERROR(__xludf.DUMMYFUNCTION("TRANSPOSE(QUERY('Cadastro VTR/SEÇÃO/MILITAR'!$A$3:$B2000,""SELECT B WHERE A LIKE '""&amp;'carga de materiais'!D754&amp;""'""))"),"#REF!")</f>
        <v>#REF!</v>
      </c>
    </row>
    <row r="754">
      <c r="A754" s="120" t="str">
        <f>IFERROR(__xludf.DUMMYFUNCTION("TRANSPOSE(QUERY('Cadastro VTR/SEÇÃO/MILITAR'!$A$3:$B2000,""SELECT B WHERE A LIKE '""&amp;'carga de materiais'!D755&amp;""'""))"),"#REF!")</f>
        <v>#REF!</v>
      </c>
    </row>
    <row r="755">
      <c r="A755" s="120" t="str">
        <f>IFERROR(__xludf.DUMMYFUNCTION("TRANSPOSE(QUERY('Cadastro VTR/SEÇÃO/MILITAR'!$A$3:$B2000,""SELECT B WHERE A LIKE '""&amp;'carga de materiais'!D756&amp;""'""))"),"#REF!")</f>
        <v>#REF!</v>
      </c>
    </row>
    <row r="756">
      <c r="A756" s="120" t="str">
        <f>IFERROR(__xludf.DUMMYFUNCTION("TRANSPOSE(QUERY('Cadastro VTR/SEÇÃO/MILITAR'!$A$3:$B2000,""SELECT B WHERE A LIKE '""&amp;'carga de materiais'!D757&amp;""'""))"),"#REF!")</f>
        <v>#REF!</v>
      </c>
    </row>
    <row r="757">
      <c r="A757" s="120" t="str">
        <f>IFERROR(__xludf.DUMMYFUNCTION("TRANSPOSE(QUERY('Cadastro VTR/SEÇÃO/MILITAR'!$A$3:$B2000,""SELECT B WHERE A LIKE '""&amp;'carga de materiais'!D758&amp;""'""))"),"#REF!")</f>
        <v>#REF!</v>
      </c>
    </row>
    <row r="758">
      <c r="A758" s="120" t="str">
        <f>IFERROR(__xludf.DUMMYFUNCTION("TRANSPOSE(QUERY('Cadastro VTR/SEÇÃO/MILITAR'!$A$3:$B2000,""SELECT B WHERE A LIKE '""&amp;'carga de materiais'!D759&amp;""'""))"),"#REF!")</f>
        <v>#REF!</v>
      </c>
    </row>
    <row r="759">
      <c r="A759" s="120" t="str">
        <f>IFERROR(__xludf.DUMMYFUNCTION("TRANSPOSE(QUERY('Cadastro VTR/SEÇÃO/MILITAR'!$A$3:$B2000,""SELECT B WHERE A LIKE '""&amp;'carga de materiais'!D760&amp;""'""))"),"#REF!")</f>
        <v>#REF!</v>
      </c>
    </row>
    <row r="760">
      <c r="A760" s="120" t="str">
        <f>IFERROR(__xludf.DUMMYFUNCTION("TRANSPOSE(QUERY('Cadastro VTR/SEÇÃO/MILITAR'!$A$3:$B2000,""SELECT B WHERE A LIKE '""&amp;'carga de materiais'!D761&amp;""'""))"),"#REF!")</f>
        <v>#REF!</v>
      </c>
    </row>
    <row r="761">
      <c r="A761" s="120" t="str">
        <f>IFERROR(__xludf.DUMMYFUNCTION("TRANSPOSE(QUERY('Cadastro VTR/SEÇÃO/MILITAR'!$A$3:$B2000,""SELECT B WHERE A LIKE '""&amp;'carga de materiais'!D762&amp;""'""))"),"#REF!")</f>
        <v>#REF!</v>
      </c>
    </row>
    <row r="762">
      <c r="A762" s="120" t="str">
        <f>IFERROR(__xludf.DUMMYFUNCTION("TRANSPOSE(QUERY('Cadastro VTR/SEÇÃO/MILITAR'!$A$3:$B2000,""SELECT B WHERE A LIKE '""&amp;'carga de materiais'!D763&amp;""'""))"),"#REF!")</f>
        <v>#REF!</v>
      </c>
    </row>
    <row r="763">
      <c r="A763" s="120" t="str">
        <f>IFERROR(__xludf.DUMMYFUNCTION("TRANSPOSE(QUERY('Cadastro VTR/SEÇÃO/MILITAR'!$A$3:$B2000,""SELECT B WHERE A LIKE '""&amp;'carga de materiais'!D764&amp;""'""))"),"#REF!")</f>
        <v>#REF!</v>
      </c>
    </row>
    <row r="764">
      <c r="A764" s="120" t="str">
        <f>IFERROR(__xludf.DUMMYFUNCTION("TRANSPOSE(QUERY('Cadastro VTR/SEÇÃO/MILITAR'!$A$3:$B2000,""SELECT B WHERE A LIKE '""&amp;'carga de materiais'!D765&amp;""'""))"),"#REF!")</f>
        <v>#REF!</v>
      </c>
    </row>
    <row r="765">
      <c r="A765" s="120" t="str">
        <f>IFERROR(__xludf.DUMMYFUNCTION("TRANSPOSE(QUERY('Cadastro VTR/SEÇÃO/MILITAR'!$A$3:$B2000,""SELECT B WHERE A LIKE '""&amp;'carga de materiais'!D766&amp;""'""))"),"#REF!")</f>
        <v>#REF!</v>
      </c>
    </row>
    <row r="766">
      <c r="A766" s="120" t="str">
        <f>IFERROR(__xludf.DUMMYFUNCTION("TRANSPOSE(QUERY('Cadastro VTR/SEÇÃO/MILITAR'!$A$3:$B2000,""SELECT B WHERE A LIKE '""&amp;'carga de materiais'!D767&amp;""'""))"),"#REF!")</f>
        <v>#REF!</v>
      </c>
    </row>
    <row r="767">
      <c r="A767" s="120" t="str">
        <f>IFERROR(__xludf.DUMMYFUNCTION("TRANSPOSE(QUERY('Cadastro VTR/SEÇÃO/MILITAR'!$A$3:$B2000,""SELECT B WHERE A LIKE '""&amp;'carga de materiais'!D768&amp;""'""))"),"#REF!")</f>
        <v>#REF!</v>
      </c>
    </row>
    <row r="768">
      <c r="A768" s="120" t="str">
        <f>IFERROR(__xludf.DUMMYFUNCTION("TRANSPOSE(QUERY('Cadastro VTR/SEÇÃO/MILITAR'!$A$3:$B2000,""SELECT B WHERE A LIKE '""&amp;'carga de materiais'!D769&amp;""'""))"),"#REF!")</f>
        <v>#REF!</v>
      </c>
    </row>
    <row r="769">
      <c r="A769" s="120" t="str">
        <f>IFERROR(__xludf.DUMMYFUNCTION("TRANSPOSE(QUERY('Cadastro VTR/SEÇÃO/MILITAR'!$A$3:$B2000,""SELECT B WHERE A LIKE '""&amp;'carga de materiais'!D770&amp;""'""))"),"#REF!")</f>
        <v>#REF!</v>
      </c>
    </row>
    <row r="770">
      <c r="A770" s="120" t="str">
        <f>IFERROR(__xludf.DUMMYFUNCTION("TRANSPOSE(QUERY('Cadastro VTR/SEÇÃO/MILITAR'!$A$3:$B2000,""SELECT B WHERE A LIKE '""&amp;'carga de materiais'!D771&amp;""'""))"),"#REF!")</f>
        <v>#REF!</v>
      </c>
    </row>
    <row r="771">
      <c r="A771" s="120" t="str">
        <f>IFERROR(__xludf.DUMMYFUNCTION("TRANSPOSE(QUERY('Cadastro VTR/SEÇÃO/MILITAR'!$A$3:$B2000,""SELECT B WHERE A LIKE '""&amp;'carga de materiais'!D772&amp;""'""))"),"#REF!")</f>
        <v>#REF!</v>
      </c>
    </row>
    <row r="772">
      <c r="A772" s="120" t="str">
        <f>IFERROR(__xludf.DUMMYFUNCTION("TRANSPOSE(QUERY('Cadastro VTR/SEÇÃO/MILITAR'!$A$3:$B2000,""SELECT B WHERE A LIKE '""&amp;'carga de materiais'!D773&amp;""'""))"),"#REF!")</f>
        <v>#REF!</v>
      </c>
    </row>
    <row r="773">
      <c r="A773" s="120" t="str">
        <f>IFERROR(__xludf.DUMMYFUNCTION("TRANSPOSE(QUERY('Cadastro VTR/SEÇÃO/MILITAR'!$A$3:$B2000,""SELECT B WHERE A LIKE '""&amp;'carga de materiais'!D774&amp;""'""))"),"#REF!")</f>
        <v>#REF!</v>
      </c>
    </row>
    <row r="774">
      <c r="A774" s="120" t="str">
        <f>IFERROR(__xludf.DUMMYFUNCTION("TRANSPOSE(QUERY('Cadastro VTR/SEÇÃO/MILITAR'!$A$3:$B2000,""SELECT B WHERE A LIKE '""&amp;'carga de materiais'!D775&amp;""'""))"),"#REF!")</f>
        <v>#REF!</v>
      </c>
    </row>
    <row r="775">
      <c r="A775" s="120" t="str">
        <f>IFERROR(__xludf.DUMMYFUNCTION("TRANSPOSE(QUERY('Cadastro VTR/SEÇÃO/MILITAR'!$A$3:$B2000,""SELECT B WHERE A LIKE '""&amp;'carga de materiais'!D776&amp;""'""))"),"#REF!")</f>
        <v>#REF!</v>
      </c>
    </row>
    <row r="776">
      <c r="A776" s="120" t="str">
        <f>IFERROR(__xludf.DUMMYFUNCTION("TRANSPOSE(QUERY('Cadastro VTR/SEÇÃO/MILITAR'!$A$3:$B2000,""SELECT B WHERE A LIKE '""&amp;'carga de materiais'!D777&amp;""'""))"),"#REF!")</f>
        <v>#REF!</v>
      </c>
    </row>
    <row r="777">
      <c r="A777" s="120" t="str">
        <f>IFERROR(__xludf.DUMMYFUNCTION("TRANSPOSE(QUERY('Cadastro VTR/SEÇÃO/MILITAR'!$A$3:$B2000,""SELECT B WHERE A LIKE '""&amp;'carga de materiais'!D778&amp;""'""))"),"#REF!")</f>
        <v>#REF!</v>
      </c>
    </row>
    <row r="778">
      <c r="A778" s="120" t="str">
        <f>IFERROR(__xludf.DUMMYFUNCTION("TRANSPOSE(QUERY('Cadastro VTR/SEÇÃO/MILITAR'!$A$3:$B2000,""SELECT B WHERE A LIKE '""&amp;'carga de materiais'!D779&amp;""'""))"),"#REF!")</f>
        <v>#REF!</v>
      </c>
    </row>
    <row r="779">
      <c r="A779" s="120" t="str">
        <f>IFERROR(__xludf.DUMMYFUNCTION("TRANSPOSE(QUERY('Cadastro VTR/SEÇÃO/MILITAR'!$A$3:$B2000,""SELECT B WHERE A LIKE '""&amp;'carga de materiais'!D780&amp;""'""))"),"#REF!")</f>
        <v>#REF!</v>
      </c>
    </row>
    <row r="780">
      <c r="A780" s="120" t="str">
        <f>IFERROR(__xludf.DUMMYFUNCTION("TRANSPOSE(QUERY('Cadastro VTR/SEÇÃO/MILITAR'!$A$3:$B2000,""SELECT B WHERE A LIKE '""&amp;'carga de materiais'!D781&amp;""'""))"),"#REF!")</f>
        <v>#REF!</v>
      </c>
    </row>
    <row r="781">
      <c r="A781" s="120" t="str">
        <f>IFERROR(__xludf.DUMMYFUNCTION("TRANSPOSE(QUERY('Cadastro VTR/SEÇÃO/MILITAR'!$A$3:$B2000,""SELECT B WHERE A LIKE '""&amp;'carga de materiais'!D782&amp;""'""))"),"#REF!")</f>
        <v>#REF!</v>
      </c>
    </row>
    <row r="782">
      <c r="A782" s="120" t="str">
        <f>IFERROR(__xludf.DUMMYFUNCTION("TRANSPOSE(QUERY('Cadastro VTR/SEÇÃO/MILITAR'!$A$3:$B2000,""SELECT B WHERE A LIKE '""&amp;'carga de materiais'!D783&amp;""'""))"),"#REF!")</f>
        <v>#REF!</v>
      </c>
    </row>
    <row r="783">
      <c r="A783" s="120" t="str">
        <f>IFERROR(__xludf.DUMMYFUNCTION("TRANSPOSE(QUERY('Cadastro VTR/SEÇÃO/MILITAR'!$A$3:$B2000,""SELECT B WHERE A LIKE '""&amp;'carga de materiais'!D784&amp;""'""))"),"#REF!")</f>
        <v>#REF!</v>
      </c>
    </row>
    <row r="784">
      <c r="A784" s="120" t="str">
        <f>IFERROR(__xludf.DUMMYFUNCTION("TRANSPOSE(QUERY('Cadastro VTR/SEÇÃO/MILITAR'!$A$3:$B2000,""SELECT B WHERE A LIKE '""&amp;'carga de materiais'!D785&amp;""'""))"),"#REF!")</f>
        <v>#REF!</v>
      </c>
    </row>
    <row r="785">
      <c r="A785" s="120" t="str">
        <f>IFERROR(__xludf.DUMMYFUNCTION("TRANSPOSE(QUERY('Cadastro VTR/SEÇÃO/MILITAR'!$A$3:$B2000,""SELECT B WHERE A LIKE '""&amp;'carga de materiais'!D786&amp;""'""))"),"#REF!")</f>
        <v>#REF!</v>
      </c>
    </row>
    <row r="786">
      <c r="A786" s="120" t="str">
        <f>IFERROR(__xludf.DUMMYFUNCTION("TRANSPOSE(QUERY('Cadastro VTR/SEÇÃO/MILITAR'!$A$3:$B2000,""SELECT B WHERE A LIKE '""&amp;'carga de materiais'!D787&amp;""'""))"),"#REF!")</f>
        <v>#REF!</v>
      </c>
    </row>
    <row r="787">
      <c r="A787" s="120" t="str">
        <f>IFERROR(__xludf.DUMMYFUNCTION("TRANSPOSE(QUERY('Cadastro VTR/SEÇÃO/MILITAR'!$A$3:$B2000,""SELECT B WHERE A LIKE '""&amp;'carga de materiais'!D788&amp;""'""))"),"#REF!")</f>
        <v>#REF!</v>
      </c>
    </row>
    <row r="788">
      <c r="A788" s="120" t="str">
        <f>IFERROR(__xludf.DUMMYFUNCTION("TRANSPOSE(QUERY('Cadastro VTR/SEÇÃO/MILITAR'!$A$3:$B2000,""SELECT B WHERE A LIKE '""&amp;'carga de materiais'!D789&amp;""'""))"),"#REF!")</f>
        <v>#REF!</v>
      </c>
    </row>
    <row r="789">
      <c r="A789" s="120" t="str">
        <f>IFERROR(__xludf.DUMMYFUNCTION("TRANSPOSE(QUERY('Cadastro VTR/SEÇÃO/MILITAR'!$A$3:$B2000,""SELECT B WHERE A LIKE '""&amp;'carga de materiais'!D790&amp;""'""))"),"#REF!")</f>
        <v>#REF!</v>
      </c>
    </row>
    <row r="790">
      <c r="A790" s="120" t="str">
        <f>IFERROR(__xludf.DUMMYFUNCTION("TRANSPOSE(QUERY('Cadastro VTR/SEÇÃO/MILITAR'!$A$3:$B2000,""SELECT B WHERE A LIKE '""&amp;'carga de materiais'!D791&amp;""'""))"),"#REF!")</f>
        <v>#REF!</v>
      </c>
    </row>
    <row r="791">
      <c r="A791" s="120" t="str">
        <f>IFERROR(__xludf.DUMMYFUNCTION("TRANSPOSE(QUERY('Cadastro VTR/SEÇÃO/MILITAR'!$A$3:$B2000,""SELECT B WHERE A LIKE '""&amp;'carga de materiais'!D792&amp;""'""))"),"#REF!")</f>
        <v>#REF!</v>
      </c>
    </row>
    <row r="792">
      <c r="A792" s="120" t="str">
        <f>IFERROR(__xludf.DUMMYFUNCTION("TRANSPOSE(QUERY('Cadastro VTR/SEÇÃO/MILITAR'!$A$3:$B2000,""SELECT B WHERE A LIKE '""&amp;'carga de materiais'!D793&amp;""'""))"),"#REF!")</f>
        <v>#REF!</v>
      </c>
    </row>
    <row r="793">
      <c r="A793" s="120" t="str">
        <f>IFERROR(__xludf.DUMMYFUNCTION("TRANSPOSE(QUERY('Cadastro VTR/SEÇÃO/MILITAR'!$A$3:$B2000,""SELECT B WHERE A LIKE '""&amp;'carga de materiais'!D794&amp;""'""))"),"#REF!")</f>
        <v>#REF!</v>
      </c>
    </row>
    <row r="794">
      <c r="A794" s="120" t="str">
        <f>IFERROR(__xludf.DUMMYFUNCTION("TRANSPOSE(QUERY('Cadastro VTR/SEÇÃO/MILITAR'!$A$3:$B2000,""SELECT B WHERE A LIKE '""&amp;'carga de materiais'!D795&amp;""'""))"),"#REF!")</f>
        <v>#REF!</v>
      </c>
    </row>
    <row r="795">
      <c r="A795" s="120" t="str">
        <f>IFERROR(__xludf.DUMMYFUNCTION("TRANSPOSE(QUERY('Cadastro VTR/SEÇÃO/MILITAR'!$A$3:$B2000,""SELECT B WHERE A LIKE '""&amp;'carga de materiais'!D796&amp;""'""))"),"#REF!")</f>
        <v>#REF!</v>
      </c>
    </row>
    <row r="796">
      <c r="A796" s="120" t="str">
        <f>IFERROR(__xludf.DUMMYFUNCTION("TRANSPOSE(QUERY('Cadastro VTR/SEÇÃO/MILITAR'!$A$3:$B2000,""SELECT B WHERE A LIKE '""&amp;'carga de materiais'!D797&amp;""'""))"),"#REF!")</f>
        <v>#REF!</v>
      </c>
    </row>
    <row r="797">
      <c r="A797" s="120" t="str">
        <f>IFERROR(__xludf.DUMMYFUNCTION("TRANSPOSE(QUERY('Cadastro VTR/SEÇÃO/MILITAR'!$A$3:$B2000,""SELECT B WHERE A LIKE '""&amp;'carga de materiais'!D798&amp;""'""))"),"#REF!")</f>
        <v>#REF!</v>
      </c>
    </row>
    <row r="798">
      <c r="A798" s="120" t="str">
        <f>IFERROR(__xludf.DUMMYFUNCTION("TRANSPOSE(QUERY('Cadastro VTR/SEÇÃO/MILITAR'!$A$3:$B2000,""SELECT B WHERE A LIKE '""&amp;'carga de materiais'!D799&amp;""'""))"),"#REF!")</f>
        <v>#REF!</v>
      </c>
    </row>
    <row r="799">
      <c r="A799" s="120" t="str">
        <f>IFERROR(__xludf.DUMMYFUNCTION("TRANSPOSE(QUERY('Cadastro VTR/SEÇÃO/MILITAR'!$A$3:$B2000,""SELECT B WHERE A LIKE '""&amp;'carga de materiais'!D800&amp;""'""))"),"#REF!")</f>
        <v>#REF!</v>
      </c>
    </row>
    <row r="800">
      <c r="A800" s="120" t="str">
        <f>IFERROR(__xludf.DUMMYFUNCTION("TRANSPOSE(QUERY('Cadastro VTR/SEÇÃO/MILITAR'!$A$3:$B2000,""SELECT B WHERE A LIKE '""&amp;'carga de materiais'!D801&amp;""'""))"),"#REF!")</f>
        <v>#REF!</v>
      </c>
    </row>
    <row r="801">
      <c r="A801" s="120" t="str">
        <f>IFERROR(__xludf.DUMMYFUNCTION("TRANSPOSE(QUERY('Cadastro VTR/SEÇÃO/MILITAR'!$A$3:$B2000,""SELECT B WHERE A LIKE '""&amp;'carga de materiais'!D802&amp;""'""))"),"#REF!")</f>
        <v>#REF!</v>
      </c>
    </row>
    <row r="802">
      <c r="A802" s="120" t="str">
        <f>IFERROR(__xludf.DUMMYFUNCTION("TRANSPOSE(QUERY('Cadastro VTR/SEÇÃO/MILITAR'!$A$3:$B2000,""SELECT B WHERE A LIKE '""&amp;'carga de materiais'!D803&amp;""'""))"),"#REF!")</f>
        <v>#REF!</v>
      </c>
    </row>
    <row r="803">
      <c r="A803" s="120" t="str">
        <f>IFERROR(__xludf.DUMMYFUNCTION("TRANSPOSE(QUERY('Cadastro VTR/SEÇÃO/MILITAR'!$A$3:$B2000,""SELECT B WHERE A LIKE '""&amp;'carga de materiais'!D804&amp;""'""))"),"#REF!")</f>
        <v>#REF!</v>
      </c>
    </row>
    <row r="804">
      <c r="A804" s="120" t="str">
        <f>IFERROR(__xludf.DUMMYFUNCTION("TRANSPOSE(QUERY('Cadastro VTR/SEÇÃO/MILITAR'!$A$3:$B2000,""SELECT B WHERE A LIKE '""&amp;'carga de materiais'!D805&amp;""'""))"),"#REF!")</f>
        <v>#REF!</v>
      </c>
    </row>
    <row r="805">
      <c r="A805" s="120" t="str">
        <f>IFERROR(__xludf.DUMMYFUNCTION("TRANSPOSE(QUERY('Cadastro VTR/SEÇÃO/MILITAR'!$A$3:$B2000,""SELECT B WHERE A LIKE '""&amp;'carga de materiais'!D806&amp;""'""))"),"#REF!")</f>
        <v>#REF!</v>
      </c>
    </row>
    <row r="806">
      <c r="A806" s="120" t="str">
        <f>IFERROR(__xludf.DUMMYFUNCTION("TRANSPOSE(QUERY('Cadastro VTR/SEÇÃO/MILITAR'!$A$3:$B2000,""SELECT B WHERE A LIKE '""&amp;'carga de materiais'!D807&amp;""'""))"),"#REF!")</f>
        <v>#REF!</v>
      </c>
    </row>
    <row r="807">
      <c r="A807" s="120" t="str">
        <f>IFERROR(__xludf.DUMMYFUNCTION("TRANSPOSE(QUERY('Cadastro VTR/SEÇÃO/MILITAR'!$A$3:$B2000,""SELECT B WHERE A LIKE '""&amp;'carga de materiais'!D808&amp;""'""))"),"#REF!")</f>
        <v>#REF!</v>
      </c>
    </row>
    <row r="808">
      <c r="A808" s="120" t="str">
        <f>IFERROR(__xludf.DUMMYFUNCTION("TRANSPOSE(QUERY('Cadastro VTR/SEÇÃO/MILITAR'!$A$3:$B2000,""SELECT B WHERE A LIKE '""&amp;'carga de materiais'!D809&amp;""'""))"),"#REF!")</f>
        <v>#REF!</v>
      </c>
    </row>
    <row r="809">
      <c r="A809" s="120" t="str">
        <f>IFERROR(__xludf.DUMMYFUNCTION("TRANSPOSE(QUERY('Cadastro VTR/SEÇÃO/MILITAR'!$A$3:$B2000,""SELECT B WHERE A LIKE '""&amp;'carga de materiais'!D810&amp;""'""))"),"#REF!")</f>
        <v>#REF!</v>
      </c>
    </row>
    <row r="810">
      <c r="A810" s="120" t="str">
        <f>IFERROR(__xludf.DUMMYFUNCTION("TRANSPOSE(QUERY('Cadastro VTR/SEÇÃO/MILITAR'!$A$3:$B2000,""SELECT B WHERE A LIKE '""&amp;'carga de materiais'!D811&amp;""'""))"),"#REF!")</f>
        <v>#REF!</v>
      </c>
    </row>
    <row r="811">
      <c r="A811" s="120" t="str">
        <f>IFERROR(__xludf.DUMMYFUNCTION("TRANSPOSE(QUERY('Cadastro VTR/SEÇÃO/MILITAR'!$A$3:$B2000,""SELECT B WHERE A LIKE '""&amp;'carga de materiais'!D812&amp;""'""))"),"#REF!")</f>
        <v>#REF!</v>
      </c>
    </row>
    <row r="812">
      <c r="A812" s="120" t="str">
        <f>IFERROR(__xludf.DUMMYFUNCTION("TRANSPOSE(QUERY('Cadastro VTR/SEÇÃO/MILITAR'!$A$3:$B2000,""SELECT B WHERE A LIKE '""&amp;'carga de materiais'!D813&amp;""'""))"),"#REF!")</f>
        <v>#REF!</v>
      </c>
    </row>
    <row r="813">
      <c r="A813" s="120" t="str">
        <f>IFERROR(__xludf.DUMMYFUNCTION("TRANSPOSE(QUERY('Cadastro VTR/SEÇÃO/MILITAR'!$A$3:$B2000,""SELECT B WHERE A LIKE '""&amp;'carga de materiais'!D814&amp;""'""))"),"#REF!")</f>
        <v>#REF!</v>
      </c>
    </row>
    <row r="814">
      <c r="A814" s="120" t="str">
        <f>IFERROR(__xludf.DUMMYFUNCTION("TRANSPOSE(QUERY('Cadastro VTR/SEÇÃO/MILITAR'!$A$3:$B2000,""SELECT B WHERE A LIKE '""&amp;'carga de materiais'!D815&amp;""'""))"),"#REF!")</f>
        <v>#REF!</v>
      </c>
    </row>
    <row r="815">
      <c r="A815" s="120" t="str">
        <f>IFERROR(__xludf.DUMMYFUNCTION("TRANSPOSE(QUERY('Cadastro VTR/SEÇÃO/MILITAR'!$A$3:$B2000,""SELECT B WHERE A LIKE '""&amp;'carga de materiais'!D816&amp;""'""))"),"#REF!")</f>
        <v>#REF!</v>
      </c>
    </row>
    <row r="816">
      <c r="A816" s="120" t="str">
        <f>IFERROR(__xludf.DUMMYFUNCTION("TRANSPOSE(QUERY('Cadastro VTR/SEÇÃO/MILITAR'!$A$3:$B2000,""SELECT B WHERE A LIKE '""&amp;'carga de materiais'!D817&amp;""'""))"),"#REF!")</f>
        <v>#REF!</v>
      </c>
    </row>
    <row r="817">
      <c r="A817" s="120" t="str">
        <f>IFERROR(__xludf.DUMMYFUNCTION("TRANSPOSE(QUERY('Cadastro VTR/SEÇÃO/MILITAR'!$A$3:$B2000,""SELECT B WHERE A LIKE '""&amp;'carga de materiais'!D818&amp;""'""))"),"#REF!")</f>
        <v>#REF!</v>
      </c>
      <c r="B817" s="87"/>
      <c r="C817" s="87"/>
      <c r="D817" s="87"/>
      <c r="E817" s="87"/>
      <c r="F817" s="87"/>
      <c r="G817" s="87"/>
      <c r="H817" s="87"/>
      <c r="I817" s="87"/>
      <c r="J817" s="87"/>
      <c r="K817" s="87"/>
      <c r="L817" s="87"/>
      <c r="M817" s="87"/>
      <c r="N817" s="87"/>
      <c r="O817" s="87"/>
      <c r="P817" s="87"/>
      <c r="Q817" s="87"/>
      <c r="R817" s="87"/>
      <c r="S817" s="87"/>
      <c r="T817" s="87"/>
      <c r="U817" s="87"/>
      <c r="V817" s="87"/>
      <c r="W817" s="87"/>
      <c r="X817" s="87"/>
      <c r="Y817" s="87"/>
      <c r="Z817" s="87"/>
      <c r="AA817" s="87"/>
      <c r="AB817" s="87"/>
      <c r="AC817" s="87"/>
      <c r="AD817" s="87"/>
      <c r="AE817" s="87"/>
      <c r="AF817" s="87"/>
      <c r="AG817" s="87"/>
      <c r="AH817" s="87"/>
      <c r="AI817" s="87"/>
      <c r="AJ817" s="87"/>
      <c r="AK817" s="87"/>
      <c r="AL817" s="87"/>
      <c r="AM817" s="87"/>
      <c r="AN817" s="87"/>
      <c r="AO817" s="87"/>
      <c r="AP817" s="87"/>
      <c r="AQ817" s="87"/>
      <c r="AR817" s="87"/>
      <c r="AS817" s="87"/>
      <c r="AT817" s="87"/>
      <c r="AU817" s="87"/>
      <c r="AV817" s="87"/>
      <c r="AW817" s="87"/>
      <c r="AX817" s="87"/>
      <c r="AY817" s="87"/>
      <c r="AZ817" s="87"/>
      <c r="BA817" s="87"/>
      <c r="BB817" s="87"/>
      <c r="BC817" s="87"/>
      <c r="BD817" s="87"/>
      <c r="BE817" s="87"/>
      <c r="BF817" s="87"/>
      <c r="BG817" s="87"/>
      <c r="BH817" s="87"/>
      <c r="BI817" s="87"/>
      <c r="BJ817" s="87"/>
      <c r="BK817" s="87"/>
      <c r="BL817" s="87"/>
      <c r="BM817" s="87"/>
      <c r="BN817" s="87"/>
      <c r="BO817" s="87"/>
      <c r="BP817" s="87"/>
      <c r="BQ817" s="87"/>
      <c r="BR817" s="87"/>
      <c r="BS817" s="87"/>
      <c r="BT817" s="87"/>
      <c r="BU817" s="87"/>
      <c r="BV817" s="87"/>
      <c r="BW817" s="87"/>
      <c r="BX817" s="87"/>
      <c r="BY817" s="87"/>
      <c r="BZ817" s="87"/>
      <c r="CA817" s="87"/>
      <c r="CB817" s="87"/>
      <c r="CC817" s="87"/>
      <c r="CD817" s="87"/>
      <c r="CE817" s="87"/>
      <c r="CF817" s="87"/>
      <c r="CG817" s="87"/>
      <c r="CH817" s="87"/>
      <c r="CI817" s="87"/>
      <c r="CJ817" s="87"/>
      <c r="CK817" s="87"/>
      <c r="CL817" s="87"/>
      <c r="CM817" s="87"/>
      <c r="CN817" s="87"/>
      <c r="CO817" s="87"/>
      <c r="CP817" s="87"/>
      <c r="CQ817" s="87"/>
      <c r="CR817" s="87"/>
      <c r="CS817" s="87"/>
      <c r="CT817" s="87"/>
      <c r="CU817" s="87"/>
      <c r="CV817" s="87"/>
      <c r="CW817" s="87"/>
      <c r="CX817" s="87"/>
      <c r="CY817" s="87"/>
      <c r="CZ817" s="87"/>
      <c r="DA817" s="87"/>
      <c r="DB817" s="87"/>
      <c r="DC817" s="87"/>
      <c r="DD817" s="87"/>
      <c r="DE817" s="87"/>
      <c r="DF817" s="87"/>
      <c r="DG817" s="87"/>
      <c r="DH817" s="87"/>
      <c r="DI817" s="87"/>
    </row>
    <row r="818">
      <c r="A818" s="120" t="str">
        <f>IFERROR(__xludf.DUMMYFUNCTION("TRANSPOSE(QUERY('Cadastro VTR/SEÇÃO/MILITAR'!$A$3:$B2000,""SELECT B WHERE A LIKE '""&amp;'carga de materiais'!D819&amp;""'""))"),"#REF!")</f>
        <v>#REF!</v>
      </c>
    </row>
    <row r="819">
      <c r="A819" s="120" t="str">
        <f>IFERROR(__xludf.DUMMYFUNCTION("TRANSPOSE(QUERY('Cadastro VTR/SEÇÃO/MILITAR'!$A$3:$B2000,""SELECT B WHERE A LIKE '""&amp;'carga de materiais'!D820&amp;""'""))"),"#REF!")</f>
        <v>#REF!</v>
      </c>
    </row>
    <row r="820">
      <c r="A820" s="120" t="str">
        <f>IFERROR(__xludf.DUMMYFUNCTION("TRANSPOSE(QUERY('Cadastro VTR/SEÇÃO/MILITAR'!$A$3:$B2000,""SELECT B WHERE A LIKE '""&amp;'carga de materiais'!D821&amp;""'""))"),"#REF!")</f>
        <v>#REF!</v>
      </c>
    </row>
    <row r="821">
      <c r="A821" s="120" t="str">
        <f>IFERROR(__xludf.DUMMYFUNCTION("TRANSPOSE(QUERY('Cadastro VTR/SEÇÃO/MILITAR'!$A$3:$B2000,""SELECT B WHERE A LIKE '""&amp;'carga de materiais'!D822&amp;""'""))"),"#REF!")</f>
        <v>#REF!</v>
      </c>
    </row>
    <row r="822">
      <c r="A822" s="120" t="str">
        <f>IFERROR(__xludf.DUMMYFUNCTION("TRANSPOSE(QUERY('Cadastro VTR/SEÇÃO/MILITAR'!$A$3:$B2000,""SELECT B WHERE A LIKE '""&amp;'carga de materiais'!D823&amp;""'""))"),"#REF!")</f>
        <v>#REF!</v>
      </c>
    </row>
    <row r="823">
      <c r="A823" s="120" t="str">
        <f>IFERROR(__xludf.DUMMYFUNCTION("TRANSPOSE(QUERY('Cadastro VTR/SEÇÃO/MILITAR'!$A$3:$B2000,""SELECT B WHERE A LIKE '""&amp;'carga de materiais'!D824&amp;""'""))"),"#REF!")</f>
        <v>#REF!</v>
      </c>
    </row>
    <row r="824">
      <c r="A824" s="120" t="str">
        <f>IFERROR(__xludf.DUMMYFUNCTION("TRANSPOSE(QUERY('Cadastro VTR/SEÇÃO/MILITAR'!$A$3:$B2000,""SELECT B WHERE A LIKE '""&amp;'carga de materiais'!D825&amp;""'""))"),"#REF!")</f>
        <v>#REF!</v>
      </c>
    </row>
    <row r="825">
      <c r="A825" s="120" t="str">
        <f>IFERROR(__xludf.DUMMYFUNCTION("TRANSPOSE(QUERY('Cadastro VTR/SEÇÃO/MILITAR'!$A$3:$B2000,""SELECT B WHERE A LIKE '""&amp;'carga de materiais'!D826&amp;""'""))"),"#REF!")</f>
        <v>#REF!</v>
      </c>
    </row>
    <row r="826">
      <c r="A826" s="120" t="str">
        <f>IFERROR(__xludf.DUMMYFUNCTION("TRANSPOSE(QUERY('Cadastro VTR/SEÇÃO/MILITAR'!$A$3:$B2000,""SELECT B WHERE A LIKE '""&amp;'carga de materiais'!D827&amp;""'""))"),"#REF!")</f>
        <v>#REF!</v>
      </c>
    </row>
    <row r="827">
      <c r="A827" s="120" t="str">
        <f>IFERROR(__xludf.DUMMYFUNCTION("TRANSPOSE(QUERY('Cadastro VTR/SEÇÃO/MILITAR'!$A$3:$B2000,""SELECT B WHERE A LIKE '""&amp;'carga de materiais'!D828&amp;""'""))"),"#REF!")</f>
        <v>#REF!</v>
      </c>
    </row>
    <row r="828">
      <c r="A828" s="120" t="str">
        <f>IFERROR(__xludf.DUMMYFUNCTION("TRANSPOSE(QUERY('Cadastro VTR/SEÇÃO/MILITAR'!$A$3:$B2000,""SELECT B WHERE A LIKE '""&amp;'carga de materiais'!D829&amp;""'""))"),"#REF!")</f>
        <v>#REF!</v>
      </c>
    </row>
    <row r="829">
      <c r="A829" s="120" t="str">
        <f>IFERROR(__xludf.DUMMYFUNCTION("TRANSPOSE(QUERY('Cadastro VTR/SEÇÃO/MILITAR'!$A$3:$B2000,""SELECT B WHERE A LIKE '""&amp;'carga de materiais'!D830&amp;""'""))"),"#REF!")</f>
        <v>#REF!</v>
      </c>
    </row>
    <row r="830">
      <c r="A830" s="120" t="str">
        <f>IFERROR(__xludf.DUMMYFUNCTION("TRANSPOSE(QUERY('Cadastro VTR/SEÇÃO/MILITAR'!$A$3:$B2000,""SELECT B WHERE A LIKE '""&amp;'carga de materiais'!D831&amp;""'""))"),"#REF!")</f>
        <v>#REF!</v>
      </c>
    </row>
    <row r="831">
      <c r="A831" s="120" t="str">
        <f>IFERROR(__xludf.DUMMYFUNCTION("TRANSPOSE(QUERY('Cadastro VTR/SEÇÃO/MILITAR'!$A$3:$B2000,""SELECT B WHERE A LIKE '""&amp;'carga de materiais'!D832&amp;""'""))"),"#REF!")</f>
        <v>#REF!</v>
      </c>
    </row>
    <row r="832">
      <c r="A832" s="120" t="str">
        <f>IFERROR(__xludf.DUMMYFUNCTION("TRANSPOSE(QUERY('Cadastro VTR/SEÇÃO/MILITAR'!$A$3:$B2000,""SELECT B WHERE A LIKE '""&amp;'carga de materiais'!D833&amp;""'""))"),"#REF!")</f>
        <v>#REF!</v>
      </c>
    </row>
    <row r="833">
      <c r="A833" s="120" t="str">
        <f>IFERROR(__xludf.DUMMYFUNCTION("TRANSPOSE(QUERY('Cadastro VTR/SEÇÃO/MILITAR'!$A$3:$B2000,""SELECT B WHERE A LIKE '""&amp;'carga de materiais'!D834&amp;""'""))"),"#REF!")</f>
        <v>#REF!</v>
      </c>
    </row>
    <row r="834">
      <c r="A834" s="120" t="str">
        <f>IFERROR(__xludf.DUMMYFUNCTION("TRANSPOSE(QUERY('Cadastro VTR/SEÇÃO/MILITAR'!$A$3:$B2000,""SELECT B WHERE A LIKE '""&amp;'carga de materiais'!D835&amp;""'""))"),"#REF!")</f>
        <v>#REF!</v>
      </c>
    </row>
    <row r="835">
      <c r="A835" s="120" t="str">
        <f>IFERROR(__xludf.DUMMYFUNCTION("TRANSPOSE(QUERY('Cadastro VTR/SEÇÃO/MILITAR'!$A$3:$B2000,""SELECT B WHERE A LIKE '""&amp;'carga de materiais'!D836&amp;""'""))"),"#REF!")</f>
        <v>#REF!</v>
      </c>
    </row>
    <row r="836">
      <c r="A836" s="120" t="str">
        <f>IFERROR(__xludf.DUMMYFUNCTION("TRANSPOSE(QUERY('Cadastro VTR/SEÇÃO/MILITAR'!$A$3:$B2000,""SELECT B WHERE A LIKE '""&amp;'carga de materiais'!D837&amp;""'""))"),"#REF!")</f>
        <v>#REF!</v>
      </c>
    </row>
    <row r="837">
      <c r="A837" s="120" t="str">
        <f>IFERROR(__xludf.DUMMYFUNCTION("TRANSPOSE(QUERY('Cadastro VTR/SEÇÃO/MILITAR'!$A$3:$B2000,""SELECT B WHERE A LIKE '""&amp;'carga de materiais'!D838&amp;""'""))"),"#REF!")</f>
        <v>#REF!</v>
      </c>
    </row>
    <row r="838">
      <c r="A838" s="120" t="str">
        <f>IFERROR(__xludf.DUMMYFUNCTION("TRANSPOSE(QUERY('Cadastro VTR/SEÇÃO/MILITAR'!$A$3:$B2000,""SELECT B WHERE A LIKE '""&amp;'carga de materiais'!D839&amp;""'""))"),"#REF!")</f>
        <v>#REF!</v>
      </c>
    </row>
    <row r="839">
      <c r="A839" s="120" t="str">
        <f>IFERROR(__xludf.DUMMYFUNCTION("TRANSPOSE(QUERY('Cadastro VTR/SEÇÃO/MILITAR'!$A$3:$B2000,""SELECT B WHERE A LIKE '""&amp;'carga de materiais'!D840&amp;""'""))"),"#REF!")</f>
        <v>#REF!</v>
      </c>
    </row>
    <row r="840">
      <c r="A840" s="120" t="str">
        <f>IFERROR(__xludf.DUMMYFUNCTION("TRANSPOSE(QUERY('Cadastro VTR/SEÇÃO/MILITAR'!$A$3:$B2000,""SELECT B WHERE A LIKE '""&amp;'carga de materiais'!D841&amp;""'""))"),"#REF!")</f>
        <v>#REF!</v>
      </c>
    </row>
    <row r="841">
      <c r="A841" s="120" t="str">
        <f>IFERROR(__xludf.DUMMYFUNCTION("TRANSPOSE(QUERY('Cadastro VTR/SEÇÃO/MILITAR'!$A$3:$B2000,""SELECT B WHERE A LIKE '""&amp;'carga de materiais'!D842&amp;""'""))"),"#REF!")</f>
        <v>#REF!</v>
      </c>
    </row>
    <row r="842">
      <c r="A842" s="120" t="str">
        <f>IFERROR(__xludf.DUMMYFUNCTION("TRANSPOSE(QUERY('Cadastro VTR/SEÇÃO/MILITAR'!$A$3:$B2000,""SELECT B WHERE A LIKE '""&amp;'carga de materiais'!D843&amp;""'""))"),"#REF!")</f>
        <v>#REF!</v>
      </c>
    </row>
    <row r="843">
      <c r="A843" s="120" t="str">
        <f>IFERROR(__xludf.DUMMYFUNCTION("TRANSPOSE(QUERY('Cadastro VTR/SEÇÃO/MILITAR'!$A$3:$B2000,""SELECT B WHERE A LIKE '""&amp;'carga de materiais'!D844&amp;""'""))"),"#REF!")</f>
        <v>#REF!</v>
      </c>
    </row>
    <row r="844">
      <c r="A844" s="120" t="str">
        <f>IFERROR(__xludf.DUMMYFUNCTION("TRANSPOSE(QUERY('Cadastro VTR/SEÇÃO/MILITAR'!$A$3:$B2000,""SELECT B WHERE A LIKE '""&amp;'carga de materiais'!D845&amp;""'""))"),"#REF!")</f>
        <v>#REF!</v>
      </c>
    </row>
    <row r="845">
      <c r="A845" s="120" t="str">
        <f>IFERROR(__xludf.DUMMYFUNCTION("TRANSPOSE(QUERY('Cadastro VTR/SEÇÃO/MILITAR'!$A$3:$B2000,""SELECT B WHERE A LIKE '""&amp;'carga de materiais'!D846&amp;""'""))"),"#REF!")</f>
        <v>#REF!</v>
      </c>
    </row>
    <row r="846">
      <c r="A846" s="120" t="str">
        <f>IFERROR(__xludf.DUMMYFUNCTION("TRANSPOSE(QUERY('Cadastro VTR/SEÇÃO/MILITAR'!$A$3:$B2000,""SELECT B WHERE A LIKE '""&amp;'carga de materiais'!D847&amp;""'""))"),"#REF!")</f>
        <v>#REF!</v>
      </c>
    </row>
    <row r="847">
      <c r="A847" s="120" t="str">
        <f>IFERROR(__xludf.DUMMYFUNCTION("TRANSPOSE(QUERY('Cadastro VTR/SEÇÃO/MILITAR'!$A$3:$B2000,""SELECT B WHERE A LIKE '""&amp;'carga de materiais'!D848&amp;""'""))"),"#REF!")</f>
        <v>#REF!</v>
      </c>
    </row>
    <row r="848">
      <c r="A848" s="120" t="str">
        <f>IFERROR(__xludf.DUMMYFUNCTION("TRANSPOSE(QUERY('Cadastro VTR/SEÇÃO/MILITAR'!$A$3:$B2000,""SELECT B WHERE A LIKE '""&amp;'carga de materiais'!D849&amp;""'""))"),"#REF!")</f>
        <v>#REF!</v>
      </c>
    </row>
    <row r="849">
      <c r="A849" s="120" t="str">
        <f>IFERROR(__xludf.DUMMYFUNCTION("TRANSPOSE(QUERY('Cadastro VTR/SEÇÃO/MILITAR'!$A$3:$B2000,""SELECT B WHERE A LIKE '""&amp;'carga de materiais'!D850&amp;""'""))"),"#REF!")</f>
        <v>#REF!</v>
      </c>
    </row>
    <row r="850">
      <c r="A850" s="120" t="str">
        <f>IFERROR(__xludf.DUMMYFUNCTION("TRANSPOSE(QUERY('Cadastro VTR/SEÇÃO/MILITAR'!$A$3:$B2000,""SELECT B WHERE A LIKE '""&amp;'carga de materiais'!D851&amp;""'""))"),"#REF!")</f>
        <v>#REF!</v>
      </c>
    </row>
    <row r="851">
      <c r="A851" s="120" t="str">
        <f>IFERROR(__xludf.DUMMYFUNCTION("TRANSPOSE(QUERY('Cadastro VTR/SEÇÃO/MILITAR'!$A$3:$B2000,""SELECT B WHERE A LIKE '""&amp;'carga de materiais'!D852&amp;""'""))"),"#REF!")</f>
        <v>#REF!</v>
      </c>
    </row>
    <row r="852">
      <c r="A852" s="120" t="str">
        <f>IFERROR(__xludf.DUMMYFUNCTION("TRANSPOSE(QUERY('Cadastro VTR/SEÇÃO/MILITAR'!$A$3:$B2000,""SELECT B WHERE A LIKE '""&amp;'carga de materiais'!D853&amp;""'""))"),"#REF!")</f>
        <v>#REF!</v>
      </c>
    </row>
    <row r="853">
      <c r="A853" s="120" t="str">
        <f>IFERROR(__xludf.DUMMYFUNCTION("TRANSPOSE(QUERY('Cadastro VTR/SEÇÃO/MILITAR'!$A$3:$B2000,""SELECT B WHERE A LIKE '""&amp;'carga de materiais'!D854&amp;""'""))"),"#REF!")</f>
        <v>#REF!</v>
      </c>
    </row>
    <row r="854">
      <c r="A854" s="120" t="str">
        <f>IFERROR(__xludf.DUMMYFUNCTION("TRANSPOSE(QUERY('Cadastro VTR/SEÇÃO/MILITAR'!$A$3:$B2000,""SELECT B WHERE A LIKE '""&amp;'carga de materiais'!D855&amp;""'""))"),"#REF!")</f>
        <v>#REF!</v>
      </c>
    </row>
    <row r="855">
      <c r="A855" s="120" t="str">
        <f>IFERROR(__xludf.DUMMYFUNCTION("TRANSPOSE(QUERY('Cadastro VTR/SEÇÃO/MILITAR'!$A$3:$B2000,""SELECT B WHERE A LIKE '""&amp;'carga de materiais'!D856&amp;""'""))"),"#REF!")</f>
        <v>#REF!</v>
      </c>
    </row>
    <row r="856">
      <c r="A856" s="120" t="str">
        <f>IFERROR(__xludf.DUMMYFUNCTION("TRANSPOSE(QUERY('Cadastro VTR/SEÇÃO/MILITAR'!$A$3:$B2000,""SELECT B WHERE A LIKE '""&amp;'carga de materiais'!D857&amp;""'""))"),"#REF!")</f>
        <v>#REF!</v>
      </c>
    </row>
    <row r="857">
      <c r="A857" s="120" t="str">
        <f>IFERROR(__xludf.DUMMYFUNCTION("TRANSPOSE(QUERY('Cadastro VTR/SEÇÃO/MILITAR'!$A$3:$B2000,""SELECT B WHERE A LIKE '""&amp;'carga de materiais'!D858&amp;""'""))"),"#REF!")</f>
        <v>#REF!</v>
      </c>
    </row>
    <row r="858">
      <c r="A858" s="120" t="str">
        <f>IFERROR(__xludf.DUMMYFUNCTION("TRANSPOSE(QUERY('Cadastro VTR/SEÇÃO/MILITAR'!$A$3:$B2000,""SELECT B WHERE A LIKE '""&amp;'carga de materiais'!D859&amp;""'""))"),"#REF!")</f>
        <v>#REF!</v>
      </c>
    </row>
    <row r="859">
      <c r="A859" s="120" t="str">
        <f>IFERROR(__xludf.DUMMYFUNCTION("TRANSPOSE(QUERY('Cadastro VTR/SEÇÃO/MILITAR'!$A$3:$B2000,""SELECT B WHERE A LIKE '""&amp;'carga de materiais'!D860&amp;""'""))"),"#REF!")</f>
        <v>#REF!</v>
      </c>
    </row>
    <row r="860">
      <c r="A860" s="120" t="str">
        <f>IFERROR(__xludf.DUMMYFUNCTION("TRANSPOSE(QUERY('Cadastro VTR/SEÇÃO/MILITAR'!$A$3:$B2000,""SELECT B WHERE A LIKE '""&amp;'carga de materiais'!D861&amp;""'""))"),"#REF!")</f>
        <v>#REF!</v>
      </c>
    </row>
    <row r="861">
      <c r="A861" s="120" t="str">
        <f>IFERROR(__xludf.DUMMYFUNCTION("TRANSPOSE(QUERY('Cadastro VTR/SEÇÃO/MILITAR'!$A$3:$B2000,""SELECT B WHERE A LIKE '""&amp;'carga de materiais'!D862&amp;""'""))"),"#REF!")</f>
        <v>#REF!</v>
      </c>
    </row>
    <row r="862">
      <c r="A862" s="120" t="str">
        <f>IFERROR(__xludf.DUMMYFUNCTION("TRANSPOSE(QUERY('Cadastro VTR/SEÇÃO/MILITAR'!$A$3:$B2000,""SELECT B WHERE A LIKE '""&amp;'carga de materiais'!D863&amp;""'""))"),"#REF!")</f>
        <v>#REF!</v>
      </c>
    </row>
    <row r="863">
      <c r="A863" s="120" t="str">
        <f>IFERROR(__xludf.DUMMYFUNCTION("TRANSPOSE(QUERY('Cadastro VTR/SEÇÃO/MILITAR'!$A$3:$B2000,""SELECT B WHERE A LIKE '""&amp;'carga de materiais'!D864&amp;""'""))"),"#REF!")</f>
        <v>#REF!</v>
      </c>
    </row>
    <row r="864">
      <c r="A864" s="120" t="str">
        <f>IFERROR(__xludf.DUMMYFUNCTION("TRANSPOSE(QUERY('Cadastro VTR/SEÇÃO/MILITAR'!$A$3:$B2000,""SELECT B WHERE A LIKE '""&amp;'carga de materiais'!D865&amp;""'""))"),"#REF!")</f>
        <v>#REF!</v>
      </c>
    </row>
    <row r="865">
      <c r="A865" s="120" t="str">
        <f>IFERROR(__xludf.DUMMYFUNCTION("TRANSPOSE(QUERY('Cadastro VTR/SEÇÃO/MILITAR'!$A$3:$B2000,""SELECT B WHERE A LIKE '""&amp;'carga de materiais'!D866&amp;""'""))"),"#REF!")</f>
        <v>#REF!</v>
      </c>
    </row>
    <row r="866">
      <c r="A866" s="120" t="str">
        <f>IFERROR(__xludf.DUMMYFUNCTION("TRANSPOSE(QUERY('Cadastro VTR/SEÇÃO/MILITAR'!$A$3:$B2000,""SELECT B WHERE A LIKE '""&amp;'carga de materiais'!D867&amp;""'""))"),"#REF!")</f>
        <v>#REF!</v>
      </c>
    </row>
    <row r="867">
      <c r="A867" s="120" t="str">
        <f>IFERROR(__xludf.DUMMYFUNCTION("TRANSPOSE(QUERY('Cadastro VTR/SEÇÃO/MILITAR'!$A$3:$B2000,""SELECT B WHERE A LIKE '""&amp;'carga de materiais'!D868&amp;""'""))"),"#REF!")</f>
        <v>#REF!</v>
      </c>
    </row>
    <row r="868">
      <c r="A868" s="120" t="str">
        <f>IFERROR(__xludf.DUMMYFUNCTION("TRANSPOSE(QUERY('Cadastro VTR/SEÇÃO/MILITAR'!$A$3:$B2000,""SELECT B WHERE A LIKE '""&amp;'carga de materiais'!D869&amp;""'""))"),"#REF!")</f>
        <v>#REF!</v>
      </c>
    </row>
    <row r="869">
      <c r="A869" s="120" t="str">
        <f>IFERROR(__xludf.DUMMYFUNCTION("TRANSPOSE(QUERY('Cadastro VTR/SEÇÃO/MILITAR'!$A$3:$B2000,""SELECT B WHERE A LIKE '""&amp;'carga de materiais'!D870&amp;""'""))"),"#REF!")</f>
        <v>#REF!</v>
      </c>
    </row>
    <row r="870">
      <c r="A870" s="120" t="str">
        <f>IFERROR(__xludf.DUMMYFUNCTION("TRANSPOSE(QUERY('Cadastro VTR/SEÇÃO/MILITAR'!$A$3:$B2000,""SELECT B WHERE A LIKE '""&amp;'carga de materiais'!D871&amp;""'""))"),"#REF!")</f>
        <v>#REF!</v>
      </c>
    </row>
    <row r="871">
      <c r="A871" s="120" t="str">
        <f>IFERROR(__xludf.DUMMYFUNCTION("TRANSPOSE(QUERY('Cadastro VTR/SEÇÃO/MILITAR'!$A$3:$B2000,""SELECT B WHERE A LIKE '""&amp;'carga de materiais'!D872&amp;""'""))"),"#REF!")</f>
        <v>#REF!</v>
      </c>
    </row>
    <row r="872">
      <c r="A872" s="120" t="str">
        <f>IFERROR(__xludf.DUMMYFUNCTION("TRANSPOSE(QUERY('Cadastro VTR/SEÇÃO/MILITAR'!$A$3:$B2000,""SELECT B WHERE A LIKE '""&amp;'carga de materiais'!D873&amp;""'""))"),"#REF!")</f>
        <v>#REF!</v>
      </c>
    </row>
    <row r="873">
      <c r="A873" s="120" t="str">
        <f>IFERROR(__xludf.DUMMYFUNCTION("TRANSPOSE(QUERY('Cadastro VTR/SEÇÃO/MILITAR'!$A$3:$B2000,""SELECT B WHERE A LIKE '""&amp;'carga de materiais'!D874&amp;""'""))"),"#REF!")</f>
        <v>#REF!</v>
      </c>
    </row>
    <row r="874">
      <c r="A874" s="120" t="str">
        <f>IFERROR(__xludf.DUMMYFUNCTION("TRANSPOSE(QUERY('Cadastro VTR/SEÇÃO/MILITAR'!$A$3:$B2000,""SELECT B WHERE A LIKE '""&amp;'carga de materiais'!D875&amp;""'""))"),"#REF!")</f>
        <v>#REF!</v>
      </c>
    </row>
    <row r="875">
      <c r="A875" s="120" t="str">
        <f>IFERROR(__xludf.DUMMYFUNCTION("TRANSPOSE(QUERY('Cadastro VTR/SEÇÃO/MILITAR'!$A$3:$B2000,""SELECT B WHERE A LIKE '""&amp;'carga de materiais'!D876&amp;""'""))"),"#REF!")</f>
        <v>#REF!</v>
      </c>
    </row>
    <row r="876">
      <c r="A876" s="120" t="str">
        <f>IFERROR(__xludf.DUMMYFUNCTION("TRANSPOSE(QUERY('Cadastro VTR/SEÇÃO/MILITAR'!$A$3:$B2000,""SELECT B WHERE A LIKE '""&amp;'carga de materiais'!D877&amp;""'""))"),"#REF!")</f>
        <v>#REF!</v>
      </c>
    </row>
    <row r="877">
      <c r="A877" s="120" t="str">
        <f>IFERROR(__xludf.DUMMYFUNCTION("TRANSPOSE(QUERY('Cadastro VTR/SEÇÃO/MILITAR'!$A$3:$B2000,""SELECT B WHERE A LIKE '""&amp;'carga de materiais'!D878&amp;""'""))"),"#REF!")</f>
        <v>#REF!</v>
      </c>
    </row>
    <row r="878">
      <c r="A878" s="120" t="str">
        <f>IFERROR(__xludf.DUMMYFUNCTION("TRANSPOSE(QUERY('Cadastro VTR/SEÇÃO/MILITAR'!$A$3:$B2000,""SELECT B WHERE A LIKE '""&amp;'carga de materiais'!D879&amp;""'""))"),"#REF!")</f>
        <v>#REF!</v>
      </c>
    </row>
    <row r="879">
      <c r="A879" s="120" t="str">
        <f>IFERROR(__xludf.DUMMYFUNCTION("TRANSPOSE(QUERY('Cadastro VTR/SEÇÃO/MILITAR'!$A$3:$B2000,""SELECT B WHERE A LIKE '""&amp;'carga de materiais'!D880&amp;""'""))"),"#REF!")</f>
        <v>#REF!</v>
      </c>
    </row>
    <row r="880">
      <c r="A880" s="120" t="str">
        <f>IFERROR(__xludf.DUMMYFUNCTION("TRANSPOSE(QUERY('Cadastro VTR/SEÇÃO/MILITAR'!$A$3:$B2000,""SELECT B WHERE A LIKE '""&amp;'carga de materiais'!D881&amp;""'""))"),"#REF!")</f>
        <v>#REF!</v>
      </c>
    </row>
    <row r="881">
      <c r="A881" s="120" t="str">
        <f>IFERROR(__xludf.DUMMYFUNCTION("TRANSPOSE(QUERY('Cadastro VTR/SEÇÃO/MILITAR'!$A$3:$B2000,""SELECT B WHERE A LIKE '""&amp;'carga de materiais'!D882&amp;""'""))"),"#REF!")</f>
        <v>#REF!</v>
      </c>
    </row>
    <row r="882">
      <c r="A882" s="120" t="str">
        <f>IFERROR(__xludf.DUMMYFUNCTION("TRANSPOSE(QUERY('Cadastro VTR/SEÇÃO/MILITAR'!$A$3:$B2000,""SELECT B WHERE A LIKE '""&amp;'carga de materiais'!D883&amp;""'""))"),"#REF!")</f>
        <v>#REF!</v>
      </c>
    </row>
    <row r="883">
      <c r="A883" s="120" t="str">
        <f>IFERROR(__xludf.DUMMYFUNCTION("TRANSPOSE(QUERY('Cadastro VTR/SEÇÃO/MILITAR'!$A$3:$B2000,""SELECT B WHERE A LIKE '""&amp;'carga de materiais'!D884&amp;""'""))"),"#REF!")</f>
        <v>#REF!</v>
      </c>
    </row>
    <row r="884">
      <c r="A884" s="120" t="str">
        <f>IFERROR(__xludf.DUMMYFUNCTION("TRANSPOSE(QUERY('Cadastro VTR/SEÇÃO/MILITAR'!$A$3:$B2000,""SELECT B WHERE A LIKE '""&amp;'carga de materiais'!D885&amp;""'""))"),"#REF!")</f>
        <v>#REF!</v>
      </c>
    </row>
    <row r="885">
      <c r="A885" s="120" t="str">
        <f>IFERROR(__xludf.DUMMYFUNCTION("TRANSPOSE(QUERY('Cadastro VTR/SEÇÃO/MILITAR'!$A$3:$B2000,""SELECT B WHERE A LIKE '""&amp;'carga de materiais'!D886&amp;""'""))"),"#REF!")</f>
        <v>#REF!</v>
      </c>
    </row>
    <row r="886">
      <c r="A886" s="120" t="str">
        <f>IFERROR(__xludf.DUMMYFUNCTION("TRANSPOSE(QUERY('Cadastro VTR/SEÇÃO/MILITAR'!$A$3:$B2000,""SELECT B WHERE A LIKE '""&amp;'carga de materiais'!D887&amp;""'""))"),"#REF!")</f>
        <v>#REF!</v>
      </c>
    </row>
    <row r="887">
      <c r="A887" s="120" t="str">
        <f>IFERROR(__xludf.DUMMYFUNCTION("TRANSPOSE(QUERY('Cadastro VTR/SEÇÃO/MILITAR'!$A$3:$B2000,""SELECT B WHERE A LIKE '""&amp;'carga de materiais'!D888&amp;""'""))"),"#REF!")</f>
        <v>#REF!</v>
      </c>
    </row>
    <row r="888">
      <c r="A888" s="120" t="str">
        <f>IFERROR(__xludf.DUMMYFUNCTION("TRANSPOSE(QUERY('Cadastro VTR/SEÇÃO/MILITAR'!$A$3:$B2000,""SELECT B WHERE A LIKE '""&amp;'carga de materiais'!D889&amp;""'""))"),"#REF!")</f>
        <v>#REF!</v>
      </c>
    </row>
    <row r="889">
      <c r="A889" s="120" t="str">
        <f>IFERROR(__xludf.DUMMYFUNCTION("TRANSPOSE(QUERY('Cadastro VTR/SEÇÃO/MILITAR'!$A$3:$B2000,""SELECT B WHERE A LIKE '""&amp;'carga de materiais'!D890&amp;""'""))"),"#REF!")</f>
        <v>#REF!</v>
      </c>
    </row>
    <row r="890">
      <c r="A890" s="120" t="str">
        <f>IFERROR(__xludf.DUMMYFUNCTION("TRANSPOSE(QUERY('Cadastro VTR/SEÇÃO/MILITAR'!$A$3:$B2000,""SELECT B WHERE A LIKE '""&amp;'carga de materiais'!D891&amp;""'""))"),"#REF!")</f>
        <v>#REF!</v>
      </c>
    </row>
    <row r="891">
      <c r="A891" s="120" t="str">
        <f>IFERROR(__xludf.DUMMYFUNCTION("TRANSPOSE(QUERY('Cadastro VTR/SEÇÃO/MILITAR'!$A$3:$B2000,""SELECT B WHERE A LIKE '""&amp;'carga de materiais'!D892&amp;""'""))"),"#REF!")</f>
        <v>#REF!</v>
      </c>
    </row>
    <row r="892">
      <c r="A892" s="120" t="str">
        <f>IFERROR(__xludf.DUMMYFUNCTION("TRANSPOSE(QUERY('Cadastro VTR/SEÇÃO/MILITAR'!$A$3:$B2000,""SELECT B WHERE A LIKE '""&amp;'carga de materiais'!D893&amp;""'""))"),"#REF!")</f>
        <v>#REF!</v>
      </c>
    </row>
    <row r="893">
      <c r="A893" s="120" t="str">
        <f>IFERROR(__xludf.DUMMYFUNCTION("TRANSPOSE(QUERY('Cadastro VTR/SEÇÃO/MILITAR'!$A$3:$B2000,""SELECT B WHERE A LIKE '""&amp;'carga de materiais'!D894&amp;""'""))"),"#REF!")</f>
        <v>#REF!</v>
      </c>
    </row>
    <row r="894">
      <c r="A894" s="120" t="str">
        <f>IFERROR(__xludf.DUMMYFUNCTION("TRANSPOSE(QUERY('Cadastro VTR/SEÇÃO/MILITAR'!$A$3:$B2000,""SELECT B WHERE A LIKE '""&amp;'carga de materiais'!D895&amp;""'""))"),"#REF!")</f>
        <v>#REF!</v>
      </c>
    </row>
    <row r="895">
      <c r="A895" s="120" t="str">
        <f>IFERROR(__xludf.DUMMYFUNCTION("TRANSPOSE(QUERY('Cadastro VTR/SEÇÃO/MILITAR'!$A$3:$B2000,""SELECT B WHERE A LIKE '""&amp;'carga de materiais'!D896&amp;""'""))"),"#REF!")</f>
        <v>#REF!</v>
      </c>
      <c r="B895" s="87"/>
      <c r="C895" s="87"/>
      <c r="D895" s="87"/>
      <c r="E895" s="87"/>
      <c r="F895" s="87"/>
      <c r="G895" s="87"/>
      <c r="H895" s="87"/>
      <c r="I895" s="87"/>
      <c r="J895" s="87"/>
      <c r="K895" s="87"/>
      <c r="L895" s="87"/>
      <c r="M895" s="87"/>
      <c r="N895" s="87"/>
      <c r="O895" s="87"/>
      <c r="P895" s="87"/>
      <c r="Q895" s="87"/>
      <c r="R895" s="87"/>
      <c r="S895" s="87"/>
      <c r="T895" s="87"/>
      <c r="U895" s="87"/>
      <c r="V895" s="87"/>
      <c r="W895" s="87"/>
      <c r="X895" s="87"/>
      <c r="Y895" s="87"/>
      <c r="Z895" s="87"/>
      <c r="AA895" s="87"/>
      <c r="AB895" s="87"/>
      <c r="AC895" s="87"/>
      <c r="AD895" s="87"/>
      <c r="AE895" s="87"/>
      <c r="AF895" s="87"/>
      <c r="AG895" s="87"/>
      <c r="AH895" s="87"/>
      <c r="AI895" s="87"/>
      <c r="AJ895" s="87"/>
      <c r="AK895" s="87"/>
      <c r="AL895" s="87"/>
      <c r="AM895" s="87"/>
      <c r="AN895" s="87"/>
      <c r="AO895" s="87"/>
      <c r="AP895" s="87"/>
      <c r="AQ895" s="87"/>
      <c r="AR895" s="87"/>
      <c r="AS895" s="87"/>
      <c r="AT895" s="87"/>
      <c r="AU895" s="87"/>
      <c r="AV895" s="87"/>
      <c r="AW895" s="87"/>
      <c r="AX895" s="87"/>
      <c r="AY895" s="87"/>
      <c r="AZ895" s="87"/>
      <c r="BA895" s="87"/>
      <c r="BB895" s="87"/>
      <c r="BC895" s="87"/>
      <c r="BD895" s="87"/>
      <c r="BE895" s="87"/>
      <c r="BF895" s="87"/>
      <c r="BG895" s="87"/>
      <c r="BH895" s="87"/>
      <c r="BI895" s="87"/>
      <c r="BJ895" s="87"/>
      <c r="BK895" s="87"/>
      <c r="BL895" s="87"/>
      <c r="BM895" s="87"/>
      <c r="BN895" s="87"/>
      <c r="BO895" s="87"/>
      <c r="BP895" s="87"/>
      <c r="BQ895" s="87"/>
      <c r="BR895" s="87"/>
      <c r="BS895" s="87"/>
      <c r="BT895" s="87"/>
      <c r="BU895" s="87"/>
      <c r="BV895" s="87"/>
      <c r="BW895" s="87"/>
      <c r="BX895" s="87"/>
      <c r="BY895" s="87"/>
      <c r="BZ895" s="87"/>
      <c r="CA895" s="87"/>
      <c r="CB895" s="87"/>
      <c r="CC895" s="87"/>
      <c r="CD895" s="87"/>
      <c r="CE895" s="87"/>
      <c r="CF895" s="87"/>
      <c r="CG895" s="87"/>
      <c r="CH895" s="87"/>
      <c r="CI895" s="87"/>
      <c r="CJ895" s="87"/>
      <c r="CK895" s="87"/>
      <c r="CL895" s="87"/>
      <c r="CM895" s="87"/>
      <c r="CN895" s="87"/>
      <c r="CO895" s="87"/>
      <c r="CP895" s="87"/>
      <c r="CQ895" s="87"/>
      <c r="CR895" s="87"/>
      <c r="CS895" s="87"/>
      <c r="CT895" s="87"/>
      <c r="CU895" s="87"/>
      <c r="CV895" s="87"/>
      <c r="CW895" s="87"/>
      <c r="CX895" s="87"/>
      <c r="CY895" s="87"/>
      <c r="CZ895" s="87"/>
      <c r="DA895" s="87"/>
      <c r="DB895" s="87"/>
      <c r="DC895" s="87"/>
      <c r="DD895" s="87"/>
      <c r="DE895" s="87"/>
      <c r="DF895" s="87"/>
      <c r="DG895" s="87"/>
      <c r="DH895" s="87"/>
      <c r="DI895" s="87"/>
    </row>
    <row r="896">
      <c r="A896" s="120" t="str">
        <f>IFERROR(__xludf.DUMMYFUNCTION("TRANSPOSE(QUERY('Cadastro VTR/SEÇÃO/MILITAR'!$A$3:$B2000,""SELECT B WHERE A LIKE '""&amp;'carga de materiais'!D897&amp;""'""))"),"#REF!")</f>
        <v>#REF!</v>
      </c>
    </row>
    <row r="897">
      <c r="A897" s="120" t="str">
        <f>IFERROR(__xludf.DUMMYFUNCTION("TRANSPOSE(QUERY('Cadastro VTR/SEÇÃO/MILITAR'!$A$3:$B2000,""SELECT B WHERE A LIKE '""&amp;'carga de materiais'!D898&amp;""'""))"),"#REF!")</f>
        <v>#REF!</v>
      </c>
    </row>
    <row r="898">
      <c r="A898" s="120" t="str">
        <f>IFERROR(__xludf.DUMMYFUNCTION("TRANSPOSE(QUERY('Cadastro VTR/SEÇÃO/MILITAR'!$A$3:$B2000,""SELECT B WHERE A LIKE '""&amp;'carga de materiais'!D899&amp;""'""))"),"#REF!")</f>
        <v>#REF!</v>
      </c>
    </row>
    <row r="899">
      <c r="A899" s="120" t="str">
        <f>IFERROR(__xludf.DUMMYFUNCTION("TRANSPOSE(QUERY('Cadastro VTR/SEÇÃO/MILITAR'!$A$3:$B2000,""SELECT B WHERE A LIKE '""&amp;'carga de materiais'!D900&amp;""'""))"),"#REF!")</f>
        <v>#REF!</v>
      </c>
    </row>
    <row r="900">
      <c r="A900" s="120" t="str">
        <f>IFERROR(__xludf.DUMMYFUNCTION("TRANSPOSE(QUERY('Cadastro VTR/SEÇÃO/MILITAR'!$A$3:$B2000,""SELECT B WHERE A LIKE '""&amp;'carga de materiais'!D901&amp;""'""))"),"#REF!")</f>
        <v>#REF!</v>
      </c>
    </row>
    <row r="901">
      <c r="A901" s="120" t="str">
        <f>IFERROR(__xludf.DUMMYFUNCTION("TRANSPOSE(QUERY('Cadastro VTR/SEÇÃO/MILITAR'!$A$3:$B2000,""SELECT B WHERE A LIKE '""&amp;'carga de materiais'!D902&amp;""'""))"),"#REF!")</f>
        <v>#REF!</v>
      </c>
    </row>
    <row r="902">
      <c r="A902" s="120" t="str">
        <f>IFERROR(__xludf.DUMMYFUNCTION("TRANSPOSE(QUERY('Cadastro VTR/SEÇÃO/MILITAR'!$A$3:$B2000,""SELECT B WHERE A LIKE '""&amp;'carga de materiais'!D903&amp;""'""))"),"#REF!")</f>
        <v>#REF!</v>
      </c>
    </row>
    <row r="903">
      <c r="A903" s="120" t="str">
        <f>IFERROR(__xludf.DUMMYFUNCTION("TRANSPOSE(QUERY('Cadastro VTR/SEÇÃO/MILITAR'!$A$3:$B2000,""SELECT B WHERE A LIKE '""&amp;'carga de materiais'!D904&amp;""'""))"),"#REF!")</f>
        <v>#REF!</v>
      </c>
    </row>
    <row r="904">
      <c r="A904" s="120" t="str">
        <f>IFERROR(__xludf.DUMMYFUNCTION("TRANSPOSE(QUERY('Cadastro VTR/SEÇÃO/MILITAR'!$A$3:$B2000,""SELECT B WHERE A LIKE '""&amp;'carga de materiais'!D905&amp;""'""))"),"#REF!")</f>
        <v>#REF!</v>
      </c>
    </row>
    <row r="905">
      <c r="A905" s="120" t="str">
        <f>IFERROR(__xludf.DUMMYFUNCTION("TRANSPOSE(QUERY('Cadastro VTR/SEÇÃO/MILITAR'!$A$3:$B2000,""SELECT B WHERE A LIKE '""&amp;'carga de materiais'!D906&amp;""'""))"),"#REF!")</f>
        <v>#REF!</v>
      </c>
    </row>
    <row r="906">
      <c r="A906" s="120" t="str">
        <f>IFERROR(__xludf.DUMMYFUNCTION("TRANSPOSE(QUERY('Cadastro VTR/SEÇÃO/MILITAR'!$A$3:$B2000,""SELECT B WHERE A LIKE '""&amp;'carga de materiais'!D907&amp;""'""))"),"#REF!")</f>
        <v>#REF!</v>
      </c>
    </row>
    <row r="907">
      <c r="A907" s="120" t="str">
        <f>IFERROR(__xludf.DUMMYFUNCTION("TRANSPOSE(QUERY('Cadastro VTR/SEÇÃO/MILITAR'!$A$3:$B2000,""SELECT B WHERE A LIKE '""&amp;'carga de materiais'!D908&amp;""'""))"),"#REF!")</f>
        <v>#REF!</v>
      </c>
    </row>
    <row r="908">
      <c r="A908" s="120" t="str">
        <f>IFERROR(__xludf.DUMMYFUNCTION("TRANSPOSE(QUERY('Cadastro VTR/SEÇÃO/MILITAR'!$A$3:$B2000,""SELECT B WHERE A LIKE '""&amp;'carga de materiais'!D909&amp;""'""))"),"#REF!")</f>
        <v>#REF!</v>
      </c>
    </row>
    <row r="909">
      <c r="A909" s="120" t="str">
        <f>IFERROR(__xludf.DUMMYFUNCTION("TRANSPOSE(QUERY('Cadastro VTR/SEÇÃO/MILITAR'!$A$3:$B2000,""SELECT B WHERE A LIKE '""&amp;'carga de materiais'!D910&amp;""'""))"),"#REF!")</f>
        <v>#REF!</v>
      </c>
    </row>
    <row r="910">
      <c r="A910" s="120" t="str">
        <f>IFERROR(__xludf.DUMMYFUNCTION("TRANSPOSE(QUERY('Cadastro VTR/SEÇÃO/MILITAR'!$A$3:$B2000,""SELECT B WHERE A LIKE '""&amp;'carga de materiais'!D911&amp;""'""))"),"#REF!")</f>
        <v>#REF!</v>
      </c>
    </row>
    <row r="911">
      <c r="A911" s="120" t="str">
        <f>IFERROR(__xludf.DUMMYFUNCTION("TRANSPOSE(QUERY('Cadastro VTR/SEÇÃO/MILITAR'!$A$3:$B2000,""SELECT B WHERE A LIKE '""&amp;'carga de materiais'!D912&amp;""'""))"),"#REF!")</f>
        <v>#REF!</v>
      </c>
    </row>
    <row r="912">
      <c r="A912" s="120" t="str">
        <f>IFERROR(__xludf.DUMMYFUNCTION("TRANSPOSE(QUERY('Cadastro VTR/SEÇÃO/MILITAR'!$A$3:$B2000,""SELECT B WHERE A LIKE '""&amp;'carga de materiais'!D913&amp;""'""))"),"#REF!")</f>
        <v>#REF!</v>
      </c>
    </row>
    <row r="913">
      <c r="A913" s="120" t="str">
        <f>IFERROR(__xludf.DUMMYFUNCTION("TRANSPOSE(QUERY('Cadastro VTR/SEÇÃO/MILITAR'!$A$3:$B2000,""SELECT B WHERE A LIKE '""&amp;'carga de materiais'!D914&amp;""'""))"),"#REF!")</f>
        <v>#REF!</v>
      </c>
    </row>
    <row r="914">
      <c r="A914" s="120" t="str">
        <f>IFERROR(__xludf.DUMMYFUNCTION("TRANSPOSE(QUERY('Cadastro VTR/SEÇÃO/MILITAR'!$A$3:$B2000,""SELECT B WHERE A LIKE '""&amp;'carga de materiais'!D915&amp;""'""))"),"#REF!")</f>
        <v>#REF!</v>
      </c>
    </row>
    <row r="915">
      <c r="A915" s="120" t="str">
        <f>IFERROR(__xludf.DUMMYFUNCTION("TRANSPOSE(QUERY('Cadastro VTR/SEÇÃO/MILITAR'!$A$3:$B2000,""SELECT B WHERE A LIKE '""&amp;'carga de materiais'!D916&amp;""'""))"),"#REF!")</f>
        <v>#REF!</v>
      </c>
    </row>
    <row r="916">
      <c r="A916" s="120" t="str">
        <f>IFERROR(__xludf.DUMMYFUNCTION("TRANSPOSE(QUERY('Cadastro VTR/SEÇÃO/MILITAR'!$A$3:$B2000,""SELECT B WHERE A LIKE '""&amp;'carga de materiais'!D917&amp;""'""))"),"#REF!")</f>
        <v>#REF!</v>
      </c>
    </row>
    <row r="917">
      <c r="A917" s="120" t="str">
        <f>IFERROR(__xludf.DUMMYFUNCTION("TRANSPOSE(QUERY('Cadastro VTR/SEÇÃO/MILITAR'!$A$3:$B2000,""SELECT B WHERE A LIKE '""&amp;'carga de materiais'!D918&amp;""'""))"),"#REF!")</f>
        <v>#REF!</v>
      </c>
    </row>
    <row r="918">
      <c r="A918" s="120" t="str">
        <f>IFERROR(__xludf.DUMMYFUNCTION("TRANSPOSE(QUERY('Cadastro VTR/SEÇÃO/MILITAR'!$A$3:$B2000,""SELECT B WHERE A LIKE '""&amp;'carga de materiais'!D919&amp;""'""))"),"#REF!")</f>
        <v>#REF!</v>
      </c>
    </row>
    <row r="919">
      <c r="A919" s="120" t="str">
        <f>IFERROR(__xludf.DUMMYFUNCTION("TRANSPOSE(QUERY('Cadastro VTR/SEÇÃO/MILITAR'!$A$3:$B2000,""SELECT B WHERE A LIKE '""&amp;'carga de materiais'!D920&amp;""'""))"),"#REF!")</f>
        <v>#REF!</v>
      </c>
    </row>
    <row r="920">
      <c r="A920" s="120" t="str">
        <f>IFERROR(__xludf.DUMMYFUNCTION("TRANSPOSE(QUERY('Cadastro VTR/SEÇÃO/MILITAR'!$A$3:$B2000,""SELECT B WHERE A LIKE '""&amp;'carga de materiais'!D921&amp;""'""))"),"#REF!")</f>
        <v>#REF!</v>
      </c>
    </row>
    <row r="921">
      <c r="A921" s="120" t="str">
        <f>IFERROR(__xludf.DUMMYFUNCTION("TRANSPOSE(QUERY('Cadastro VTR/SEÇÃO/MILITAR'!$A$3:$B2000,""SELECT B WHERE A LIKE '""&amp;'carga de materiais'!D922&amp;""'""))"),"#REF!")</f>
        <v>#REF!</v>
      </c>
    </row>
    <row r="922">
      <c r="A922" s="120" t="str">
        <f>IFERROR(__xludf.DUMMYFUNCTION("TRANSPOSE(QUERY('Cadastro VTR/SEÇÃO/MILITAR'!$A$3:$B2000,""SELECT B WHERE A LIKE '""&amp;'carga de materiais'!D923&amp;""'""))"),"#REF!")</f>
        <v>#REF!</v>
      </c>
    </row>
    <row r="923">
      <c r="A923" s="120" t="str">
        <f>IFERROR(__xludf.DUMMYFUNCTION("TRANSPOSE(QUERY('Cadastro VTR/SEÇÃO/MILITAR'!$A$3:$B2000,""SELECT B WHERE A LIKE '""&amp;'carga de materiais'!D924&amp;""'""))"),"#REF!")</f>
        <v>#REF!</v>
      </c>
    </row>
    <row r="924">
      <c r="A924" s="120" t="str">
        <f>IFERROR(__xludf.DUMMYFUNCTION("TRANSPOSE(QUERY('Cadastro VTR/SEÇÃO/MILITAR'!$A$3:$B2000,""SELECT B WHERE A LIKE '""&amp;'carga de materiais'!D925&amp;""'""))"),"#REF!")</f>
        <v>#REF!</v>
      </c>
    </row>
    <row r="925">
      <c r="A925" s="120" t="str">
        <f>IFERROR(__xludf.DUMMYFUNCTION("TRANSPOSE(QUERY('Cadastro VTR/SEÇÃO/MILITAR'!$A$3:$B2000,""SELECT B WHERE A LIKE '""&amp;'carga de materiais'!D926&amp;""'""))"),"#REF!")</f>
        <v>#REF!</v>
      </c>
    </row>
    <row r="926">
      <c r="A926" s="120" t="str">
        <f>IFERROR(__xludf.DUMMYFUNCTION("TRANSPOSE(QUERY('Cadastro VTR/SEÇÃO/MILITAR'!$A$3:$B2000,""SELECT B WHERE A LIKE '""&amp;'carga de materiais'!D927&amp;""'""))"),"#REF!")</f>
        <v>#REF!</v>
      </c>
    </row>
    <row r="927">
      <c r="A927" s="120" t="str">
        <f>IFERROR(__xludf.DUMMYFUNCTION("TRANSPOSE(QUERY('Cadastro VTR/SEÇÃO/MILITAR'!$A$3:$B2000,""SELECT B WHERE A LIKE '""&amp;'carga de materiais'!D928&amp;""'""))"),"#REF!")</f>
        <v>#REF!</v>
      </c>
    </row>
    <row r="928">
      <c r="A928" s="120" t="str">
        <f>IFERROR(__xludf.DUMMYFUNCTION("TRANSPOSE(QUERY('Cadastro VTR/SEÇÃO/MILITAR'!$A$3:$B2000,""SELECT B WHERE A LIKE '""&amp;'carga de materiais'!D929&amp;""'""))"),"#REF!")</f>
        <v>#REF!</v>
      </c>
    </row>
    <row r="929">
      <c r="A929" s="120" t="str">
        <f>IFERROR(__xludf.DUMMYFUNCTION("TRANSPOSE(QUERY('Cadastro VTR/SEÇÃO/MILITAR'!$A$3:$B2000,""SELECT B WHERE A LIKE '""&amp;'carga de materiais'!D930&amp;""'""))"),"#REF!")</f>
        <v>#REF!</v>
      </c>
    </row>
    <row r="930">
      <c r="A930" s="120" t="str">
        <f>IFERROR(__xludf.DUMMYFUNCTION("TRANSPOSE(QUERY('Cadastro VTR/SEÇÃO/MILITAR'!$A$3:$B2000,""SELECT B WHERE A LIKE '""&amp;'carga de materiais'!D931&amp;""'""))"),"#REF!")</f>
        <v>#REF!</v>
      </c>
    </row>
    <row r="931">
      <c r="A931" s="120" t="str">
        <f>IFERROR(__xludf.DUMMYFUNCTION("TRANSPOSE(QUERY('Cadastro VTR/SEÇÃO/MILITAR'!$A$3:$B2000,""SELECT B WHERE A LIKE '""&amp;'carga de materiais'!D932&amp;""'""))"),"#REF!")</f>
        <v>#REF!</v>
      </c>
      <c r="B931" s="87"/>
      <c r="C931" s="87"/>
      <c r="D931" s="87"/>
      <c r="E931" s="87"/>
      <c r="F931" s="87"/>
      <c r="G931" s="87"/>
      <c r="H931" s="87"/>
      <c r="I931" s="87"/>
      <c r="J931" s="87"/>
      <c r="K931" s="87"/>
      <c r="L931" s="87"/>
      <c r="M931" s="87"/>
      <c r="N931" s="87"/>
      <c r="O931" s="87"/>
      <c r="P931" s="87"/>
      <c r="Q931" s="87"/>
      <c r="R931" s="87"/>
      <c r="S931" s="87"/>
      <c r="T931" s="87"/>
      <c r="U931" s="87"/>
      <c r="V931" s="87"/>
      <c r="W931" s="87"/>
      <c r="X931" s="87"/>
      <c r="Y931" s="87"/>
      <c r="Z931" s="87"/>
      <c r="AA931" s="87"/>
      <c r="AB931" s="87"/>
      <c r="AC931" s="87"/>
      <c r="AD931" s="87"/>
      <c r="AE931" s="87"/>
      <c r="AF931" s="87"/>
      <c r="AG931" s="87"/>
      <c r="AH931" s="87"/>
      <c r="AI931" s="87"/>
      <c r="AJ931" s="87"/>
      <c r="AK931" s="87"/>
      <c r="AL931" s="87"/>
      <c r="AM931" s="87"/>
      <c r="AN931" s="87"/>
      <c r="AO931" s="87"/>
      <c r="AP931" s="87"/>
      <c r="AQ931" s="87"/>
      <c r="AR931" s="87"/>
      <c r="AS931" s="87"/>
      <c r="AT931" s="87"/>
      <c r="AU931" s="87"/>
      <c r="AV931" s="87"/>
      <c r="AW931" s="87"/>
      <c r="AX931" s="87"/>
      <c r="AY931" s="87"/>
      <c r="AZ931" s="87"/>
      <c r="BA931" s="87"/>
      <c r="BB931" s="87"/>
      <c r="BC931" s="87"/>
      <c r="BD931" s="87"/>
      <c r="BE931" s="87"/>
      <c r="BF931" s="87"/>
      <c r="BG931" s="87"/>
      <c r="BH931" s="87"/>
      <c r="BI931" s="87"/>
      <c r="BJ931" s="87"/>
      <c r="BK931" s="87"/>
      <c r="BL931" s="87"/>
      <c r="BM931" s="87"/>
      <c r="BN931" s="87"/>
      <c r="BO931" s="87"/>
      <c r="BP931" s="87"/>
      <c r="BQ931" s="87"/>
      <c r="BR931" s="87"/>
      <c r="BS931" s="87"/>
      <c r="BT931" s="87"/>
      <c r="BU931" s="87"/>
      <c r="BV931" s="87"/>
      <c r="BW931" s="87"/>
      <c r="BX931" s="87"/>
      <c r="BY931" s="87"/>
      <c r="BZ931" s="87"/>
      <c r="CA931" s="87"/>
      <c r="CB931" s="87"/>
      <c r="CC931" s="87"/>
      <c r="CD931" s="87"/>
      <c r="CE931" s="87"/>
      <c r="CF931" s="87"/>
      <c r="CG931" s="87"/>
      <c r="CH931" s="87"/>
      <c r="CI931" s="87"/>
      <c r="CJ931" s="87"/>
      <c r="CK931" s="87"/>
      <c r="CL931" s="87"/>
      <c r="CM931" s="87"/>
      <c r="CN931" s="87"/>
      <c r="CO931" s="87"/>
      <c r="CP931" s="87"/>
      <c r="CQ931" s="87"/>
      <c r="CR931" s="87"/>
      <c r="CS931" s="87"/>
      <c r="CT931" s="87"/>
      <c r="CU931" s="87"/>
      <c r="CV931" s="87"/>
      <c r="CW931" s="87"/>
      <c r="CX931" s="87"/>
      <c r="CY931" s="87"/>
      <c r="CZ931" s="87"/>
      <c r="DA931" s="87"/>
      <c r="DB931" s="87"/>
      <c r="DC931" s="87"/>
      <c r="DD931" s="87"/>
      <c r="DE931" s="87"/>
      <c r="DF931" s="87"/>
      <c r="DG931" s="87"/>
      <c r="DH931" s="87"/>
      <c r="DI931" s="87"/>
    </row>
    <row r="932">
      <c r="A932" s="120" t="str">
        <f>IFERROR(__xludf.DUMMYFUNCTION("TRANSPOSE(QUERY('Cadastro VTR/SEÇÃO/MILITAR'!$A$3:$B2000,""SELECT B WHERE A LIKE '""&amp;'carga de materiais'!D933&amp;""'""))"),"#REF!")</f>
        <v>#REF!</v>
      </c>
    </row>
    <row r="933">
      <c r="A933" s="120" t="str">
        <f>IFERROR(__xludf.DUMMYFUNCTION("TRANSPOSE(QUERY('Cadastro VTR/SEÇÃO/MILITAR'!$A$3:$B2000,""SELECT B WHERE A LIKE '""&amp;'carga de materiais'!D934&amp;""'""))"),"#REF!")</f>
        <v>#REF!</v>
      </c>
    </row>
    <row r="934">
      <c r="A934" s="120" t="str">
        <f>IFERROR(__xludf.DUMMYFUNCTION("TRANSPOSE(QUERY('Cadastro VTR/SEÇÃO/MILITAR'!$A$3:$B2000,""SELECT B WHERE A LIKE '""&amp;'carga de materiais'!D935&amp;""'""))"),"#REF!")</f>
        <v>#REF!</v>
      </c>
    </row>
    <row r="935">
      <c r="A935" s="120" t="str">
        <f>IFERROR(__xludf.DUMMYFUNCTION("TRANSPOSE(QUERY('Cadastro VTR/SEÇÃO/MILITAR'!$A$3:$B2000,""SELECT B WHERE A LIKE '""&amp;'carga de materiais'!D936&amp;""'""))"),"#REF!")</f>
        <v>#REF!</v>
      </c>
    </row>
    <row r="936">
      <c r="A936" s="120" t="str">
        <f>IFERROR(__xludf.DUMMYFUNCTION("TRANSPOSE(QUERY('Cadastro VTR/SEÇÃO/MILITAR'!$A$3:$B2000,""SELECT B WHERE A LIKE '""&amp;'carga de materiais'!D937&amp;""'""))"),"#REF!")</f>
        <v>#REF!</v>
      </c>
    </row>
    <row r="937">
      <c r="A937" s="120" t="str">
        <f>IFERROR(__xludf.DUMMYFUNCTION("TRANSPOSE(QUERY('Cadastro VTR/SEÇÃO/MILITAR'!$A$3:$B2000,""SELECT B WHERE A LIKE '""&amp;'carga de materiais'!D938&amp;""'""))"),"#REF!")</f>
        <v>#REF!</v>
      </c>
    </row>
    <row r="938">
      <c r="A938" s="120" t="str">
        <f>IFERROR(__xludf.DUMMYFUNCTION("TRANSPOSE(QUERY('Cadastro VTR/SEÇÃO/MILITAR'!$A$3:$B2000,""SELECT B WHERE A LIKE '""&amp;'carga de materiais'!D939&amp;""'""))"),"#REF!")</f>
        <v>#REF!</v>
      </c>
    </row>
    <row r="939">
      <c r="A939" s="120" t="str">
        <f>IFERROR(__xludf.DUMMYFUNCTION("TRANSPOSE(QUERY('Cadastro VTR/SEÇÃO/MILITAR'!$A$3:$B2000,""SELECT B WHERE A LIKE '""&amp;'carga de materiais'!D940&amp;""'""))"),"#REF!")</f>
        <v>#REF!</v>
      </c>
    </row>
    <row r="940">
      <c r="A940" s="120" t="str">
        <f>IFERROR(__xludf.DUMMYFUNCTION("TRANSPOSE(QUERY('Cadastro VTR/SEÇÃO/MILITAR'!$A$3:$B2000,""SELECT B WHERE A LIKE '""&amp;'carga de materiais'!D941&amp;""'""))"),"#REF!")</f>
        <v>#REF!</v>
      </c>
    </row>
    <row r="941">
      <c r="A941" s="120" t="str">
        <f>IFERROR(__xludf.DUMMYFUNCTION("TRANSPOSE(QUERY('Cadastro VTR/SEÇÃO/MILITAR'!$A$3:$B2000,""SELECT B WHERE A LIKE '""&amp;'carga de materiais'!D942&amp;""'""))"),"#REF!")</f>
        <v>#REF!</v>
      </c>
    </row>
    <row r="942">
      <c r="A942" s="120" t="str">
        <f>IFERROR(__xludf.DUMMYFUNCTION("TRANSPOSE(QUERY('Cadastro VTR/SEÇÃO/MILITAR'!$A$3:$B2000,""SELECT B WHERE A LIKE '""&amp;'carga de materiais'!D943&amp;""'""))"),"#REF!")</f>
        <v>#REF!</v>
      </c>
    </row>
    <row r="943">
      <c r="A943" s="120" t="str">
        <f>IFERROR(__xludf.DUMMYFUNCTION("TRANSPOSE(QUERY('Cadastro VTR/SEÇÃO/MILITAR'!$A$3:$B2000,""SELECT B WHERE A LIKE '""&amp;'carga de materiais'!D944&amp;""'""))"),"#REF!")</f>
        <v>#REF!</v>
      </c>
    </row>
    <row r="944">
      <c r="A944" s="120" t="str">
        <f>IFERROR(__xludf.DUMMYFUNCTION("TRANSPOSE(QUERY('Cadastro VTR/SEÇÃO/MILITAR'!$A$3:$B2000,""SELECT B WHERE A LIKE '""&amp;'carga de materiais'!D945&amp;""'""))"),"#REF!")</f>
        <v>#REF!</v>
      </c>
    </row>
    <row r="945">
      <c r="A945" s="120" t="str">
        <f>IFERROR(__xludf.DUMMYFUNCTION("TRANSPOSE(QUERY('Cadastro VTR/SEÇÃO/MILITAR'!$A$3:$B2000,""SELECT B WHERE A LIKE '""&amp;'carga de materiais'!D946&amp;""'""))"),"#REF!")</f>
        <v>#REF!</v>
      </c>
    </row>
    <row r="946">
      <c r="A946" s="120" t="str">
        <f>IFERROR(__xludf.DUMMYFUNCTION("TRANSPOSE(QUERY('Cadastro VTR/SEÇÃO/MILITAR'!$A$3:$B2000,""SELECT B WHERE A LIKE '""&amp;'carga de materiais'!D947&amp;""'""))"),"#REF!")</f>
        <v>#REF!</v>
      </c>
    </row>
    <row r="947">
      <c r="A947" s="120" t="str">
        <f>IFERROR(__xludf.DUMMYFUNCTION("TRANSPOSE(QUERY('Cadastro VTR/SEÇÃO/MILITAR'!$A$3:$B2000,""SELECT B WHERE A LIKE '""&amp;'carga de materiais'!D948&amp;""'""))"),"#REF!")</f>
        <v>#REF!</v>
      </c>
    </row>
    <row r="948">
      <c r="A948" s="120" t="str">
        <f>IFERROR(__xludf.DUMMYFUNCTION("TRANSPOSE(QUERY('Cadastro VTR/SEÇÃO/MILITAR'!$A$3:$B2000,""SELECT B WHERE A LIKE '""&amp;'carga de materiais'!D949&amp;""'""))"),"#REF!")</f>
        <v>#REF!</v>
      </c>
    </row>
    <row r="949">
      <c r="A949" s="120" t="str">
        <f>IFERROR(__xludf.DUMMYFUNCTION("TRANSPOSE(QUERY('Cadastro VTR/SEÇÃO/MILITAR'!$A$3:$B2000,""SELECT B WHERE A LIKE '""&amp;'carga de materiais'!D950&amp;""'""))"),"#REF!")</f>
        <v>#REF!</v>
      </c>
    </row>
    <row r="950">
      <c r="A950" s="120" t="str">
        <f>IFERROR(__xludf.DUMMYFUNCTION("TRANSPOSE(QUERY('Cadastro VTR/SEÇÃO/MILITAR'!$A$3:$B2000,""SELECT B WHERE A LIKE '""&amp;'carga de materiais'!D951&amp;""'""))"),"#REF!")</f>
        <v>#REF!</v>
      </c>
    </row>
    <row r="951">
      <c r="A951" s="120" t="str">
        <f>IFERROR(__xludf.DUMMYFUNCTION("TRANSPOSE(QUERY('Cadastro VTR/SEÇÃO/MILITAR'!$A$3:$B2000,""SELECT B WHERE A LIKE '""&amp;'carga de materiais'!D952&amp;""'""))"),"#REF!")</f>
        <v>#REF!</v>
      </c>
    </row>
    <row r="952">
      <c r="A952" s="120" t="str">
        <f>IFERROR(__xludf.DUMMYFUNCTION("TRANSPOSE(QUERY('Cadastro VTR/SEÇÃO/MILITAR'!$A$3:$B2000,""SELECT B WHERE A LIKE '""&amp;'carga de materiais'!D953&amp;""'""))"),"#REF!")</f>
        <v>#REF!</v>
      </c>
    </row>
    <row r="953">
      <c r="A953" s="120" t="str">
        <f>IFERROR(__xludf.DUMMYFUNCTION("TRANSPOSE(QUERY('Cadastro VTR/SEÇÃO/MILITAR'!$A$3:$B2000,""SELECT B WHERE A LIKE '""&amp;'carga de materiais'!D954&amp;""'""))"),"#REF!")</f>
        <v>#REF!</v>
      </c>
    </row>
    <row r="954">
      <c r="A954" s="120" t="str">
        <f>IFERROR(__xludf.DUMMYFUNCTION("TRANSPOSE(QUERY('Cadastro VTR/SEÇÃO/MILITAR'!$A$3:$B2000,""SELECT B WHERE A LIKE '""&amp;'carga de materiais'!D955&amp;""'""))"),"#REF!")</f>
        <v>#REF!</v>
      </c>
    </row>
    <row r="955">
      <c r="A955" s="120" t="str">
        <f>IFERROR(__xludf.DUMMYFUNCTION("TRANSPOSE(QUERY('Cadastro VTR/SEÇÃO/MILITAR'!$A$3:$B2000,""SELECT B WHERE A LIKE '""&amp;'carga de materiais'!D956&amp;""'""))"),"#REF!")</f>
        <v>#REF!</v>
      </c>
    </row>
    <row r="956">
      <c r="A956" s="120" t="str">
        <f>IFERROR(__xludf.DUMMYFUNCTION("TRANSPOSE(QUERY('Cadastro VTR/SEÇÃO/MILITAR'!$A$3:$B2000,""SELECT B WHERE A LIKE '""&amp;'carga de materiais'!D957&amp;""'""))"),"#REF!")</f>
        <v>#REF!</v>
      </c>
    </row>
    <row r="957">
      <c r="A957" s="120" t="str">
        <f>IFERROR(__xludf.DUMMYFUNCTION("TRANSPOSE(QUERY('Cadastro VTR/SEÇÃO/MILITAR'!$A$3:$B2000,""SELECT B WHERE A LIKE '""&amp;'carga de materiais'!D958&amp;""'""))"),"#REF!")</f>
        <v>#REF!</v>
      </c>
    </row>
    <row r="958">
      <c r="A958" s="120" t="str">
        <f>IFERROR(__xludf.DUMMYFUNCTION("TRANSPOSE(QUERY('Cadastro VTR/SEÇÃO/MILITAR'!$A$3:$B2000,""SELECT B WHERE A LIKE '""&amp;'carga de materiais'!D959&amp;""'""))"),"#REF!")</f>
        <v>#REF!</v>
      </c>
    </row>
    <row r="959">
      <c r="A959" s="120" t="str">
        <f>IFERROR(__xludf.DUMMYFUNCTION("TRANSPOSE(QUERY('Cadastro VTR/SEÇÃO/MILITAR'!$A$3:$B2000,""SELECT B WHERE A LIKE '""&amp;'carga de materiais'!D960&amp;""'""))"),"#REF!")</f>
        <v>#REF!</v>
      </c>
    </row>
    <row r="960">
      <c r="A960" s="120" t="str">
        <f>IFERROR(__xludf.DUMMYFUNCTION("TRANSPOSE(QUERY('Cadastro VTR/SEÇÃO/MILITAR'!$A$3:$B2000,""SELECT B WHERE A LIKE '""&amp;'carga de materiais'!D961&amp;""'""))"),"#REF!")</f>
        <v>#REF!</v>
      </c>
    </row>
    <row r="961">
      <c r="A961" s="120" t="str">
        <f>IFERROR(__xludf.DUMMYFUNCTION("TRANSPOSE(QUERY('Cadastro VTR/SEÇÃO/MILITAR'!$A$3:$B2000,""SELECT B WHERE A LIKE '""&amp;'carga de materiais'!D962&amp;""'""))"),"#REF!")</f>
        <v>#REF!</v>
      </c>
    </row>
    <row r="962">
      <c r="A962" s="120" t="str">
        <f>IFERROR(__xludf.DUMMYFUNCTION("TRANSPOSE(QUERY('Cadastro VTR/SEÇÃO/MILITAR'!$A$3:$B2000,""SELECT B WHERE A LIKE '""&amp;'carga de materiais'!D963&amp;""'""))"),"#REF!")</f>
        <v>#REF!</v>
      </c>
    </row>
    <row r="963">
      <c r="A963" s="120" t="str">
        <f>IFERROR(__xludf.DUMMYFUNCTION("TRANSPOSE(QUERY('Cadastro VTR/SEÇÃO/MILITAR'!$A$3:$B2000,""SELECT B WHERE A LIKE '""&amp;'carga de materiais'!D964&amp;""'""))"),"#REF!")</f>
        <v>#REF!</v>
      </c>
    </row>
    <row r="964">
      <c r="A964" s="120" t="str">
        <f>IFERROR(__xludf.DUMMYFUNCTION("TRANSPOSE(QUERY('Cadastro VTR/SEÇÃO/MILITAR'!$A$3:$B2000,""SELECT B WHERE A LIKE '""&amp;'carga de materiais'!D965&amp;""'""))"),"#REF!")</f>
        <v>#REF!</v>
      </c>
    </row>
    <row r="965">
      <c r="A965" s="120" t="str">
        <f>IFERROR(__xludf.DUMMYFUNCTION("TRANSPOSE(QUERY('Cadastro VTR/SEÇÃO/MILITAR'!$A$3:$B2000,""SELECT B WHERE A LIKE '""&amp;'carga de materiais'!D966&amp;""'""))"),"#REF!")</f>
        <v>#REF!</v>
      </c>
    </row>
    <row r="966">
      <c r="A966" s="120" t="str">
        <f>IFERROR(__xludf.DUMMYFUNCTION("TRANSPOSE(QUERY('Cadastro VTR/SEÇÃO/MILITAR'!$A$3:$B2000,""SELECT B WHERE A LIKE '""&amp;'carga de materiais'!D967&amp;""'""))"),"#REF!")</f>
        <v>#REF!</v>
      </c>
    </row>
    <row r="967">
      <c r="A967" s="120" t="str">
        <f>IFERROR(__xludf.DUMMYFUNCTION("TRANSPOSE(QUERY('Cadastro VTR/SEÇÃO/MILITAR'!$A$3:$B2000,""SELECT B WHERE A LIKE '""&amp;'carga de materiais'!D968&amp;""'""))"),"#REF!")</f>
        <v>#REF!</v>
      </c>
    </row>
    <row r="968">
      <c r="A968" s="120" t="str">
        <f>IFERROR(__xludf.DUMMYFUNCTION("TRANSPOSE(QUERY('Cadastro VTR/SEÇÃO/MILITAR'!$A$3:$B2000,""SELECT B WHERE A LIKE '""&amp;'carga de materiais'!D969&amp;""'""))"),"#REF!")</f>
        <v>#REF!</v>
      </c>
    </row>
    <row r="969">
      <c r="A969" s="120" t="str">
        <f>IFERROR(__xludf.DUMMYFUNCTION("TRANSPOSE(QUERY('Cadastro VTR/SEÇÃO/MILITAR'!$A$3:$B2000,""SELECT B WHERE A LIKE '""&amp;'carga de materiais'!D970&amp;""'""))"),"#REF!")</f>
        <v>#REF!</v>
      </c>
    </row>
    <row r="970">
      <c r="A970" s="120" t="str">
        <f>IFERROR(__xludf.DUMMYFUNCTION("TRANSPOSE(QUERY('Cadastro VTR/SEÇÃO/MILITAR'!$A$3:$B2000,""SELECT B WHERE A LIKE '""&amp;'carga de materiais'!D971&amp;""'""))"),"#REF!")</f>
        <v>#REF!</v>
      </c>
    </row>
    <row r="971">
      <c r="A971" s="120" t="str">
        <f>IFERROR(__xludf.DUMMYFUNCTION("TRANSPOSE(QUERY('Cadastro VTR/SEÇÃO/MILITAR'!$A$3:$B2000,""SELECT B WHERE A LIKE '""&amp;'carga de materiais'!D972&amp;""'""))"),"#REF!")</f>
        <v>#REF!</v>
      </c>
    </row>
    <row r="972">
      <c r="A972" s="120" t="str">
        <f>IFERROR(__xludf.DUMMYFUNCTION("TRANSPOSE(QUERY('Cadastro VTR/SEÇÃO/MILITAR'!$A$3:$B2000,""SELECT B WHERE A LIKE '""&amp;'carga de materiais'!D973&amp;""'""))"),"#REF!")</f>
        <v>#REF!</v>
      </c>
    </row>
    <row r="973">
      <c r="A973" s="120" t="str">
        <f>IFERROR(__xludf.DUMMYFUNCTION("TRANSPOSE(QUERY('Cadastro VTR/SEÇÃO/MILITAR'!$A$3:$B2000,""SELECT B WHERE A LIKE '""&amp;'carga de materiais'!D974&amp;""'""))"),"#REF!")</f>
        <v>#REF!</v>
      </c>
    </row>
    <row r="974">
      <c r="A974" s="120" t="str">
        <f>IFERROR(__xludf.DUMMYFUNCTION("TRANSPOSE(QUERY('Cadastro VTR/SEÇÃO/MILITAR'!$A$3:$B2000,""SELECT B WHERE A LIKE '""&amp;'carga de materiais'!D975&amp;""'""))"),"#REF!")</f>
        <v>#REF!</v>
      </c>
    </row>
    <row r="975">
      <c r="A975" s="120" t="str">
        <f>IFERROR(__xludf.DUMMYFUNCTION("TRANSPOSE(QUERY('Cadastro VTR/SEÇÃO/MILITAR'!$A$3:$B2000,""SELECT B WHERE A LIKE '""&amp;'carga de materiais'!D976&amp;""'""))"),"#REF!")</f>
        <v>#REF!</v>
      </c>
    </row>
    <row r="976">
      <c r="A976" s="120" t="str">
        <f>IFERROR(__xludf.DUMMYFUNCTION("TRANSPOSE(QUERY('Cadastro VTR/SEÇÃO/MILITAR'!$A$3:$B2000,""SELECT B WHERE A LIKE '""&amp;'carga de materiais'!D977&amp;""'""))"),"#REF!")</f>
        <v>#REF!</v>
      </c>
    </row>
    <row r="977">
      <c r="A977" s="120" t="str">
        <f>IFERROR(__xludf.DUMMYFUNCTION("TRANSPOSE(QUERY('Cadastro VTR/SEÇÃO/MILITAR'!$A$3:$B2000,""SELECT B WHERE A LIKE '""&amp;'carga de materiais'!D978&amp;""'""))"),"#REF!")</f>
        <v>#REF!</v>
      </c>
    </row>
    <row r="978">
      <c r="A978" s="120" t="str">
        <f>IFERROR(__xludf.DUMMYFUNCTION("TRANSPOSE(QUERY('Cadastro VTR/SEÇÃO/MILITAR'!$A$3:$B2000,""SELECT B WHERE A LIKE '""&amp;'carga de materiais'!D979&amp;""'""))"),"#REF!")</f>
        <v>#REF!</v>
      </c>
    </row>
    <row r="979">
      <c r="A979" s="120" t="str">
        <f>IFERROR(__xludf.DUMMYFUNCTION("TRANSPOSE(QUERY('Cadastro VTR/SEÇÃO/MILITAR'!$A$3:$B2000,""SELECT B WHERE A LIKE '""&amp;'carga de materiais'!D980&amp;""'""))"),"#REF!")</f>
        <v>#REF!</v>
      </c>
    </row>
    <row r="980">
      <c r="A980" s="120" t="str">
        <f>IFERROR(__xludf.DUMMYFUNCTION("TRANSPOSE(QUERY('Cadastro VTR/SEÇÃO/MILITAR'!$A$3:$B2000,""SELECT B WHERE A LIKE '""&amp;'carga de materiais'!D981&amp;""'""))"),"#REF!")</f>
        <v>#REF!</v>
      </c>
    </row>
    <row r="981">
      <c r="A981" s="120" t="str">
        <f>IFERROR(__xludf.DUMMYFUNCTION("TRANSPOSE(QUERY('Cadastro VTR/SEÇÃO/MILITAR'!$A$3:$B2000,""SELECT B WHERE A LIKE '""&amp;'carga de materiais'!D982&amp;""'""))"),"#REF!")</f>
        <v>#REF!</v>
      </c>
    </row>
    <row r="982">
      <c r="A982" s="120" t="str">
        <f>IFERROR(__xludf.DUMMYFUNCTION("TRANSPOSE(QUERY('Cadastro VTR/SEÇÃO/MILITAR'!$A$3:$B2000,""SELECT B WHERE A LIKE '""&amp;'carga de materiais'!D983&amp;""'""))"),"#REF!")</f>
        <v>#REF!</v>
      </c>
    </row>
    <row r="983">
      <c r="A983" s="120" t="str">
        <f>IFERROR(__xludf.DUMMYFUNCTION("TRANSPOSE(QUERY('Cadastro VTR/SEÇÃO/MILITAR'!$A$3:$B2000,""SELECT B WHERE A LIKE '""&amp;'carga de materiais'!D984&amp;""'""))"),"#REF!")</f>
        <v>#REF!</v>
      </c>
    </row>
    <row r="984">
      <c r="A984" s="120" t="str">
        <f>IFERROR(__xludf.DUMMYFUNCTION("TRANSPOSE(QUERY('Cadastro VTR/SEÇÃO/MILITAR'!$A$3:$B2000,""SELECT B WHERE A LIKE '""&amp;'carga de materiais'!D985&amp;""'""))"),"#REF!")</f>
        <v>#REF!</v>
      </c>
    </row>
    <row r="985">
      <c r="A985" s="120" t="str">
        <f>IFERROR(__xludf.DUMMYFUNCTION("TRANSPOSE(QUERY('Cadastro VTR/SEÇÃO/MILITAR'!$A$3:$B2000,""SELECT B WHERE A LIKE '""&amp;'carga de materiais'!D986&amp;""'""))"),"#REF!")</f>
        <v>#REF!</v>
      </c>
    </row>
    <row r="986">
      <c r="A986" s="120" t="str">
        <f>IFERROR(__xludf.DUMMYFUNCTION("TRANSPOSE(QUERY('Cadastro VTR/SEÇÃO/MILITAR'!$A$3:$B2000,""SELECT B WHERE A LIKE '""&amp;'carga de materiais'!D987&amp;""'""))"),"#REF!")</f>
        <v>#REF!</v>
      </c>
    </row>
    <row r="987">
      <c r="A987" s="120" t="str">
        <f>IFERROR(__xludf.DUMMYFUNCTION("TRANSPOSE(QUERY('Cadastro VTR/SEÇÃO/MILITAR'!$A$3:$B2000,""SELECT B WHERE A LIKE '""&amp;'carga de materiais'!D988&amp;""'""))"),"#REF!")</f>
        <v>#REF!</v>
      </c>
    </row>
    <row r="988">
      <c r="A988" s="120" t="str">
        <f>IFERROR(__xludf.DUMMYFUNCTION("TRANSPOSE(QUERY('Cadastro VTR/SEÇÃO/MILITAR'!$A$3:$B2000,""SELECT B WHERE A LIKE '""&amp;'carga de materiais'!D989&amp;""'""))"),"#REF!")</f>
        <v>#REF!</v>
      </c>
    </row>
    <row r="989">
      <c r="A989" s="120" t="str">
        <f>IFERROR(__xludf.DUMMYFUNCTION("TRANSPOSE(QUERY('Cadastro VTR/SEÇÃO/MILITAR'!$A$3:$B2000,""SELECT B WHERE A LIKE '""&amp;'carga de materiais'!D990&amp;""'""))"),"#REF!")</f>
        <v>#REF!</v>
      </c>
    </row>
    <row r="990">
      <c r="A990" s="120" t="str">
        <f>IFERROR(__xludf.DUMMYFUNCTION("TRANSPOSE(QUERY('Cadastro VTR/SEÇÃO/MILITAR'!$A$3:$B2000,""SELECT B WHERE A LIKE '""&amp;'carga de materiais'!D991&amp;""'""))"),"#REF!")</f>
        <v>#REF!</v>
      </c>
    </row>
    <row r="991">
      <c r="A991" s="120" t="str">
        <f>IFERROR(__xludf.DUMMYFUNCTION("TRANSPOSE(QUERY('Cadastro VTR/SEÇÃO/MILITAR'!$A$3:$B2000,""SELECT B WHERE A LIKE '""&amp;'carga de materiais'!D992&amp;""'""))"),"#REF!")</f>
        <v>#REF!</v>
      </c>
    </row>
    <row r="992">
      <c r="A992" s="120" t="str">
        <f>IFERROR(__xludf.DUMMYFUNCTION("TRANSPOSE(QUERY('Cadastro VTR/SEÇÃO/MILITAR'!$A$3:$B2000,""SELECT B WHERE A LIKE '""&amp;'carga de materiais'!D993&amp;""'""))"),"#REF!")</f>
        <v>#REF!</v>
      </c>
    </row>
    <row r="993">
      <c r="A993" s="120" t="str">
        <f>IFERROR(__xludf.DUMMYFUNCTION("TRANSPOSE(QUERY('Cadastro VTR/SEÇÃO/MILITAR'!$A$3:$B2000,""SELECT B WHERE A LIKE '""&amp;'carga de materiais'!D994&amp;""'""))"),"#REF!")</f>
        <v>#REF!</v>
      </c>
    </row>
    <row r="994">
      <c r="A994" s="120" t="str">
        <f>IFERROR(__xludf.DUMMYFUNCTION("TRANSPOSE(QUERY('Cadastro VTR/SEÇÃO/MILITAR'!$A$3:$B2000,""SELECT B WHERE A LIKE '""&amp;'carga de materiais'!D995&amp;""'""))"),"#REF!")</f>
        <v>#REF!</v>
      </c>
    </row>
    <row r="995">
      <c r="A995" s="120" t="str">
        <f>IFERROR(__xludf.DUMMYFUNCTION("TRANSPOSE(QUERY('Cadastro VTR/SEÇÃO/MILITAR'!$A$3:$B2000,""SELECT B WHERE A LIKE '""&amp;'carga de materiais'!D996&amp;""'""))"),"#REF!")</f>
        <v>#REF!</v>
      </c>
    </row>
    <row r="996">
      <c r="A996" s="120" t="str">
        <f>IFERROR(__xludf.DUMMYFUNCTION("TRANSPOSE(QUERY('Cadastro VTR/SEÇÃO/MILITAR'!$A$3:$B2000,""SELECT B WHERE A LIKE '""&amp;'carga de materiais'!D997&amp;""'""))"),"#REF!")</f>
        <v>#REF!</v>
      </c>
    </row>
    <row r="997">
      <c r="A997" s="120" t="str">
        <f>IFERROR(__xludf.DUMMYFUNCTION("TRANSPOSE(QUERY('Cadastro VTR/SEÇÃO/MILITAR'!$A$3:$B2000,""SELECT B WHERE A LIKE '""&amp;'carga de materiais'!D998&amp;""'""))"),"#REF!")</f>
        <v>#REF!</v>
      </c>
    </row>
    <row r="998">
      <c r="A998" s="120" t="str">
        <f>IFERROR(__xludf.DUMMYFUNCTION("TRANSPOSE(QUERY('Cadastro VTR/SEÇÃO/MILITAR'!$A$3:$B2000,""SELECT B WHERE A LIKE '""&amp;'carga de materiais'!D999&amp;""'""))"),"#REF!")</f>
        <v>#REF!</v>
      </c>
    </row>
    <row r="999">
      <c r="A999" s="120" t="str">
        <f>IFERROR(__xludf.DUMMYFUNCTION("TRANSPOSE(QUERY('Cadastro VTR/SEÇÃO/MILITAR'!$A$3:$B2000,""SELECT B WHERE A LIKE '""&amp;'carga de materiais'!D1000&amp;""'""))"),"#REF!")</f>
        <v>#REF!</v>
      </c>
    </row>
    <row r="1000">
      <c r="A1000" s="120" t="str">
        <f>IFERROR(__xludf.DUMMYFUNCTION("TRANSPOSE(QUERY('Cadastro VTR/SEÇÃO/MILITAR'!$A$3:$B2000,""SELECT B WHERE A LIKE '""&amp;'carga de materiais'!D1001&amp;""'""))"),"#REF!")</f>
        <v>#REF!</v>
      </c>
    </row>
    <row r="1001">
      <c r="A1001" s="120" t="str">
        <f>IFERROR(__xludf.DUMMYFUNCTION("TRANSPOSE(QUERY('Cadastro VTR/SEÇÃO/MILITAR'!$A$3:$B2000,""SELECT B WHERE A LIKE '""&amp;'carga de materiais'!D1002&amp;""'""))"),"#REF!")</f>
        <v>#REF!</v>
      </c>
    </row>
    <row r="1002">
      <c r="A1002" s="120" t="str">
        <f>IFERROR(__xludf.DUMMYFUNCTION("TRANSPOSE(QUERY('Cadastro VTR/SEÇÃO/MILITAR'!$A$3:$B2000,""SELECT B WHERE A LIKE '""&amp;'carga de materiais'!D1003&amp;""'""))"),"#REF!")</f>
        <v>#REF!</v>
      </c>
    </row>
    <row r="1003">
      <c r="A1003" s="120" t="str">
        <f>IFERROR(__xludf.DUMMYFUNCTION("TRANSPOSE(QUERY('Cadastro VTR/SEÇÃO/MILITAR'!$A$3:$B2000,""SELECT B WHERE A LIKE '""&amp;'carga de materiais'!D1004&amp;""'""))"),"#REF!")</f>
        <v>#REF!</v>
      </c>
    </row>
    <row r="1004">
      <c r="A1004" s="120" t="str">
        <f>IFERROR(__xludf.DUMMYFUNCTION("TRANSPOSE(QUERY('Cadastro VTR/SEÇÃO/MILITAR'!$A$3:$B2000,""SELECT B WHERE A LIKE '""&amp;'carga de materiais'!D1005&amp;""'""))"),"#REF!")</f>
        <v>#REF!</v>
      </c>
    </row>
    <row r="1005">
      <c r="A1005" s="120" t="str">
        <f>IFERROR(__xludf.DUMMYFUNCTION("TRANSPOSE(QUERY('Cadastro VTR/SEÇÃO/MILITAR'!$A$3:$B2000,""SELECT B WHERE A LIKE '""&amp;'carga de materiais'!D1006&amp;""'""))"),"#REF!")</f>
        <v>#REF!</v>
      </c>
    </row>
    <row r="1006">
      <c r="A1006" s="120" t="str">
        <f>IFERROR(__xludf.DUMMYFUNCTION("TRANSPOSE(QUERY('Cadastro VTR/SEÇÃO/MILITAR'!$A$3:$B2000,""SELECT B WHERE A LIKE '""&amp;'carga de materiais'!D1007&amp;""'""))"),"#REF!")</f>
        <v>#REF!</v>
      </c>
    </row>
    <row r="1007">
      <c r="A1007" s="120" t="str">
        <f>IFERROR(__xludf.DUMMYFUNCTION("TRANSPOSE(QUERY('Cadastro VTR/SEÇÃO/MILITAR'!$A$3:$B2000,""SELECT B WHERE A LIKE '""&amp;'carga de materiais'!D1008&amp;""'""))"),"#REF!")</f>
        <v>#REF!</v>
      </c>
    </row>
    <row r="1008">
      <c r="A1008" s="120" t="str">
        <f>IFERROR(__xludf.DUMMYFUNCTION("TRANSPOSE(QUERY('Cadastro VTR/SEÇÃO/MILITAR'!$A$3:$B2000,""SELECT B WHERE A LIKE '""&amp;'carga de materiais'!D1009&amp;""'""))"),"#REF!")</f>
        <v>#REF!</v>
      </c>
    </row>
    <row r="1009">
      <c r="A1009" s="120" t="str">
        <f>IFERROR(__xludf.DUMMYFUNCTION("TRANSPOSE(QUERY('Cadastro VTR/SEÇÃO/MILITAR'!$A$3:$B2000,""SELECT B WHERE A LIKE '""&amp;'carga de materiais'!D1010&amp;""'""))"),"#REF!")</f>
        <v>#REF!</v>
      </c>
    </row>
    <row r="1010">
      <c r="A1010" s="120" t="str">
        <f>IFERROR(__xludf.DUMMYFUNCTION("TRANSPOSE(QUERY('Cadastro VTR/SEÇÃO/MILITAR'!$A$3:$B2000,""SELECT B WHERE A LIKE '""&amp;'carga de materiais'!D1011&amp;""'""))"),"#REF!")</f>
        <v>#REF!</v>
      </c>
    </row>
    <row r="1011">
      <c r="A1011" s="120" t="str">
        <f>IFERROR(__xludf.DUMMYFUNCTION("TRANSPOSE(QUERY('Cadastro VTR/SEÇÃO/MILITAR'!$A$3:$B2000,""SELECT B WHERE A LIKE '""&amp;'carga de materiais'!D1012&amp;""'""))"),"#REF!")</f>
        <v>#REF!</v>
      </c>
    </row>
    <row r="1012">
      <c r="A1012" s="120" t="str">
        <f>IFERROR(__xludf.DUMMYFUNCTION("TRANSPOSE(QUERY('Cadastro VTR/SEÇÃO/MILITAR'!$A$3:$B2000,""SELECT B WHERE A LIKE '""&amp;'carga de materiais'!D1013&amp;""'""))"),"#REF!")</f>
        <v>#REF!</v>
      </c>
    </row>
    <row r="1013">
      <c r="A1013" s="120" t="str">
        <f>IFERROR(__xludf.DUMMYFUNCTION("TRANSPOSE(QUERY('Cadastro VTR/SEÇÃO/MILITAR'!$A$3:$B2000,""SELECT B WHERE A LIKE '""&amp;'carga de materiais'!D1014&amp;""'""))"),"#REF!")</f>
        <v>#REF!</v>
      </c>
    </row>
    <row r="1014">
      <c r="A1014" s="120" t="str">
        <f>IFERROR(__xludf.DUMMYFUNCTION("TRANSPOSE(QUERY('Cadastro VTR/SEÇÃO/MILITAR'!$A$3:$B2000,""SELECT B WHERE A LIKE '""&amp;'carga de materiais'!D1015&amp;""'""))"),"#REF!")</f>
        <v>#REF!</v>
      </c>
    </row>
    <row r="1015">
      <c r="A1015" s="120" t="str">
        <f>IFERROR(__xludf.DUMMYFUNCTION("TRANSPOSE(QUERY('Cadastro VTR/SEÇÃO/MILITAR'!$A$3:$B2000,""SELECT B WHERE A LIKE '""&amp;'carga de materiais'!D1016&amp;""'""))"),"#REF!")</f>
        <v>#REF!</v>
      </c>
    </row>
    <row r="1016">
      <c r="A1016" s="120" t="str">
        <f>IFERROR(__xludf.DUMMYFUNCTION("TRANSPOSE(QUERY('Cadastro VTR/SEÇÃO/MILITAR'!$A$3:$B2000,""SELECT B WHERE A LIKE '""&amp;'carga de materiais'!D1017&amp;""'""))"),"#REF!")</f>
        <v>#REF!</v>
      </c>
    </row>
    <row r="1017">
      <c r="A1017" s="120" t="str">
        <f>IFERROR(__xludf.DUMMYFUNCTION("TRANSPOSE(QUERY('Cadastro VTR/SEÇÃO/MILITAR'!$A$3:$B2000,""SELECT B WHERE A LIKE '""&amp;'carga de materiais'!D1018&amp;""'""))"),"#REF!")</f>
        <v>#REF!</v>
      </c>
    </row>
    <row r="1018">
      <c r="A1018" s="120" t="str">
        <f>IFERROR(__xludf.DUMMYFUNCTION("TRANSPOSE(QUERY('Cadastro VTR/SEÇÃO/MILITAR'!$A$3:$B2000,""SELECT B WHERE A LIKE '""&amp;'carga de materiais'!D1019&amp;""'""))"),"#REF!")</f>
        <v>#REF!</v>
      </c>
    </row>
    <row r="1019">
      <c r="A1019" s="120" t="str">
        <f>IFERROR(__xludf.DUMMYFUNCTION("TRANSPOSE(QUERY('Cadastro VTR/SEÇÃO/MILITAR'!$A$3:$B2000,""SELECT B WHERE A LIKE '""&amp;'carga de materiais'!D1020&amp;""'""))"),"#REF!")</f>
        <v>#REF!</v>
      </c>
    </row>
    <row r="1020">
      <c r="A1020" s="120" t="str">
        <f>IFERROR(__xludf.DUMMYFUNCTION("TRANSPOSE(QUERY('Cadastro VTR/SEÇÃO/MILITAR'!$A$3:$B2000,""SELECT B WHERE A LIKE '""&amp;'carga de materiais'!D1021&amp;""'""))"),"#REF!")</f>
        <v>#REF!</v>
      </c>
    </row>
    <row r="1021">
      <c r="A1021" s="120" t="str">
        <f>IFERROR(__xludf.DUMMYFUNCTION("TRANSPOSE(QUERY('Cadastro VTR/SEÇÃO/MILITAR'!$A$3:$B2000,""SELECT B WHERE A LIKE '""&amp;'carga de materiais'!D1022&amp;""'""))"),"#REF!")</f>
        <v>#REF!</v>
      </c>
    </row>
    <row r="1022">
      <c r="A1022" s="120" t="str">
        <f>IFERROR(__xludf.DUMMYFUNCTION("TRANSPOSE(QUERY('Cadastro VTR/SEÇÃO/MILITAR'!$A$3:$B2000,""SELECT B WHERE A LIKE '""&amp;'carga de materiais'!D1023&amp;""'""))"),"#REF!")</f>
        <v>#REF!</v>
      </c>
    </row>
    <row r="1023">
      <c r="A1023" s="120" t="str">
        <f>IFERROR(__xludf.DUMMYFUNCTION("TRANSPOSE(QUERY('Cadastro VTR/SEÇÃO/MILITAR'!$A$3:$B2000,""SELECT B WHERE A LIKE '""&amp;'carga de materiais'!D1024&amp;""'""))"),"#REF!")</f>
        <v>#REF!</v>
      </c>
    </row>
    <row r="1024">
      <c r="A1024" s="120" t="str">
        <f>IFERROR(__xludf.DUMMYFUNCTION("TRANSPOSE(QUERY('Cadastro VTR/SEÇÃO/MILITAR'!$A$3:$B2000,""SELECT B WHERE A LIKE '""&amp;'carga de materiais'!D1025&amp;""'""))"),"#REF!")</f>
        <v>#REF!</v>
      </c>
    </row>
    <row r="1025">
      <c r="A1025" s="120" t="str">
        <f>IFERROR(__xludf.DUMMYFUNCTION("TRANSPOSE(QUERY('Cadastro VTR/SEÇÃO/MILITAR'!$A$3:$B2000,""SELECT B WHERE A LIKE '""&amp;'carga de materiais'!D1026&amp;""'""))"),"#REF!")</f>
        <v>#REF!</v>
      </c>
    </row>
    <row r="1026">
      <c r="A1026" s="120" t="str">
        <f>IFERROR(__xludf.DUMMYFUNCTION("TRANSPOSE(QUERY('Cadastro VTR/SEÇÃO/MILITAR'!$A$3:$B2000,""SELECT B WHERE A LIKE '""&amp;'carga de materiais'!D1027&amp;""'""))"),"#REF!")</f>
        <v>#REF!</v>
      </c>
    </row>
    <row r="1027">
      <c r="A1027" s="120" t="str">
        <f>IFERROR(__xludf.DUMMYFUNCTION("TRANSPOSE(QUERY('Cadastro VTR/SEÇÃO/MILITAR'!$A$3:$B2000,""SELECT B WHERE A LIKE '""&amp;'carga de materiais'!D1028&amp;""'""))"),"#REF!")</f>
        <v>#REF!</v>
      </c>
    </row>
    <row r="1028">
      <c r="A1028" s="120" t="str">
        <f>IFERROR(__xludf.DUMMYFUNCTION("TRANSPOSE(QUERY('Cadastro VTR/SEÇÃO/MILITAR'!$A$3:$B2000,""SELECT B WHERE A LIKE '""&amp;'carga de materiais'!D1029&amp;""'""))"),"#REF!")</f>
        <v>#REF!</v>
      </c>
    </row>
    <row r="1029">
      <c r="A1029" s="120" t="str">
        <f>IFERROR(__xludf.DUMMYFUNCTION("TRANSPOSE(QUERY('Cadastro VTR/SEÇÃO/MILITAR'!$A$3:$B2000,""SELECT B WHERE A LIKE '""&amp;'carga de materiais'!D1030&amp;""'""))"),"#REF!")</f>
        <v>#REF!</v>
      </c>
    </row>
    <row r="1030">
      <c r="A1030" s="120" t="str">
        <f>IFERROR(__xludf.DUMMYFUNCTION("TRANSPOSE(QUERY('Cadastro VTR/SEÇÃO/MILITAR'!$A$3:$B2000,""SELECT B WHERE A LIKE '""&amp;'carga de materiais'!D1031&amp;""'""))"),"#REF!")</f>
        <v>#REF!</v>
      </c>
    </row>
    <row r="1031">
      <c r="A1031" s="120" t="str">
        <f>IFERROR(__xludf.DUMMYFUNCTION("TRANSPOSE(QUERY('Cadastro VTR/SEÇÃO/MILITAR'!$A$3:$B2000,""SELECT B WHERE A LIKE '""&amp;'carga de materiais'!D1032&amp;""'""))"),"#REF!")</f>
        <v>#REF!</v>
      </c>
    </row>
    <row r="1032">
      <c r="A1032" s="120" t="str">
        <f>IFERROR(__xludf.DUMMYFUNCTION("TRANSPOSE(QUERY('Cadastro VTR/SEÇÃO/MILITAR'!$A$3:$B2000,""SELECT B WHERE A LIKE '""&amp;'carga de materiais'!D1033&amp;""'""))"),"#REF!")</f>
        <v>#REF!</v>
      </c>
    </row>
    <row r="1033">
      <c r="A1033" s="120" t="str">
        <f>IFERROR(__xludf.DUMMYFUNCTION("TRANSPOSE(QUERY('Cadastro VTR/SEÇÃO/MILITAR'!$A$3:$B2000,""SELECT B WHERE A LIKE '""&amp;'carga de materiais'!D1034&amp;""'""))"),"#REF!")</f>
        <v>#REF!</v>
      </c>
    </row>
    <row r="1034">
      <c r="A1034" s="120" t="str">
        <f>IFERROR(__xludf.DUMMYFUNCTION("TRANSPOSE(QUERY('Cadastro VTR/SEÇÃO/MILITAR'!$A$3:$B2000,""SELECT B WHERE A LIKE '""&amp;'carga de materiais'!D1035&amp;""'""))"),"#REF!")</f>
        <v>#REF!</v>
      </c>
    </row>
    <row r="1035">
      <c r="A1035" s="120" t="str">
        <f>IFERROR(__xludf.DUMMYFUNCTION("TRANSPOSE(QUERY('Cadastro VTR/SEÇÃO/MILITAR'!$A$3:$B2000,""SELECT B WHERE A LIKE '""&amp;'carga de materiais'!D1036&amp;""'""))"),"#REF!")</f>
        <v>#REF!</v>
      </c>
    </row>
    <row r="1036">
      <c r="A1036" s="120" t="str">
        <f>IFERROR(__xludf.DUMMYFUNCTION("TRANSPOSE(QUERY('Cadastro VTR/SEÇÃO/MILITAR'!$A$3:$B2000,""SELECT B WHERE A LIKE '""&amp;'carga de materiais'!D1037&amp;""'""))"),"#REF!")</f>
        <v>#REF!</v>
      </c>
    </row>
    <row r="1037">
      <c r="A1037" s="120" t="str">
        <f>IFERROR(__xludf.DUMMYFUNCTION("TRANSPOSE(QUERY('Cadastro VTR/SEÇÃO/MILITAR'!$A$3:$B2000,""SELECT B WHERE A LIKE '""&amp;'carga de materiais'!D1038&amp;""'""))"),"#REF!")</f>
        <v>#REF!</v>
      </c>
    </row>
    <row r="1038">
      <c r="A1038" s="120" t="str">
        <f>IFERROR(__xludf.DUMMYFUNCTION("TRANSPOSE(QUERY('Cadastro VTR/SEÇÃO/MILITAR'!$A$3:$B2000,""SELECT B WHERE A LIKE '""&amp;'carga de materiais'!D1039&amp;""'""))"),"#REF!")</f>
        <v>#REF!</v>
      </c>
    </row>
    <row r="1039">
      <c r="A1039" s="120" t="str">
        <f>IFERROR(__xludf.DUMMYFUNCTION("TRANSPOSE(QUERY('Cadastro VTR/SEÇÃO/MILITAR'!$A$3:$B2000,""SELECT B WHERE A LIKE '""&amp;'carga de materiais'!D1040&amp;""'""))"),"#REF!")</f>
        <v>#REF!</v>
      </c>
    </row>
    <row r="1040">
      <c r="A1040" s="120" t="str">
        <f>IFERROR(__xludf.DUMMYFUNCTION("TRANSPOSE(QUERY('Cadastro VTR/SEÇÃO/MILITAR'!$A$3:$B2000,""SELECT B WHERE A LIKE '""&amp;'carga de materiais'!D1041&amp;""'""))"),"#REF!")</f>
        <v>#REF!</v>
      </c>
    </row>
    <row r="1041">
      <c r="A1041" s="120" t="str">
        <f>IFERROR(__xludf.DUMMYFUNCTION("TRANSPOSE(QUERY('Cadastro VTR/SEÇÃO/MILITAR'!$A$3:$B2000,""SELECT B WHERE A LIKE '""&amp;'carga de materiais'!D1042&amp;""'""))"),"#REF!")</f>
        <v>#REF!</v>
      </c>
    </row>
    <row r="1042">
      <c r="A1042" s="120" t="str">
        <f>IFERROR(__xludf.DUMMYFUNCTION("TRANSPOSE(QUERY('Cadastro VTR/SEÇÃO/MILITAR'!$A$3:$B2000,""SELECT B WHERE A LIKE '""&amp;'carga de materiais'!D1043&amp;""'""))"),"#REF!")</f>
        <v>#REF!</v>
      </c>
    </row>
    <row r="1043">
      <c r="A1043" s="120" t="str">
        <f>IFERROR(__xludf.DUMMYFUNCTION("TRANSPOSE(QUERY('Cadastro VTR/SEÇÃO/MILITAR'!$A$3:$B2000,""SELECT B WHERE A LIKE '""&amp;'carga de materiais'!D1044&amp;""'""))"),"#REF!")</f>
        <v>#REF!</v>
      </c>
    </row>
    <row r="1044">
      <c r="A1044" s="120" t="str">
        <f>IFERROR(__xludf.DUMMYFUNCTION("TRANSPOSE(QUERY('Cadastro VTR/SEÇÃO/MILITAR'!$A$3:$B2000,""SELECT B WHERE A LIKE '""&amp;'carga de materiais'!D1045&amp;""'""))"),"#REF!")</f>
        <v>#REF!</v>
      </c>
    </row>
    <row r="1045">
      <c r="A1045" s="120" t="str">
        <f>IFERROR(__xludf.DUMMYFUNCTION("TRANSPOSE(QUERY('Cadastro VTR/SEÇÃO/MILITAR'!$A$3:$B2000,""SELECT B WHERE A LIKE '""&amp;'carga de materiais'!D1046&amp;""'""))"),"#REF!")</f>
        <v>#REF!</v>
      </c>
    </row>
    <row r="1046">
      <c r="A1046" s="120" t="str">
        <f>IFERROR(__xludf.DUMMYFUNCTION("TRANSPOSE(QUERY('Cadastro VTR/SEÇÃO/MILITAR'!$A$3:$B2000,""SELECT B WHERE A LIKE '""&amp;'carga de materiais'!D1047&amp;""'""))"),"#REF!")</f>
        <v>#REF!</v>
      </c>
    </row>
    <row r="1047">
      <c r="A1047" s="120" t="str">
        <f>IFERROR(__xludf.DUMMYFUNCTION("TRANSPOSE(QUERY('Cadastro VTR/SEÇÃO/MILITAR'!$A$3:$B2000,""SELECT B WHERE A LIKE '""&amp;'carga de materiais'!D1048&amp;""'""))"),"#REF!")</f>
        <v>#REF!</v>
      </c>
    </row>
    <row r="1048">
      <c r="A1048" s="120" t="str">
        <f>IFERROR(__xludf.DUMMYFUNCTION("TRANSPOSE(QUERY('Cadastro VTR/SEÇÃO/MILITAR'!$A$3:$B2000,""SELECT B WHERE A LIKE '""&amp;'carga de materiais'!D1049&amp;""'""))"),"#REF!")</f>
        <v>#REF!</v>
      </c>
    </row>
    <row r="1049">
      <c r="A1049" s="120" t="str">
        <f>IFERROR(__xludf.DUMMYFUNCTION("TRANSPOSE(QUERY('Cadastro VTR/SEÇÃO/MILITAR'!$A$3:$B2000,""SELECT B WHERE A LIKE '""&amp;'carga de materiais'!D1050&amp;""'""))"),"#REF!")</f>
        <v>#REF!</v>
      </c>
    </row>
    <row r="1050">
      <c r="A1050" s="120" t="str">
        <f>IFERROR(__xludf.DUMMYFUNCTION("TRANSPOSE(QUERY('Cadastro VTR/SEÇÃO/MILITAR'!$A$3:$B2000,""SELECT B WHERE A LIKE '""&amp;'carga de materiais'!D1051&amp;""'""))"),"#REF!")</f>
        <v>#REF!</v>
      </c>
    </row>
    <row r="1051">
      <c r="A1051" s="120" t="str">
        <f>IFERROR(__xludf.DUMMYFUNCTION("TRANSPOSE(QUERY('Cadastro VTR/SEÇÃO/MILITAR'!$A$3:$B2000,""SELECT B WHERE A LIKE '""&amp;'carga de materiais'!D1052&amp;""'""))"),"#REF!")</f>
        <v>#REF!</v>
      </c>
    </row>
    <row r="1052">
      <c r="A1052" s="120" t="str">
        <f>IFERROR(__xludf.DUMMYFUNCTION("TRANSPOSE(QUERY('Cadastro VTR/SEÇÃO/MILITAR'!$A$3:$B2000,""SELECT B WHERE A LIKE '""&amp;'carga de materiais'!D1053&amp;""'""))"),"#REF!")</f>
        <v>#REF!</v>
      </c>
    </row>
    <row r="1053">
      <c r="A1053" s="120" t="str">
        <f>IFERROR(__xludf.DUMMYFUNCTION("TRANSPOSE(QUERY('Cadastro VTR/SEÇÃO/MILITAR'!$A$3:$B2000,""SELECT B WHERE A LIKE '""&amp;'carga de materiais'!D1054&amp;""'""))"),"#REF!")</f>
        <v>#REF!</v>
      </c>
    </row>
    <row r="1054">
      <c r="A1054" s="120" t="str">
        <f>IFERROR(__xludf.DUMMYFUNCTION("TRANSPOSE(QUERY('Cadastro VTR/SEÇÃO/MILITAR'!$A$3:$B2000,""SELECT B WHERE A LIKE '""&amp;'carga de materiais'!D1055&amp;""'""))"),"#REF!")</f>
        <v>#REF!</v>
      </c>
    </row>
    <row r="1055">
      <c r="A1055" s="120" t="str">
        <f>IFERROR(__xludf.DUMMYFUNCTION("TRANSPOSE(QUERY('Cadastro VTR/SEÇÃO/MILITAR'!$A$3:$B2000,""SELECT B WHERE A LIKE '""&amp;'carga de materiais'!D1056&amp;""'""))"),"#REF!")</f>
        <v>#REF!</v>
      </c>
    </row>
    <row r="1056">
      <c r="A1056" s="120" t="str">
        <f>IFERROR(__xludf.DUMMYFUNCTION("TRANSPOSE(QUERY('Cadastro VTR/SEÇÃO/MILITAR'!$A$3:$B2000,""SELECT B WHERE A LIKE '""&amp;'carga de materiais'!D1057&amp;""'""))"),"#REF!")</f>
        <v>#REF!</v>
      </c>
    </row>
    <row r="1057">
      <c r="A1057" s="120" t="str">
        <f>IFERROR(__xludf.DUMMYFUNCTION("TRANSPOSE(QUERY('Cadastro VTR/SEÇÃO/MILITAR'!$A$3:$B2000,""SELECT B WHERE A LIKE '""&amp;'carga de materiais'!D1058&amp;""'""))"),"#REF!")</f>
        <v>#REF!</v>
      </c>
    </row>
    <row r="1058">
      <c r="A1058" s="120" t="str">
        <f>IFERROR(__xludf.DUMMYFUNCTION("TRANSPOSE(QUERY('Cadastro VTR/SEÇÃO/MILITAR'!$A$3:$B2000,""SELECT B WHERE A LIKE '""&amp;'carga de materiais'!D1059&amp;""'""))"),"#REF!")</f>
        <v>#REF!</v>
      </c>
    </row>
    <row r="1059">
      <c r="A1059" s="120" t="str">
        <f>IFERROR(__xludf.DUMMYFUNCTION("TRANSPOSE(QUERY('Cadastro VTR/SEÇÃO/MILITAR'!$A$3:$B2000,""SELECT B WHERE A LIKE '""&amp;'carga de materiais'!D1060&amp;""'""))"),"#REF!")</f>
        <v>#REF!</v>
      </c>
    </row>
    <row r="1060">
      <c r="A1060" s="120" t="str">
        <f>IFERROR(__xludf.DUMMYFUNCTION("TRANSPOSE(QUERY('Cadastro VTR/SEÇÃO/MILITAR'!$A$3:$B2000,""SELECT B WHERE A LIKE '""&amp;'carga de materiais'!D1061&amp;""'""))"),"#REF!")</f>
        <v>#REF!</v>
      </c>
    </row>
    <row r="1061">
      <c r="A1061" s="120" t="str">
        <f>IFERROR(__xludf.DUMMYFUNCTION("TRANSPOSE(QUERY('Cadastro VTR/SEÇÃO/MILITAR'!$A$3:$B2000,""SELECT B WHERE A LIKE '""&amp;'carga de materiais'!D1062&amp;""'""))"),"#REF!")</f>
        <v>#REF!</v>
      </c>
    </row>
    <row r="1062">
      <c r="A1062" s="120" t="str">
        <f>IFERROR(__xludf.DUMMYFUNCTION("TRANSPOSE(QUERY('Cadastro VTR/SEÇÃO/MILITAR'!$A$3:$B2000,""SELECT B WHERE A LIKE '""&amp;'carga de materiais'!D1063&amp;""'""))"),"#REF!")</f>
        <v>#REF!</v>
      </c>
    </row>
    <row r="1063">
      <c r="A1063" s="120" t="str">
        <f>IFERROR(__xludf.DUMMYFUNCTION("TRANSPOSE(QUERY('Cadastro VTR/SEÇÃO/MILITAR'!$A$3:$B2000,""SELECT B WHERE A LIKE '""&amp;'carga de materiais'!D1064&amp;""'""))"),"#REF!")</f>
        <v>#REF!</v>
      </c>
    </row>
    <row r="1064">
      <c r="A1064" s="120" t="str">
        <f>IFERROR(__xludf.DUMMYFUNCTION("TRANSPOSE(QUERY('Cadastro VTR/SEÇÃO/MILITAR'!$A$3:$B2000,""SELECT B WHERE A LIKE '""&amp;'carga de materiais'!D1065&amp;""'""))"),"#REF!")</f>
        <v>#REF!</v>
      </c>
    </row>
    <row r="1065">
      <c r="A1065" s="120" t="str">
        <f>IFERROR(__xludf.DUMMYFUNCTION("TRANSPOSE(QUERY('Cadastro VTR/SEÇÃO/MILITAR'!$A$3:$B2000,""SELECT B WHERE A LIKE '""&amp;'carga de materiais'!D1066&amp;""'""))"),"#REF!")</f>
        <v>#REF!</v>
      </c>
    </row>
    <row r="1066">
      <c r="A1066" s="120" t="str">
        <f>IFERROR(__xludf.DUMMYFUNCTION("TRANSPOSE(QUERY('Cadastro VTR/SEÇÃO/MILITAR'!$A$3:$B2000,""SELECT B WHERE A LIKE '""&amp;'carga de materiais'!D1067&amp;""'""))"),"#REF!")</f>
        <v>#REF!</v>
      </c>
    </row>
    <row r="1067">
      <c r="A1067" s="120" t="str">
        <f>IFERROR(__xludf.DUMMYFUNCTION("TRANSPOSE(QUERY('Cadastro VTR/SEÇÃO/MILITAR'!$A$3:$B2000,""SELECT B WHERE A LIKE '""&amp;'carga de materiais'!D1068&amp;""'""))"),"#REF!")</f>
        <v>#REF!</v>
      </c>
    </row>
    <row r="1068">
      <c r="A1068" s="120" t="str">
        <f>IFERROR(__xludf.DUMMYFUNCTION("TRANSPOSE(QUERY('Cadastro VTR/SEÇÃO/MILITAR'!$A$3:$B2000,""SELECT B WHERE A LIKE '""&amp;'carga de materiais'!D1069&amp;""'""))"),"#REF!")</f>
        <v>#REF!</v>
      </c>
    </row>
    <row r="1069">
      <c r="A1069" s="120" t="str">
        <f>IFERROR(__xludf.DUMMYFUNCTION("TRANSPOSE(QUERY('Cadastro VTR/SEÇÃO/MILITAR'!$A$3:$B2000,""SELECT B WHERE A LIKE '""&amp;'carga de materiais'!D1070&amp;""'""))"),"#REF!")</f>
        <v>#REF!</v>
      </c>
    </row>
    <row r="1070">
      <c r="A1070" s="120" t="str">
        <f>IFERROR(__xludf.DUMMYFUNCTION("TRANSPOSE(QUERY('Cadastro VTR/SEÇÃO/MILITAR'!$A$3:$B2000,""SELECT B WHERE A LIKE '""&amp;'carga de materiais'!D1071&amp;""'""))"),"#REF!")</f>
        <v>#REF!</v>
      </c>
    </row>
    <row r="1071">
      <c r="A1071" s="120" t="str">
        <f>IFERROR(__xludf.DUMMYFUNCTION("TRANSPOSE(QUERY('Cadastro VTR/SEÇÃO/MILITAR'!$A$3:$B2000,""SELECT B WHERE A LIKE '""&amp;'carga de materiais'!D1072&amp;""'""))"),"#REF!")</f>
        <v>#REF!</v>
      </c>
    </row>
    <row r="1072">
      <c r="A1072" s="120" t="str">
        <f>IFERROR(__xludf.DUMMYFUNCTION("TRANSPOSE(QUERY('Cadastro VTR/SEÇÃO/MILITAR'!$A$3:$B2000,""SELECT B WHERE A LIKE '""&amp;'carga de materiais'!D1073&amp;""'""))"),"#REF!")</f>
        <v>#REF!</v>
      </c>
    </row>
    <row r="1073">
      <c r="A1073" s="120" t="str">
        <f>IFERROR(__xludf.DUMMYFUNCTION("TRANSPOSE(QUERY('Cadastro VTR/SEÇÃO/MILITAR'!$A$3:$B2000,""SELECT B WHERE A LIKE '""&amp;'carga de materiais'!D1074&amp;""'""))"),"#REF!")</f>
        <v>#REF!</v>
      </c>
    </row>
    <row r="1074">
      <c r="A1074" s="120" t="str">
        <f>IFERROR(__xludf.DUMMYFUNCTION("TRANSPOSE(QUERY('Cadastro VTR/SEÇÃO/MILITAR'!$A$3:$B2000,""SELECT B WHERE A LIKE '""&amp;'carga de materiais'!D1075&amp;""'""))"),"#REF!")</f>
        <v>#REF!</v>
      </c>
    </row>
    <row r="1075">
      <c r="A1075" s="120" t="str">
        <f>IFERROR(__xludf.DUMMYFUNCTION("TRANSPOSE(QUERY('Cadastro VTR/SEÇÃO/MILITAR'!$A$3:$B2000,""SELECT B WHERE A LIKE '""&amp;'carga de materiais'!D1076&amp;""'""))"),"#REF!")</f>
        <v>#REF!</v>
      </c>
    </row>
    <row r="1076">
      <c r="A1076" s="120" t="str">
        <f>IFERROR(__xludf.DUMMYFUNCTION("TRANSPOSE(QUERY('Cadastro VTR/SEÇÃO/MILITAR'!$A$3:$B2000,""SELECT B WHERE A LIKE '""&amp;'carga de materiais'!D1077&amp;""'""))"),"#REF!")</f>
        <v>#REF!</v>
      </c>
    </row>
    <row r="1077">
      <c r="A1077" s="120" t="str">
        <f>IFERROR(__xludf.DUMMYFUNCTION("TRANSPOSE(QUERY('Cadastro VTR/SEÇÃO/MILITAR'!$A$3:$B2000,""SELECT B WHERE A LIKE '""&amp;'carga de materiais'!D1078&amp;""'""))"),"#REF!")</f>
        <v>#REF!</v>
      </c>
    </row>
    <row r="1078">
      <c r="A1078" s="120" t="str">
        <f>IFERROR(__xludf.DUMMYFUNCTION("TRANSPOSE(QUERY('Cadastro VTR/SEÇÃO/MILITAR'!$A$3:$B2000,""SELECT B WHERE A LIKE '""&amp;'carga de materiais'!D1079&amp;""'""))"),"#REF!")</f>
        <v>#REF!</v>
      </c>
    </row>
    <row r="1079">
      <c r="A1079" s="120" t="str">
        <f>IFERROR(__xludf.DUMMYFUNCTION("TRANSPOSE(QUERY('Cadastro VTR/SEÇÃO/MILITAR'!$A$3:$B2000,""SELECT B WHERE A LIKE '""&amp;'carga de materiais'!D1080&amp;""'""))"),"#REF!")</f>
        <v>#REF!</v>
      </c>
    </row>
    <row r="1080">
      <c r="A1080" s="120" t="str">
        <f>IFERROR(__xludf.DUMMYFUNCTION("TRANSPOSE(QUERY('Cadastro VTR/SEÇÃO/MILITAR'!$A$3:$B2000,""SELECT B WHERE A LIKE '""&amp;'carga de materiais'!D1081&amp;""'""))"),"#REF!")</f>
        <v>#REF!</v>
      </c>
    </row>
    <row r="1081">
      <c r="A1081" s="120" t="str">
        <f>IFERROR(__xludf.DUMMYFUNCTION("TRANSPOSE(QUERY('Cadastro VTR/SEÇÃO/MILITAR'!$A$3:$B2000,""SELECT B WHERE A LIKE '""&amp;'carga de materiais'!D1082&amp;""'""))"),"#REF!")</f>
        <v>#REF!</v>
      </c>
    </row>
    <row r="1082">
      <c r="A1082" s="120" t="str">
        <f>IFERROR(__xludf.DUMMYFUNCTION("TRANSPOSE(QUERY('Cadastro VTR/SEÇÃO/MILITAR'!$A$3:$B2000,""SELECT B WHERE A LIKE '""&amp;'carga de materiais'!D1083&amp;""'""))"),"#REF!")</f>
        <v>#REF!</v>
      </c>
    </row>
    <row r="1083">
      <c r="A1083" s="120" t="str">
        <f>IFERROR(__xludf.DUMMYFUNCTION("TRANSPOSE(QUERY('Cadastro VTR/SEÇÃO/MILITAR'!$A$3:$B2000,""SELECT B WHERE A LIKE '""&amp;'carga de materiais'!D1084&amp;""'""))"),"#REF!")</f>
        <v>#REF!</v>
      </c>
    </row>
    <row r="1084">
      <c r="A1084" s="120" t="str">
        <f>IFERROR(__xludf.DUMMYFUNCTION("TRANSPOSE(QUERY('Cadastro VTR/SEÇÃO/MILITAR'!$A$3:$B2000,""SELECT B WHERE A LIKE '""&amp;'carga de materiais'!D1085&amp;""'""))"),"#REF!")</f>
        <v>#REF!</v>
      </c>
    </row>
    <row r="1085">
      <c r="A1085" s="120" t="str">
        <f>IFERROR(__xludf.DUMMYFUNCTION("TRANSPOSE(QUERY('Cadastro VTR/SEÇÃO/MILITAR'!$A$3:$B2000,""SELECT B WHERE A LIKE '""&amp;'carga de materiais'!D1086&amp;""'""))"),"#REF!")</f>
        <v>#REF!</v>
      </c>
    </row>
    <row r="1086">
      <c r="A1086" s="120" t="str">
        <f>IFERROR(__xludf.DUMMYFUNCTION("TRANSPOSE(QUERY('Cadastro VTR/SEÇÃO/MILITAR'!$A$3:$B2000,""SELECT B WHERE A LIKE '""&amp;'carga de materiais'!D1087&amp;""'""))"),"#REF!")</f>
        <v>#REF!</v>
      </c>
    </row>
    <row r="1087">
      <c r="A1087" s="120" t="str">
        <f>IFERROR(__xludf.DUMMYFUNCTION("TRANSPOSE(QUERY('Cadastro VTR/SEÇÃO/MILITAR'!$A$3:$B2000,""SELECT B WHERE A LIKE '""&amp;'carga de materiais'!D1088&amp;""'""))"),"#REF!")</f>
        <v>#REF!</v>
      </c>
    </row>
    <row r="1088">
      <c r="A1088" s="120" t="str">
        <f>IFERROR(__xludf.DUMMYFUNCTION("TRANSPOSE(QUERY('Cadastro VTR/SEÇÃO/MILITAR'!$A$3:$B2000,""SELECT B WHERE A LIKE '""&amp;'carga de materiais'!D1089&amp;""'""))"),"#REF!")</f>
        <v>#REF!</v>
      </c>
    </row>
    <row r="1089">
      <c r="A1089" s="120" t="str">
        <f>IFERROR(__xludf.DUMMYFUNCTION("TRANSPOSE(QUERY('Cadastro VTR/SEÇÃO/MILITAR'!$A$3:$B2000,""SELECT B WHERE A LIKE '""&amp;'carga de materiais'!D1090&amp;""'""))"),"#REF!")</f>
        <v>#REF!</v>
      </c>
    </row>
    <row r="1090">
      <c r="A1090" s="120" t="str">
        <f>IFERROR(__xludf.DUMMYFUNCTION("TRANSPOSE(QUERY('Cadastro VTR/SEÇÃO/MILITAR'!$A$3:$B2000,""SELECT B WHERE A LIKE '""&amp;'carga de materiais'!D1091&amp;""'""))"),"#REF!")</f>
        <v>#REF!</v>
      </c>
    </row>
    <row r="1091">
      <c r="A1091" s="120" t="str">
        <f>IFERROR(__xludf.DUMMYFUNCTION("TRANSPOSE(QUERY('Cadastro VTR/SEÇÃO/MILITAR'!$A$3:$B2000,""SELECT B WHERE A LIKE '""&amp;'carga de materiais'!D1092&amp;""'""))"),"#REF!")</f>
        <v>#REF!</v>
      </c>
    </row>
    <row r="1092">
      <c r="A1092" s="120" t="str">
        <f>IFERROR(__xludf.DUMMYFUNCTION("TRANSPOSE(QUERY('Cadastro VTR/SEÇÃO/MILITAR'!$A$3:$B2000,""SELECT B WHERE A LIKE '""&amp;'carga de materiais'!D1093&amp;""'""))"),"#REF!")</f>
        <v>#REF!</v>
      </c>
    </row>
    <row r="1093">
      <c r="A1093" s="120" t="str">
        <f>IFERROR(__xludf.DUMMYFUNCTION("TRANSPOSE(QUERY('Cadastro VTR/SEÇÃO/MILITAR'!$A$3:$B2000,""SELECT B WHERE A LIKE '""&amp;'carga de materiais'!D1094&amp;""'""))"),"#REF!")</f>
        <v>#REF!</v>
      </c>
    </row>
    <row r="1094">
      <c r="A1094" s="120" t="str">
        <f>IFERROR(__xludf.DUMMYFUNCTION("TRANSPOSE(QUERY('Cadastro VTR/SEÇÃO/MILITAR'!$A$3:$B2000,""SELECT B WHERE A LIKE '""&amp;'carga de materiais'!D1095&amp;""'""))"),"#REF!")</f>
        <v>#REF!</v>
      </c>
    </row>
    <row r="1095">
      <c r="A1095" s="120" t="str">
        <f>IFERROR(__xludf.DUMMYFUNCTION("TRANSPOSE(QUERY('Cadastro VTR/SEÇÃO/MILITAR'!$A$3:$B2000,""SELECT B WHERE A LIKE '""&amp;'carga de materiais'!D1096&amp;""'""))"),"#REF!")</f>
        <v>#REF!</v>
      </c>
    </row>
    <row r="1096">
      <c r="A1096" s="120" t="str">
        <f>IFERROR(__xludf.DUMMYFUNCTION("TRANSPOSE(QUERY('Cadastro VTR/SEÇÃO/MILITAR'!$A$3:$B2000,""SELECT B WHERE A LIKE '""&amp;'carga de materiais'!D1097&amp;""'""))"),"#REF!")</f>
        <v>#REF!</v>
      </c>
    </row>
    <row r="1097">
      <c r="A1097" s="120" t="str">
        <f>IFERROR(__xludf.DUMMYFUNCTION("TRANSPOSE(QUERY('Cadastro VTR/SEÇÃO/MILITAR'!$A$3:$B2000,""SELECT B WHERE A LIKE '""&amp;'carga de materiais'!D1098&amp;""'""))"),"#REF!")</f>
        <v>#REF!</v>
      </c>
    </row>
    <row r="1098">
      <c r="A1098" s="120" t="str">
        <f>IFERROR(__xludf.DUMMYFUNCTION("TRANSPOSE(QUERY('Cadastro VTR/SEÇÃO/MILITAR'!$A$3:$B2000,""SELECT B WHERE A LIKE '""&amp;'carga de materiais'!D1099&amp;""'""))"),"#REF!")</f>
        <v>#REF!</v>
      </c>
    </row>
    <row r="1099">
      <c r="A1099" s="120" t="str">
        <f>IFERROR(__xludf.DUMMYFUNCTION("TRANSPOSE(QUERY('Cadastro VTR/SEÇÃO/MILITAR'!$A$3:$B2000,""SELECT B WHERE A LIKE '""&amp;'carga de materiais'!D1100&amp;""'""))"),"#REF!")</f>
        <v>#REF!</v>
      </c>
    </row>
    <row r="1100">
      <c r="A1100" s="120" t="str">
        <f>IFERROR(__xludf.DUMMYFUNCTION("TRANSPOSE(QUERY('Cadastro VTR/SEÇÃO/MILITAR'!$A$3:$B2000,""SELECT B WHERE A LIKE '""&amp;'carga de materiais'!D1101&amp;""'""))"),"#REF!")</f>
        <v>#REF!</v>
      </c>
    </row>
    <row r="1101">
      <c r="A1101" s="120" t="str">
        <f>IFERROR(__xludf.DUMMYFUNCTION("TRANSPOSE(QUERY('Cadastro VTR/SEÇÃO/MILITAR'!$A$3:$B2000,""SELECT B WHERE A LIKE '""&amp;'carga de materiais'!D1102&amp;""'""))"),"#REF!")</f>
        <v>#REF!</v>
      </c>
    </row>
    <row r="1102">
      <c r="A1102" s="120" t="str">
        <f>IFERROR(__xludf.DUMMYFUNCTION("TRANSPOSE(QUERY('Cadastro VTR/SEÇÃO/MILITAR'!$A$3:$B2000,""SELECT B WHERE A LIKE '""&amp;'carga de materiais'!D1103&amp;""'""))"),"#REF!")</f>
        <v>#REF!</v>
      </c>
    </row>
    <row r="1103">
      <c r="A1103" s="120" t="str">
        <f>IFERROR(__xludf.DUMMYFUNCTION("TRANSPOSE(QUERY('Cadastro VTR/SEÇÃO/MILITAR'!$A$3:$B2000,""SELECT B WHERE A LIKE '""&amp;'carga de materiais'!D1104&amp;""'""))"),"#REF!")</f>
        <v>#REF!</v>
      </c>
    </row>
    <row r="1104">
      <c r="A1104" s="120" t="str">
        <f>IFERROR(__xludf.DUMMYFUNCTION("TRANSPOSE(QUERY('Cadastro VTR/SEÇÃO/MILITAR'!$A$3:$B2000,""SELECT B WHERE A LIKE '""&amp;'carga de materiais'!D1105&amp;""'""))"),"#REF!")</f>
        <v>#REF!</v>
      </c>
    </row>
    <row r="1105">
      <c r="A1105" s="120" t="str">
        <f>IFERROR(__xludf.DUMMYFUNCTION("TRANSPOSE(QUERY('Cadastro VTR/SEÇÃO/MILITAR'!$A$3:$B2000,""SELECT B WHERE A LIKE '""&amp;'carga de materiais'!D1106&amp;""'""))"),"#REF!")</f>
        <v>#REF!</v>
      </c>
    </row>
    <row r="1106">
      <c r="A1106" s="120" t="str">
        <f>IFERROR(__xludf.DUMMYFUNCTION("TRANSPOSE(QUERY('Cadastro VTR/SEÇÃO/MILITAR'!$A$3:$B2000,""SELECT B WHERE A LIKE '""&amp;'carga de materiais'!D1107&amp;""'""))"),"#REF!")</f>
        <v>#REF!</v>
      </c>
    </row>
    <row r="1107">
      <c r="A1107" s="120" t="str">
        <f>IFERROR(__xludf.DUMMYFUNCTION("TRANSPOSE(QUERY('Cadastro VTR/SEÇÃO/MILITAR'!$A$3:$B2000,""SELECT B WHERE A LIKE '""&amp;'carga de materiais'!D1108&amp;""'""))"),"#REF!")</f>
        <v>#REF!</v>
      </c>
    </row>
    <row r="1108">
      <c r="A1108" s="120" t="str">
        <f>IFERROR(__xludf.DUMMYFUNCTION("TRANSPOSE(QUERY('Cadastro VTR/SEÇÃO/MILITAR'!$A$3:$B2000,""SELECT B WHERE A LIKE '""&amp;'carga de materiais'!D1109&amp;""'""))"),"#REF!")</f>
        <v>#REF!</v>
      </c>
    </row>
    <row r="1109">
      <c r="A1109" s="120" t="str">
        <f>IFERROR(__xludf.DUMMYFUNCTION("TRANSPOSE(QUERY('Cadastro VTR/SEÇÃO/MILITAR'!$A$3:$B2000,""SELECT B WHERE A LIKE '""&amp;'carga de materiais'!D1110&amp;""'""))"),"#REF!")</f>
        <v>#REF!</v>
      </c>
    </row>
    <row r="1110">
      <c r="A1110" s="120" t="str">
        <f>IFERROR(__xludf.DUMMYFUNCTION("TRANSPOSE(QUERY('Cadastro VTR/SEÇÃO/MILITAR'!$A$3:$B2000,""SELECT B WHERE A LIKE '""&amp;'carga de materiais'!D1111&amp;""'""))"),"#REF!")</f>
        <v>#REF!</v>
      </c>
    </row>
    <row r="1111">
      <c r="A1111" s="120" t="str">
        <f>IFERROR(__xludf.DUMMYFUNCTION("TRANSPOSE(QUERY('Cadastro VTR/SEÇÃO/MILITAR'!$A$3:$B2000,""SELECT B WHERE A LIKE '""&amp;'carga de materiais'!D1112&amp;""'""))"),"#REF!")</f>
        <v>#REF!</v>
      </c>
    </row>
    <row r="1112">
      <c r="A1112" s="120" t="str">
        <f>IFERROR(__xludf.DUMMYFUNCTION("TRANSPOSE(QUERY('Cadastro VTR/SEÇÃO/MILITAR'!$A$3:$B2000,""SELECT B WHERE A LIKE '""&amp;'carga de materiais'!D1113&amp;""'""))"),"#REF!")</f>
        <v>#REF!</v>
      </c>
    </row>
    <row r="1113">
      <c r="A1113" s="120" t="str">
        <f>IFERROR(__xludf.DUMMYFUNCTION("TRANSPOSE(QUERY('Cadastro VTR/SEÇÃO/MILITAR'!$A$3:$B2000,""SELECT B WHERE A LIKE '""&amp;'carga de materiais'!D1114&amp;""'""))"),"#REF!")</f>
        <v>#REF!</v>
      </c>
    </row>
    <row r="1114">
      <c r="A1114" s="120" t="str">
        <f>IFERROR(__xludf.DUMMYFUNCTION("TRANSPOSE(QUERY('Cadastro VTR/SEÇÃO/MILITAR'!$A$3:$B2000,""SELECT B WHERE A LIKE '""&amp;'carga de materiais'!D1115&amp;""'""))"),"#REF!")</f>
        <v>#REF!</v>
      </c>
    </row>
    <row r="1115">
      <c r="A1115" s="120" t="str">
        <f>IFERROR(__xludf.DUMMYFUNCTION("TRANSPOSE(QUERY('Cadastro VTR/SEÇÃO/MILITAR'!$A$3:$B2000,""SELECT B WHERE A LIKE '""&amp;'carga de materiais'!D1116&amp;""'""))"),"#REF!")</f>
        <v>#REF!</v>
      </c>
    </row>
    <row r="1116">
      <c r="A1116" s="120" t="str">
        <f>IFERROR(__xludf.DUMMYFUNCTION("TRANSPOSE(QUERY('Cadastro VTR/SEÇÃO/MILITAR'!$A$3:$B2000,""SELECT B WHERE A LIKE '""&amp;'carga de materiais'!D1117&amp;""'""))"),"#REF!")</f>
        <v>#REF!</v>
      </c>
    </row>
    <row r="1117">
      <c r="A1117" s="120" t="str">
        <f>IFERROR(__xludf.DUMMYFUNCTION("TRANSPOSE(QUERY('Cadastro VTR/SEÇÃO/MILITAR'!$A$3:$B2000,""SELECT B WHERE A LIKE '""&amp;'carga de materiais'!D1118&amp;""'""))"),"#REF!")</f>
        <v>#REF!</v>
      </c>
    </row>
    <row r="1118">
      <c r="A1118" s="120" t="str">
        <f>IFERROR(__xludf.DUMMYFUNCTION("TRANSPOSE(QUERY('Cadastro VTR/SEÇÃO/MILITAR'!$A$3:$B2000,""SELECT B WHERE A LIKE '""&amp;'carga de materiais'!D1119&amp;""'""))"),"#REF!")</f>
        <v>#REF!</v>
      </c>
    </row>
    <row r="1119">
      <c r="A1119" s="120" t="str">
        <f>IFERROR(__xludf.DUMMYFUNCTION("TRANSPOSE(QUERY('Cadastro VTR/SEÇÃO/MILITAR'!$A$3:$B2000,""SELECT B WHERE A LIKE '""&amp;'carga de materiais'!D1120&amp;""'""))"),"#REF!")</f>
        <v>#REF!</v>
      </c>
    </row>
    <row r="1120">
      <c r="A1120" s="120" t="str">
        <f>IFERROR(__xludf.DUMMYFUNCTION("TRANSPOSE(QUERY('Cadastro VTR/SEÇÃO/MILITAR'!$A$3:$B2000,""SELECT B WHERE A LIKE '""&amp;'carga de materiais'!D1121&amp;""'""))"),"#REF!")</f>
        <v>#REF!</v>
      </c>
    </row>
    <row r="1121">
      <c r="A1121" s="120" t="str">
        <f>IFERROR(__xludf.DUMMYFUNCTION("TRANSPOSE(QUERY('Cadastro VTR/SEÇÃO/MILITAR'!$A$3:$B2000,""SELECT B WHERE A LIKE '""&amp;'carga de materiais'!D1122&amp;""'""))"),"#REF!")</f>
        <v>#REF!</v>
      </c>
    </row>
    <row r="1122">
      <c r="A1122" s="120" t="str">
        <f>IFERROR(__xludf.DUMMYFUNCTION("TRANSPOSE(QUERY('Cadastro VTR/SEÇÃO/MILITAR'!$A$3:$B2000,""SELECT B WHERE A LIKE '""&amp;'carga de materiais'!D1123&amp;""'""))"),"#REF!")</f>
        <v>#REF!</v>
      </c>
    </row>
    <row r="1123">
      <c r="A1123" s="120" t="str">
        <f>IFERROR(__xludf.DUMMYFUNCTION("TRANSPOSE(QUERY('Cadastro VTR/SEÇÃO/MILITAR'!$A$3:$B2000,""SELECT B WHERE A LIKE '""&amp;'carga de materiais'!D1124&amp;""'""))"),"#REF!")</f>
        <v>#REF!</v>
      </c>
    </row>
    <row r="1124">
      <c r="A1124" s="120" t="str">
        <f>IFERROR(__xludf.DUMMYFUNCTION("TRANSPOSE(QUERY('Cadastro VTR/SEÇÃO/MILITAR'!$A$3:$B2000,""SELECT B WHERE A LIKE '""&amp;'carga de materiais'!D1125&amp;""'""))"),"#REF!")</f>
        <v>#REF!</v>
      </c>
    </row>
    <row r="1125">
      <c r="A1125" s="120" t="str">
        <f>IFERROR(__xludf.DUMMYFUNCTION("TRANSPOSE(QUERY('Cadastro VTR/SEÇÃO/MILITAR'!$A$3:$B2000,""SELECT B WHERE A LIKE '""&amp;'carga de materiais'!D1126&amp;""'""))"),"#REF!")</f>
        <v>#REF!</v>
      </c>
    </row>
    <row r="1126">
      <c r="A1126" s="120" t="str">
        <f>IFERROR(__xludf.DUMMYFUNCTION("TRANSPOSE(QUERY('Cadastro VTR/SEÇÃO/MILITAR'!$A$3:$B2000,""SELECT B WHERE A LIKE '""&amp;'carga de materiais'!D1127&amp;""'""))"),"#REF!")</f>
        <v>#REF!</v>
      </c>
    </row>
    <row r="1127">
      <c r="A1127" s="120" t="str">
        <f>IFERROR(__xludf.DUMMYFUNCTION("TRANSPOSE(QUERY('Cadastro VTR/SEÇÃO/MILITAR'!$A$3:$B2000,""SELECT B WHERE A LIKE '""&amp;'carga de materiais'!D1128&amp;""'""))"),"#REF!")</f>
        <v>#REF!</v>
      </c>
    </row>
    <row r="1128">
      <c r="A1128" s="120" t="str">
        <f>IFERROR(__xludf.DUMMYFUNCTION("TRANSPOSE(QUERY('Cadastro VTR/SEÇÃO/MILITAR'!$A$3:$B2000,""SELECT B WHERE A LIKE '""&amp;'carga de materiais'!D1129&amp;""'""))"),"#REF!")</f>
        <v>#REF!</v>
      </c>
    </row>
    <row r="1129">
      <c r="A1129" s="120" t="str">
        <f>IFERROR(__xludf.DUMMYFUNCTION("TRANSPOSE(QUERY('Cadastro VTR/SEÇÃO/MILITAR'!$A$3:$B2000,""SELECT B WHERE A LIKE '""&amp;'carga de materiais'!D1130&amp;""'""))"),"#REF!")</f>
        <v>#REF!</v>
      </c>
    </row>
    <row r="1130">
      <c r="A1130" s="120" t="str">
        <f>IFERROR(__xludf.DUMMYFUNCTION("TRANSPOSE(QUERY('Cadastro VTR/SEÇÃO/MILITAR'!$A$3:$B2000,""SELECT B WHERE A LIKE '""&amp;'carga de materiais'!D1131&amp;""'""))"),"#REF!")</f>
        <v>#REF!</v>
      </c>
    </row>
    <row r="1131">
      <c r="A1131" s="120" t="str">
        <f>IFERROR(__xludf.DUMMYFUNCTION("TRANSPOSE(QUERY('Cadastro VTR/SEÇÃO/MILITAR'!$A$3:$B2000,""SELECT B WHERE A LIKE '""&amp;'carga de materiais'!D1132&amp;""'""))"),"#REF!")</f>
        <v>#REF!</v>
      </c>
    </row>
    <row r="1132">
      <c r="A1132" s="120" t="str">
        <f>IFERROR(__xludf.DUMMYFUNCTION("TRANSPOSE(QUERY('Cadastro VTR/SEÇÃO/MILITAR'!$A$3:$B2000,""SELECT B WHERE A LIKE '""&amp;'carga de materiais'!D1133&amp;""'""))"),"#REF!")</f>
        <v>#REF!</v>
      </c>
    </row>
    <row r="1133">
      <c r="A1133" s="120" t="str">
        <f>IFERROR(__xludf.DUMMYFUNCTION("TRANSPOSE(QUERY('Cadastro VTR/SEÇÃO/MILITAR'!$A$3:$B2000,""SELECT B WHERE A LIKE '""&amp;'carga de materiais'!D1134&amp;""'""))"),"#REF!")</f>
        <v>#REF!</v>
      </c>
    </row>
    <row r="1134">
      <c r="A1134" s="120" t="str">
        <f>IFERROR(__xludf.DUMMYFUNCTION("TRANSPOSE(QUERY('Cadastro VTR/SEÇÃO/MILITAR'!$A$3:$B2000,""SELECT B WHERE A LIKE '""&amp;'carga de materiais'!D1135&amp;""'""))"),"#REF!")</f>
        <v>#REF!</v>
      </c>
    </row>
    <row r="1135">
      <c r="A1135" s="120" t="str">
        <f>IFERROR(__xludf.DUMMYFUNCTION("TRANSPOSE(QUERY('Cadastro VTR/SEÇÃO/MILITAR'!$A$3:$B2000,""SELECT B WHERE A LIKE '""&amp;'carga de materiais'!D1136&amp;""'""))"),"#REF!")</f>
        <v>#REF!</v>
      </c>
    </row>
    <row r="1136">
      <c r="A1136" s="120" t="str">
        <f>IFERROR(__xludf.DUMMYFUNCTION("TRANSPOSE(QUERY('Cadastro VTR/SEÇÃO/MILITAR'!$A$3:$B2000,""SELECT B WHERE A LIKE '""&amp;'carga de materiais'!D1137&amp;""'""))"),"#REF!")</f>
        <v>#REF!</v>
      </c>
    </row>
    <row r="1137">
      <c r="A1137" s="120" t="str">
        <f>IFERROR(__xludf.DUMMYFUNCTION("TRANSPOSE(QUERY('Cadastro VTR/SEÇÃO/MILITAR'!$A$3:$B2000,""SELECT B WHERE A LIKE '""&amp;'carga de materiais'!D1138&amp;""'""))"),"#REF!")</f>
        <v>#REF!</v>
      </c>
    </row>
    <row r="1138">
      <c r="A1138" s="120" t="str">
        <f>IFERROR(__xludf.DUMMYFUNCTION("TRANSPOSE(QUERY('Cadastro VTR/SEÇÃO/MILITAR'!$A$3:$B2000,""SELECT B WHERE A LIKE '""&amp;'carga de materiais'!D1139&amp;""'""))"),"#REF!")</f>
        <v>#REF!</v>
      </c>
    </row>
    <row r="1139">
      <c r="A1139" s="120" t="str">
        <f>IFERROR(__xludf.DUMMYFUNCTION("TRANSPOSE(QUERY('Cadastro VTR/SEÇÃO/MILITAR'!$A$3:$B2000,""SELECT B WHERE A LIKE '""&amp;'carga de materiais'!D1140&amp;""'""))"),"#REF!")</f>
        <v>#REF!</v>
      </c>
    </row>
    <row r="1140">
      <c r="A1140" s="120" t="str">
        <f>IFERROR(__xludf.DUMMYFUNCTION("TRANSPOSE(QUERY('Cadastro VTR/SEÇÃO/MILITAR'!$A$3:$B2000,""SELECT B WHERE A LIKE '""&amp;'carga de materiais'!D1141&amp;""'""))"),"#REF!")</f>
        <v>#REF!</v>
      </c>
    </row>
    <row r="1141">
      <c r="A1141" s="120" t="str">
        <f>IFERROR(__xludf.DUMMYFUNCTION("TRANSPOSE(QUERY('Cadastro VTR/SEÇÃO/MILITAR'!$A$3:$B2000,""SELECT B WHERE A LIKE '""&amp;'carga de materiais'!D1142&amp;""'""))"),"#REF!")</f>
        <v>#REF!</v>
      </c>
    </row>
    <row r="1142">
      <c r="A1142" s="120" t="str">
        <f>IFERROR(__xludf.DUMMYFUNCTION("TRANSPOSE(QUERY('Cadastro VTR/SEÇÃO/MILITAR'!$A$3:$B2000,""SELECT B WHERE A LIKE '""&amp;'carga de materiais'!D1143&amp;""'""))"),"#REF!")</f>
        <v>#REF!</v>
      </c>
    </row>
    <row r="1143">
      <c r="A1143" s="120" t="str">
        <f>IFERROR(__xludf.DUMMYFUNCTION("TRANSPOSE(QUERY('Cadastro VTR/SEÇÃO/MILITAR'!$A$3:$B2000,""SELECT B WHERE A LIKE '""&amp;'carga de materiais'!D1144&amp;""'""))"),"#REF!")</f>
        <v>#REF!</v>
      </c>
    </row>
    <row r="1144">
      <c r="A1144" s="120" t="str">
        <f>IFERROR(__xludf.DUMMYFUNCTION("TRANSPOSE(QUERY('Cadastro VTR/SEÇÃO/MILITAR'!$A$3:$B2000,""SELECT B WHERE A LIKE '""&amp;'carga de materiais'!D1145&amp;""'""))"),"#REF!")</f>
        <v>#REF!</v>
      </c>
    </row>
    <row r="1145">
      <c r="A1145" s="120" t="str">
        <f>IFERROR(__xludf.DUMMYFUNCTION("TRANSPOSE(QUERY('Cadastro VTR/SEÇÃO/MILITAR'!$A$3:$B2000,""SELECT B WHERE A LIKE '""&amp;'carga de materiais'!D1146&amp;""'""))"),"#REF!")</f>
        <v>#REF!</v>
      </c>
    </row>
    <row r="1146">
      <c r="A1146" s="120" t="str">
        <f>IFERROR(__xludf.DUMMYFUNCTION("TRANSPOSE(QUERY('Cadastro VTR/SEÇÃO/MILITAR'!$A$3:$B2000,""SELECT B WHERE A LIKE '""&amp;'carga de materiais'!D1147&amp;""'""))"),"#REF!")</f>
        <v>#REF!</v>
      </c>
    </row>
    <row r="1147">
      <c r="A1147" s="120" t="str">
        <f>IFERROR(__xludf.DUMMYFUNCTION("TRANSPOSE(QUERY('Cadastro VTR/SEÇÃO/MILITAR'!$A$3:$B2000,""SELECT B WHERE A LIKE '""&amp;'carga de materiais'!D1148&amp;""'""))"),"#REF!")</f>
        <v>#REF!</v>
      </c>
    </row>
    <row r="1148">
      <c r="A1148" s="120" t="str">
        <f>IFERROR(__xludf.DUMMYFUNCTION("TRANSPOSE(QUERY('Cadastro VTR/SEÇÃO/MILITAR'!$A$3:$B2000,""SELECT B WHERE A LIKE '""&amp;'carga de materiais'!D1149&amp;""'""))"),"#REF!")</f>
        <v>#REF!</v>
      </c>
    </row>
    <row r="1149">
      <c r="A1149" s="120" t="str">
        <f>IFERROR(__xludf.DUMMYFUNCTION("TRANSPOSE(QUERY('Cadastro VTR/SEÇÃO/MILITAR'!$A$3:$B2000,""SELECT B WHERE A LIKE '""&amp;'carga de materiais'!D1150&amp;""'""))"),"#REF!")</f>
        <v>#REF!</v>
      </c>
    </row>
    <row r="1150">
      <c r="A1150" s="120" t="str">
        <f>IFERROR(__xludf.DUMMYFUNCTION("TRANSPOSE(QUERY('Cadastro VTR/SEÇÃO/MILITAR'!$A$3:$B2000,""SELECT B WHERE A LIKE '""&amp;'carga de materiais'!D1151&amp;""'""))"),"#REF!")</f>
        <v>#REF!</v>
      </c>
    </row>
    <row r="1151">
      <c r="A1151" s="120" t="str">
        <f>IFERROR(__xludf.DUMMYFUNCTION("TRANSPOSE(QUERY('Cadastro VTR/SEÇÃO/MILITAR'!$A$3:$B2000,""SELECT B WHERE A LIKE '""&amp;'carga de materiais'!D1152&amp;""'""))"),"#REF!")</f>
        <v>#REF!</v>
      </c>
    </row>
    <row r="1152">
      <c r="A1152" s="120" t="str">
        <f>IFERROR(__xludf.DUMMYFUNCTION("TRANSPOSE(QUERY('Cadastro VTR/SEÇÃO/MILITAR'!$A$3:$B2000,""SELECT B WHERE A LIKE '""&amp;'carga de materiais'!D1153&amp;""'""))"),"#REF!")</f>
        <v>#REF!</v>
      </c>
    </row>
    <row r="1153">
      <c r="A1153" s="120" t="str">
        <f>IFERROR(__xludf.DUMMYFUNCTION("TRANSPOSE(QUERY('Cadastro VTR/SEÇÃO/MILITAR'!$A$3:$B2000,""SELECT B WHERE A LIKE '""&amp;'carga de materiais'!D1154&amp;""'""))"),"#REF!")</f>
        <v>#REF!</v>
      </c>
    </row>
    <row r="1154">
      <c r="A1154" s="120" t="str">
        <f>IFERROR(__xludf.DUMMYFUNCTION("TRANSPOSE(QUERY('Cadastro VTR/SEÇÃO/MILITAR'!$A$3:$B2000,""SELECT B WHERE A LIKE '""&amp;'carga de materiais'!D1155&amp;""'""))"),"#REF!")</f>
        <v>#REF!</v>
      </c>
    </row>
    <row r="1155">
      <c r="A1155" s="120" t="str">
        <f>IFERROR(__xludf.DUMMYFUNCTION("TRANSPOSE(QUERY('Cadastro VTR/SEÇÃO/MILITAR'!$A$3:$B2000,""SELECT B WHERE A LIKE '""&amp;'carga de materiais'!D1156&amp;""'""))"),"#REF!")</f>
        <v>#REF!</v>
      </c>
    </row>
    <row r="1156">
      <c r="A1156" s="120" t="str">
        <f>IFERROR(__xludf.DUMMYFUNCTION("TRANSPOSE(QUERY('Cadastro VTR/SEÇÃO/MILITAR'!$A$3:$B2000,""SELECT B WHERE A LIKE '""&amp;'carga de materiais'!D1157&amp;""'""))"),"#REF!")</f>
        <v>#REF!</v>
      </c>
    </row>
    <row r="1157">
      <c r="A1157" s="120" t="str">
        <f>IFERROR(__xludf.DUMMYFUNCTION("TRANSPOSE(QUERY('Cadastro VTR/SEÇÃO/MILITAR'!$A$3:$B2000,""SELECT B WHERE A LIKE '""&amp;'carga de materiais'!D1158&amp;""'""))"),"#REF!")</f>
        <v>#REF!</v>
      </c>
    </row>
    <row r="1158">
      <c r="A1158" s="120" t="str">
        <f>IFERROR(__xludf.DUMMYFUNCTION("TRANSPOSE(QUERY('Cadastro VTR/SEÇÃO/MILITAR'!$A$3:$B2000,""SELECT B WHERE A LIKE '""&amp;'carga de materiais'!D1159&amp;""'""))"),"#REF!")</f>
        <v>#REF!</v>
      </c>
    </row>
    <row r="1159">
      <c r="A1159" s="120" t="str">
        <f>IFERROR(__xludf.DUMMYFUNCTION("TRANSPOSE(QUERY('Cadastro VTR/SEÇÃO/MILITAR'!$A$3:$B2000,""SELECT B WHERE A LIKE '""&amp;'carga de materiais'!D1160&amp;""'""))"),"#REF!")</f>
        <v>#REF!</v>
      </c>
    </row>
    <row r="1160">
      <c r="A1160" s="120" t="str">
        <f>IFERROR(__xludf.DUMMYFUNCTION("TRANSPOSE(QUERY('Cadastro VTR/SEÇÃO/MILITAR'!$A$3:$B2000,""SELECT B WHERE A LIKE '""&amp;'carga de materiais'!D1161&amp;""'""))"),"#REF!")</f>
        <v>#REF!</v>
      </c>
    </row>
    <row r="1161">
      <c r="A1161" s="120" t="str">
        <f>IFERROR(__xludf.DUMMYFUNCTION("TRANSPOSE(QUERY('Cadastro VTR/SEÇÃO/MILITAR'!$A$3:$B2000,""SELECT B WHERE A LIKE '""&amp;'carga de materiais'!D1162&amp;""'""))"),"#REF!")</f>
        <v>#REF!</v>
      </c>
    </row>
    <row r="1162">
      <c r="A1162" s="120" t="str">
        <f>IFERROR(__xludf.DUMMYFUNCTION("TRANSPOSE(QUERY('Cadastro VTR/SEÇÃO/MILITAR'!$A$3:$B2000,""SELECT B WHERE A LIKE '""&amp;'carga de materiais'!D1163&amp;""'""))"),"#REF!")</f>
        <v>#REF!</v>
      </c>
    </row>
    <row r="1163">
      <c r="A1163" s="120" t="str">
        <f>IFERROR(__xludf.DUMMYFUNCTION("TRANSPOSE(QUERY('Cadastro VTR/SEÇÃO/MILITAR'!$A$3:$B2000,""SELECT B WHERE A LIKE '""&amp;'carga de materiais'!D1164&amp;""'""))"),"#REF!")</f>
        <v>#REF!</v>
      </c>
    </row>
    <row r="1164">
      <c r="A1164" s="120" t="str">
        <f>IFERROR(__xludf.DUMMYFUNCTION("TRANSPOSE(QUERY('Cadastro VTR/SEÇÃO/MILITAR'!$A$3:$B2000,""SELECT B WHERE A LIKE '""&amp;'carga de materiais'!D1165&amp;""'""))"),"#REF!")</f>
        <v>#REF!</v>
      </c>
    </row>
    <row r="1165">
      <c r="A1165" s="120" t="str">
        <f>IFERROR(__xludf.DUMMYFUNCTION("TRANSPOSE(QUERY('Cadastro VTR/SEÇÃO/MILITAR'!$A$3:$B2000,""SELECT B WHERE A LIKE '""&amp;'carga de materiais'!D1166&amp;""'""))"),"#REF!")</f>
        <v>#REF!</v>
      </c>
    </row>
    <row r="1166">
      <c r="A1166" s="120" t="str">
        <f>IFERROR(__xludf.DUMMYFUNCTION("TRANSPOSE(QUERY('Cadastro VTR/SEÇÃO/MILITAR'!$A$3:$B2000,""SELECT B WHERE A LIKE '""&amp;'carga de materiais'!D1167&amp;""'""))"),"#REF!")</f>
        <v>#REF!</v>
      </c>
    </row>
    <row r="1167">
      <c r="A1167" s="120" t="str">
        <f>IFERROR(__xludf.DUMMYFUNCTION("TRANSPOSE(QUERY('Cadastro VTR/SEÇÃO/MILITAR'!$A$3:$B2000,""SELECT B WHERE A LIKE '""&amp;'carga de materiais'!D1168&amp;""'""))"),"#REF!")</f>
        <v>#REF!</v>
      </c>
    </row>
    <row r="1168">
      <c r="A1168" s="120" t="str">
        <f>IFERROR(__xludf.DUMMYFUNCTION("TRANSPOSE(QUERY('Cadastro VTR/SEÇÃO/MILITAR'!$A$3:$B2000,""SELECT B WHERE A LIKE '""&amp;'carga de materiais'!D1169&amp;""'""))"),"#REF!")</f>
        <v>#REF!</v>
      </c>
    </row>
    <row r="1169">
      <c r="A1169" s="120" t="str">
        <f>IFERROR(__xludf.DUMMYFUNCTION("TRANSPOSE(QUERY('Cadastro VTR/SEÇÃO/MILITAR'!$A$3:$B2000,""SELECT B WHERE A LIKE '""&amp;'carga de materiais'!D1170&amp;""'""))"),"#REF!")</f>
        <v>#REF!</v>
      </c>
    </row>
    <row r="1170">
      <c r="A1170" s="120" t="str">
        <f>IFERROR(__xludf.DUMMYFUNCTION("TRANSPOSE(QUERY('Cadastro VTR/SEÇÃO/MILITAR'!$A$3:$B2000,""SELECT B WHERE A LIKE '""&amp;'carga de materiais'!D1171&amp;""'""))"),"#REF!")</f>
        <v>#REF!</v>
      </c>
    </row>
    <row r="1171">
      <c r="A1171" s="120" t="str">
        <f>IFERROR(__xludf.DUMMYFUNCTION("TRANSPOSE(QUERY('Cadastro VTR/SEÇÃO/MILITAR'!$A$3:$B2000,""SELECT B WHERE A LIKE '""&amp;'carga de materiais'!D1172&amp;""'""))"),"#REF!")</f>
        <v>#REF!</v>
      </c>
    </row>
    <row r="1172">
      <c r="A1172" s="120" t="str">
        <f>IFERROR(__xludf.DUMMYFUNCTION("TRANSPOSE(QUERY('Cadastro VTR/SEÇÃO/MILITAR'!$A$3:$B2000,""SELECT B WHERE A LIKE '""&amp;'carga de materiais'!D1173&amp;""'""))"),"#REF!")</f>
        <v>#REF!</v>
      </c>
    </row>
    <row r="1173">
      <c r="A1173" s="120" t="str">
        <f>IFERROR(__xludf.DUMMYFUNCTION("TRANSPOSE(QUERY('Cadastro VTR/SEÇÃO/MILITAR'!$A$3:$B2000,""SELECT B WHERE A LIKE '""&amp;'carga de materiais'!D1174&amp;""'""))"),"#REF!")</f>
        <v>#REF!</v>
      </c>
    </row>
    <row r="1174">
      <c r="A1174" s="120" t="str">
        <f>IFERROR(__xludf.DUMMYFUNCTION("TRANSPOSE(QUERY('Cadastro VTR/SEÇÃO/MILITAR'!$A$3:$B2000,""SELECT B WHERE A LIKE '""&amp;'carga de materiais'!D1175&amp;""'""))"),"#REF!")</f>
        <v>#REF!</v>
      </c>
    </row>
    <row r="1175">
      <c r="A1175" s="120" t="str">
        <f>IFERROR(__xludf.DUMMYFUNCTION("TRANSPOSE(QUERY('Cadastro VTR/SEÇÃO/MILITAR'!$A$3:$B2000,""SELECT B WHERE A LIKE '""&amp;'carga de materiais'!D1176&amp;""'""))"),"#REF!")</f>
        <v>#REF!</v>
      </c>
    </row>
    <row r="1176">
      <c r="A1176" s="120" t="str">
        <f>IFERROR(__xludf.DUMMYFUNCTION("TRANSPOSE(QUERY('Cadastro VTR/SEÇÃO/MILITAR'!$A$3:$B2000,""SELECT B WHERE A LIKE '""&amp;'carga de materiais'!D1177&amp;""'""))"),"#REF!")</f>
        <v>#REF!</v>
      </c>
    </row>
    <row r="1177">
      <c r="A1177" s="120" t="str">
        <f>IFERROR(__xludf.DUMMYFUNCTION("TRANSPOSE(QUERY('Cadastro VTR/SEÇÃO/MILITAR'!$A$3:$B2000,""SELECT B WHERE A LIKE '""&amp;'carga de materiais'!D1178&amp;""'""))"),"#REF!")</f>
        <v>#REF!</v>
      </c>
    </row>
    <row r="1178">
      <c r="A1178" s="120" t="str">
        <f>IFERROR(__xludf.DUMMYFUNCTION("TRANSPOSE(QUERY('Cadastro VTR/SEÇÃO/MILITAR'!$A$3:$B2000,""SELECT B WHERE A LIKE '""&amp;'carga de materiais'!D1179&amp;""'""))"),"#REF!")</f>
        <v>#REF!</v>
      </c>
    </row>
    <row r="1179">
      <c r="A1179" s="120" t="str">
        <f>IFERROR(__xludf.DUMMYFUNCTION("TRANSPOSE(QUERY('Cadastro VTR/SEÇÃO/MILITAR'!$A$3:$B2000,""SELECT B WHERE A LIKE '""&amp;'carga de materiais'!D1180&amp;""'""))"),"#REF!")</f>
        <v>#REF!</v>
      </c>
    </row>
    <row r="1180">
      <c r="A1180" s="120" t="str">
        <f>IFERROR(__xludf.DUMMYFUNCTION("TRANSPOSE(QUERY('Cadastro VTR/SEÇÃO/MILITAR'!$A$3:$B2000,""SELECT B WHERE A LIKE '""&amp;'carga de materiais'!D1181&amp;""'""))"),"#REF!")</f>
        <v>#REF!</v>
      </c>
    </row>
    <row r="1181">
      <c r="A1181" s="120" t="str">
        <f>IFERROR(__xludf.DUMMYFUNCTION("TRANSPOSE(QUERY('Cadastro VTR/SEÇÃO/MILITAR'!$A$3:$B2000,""SELECT B WHERE A LIKE '""&amp;'carga de materiais'!D1182&amp;""'""))"),"#REF!")</f>
        <v>#REF!</v>
      </c>
    </row>
    <row r="1182">
      <c r="A1182" s="120" t="str">
        <f>IFERROR(__xludf.DUMMYFUNCTION("TRANSPOSE(QUERY('Cadastro VTR/SEÇÃO/MILITAR'!$A$3:$B2000,""SELECT B WHERE A LIKE '""&amp;'carga de materiais'!D1183&amp;""'""))"),"#REF!")</f>
        <v>#REF!</v>
      </c>
    </row>
    <row r="1183">
      <c r="A1183" s="120" t="str">
        <f>IFERROR(__xludf.DUMMYFUNCTION("TRANSPOSE(QUERY('Cadastro VTR/SEÇÃO/MILITAR'!$A$3:$B2000,""SELECT B WHERE A LIKE '""&amp;'carga de materiais'!D1184&amp;""'""))"),"#REF!")</f>
        <v>#REF!</v>
      </c>
    </row>
    <row r="1184">
      <c r="A1184" s="120" t="str">
        <f>IFERROR(__xludf.DUMMYFUNCTION("TRANSPOSE(QUERY('Cadastro VTR/SEÇÃO/MILITAR'!$A$3:$B2000,""SELECT B WHERE A LIKE '""&amp;'carga de materiais'!D1185&amp;""'""))"),"#REF!")</f>
        <v>#REF!</v>
      </c>
    </row>
    <row r="1185">
      <c r="A1185" s="120" t="str">
        <f>IFERROR(__xludf.DUMMYFUNCTION("TRANSPOSE(QUERY('Cadastro VTR/SEÇÃO/MILITAR'!$A$3:$B2000,""SELECT B WHERE A LIKE '""&amp;'carga de materiais'!D1186&amp;""'""))"),"#REF!")</f>
        <v>#REF!</v>
      </c>
    </row>
    <row r="1186">
      <c r="A1186" s="120" t="str">
        <f>IFERROR(__xludf.DUMMYFUNCTION("TRANSPOSE(QUERY('Cadastro VTR/SEÇÃO/MILITAR'!$A$3:$B2000,""SELECT B WHERE A LIKE '""&amp;'carga de materiais'!D1187&amp;""'""))"),"#REF!")</f>
        <v>#REF!</v>
      </c>
    </row>
    <row r="1187">
      <c r="A1187" s="120" t="str">
        <f>IFERROR(__xludf.DUMMYFUNCTION("TRANSPOSE(QUERY('Cadastro VTR/SEÇÃO/MILITAR'!$A$3:$B2000,""SELECT B WHERE A LIKE '""&amp;'carga de materiais'!D1188&amp;""'""))"),"#REF!")</f>
        <v>#REF!</v>
      </c>
    </row>
    <row r="1188">
      <c r="A1188" s="120" t="str">
        <f>IFERROR(__xludf.DUMMYFUNCTION("TRANSPOSE(QUERY('Cadastro VTR/SEÇÃO/MILITAR'!$A$3:$B2000,""SELECT B WHERE A LIKE '""&amp;'carga de materiais'!D1189&amp;""'""))"),"#REF!")</f>
        <v>#REF!</v>
      </c>
    </row>
    <row r="1189">
      <c r="A1189" s="120" t="str">
        <f>IFERROR(__xludf.DUMMYFUNCTION("TRANSPOSE(QUERY('Cadastro VTR/SEÇÃO/MILITAR'!$A$3:$B2000,""SELECT B WHERE A LIKE '""&amp;'carga de materiais'!D1190&amp;""'""))"),"#REF!")</f>
        <v>#REF!</v>
      </c>
    </row>
    <row r="1190">
      <c r="A1190" s="120" t="str">
        <f>IFERROR(__xludf.DUMMYFUNCTION("TRANSPOSE(QUERY('Cadastro VTR/SEÇÃO/MILITAR'!$A$3:$B2000,""SELECT B WHERE A LIKE '""&amp;'carga de materiais'!D1191&amp;""'""))"),"#REF!")</f>
        <v>#REF!</v>
      </c>
    </row>
    <row r="1191">
      <c r="A1191" s="120" t="str">
        <f>IFERROR(__xludf.DUMMYFUNCTION("TRANSPOSE(QUERY('Cadastro VTR/SEÇÃO/MILITAR'!$A$3:$B2000,""SELECT B WHERE A LIKE '""&amp;'carga de materiais'!D1192&amp;""'""))"),"#REF!")</f>
        <v>#REF!</v>
      </c>
    </row>
    <row r="1192">
      <c r="A1192" s="120" t="str">
        <f>IFERROR(__xludf.DUMMYFUNCTION("TRANSPOSE(QUERY('Cadastro VTR/SEÇÃO/MILITAR'!$A$3:$B2000,""SELECT B WHERE A LIKE '""&amp;'carga de materiais'!D1193&amp;""'""))"),"#REF!")</f>
        <v>#REF!</v>
      </c>
    </row>
    <row r="1193">
      <c r="A1193" s="120" t="str">
        <f>IFERROR(__xludf.DUMMYFUNCTION("TRANSPOSE(QUERY('Cadastro VTR/SEÇÃO/MILITAR'!$A$3:$B2000,""SELECT B WHERE A LIKE '""&amp;'carga de materiais'!D1194&amp;""'""))"),"#REF!")</f>
        <v>#REF!</v>
      </c>
    </row>
    <row r="1194">
      <c r="A1194" s="120" t="str">
        <f>IFERROR(__xludf.DUMMYFUNCTION("TRANSPOSE(QUERY('Cadastro VTR/SEÇÃO/MILITAR'!$A$3:$B2000,""SELECT B WHERE A LIKE '""&amp;'carga de materiais'!D1195&amp;""'""))"),"#REF!")</f>
        <v>#REF!</v>
      </c>
    </row>
    <row r="1195">
      <c r="A1195" s="120" t="str">
        <f>IFERROR(__xludf.DUMMYFUNCTION("TRANSPOSE(QUERY('Cadastro VTR/SEÇÃO/MILITAR'!$A$3:$B2000,""SELECT B WHERE A LIKE '""&amp;'carga de materiais'!D1196&amp;""'""))"),"#REF!")</f>
        <v>#REF!</v>
      </c>
    </row>
    <row r="1196">
      <c r="A1196" s="120" t="str">
        <f>IFERROR(__xludf.DUMMYFUNCTION("TRANSPOSE(QUERY('Cadastro VTR/SEÇÃO/MILITAR'!$A$3:$B2000,""SELECT B WHERE A LIKE '""&amp;'carga de materiais'!D1197&amp;""'""))"),"#REF!")</f>
        <v>#REF!</v>
      </c>
    </row>
    <row r="1197">
      <c r="A1197" s="120" t="str">
        <f>IFERROR(__xludf.DUMMYFUNCTION("TRANSPOSE(QUERY('Cadastro VTR/SEÇÃO/MILITAR'!$A$3:$B2000,""SELECT B WHERE A LIKE '""&amp;'carga de materiais'!D1198&amp;""'""))"),"#REF!")</f>
        <v>#REF!</v>
      </c>
    </row>
    <row r="1198">
      <c r="A1198" s="120" t="str">
        <f>IFERROR(__xludf.DUMMYFUNCTION("TRANSPOSE(QUERY('Cadastro VTR/SEÇÃO/MILITAR'!$A$3:$B2000,""SELECT B WHERE A LIKE '""&amp;'carga de materiais'!D1199&amp;""'""))"),"#REF!")</f>
        <v>#REF!</v>
      </c>
    </row>
    <row r="1199">
      <c r="A1199" s="120" t="str">
        <f>IFERROR(__xludf.DUMMYFUNCTION("TRANSPOSE(QUERY('Cadastro VTR/SEÇÃO/MILITAR'!$A$3:$B2000,""SELECT B WHERE A LIKE '""&amp;'carga de materiais'!D1200&amp;""'""))"),"#REF!")</f>
        <v>#REF!</v>
      </c>
    </row>
    <row r="1200">
      <c r="A1200" s="120" t="str">
        <f>IFERROR(__xludf.DUMMYFUNCTION("TRANSPOSE(QUERY('Cadastro VTR/SEÇÃO/MILITAR'!$A$3:$B2000,""SELECT B WHERE A LIKE '""&amp;'carga de materiais'!D1201&amp;""'""))"),"#REF!")</f>
        <v>#REF!</v>
      </c>
    </row>
    <row r="1201">
      <c r="A1201" s="120" t="str">
        <f>IFERROR(__xludf.DUMMYFUNCTION("TRANSPOSE(QUERY('Cadastro VTR/SEÇÃO/MILITAR'!$A$3:$B2000,""SELECT B WHERE A LIKE '""&amp;'carga de materiais'!D1202&amp;""'""))"),"#REF!")</f>
        <v>#REF!</v>
      </c>
    </row>
    <row r="1202">
      <c r="A1202" s="120" t="str">
        <f>IFERROR(__xludf.DUMMYFUNCTION("TRANSPOSE(QUERY('Cadastro VTR/SEÇÃO/MILITAR'!$A$3:$B2000,""SELECT B WHERE A LIKE '""&amp;'carga de materiais'!D1203&amp;""'""))"),"#REF!")</f>
        <v>#REF!</v>
      </c>
    </row>
    <row r="1203">
      <c r="A1203" s="120" t="str">
        <f>IFERROR(__xludf.DUMMYFUNCTION("TRANSPOSE(QUERY('Cadastro VTR/SEÇÃO/MILITAR'!$A$3:$B2000,""SELECT B WHERE A LIKE '""&amp;'carga de materiais'!D1204&amp;""'""))"),"#REF!")</f>
        <v>#REF!</v>
      </c>
    </row>
    <row r="1204">
      <c r="A1204" s="120" t="str">
        <f>IFERROR(__xludf.DUMMYFUNCTION("TRANSPOSE(QUERY('Cadastro VTR/SEÇÃO/MILITAR'!$A$3:$B2000,""SELECT B WHERE A LIKE '""&amp;'carga de materiais'!D1205&amp;""'""))"),"#REF!")</f>
        <v>#REF!</v>
      </c>
    </row>
    <row r="1205">
      <c r="A1205" s="120" t="str">
        <f>IFERROR(__xludf.DUMMYFUNCTION("TRANSPOSE(QUERY('Cadastro VTR/SEÇÃO/MILITAR'!$A$3:$B2000,""SELECT B WHERE A LIKE '""&amp;'carga de materiais'!D1206&amp;""'""))"),"#REF!")</f>
        <v>#REF!</v>
      </c>
    </row>
    <row r="1206">
      <c r="A1206" s="120" t="str">
        <f>IFERROR(__xludf.DUMMYFUNCTION("TRANSPOSE(QUERY('Cadastro VTR/SEÇÃO/MILITAR'!$A$3:$B2000,""SELECT B WHERE A LIKE '""&amp;'carga de materiais'!D1207&amp;""'""))"),"#REF!")</f>
        <v>#REF!</v>
      </c>
    </row>
    <row r="1207">
      <c r="A1207" s="120" t="str">
        <f>IFERROR(__xludf.DUMMYFUNCTION("TRANSPOSE(QUERY('Cadastro VTR/SEÇÃO/MILITAR'!$A$3:$B2000,""SELECT B WHERE A LIKE '""&amp;'carga de materiais'!D1208&amp;""'""))"),"#REF!")</f>
        <v>#REF!</v>
      </c>
    </row>
    <row r="1208">
      <c r="A1208" s="120" t="str">
        <f>IFERROR(__xludf.DUMMYFUNCTION("TRANSPOSE(QUERY('Cadastro VTR/SEÇÃO/MILITAR'!$A$3:$B2000,""SELECT B WHERE A LIKE '""&amp;'carga de materiais'!D1209&amp;""'""))"),"#REF!")</f>
        <v>#REF!</v>
      </c>
    </row>
    <row r="1209">
      <c r="A1209" s="120" t="str">
        <f>IFERROR(__xludf.DUMMYFUNCTION("TRANSPOSE(QUERY('Cadastro VTR/SEÇÃO/MILITAR'!$A$3:$B2000,""SELECT B WHERE A LIKE '""&amp;'carga de materiais'!D1210&amp;""'""))"),"#REF!")</f>
        <v>#REF!</v>
      </c>
    </row>
    <row r="1210">
      <c r="A1210" s="120" t="str">
        <f>IFERROR(__xludf.DUMMYFUNCTION("TRANSPOSE(QUERY('Cadastro VTR/SEÇÃO/MILITAR'!$A$3:$B2000,""SELECT B WHERE A LIKE '""&amp;'carga de materiais'!D1211&amp;""'""))"),"#REF!")</f>
        <v>#REF!</v>
      </c>
    </row>
    <row r="1211">
      <c r="A1211" s="120" t="str">
        <f>IFERROR(__xludf.DUMMYFUNCTION("TRANSPOSE(QUERY('Cadastro VTR/SEÇÃO/MILITAR'!$A$3:$B2000,""SELECT B WHERE A LIKE '""&amp;'carga de materiais'!D1212&amp;""'""))"),"#REF!")</f>
        <v>#REF!</v>
      </c>
    </row>
    <row r="1212">
      <c r="A1212" s="120" t="str">
        <f>IFERROR(__xludf.DUMMYFUNCTION("TRANSPOSE(QUERY('Cadastro VTR/SEÇÃO/MILITAR'!$A$3:$B2000,""SELECT B WHERE A LIKE '""&amp;'carga de materiais'!D1213&amp;""'""))"),"#REF!")</f>
        <v>#REF!</v>
      </c>
    </row>
    <row r="1213">
      <c r="A1213" s="120" t="str">
        <f>IFERROR(__xludf.DUMMYFUNCTION("TRANSPOSE(QUERY('Cadastro VTR/SEÇÃO/MILITAR'!$A$3:$B2000,""SELECT B WHERE A LIKE '""&amp;'carga de materiais'!D1214&amp;""'""))"),"#REF!")</f>
        <v>#REF!</v>
      </c>
    </row>
    <row r="1214">
      <c r="A1214" s="120" t="str">
        <f>IFERROR(__xludf.DUMMYFUNCTION("TRANSPOSE(QUERY('Cadastro VTR/SEÇÃO/MILITAR'!$A$3:$B2000,""SELECT B WHERE A LIKE '""&amp;'carga de materiais'!D1215&amp;""'""))"),"#REF!")</f>
        <v>#REF!</v>
      </c>
    </row>
    <row r="1215">
      <c r="A1215" s="120" t="str">
        <f>IFERROR(__xludf.DUMMYFUNCTION("TRANSPOSE(QUERY('Cadastro VTR/SEÇÃO/MILITAR'!$A$3:$B2000,""SELECT B WHERE A LIKE '""&amp;'carga de materiais'!D1216&amp;""'""))"),"#REF!")</f>
        <v>#REF!</v>
      </c>
    </row>
    <row r="1216">
      <c r="A1216" s="120" t="str">
        <f>IFERROR(__xludf.DUMMYFUNCTION("TRANSPOSE(QUERY('Cadastro VTR/SEÇÃO/MILITAR'!$A$3:$B2000,""SELECT B WHERE A LIKE '""&amp;'carga de materiais'!D1217&amp;""'""))"),"#REF!")</f>
        <v>#REF!</v>
      </c>
    </row>
    <row r="1217">
      <c r="A1217" s="120" t="str">
        <f>IFERROR(__xludf.DUMMYFUNCTION("TRANSPOSE(QUERY('Cadastro VTR/SEÇÃO/MILITAR'!$A$3:$B2000,""SELECT B WHERE A LIKE '""&amp;'carga de materiais'!D1218&amp;""'""))"),"#REF!")</f>
        <v>#REF!</v>
      </c>
    </row>
    <row r="1218">
      <c r="A1218" s="120" t="str">
        <f>IFERROR(__xludf.DUMMYFUNCTION("TRANSPOSE(QUERY('Cadastro VTR/SEÇÃO/MILITAR'!$A$3:$B2000,""SELECT B WHERE A LIKE '""&amp;'carga de materiais'!D1219&amp;""'""))"),"#REF!")</f>
        <v>#REF!</v>
      </c>
    </row>
    <row r="1219">
      <c r="A1219" s="120" t="str">
        <f>IFERROR(__xludf.DUMMYFUNCTION("TRANSPOSE(QUERY('Cadastro VTR/SEÇÃO/MILITAR'!$A$3:$B2000,""SELECT B WHERE A LIKE '""&amp;'carga de materiais'!D1220&amp;""'""))"),"#REF!")</f>
        <v>#REF!</v>
      </c>
    </row>
    <row r="1220">
      <c r="A1220" s="120" t="str">
        <f>IFERROR(__xludf.DUMMYFUNCTION("TRANSPOSE(QUERY('Cadastro VTR/SEÇÃO/MILITAR'!$A$3:$B2000,""SELECT B WHERE A LIKE '""&amp;'carga de materiais'!D1221&amp;""'""))"),"#REF!")</f>
        <v>#REF!</v>
      </c>
    </row>
    <row r="1221">
      <c r="A1221" s="120" t="str">
        <f>IFERROR(__xludf.DUMMYFUNCTION("TRANSPOSE(QUERY('Cadastro VTR/SEÇÃO/MILITAR'!$A$3:$B2000,""SELECT B WHERE A LIKE '""&amp;'carga de materiais'!D1222&amp;""'""))"),"#REF!")</f>
        <v>#REF!</v>
      </c>
    </row>
    <row r="1222">
      <c r="A1222" s="120" t="str">
        <f>IFERROR(__xludf.DUMMYFUNCTION("TRANSPOSE(QUERY('Cadastro VTR/SEÇÃO/MILITAR'!$A$3:$B2000,""SELECT B WHERE A LIKE '""&amp;'carga de materiais'!D1223&amp;""'""))"),"#REF!")</f>
        <v>#REF!</v>
      </c>
    </row>
    <row r="1223">
      <c r="A1223" s="120" t="str">
        <f>IFERROR(__xludf.DUMMYFUNCTION("TRANSPOSE(QUERY('Cadastro VTR/SEÇÃO/MILITAR'!$A$3:$B2000,""SELECT B WHERE A LIKE '""&amp;'carga de materiais'!D1224&amp;""'""))"),"#REF!")</f>
        <v>#REF!</v>
      </c>
    </row>
    <row r="1224">
      <c r="A1224" s="120" t="str">
        <f>IFERROR(__xludf.DUMMYFUNCTION("TRANSPOSE(QUERY('Cadastro VTR/SEÇÃO/MILITAR'!$A$3:$B2000,""SELECT B WHERE A LIKE '""&amp;'carga de materiais'!D1225&amp;""'""))"),"#REF!")</f>
        <v>#REF!</v>
      </c>
    </row>
    <row r="1225">
      <c r="A1225" s="120" t="str">
        <f>IFERROR(__xludf.DUMMYFUNCTION("TRANSPOSE(QUERY('Cadastro VTR/SEÇÃO/MILITAR'!$A$3:$B2000,""SELECT B WHERE A LIKE '""&amp;'carga de materiais'!D1226&amp;""'""))"),"#REF!")</f>
        <v>#REF!</v>
      </c>
    </row>
    <row r="1226">
      <c r="A1226" s="120" t="str">
        <f>IFERROR(__xludf.DUMMYFUNCTION("TRANSPOSE(QUERY('Cadastro VTR/SEÇÃO/MILITAR'!$A$3:$B2000,""SELECT B WHERE A LIKE '""&amp;'carga de materiais'!D1227&amp;""'""))"),"#REF!")</f>
        <v>#REF!</v>
      </c>
    </row>
    <row r="1227">
      <c r="A1227" s="120" t="str">
        <f>IFERROR(__xludf.DUMMYFUNCTION("TRANSPOSE(QUERY('Cadastro VTR/SEÇÃO/MILITAR'!$A$3:$B2000,""SELECT B WHERE A LIKE '""&amp;'carga de materiais'!D1228&amp;""'""))"),"#REF!")</f>
        <v>#REF!</v>
      </c>
    </row>
    <row r="1228">
      <c r="A1228" s="120" t="str">
        <f>IFERROR(__xludf.DUMMYFUNCTION("TRANSPOSE(QUERY('Cadastro VTR/SEÇÃO/MILITAR'!$A$3:$B2000,""SELECT B WHERE A LIKE '""&amp;'carga de materiais'!D1229&amp;""'""))"),"#REF!")</f>
        <v>#REF!</v>
      </c>
    </row>
    <row r="1229">
      <c r="A1229" s="120" t="str">
        <f>IFERROR(__xludf.DUMMYFUNCTION("TRANSPOSE(QUERY('Cadastro VTR/SEÇÃO/MILITAR'!$A$3:$B2000,""SELECT B WHERE A LIKE '""&amp;'carga de materiais'!D1230&amp;""'""))"),"#REF!")</f>
        <v>#REF!</v>
      </c>
    </row>
    <row r="1230">
      <c r="A1230" s="120" t="str">
        <f>IFERROR(__xludf.DUMMYFUNCTION("TRANSPOSE(QUERY('Cadastro VTR/SEÇÃO/MILITAR'!$A$3:$B2000,""SELECT B WHERE A LIKE '""&amp;'carga de materiais'!D1231&amp;""'""))"),"#REF!")</f>
        <v>#REF!</v>
      </c>
    </row>
    <row r="1231">
      <c r="A1231" s="120" t="str">
        <f>IFERROR(__xludf.DUMMYFUNCTION("TRANSPOSE(QUERY('Cadastro VTR/SEÇÃO/MILITAR'!$A$3:$B2000,""SELECT B WHERE A LIKE '""&amp;'carga de materiais'!D1232&amp;""'""))"),"#REF!")</f>
        <v>#REF!</v>
      </c>
    </row>
    <row r="1232">
      <c r="A1232" s="120" t="str">
        <f>IFERROR(__xludf.DUMMYFUNCTION("TRANSPOSE(QUERY('Cadastro VTR/SEÇÃO/MILITAR'!$A$3:$B2000,""SELECT B WHERE A LIKE '""&amp;'carga de materiais'!D1233&amp;""'""))"),"#REF!")</f>
        <v>#REF!</v>
      </c>
    </row>
    <row r="1233">
      <c r="A1233" s="120" t="str">
        <f>IFERROR(__xludf.DUMMYFUNCTION("TRANSPOSE(QUERY('Cadastro VTR/SEÇÃO/MILITAR'!$A$3:$B2000,""SELECT B WHERE A LIKE '""&amp;'carga de materiais'!D1234&amp;""'""))"),"#REF!")</f>
        <v>#REF!</v>
      </c>
    </row>
    <row r="1234">
      <c r="A1234" s="120" t="str">
        <f>IFERROR(__xludf.DUMMYFUNCTION("TRANSPOSE(QUERY('Cadastro VTR/SEÇÃO/MILITAR'!$A$3:$B2000,""SELECT B WHERE A LIKE '""&amp;'carga de materiais'!D1235&amp;""'""))"),"#REF!")</f>
        <v>#REF!</v>
      </c>
    </row>
    <row r="1235">
      <c r="A1235" s="120" t="str">
        <f>IFERROR(__xludf.DUMMYFUNCTION("TRANSPOSE(QUERY('Cadastro VTR/SEÇÃO/MILITAR'!$A$3:$B2000,""SELECT B WHERE A LIKE '""&amp;'carga de materiais'!D1236&amp;""'""))"),"#REF!")</f>
        <v>#REF!</v>
      </c>
    </row>
    <row r="1236">
      <c r="A1236" s="120" t="str">
        <f>IFERROR(__xludf.DUMMYFUNCTION("TRANSPOSE(QUERY('Cadastro VTR/SEÇÃO/MILITAR'!$A$3:$B2000,""SELECT B WHERE A LIKE '""&amp;'carga de materiais'!D1237&amp;""'""))"),"#REF!")</f>
        <v>#REF!</v>
      </c>
    </row>
    <row r="1237">
      <c r="A1237" s="120" t="str">
        <f>IFERROR(__xludf.DUMMYFUNCTION("TRANSPOSE(QUERY('Cadastro VTR/SEÇÃO/MILITAR'!$A$3:$B2000,""SELECT B WHERE A LIKE '""&amp;'carga de materiais'!D1238&amp;""'""))"),"#REF!")</f>
        <v>#REF!</v>
      </c>
    </row>
    <row r="1238">
      <c r="A1238" s="120" t="str">
        <f>IFERROR(__xludf.DUMMYFUNCTION("TRANSPOSE(QUERY('Cadastro VTR/SEÇÃO/MILITAR'!$A$3:$B2000,""SELECT B WHERE A LIKE '""&amp;'carga de materiais'!D1239&amp;""'""))"),"#REF!")</f>
        <v>#REF!</v>
      </c>
    </row>
    <row r="1239">
      <c r="A1239" s="120" t="str">
        <f>IFERROR(__xludf.DUMMYFUNCTION("TRANSPOSE(QUERY('Cadastro VTR/SEÇÃO/MILITAR'!$A$3:$B2000,""SELECT B WHERE A LIKE '""&amp;'carga de materiais'!D1240&amp;""'""))"),"#REF!")</f>
        <v>#REF!</v>
      </c>
    </row>
    <row r="1240">
      <c r="A1240" s="120" t="str">
        <f>IFERROR(__xludf.DUMMYFUNCTION("TRANSPOSE(QUERY('Cadastro VTR/SEÇÃO/MILITAR'!$A$3:$B2000,""SELECT B WHERE A LIKE '""&amp;'carga de materiais'!D1241&amp;""'""))"),"#REF!")</f>
        <v>#REF!</v>
      </c>
    </row>
    <row r="1241">
      <c r="A1241" s="120" t="str">
        <f>IFERROR(__xludf.DUMMYFUNCTION("TRANSPOSE(QUERY('Cadastro VTR/SEÇÃO/MILITAR'!$A$3:$B2000,""SELECT B WHERE A LIKE '""&amp;'carga de materiais'!D1242&amp;""'""))"),"#REF!")</f>
        <v>#REF!</v>
      </c>
    </row>
    <row r="1242">
      <c r="A1242" s="120" t="str">
        <f>IFERROR(__xludf.DUMMYFUNCTION("TRANSPOSE(QUERY('Cadastro VTR/SEÇÃO/MILITAR'!$A$3:$B2000,""SELECT B WHERE A LIKE '""&amp;'carga de materiais'!D1243&amp;""'""))"),"#REF!")</f>
        <v>#REF!</v>
      </c>
    </row>
    <row r="1243">
      <c r="A1243" s="120" t="str">
        <f>IFERROR(__xludf.DUMMYFUNCTION("TRANSPOSE(QUERY('Cadastro VTR/SEÇÃO/MILITAR'!$A$3:$B2000,""SELECT B WHERE A LIKE '""&amp;'carga de materiais'!D1244&amp;""'""))"),"#REF!")</f>
        <v>#REF!</v>
      </c>
    </row>
    <row r="1244">
      <c r="A1244" s="120" t="str">
        <f>IFERROR(__xludf.DUMMYFUNCTION("TRANSPOSE(QUERY('Cadastro VTR/SEÇÃO/MILITAR'!$A$3:$B2000,""SELECT B WHERE A LIKE '""&amp;'carga de materiais'!D1245&amp;""'""))"),"#REF!")</f>
        <v>#REF!</v>
      </c>
    </row>
    <row r="1245">
      <c r="A1245" s="120" t="str">
        <f>IFERROR(__xludf.DUMMYFUNCTION("TRANSPOSE(QUERY('Cadastro VTR/SEÇÃO/MILITAR'!$A$3:$B2000,""SELECT B WHERE A LIKE '""&amp;'carga de materiais'!D1246&amp;""'""))"),"#REF!")</f>
        <v>#REF!</v>
      </c>
    </row>
    <row r="1246">
      <c r="A1246" s="120" t="str">
        <f>IFERROR(__xludf.DUMMYFUNCTION("TRANSPOSE(QUERY('Cadastro VTR/SEÇÃO/MILITAR'!$A$3:$B2000,""SELECT B WHERE A LIKE '""&amp;'carga de materiais'!D1247&amp;""'""))"),"#REF!")</f>
        <v>#REF!</v>
      </c>
    </row>
    <row r="1247">
      <c r="A1247" s="120" t="str">
        <f>IFERROR(__xludf.DUMMYFUNCTION("TRANSPOSE(QUERY('Cadastro VTR/SEÇÃO/MILITAR'!$A$3:$B2000,""SELECT B WHERE A LIKE '""&amp;'carga de materiais'!D1248&amp;""'""))"),"#REF!")</f>
        <v>#REF!</v>
      </c>
    </row>
    <row r="1248">
      <c r="A1248" s="120" t="str">
        <f>IFERROR(__xludf.DUMMYFUNCTION("TRANSPOSE(QUERY('Cadastro VTR/SEÇÃO/MILITAR'!$A$3:$B2000,""SELECT B WHERE A LIKE '""&amp;'carga de materiais'!D1249&amp;""'""))"),"#REF!")</f>
        <v>#REF!</v>
      </c>
    </row>
    <row r="1249">
      <c r="A1249" s="120" t="str">
        <f>IFERROR(__xludf.DUMMYFUNCTION("TRANSPOSE(QUERY('Cadastro VTR/SEÇÃO/MILITAR'!$A$3:$B2000,""SELECT B WHERE A LIKE '""&amp;'carga de materiais'!D1250&amp;""'""))"),"#REF!")</f>
        <v>#REF!</v>
      </c>
    </row>
    <row r="1250">
      <c r="A1250" s="120" t="str">
        <f>IFERROR(__xludf.DUMMYFUNCTION("TRANSPOSE(QUERY('Cadastro VTR/SEÇÃO/MILITAR'!$A$3:$B2000,""SELECT B WHERE A LIKE '""&amp;'carga de materiais'!D1251&amp;""'""))"),"#REF!")</f>
        <v>#REF!</v>
      </c>
    </row>
    <row r="1251">
      <c r="A1251" s="120" t="str">
        <f>IFERROR(__xludf.DUMMYFUNCTION("TRANSPOSE(QUERY('Cadastro VTR/SEÇÃO/MILITAR'!$A$3:$B2000,""SELECT B WHERE A LIKE '""&amp;'carga de materiais'!D1252&amp;""'""))"),"#REF!")</f>
        <v>#REF!</v>
      </c>
    </row>
    <row r="1252">
      <c r="A1252" s="120" t="str">
        <f>IFERROR(__xludf.DUMMYFUNCTION("TRANSPOSE(QUERY('Cadastro VTR/SEÇÃO/MILITAR'!$A$3:$B2000,""SELECT B WHERE A LIKE '""&amp;'carga de materiais'!D1253&amp;""'""))"),"#REF!")</f>
        <v>#REF!</v>
      </c>
    </row>
    <row r="1253">
      <c r="A1253" s="120" t="str">
        <f>IFERROR(__xludf.DUMMYFUNCTION("TRANSPOSE(QUERY('Cadastro VTR/SEÇÃO/MILITAR'!$A$3:$B2000,""SELECT B WHERE A LIKE '""&amp;'carga de materiais'!D1254&amp;""'""))"),"#REF!")</f>
        <v>#REF!</v>
      </c>
    </row>
    <row r="1254">
      <c r="A1254" s="120" t="str">
        <f>IFERROR(__xludf.DUMMYFUNCTION("TRANSPOSE(QUERY('Cadastro VTR/SEÇÃO/MILITAR'!$A$3:$B2000,""SELECT B WHERE A LIKE '""&amp;'carga de materiais'!D1255&amp;""'""))"),"#REF!")</f>
        <v>#REF!</v>
      </c>
    </row>
    <row r="1255">
      <c r="A1255" s="120" t="str">
        <f>IFERROR(__xludf.DUMMYFUNCTION("TRANSPOSE(QUERY('Cadastro VTR/SEÇÃO/MILITAR'!$A$3:$B2000,""SELECT B WHERE A LIKE '""&amp;'carga de materiais'!D1256&amp;""'""))"),"#REF!")</f>
        <v>#REF!</v>
      </c>
    </row>
    <row r="1256">
      <c r="A1256" s="120" t="str">
        <f>IFERROR(__xludf.DUMMYFUNCTION("TRANSPOSE(QUERY('Cadastro VTR/SEÇÃO/MILITAR'!$A$3:$B2000,""SELECT B WHERE A LIKE '""&amp;'carga de materiais'!D1257&amp;""'""))"),"#REF!")</f>
        <v>#REF!</v>
      </c>
    </row>
    <row r="1257">
      <c r="A1257" s="120" t="str">
        <f>IFERROR(__xludf.DUMMYFUNCTION("TRANSPOSE(QUERY('Cadastro VTR/SEÇÃO/MILITAR'!$A$3:$B2000,""SELECT B WHERE A LIKE '""&amp;'carga de materiais'!D1258&amp;""'""))"),"#REF!")</f>
        <v>#REF!</v>
      </c>
    </row>
    <row r="1258">
      <c r="A1258" s="120" t="str">
        <f>IFERROR(__xludf.DUMMYFUNCTION("TRANSPOSE(QUERY('Cadastro VTR/SEÇÃO/MILITAR'!$A$3:$B2000,""SELECT B WHERE A LIKE '""&amp;'carga de materiais'!D1259&amp;""'""))"),"#REF!")</f>
        <v>#REF!</v>
      </c>
    </row>
    <row r="1259">
      <c r="A1259" s="120" t="str">
        <f>IFERROR(__xludf.DUMMYFUNCTION("TRANSPOSE(QUERY('Cadastro VTR/SEÇÃO/MILITAR'!$A$3:$B2000,""SELECT B WHERE A LIKE '""&amp;'carga de materiais'!D1260&amp;""'""))"),"#REF!")</f>
        <v>#REF!</v>
      </c>
    </row>
    <row r="1260">
      <c r="A1260" s="120" t="str">
        <f>IFERROR(__xludf.DUMMYFUNCTION("TRANSPOSE(QUERY('Cadastro VTR/SEÇÃO/MILITAR'!$A$3:$B2000,""SELECT B WHERE A LIKE '""&amp;'carga de materiais'!D1261&amp;""'""))"),"#REF!")</f>
        <v>#REF!</v>
      </c>
    </row>
    <row r="1261">
      <c r="A1261" s="120" t="str">
        <f>IFERROR(__xludf.DUMMYFUNCTION("TRANSPOSE(QUERY('Cadastro VTR/SEÇÃO/MILITAR'!$A$3:$B2000,""SELECT B WHERE A LIKE '""&amp;'carga de materiais'!D1262&amp;""'""))"),"#REF!")</f>
        <v>#REF!</v>
      </c>
    </row>
    <row r="1262">
      <c r="A1262" s="120" t="str">
        <f>IFERROR(__xludf.DUMMYFUNCTION("TRANSPOSE(QUERY('Cadastro VTR/SEÇÃO/MILITAR'!$A$3:$B2000,""SELECT B WHERE A LIKE '""&amp;'carga de materiais'!D1263&amp;""'""))"),"#REF!")</f>
        <v>#REF!</v>
      </c>
    </row>
    <row r="1263">
      <c r="A1263" s="120" t="str">
        <f>IFERROR(__xludf.DUMMYFUNCTION("TRANSPOSE(QUERY('Cadastro VTR/SEÇÃO/MILITAR'!$A$3:$B2000,""SELECT B WHERE A LIKE '""&amp;'carga de materiais'!D1264&amp;""'""))"),"#REF!")</f>
        <v>#REF!</v>
      </c>
    </row>
    <row r="1264">
      <c r="A1264" s="120" t="str">
        <f>IFERROR(__xludf.DUMMYFUNCTION("TRANSPOSE(QUERY('Cadastro VTR/SEÇÃO/MILITAR'!$A$3:$B2000,""SELECT B WHERE A LIKE '""&amp;'carga de materiais'!D1265&amp;""'""))"),"#REF!")</f>
        <v>#REF!</v>
      </c>
    </row>
    <row r="1265">
      <c r="A1265" s="120" t="str">
        <f>IFERROR(__xludf.DUMMYFUNCTION("TRANSPOSE(QUERY('Cadastro VTR/SEÇÃO/MILITAR'!$A$3:$B2000,""SELECT B WHERE A LIKE '""&amp;'carga de materiais'!D1266&amp;""'""))"),"#REF!")</f>
        <v>#REF!</v>
      </c>
    </row>
    <row r="1266">
      <c r="A1266" s="120" t="str">
        <f>IFERROR(__xludf.DUMMYFUNCTION("TRANSPOSE(QUERY('Cadastro VTR/SEÇÃO/MILITAR'!$A$3:$B2000,""SELECT B WHERE A LIKE '""&amp;'carga de materiais'!D1267&amp;""'""))"),"#REF!")</f>
        <v>#REF!</v>
      </c>
    </row>
    <row r="1267">
      <c r="A1267" s="120" t="str">
        <f>IFERROR(__xludf.DUMMYFUNCTION("TRANSPOSE(QUERY('Cadastro VTR/SEÇÃO/MILITAR'!$A$3:$B2000,""SELECT B WHERE A LIKE '""&amp;'carga de materiais'!D1268&amp;""'""))"),"#REF!")</f>
        <v>#REF!</v>
      </c>
    </row>
    <row r="1268">
      <c r="A1268" s="120" t="str">
        <f>IFERROR(__xludf.DUMMYFUNCTION("TRANSPOSE(QUERY('Cadastro VTR/SEÇÃO/MILITAR'!$A$3:$B2000,""SELECT B WHERE A LIKE '""&amp;'carga de materiais'!D1269&amp;""'""))"),"#REF!")</f>
        <v>#REF!</v>
      </c>
    </row>
    <row r="1269">
      <c r="A1269" s="120" t="str">
        <f>IFERROR(__xludf.DUMMYFUNCTION("TRANSPOSE(QUERY('Cadastro VTR/SEÇÃO/MILITAR'!$A$3:$B2000,""SELECT B WHERE A LIKE '""&amp;'carga de materiais'!D1270&amp;""'""))"),"#REF!")</f>
        <v>#REF!</v>
      </c>
    </row>
    <row r="1270">
      <c r="A1270" s="120" t="str">
        <f>IFERROR(__xludf.DUMMYFUNCTION("TRANSPOSE(QUERY('Cadastro VTR/SEÇÃO/MILITAR'!$A$3:$B2000,""SELECT B WHERE A LIKE '""&amp;'carga de materiais'!D1271&amp;""'""))"),"#REF!")</f>
        <v>#REF!</v>
      </c>
    </row>
    <row r="1271">
      <c r="A1271" s="120" t="str">
        <f>IFERROR(__xludf.DUMMYFUNCTION("TRANSPOSE(QUERY('Cadastro VTR/SEÇÃO/MILITAR'!$A$3:$B2000,""SELECT B WHERE A LIKE '""&amp;'carga de materiais'!D1272&amp;""'""))"),"#REF!")</f>
        <v>#REF!</v>
      </c>
    </row>
    <row r="1272">
      <c r="A1272" s="120" t="str">
        <f>IFERROR(__xludf.DUMMYFUNCTION("TRANSPOSE(QUERY('Cadastro VTR/SEÇÃO/MILITAR'!$A$3:$B2000,""SELECT B WHERE A LIKE '""&amp;'carga de materiais'!D1273&amp;""'""))"),"#REF!")</f>
        <v>#REF!</v>
      </c>
    </row>
    <row r="1273">
      <c r="A1273" s="120" t="str">
        <f>IFERROR(__xludf.DUMMYFUNCTION("TRANSPOSE(QUERY('Cadastro VTR/SEÇÃO/MILITAR'!$A$3:$B2000,""SELECT B WHERE A LIKE '""&amp;'carga de materiais'!D1274&amp;""'""))"),"#REF!")</f>
        <v>#REF!</v>
      </c>
    </row>
    <row r="1274">
      <c r="A1274" s="120" t="str">
        <f>IFERROR(__xludf.DUMMYFUNCTION("TRANSPOSE(QUERY('Cadastro VTR/SEÇÃO/MILITAR'!$A$3:$B2000,""SELECT B WHERE A LIKE '""&amp;'carga de materiais'!D1275&amp;""'""))"),"#REF!")</f>
        <v>#REF!</v>
      </c>
    </row>
    <row r="1275">
      <c r="A1275" s="120" t="str">
        <f>IFERROR(__xludf.DUMMYFUNCTION("TRANSPOSE(QUERY('Cadastro VTR/SEÇÃO/MILITAR'!$A$3:$B2000,""SELECT B WHERE A LIKE '""&amp;'carga de materiais'!D1276&amp;""'""))"),"#REF!")</f>
        <v>#REF!</v>
      </c>
    </row>
    <row r="1276">
      <c r="A1276" s="120" t="str">
        <f>IFERROR(__xludf.DUMMYFUNCTION("TRANSPOSE(QUERY('Cadastro VTR/SEÇÃO/MILITAR'!$A$3:$B2000,""SELECT B WHERE A LIKE '""&amp;'carga de materiais'!D1277&amp;""'""))"),"#REF!")</f>
        <v>#REF!</v>
      </c>
    </row>
    <row r="1277">
      <c r="A1277" s="120" t="str">
        <f>IFERROR(__xludf.DUMMYFUNCTION("TRANSPOSE(QUERY('Cadastro VTR/SEÇÃO/MILITAR'!$A$3:$B2000,""SELECT B WHERE A LIKE '""&amp;'carga de materiais'!D1278&amp;""'""))"),"#REF!")</f>
        <v>#REF!</v>
      </c>
    </row>
    <row r="1278">
      <c r="A1278" s="120" t="str">
        <f>IFERROR(__xludf.DUMMYFUNCTION("TRANSPOSE(QUERY('Cadastro VTR/SEÇÃO/MILITAR'!$A$3:$B2000,""SELECT B WHERE A LIKE '""&amp;'carga de materiais'!D1279&amp;""'""))"),"#REF!")</f>
        <v>#REF!</v>
      </c>
    </row>
    <row r="1279">
      <c r="A1279" s="120" t="str">
        <f>IFERROR(__xludf.DUMMYFUNCTION("TRANSPOSE(QUERY('Cadastro VTR/SEÇÃO/MILITAR'!$A$3:$B2000,""SELECT B WHERE A LIKE '""&amp;'carga de materiais'!D1280&amp;""'""))"),"#REF!")</f>
        <v>#REF!</v>
      </c>
    </row>
    <row r="1280">
      <c r="A1280" s="120" t="str">
        <f>IFERROR(__xludf.DUMMYFUNCTION("TRANSPOSE(QUERY('Cadastro VTR/SEÇÃO/MILITAR'!$A$3:$B2000,""SELECT B WHERE A LIKE '""&amp;'carga de materiais'!D1281&amp;""'""))"),"#REF!")</f>
        <v>#REF!</v>
      </c>
    </row>
    <row r="1281">
      <c r="A1281" s="120" t="str">
        <f>IFERROR(__xludf.DUMMYFUNCTION("TRANSPOSE(QUERY('Cadastro VTR/SEÇÃO/MILITAR'!$A$3:$B2000,""SELECT B WHERE A LIKE '""&amp;'carga de materiais'!D1282&amp;""'""))"),"#REF!")</f>
        <v>#REF!</v>
      </c>
    </row>
    <row r="1282">
      <c r="A1282" s="120" t="str">
        <f>IFERROR(__xludf.DUMMYFUNCTION("TRANSPOSE(QUERY('Cadastro VTR/SEÇÃO/MILITAR'!$A$3:$B2000,""SELECT B WHERE A LIKE '""&amp;'carga de materiais'!D1283&amp;""'""))"),"#REF!")</f>
        <v>#REF!</v>
      </c>
    </row>
    <row r="1283">
      <c r="A1283" s="120" t="str">
        <f>IFERROR(__xludf.DUMMYFUNCTION("TRANSPOSE(QUERY('Cadastro VTR/SEÇÃO/MILITAR'!$A$3:$B2000,""SELECT B WHERE A LIKE '""&amp;'carga de materiais'!D1284&amp;""'""))"),"#REF!")</f>
        <v>#REF!</v>
      </c>
    </row>
    <row r="1284">
      <c r="A1284" s="120" t="str">
        <f>IFERROR(__xludf.DUMMYFUNCTION("TRANSPOSE(QUERY('Cadastro VTR/SEÇÃO/MILITAR'!$A$3:$B2000,""SELECT B WHERE A LIKE '""&amp;'carga de materiais'!D1285&amp;""'""))"),"#REF!")</f>
        <v>#REF!</v>
      </c>
    </row>
    <row r="1285">
      <c r="A1285" s="120" t="str">
        <f>IFERROR(__xludf.DUMMYFUNCTION("TRANSPOSE(QUERY('Cadastro VTR/SEÇÃO/MILITAR'!$A$3:$B2000,""SELECT B WHERE A LIKE '""&amp;'carga de materiais'!D1286&amp;""'""))"),"#REF!")</f>
        <v>#REF!</v>
      </c>
    </row>
    <row r="1286">
      <c r="A1286" s="120" t="str">
        <f>IFERROR(__xludf.DUMMYFUNCTION("TRANSPOSE(QUERY('Cadastro VTR/SEÇÃO/MILITAR'!$A$3:$B2000,""SELECT B WHERE A LIKE '""&amp;'carga de materiais'!D1287&amp;""'""))"),"#REF!")</f>
        <v>#REF!</v>
      </c>
    </row>
    <row r="1287">
      <c r="A1287" s="120" t="str">
        <f>IFERROR(__xludf.DUMMYFUNCTION("TRANSPOSE(QUERY('Cadastro VTR/SEÇÃO/MILITAR'!$A$3:$B2000,""SELECT B WHERE A LIKE '""&amp;'carga de materiais'!D1288&amp;""'""))"),"#REF!")</f>
        <v>#REF!</v>
      </c>
    </row>
    <row r="1288">
      <c r="A1288" s="120" t="str">
        <f>IFERROR(__xludf.DUMMYFUNCTION("TRANSPOSE(QUERY('Cadastro VTR/SEÇÃO/MILITAR'!$A$3:$B2000,""SELECT B WHERE A LIKE '""&amp;'carga de materiais'!D1289&amp;""'""))"),"#REF!")</f>
        <v>#REF!</v>
      </c>
    </row>
    <row r="1289">
      <c r="A1289" s="120" t="str">
        <f>IFERROR(__xludf.DUMMYFUNCTION("TRANSPOSE(QUERY('Cadastro VTR/SEÇÃO/MILITAR'!$A$3:$B2000,""SELECT B WHERE A LIKE '""&amp;'carga de materiais'!D1290&amp;""'""))"),"#REF!")</f>
        <v>#REF!</v>
      </c>
    </row>
    <row r="1290">
      <c r="A1290" s="120" t="str">
        <f>IFERROR(__xludf.DUMMYFUNCTION("TRANSPOSE(QUERY('Cadastro VTR/SEÇÃO/MILITAR'!$A$3:$B2000,""SELECT B WHERE A LIKE '""&amp;'carga de materiais'!D1291&amp;""'""))"),"#REF!")</f>
        <v>#REF!</v>
      </c>
    </row>
    <row r="1291">
      <c r="A1291" s="120" t="str">
        <f>IFERROR(__xludf.DUMMYFUNCTION("TRANSPOSE(QUERY('Cadastro VTR/SEÇÃO/MILITAR'!$A$3:$B2000,""SELECT B WHERE A LIKE '""&amp;'carga de materiais'!D1292&amp;""'""))"),"#REF!")</f>
        <v>#REF!</v>
      </c>
    </row>
    <row r="1292">
      <c r="A1292" s="120" t="str">
        <f>IFERROR(__xludf.DUMMYFUNCTION("TRANSPOSE(QUERY('Cadastro VTR/SEÇÃO/MILITAR'!$A$3:$B2000,""SELECT B WHERE A LIKE '""&amp;'carga de materiais'!D1293&amp;""'""))"),"#REF!")</f>
        <v>#REF!</v>
      </c>
    </row>
    <row r="1293">
      <c r="A1293" s="120" t="str">
        <f>IFERROR(__xludf.DUMMYFUNCTION("TRANSPOSE(QUERY('Cadastro VTR/SEÇÃO/MILITAR'!$A$3:$B2000,""SELECT B WHERE A LIKE '""&amp;'carga de materiais'!D1294&amp;""'""))"),"#REF!")</f>
        <v>#REF!</v>
      </c>
    </row>
    <row r="1294">
      <c r="A1294" s="120" t="str">
        <f>IFERROR(__xludf.DUMMYFUNCTION("TRANSPOSE(QUERY('Cadastro VTR/SEÇÃO/MILITAR'!$A$3:$B2000,""SELECT B WHERE A LIKE '""&amp;'carga de materiais'!D1295&amp;""'""))"),"#REF!")</f>
        <v>#REF!</v>
      </c>
    </row>
    <row r="1295">
      <c r="A1295" s="120" t="str">
        <f>IFERROR(__xludf.DUMMYFUNCTION("TRANSPOSE(QUERY('Cadastro VTR/SEÇÃO/MILITAR'!$A$3:$B2000,""SELECT B WHERE A LIKE '""&amp;'carga de materiais'!D1296&amp;""'""))"),"#REF!")</f>
        <v>#REF!</v>
      </c>
    </row>
    <row r="1296">
      <c r="A1296" s="120" t="str">
        <f>IFERROR(__xludf.DUMMYFUNCTION("TRANSPOSE(QUERY('Cadastro VTR/SEÇÃO/MILITAR'!$A$3:$B2000,""SELECT B WHERE A LIKE '""&amp;'carga de materiais'!D1297&amp;""'""))"),"#REF!")</f>
        <v>#REF!</v>
      </c>
    </row>
    <row r="1297">
      <c r="A1297" s="120" t="str">
        <f>IFERROR(__xludf.DUMMYFUNCTION("TRANSPOSE(QUERY('Cadastro VTR/SEÇÃO/MILITAR'!$A$3:$B2000,""SELECT B WHERE A LIKE '""&amp;'carga de materiais'!D1298&amp;""'""))"),"#REF!")</f>
        <v>#REF!</v>
      </c>
    </row>
    <row r="1298">
      <c r="A1298" s="120" t="str">
        <f>IFERROR(__xludf.DUMMYFUNCTION("TRANSPOSE(QUERY('Cadastro VTR/SEÇÃO/MILITAR'!$A$3:$B2000,""SELECT B WHERE A LIKE '""&amp;'carga de materiais'!D1299&amp;""'""))"),"#REF!")</f>
        <v>#REF!</v>
      </c>
    </row>
    <row r="1299">
      <c r="A1299" s="120" t="str">
        <f>IFERROR(__xludf.DUMMYFUNCTION("TRANSPOSE(QUERY('Cadastro VTR/SEÇÃO/MILITAR'!$A$3:$B2000,""SELECT B WHERE A LIKE '""&amp;'carga de materiais'!D1300&amp;""'""))"),"#REF!")</f>
        <v>#REF!</v>
      </c>
    </row>
    <row r="1300">
      <c r="A1300" s="120" t="str">
        <f>IFERROR(__xludf.DUMMYFUNCTION("TRANSPOSE(QUERY('Cadastro VTR/SEÇÃO/MILITAR'!$A$3:$B2000,""SELECT B WHERE A LIKE '""&amp;'carga de materiais'!D1301&amp;""'""))"),"#REF!")</f>
        <v>#REF!</v>
      </c>
    </row>
    <row r="1301">
      <c r="A1301" s="120" t="str">
        <f>IFERROR(__xludf.DUMMYFUNCTION("TRANSPOSE(QUERY('Cadastro VTR/SEÇÃO/MILITAR'!$A$3:$B2000,""SELECT B WHERE A LIKE '""&amp;'carga de materiais'!D1302&amp;""'""))"),"#REF!")</f>
        <v>#REF!</v>
      </c>
    </row>
    <row r="1302">
      <c r="A1302" s="120" t="str">
        <f>IFERROR(__xludf.DUMMYFUNCTION("TRANSPOSE(QUERY('Cadastro VTR/SEÇÃO/MILITAR'!$A$3:$B2000,""SELECT B WHERE A LIKE '""&amp;'carga de materiais'!D1303&amp;""'""))"),"#REF!")</f>
        <v>#REF!</v>
      </c>
    </row>
    <row r="1303">
      <c r="A1303" s="120" t="str">
        <f>IFERROR(__xludf.DUMMYFUNCTION("TRANSPOSE(QUERY('Cadastro VTR/SEÇÃO/MILITAR'!$A$3:$B2000,""SELECT B WHERE A LIKE '""&amp;'carga de materiais'!D1304&amp;""'""))"),"#REF!")</f>
        <v>#REF!</v>
      </c>
    </row>
    <row r="1304">
      <c r="A1304" s="120" t="str">
        <f>IFERROR(__xludf.DUMMYFUNCTION("TRANSPOSE(QUERY('Cadastro VTR/SEÇÃO/MILITAR'!$A$3:$B2000,""SELECT B WHERE A LIKE '""&amp;'carga de materiais'!D1305&amp;""'""))"),"#REF!")</f>
        <v>#REF!</v>
      </c>
    </row>
    <row r="1305">
      <c r="A1305" s="120" t="str">
        <f>IFERROR(__xludf.DUMMYFUNCTION("TRANSPOSE(QUERY('Cadastro VTR/SEÇÃO/MILITAR'!$A$3:$B2000,""SELECT B WHERE A LIKE '""&amp;'carga de materiais'!D1306&amp;""'""))"),"#REF!")</f>
        <v>#REF!</v>
      </c>
    </row>
    <row r="1306">
      <c r="A1306" s="120" t="str">
        <f>IFERROR(__xludf.DUMMYFUNCTION("TRANSPOSE(QUERY('Cadastro VTR/SEÇÃO/MILITAR'!$A$3:$B2000,""SELECT B WHERE A LIKE '""&amp;'carga de materiais'!D1307&amp;""'""))"),"#REF!")</f>
        <v>#REF!</v>
      </c>
    </row>
    <row r="1307">
      <c r="A1307" s="120" t="str">
        <f>IFERROR(__xludf.DUMMYFUNCTION("TRANSPOSE(QUERY('Cadastro VTR/SEÇÃO/MILITAR'!$A$3:$B2000,""SELECT B WHERE A LIKE '""&amp;'carga de materiais'!D1308&amp;""'""))"),"#REF!")</f>
        <v>#REF!</v>
      </c>
    </row>
    <row r="1308">
      <c r="A1308" s="120" t="str">
        <f>IFERROR(__xludf.DUMMYFUNCTION("TRANSPOSE(QUERY('Cadastro VTR/SEÇÃO/MILITAR'!$A$3:$B2000,""SELECT B WHERE A LIKE '""&amp;'carga de materiais'!D1309&amp;""'""))"),"#REF!")</f>
        <v>#REF!</v>
      </c>
    </row>
    <row r="1309">
      <c r="A1309" s="120" t="str">
        <f>IFERROR(__xludf.DUMMYFUNCTION("TRANSPOSE(QUERY('Cadastro VTR/SEÇÃO/MILITAR'!$A$3:$B2000,""SELECT B WHERE A LIKE '""&amp;'carga de materiais'!D1310&amp;""'""))"),"#REF!")</f>
        <v>#REF!</v>
      </c>
    </row>
    <row r="1310">
      <c r="A1310" s="120" t="str">
        <f>IFERROR(__xludf.DUMMYFUNCTION("TRANSPOSE(QUERY('Cadastro VTR/SEÇÃO/MILITAR'!$A$3:$B2000,""SELECT B WHERE A LIKE '""&amp;'carga de materiais'!D1311&amp;""'""))"),"#REF!")</f>
        <v>#REF!</v>
      </c>
    </row>
    <row r="1311">
      <c r="A1311" s="120" t="str">
        <f>IFERROR(__xludf.DUMMYFUNCTION("TRANSPOSE(QUERY('Cadastro VTR/SEÇÃO/MILITAR'!$A$3:$B2000,""SELECT B WHERE A LIKE '""&amp;'carga de materiais'!D1312&amp;""'""))"),"#REF!")</f>
        <v>#REF!</v>
      </c>
    </row>
    <row r="1312">
      <c r="A1312" s="120" t="str">
        <f>IFERROR(__xludf.DUMMYFUNCTION("TRANSPOSE(QUERY('Cadastro VTR/SEÇÃO/MILITAR'!$A$3:$B2000,""SELECT B WHERE A LIKE '""&amp;'carga de materiais'!D1313&amp;""'""))"),"#REF!")</f>
        <v>#REF!</v>
      </c>
    </row>
    <row r="1313">
      <c r="A1313" s="120" t="str">
        <f>IFERROR(__xludf.DUMMYFUNCTION("TRANSPOSE(QUERY('Cadastro VTR/SEÇÃO/MILITAR'!$A$3:$B2000,""SELECT B WHERE A LIKE '""&amp;'carga de materiais'!D1314&amp;""'""))"),"#REF!")</f>
        <v>#REF!</v>
      </c>
    </row>
    <row r="1314">
      <c r="A1314" s="120" t="str">
        <f>IFERROR(__xludf.DUMMYFUNCTION("TRANSPOSE(QUERY('Cadastro VTR/SEÇÃO/MILITAR'!$A$3:$B2000,""SELECT B WHERE A LIKE '""&amp;'carga de materiais'!D1315&amp;""'""))"),"#REF!")</f>
        <v>#REF!</v>
      </c>
    </row>
    <row r="1315">
      <c r="A1315" s="120" t="str">
        <f>IFERROR(__xludf.DUMMYFUNCTION("TRANSPOSE(QUERY('Cadastro VTR/SEÇÃO/MILITAR'!$A$3:$B2000,""SELECT B WHERE A LIKE '""&amp;'carga de materiais'!D1316&amp;""'""))"),"#REF!")</f>
        <v>#REF!</v>
      </c>
    </row>
    <row r="1316">
      <c r="A1316" s="120" t="str">
        <f>IFERROR(__xludf.DUMMYFUNCTION("TRANSPOSE(QUERY('Cadastro VTR/SEÇÃO/MILITAR'!$A$3:$B2000,""SELECT B WHERE A LIKE '""&amp;'carga de materiais'!D1317&amp;""'""))"),"#REF!")</f>
        <v>#REF!</v>
      </c>
    </row>
    <row r="1317">
      <c r="A1317" s="120" t="str">
        <f>IFERROR(__xludf.DUMMYFUNCTION("TRANSPOSE(QUERY('Cadastro VTR/SEÇÃO/MILITAR'!$A$3:$B2000,""SELECT B WHERE A LIKE '""&amp;'carga de materiais'!D1318&amp;""'""))"),"#REF!")</f>
        <v>#REF!</v>
      </c>
    </row>
    <row r="1318">
      <c r="A1318" s="120" t="str">
        <f>IFERROR(__xludf.DUMMYFUNCTION("TRANSPOSE(QUERY('Cadastro VTR/SEÇÃO/MILITAR'!$A$3:$B2000,""SELECT B WHERE A LIKE '""&amp;'carga de materiais'!D1319&amp;""'""))"),"#REF!")</f>
        <v>#REF!</v>
      </c>
    </row>
    <row r="1319">
      <c r="A1319" s="120" t="str">
        <f>IFERROR(__xludf.DUMMYFUNCTION("TRANSPOSE(QUERY('Cadastro VTR/SEÇÃO/MILITAR'!$A$3:$B2000,""SELECT B WHERE A LIKE '""&amp;'carga de materiais'!D1320&amp;""'""))"),"#REF!")</f>
        <v>#REF!</v>
      </c>
    </row>
    <row r="1320">
      <c r="A1320" s="120" t="str">
        <f>IFERROR(__xludf.DUMMYFUNCTION("TRANSPOSE(QUERY('Cadastro VTR/SEÇÃO/MILITAR'!$A$3:$B2000,""SELECT B WHERE A LIKE '""&amp;'carga de materiais'!D1321&amp;""'""))"),"#REF!")</f>
        <v>#REF!</v>
      </c>
    </row>
    <row r="1321">
      <c r="A1321" s="120" t="str">
        <f>IFERROR(__xludf.DUMMYFUNCTION("TRANSPOSE(QUERY('Cadastro VTR/SEÇÃO/MILITAR'!$A$3:$B2000,""SELECT B WHERE A LIKE '""&amp;'carga de materiais'!D1322&amp;""'""))"),"#REF!")</f>
        <v>#REF!</v>
      </c>
    </row>
    <row r="1322">
      <c r="A1322" s="120" t="str">
        <f>IFERROR(__xludf.DUMMYFUNCTION("TRANSPOSE(QUERY('Cadastro VTR/SEÇÃO/MILITAR'!$A$3:$B2000,""SELECT B WHERE A LIKE '""&amp;'carga de materiais'!D1323&amp;""'""))"),"#REF!")</f>
        <v>#REF!</v>
      </c>
    </row>
    <row r="1323">
      <c r="A1323" s="120" t="str">
        <f>IFERROR(__xludf.DUMMYFUNCTION("TRANSPOSE(QUERY('Cadastro VTR/SEÇÃO/MILITAR'!$A$3:$B2000,""SELECT B WHERE A LIKE '""&amp;'carga de materiais'!D1324&amp;""'""))"),"#REF!")</f>
        <v>#REF!</v>
      </c>
    </row>
    <row r="1324">
      <c r="A1324" s="120" t="str">
        <f>IFERROR(__xludf.DUMMYFUNCTION("TRANSPOSE(QUERY('Cadastro VTR/SEÇÃO/MILITAR'!$A$3:$B2000,""SELECT B WHERE A LIKE '""&amp;'carga de materiais'!D1325&amp;""'""))"),"#REF!")</f>
        <v>#REF!</v>
      </c>
    </row>
    <row r="1325">
      <c r="A1325" s="120" t="str">
        <f>IFERROR(__xludf.DUMMYFUNCTION("TRANSPOSE(QUERY('Cadastro VTR/SEÇÃO/MILITAR'!$A$3:$B2000,""SELECT B WHERE A LIKE '""&amp;'carga de materiais'!D1326&amp;""'""))"),"#REF!")</f>
        <v>#REF!</v>
      </c>
    </row>
    <row r="1326">
      <c r="A1326" s="120" t="str">
        <f>IFERROR(__xludf.DUMMYFUNCTION("TRANSPOSE(QUERY('Cadastro VTR/SEÇÃO/MILITAR'!$A$3:$B2000,""SELECT B WHERE A LIKE '""&amp;'carga de materiais'!D1327&amp;""'""))"),"#REF!")</f>
        <v>#REF!</v>
      </c>
    </row>
    <row r="1327">
      <c r="A1327" s="120" t="str">
        <f>IFERROR(__xludf.DUMMYFUNCTION("TRANSPOSE(QUERY('Cadastro VTR/SEÇÃO/MILITAR'!$A$3:$B2000,""SELECT B WHERE A LIKE '""&amp;'carga de materiais'!D1328&amp;""'""))"),"#REF!")</f>
        <v>#REF!</v>
      </c>
    </row>
    <row r="1328">
      <c r="A1328" s="120" t="str">
        <f>IFERROR(__xludf.DUMMYFUNCTION("TRANSPOSE(QUERY('Cadastro VTR/SEÇÃO/MILITAR'!$A$3:$B2000,""SELECT B WHERE A LIKE '""&amp;'carga de materiais'!D1329&amp;""'""))"),"#REF!")</f>
        <v>#REF!</v>
      </c>
    </row>
    <row r="1329">
      <c r="A1329" s="120" t="str">
        <f>IFERROR(__xludf.DUMMYFUNCTION("TRANSPOSE(QUERY('Cadastro VTR/SEÇÃO/MILITAR'!$A$3:$B2000,""SELECT B WHERE A LIKE '""&amp;'carga de materiais'!D1330&amp;""'""))"),"#REF!")</f>
        <v>#REF!</v>
      </c>
    </row>
    <row r="1330">
      <c r="A1330" s="120" t="str">
        <f>IFERROR(__xludf.DUMMYFUNCTION("TRANSPOSE(QUERY('Cadastro VTR/SEÇÃO/MILITAR'!$A$3:$B2000,""SELECT B WHERE A LIKE '""&amp;'carga de materiais'!D1331&amp;""'""))"),"#REF!")</f>
        <v>#REF!</v>
      </c>
    </row>
    <row r="1331">
      <c r="A1331" s="120" t="str">
        <f>IFERROR(__xludf.DUMMYFUNCTION("TRANSPOSE(QUERY('Cadastro VTR/SEÇÃO/MILITAR'!$A$3:$B2000,""SELECT B WHERE A LIKE '""&amp;'carga de materiais'!D1332&amp;""'""))"),"#REF!")</f>
        <v>#REF!</v>
      </c>
    </row>
    <row r="1332">
      <c r="A1332" s="120" t="str">
        <f>IFERROR(__xludf.DUMMYFUNCTION("TRANSPOSE(QUERY('Cadastro VTR/SEÇÃO/MILITAR'!$A$3:$B2000,""SELECT B WHERE A LIKE '""&amp;'carga de materiais'!D1333&amp;""'""))"),"#REF!")</f>
        <v>#REF!</v>
      </c>
    </row>
    <row r="1333">
      <c r="A1333" s="120" t="str">
        <f>IFERROR(__xludf.DUMMYFUNCTION("TRANSPOSE(QUERY('Cadastro VTR/SEÇÃO/MILITAR'!$A$3:$B2000,""SELECT B WHERE A LIKE '""&amp;'carga de materiais'!D1334&amp;""'""))"),"#REF!")</f>
        <v>#REF!</v>
      </c>
    </row>
    <row r="1334">
      <c r="A1334" s="120" t="str">
        <f>IFERROR(__xludf.DUMMYFUNCTION("TRANSPOSE(QUERY('Cadastro VTR/SEÇÃO/MILITAR'!$A$3:$B2000,""SELECT B WHERE A LIKE '""&amp;'carga de materiais'!D1335&amp;""'""))"),"#REF!")</f>
        <v>#REF!</v>
      </c>
    </row>
    <row r="1335">
      <c r="A1335" s="120" t="str">
        <f>IFERROR(__xludf.DUMMYFUNCTION("TRANSPOSE(QUERY('Cadastro VTR/SEÇÃO/MILITAR'!$A$3:$B2000,""SELECT B WHERE A LIKE '""&amp;'carga de materiais'!D1336&amp;""'""))"),"#REF!")</f>
        <v>#REF!</v>
      </c>
    </row>
    <row r="1336">
      <c r="A1336" s="120" t="str">
        <f>IFERROR(__xludf.DUMMYFUNCTION("TRANSPOSE(QUERY('Cadastro VTR/SEÇÃO/MILITAR'!$A$3:$B2000,""SELECT B WHERE A LIKE '""&amp;'carga de materiais'!D1337&amp;""'""))"),"#REF!")</f>
        <v>#REF!</v>
      </c>
    </row>
    <row r="1337">
      <c r="A1337" s="120" t="str">
        <f>IFERROR(__xludf.DUMMYFUNCTION("TRANSPOSE(QUERY('Cadastro VTR/SEÇÃO/MILITAR'!$A$3:$B2000,""SELECT B WHERE A LIKE '""&amp;'carga de materiais'!D1338&amp;""'""))"),"#REF!")</f>
        <v>#REF!</v>
      </c>
    </row>
    <row r="1338">
      <c r="A1338" s="120" t="str">
        <f>IFERROR(__xludf.DUMMYFUNCTION("TRANSPOSE(QUERY('Cadastro VTR/SEÇÃO/MILITAR'!$A$3:$B2000,""SELECT B WHERE A LIKE '""&amp;'carga de materiais'!D1339&amp;""'""))"),"#REF!")</f>
        <v>#REF!</v>
      </c>
    </row>
    <row r="1339">
      <c r="A1339" s="120" t="str">
        <f>IFERROR(__xludf.DUMMYFUNCTION("TRANSPOSE(QUERY('Cadastro VTR/SEÇÃO/MILITAR'!$A$3:$B2000,""SELECT B WHERE A LIKE '""&amp;'carga de materiais'!D1340&amp;""'""))"),"#REF!")</f>
        <v>#REF!</v>
      </c>
    </row>
    <row r="1340">
      <c r="A1340" s="120" t="str">
        <f>IFERROR(__xludf.DUMMYFUNCTION("TRANSPOSE(QUERY('Cadastro VTR/SEÇÃO/MILITAR'!$A$3:$B2000,""SELECT B WHERE A LIKE '""&amp;'carga de materiais'!D1341&amp;""'""))"),"#REF!")</f>
        <v>#REF!</v>
      </c>
    </row>
    <row r="1341">
      <c r="A1341" s="120" t="str">
        <f>IFERROR(__xludf.DUMMYFUNCTION("TRANSPOSE(QUERY('Cadastro VTR/SEÇÃO/MILITAR'!$A$3:$B2000,""SELECT B WHERE A LIKE '""&amp;'carga de materiais'!D1342&amp;""'""))"),"#REF!")</f>
        <v>#REF!</v>
      </c>
    </row>
    <row r="1342">
      <c r="A1342" s="120" t="str">
        <f>IFERROR(__xludf.DUMMYFUNCTION("TRANSPOSE(QUERY('Cadastro VTR/SEÇÃO/MILITAR'!$A$3:$B2000,""SELECT B WHERE A LIKE '""&amp;'carga de materiais'!D1343&amp;""'""))"),"#REF!")</f>
        <v>#REF!</v>
      </c>
    </row>
    <row r="1343">
      <c r="A1343" s="120" t="str">
        <f>IFERROR(__xludf.DUMMYFUNCTION("TRANSPOSE(QUERY('Cadastro VTR/SEÇÃO/MILITAR'!$A$3:$B2000,""SELECT B WHERE A LIKE '""&amp;'carga de materiais'!D1344&amp;""'""))"),"#REF!")</f>
        <v>#REF!</v>
      </c>
    </row>
    <row r="1344">
      <c r="A1344" s="120" t="str">
        <f>IFERROR(__xludf.DUMMYFUNCTION("TRANSPOSE(QUERY('Cadastro VTR/SEÇÃO/MILITAR'!$A$3:$B2000,""SELECT B WHERE A LIKE '""&amp;'carga de materiais'!D1345&amp;""'""))"),"#REF!")</f>
        <v>#REF!</v>
      </c>
    </row>
    <row r="1345">
      <c r="A1345" s="120" t="str">
        <f>IFERROR(__xludf.DUMMYFUNCTION("TRANSPOSE(QUERY('Cadastro VTR/SEÇÃO/MILITAR'!$A$3:$B2000,""SELECT B WHERE A LIKE '""&amp;'carga de materiais'!D1346&amp;""'""))"),"#REF!")</f>
        <v>#REF!</v>
      </c>
    </row>
    <row r="1346">
      <c r="A1346" s="120" t="str">
        <f>IFERROR(__xludf.DUMMYFUNCTION("TRANSPOSE(QUERY('Cadastro VTR/SEÇÃO/MILITAR'!$A$3:$B2000,""SELECT B WHERE A LIKE '""&amp;'carga de materiais'!D1347&amp;""'""))"),"#REF!")</f>
        <v>#REF!</v>
      </c>
    </row>
    <row r="1347">
      <c r="A1347" s="120" t="str">
        <f>IFERROR(__xludf.DUMMYFUNCTION("TRANSPOSE(QUERY('Cadastro VTR/SEÇÃO/MILITAR'!$A$3:$B2000,""SELECT B WHERE A LIKE '""&amp;'carga de materiais'!D1348&amp;""'""))"),"#REF!")</f>
        <v>#REF!</v>
      </c>
    </row>
    <row r="1348">
      <c r="A1348" s="120" t="str">
        <f>IFERROR(__xludf.DUMMYFUNCTION("TRANSPOSE(QUERY('Cadastro VTR/SEÇÃO/MILITAR'!$A$3:$B2000,""SELECT B WHERE A LIKE '""&amp;'carga de materiais'!D1349&amp;""'""))"),"#REF!")</f>
        <v>#REF!</v>
      </c>
    </row>
    <row r="1349">
      <c r="A1349" s="120" t="str">
        <f>IFERROR(__xludf.DUMMYFUNCTION("TRANSPOSE(QUERY('Cadastro VTR/SEÇÃO/MILITAR'!$A$3:$B2000,""SELECT B WHERE A LIKE '""&amp;'carga de materiais'!D1350&amp;""'""))"),"#REF!")</f>
        <v>#REF!</v>
      </c>
    </row>
    <row r="1350">
      <c r="A1350" s="120" t="str">
        <f>IFERROR(__xludf.DUMMYFUNCTION("TRANSPOSE(QUERY('Cadastro VTR/SEÇÃO/MILITAR'!$A$3:$B2000,""SELECT B WHERE A LIKE '""&amp;'carga de materiais'!D1351&amp;""'""))"),"#REF!")</f>
        <v>#REF!</v>
      </c>
    </row>
    <row r="1351">
      <c r="A1351" s="120" t="str">
        <f>IFERROR(__xludf.DUMMYFUNCTION("TRANSPOSE(QUERY('Cadastro VTR/SEÇÃO/MILITAR'!$A$3:$B2000,""SELECT B WHERE A LIKE '""&amp;'carga de materiais'!D1352&amp;""'""))"),"#REF!")</f>
        <v>#REF!</v>
      </c>
    </row>
    <row r="1352">
      <c r="A1352" s="120" t="str">
        <f>IFERROR(__xludf.DUMMYFUNCTION("TRANSPOSE(QUERY('Cadastro VTR/SEÇÃO/MILITAR'!$A$3:$B2000,""SELECT B WHERE A LIKE '""&amp;'carga de materiais'!D1353&amp;""'""))"),"#REF!")</f>
        <v>#REF!</v>
      </c>
    </row>
    <row r="1353">
      <c r="A1353" s="120" t="str">
        <f>IFERROR(__xludf.DUMMYFUNCTION("TRANSPOSE(QUERY('Cadastro VTR/SEÇÃO/MILITAR'!$A$3:$B2000,""SELECT B WHERE A LIKE '""&amp;'carga de materiais'!D1354&amp;""'""))"),"#REF!")</f>
        <v>#REF!</v>
      </c>
    </row>
    <row r="1354">
      <c r="A1354" s="120" t="str">
        <f>IFERROR(__xludf.DUMMYFUNCTION("TRANSPOSE(QUERY('Cadastro VTR/SEÇÃO/MILITAR'!$A$3:$B2000,""SELECT B WHERE A LIKE '""&amp;'carga de materiais'!D1355&amp;""'""))"),"#REF!")</f>
        <v>#REF!</v>
      </c>
    </row>
    <row r="1355">
      <c r="A1355" s="120" t="str">
        <f>IFERROR(__xludf.DUMMYFUNCTION("TRANSPOSE(QUERY('Cadastro VTR/SEÇÃO/MILITAR'!$A$3:$B2000,""SELECT B WHERE A LIKE '""&amp;'carga de materiais'!D1356&amp;""'""))"),"#REF!")</f>
        <v>#REF!</v>
      </c>
    </row>
    <row r="1356">
      <c r="A1356" s="120" t="str">
        <f>IFERROR(__xludf.DUMMYFUNCTION("TRANSPOSE(QUERY('Cadastro VTR/SEÇÃO/MILITAR'!$A$3:$B2000,""SELECT B WHERE A LIKE '""&amp;'carga de materiais'!D1357&amp;""'""))"),"#REF!")</f>
        <v>#REF!</v>
      </c>
    </row>
    <row r="1357">
      <c r="A1357" s="120" t="str">
        <f>IFERROR(__xludf.DUMMYFUNCTION("TRANSPOSE(QUERY('Cadastro VTR/SEÇÃO/MILITAR'!$A$3:$B2000,""SELECT B WHERE A LIKE '""&amp;'carga de materiais'!D1358&amp;""'""))"),"#REF!")</f>
        <v>#REF!</v>
      </c>
    </row>
    <row r="1358">
      <c r="A1358" s="120" t="str">
        <f>IFERROR(__xludf.DUMMYFUNCTION("TRANSPOSE(QUERY('Cadastro VTR/SEÇÃO/MILITAR'!$A$3:$B2000,""SELECT B WHERE A LIKE '""&amp;'carga de materiais'!D1359&amp;""'""))"),"#REF!")</f>
        <v>#REF!</v>
      </c>
    </row>
    <row r="1359">
      <c r="A1359" s="120" t="str">
        <f>IFERROR(__xludf.DUMMYFUNCTION("TRANSPOSE(QUERY('Cadastro VTR/SEÇÃO/MILITAR'!$A$3:$B2000,""SELECT B WHERE A LIKE '""&amp;'carga de materiais'!D1360&amp;""'""))"),"#REF!")</f>
        <v>#REF!</v>
      </c>
    </row>
    <row r="1360">
      <c r="A1360" s="120" t="str">
        <f>IFERROR(__xludf.DUMMYFUNCTION("TRANSPOSE(QUERY('Cadastro VTR/SEÇÃO/MILITAR'!$A$3:$B2000,""SELECT B WHERE A LIKE '""&amp;'carga de materiais'!D1361&amp;""'""))"),"#REF!")</f>
        <v>#REF!</v>
      </c>
    </row>
    <row r="1361">
      <c r="A1361" s="120" t="str">
        <f>IFERROR(__xludf.DUMMYFUNCTION("TRANSPOSE(QUERY('Cadastro VTR/SEÇÃO/MILITAR'!$A$3:$B2000,""SELECT B WHERE A LIKE '""&amp;'carga de materiais'!D1362&amp;""'""))"),"#REF!")</f>
        <v>#REF!</v>
      </c>
    </row>
    <row r="1362">
      <c r="A1362" s="120" t="str">
        <f>IFERROR(__xludf.DUMMYFUNCTION("TRANSPOSE(QUERY('Cadastro VTR/SEÇÃO/MILITAR'!$A$3:$B2000,""SELECT B WHERE A LIKE '""&amp;'carga de materiais'!D1363&amp;""'""))"),"#REF!")</f>
        <v>#REF!</v>
      </c>
    </row>
    <row r="1363">
      <c r="A1363" s="120" t="str">
        <f>IFERROR(__xludf.DUMMYFUNCTION("TRANSPOSE(QUERY('Cadastro VTR/SEÇÃO/MILITAR'!$A$3:$B2000,""SELECT B WHERE A LIKE '""&amp;'carga de materiais'!D1364&amp;""'""))"),"#REF!")</f>
        <v>#REF!</v>
      </c>
    </row>
    <row r="1364">
      <c r="A1364" s="120" t="str">
        <f>IFERROR(__xludf.DUMMYFUNCTION("TRANSPOSE(QUERY('Cadastro VTR/SEÇÃO/MILITAR'!$A$3:$B2000,""SELECT B WHERE A LIKE '""&amp;'carga de materiais'!D1365&amp;""'""))"),"#REF!")</f>
        <v>#REF!</v>
      </c>
    </row>
    <row r="1365">
      <c r="A1365" s="120" t="str">
        <f>IFERROR(__xludf.DUMMYFUNCTION("TRANSPOSE(QUERY('Cadastro VTR/SEÇÃO/MILITAR'!$A$3:$B2000,""SELECT B WHERE A LIKE '""&amp;'carga de materiais'!D1366&amp;""'""))"),"#REF!")</f>
        <v>#REF!</v>
      </c>
    </row>
    <row r="1366">
      <c r="A1366" s="120" t="str">
        <f>IFERROR(__xludf.DUMMYFUNCTION("TRANSPOSE(QUERY('Cadastro VTR/SEÇÃO/MILITAR'!$A$3:$B2000,""SELECT B WHERE A LIKE '""&amp;'carga de materiais'!D1367&amp;""'""))"),"#REF!")</f>
        <v>#REF!</v>
      </c>
    </row>
    <row r="1367">
      <c r="A1367" s="120" t="str">
        <f>IFERROR(__xludf.DUMMYFUNCTION("TRANSPOSE(QUERY('Cadastro VTR/SEÇÃO/MILITAR'!$A$3:$B2000,""SELECT B WHERE A LIKE '""&amp;'carga de materiais'!D1368&amp;""'""))"),"#REF!")</f>
        <v>#REF!</v>
      </c>
    </row>
    <row r="1368">
      <c r="A1368" s="120" t="str">
        <f>IFERROR(__xludf.DUMMYFUNCTION("TRANSPOSE(QUERY('Cadastro VTR/SEÇÃO/MILITAR'!$A$3:$B2000,""SELECT B WHERE A LIKE '""&amp;'carga de materiais'!D1369&amp;""'""))"),"#REF!")</f>
        <v>#REF!</v>
      </c>
    </row>
    <row r="1369">
      <c r="A1369" s="120" t="str">
        <f>IFERROR(__xludf.DUMMYFUNCTION("TRANSPOSE(QUERY('Cadastro VTR/SEÇÃO/MILITAR'!$A$3:$B2000,""SELECT B WHERE A LIKE '""&amp;'carga de materiais'!D1370&amp;""'""))"),"#REF!")</f>
        <v>#REF!</v>
      </c>
    </row>
    <row r="1370">
      <c r="A1370" s="120" t="str">
        <f>IFERROR(__xludf.DUMMYFUNCTION("TRANSPOSE(QUERY('Cadastro VTR/SEÇÃO/MILITAR'!$A$3:$B2000,""SELECT B WHERE A LIKE '""&amp;'carga de materiais'!D1371&amp;""'""))"),"#REF!")</f>
        <v>#REF!</v>
      </c>
    </row>
    <row r="1371">
      <c r="A1371" s="120" t="str">
        <f>IFERROR(__xludf.DUMMYFUNCTION("TRANSPOSE(QUERY('Cadastro VTR/SEÇÃO/MILITAR'!$A$3:$B2000,""SELECT B WHERE A LIKE '""&amp;'carga de materiais'!D1372&amp;""'""))"),"#REF!")</f>
        <v>#REF!</v>
      </c>
    </row>
    <row r="1372">
      <c r="A1372" s="120" t="str">
        <f>IFERROR(__xludf.DUMMYFUNCTION("TRANSPOSE(QUERY('Cadastro VTR/SEÇÃO/MILITAR'!$A$3:$B2000,""SELECT B WHERE A LIKE '""&amp;'carga de materiais'!D1373&amp;""'""))"),"#REF!")</f>
        <v>#REF!</v>
      </c>
    </row>
    <row r="1373">
      <c r="A1373" s="120" t="str">
        <f>IFERROR(__xludf.DUMMYFUNCTION("TRANSPOSE(QUERY('Cadastro VTR/SEÇÃO/MILITAR'!$A$3:$B2000,""SELECT B WHERE A LIKE '""&amp;'carga de materiais'!D1374&amp;""'""))"),"#REF!")</f>
        <v>#REF!</v>
      </c>
    </row>
    <row r="1374">
      <c r="A1374" s="120" t="str">
        <f>IFERROR(__xludf.DUMMYFUNCTION("TRANSPOSE(QUERY('Cadastro VTR/SEÇÃO/MILITAR'!$A$3:$B2000,""SELECT B WHERE A LIKE '""&amp;'carga de materiais'!D1375&amp;""'""))"),"#REF!")</f>
        <v>#REF!</v>
      </c>
    </row>
    <row r="1375">
      <c r="A1375" s="120" t="str">
        <f>IFERROR(__xludf.DUMMYFUNCTION("TRANSPOSE(QUERY('Cadastro VTR/SEÇÃO/MILITAR'!$A$3:$B2000,""SELECT B WHERE A LIKE '""&amp;'carga de materiais'!D1376&amp;""'""))"),"#REF!")</f>
        <v>#REF!</v>
      </c>
    </row>
    <row r="1376">
      <c r="A1376" s="120" t="str">
        <f>IFERROR(__xludf.DUMMYFUNCTION("TRANSPOSE(QUERY('Cadastro VTR/SEÇÃO/MILITAR'!$A$3:$B2000,""SELECT B WHERE A LIKE '""&amp;'carga de materiais'!D1377&amp;""'""))"),"#REF!")</f>
        <v>#REF!</v>
      </c>
    </row>
    <row r="1377">
      <c r="A1377" s="120" t="str">
        <f>IFERROR(__xludf.DUMMYFUNCTION("TRANSPOSE(QUERY('Cadastro VTR/SEÇÃO/MILITAR'!$A$3:$B2000,""SELECT B WHERE A LIKE '""&amp;'carga de materiais'!D1378&amp;""'""))"),"#REF!")</f>
        <v>#REF!</v>
      </c>
    </row>
    <row r="1378">
      <c r="A1378" s="120" t="str">
        <f>IFERROR(__xludf.DUMMYFUNCTION("TRANSPOSE(QUERY('Cadastro VTR/SEÇÃO/MILITAR'!$A$3:$B2000,""SELECT B WHERE A LIKE '""&amp;'carga de materiais'!D1379&amp;""'""))"),"#REF!")</f>
        <v>#REF!</v>
      </c>
    </row>
    <row r="1379">
      <c r="A1379" s="120" t="str">
        <f>IFERROR(__xludf.DUMMYFUNCTION("TRANSPOSE(QUERY('Cadastro VTR/SEÇÃO/MILITAR'!$A$3:$B2000,""SELECT B WHERE A LIKE '""&amp;'carga de materiais'!D1380&amp;""'""))"),"#REF!")</f>
        <v>#REF!</v>
      </c>
    </row>
    <row r="1380">
      <c r="A1380" s="120" t="str">
        <f>IFERROR(__xludf.DUMMYFUNCTION("TRANSPOSE(QUERY('Cadastro VTR/SEÇÃO/MILITAR'!$A$3:$B2000,""SELECT B WHERE A LIKE '""&amp;'carga de materiais'!D1381&amp;""'""))"),"#REF!")</f>
        <v>#REF!</v>
      </c>
    </row>
    <row r="1381">
      <c r="A1381" s="120" t="str">
        <f>IFERROR(__xludf.DUMMYFUNCTION("TRANSPOSE(QUERY('Cadastro VTR/SEÇÃO/MILITAR'!$A$3:$B2000,""SELECT B WHERE A LIKE '""&amp;'carga de materiais'!D1382&amp;""'""))"),"#REF!")</f>
        <v>#REF!</v>
      </c>
    </row>
    <row r="1382">
      <c r="A1382" s="120" t="str">
        <f>IFERROR(__xludf.DUMMYFUNCTION("TRANSPOSE(QUERY('Cadastro VTR/SEÇÃO/MILITAR'!$A$3:$B2000,""SELECT B WHERE A LIKE '""&amp;'carga de materiais'!D1383&amp;""'""))"),"#REF!")</f>
        <v>#REF!</v>
      </c>
    </row>
    <row r="1383">
      <c r="A1383" s="120" t="str">
        <f>IFERROR(__xludf.DUMMYFUNCTION("TRANSPOSE(QUERY('Cadastro VTR/SEÇÃO/MILITAR'!$A$3:$B2000,""SELECT B WHERE A LIKE '""&amp;'carga de materiais'!D1384&amp;""'""))"),"#REF!")</f>
        <v>#REF!</v>
      </c>
    </row>
    <row r="1384">
      <c r="A1384" s="120" t="str">
        <f>IFERROR(__xludf.DUMMYFUNCTION("TRANSPOSE(QUERY('Cadastro VTR/SEÇÃO/MILITAR'!$A$3:$B2000,""SELECT B WHERE A LIKE '""&amp;'carga de materiais'!D1385&amp;""'""))"),"#REF!")</f>
        <v>#REF!</v>
      </c>
    </row>
    <row r="1385">
      <c r="A1385" s="120" t="str">
        <f>IFERROR(__xludf.DUMMYFUNCTION("TRANSPOSE(QUERY('Cadastro VTR/SEÇÃO/MILITAR'!$A$3:$B2000,""SELECT B WHERE A LIKE '""&amp;'carga de materiais'!D1386&amp;""'""))"),"#REF!")</f>
        <v>#REF!</v>
      </c>
    </row>
    <row r="1386">
      <c r="A1386" s="120" t="str">
        <f>IFERROR(__xludf.DUMMYFUNCTION("TRANSPOSE(QUERY('Cadastro VTR/SEÇÃO/MILITAR'!$A$3:$B2000,""SELECT B WHERE A LIKE '""&amp;'carga de materiais'!D1387&amp;""'""))"),"#REF!")</f>
        <v>#REF!</v>
      </c>
    </row>
    <row r="1387">
      <c r="A1387" s="120" t="str">
        <f>IFERROR(__xludf.DUMMYFUNCTION("TRANSPOSE(QUERY('Cadastro VTR/SEÇÃO/MILITAR'!$A$3:$B2000,""SELECT B WHERE A LIKE '""&amp;'carga de materiais'!D1388&amp;""'""))"),"#REF!")</f>
        <v>#REF!</v>
      </c>
    </row>
    <row r="1388">
      <c r="A1388" s="120" t="str">
        <f>IFERROR(__xludf.DUMMYFUNCTION("TRANSPOSE(QUERY('Cadastro VTR/SEÇÃO/MILITAR'!$A$3:$B2000,""SELECT B WHERE A LIKE '""&amp;'carga de materiais'!D1389&amp;""'""))"),"#REF!")</f>
        <v>#REF!</v>
      </c>
    </row>
    <row r="1389">
      <c r="A1389" s="120" t="str">
        <f>IFERROR(__xludf.DUMMYFUNCTION("TRANSPOSE(QUERY('Cadastro VTR/SEÇÃO/MILITAR'!$A$3:$B2000,""SELECT B WHERE A LIKE '""&amp;'carga de materiais'!D1390&amp;""'""))"),"#REF!")</f>
        <v>#REF!</v>
      </c>
    </row>
    <row r="1390">
      <c r="A1390" s="120" t="str">
        <f>IFERROR(__xludf.DUMMYFUNCTION("TRANSPOSE(QUERY('Cadastro VTR/SEÇÃO/MILITAR'!$A$3:$B2000,""SELECT B WHERE A LIKE '""&amp;'carga de materiais'!D1391&amp;""'""))"),"#REF!")</f>
        <v>#REF!</v>
      </c>
    </row>
    <row r="1391">
      <c r="A1391" s="120" t="str">
        <f>IFERROR(__xludf.DUMMYFUNCTION("TRANSPOSE(QUERY('Cadastro VTR/SEÇÃO/MILITAR'!$A$3:$B2000,""SELECT B WHERE A LIKE '""&amp;'carga de materiais'!D1392&amp;""'""))"),"#REF!")</f>
        <v>#REF!</v>
      </c>
    </row>
    <row r="1392">
      <c r="A1392" s="120" t="str">
        <f>IFERROR(__xludf.DUMMYFUNCTION("TRANSPOSE(QUERY('Cadastro VTR/SEÇÃO/MILITAR'!$A$3:$B2000,""SELECT B WHERE A LIKE '""&amp;'carga de materiais'!D1393&amp;""'""))"),"#REF!")</f>
        <v>#REF!</v>
      </c>
    </row>
    <row r="1393">
      <c r="A1393" s="120" t="str">
        <f>IFERROR(__xludf.DUMMYFUNCTION("TRANSPOSE(QUERY('Cadastro VTR/SEÇÃO/MILITAR'!$A$3:$B2000,""SELECT B WHERE A LIKE '""&amp;'carga de materiais'!D1394&amp;""'""))"),"#REF!")</f>
        <v>#REF!</v>
      </c>
    </row>
    <row r="1394">
      <c r="A1394" s="120" t="str">
        <f>IFERROR(__xludf.DUMMYFUNCTION("TRANSPOSE(QUERY('Cadastro VTR/SEÇÃO/MILITAR'!$A$3:$B2000,""SELECT B WHERE A LIKE '""&amp;'carga de materiais'!D1395&amp;""'""))"),"#REF!")</f>
        <v>#REF!</v>
      </c>
    </row>
    <row r="1395">
      <c r="A1395" s="120" t="str">
        <f>IFERROR(__xludf.DUMMYFUNCTION("TRANSPOSE(QUERY('Cadastro VTR/SEÇÃO/MILITAR'!$A$3:$B2000,""SELECT B WHERE A LIKE '""&amp;'carga de materiais'!D1396&amp;""'""))"),"#REF!")</f>
        <v>#REF!</v>
      </c>
    </row>
    <row r="1396">
      <c r="A1396" s="120" t="str">
        <f>IFERROR(__xludf.DUMMYFUNCTION("TRANSPOSE(QUERY('Cadastro VTR/SEÇÃO/MILITAR'!$A$3:$B2000,""SELECT B WHERE A LIKE '""&amp;'carga de materiais'!D1397&amp;""'""))"),"#REF!")</f>
        <v>#REF!</v>
      </c>
    </row>
    <row r="1397">
      <c r="A1397" s="120" t="str">
        <f>IFERROR(__xludf.DUMMYFUNCTION("TRANSPOSE(QUERY('Cadastro VTR/SEÇÃO/MILITAR'!$A$3:$B2000,""SELECT B WHERE A LIKE '""&amp;'carga de materiais'!D1398&amp;""'""))"),"#REF!")</f>
        <v>#REF!</v>
      </c>
    </row>
    <row r="1398">
      <c r="A1398" s="120" t="str">
        <f>IFERROR(__xludf.DUMMYFUNCTION("TRANSPOSE(QUERY('Cadastro VTR/SEÇÃO/MILITAR'!$A$3:$B2000,""SELECT B WHERE A LIKE '""&amp;'carga de materiais'!D1399&amp;""'""))"),"#REF!")</f>
        <v>#REF!</v>
      </c>
    </row>
    <row r="1399">
      <c r="A1399" s="120" t="str">
        <f>IFERROR(__xludf.DUMMYFUNCTION("TRANSPOSE(QUERY('Cadastro VTR/SEÇÃO/MILITAR'!$A$3:$B2000,""SELECT B WHERE A LIKE '""&amp;'carga de materiais'!D1400&amp;""'""))"),"#REF!")</f>
        <v>#REF!</v>
      </c>
    </row>
    <row r="1400">
      <c r="A1400" s="120" t="str">
        <f>IFERROR(__xludf.DUMMYFUNCTION("TRANSPOSE(QUERY('Cadastro VTR/SEÇÃO/MILITAR'!$A$3:$B2000,""SELECT B WHERE A LIKE '""&amp;'carga de materiais'!D1401&amp;""'""))"),"#REF!")</f>
        <v>#REF!</v>
      </c>
    </row>
    <row r="1401">
      <c r="A1401" s="120" t="str">
        <f>IFERROR(__xludf.DUMMYFUNCTION("TRANSPOSE(QUERY('Cadastro VTR/SEÇÃO/MILITAR'!$A$3:$B2000,""SELECT B WHERE A LIKE '""&amp;'carga de materiais'!D1402&amp;""'""))"),"#REF!")</f>
        <v>#REF!</v>
      </c>
    </row>
    <row r="1402">
      <c r="A1402" s="120" t="str">
        <f>IFERROR(__xludf.DUMMYFUNCTION("TRANSPOSE(QUERY('Cadastro VTR/SEÇÃO/MILITAR'!$A$3:$B2000,""SELECT B WHERE A LIKE '""&amp;'carga de materiais'!D1403&amp;""'""))"),"#REF!")</f>
        <v>#REF!</v>
      </c>
    </row>
    <row r="1403">
      <c r="A1403" s="120" t="str">
        <f>IFERROR(__xludf.DUMMYFUNCTION("TRANSPOSE(QUERY('Cadastro VTR/SEÇÃO/MILITAR'!$A$3:$B2000,""SELECT B WHERE A LIKE '""&amp;'carga de materiais'!D1404&amp;""'""))"),"#REF!")</f>
        <v>#REF!</v>
      </c>
    </row>
    <row r="1404">
      <c r="A1404" s="120" t="str">
        <f>IFERROR(__xludf.DUMMYFUNCTION("TRANSPOSE(QUERY('Cadastro VTR/SEÇÃO/MILITAR'!$A$3:$B2000,""SELECT B WHERE A LIKE '""&amp;'carga de materiais'!D1405&amp;""'""))"),"#REF!")</f>
        <v>#REF!</v>
      </c>
    </row>
    <row r="1405">
      <c r="A1405" s="120" t="str">
        <f>IFERROR(__xludf.DUMMYFUNCTION("TRANSPOSE(QUERY('Cadastro VTR/SEÇÃO/MILITAR'!$A$3:$B2000,""SELECT B WHERE A LIKE '""&amp;'carga de materiais'!D1406&amp;""'""))"),"#REF!")</f>
        <v>#REF!</v>
      </c>
    </row>
    <row r="1406">
      <c r="A1406" s="120" t="str">
        <f>IFERROR(__xludf.DUMMYFUNCTION("TRANSPOSE(QUERY('Cadastro VTR/SEÇÃO/MILITAR'!$A$3:$B2000,""SELECT B WHERE A LIKE '""&amp;'carga de materiais'!D1407&amp;""'""))"),"#REF!")</f>
        <v>#REF!</v>
      </c>
    </row>
    <row r="1407">
      <c r="A1407" s="120" t="str">
        <f>IFERROR(__xludf.DUMMYFUNCTION("TRANSPOSE(QUERY('Cadastro VTR/SEÇÃO/MILITAR'!$A$3:$B2000,""SELECT B WHERE A LIKE '""&amp;'carga de materiais'!D1408&amp;""'""))"),"#REF!")</f>
        <v>#REF!</v>
      </c>
    </row>
    <row r="1408">
      <c r="A1408" s="120" t="str">
        <f>IFERROR(__xludf.DUMMYFUNCTION("TRANSPOSE(QUERY('Cadastro VTR/SEÇÃO/MILITAR'!$A$3:$B2000,""SELECT B WHERE A LIKE '""&amp;'carga de materiais'!D1409&amp;""'""))"),"#REF!")</f>
        <v>#REF!</v>
      </c>
    </row>
    <row r="1409">
      <c r="A1409" s="120" t="str">
        <f>IFERROR(__xludf.DUMMYFUNCTION("TRANSPOSE(QUERY('Cadastro VTR/SEÇÃO/MILITAR'!$A$3:$B2000,""SELECT B WHERE A LIKE '""&amp;'carga de materiais'!D1410&amp;""'""))"),"#REF!")</f>
        <v>#REF!</v>
      </c>
    </row>
    <row r="1410">
      <c r="A1410" s="120" t="str">
        <f>IFERROR(__xludf.DUMMYFUNCTION("TRANSPOSE(QUERY('Cadastro VTR/SEÇÃO/MILITAR'!$A$3:$B2000,""SELECT B WHERE A LIKE '""&amp;'carga de materiais'!D1411&amp;""'""))"),"#REF!")</f>
        <v>#REF!</v>
      </c>
    </row>
    <row r="1411">
      <c r="A1411" s="120" t="str">
        <f>IFERROR(__xludf.DUMMYFUNCTION("TRANSPOSE(QUERY('Cadastro VTR/SEÇÃO/MILITAR'!$A$3:$B2000,""SELECT B WHERE A LIKE '""&amp;'carga de materiais'!D1412&amp;""'""))"),"#REF!")</f>
        <v>#REF!</v>
      </c>
    </row>
    <row r="1412">
      <c r="A1412" s="120" t="str">
        <f>IFERROR(__xludf.DUMMYFUNCTION("TRANSPOSE(QUERY('Cadastro VTR/SEÇÃO/MILITAR'!$A$3:$B2000,""SELECT B WHERE A LIKE '""&amp;'carga de materiais'!D1413&amp;""'""))"),"#REF!")</f>
        <v>#REF!</v>
      </c>
    </row>
    <row r="1413">
      <c r="A1413" s="120" t="str">
        <f>IFERROR(__xludf.DUMMYFUNCTION("TRANSPOSE(QUERY('Cadastro VTR/SEÇÃO/MILITAR'!$A$3:$B2000,""SELECT B WHERE A LIKE '""&amp;'carga de materiais'!D1414&amp;""'""))"),"#REF!")</f>
        <v>#REF!</v>
      </c>
    </row>
    <row r="1414">
      <c r="A1414" s="120" t="str">
        <f>IFERROR(__xludf.DUMMYFUNCTION("TRANSPOSE(QUERY('Cadastro VTR/SEÇÃO/MILITAR'!$A$3:$B2000,""SELECT B WHERE A LIKE '""&amp;'carga de materiais'!D1415&amp;""'""))"),"#REF!")</f>
        <v>#REF!</v>
      </c>
    </row>
    <row r="1415">
      <c r="A1415" s="120" t="str">
        <f>IFERROR(__xludf.DUMMYFUNCTION("TRANSPOSE(QUERY('Cadastro VTR/SEÇÃO/MILITAR'!$A$3:$B2000,""SELECT B WHERE A LIKE '""&amp;'carga de materiais'!D1416&amp;""'""))"),"#REF!")</f>
        <v>#REF!</v>
      </c>
    </row>
    <row r="1416">
      <c r="A1416" s="120" t="str">
        <f>IFERROR(__xludf.DUMMYFUNCTION("TRANSPOSE(QUERY('Cadastro VTR/SEÇÃO/MILITAR'!$A$3:$B2000,""SELECT B WHERE A LIKE '""&amp;'carga de materiais'!D1417&amp;""'""))"),"#REF!")</f>
        <v>#REF!</v>
      </c>
    </row>
    <row r="1417">
      <c r="A1417" s="120" t="str">
        <f>IFERROR(__xludf.DUMMYFUNCTION("TRANSPOSE(QUERY('Cadastro VTR/SEÇÃO/MILITAR'!$A$3:$B2000,""SELECT B WHERE A LIKE '""&amp;'carga de materiais'!D1418&amp;""'""))"),"#REF!")</f>
        <v>#REF!</v>
      </c>
    </row>
    <row r="1418">
      <c r="A1418" s="120" t="str">
        <f>IFERROR(__xludf.DUMMYFUNCTION("TRANSPOSE(QUERY('Cadastro VTR/SEÇÃO/MILITAR'!$A$3:$B2000,""SELECT B WHERE A LIKE '""&amp;'carga de materiais'!D1419&amp;""'""))"),"#REF!")</f>
        <v>#REF!</v>
      </c>
    </row>
    <row r="1419">
      <c r="A1419" s="120" t="str">
        <f>IFERROR(__xludf.DUMMYFUNCTION("TRANSPOSE(QUERY('Cadastro VTR/SEÇÃO/MILITAR'!$A$3:$B2000,""SELECT B WHERE A LIKE '""&amp;'carga de materiais'!D1420&amp;""'""))"),"#REF!")</f>
        <v>#REF!</v>
      </c>
    </row>
    <row r="1420">
      <c r="A1420" s="120" t="str">
        <f>IFERROR(__xludf.DUMMYFUNCTION("TRANSPOSE(QUERY('Cadastro VTR/SEÇÃO/MILITAR'!$A$3:$B2000,""SELECT B WHERE A LIKE '""&amp;'carga de materiais'!D1421&amp;""'""))"),"#REF!")</f>
        <v>#REF!</v>
      </c>
    </row>
    <row r="1421">
      <c r="A1421" s="120" t="str">
        <f>IFERROR(__xludf.DUMMYFUNCTION("TRANSPOSE(QUERY('Cadastro VTR/SEÇÃO/MILITAR'!$A$3:$B2000,""SELECT B WHERE A LIKE '""&amp;'carga de materiais'!D1422&amp;""'""))"),"#REF!")</f>
        <v>#REF!</v>
      </c>
    </row>
    <row r="1422">
      <c r="A1422" s="120" t="str">
        <f>IFERROR(__xludf.DUMMYFUNCTION("TRANSPOSE(QUERY('Cadastro VTR/SEÇÃO/MILITAR'!$A$3:$B2000,""SELECT B WHERE A LIKE '""&amp;'carga de materiais'!D1423&amp;""'""))"),"#REF!")</f>
        <v>#REF!</v>
      </c>
    </row>
    <row r="1423">
      <c r="A1423" s="120" t="str">
        <f>IFERROR(__xludf.DUMMYFUNCTION("TRANSPOSE(QUERY('Cadastro VTR/SEÇÃO/MILITAR'!$A$3:$B2000,""SELECT B WHERE A LIKE '""&amp;'carga de materiais'!D1424&amp;""'""))"),"#REF!")</f>
        <v>#REF!</v>
      </c>
    </row>
    <row r="1424">
      <c r="A1424" s="120" t="str">
        <f>IFERROR(__xludf.DUMMYFUNCTION("TRANSPOSE(QUERY('Cadastro VTR/SEÇÃO/MILITAR'!$A$3:$B2000,""SELECT B WHERE A LIKE '""&amp;'carga de materiais'!D1425&amp;""'""))"),"#REF!")</f>
        <v>#REF!</v>
      </c>
    </row>
    <row r="1425">
      <c r="A1425" s="120" t="str">
        <f>IFERROR(__xludf.DUMMYFUNCTION("TRANSPOSE(QUERY('Cadastro VTR/SEÇÃO/MILITAR'!$A$3:$B2000,""SELECT B WHERE A LIKE '""&amp;'carga de materiais'!D1426&amp;""'""))"),"#REF!")</f>
        <v>#REF!</v>
      </c>
    </row>
    <row r="1426">
      <c r="A1426" s="120" t="str">
        <f>IFERROR(__xludf.DUMMYFUNCTION("TRANSPOSE(QUERY('Cadastro VTR/SEÇÃO/MILITAR'!$A$3:$B2000,""SELECT B WHERE A LIKE '""&amp;'carga de materiais'!D1427&amp;""'""))"),"#REF!")</f>
        <v>#REF!</v>
      </c>
    </row>
    <row r="1427">
      <c r="A1427" s="120" t="str">
        <f>IFERROR(__xludf.DUMMYFUNCTION("TRANSPOSE(QUERY('Cadastro VTR/SEÇÃO/MILITAR'!$A$3:$B2000,""SELECT B WHERE A LIKE '""&amp;'carga de materiais'!D1428&amp;""'""))"),"#REF!")</f>
        <v>#REF!</v>
      </c>
    </row>
    <row r="1428">
      <c r="A1428" s="120" t="str">
        <f>IFERROR(__xludf.DUMMYFUNCTION("TRANSPOSE(QUERY('Cadastro VTR/SEÇÃO/MILITAR'!$A$3:$B2000,""SELECT B WHERE A LIKE '""&amp;'carga de materiais'!D1429&amp;""'""))"),"#REF!")</f>
        <v>#REF!</v>
      </c>
    </row>
    <row r="1429">
      <c r="A1429" s="120" t="str">
        <f>IFERROR(__xludf.DUMMYFUNCTION("TRANSPOSE(QUERY('Cadastro VTR/SEÇÃO/MILITAR'!$A$3:$B2000,""SELECT B WHERE A LIKE '""&amp;'carga de materiais'!D1430&amp;""'""))"),"#REF!")</f>
        <v>#REF!</v>
      </c>
    </row>
    <row r="1430">
      <c r="A1430" s="120" t="str">
        <f>IFERROR(__xludf.DUMMYFUNCTION("TRANSPOSE(QUERY('Cadastro VTR/SEÇÃO/MILITAR'!$A$3:$B2000,""SELECT B WHERE A LIKE '""&amp;'carga de materiais'!D1431&amp;""'""))"),"#REF!")</f>
        <v>#REF!</v>
      </c>
    </row>
    <row r="1431">
      <c r="A1431" s="120" t="str">
        <f>IFERROR(__xludf.DUMMYFUNCTION("TRANSPOSE(QUERY('Cadastro VTR/SEÇÃO/MILITAR'!$A$3:$B2000,""SELECT B WHERE A LIKE '""&amp;'carga de materiais'!D1432&amp;""'""))"),"#REF!")</f>
        <v>#REF!</v>
      </c>
    </row>
    <row r="1432">
      <c r="A1432" s="120" t="str">
        <f>IFERROR(__xludf.DUMMYFUNCTION("TRANSPOSE(QUERY('Cadastro VTR/SEÇÃO/MILITAR'!$A$3:$B2000,""SELECT B WHERE A LIKE '""&amp;'carga de materiais'!D1433&amp;""'""))"),"#REF!")</f>
        <v>#REF!</v>
      </c>
    </row>
    <row r="1433">
      <c r="A1433" s="120" t="str">
        <f>IFERROR(__xludf.DUMMYFUNCTION("TRANSPOSE(QUERY('Cadastro VTR/SEÇÃO/MILITAR'!$A$3:$B2000,""SELECT B WHERE A LIKE '""&amp;'carga de materiais'!D1434&amp;""'""))"),"#REF!")</f>
        <v>#REF!</v>
      </c>
    </row>
    <row r="1434">
      <c r="A1434" s="120" t="str">
        <f>IFERROR(__xludf.DUMMYFUNCTION("TRANSPOSE(QUERY('Cadastro VTR/SEÇÃO/MILITAR'!$A$3:$B2000,""SELECT B WHERE A LIKE '""&amp;'carga de materiais'!D1435&amp;""'""))"),"#REF!")</f>
        <v>#REF!</v>
      </c>
    </row>
    <row r="1435">
      <c r="A1435" s="120" t="str">
        <f>IFERROR(__xludf.DUMMYFUNCTION("TRANSPOSE(QUERY('Cadastro VTR/SEÇÃO/MILITAR'!$A$3:$B2000,""SELECT B WHERE A LIKE '""&amp;'carga de materiais'!D1436&amp;""'""))"),"#REF!")</f>
        <v>#REF!</v>
      </c>
    </row>
    <row r="1436">
      <c r="A1436" s="120" t="str">
        <f>IFERROR(__xludf.DUMMYFUNCTION("TRANSPOSE(QUERY('Cadastro VTR/SEÇÃO/MILITAR'!$A$3:$B2000,""SELECT B WHERE A LIKE '""&amp;'carga de materiais'!D1437&amp;""'""))"),"#REF!")</f>
        <v>#REF!</v>
      </c>
    </row>
    <row r="1437">
      <c r="A1437" s="120" t="str">
        <f>IFERROR(__xludf.DUMMYFUNCTION("TRANSPOSE(QUERY('Cadastro VTR/SEÇÃO/MILITAR'!$A$3:$B2000,""SELECT B WHERE A LIKE '""&amp;'carga de materiais'!D1438&amp;""'""))"),"#REF!")</f>
        <v>#REF!</v>
      </c>
    </row>
    <row r="1438">
      <c r="A1438" s="120" t="str">
        <f>IFERROR(__xludf.DUMMYFUNCTION("TRANSPOSE(QUERY('Cadastro VTR/SEÇÃO/MILITAR'!$A$3:$B2000,""SELECT B WHERE A LIKE '""&amp;'carga de materiais'!D1439&amp;""'""))"),"#REF!")</f>
        <v>#REF!</v>
      </c>
    </row>
    <row r="1439">
      <c r="A1439" s="120" t="str">
        <f>IFERROR(__xludf.DUMMYFUNCTION("TRANSPOSE(QUERY('Cadastro VTR/SEÇÃO/MILITAR'!$A$3:$B2000,""SELECT B WHERE A LIKE '""&amp;'carga de materiais'!D1440&amp;""'""))"),"#REF!")</f>
        <v>#REF!</v>
      </c>
    </row>
    <row r="1440">
      <c r="A1440" s="120" t="str">
        <f>IFERROR(__xludf.DUMMYFUNCTION("TRANSPOSE(QUERY('Cadastro VTR/SEÇÃO/MILITAR'!$A$3:$B2000,""SELECT B WHERE A LIKE '""&amp;'carga de materiais'!D1441&amp;""'""))"),"#REF!")</f>
        <v>#REF!</v>
      </c>
    </row>
    <row r="1441">
      <c r="A1441" s="120" t="str">
        <f>IFERROR(__xludf.DUMMYFUNCTION("TRANSPOSE(QUERY('Cadastro VTR/SEÇÃO/MILITAR'!$A$3:$B2000,""SELECT B WHERE A LIKE '""&amp;'carga de materiais'!D1442&amp;""'""))"),"#REF!")</f>
        <v>#REF!</v>
      </c>
    </row>
    <row r="1442">
      <c r="A1442" s="120" t="str">
        <f>IFERROR(__xludf.DUMMYFUNCTION("TRANSPOSE(QUERY('Cadastro VTR/SEÇÃO/MILITAR'!$A$3:$B2000,""SELECT B WHERE A LIKE '""&amp;'carga de materiais'!D1443&amp;""'""))"),"#REF!")</f>
        <v>#REF!</v>
      </c>
    </row>
    <row r="1443">
      <c r="A1443" s="120" t="str">
        <f>IFERROR(__xludf.DUMMYFUNCTION("TRANSPOSE(QUERY('Cadastro VTR/SEÇÃO/MILITAR'!$A$3:$B2000,""SELECT B WHERE A LIKE '""&amp;'carga de materiais'!D1444&amp;""'""))"),"#REF!")</f>
        <v>#REF!</v>
      </c>
    </row>
    <row r="1444">
      <c r="A1444" s="120" t="str">
        <f>IFERROR(__xludf.DUMMYFUNCTION("TRANSPOSE(QUERY('Cadastro VTR/SEÇÃO/MILITAR'!$A$3:$B2000,""SELECT B WHERE A LIKE '""&amp;'carga de materiais'!D1445&amp;""'""))"),"#REF!")</f>
        <v>#REF!</v>
      </c>
    </row>
    <row r="1445">
      <c r="A1445" s="120" t="str">
        <f>IFERROR(__xludf.DUMMYFUNCTION("TRANSPOSE(QUERY('Cadastro VTR/SEÇÃO/MILITAR'!$A$3:$B2000,""SELECT B WHERE A LIKE '""&amp;'carga de materiais'!D1446&amp;""'""))"),"#REF!")</f>
        <v>#REF!</v>
      </c>
    </row>
    <row r="1446">
      <c r="A1446" s="120" t="str">
        <f>IFERROR(__xludf.DUMMYFUNCTION("TRANSPOSE(QUERY('Cadastro VTR/SEÇÃO/MILITAR'!$A$3:$B2000,""SELECT B WHERE A LIKE '""&amp;'carga de materiais'!D1447&amp;""'""))"),"#REF!")</f>
        <v>#REF!</v>
      </c>
    </row>
    <row r="1447">
      <c r="A1447" s="120" t="str">
        <f>IFERROR(__xludf.DUMMYFUNCTION("TRANSPOSE(QUERY('Cadastro VTR/SEÇÃO/MILITAR'!$A$3:$B2000,""SELECT B WHERE A LIKE '""&amp;'carga de materiais'!D1448&amp;""'""))"),"#REF!")</f>
        <v>#REF!</v>
      </c>
    </row>
    <row r="1448">
      <c r="A1448" s="120" t="str">
        <f>IFERROR(__xludf.DUMMYFUNCTION("TRANSPOSE(QUERY('Cadastro VTR/SEÇÃO/MILITAR'!$A$3:$B2000,""SELECT B WHERE A LIKE '""&amp;'carga de materiais'!D1449&amp;""'""))"),"#REF!")</f>
        <v>#REF!</v>
      </c>
    </row>
    <row r="1449">
      <c r="A1449" s="120" t="str">
        <f>IFERROR(__xludf.DUMMYFUNCTION("TRANSPOSE(QUERY('Cadastro VTR/SEÇÃO/MILITAR'!$A$3:$B2000,""SELECT B WHERE A LIKE '""&amp;'carga de materiais'!D1450&amp;""'""))"),"#REF!")</f>
        <v>#REF!</v>
      </c>
    </row>
    <row r="1450">
      <c r="A1450" s="120" t="str">
        <f>IFERROR(__xludf.DUMMYFUNCTION("TRANSPOSE(QUERY('Cadastro VTR/SEÇÃO/MILITAR'!$A$3:$B2000,""SELECT B WHERE A LIKE '""&amp;'carga de materiais'!D1451&amp;""'""))"),"#REF!")</f>
        <v>#REF!</v>
      </c>
    </row>
    <row r="1451">
      <c r="A1451" s="120" t="str">
        <f>IFERROR(__xludf.DUMMYFUNCTION("TRANSPOSE(QUERY('Cadastro VTR/SEÇÃO/MILITAR'!$A$3:$B2000,""SELECT B WHERE A LIKE '""&amp;'carga de materiais'!D1452&amp;""'""))"),"#REF!")</f>
        <v>#REF!</v>
      </c>
    </row>
    <row r="1452">
      <c r="A1452" s="120" t="str">
        <f>IFERROR(__xludf.DUMMYFUNCTION("TRANSPOSE(QUERY('Cadastro VTR/SEÇÃO/MILITAR'!$A$3:$B2000,""SELECT B WHERE A LIKE '""&amp;'carga de materiais'!D1453&amp;""'""))"),"#REF!")</f>
        <v>#REF!</v>
      </c>
    </row>
    <row r="1453">
      <c r="A1453" s="120" t="str">
        <f>IFERROR(__xludf.DUMMYFUNCTION("TRANSPOSE(QUERY('Cadastro VTR/SEÇÃO/MILITAR'!$A$3:$B2000,""SELECT B WHERE A LIKE '""&amp;'carga de materiais'!D1454&amp;""'""))"),"#REF!")</f>
        <v>#REF!</v>
      </c>
    </row>
    <row r="1454">
      <c r="A1454" s="120" t="str">
        <f>IFERROR(__xludf.DUMMYFUNCTION("TRANSPOSE(QUERY('Cadastro VTR/SEÇÃO/MILITAR'!$A$3:$B2000,""SELECT B WHERE A LIKE '""&amp;'carga de materiais'!D1455&amp;""'""))"),"#REF!")</f>
        <v>#REF!</v>
      </c>
    </row>
    <row r="1455">
      <c r="A1455" s="120" t="str">
        <f>IFERROR(__xludf.DUMMYFUNCTION("TRANSPOSE(QUERY('Cadastro VTR/SEÇÃO/MILITAR'!$A$3:$B2000,""SELECT B WHERE A LIKE '""&amp;'carga de materiais'!D1456&amp;""'""))"),"#REF!")</f>
        <v>#REF!</v>
      </c>
    </row>
    <row r="1456">
      <c r="A1456" s="120" t="str">
        <f>IFERROR(__xludf.DUMMYFUNCTION("TRANSPOSE(QUERY('Cadastro VTR/SEÇÃO/MILITAR'!$A$3:$B2000,""SELECT B WHERE A LIKE '""&amp;'carga de materiais'!D1457&amp;""'""))"),"#REF!")</f>
        <v>#REF!</v>
      </c>
    </row>
    <row r="1457">
      <c r="A1457" s="120" t="str">
        <f>IFERROR(__xludf.DUMMYFUNCTION("TRANSPOSE(QUERY('Cadastro VTR/SEÇÃO/MILITAR'!$A$3:$B2000,""SELECT B WHERE A LIKE '""&amp;'carga de materiais'!D1458&amp;""'""))"),"#REF!")</f>
        <v>#REF!</v>
      </c>
    </row>
    <row r="1458">
      <c r="A1458" s="120" t="str">
        <f>IFERROR(__xludf.DUMMYFUNCTION("TRANSPOSE(QUERY('Cadastro VTR/SEÇÃO/MILITAR'!$A$3:$B2000,""SELECT B WHERE A LIKE '""&amp;'carga de materiais'!D1459&amp;""'""))"),"#REF!")</f>
        <v>#REF!</v>
      </c>
    </row>
    <row r="1459">
      <c r="A1459" s="120" t="str">
        <f>IFERROR(__xludf.DUMMYFUNCTION("TRANSPOSE(QUERY('Cadastro VTR/SEÇÃO/MILITAR'!$A$3:$B2000,""SELECT B WHERE A LIKE '""&amp;'carga de materiais'!D1460&amp;""'""))"),"#REF!")</f>
        <v>#REF!</v>
      </c>
    </row>
    <row r="1460">
      <c r="A1460" s="120" t="str">
        <f>IFERROR(__xludf.DUMMYFUNCTION("TRANSPOSE(QUERY('Cadastro VTR/SEÇÃO/MILITAR'!$A$3:$B2000,""SELECT B WHERE A LIKE '""&amp;'carga de materiais'!D1461&amp;""'""))"),"#REF!")</f>
        <v>#REF!</v>
      </c>
    </row>
    <row r="1461">
      <c r="A1461" s="120" t="str">
        <f>IFERROR(__xludf.DUMMYFUNCTION("TRANSPOSE(QUERY('Cadastro VTR/SEÇÃO/MILITAR'!$A$3:$B2000,""SELECT B WHERE A LIKE '""&amp;'carga de materiais'!D1462&amp;""'""))"),"#REF!")</f>
        <v>#REF!</v>
      </c>
    </row>
    <row r="1462">
      <c r="A1462" s="120" t="str">
        <f>IFERROR(__xludf.DUMMYFUNCTION("TRANSPOSE(QUERY('Cadastro VTR/SEÇÃO/MILITAR'!$A$3:$B2000,""SELECT B WHERE A LIKE '""&amp;'carga de materiais'!D1463&amp;""'""))"),"#REF!")</f>
        <v>#REF!</v>
      </c>
    </row>
    <row r="1463">
      <c r="A1463" s="120" t="str">
        <f>IFERROR(__xludf.DUMMYFUNCTION("TRANSPOSE(QUERY('Cadastro VTR/SEÇÃO/MILITAR'!$A$3:$B2000,""SELECT B WHERE A LIKE '""&amp;'carga de materiais'!D1464&amp;""'""))"),"#REF!")</f>
        <v>#REF!</v>
      </c>
    </row>
    <row r="1464">
      <c r="A1464" s="120" t="str">
        <f>IFERROR(__xludf.DUMMYFUNCTION("TRANSPOSE(QUERY('Cadastro VTR/SEÇÃO/MILITAR'!$A$3:$B2000,""SELECT B WHERE A LIKE '""&amp;'carga de materiais'!D1465&amp;""'""))"),"#REF!")</f>
        <v>#REF!</v>
      </c>
    </row>
    <row r="1465">
      <c r="A1465" s="120" t="str">
        <f>IFERROR(__xludf.DUMMYFUNCTION("TRANSPOSE(QUERY('Cadastro VTR/SEÇÃO/MILITAR'!$A$3:$B2000,""SELECT B WHERE A LIKE '""&amp;'carga de materiais'!D1466&amp;""'""))"),"#REF!")</f>
        <v>#REF!</v>
      </c>
    </row>
    <row r="1466">
      <c r="A1466" s="120" t="str">
        <f>IFERROR(__xludf.DUMMYFUNCTION("TRANSPOSE(QUERY('Cadastro VTR/SEÇÃO/MILITAR'!$A$3:$B2000,""SELECT B WHERE A LIKE '""&amp;'carga de materiais'!D1467&amp;""'""))"),"#REF!")</f>
        <v>#REF!</v>
      </c>
    </row>
    <row r="1467">
      <c r="A1467" s="120" t="str">
        <f>IFERROR(__xludf.DUMMYFUNCTION("TRANSPOSE(QUERY('Cadastro VTR/SEÇÃO/MILITAR'!$A$3:$B2000,""SELECT B WHERE A LIKE '""&amp;'carga de materiais'!D1468&amp;""'""))"),"#REF!")</f>
        <v>#REF!</v>
      </c>
    </row>
    <row r="1468">
      <c r="A1468" s="120" t="str">
        <f>IFERROR(__xludf.DUMMYFUNCTION("TRANSPOSE(QUERY('Cadastro VTR/SEÇÃO/MILITAR'!$A$3:$B2000,""SELECT B WHERE A LIKE '""&amp;'carga de materiais'!D1469&amp;""'""))"),"#REF!")</f>
        <v>#REF!</v>
      </c>
    </row>
    <row r="1469">
      <c r="A1469" s="120" t="str">
        <f>IFERROR(__xludf.DUMMYFUNCTION("TRANSPOSE(QUERY('Cadastro VTR/SEÇÃO/MILITAR'!$A$3:$B2000,""SELECT B WHERE A LIKE '""&amp;'carga de materiais'!D1470&amp;""'""))"),"#REF!")</f>
        <v>#REF!</v>
      </c>
    </row>
    <row r="1470">
      <c r="A1470" s="120" t="str">
        <f>IFERROR(__xludf.DUMMYFUNCTION("TRANSPOSE(QUERY('Cadastro VTR/SEÇÃO/MILITAR'!$A$3:$B2000,""SELECT B WHERE A LIKE '""&amp;'carga de materiais'!D1471&amp;""'""))"),"#REF!")</f>
        <v>#REF!</v>
      </c>
    </row>
    <row r="1471">
      <c r="A1471" s="120" t="str">
        <f>IFERROR(__xludf.DUMMYFUNCTION("TRANSPOSE(QUERY('Cadastro VTR/SEÇÃO/MILITAR'!$A$3:$B2000,""SELECT B WHERE A LIKE '""&amp;'carga de materiais'!D1472&amp;""'""))"),"#REF!")</f>
        <v>#REF!</v>
      </c>
    </row>
    <row r="1472">
      <c r="A1472" s="120" t="str">
        <f>IFERROR(__xludf.DUMMYFUNCTION("TRANSPOSE(QUERY('Cadastro VTR/SEÇÃO/MILITAR'!$A$3:$B2000,""SELECT B WHERE A LIKE '""&amp;'carga de materiais'!D1473&amp;""'""))"),"#REF!")</f>
        <v>#REF!</v>
      </c>
    </row>
    <row r="1473">
      <c r="A1473" s="120" t="str">
        <f>IFERROR(__xludf.DUMMYFUNCTION("TRANSPOSE(QUERY('Cadastro VTR/SEÇÃO/MILITAR'!$A$3:$B2000,""SELECT B WHERE A LIKE '""&amp;'carga de materiais'!D1474&amp;""'""))"),"#REF!")</f>
        <v>#REF!</v>
      </c>
    </row>
    <row r="1474">
      <c r="A1474" s="120" t="str">
        <f>IFERROR(__xludf.DUMMYFUNCTION("TRANSPOSE(QUERY('Cadastro VTR/SEÇÃO/MILITAR'!$A$3:$B2000,""SELECT B WHERE A LIKE '""&amp;'carga de materiais'!D1475&amp;""'""))"),"#REF!")</f>
        <v>#REF!</v>
      </c>
    </row>
    <row r="1475">
      <c r="A1475" s="120" t="str">
        <f>IFERROR(__xludf.DUMMYFUNCTION("TRANSPOSE(QUERY('Cadastro VTR/SEÇÃO/MILITAR'!$A$3:$B2000,""SELECT B WHERE A LIKE '""&amp;'carga de materiais'!D1476&amp;""'""))"),"#REF!")</f>
        <v>#REF!</v>
      </c>
    </row>
    <row r="1476">
      <c r="A1476" s="120" t="str">
        <f>IFERROR(__xludf.DUMMYFUNCTION("TRANSPOSE(QUERY('Cadastro VTR/SEÇÃO/MILITAR'!$A$3:$B2000,""SELECT B WHERE A LIKE '""&amp;'carga de materiais'!D1477&amp;""'""))"),"#REF!")</f>
        <v>#REF!</v>
      </c>
    </row>
    <row r="1477">
      <c r="A1477" s="120" t="str">
        <f>IFERROR(__xludf.DUMMYFUNCTION("TRANSPOSE(QUERY('Cadastro VTR/SEÇÃO/MILITAR'!$A$3:$B2000,""SELECT B WHERE A LIKE '""&amp;'carga de materiais'!D1478&amp;""'""))"),"#REF!")</f>
        <v>#REF!</v>
      </c>
    </row>
    <row r="1478">
      <c r="A1478" s="120" t="str">
        <f>IFERROR(__xludf.DUMMYFUNCTION("TRANSPOSE(QUERY('Cadastro VTR/SEÇÃO/MILITAR'!$A$3:$B2000,""SELECT B WHERE A LIKE '""&amp;'carga de materiais'!D1479&amp;""'""))"),"#REF!")</f>
        <v>#REF!</v>
      </c>
    </row>
    <row r="1479">
      <c r="A1479" s="120" t="str">
        <f>IFERROR(__xludf.DUMMYFUNCTION("TRANSPOSE(QUERY('Cadastro VTR/SEÇÃO/MILITAR'!$A$3:$B2000,""SELECT B WHERE A LIKE '""&amp;'carga de materiais'!D1480&amp;""'""))"),"#REF!")</f>
        <v>#REF!</v>
      </c>
    </row>
    <row r="1480">
      <c r="A1480" s="120" t="str">
        <f>IFERROR(__xludf.DUMMYFUNCTION("TRANSPOSE(QUERY('Cadastro VTR/SEÇÃO/MILITAR'!$A$3:$B2000,""SELECT B WHERE A LIKE '""&amp;'carga de materiais'!D1481&amp;""'""))"),"#REF!")</f>
        <v>#REF!</v>
      </c>
    </row>
    <row r="1481">
      <c r="A1481" s="120" t="str">
        <f>IFERROR(__xludf.DUMMYFUNCTION("TRANSPOSE(QUERY('Cadastro VTR/SEÇÃO/MILITAR'!$A$3:$B2000,""SELECT B WHERE A LIKE '""&amp;'carga de materiais'!D1482&amp;""'""))"),"#REF!")</f>
        <v>#REF!</v>
      </c>
    </row>
    <row r="1482">
      <c r="A1482" s="120" t="str">
        <f>IFERROR(__xludf.DUMMYFUNCTION("TRANSPOSE(QUERY('Cadastro VTR/SEÇÃO/MILITAR'!$A$3:$B2000,""SELECT B WHERE A LIKE '""&amp;'carga de materiais'!D1483&amp;""'""))"),"#REF!")</f>
        <v>#REF!</v>
      </c>
    </row>
    <row r="1483">
      <c r="A1483" s="120" t="str">
        <f>IFERROR(__xludf.DUMMYFUNCTION("TRANSPOSE(QUERY('Cadastro VTR/SEÇÃO/MILITAR'!$A$3:$B2000,""SELECT B WHERE A LIKE '""&amp;'carga de materiais'!D1484&amp;""'""))"),"#REF!")</f>
        <v>#REF!</v>
      </c>
    </row>
    <row r="1484">
      <c r="A1484" s="120" t="str">
        <f>IFERROR(__xludf.DUMMYFUNCTION("TRANSPOSE(QUERY('Cadastro VTR/SEÇÃO/MILITAR'!$A$3:$B2000,""SELECT B WHERE A LIKE '""&amp;'carga de materiais'!D1485&amp;""'""))"),"#REF!")</f>
        <v>#REF!</v>
      </c>
    </row>
    <row r="1485">
      <c r="A1485" s="120" t="str">
        <f>IFERROR(__xludf.DUMMYFUNCTION("TRANSPOSE(QUERY('Cadastro VTR/SEÇÃO/MILITAR'!$A$3:$B2000,""SELECT B WHERE A LIKE '""&amp;'carga de materiais'!D1486&amp;""'""))"),"#REF!")</f>
        <v>#REF!</v>
      </c>
    </row>
    <row r="1486">
      <c r="A1486" s="120" t="str">
        <f>IFERROR(__xludf.DUMMYFUNCTION("TRANSPOSE(QUERY('Cadastro VTR/SEÇÃO/MILITAR'!$A$3:$B2000,""SELECT B WHERE A LIKE '""&amp;'carga de materiais'!D1487&amp;""'""))"),"#REF!")</f>
        <v>#REF!</v>
      </c>
    </row>
    <row r="1487">
      <c r="A1487" s="120" t="str">
        <f>IFERROR(__xludf.DUMMYFUNCTION("TRANSPOSE(QUERY('Cadastro VTR/SEÇÃO/MILITAR'!$A$3:$B2000,""SELECT B WHERE A LIKE '""&amp;'carga de materiais'!D1488&amp;""'""))"),"#REF!")</f>
        <v>#REF!</v>
      </c>
    </row>
    <row r="1488">
      <c r="A1488" s="120" t="str">
        <f>IFERROR(__xludf.DUMMYFUNCTION("TRANSPOSE(QUERY('Cadastro VTR/SEÇÃO/MILITAR'!$A$3:$B2000,""SELECT B WHERE A LIKE '""&amp;'carga de materiais'!D1489&amp;""'""))"),"#REF!")</f>
        <v>#REF!</v>
      </c>
    </row>
    <row r="1489">
      <c r="A1489" s="120" t="str">
        <f>IFERROR(__xludf.DUMMYFUNCTION("TRANSPOSE(QUERY('Cadastro VTR/SEÇÃO/MILITAR'!$A$3:$B2000,""SELECT B WHERE A LIKE '""&amp;'carga de materiais'!D1490&amp;""'""))"),"#REF!")</f>
        <v>#REF!</v>
      </c>
    </row>
    <row r="1490">
      <c r="A1490" s="120" t="str">
        <f>IFERROR(__xludf.DUMMYFUNCTION("TRANSPOSE(QUERY('Cadastro VTR/SEÇÃO/MILITAR'!$A$3:$B2000,""SELECT B WHERE A LIKE '""&amp;'carga de materiais'!D1491&amp;""'""))"),"#REF!")</f>
        <v>#REF!</v>
      </c>
    </row>
    <row r="1491">
      <c r="A1491" s="120" t="str">
        <f>IFERROR(__xludf.DUMMYFUNCTION("TRANSPOSE(QUERY('Cadastro VTR/SEÇÃO/MILITAR'!$A$3:$B2000,""SELECT B WHERE A LIKE '""&amp;'carga de materiais'!D1492&amp;""'""))"),"#REF!")</f>
        <v>#REF!</v>
      </c>
    </row>
    <row r="1492">
      <c r="A1492" s="120" t="str">
        <f>IFERROR(__xludf.DUMMYFUNCTION("TRANSPOSE(QUERY('Cadastro VTR/SEÇÃO/MILITAR'!$A$3:$B2000,""SELECT B WHERE A LIKE '""&amp;'carga de materiais'!D1493&amp;""'""))"),"#REF!")</f>
        <v>#REF!</v>
      </c>
    </row>
    <row r="1493">
      <c r="A1493" s="120" t="str">
        <f>IFERROR(__xludf.DUMMYFUNCTION("TRANSPOSE(QUERY('Cadastro VTR/SEÇÃO/MILITAR'!$A$3:$B2000,""SELECT B WHERE A LIKE '""&amp;'carga de materiais'!D1494&amp;""'""))"),"#REF!")</f>
        <v>#REF!</v>
      </c>
    </row>
    <row r="1494">
      <c r="A1494" s="120" t="str">
        <f>IFERROR(__xludf.DUMMYFUNCTION("TRANSPOSE(QUERY('Cadastro VTR/SEÇÃO/MILITAR'!$A$3:$B2000,""SELECT B WHERE A LIKE '""&amp;'carga de materiais'!D1495&amp;""'""))"),"#REF!")</f>
        <v>#REF!</v>
      </c>
    </row>
    <row r="1495">
      <c r="A1495" s="120" t="str">
        <f>IFERROR(__xludf.DUMMYFUNCTION("TRANSPOSE(QUERY('Cadastro VTR/SEÇÃO/MILITAR'!$A$3:$B2000,""SELECT B WHERE A LIKE '""&amp;'carga de materiais'!D1496&amp;""'""))"),"#REF!")</f>
        <v>#REF!</v>
      </c>
    </row>
    <row r="1496">
      <c r="A1496" s="120" t="str">
        <f>IFERROR(__xludf.DUMMYFUNCTION("TRANSPOSE(QUERY('Cadastro VTR/SEÇÃO/MILITAR'!$A$3:$B2000,""SELECT B WHERE A LIKE '""&amp;'carga de materiais'!D1497&amp;""'""))"),"#REF!")</f>
        <v>#REF!</v>
      </c>
    </row>
    <row r="1497">
      <c r="A1497" s="120" t="str">
        <f>IFERROR(__xludf.DUMMYFUNCTION("TRANSPOSE(QUERY('Cadastro VTR/SEÇÃO/MILITAR'!$A$3:$B2000,""SELECT B WHERE A LIKE '""&amp;'carga de materiais'!D1498&amp;""'""))"),"#REF!")</f>
        <v>#REF!</v>
      </c>
    </row>
    <row r="1498">
      <c r="A1498" s="120" t="str">
        <f>IFERROR(__xludf.DUMMYFUNCTION("TRANSPOSE(QUERY('Cadastro VTR/SEÇÃO/MILITAR'!$A$3:$B2000,""SELECT B WHERE A LIKE '""&amp;'carga de materiais'!D1499&amp;""'""))"),"#REF!")</f>
        <v>#REF!</v>
      </c>
    </row>
    <row r="1499">
      <c r="A1499" s="120" t="str">
        <f>IFERROR(__xludf.DUMMYFUNCTION("TRANSPOSE(QUERY('Cadastro VTR/SEÇÃO/MILITAR'!$A$3:$B2000,""SELECT B WHERE A LIKE '""&amp;'carga de materiais'!D1500&amp;""'""))"),"#REF!")</f>
        <v>#REF!</v>
      </c>
    </row>
    <row r="1500">
      <c r="A1500" s="120" t="str">
        <f>IFERROR(__xludf.DUMMYFUNCTION("TRANSPOSE(QUERY('Cadastro VTR/SEÇÃO/MILITAR'!$A$3:$B2000,""SELECT B WHERE A LIKE '""&amp;'carga de materiais'!D1501&amp;""'""))"),"#REF!")</f>
        <v>#REF!</v>
      </c>
    </row>
    <row r="1501">
      <c r="A1501" s="120" t="str">
        <f>IFERROR(__xludf.DUMMYFUNCTION("TRANSPOSE(QUERY('Cadastro VTR/SEÇÃO/MILITAR'!$A$3:$B2000,""SELECT B WHERE A LIKE '""&amp;'carga de materiais'!D1502&amp;""'""))"),"#REF!")</f>
        <v>#REF!</v>
      </c>
    </row>
    <row r="1502">
      <c r="A1502" s="120" t="str">
        <f>IFERROR(__xludf.DUMMYFUNCTION("TRANSPOSE(QUERY('Cadastro VTR/SEÇÃO/MILITAR'!$A$3:$B2000,""SELECT B WHERE A LIKE '""&amp;'carga de materiais'!D1503&amp;""'""))"),"#REF!")</f>
        <v>#REF!</v>
      </c>
    </row>
    <row r="1503">
      <c r="A1503" s="120" t="str">
        <f>IFERROR(__xludf.DUMMYFUNCTION("TRANSPOSE(QUERY('Cadastro VTR/SEÇÃO/MILITAR'!$A$3:$B2000,""SELECT B WHERE A LIKE '""&amp;'carga de materiais'!D1504&amp;""'""))"),"#REF!")</f>
        <v>#REF!</v>
      </c>
    </row>
    <row r="1504">
      <c r="A1504" s="120" t="str">
        <f>IFERROR(__xludf.DUMMYFUNCTION("TRANSPOSE(QUERY('Cadastro VTR/SEÇÃO/MILITAR'!$A$3:$B2000,""SELECT B WHERE A LIKE '""&amp;'carga de materiais'!D1505&amp;""'""))"),"#REF!")</f>
        <v>#REF!</v>
      </c>
    </row>
    <row r="1505">
      <c r="A1505" s="120" t="str">
        <f>IFERROR(__xludf.DUMMYFUNCTION("TRANSPOSE(QUERY('Cadastro VTR/SEÇÃO/MILITAR'!$A$3:$B2000,""SELECT B WHERE A LIKE '""&amp;'carga de materiais'!D1506&amp;""'""))"),"#REF!")</f>
        <v>#REF!</v>
      </c>
    </row>
    <row r="1506">
      <c r="A1506" s="120" t="str">
        <f>IFERROR(__xludf.DUMMYFUNCTION("TRANSPOSE(QUERY('Cadastro VTR/SEÇÃO/MILITAR'!$A$3:$B2000,""SELECT B WHERE A LIKE '""&amp;'carga de materiais'!D1507&amp;""'""))"),"#REF!")</f>
        <v>#REF!</v>
      </c>
    </row>
    <row r="1507">
      <c r="A1507" s="120" t="str">
        <f>IFERROR(__xludf.DUMMYFUNCTION("TRANSPOSE(QUERY('Cadastro VTR/SEÇÃO/MILITAR'!$A$3:$B2000,""SELECT B WHERE A LIKE '""&amp;'carga de materiais'!D1508&amp;""'""))"),"#REF!")</f>
        <v>#REF!</v>
      </c>
    </row>
    <row r="1508">
      <c r="A1508" s="120" t="str">
        <f>IFERROR(__xludf.DUMMYFUNCTION("TRANSPOSE(QUERY('Cadastro VTR/SEÇÃO/MILITAR'!$A$3:$B2000,""SELECT B WHERE A LIKE '""&amp;'carga de materiais'!D1509&amp;""'""))"),"#REF!")</f>
        <v>#REF!</v>
      </c>
    </row>
    <row r="1509">
      <c r="A1509" s="120" t="str">
        <f>IFERROR(__xludf.DUMMYFUNCTION("TRANSPOSE(QUERY('Cadastro VTR/SEÇÃO/MILITAR'!$A$3:$B2000,""SELECT B WHERE A LIKE '""&amp;'carga de materiais'!D1510&amp;""'""))"),"#REF!")</f>
        <v>#REF!</v>
      </c>
    </row>
    <row r="1510">
      <c r="A1510" s="120" t="str">
        <f>IFERROR(__xludf.DUMMYFUNCTION("TRANSPOSE(QUERY('Cadastro VTR/SEÇÃO/MILITAR'!$A$3:$B2000,""SELECT B WHERE A LIKE '""&amp;'carga de materiais'!D1511&amp;""'""))"),"#REF!")</f>
        <v>#REF!</v>
      </c>
    </row>
    <row r="1511">
      <c r="A1511" s="120" t="str">
        <f>IFERROR(__xludf.DUMMYFUNCTION("TRANSPOSE(QUERY('Cadastro VTR/SEÇÃO/MILITAR'!$A$3:$B2000,""SELECT B WHERE A LIKE '""&amp;'carga de materiais'!D1512&amp;""'""))"),"#REF!")</f>
        <v>#REF!</v>
      </c>
    </row>
    <row r="1512">
      <c r="A1512" s="120" t="str">
        <f>IFERROR(__xludf.DUMMYFUNCTION("TRANSPOSE(QUERY('Cadastro VTR/SEÇÃO/MILITAR'!$A$3:$B2000,""SELECT B WHERE A LIKE '""&amp;'carga de materiais'!D1513&amp;""'""))"),"#REF!")</f>
        <v>#REF!</v>
      </c>
    </row>
    <row r="1513">
      <c r="A1513" s="120" t="str">
        <f>IFERROR(__xludf.DUMMYFUNCTION("TRANSPOSE(QUERY('Cadastro VTR/SEÇÃO/MILITAR'!$A$3:$B2000,""SELECT B WHERE A LIKE '""&amp;'carga de materiais'!D1514&amp;""'""))"),"#REF!")</f>
        <v>#REF!</v>
      </c>
    </row>
    <row r="1514">
      <c r="A1514" s="120" t="str">
        <f>IFERROR(__xludf.DUMMYFUNCTION("TRANSPOSE(QUERY('Cadastro VTR/SEÇÃO/MILITAR'!$A$3:$B2000,""SELECT B WHERE A LIKE '""&amp;'carga de materiais'!D1515&amp;""'""))"),"#REF!")</f>
        <v>#REF!</v>
      </c>
    </row>
    <row r="1515">
      <c r="A1515" s="120" t="str">
        <f>IFERROR(__xludf.DUMMYFUNCTION("TRANSPOSE(QUERY('Cadastro VTR/SEÇÃO/MILITAR'!$A$3:$B2000,""SELECT B WHERE A LIKE '""&amp;'carga de materiais'!D1516&amp;""'""))"),"#REF!")</f>
        <v>#REF!</v>
      </c>
    </row>
    <row r="1516">
      <c r="A1516" s="120" t="str">
        <f>IFERROR(__xludf.DUMMYFUNCTION("TRANSPOSE(QUERY('Cadastro VTR/SEÇÃO/MILITAR'!$A$3:$B2000,""SELECT B WHERE A LIKE '""&amp;'carga de materiais'!D1517&amp;""'""))"),"#REF!")</f>
        <v>#REF!</v>
      </c>
    </row>
    <row r="1517">
      <c r="A1517" s="120" t="str">
        <f>IFERROR(__xludf.DUMMYFUNCTION("TRANSPOSE(QUERY('Cadastro VTR/SEÇÃO/MILITAR'!$A$3:$B2000,""SELECT B WHERE A LIKE '""&amp;'carga de materiais'!D1518&amp;""'""))"),"#REF!")</f>
        <v>#REF!</v>
      </c>
    </row>
    <row r="1518">
      <c r="A1518" s="120" t="str">
        <f>IFERROR(__xludf.DUMMYFUNCTION("TRANSPOSE(QUERY('Cadastro VTR/SEÇÃO/MILITAR'!$A$3:$B2000,""SELECT B WHERE A LIKE '""&amp;'carga de materiais'!D1519&amp;""'""))"),"#REF!")</f>
        <v>#REF!</v>
      </c>
    </row>
    <row r="1519">
      <c r="A1519" s="120" t="str">
        <f>IFERROR(__xludf.DUMMYFUNCTION("TRANSPOSE(QUERY('Cadastro VTR/SEÇÃO/MILITAR'!$A$3:$B2000,""SELECT B WHERE A LIKE '""&amp;'carga de materiais'!D1520&amp;""'""))"),"#REF!")</f>
        <v>#REF!</v>
      </c>
    </row>
    <row r="1520">
      <c r="A1520" s="120" t="str">
        <f>IFERROR(__xludf.DUMMYFUNCTION("TRANSPOSE(QUERY('Cadastro VTR/SEÇÃO/MILITAR'!$A$3:$B2000,""SELECT B WHERE A LIKE '""&amp;'carga de materiais'!D1521&amp;""'""))"),"#REF!")</f>
        <v>#REF!</v>
      </c>
    </row>
    <row r="1521">
      <c r="A1521" s="120" t="str">
        <f>IFERROR(__xludf.DUMMYFUNCTION("TRANSPOSE(QUERY('Cadastro VTR/SEÇÃO/MILITAR'!$A$3:$B2000,""SELECT B WHERE A LIKE '""&amp;'carga de materiais'!D1522&amp;""'""))"),"#REF!")</f>
        <v>#REF!</v>
      </c>
    </row>
    <row r="1522">
      <c r="A1522" s="120" t="str">
        <f>IFERROR(__xludf.DUMMYFUNCTION("TRANSPOSE(QUERY('Cadastro VTR/SEÇÃO/MILITAR'!$A$3:$B2000,""SELECT B WHERE A LIKE '""&amp;'carga de materiais'!D1523&amp;""'""))"),"#REF!")</f>
        <v>#REF!</v>
      </c>
    </row>
    <row r="1523">
      <c r="A1523" s="120" t="str">
        <f>IFERROR(__xludf.DUMMYFUNCTION("TRANSPOSE(QUERY('Cadastro VTR/SEÇÃO/MILITAR'!$A$3:$B2000,""SELECT B WHERE A LIKE '""&amp;'carga de materiais'!D1524&amp;""'""))"),"#REF!")</f>
        <v>#REF!</v>
      </c>
    </row>
    <row r="1524">
      <c r="A1524" s="120" t="str">
        <f>IFERROR(__xludf.DUMMYFUNCTION("TRANSPOSE(QUERY('Cadastro VTR/SEÇÃO/MILITAR'!$A$3:$B2000,""SELECT B WHERE A LIKE '""&amp;'carga de materiais'!D1525&amp;""'""))"),"#REF!")</f>
        <v>#REF!</v>
      </c>
    </row>
    <row r="1525">
      <c r="A1525" s="120" t="str">
        <f>IFERROR(__xludf.DUMMYFUNCTION("TRANSPOSE(QUERY('Cadastro VTR/SEÇÃO/MILITAR'!$A$3:$B2000,""SELECT B WHERE A LIKE '""&amp;'carga de materiais'!D1526&amp;""'""))"),"#REF!")</f>
        <v>#REF!</v>
      </c>
    </row>
    <row r="1526">
      <c r="A1526" s="120" t="str">
        <f>IFERROR(__xludf.DUMMYFUNCTION("TRANSPOSE(QUERY('Cadastro VTR/SEÇÃO/MILITAR'!$A$3:$B2000,""SELECT B WHERE A LIKE '""&amp;'carga de materiais'!D1527&amp;""'""))"),"#REF!")</f>
        <v>#REF!</v>
      </c>
    </row>
    <row r="1527">
      <c r="A1527" s="120" t="str">
        <f>IFERROR(__xludf.DUMMYFUNCTION("TRANSPOSE(QUERY('Cadastro VTR/SEÇÃO/MILITAR'!$A$3:$B2000,""SELECT B WHERE A LIKE '""&amp;'carga de materiais'!D1528&amp;""'""))"),"#REF!")</f>
        <v>#REF!</v>
      </c>
    </row>
    <row r="1528">
      <c r="A1528" s="120" t="str">
        <f>IFERROR(__xludf.DUMMYFUNCTION("TRANSPOSE(QUERY('Cadastro VTR/SEÇÃO/MILITAR'!$A$3:$B2000,""SELECT B WHERE A LIKE '""&amp;'carga de materiais'!D1529&amp;""'""))"),"#REF!")</f>
        <v>#REF!</v>
      </c>
    </row>
    <row r="1529">
      <c r="A1529" s="120" t="str">
        <f>IFERROR(__xludf.DUMMYFUNCTION("TRANSPOSE(QUERY('Cadastro VTR/SEÇÃO/MILITAR'!$A$3:$B2000,""SELECT B WHERE A LIKE '""&amp;'carga de materiais'!D1530&amp;""'""))"),"#REF!")</f>
        <v>#REF!</v>
      </c>
    </row>
    <row r="1530">
      <c r="A1530" s="120" t="str">
        <f>IFERROR(__xludf.DUMMYFUNCTION("TRANSPOSE(QUERY('Cadastro VTR/SEÇÃO/MILITAR'!$A$3:$B2000,""SELECT B WHERE A LIKE '""&amp;'carga de materiais'!D1531&amp;""'""))"),"#REF!")</f>
        <v>#REF!</v>
      </c>
    </row>
    <row r="1531">
      <c r="A1531" s="120" t="str">
        <f>IFERROR(__xludf.DUMMYFUNCTION("TRANSPOSE(QUERY('Cadastro VTR/SEÇÃO/MILITAR'!$A$3:$B2000,""SELECT B WHERE A LIKE '""&amp;'carga de materiais'!D1532&amp;""'""))"),"#REF!")</f>
        <v>#REF!</v>
      </c>
    </row>
    <row r="1532">
      <c r="A1532" s="120" t="str">
        <f>IFERROR(__xludf.DUMMYFUNCTION("TRANSPOSE(QUERY('Cadastro VTR/SEÇÃO/MILITAR'!$A$3:$B2000,""SELECT B WHERE A LIKE '""&amp;'carga de materiais'!D1533&amp;""'""))"),"#REF!")</f>
        <v>#REF!</v>
      </c>
    </row>
    <row r="1533">
      <c r="A1533" s="120" t="str">
        <f>IFERROR(__xludf.DUMMYFUNCTION("TRANSPOSE(QUERY('Cadastro VTR/SEÇÃO/MILITAR'!$A$3:$B2000,""SELECT B WHERE A LIKE '""&amp;'carga de materiais'!D1534&amp;""'""))"),"#REF!")</f>
        <v>#REF!</v>
      </c>
    </row>
    <row r="1534">
      <c r="A1534" s="120" t="str">
        <f>IFERROR(__xludf.DUMMYFUNCTION("TRANSPOSE(QUERY('Cadastro VTR/SEÇÃO/MILITAR'!$A$3:$B2000,""SELECT B WHERE A LIKE '""&amp;'carga de materiais'!D1535&amp;""'""))"),"#REF!")</f>
        <v>#REF!</v>
      </c>
    </row>
    <row r="1535">
      <c r="A1535" s="120" t="str">
        <f>IFERROR(__xludf.DUMMYFUNCTION("TRANSPOSE(QUERY('Cadastro VTR/SEÇÃO/MILITAR'!$A$3:$B2000,""SELECT B WHERE A LIKE '""&amp;'carga de materiais'!D1536&amp;""'""))"),"#REF!")</f>
        <v>#REF!</v>
      </c>
    </row>
    <row r="1536">
      <c r="A1536" s="120" t="str">
        <f>IFERROR(__xludf.DUMMYFUNCTION("TRANSPOSE(QUERY('Cadastro VTR/SEÇÃO/MILITAR'!$A$3:$B2000,""SELECT B WHERE A LIKE '""&amp;'carga de materiais'!D1537&amp;""'""))"),"#REF!")</f>
        <v>#REF!</v>
      </c>
    </row>
    <row r="1537">
      <c r="A1537" s="120" t="str">
        <f>IFERROR(__xludf.DUMMYFUNCTION("TRANSPOSE(QUERY('Cadastro VTR/SEÇÃO/MILITAR'!$A$3:$B2000,""SELECT B WHERE A LIKE '""&amp;'carga de materiais'!D1538&amp;""'""))"),"#REF!")</f>
        <v>#REF!</v>
      </c>
    </row>
    <row r="1538">
      <c r="A1538" s="120" t="str">
        <f>IFERROR(__xludf.DUMMYFUNCTION("TRANSPOSE(QUERY('Cadastro VTR/SEÇÃO/MILITAR'!$A$3:$B2000,""SELECT B WHERE A LIKE '""&amp;'carga de materiais'!D1539&amp;""'""))"),"#REF!")</f>
        <v>#REF!</v>
      </c>
    </row>
    <row r="1539">
      <c r="A1539" s="120" t="str">
        <f>IFERROR(__xludf.DUMMYFUNCTION("TRANSPOSE(QUERY('Cadastro VTR/SEÇÃO/MILITAR'!$A$3:$B2000,""SELECT B WHERE A LIKE '""&amp;'carga de materiais'!D1540&amp;""'""))"),"#REF!")</f>
        <v>#REF!</v>
      </c>
    </row>
    <row r="1540">
      <c r="A1540" s="120" t="str">
        <f>IFERROR(__xludf.DUMMYFUNCTION("TRANSPOSE(QUERY('Cadastro VTR/SEÇÃO/MILITAR'!$A$3:$B2000,""SELECT B WHERE A LIKE '""&amp;'carga de materiais'!D1541&amp;""'""))"),"#REF!")</f>
        <v>#REF!</v>
      </c>
    </row>
    <row r="1541">
      <c r="A1541" s="120" t="str">
        <f>IFERROR(__xludf.DUMMYFUNCTION("TRANSPOSE(QUERY('Cadastro VTR/SEÇÃO/MILITAR'!$A$3:$B2000,""SELECT B WHERE A LIKE '""&amp;'carga de materiais'!D1542&amp;""'""))"),"#REF!")</f>
        <v>#REF!</v>
      </c>
    </row>
    <row r="1542">
      <c r="A1542" s="120" t="str">
        <f>IFERROR(__xludf.DUMMYFUNCTION("TRANSPOSE(QUERY('Cadastro VTR/SEÇÃO/MILITAR'!$A$3:$B2000,""SELECT B WHERE A LIKE '""&amp;'carga de materiais'!D1543&amp;""'""))"),"#REF!")</f>
        <v>#REF!</v>
      </c>
    </row>
    <row r="1543">
      <c r="A1543" s="120" t="str">
        <f>IFERROR(__xludf.DUMMYFUNCTION("TRANSPOSE(QUERY('Cadastro VTR/SEÇÃO/MILITAR'!$A$3:$B2000,""SELECT B WHERE A LIKE '""&amp;'carga de materiais'!D1544&amp;""'""))"),"#REF!")</f>
        <v>#REF!</v>
      </c>
    </row>
    <row r="1544">
      <c r="A1544" s="120" t="str">
        <f>IFERROR(__xludf.DUMMYFUNCTION("TRANSPOSE(QUERY('Cadastro VTR/SEÇÃO/MILITAR'!$A$3:$B2000,""SELECT B WHERE A LIKE '""&amp;'carga de materiais'!D1545&amp;""'""))"),"#REF!")</f>
        <v>#REF!</v>
      </c>
    </row>
    <row r="1545">
      <c r="A1545" s="120" t="str">
        <f>IFERROR(__xludf.DUMMYFUNCTION("TRANSPOSE(QUERY('Cadastro VTR/SEÇÃO/MILITAR'!$A$3:$B2000,""SELECT B WHERE A LIKE '""&amp;'carga de materiais'!D1546&amp;""'""))"),"#REF!")</f>
        <v>#REF!</v>
      </c>
    </row>
    <row r="1546">
      <c r="A1546" s="120" t="str">
        <f>IFERROR(__xludf.DUMMYFUNCTION("TRANSPOSE(QUERY('Cadastro VTR/SEÇÃO/MILITAR'!$A$3:$B2000,""SELECT B WHERE A LIKE '""&amp;'carga de materiais'!D1547&amp;""'""))"),"#REF!")</f>
        <v>#REF!</v>
      </c>
    </row>
    <row r="1547">
      <c r="A1547" s="120" t="str">
        <f>IFERROR(__xludf.DUMMYFUNCTION("TRANSPOSE(QUERY('Cadastro VTR/SEÇÃO/MILITAR'!$A$3:$B2000,""SELECT B WHERE A LIKE '""&amp;'carga de materiais'!D1548&amp;""'""))"),"#REF!")</f>
        <v>#REF!</v>
      </c>
    </row>
    <row r="1548">
      <c r="A1548" s="120" t="str">
        <f>IFERROR(__xludf.DUMMYFUNCTION("TRANSPOSE(QUERY('Cadastro VTR/SEÇÃO/MILITAR'!$A$3:$B2000,""SELECT B WHERE A LIKE '""&amp;'carga de materiais'!D1549&amp;""'""))"),"#REF!")</f>
        <v>#REF!</v>
      </c>
    </row>
    <row r="1549">
      <c r="A1549" s="120" t="str">
        <f>IFERROR(__xludf.DUMMYFUNCTION("TRANSPOSE(QUERY('Cadastro VTR/SEÇÃO/MILITAR'!$A$3:$B2000,""SELECT B WHERE A LIKE '""&amp;'carga de materiais'!D1550&amp;""'""))"),"#REF!")</f>
        <v>#REF!</v>
      </c>
    </row>
    <row r="1550">
      <c r="A1550" s="120" t="str">
        <f>IFERROR(__xludf.DUMMYFUNCTION("TRANSPOSE(QUERY('Cadastro VTR/SEÇÃO/MILITAR'!$A$3:$B2000,""SELECT B WHERE A LIKE '""&amp;'carga de materiais'!D1551&amp;""'""))"),"#REF!")</f>
        <v>#REF!</v>
      </c>
    </row>
    <row r="1551">
      <c r="A1551" s="120" t="str">
        <f>IFERROR(__xludf.DUMMYFUNCTION("TRANSPOSE(QUERY('Cadastro VTR/SEÇÃO/MILITAR'!$A$3:$B2000,""SELECT B WHERE A LIKE '""&amp;'carga de materiais'!D1552&amp;""'""))"),"#REF!")</f>
        <v>#REF!</v>
      </c>
    </row>
    <row r="1552">
      <c r="A1552" s="120" t="str">
        <f>IFERROR(__xludf.DUMMYFUNCTION("TRANSPOSE(QUERY('Cadastro VTR/SEÇÃO/MILITAR'!$A$3:$B2000,""SELECT B WHERE A LIKE '""&amp;'carga de materiais'!D1553&amp;""'""))"),"#REF!")</f>
        <v>#REF!</v>
      </c>
    </row>
    <row r="1553">
      <c r="A1553" s="120" t="str">
        <f>IFERROR(__xludf.DUMMYFUNCTION("TRANSPOSE(QUERY('Cadastro VTR/SEÇÃO/MILITAR'!$A$3:$B2000,""SELECT B WHERE A LIKE '""&amp;'carga de materiais'!D1554&amp;""'""))"),"#REF!")</f>
        <v>#REF!</v>
      </c>
    </row>
    <row r="1554">
      <c r="A1554" s="120" t="str">
        <f>IFERROR(__xludf.DUMMYFUNCTION("TRANSPOSE(QUERY('Cadastro VTR/SEÇÃO/MILITAR'!$A$3:$B2000,""SELECT B WHERE A LIKE '""&amp;'carga de materiais'!D1555&amp;""'""))"),"#REF!")</f>
        <v>#REF!</v>
      </c>
    </row>
    <row r="1555">
      <c r="A1555" s="120" t="str">
        <f>IFERROR(__xludf.DUMMYFUNCTION("TRANSPOSE(QUERY('Cadastro VTR/SEÇÃO/MILITAR'!$A$3:$B2000,""SELECT B WHERE A LIKE '""&amp;'carga de materiais'!D1556&amp;""'""))"),"#REF!")</f>
        <v>#REF!</v>
      </c>
    </row>
    <row r="1556">
      <c r="A1556" s="120" t="str">
        <f>IFERROR(__xludf.DUMMYFUNCTION("TRANSPOSE(QUERY('Cadastro VTR/SEÇÃO/MILITAR'!$A$3:$B2000,""SELECT B WHERE A LIKE '""&amp;'carga de materiais'!D1557&amp;""'""))"),"#REF!")</f>
        <v>#REF!</v>
      </c>
    </row>
    <row r="1557">
      <c r="A1557" s="120" t="str">
        <f>IFERROR(__xludf.DUMMYFUNCTION("TRANSPOSE(QUERY('Cadastro VTR/SEÇÃO/MILITAR'!$A$3:$B2000,""SELECT B WHERE A LIKE '""&amp;'carga de materiais'!D1558&amp;""'""))"),"#REF!")</f>
        <v>#REF!</v>
      </c>
    </row>
    <row r="1558">
      <c r="A1558" s="120" t="str">
        <f>IFERROR(__xludf.DUMMYFUNCTION("TRANSPOSE(QUERY('Cadastro VTR/SEÇÃO/MILITAR'!$A$3:$B2000,""SELECT B WHERE A LIKE '""&amp;'carga de materiais'!D1559&amp;""'""))"),"#REF!")</f>
        <v>#REF!</v>
      </c>
    </row>
    <row r="1559">
      <c r="A1559" s="120" t="str">
        <f>IFERROR(__xludf.DUMMYFUNCTION("TRANSPOSE(QUERY('Cadastro VTR/SEÇÃO/MILITAR'!$A$3:$B2000,""SELECT B WHERE A LIKE '""&amp;'carga de materiais'!D1560&amp;""'""))"),"#REF!")</f>
        <v>#REF!</v>
      </c>
    </row>
    <row r="1560">
      <c r="A1560" s="120" t="str">
        <f>IFERROR(__xludf.DUMMYFUNCTION("TRANSPOSE(QUERY('Cadastro VTR/SEÇÃO/MILITAR'!$A$3:$B2000,""SELECT B WHERE A LIKE '""&amp;'carga de materiais'!D1561&amp;""'""))"),"#REF!")</f>
        <v>#REF!</v>
      </c>
    </row>
    <row r="1561">
      <c r="A1561" s="120" t="str">
        <f>IFERROR(__xludf.DUMMYFUNCTION("TRANSPOSE(QUERY('Cadastro VTR/SEÇÃO/MILITAR'!$A$3:$B2000,""SELECT B WHERE A LIKE '""&amp;'carga de materiais'!D1562&amp;""'""))"),"#REF!")</f>
        <v>#REF!</v>
      </c>
    </row>
    <row r="1562">
      <c r="A1562" s="120" t="str">
        <f>IFERROR(__xludf.DUMMYFUNCTION("TRANSPOSE(QUERY('Cadastro VTR/SEÇÃO/MILITAR'!$A$3:$B2000,""SELECT B WHERE A LIKE '""&amp;'carga de materiais'!D1563&amp;""'""))"),"#REF!")</f>
        <v>#REF!</v>
      </c>
    </row>
    <row r="1563">
      <c r="A1563" s="120" t="str">
        <f>IFERROR(__xludf.DUMMYFUNCTION("TRANSPOSE(QUERY('Cadastro VTR/SEÇÃO/MILITAR'!$A$3:$B2000,""SELECT B WHERE A LIKE '""&amp;'carga de materiais'!D1564&amp;""'""))"),"#REF!")</f>
        <v>#REF!</v>
      </c>
    </row>
    <row r="1564">
      <c r="A1564" s="120" t="str">
        <f>IFERROR(__xludf.DUMMYFUNCTION("TRANSPOSE(QUERY('Cadastro VTR/SEÇÃO/MILITAR'!$A$3:$B2000,""SELECT B WHERE A LIKE '""&amp;'carga de materiais'!D1565&amp;""'""))"),"#REF!")</f>
        <v>#REF!</v>
      </c>
    </row>
    <row r="1565">
      <c r="A1565" s="120" t="str">
        <f>IFERROR(__xludf.DUMMYFUNCTION("TRANSPOSE(QUERY('Cadastro VTR/SEÇÃO/MILITAR'!$A$3:$B2000,""SELECT B WHERE A LIKE '""&amp;'carga de materiais'!D1566&amp;""'""))"),"#REF!")</f>
        <v>#REF!</v>
      </c>
    </row>
    <row r="1566">
      <c r="A1566" s="120" t="str">
        <f>IFERROR(__xludf.DUMMYFUNCTION("TRANSPOSE(QUERY('Cadastro VTR/SEÇÃO/MILITAR'!$A$3:$B2000,""SELECT B WHERE A LIKE '""&amp;'carga de materiais'!D1567&amp;""'""))"),"#REF!")</f>
        <v>#REF!</v>
      </c>
    </row>
    <row r="1567">
      <c r="A1567" s="120" t="str">
        <f>IFERROR(__xludf.DUMMYFUNCTION("TRANSPOSE(QUERY('Cadastro VTR/SEÇÃO/MILITAR'!$A$3:$B2000,""SELECT B WHERE A LIKE '""&amp;'carga de materiais'!D1568&amp;""'""))"),"#REF!")</f>
        <v>#REF!</v>
      </c>
    </row>
    <row r="1568">
      <c r="A1568" s="120" t="str">
        <f>IFERROR(__xludf.DUMMYFUNCTION("TRANSPOSE(QUERY('Cadastro VTR/SEÇÃO/MILITAR'!$A$3:$B2000,""SELECT B WHERE A LIKE '""&amp;'carga de materiais'!D1569&amp;""'""))"),"#REF!")</f>
        <v>#REF!</v>
      </c>
    </row>
    <row r="1569">
      <c r="A1569" s="120" t="str">
        <f>IFERROR(__xludf.DUMMYFUNCTION("TRANSPOSE(QUERY('Cadastro VTR/SEÇÃO/MILITAR'!$A$3:$B2000,""SELECT B WHERE A LIKE '""&amp;'carga de materiais'!D1570&amp;""'""))"),"#REF!")</f>
        <v>#REF!</v>
      </c>
    </row>
    <row r="1570">
      <c r="A1570" s="120" t="str">
        <f>IFERROR(__xludf.DUMMYFUNCTION("TRANSPOSE(QUERY('Cadastro VTR/SEÇÃO/MILITAR'!$A$3:$B2000,""SELECT B WHERE A LIKE '""&amp;'carga de materiais'!D1571&amp;""'""))"),"#REF!")</f>
        <v>#REF!</v>
      </c>
    </row>
    <row r="1571">
      <c r="A1571" s="120" t="str">
        <f>IFERROR(__xludf.DUMMYFUNCTION("TRANSPOSE(QUERY('Cadastro VTR/SEÇÃO/MILITAR'!$A$3:$B2000,""SELECT B WHERE A LIKE '""&amp;'carga de materiais'!D1572&amp;""'""))"),"#REF!")</f>
        <v>#REF!</v>
      </c>
    </row>
    <row r="1572">
      <c r="A1572" s="120" t="str">
        <f>IFERROR(__xludf.DUMMYFUNCTION("TRANSPOSE(QUERY('Cadastro VTR/SEÇÃO/MILITAR'!$A$3:$B2000,""SELECT B WHERE A LIKE '""&amp;'carga de materiais'!D1573&amp;""'""))"),"#REF!")</f>
        <v>#REF!</v>
      </c>
    </row>
    <row r="1573">
      <c r="A1573" s="120" t="str">
        <f>IFERROR(__xludf.DUMMYFUNCTION("TRANSPOSE(QUERY('Cadastro VTR/SEÇÃO/MILITAR'!$A$3:$B2000,""SELECT B WHERE A LIKE '""&amp;'carga de materiais'!D1574&amp;""'""))"),"#REF!")</f>
        <v>#REF!</v>
      </c>
    </row>
    <row r="1574">
      <c r="A1574" s="120" t="str">
        <f>IFERROR(__xludf.DUMMYFUNCTION("TRANSPOSE(QUERY('Cadastro VTR/SEÇÃO/MILITAR'!$A$3:$B2000,""SELECT B WHERE A LIKE '""&amp;'carga de materiais'!D1575&amp;""'""))"),"#REF!")</f>
        <v>#REF!</v>
      </c>
    </row>
    <row r="1575">
      <c r="A1575" s="120" t="str">
        <f>IFERROR(__xludf.DUMMYFUNCTION("TRANSPOSE(QUERY('Cadastro VTR/SEÇÃO/MILITAR'!$A$3:$B2000,""SELECT B WHERE A LIKE '""&amp;'carga de materiais'!D1576&amp;""'""))"),"#REF!")</f>
        <v>#REF!</v>
      </c>
    </row>
    <row r="1576">
      <c r="A1576" s="120" t="str">
        <f>IFERROR(__xludf.DUMMYFUNCTION("TRANSPOSE(QUERY('Cadastro VTR/SEÇÃO/MILITAR'!$A$3:$B2000,""SELECT B WHERE A LIKE '""&amp;'carga de materiais'!D1577&amp;""'""))"),"#REF!")</f>
        <v>#REF!</v>
      </c>
    </row>
    <row r="1577">
      <c r="A1577" s="120" t="str">
        <f>IFERROR(__xludf.DUMMYFUNCTION("TRANSPOSE(QUERY('Cadastro VTR/SEÇÃO/MILITAR'!$A$3:$B2000,""SELECT B WHERE A LIKE '""&amp;'carga de materiais'!D1578&amp;""'""))"),"#REF!")</f>
        <v>#REF!</v>
      </c>
    </row>
    <row r="1578">
      <c r="A1578" s="120" t="str">
        <f>IFERROR(__xludf.DUMMYFUNCTION("TRANSPOSE(QUERY('Cadastro VTR/SEÇÃO/MILITAR'!$A$3:$B2000,""SELECT B WHERE A LIKE '""&amp;'carga de materiais'!D1579&amp;""'""))"),"#REF!")</f>
        <v>#REF!</v>
      </c>
    </row>
    <row r="1579">
      <c r="A1579" s="120" t="str">
        <f>IFERROR(__xludf.DUMMYFUNCTION("TRANSPOSE(QUERY('Cadastro VTR/SEÇÃO/MILITAR'!$A$3:$B2000,""SELECT B WHERE A LIKE '""&amp;'carga de materiais'!D1580&amp;""'""))"),"#REF!")</f>
        <v>#REF!</v>
      </c>
    </row>
    <row r="1580">
      <c r="A1580" s="120" t="str">
        <f>IFERROR(__xludf.DUMMYFUNCTION("TRANSPOSE(QUERY('Cadastro VTR/SEÇÃO/MILITAR'!$A$3:$B2000,""SELECT B WHERE A LIKE '""&amp;'carga de materiais'!D1581&amp;""'""))"),"#REF!")</f>
        <v>#REF!</v>
      </c>
    </row>
    <row r="1581">
      <c r="A1581" s="120" t="str">
        <f>IFERROR(__xludf.DUMMYFUNCTION("TRANSPOSE(QUERY('Cadastro VTR/SEÇÃO/MILITAR'!$A$3:$B2000,""SELECT B WHERE A LIKE '""&amp;'carga de materiais'!D1582&amp;""'""))"),"#REF!")</f>
        <v>#REF!</v>
      </c>
    </row>
    <row r="1582">
      <c r="A1582" s="120" t="str">
        <f>IFERROR(__xludf.DUMMYFUNCTION("TRANSPOSE(QUERY('Cadastro VTR/SEÇÃO/MILITAR'!$A$3:$B2000,""SELECT B WHERE A LIKE '""&amp;'carga de materiais'!D1583&amp;""'""))"),"#REF!")</f>
        <v>#REF!</v>
      </c>
    </row>
    <row r="1583">
      <c r="A1583" s="120" t="str">
        <f>IFERROR(__xludf.DUMMYFUNCTION("TRANSPOSE(QUERY('Cadastro VTR/SEÇÃO/MILITAR'!$A$3:$B2000,""SELECT B WHERE A LIKE '""&amp;'carga de materiais'!D1584&amp;""'""))"),"#REF!")</f>
        <v>#REF!</v>
      </c>
    </row>
    <row r="1584">
      <c r="A1584" s="120" t="str">
        <f>IFERROR(__xludf.DUMMYFUNCTION("TRANSPOSE(QUERY('Cadastro VTR/SEÇÃO/MILITAR'!$A$3:$B2000,""SELECT B WHERE A LIKE '""&amp;'carga de materiais'!D1585&amp;""'""))"),"#REF!")</f>
        <v>#REF!</v>
      </c>
    </row>
    <row r="1585">
      <c r="A1585" s="120" t="str">
        <f>IFERROR(__xludf.DUMMYFUNCTION("TRANSPOSE(QUERY('Cadastro VTR/SEÇÃO/MILITAR'!$A$3:$B2000,""SELECT B WHERE A LIKE '""&amp;'carga de materiais'!D1586&amp;""'""))"),"#REF!")</f>
        <v>#REF!</v>
      </c>
    </row>
    <row r="1586">
      <c r="A1586" s="120" t="str">
        <f>IFERROR(__xludf.DUMMYFUNCTION("TRANSPOSE(QUERY('Cadastro VTR/SEÇÃO/MILITAR'!$A$3:$B2000,""SELECT B WHERE A LIKE '""&amp;'carga de materiais'!D1587&amp;""'""))"),"#REF!")</f>
        <v>#REF!</v>
      </c>
    </row>
    <row r="1587">
      <c r="A1587" s="120" t="str">
        <f>IFERROR(__xludf.DUMMYFUNCTION("TRANSPOSE(QUERY('Cadastro VTR/SEÇÃO/MILITAR'!$A$3:$B2000,""SELECT B WHERE A LIKE '""&amp;'carga de materiais'!D1588&amp;""'""))"),"#REF!")</f>
        <v>#REF!</v>
      </c>
    </row>
    <row r="1588">
      <c r="A1588" s="120" t="str">
        <f>IFERROR(__xludf.DUMMYFUNCTION("TRANSPOSE(QUERY('Cadastro VTR/SEÇÃO/MILITAR'!$A$3:$B2000,""SELECT B WHERE A LIKE '""&amp;'carga de materiais'!D1589&amp;""'""))"),"#REF!")</f>
        <v>#REF!</v>
      </c>
    </row>
    <row r="1589">
      <c r="A1589" s="120" t="str">
        <f>IFERROR(__xludf.DUMMYFUNCTION("TRANSPOSE(QUERY('Cadastro VTR/SEÇÃO/MILITAR'!$A$3:$B2000,""SELECT B WHERE A LIKE '""&amp;'carga de materiais'!D1590&amp;""'""))"),"#REF!")</f>
        <v>#REF!</v>
      </c>
    </row>
    <row r="1590">
      <c r="A1590" s="120" t="str">
        <f>IFERROR(__xludf.DUMMYFUNCTION("TRANSPOSE(QUERY('Cadastro VTR/SEÇÃO/MILITAR'!$A$3:$B2000,""SELECT B WHERE A LIKE '""&amp;'carga de materiais'!D1591&amp;""'""))"),"#REF!")</f>
        <v>#REF!</v>
      </c>
    </row>
    <row r="1591">
      <c r="A1591" s="120" t="str">
        <f>IFERROR(__xludf.DUMMYFUNCTION("TRANSPOSE(QUERY('Cadastro VTR/SEÇÃO/MILITAR'!$A$3:$B2000,""SELECT B WHERE A LIKE '""&amp;'carga de materiais'!D1592&amp;""'""))"),"#REF!")</f>
        <v>#REF!</v>
      </c>
    </row>
    <row r="1592">
      <c r="A1592" s="120" t="str">
        <f>IFERROR(__xludf.DUMMYFUNCTION("TRANSPOSE(QUERY('Cadastro VTR/SEÇÃO/MILITAR'!$A$3:$B2000,""SELECT B WHERE A LIKE '""&amp;'carga de materiais'!D1593&amp;""'""))"),"#REF!")</f>
        <v>#REF!</v>
      </c>
    </row>
    <row r="1593">
      <c r="A1593" s="120" t="str">
        <f>IFERROR(__xludf.DUMMYFUNCTION("TRANSPOSE(QUERY('Cadastro VTR/SEÇÃO/MILITAR'!$A$3:$B2000,""SELECT B WHERE A LIKE '""&amp;'carga de materiais'!D1594&amp;""'""))"),"#REF!")</f>
        <v>#REF!</v>
      </c>
    </row>
    <row r="1594">
      <c r="A1594" s="120" t="str">
        <f>IFERROR(__xludf.DUMMYFUNCTION("TRANSPOSE(QUERY('Cadastro VTR/SEÇÃO/MILITAR'!$A$3:$B2000,""SELECT B WHERE A LIKE '""&amp;'carga de materiais'!D1595&amp;""'""))"),"#REF!")</f>
        <v>#REF!</v>
      </c>
    </row>
    <row r="1595">
      <c r="A1595" s="120" t="str">
        <f>IFERROR(__xludf.DUMMYFUNCTION("TRANSPOSE(QUERY('Cadastro VTR/SEÇÃO/MILITAR'!$A$3:$B2000,""SELECT B WHERE A LIKE '""&amp;'carga de materiais'!D1596&amp;""'""))"),"#REF!")</f>
        <v>#REF!</v>
      </c>
    </row>
    <row r="1596">
      <c r="A1596" s="120" t="str">
        <f>IFERROR(__xludf.DUMMYFUNCTION("TRANSPOSE(QUERY('Cadastro VTR/SEÇÃO/MILITAR'!$A$3:$B2000,""SELECT B WHERE A LIKE '""&amp;'carga de materiais'!D1597&amp;""'""))"),"#REF!")</f>
        <v>#REF!</v>
      </c>
    </row>
    <row r="1597">
      <c r="A1597" s="120" t="str">
        <f>IFERROR(__xludf.DUMMYFUNCTION("TRANSPOSE(QUERY('Cadastro VTR/SEÇÃO/MILITAR'!$A$3:$B2000,""SELECT B WHERE A LIKE '""&amp;'carga de materiais'!D1598&amp;""'""))"),"#REF!")</f>
        <v>#REF!</v>
      </c>
    </row>
    <row r="1598">
      <c r="A1598" s="120" t="str">
        <f>IFERROR(__xludf.DUMMYFUNCTION("TRANSPOSE(QUERY('Cadastro VTR/SEÇÃO/MILITAR'!$A$3:$B2000,""SELECT B WHERE A LIKE '""&amp;'carga de materiais'!D1599&amp;""'""))"),"#REF!")</f>
        <v>#REF!</v>
      </c>
    </row>
    <row r="1599">
      <c r="A1599" s="120" t="str">
        <f>IFERROR(__xludf.DUMMYFUNCTION("TRANSPOSE(QUERY('Cadastro VTR/SEÇÃO/MILITAR'!$A$3:$B2000,""SELECT B WHERE A LIKE '""&amp;'carga de materiais'!D1600&amp;""'""))"),"#REF!")</f>
        <v>#REF!</v>
      </c>
    </row>
    <row r="1600">
      <c r="A1600" s="120" t="str">
        <f>IFERROR(__xludf.DUMMYFUNCTION("TRANSPOSE(QUERY('Cadastro VTR/SEÇÃO/MILITAR'!$A$3:$B2000,""SELECT B WHERE A LIKE '""&amp;'carga de materiais'!D1601&amp;""'""))"),"#REF!")</f>
        <v>#REF!</v>
      </c>
    </row>
    <row r="1601">
      <c r="A1601" s="120" t="str">
        <f>IFERROR(__xludf.DUMMYFUNCTION("TRANSPOSE(QUERY('Cadastro VTR/SEÇÃO/MILITAR'!$A$3:$B2000,""SELECT B WHERE A LIKE '""&amp;'carga de materiais'!D1602&amp;""'""))"),"#REF!")</f>
        <v>#REF!</v>
      </c>
    </row>
    <row r="1602">
      <c r="A1602" s="120" t="str">
        <f>IFERROR(__xludf.DUMMYFUNCTION("TRANSPOSE(QUERY('Cadastro VTR/SEÇÃO/MILITAR'!$A$3:$B2000,""SELECT B WHERE A LIKE '""&amp;'carga de materiais'!D1603&amp;""'""))"),"#REF!")</f>
        <v>#REF!</v>
      </c>
    </row>
    <row r="1603">
      <c r="A1603" s="120" t="str">
        <f>IFERROR(__xludf.DUMMYFUNCTION("TRANSPOSE(QUERY('Cadastro VTR/SEÇÃO/MILITAR'!$A$3:$B2000,""SELECT B WHERE A LIKE '""&amp;'carga de materiais'!D1604&amp;""'""))"),"#REF!")</f>
        <v>#REF!</v>
      </c>
    </row>
    <row r="1604">
      <c r="A1604" s="120" t="str">
        <f>IFERROR(__xludf.DUMMYFUNCTION("TRANSPOSE(QUERY('Cadastro VTR/SEÇÃO/MILITAR'!$A$3:$B2000,""SELECT B WHERE A LIKE '""&amp;'carga de materiais'!D1605&amp;""'""))"),"#REF!")</f>
        <v>#REF!</v>
      </c>
    </row>
    <row r="1605">
      <c r="A1605" s="120" t="str">
        <f>IFERROR(__xludf.DUMMYFUNCTION("TRANSPOSE(QUERY('Cadastro VTR/SEÇÃO/MILITAR'!$A$3:$B2000,""SELECT B WHERE A LIKE '""&amp;'carga de materiais'!D1606&amp;""'""))"),"#REF!")</f>
        <v>#REF!</v>
      </c>
    </row>
    <row r="1606">
      <c r="A1606" s="120" t="str">
        <f>IFERROR(__xludf.DUMMYFUNCTION("TRANSPOSE(QUERY('Cadastro VTR/SEÇÃO/MILITAR'!$A$3:$B2000,""SELECT B WHERE A LIKE '""&amp;'carga de materiais'!D1607&amp;""'""))"),"#REF!")</f>
        <v>#REF!</v>
      </c>
    </row>
    <row r="1607">
      <c r="A1607" s="120" t="str">
        <f>IFERROR(__xludf.DUMMYFUNCTION("TRANSPOSE(QUERY('Cadastro VTR/SEÇÃO/MILITAR'!$A$3:$B2000,""SELECT B WHERE A LIKE '""&amp;'carga de materiais'!D1608&amp;""'""))"),"#REF!")</f>
        <v>#REF!</v>
      </c>
    </row>
    <row r="1608">
      <c r="A1608" s="120" t="str">
        <f>IFERROR(__xludf.DUMMYFUNCTION("TRANSPOSE(QUERY('Cadastro VTR/SEÇÃO/MILITAR'!$A$3:$B2000,""SELECT B WHERE A LIKE '""&amp;'carga de materiais'!D1609&amp;""'""))"),"#REF!")</f>
        <v>#REF!</v>
      </c>
    </row>
    <row r="1609">
      <c r="A1609" s="120" t="str">
        <f>IFERROR(__xludf.DUMMYFUNCTION("TRANSPOSE(QUERY('Cadastro VTR/SEÇÃO/MILITAR'!$A$3:$B2000,""SELECT B WHERE A LIKE '""&amp;'carga de materiais'!D1610&amp;""'""))"),"#REF!")</f>
        <v>#REF!</v>
      </c>
    </row>
    <row r="1610">
      <c r="A1610" s="120" t="str">
        <f>IFERROR(__xludf.DUMMYFUNCTION("TRANSPOSE(QUERY('Cadastro VTR/SEÇÃO/MILITAR'!$A$3:$B2000,""SELECT B WHERE A LIKE '""&amp;'carga de materiais'!D1611&amp;""'""))"),"#REF!")</f>
        <v>#REF!</v>
      </c>
    </row>
    <row r="1611">
      <c r="A1611" s="120" t="str">
        <f>IFERROR(__xludf.DUMMYFUNCTION("TRANSPOSE(QUERY('Cadastro VTR/SEÇÃO/MILITAR'!$A$3:$B2000,""SELECT B WHERE A LIKE '""&amp;'carga de materiais'!D1612&amp;""'""))"),"#REF!")</f>
        <v>#REF!</v>
      </c>
    </row>
    <row r="1612">
      <c r="A1612" s="120" t="str">
        <f>IFERROR(__xludf.DUMMYFUNCTION("TRANSPOSE(QUERY('Cadastro VTR/SEÇÃO/MILITAR'!$A$3:$B2000,""SELECT B WHERE A LIKE '""&amp;'carga de materiais'!D1613&amp;""'""))"),"#REF!")</f>
        <v>#REF!</v>
      </c>
    </row>
    <row r="1613">
      <c r="A1613" s="120" t="str">
        <f>IFERROR(__xludf.DUMMYFUNCTION("TRANSPOSE(QUERY('Cadastro VTR/SEÇÃO/MILITAR'!$A$3:$B2000,""SELECT B WHERE A LIKE '""&amp;'carga de materiais'!D1614&amp;""'""))"),"#REF!")</f>
        <v>#REF!</v>
      </c>
    </row>
    <row r="1614">
      <c r="A1614" s="120" t="str">
        <f>IFERROR(__xludf.DUMMYFUNCTION("TRANSPOSE(QUERY('Cadastro VTR/SEÇÃO/MILITAR'!$A$3:$B2000,""SELECT B WHERE A LIKE '""&amp;'carga de materiais'!D1615&amp;""'""))"),"#REF!")</f>
        <v>#REF!</v>
      </c>
    </row>
    <row r="1615">
      <c r="A1615" s="120" t="str">
        <f>IFERROR(__xludf.DUMMYFUNCTION("TRANSPOSE(QUERY('Cadastro VTR/SEÇÃO/MILITAR'!$A$3:$B2000,""SELECT B WHERE A LIKE '""&amp;'carga de materiais'!D1616&amp;""'""))"),"#REF!")</f>
        <v>#REF!</v>
      </c>
    </row>
    <row r="1616">
      <c r="A1616" s="120" t="str">
        <f>IFERROR(__xludf.DUMMYFUNCTION("TRANSPOSE(QUERY('Cadastro VTR/SEÇÃO/MILITAR'!$A$3:$B2000,""SELECT B WHERE A LIKE '""&amp;'carga de materiais'!D1617&amp;""'""))"),"#REF!")</f>
        <v>#REF!</v>
      </c>
    </row>
    <row r="1617">
      <c r="A1617" s="120" t="str">
        <f>IFERROR(__xludf.DUMMYFUNCTION("TRANSPOSE(QUERY('Cadastro VTR/SEÇÃO/MILITAR'!$A$3:$B2000,""SELECT B WHERE A LIKE '""&amp;'carga de materiais'!D1618&amp;""'""))"),"#REF!")</f>
        <v>#REF!</v>
      </c>
    </row>
    <row r="1618">
      <c r="A1618" s="120" t="str">
        <f>IFERROR(__xludf.DUMMYFUNCTION("TRANSPOSE(QUERY('Cadastro VTR/SEÇÃO/MILITAR'!$A$3:$B2000,""SELECT B WHERE A LIKE '""&amp;'carga de materiais'!D1619&amp;""'""))"),"#REF!")</f>
        <v>#REF!</v>
      </c>
    </row>
    <row r="1619">
      <c r="A1619" s="120" t="str">
        <f>IFERROR(__xludf.DUMMYFUNCTION("TRANSPOSE(QUERY('Cadastro VTR/SEÇÃO/MILITAR'!$A$3:$B2000,""SELECT B WHERE A LIKE '""&amp;'carga de materiais'!D1620&amp;""'""))"),"#REF!")</f>
        <v>#REF!</v>
      </c>
    </row>
    <row r="1620">
      <c r="A1620" s="120" t="str">
        <f>IFERROR(__xludf.DUMMYFUNCTION("TRANSPOSE(QUERY('Cadastro VTR/SEÇÃO/MILITAR'!$A$3:$B2000,""SELECT B WHERE A LIKE '""&amp;'carga de materiais'!D1621&amp;""'""))"),"#REF!")</f>
        <v>#REF!</v>
      </c>
    </row>
    <row r="1621">
      <c r="A1621" s="120" t="str">
        <f>IFERROR(__xludf.DUMMYFUNCTION("TRANSPOSE(QUERY('Cadastro VTR/SEÇÃO/MILITAR'!$A$3:$B2000,""SELECT B WHERE A LIKE '""&amp;'carga de materiais'!D1622&amp;""'""))"),"#REF!")</f>
        <v>#REF!</v>
      </c>
    </row>
    <row r="1622">
      <c r="A1622" s="120" t="str">
        <f>IFERROR(__xludf.DUMMYFUNCTION("TRANSPOSE(QUERY('Cadastro VTR/SEÇÃO/MILITAR'!$A$3:$B2000,""SELECT B WHERE A LIKE '""&amp;'carga de materiais'!D1623&amp;""'""))"),"#REF!")</f>
        <v>#REF!</v>
      </c>
    </row>
    <row r="1623">
      <c r="A1623" s="120" t="str">
        <f>IFERROR(__xludf.DUMMYFUNCTION("TRANSPOSE(QUERY('Cadastro VTR/SEÇÃO/MILITAR'!$A$3:$B2000,""SELECT B WHERE A LIKE '""&amp;'carga de materiais'!D1624&amp;""'""))"),"#REF!")</f>
        <v>#REF!</v>
      </c>
    </row>
    <row r="1624">
      <c r="A1624" s="120" t="str">
        <f>IFERROR(__xludf.DUMMYFUNCTION("TRANSPOSE(QUERY('Cadastro VTR/SEÇÃO/MILITAR'!$A$3:$B2000,""SELECT B WHERE A LIKE '""&amp;'carga de materiais'!D1625&amp;""'""))"),"#REF!")</f>
        <v>#REF!</v>
      </c>
    </row>
    <row r="1625">
      <c r="A1625" s="120" t="str">
        <f>IFERROR(__xludf.DUMMYFUNCTION("TRANSPOSE(QUERY('Cadastro VTR/SEÇÃO/MILITAR'!$A$3:$B2000,""SELECT B WHERE A LIKE '""&amp;'carga de materiais'!D1626&amp;""'""))"),"#REF!")</f>
        <v>#REF!</v>
      </c>
    </row>
    <row r="1626">
      <c r="A1626" s="120" t="str">
        <f>IFERROR(__xludf.DUMMYFUNCTION("TRANSPOSE(QUERY('Cadastro VTR/SEÇÃO/MILITAR'!$A$3:$B2000,""SELECT B WHERE A LIKE '""&amp;'carga de materiais'!D1627&amp;""'""))"),"#REF!")</f>
        <v>#REF!</v>
      </c>
    </row>
    <row r="1627">
      <c r="A1627" s="120" t="str">
        <f>IFERROR(__xludf.DUMMYFUNCTION("TRANSPOSE(QUERY('Cadastro VTR/SEÇÃO/MILITAR'!$A$3:$B2000,""SELECT B WHERE A LIKE '""&amp;'carga de materiais'!D1628&amp;""'""))"),"#REF!")</f>
        <v>#REF!</v>
      </c>
    </row>
    <row r="1628">
      <c r="A1628" s="120" t="str">
        <f>IFERROR(__xludf.DUMMYFUNCTION("TRANSPOSE(QUERY('Cadastro VTR/SEÇÃO/MILITAR'!$A$3:$B2000,""SELECT B WHERE A LIKE '""&amp;'carga de materiais'!D1629&amp;""'""))"),"#REF!")</f>
        <v>#REF!</v>
      </c>
    </row>
    <row r="1629">
      <c r="A1629" s="120" t="str">
        <f>IFERROR(__xludf.DUMMYFUNCTION("TRANSPOSE(QUERY('Cadastro VTR/SEÇÃO/MILITAR'!$A$3:$B2000,""SELECT B WHERE A LIKE '""&amp;'carga de materiais'!D1630&amp;""'""))"),"#REF!")</f>
        <v>#REF!</v>
      </c>
    </row>
    <row r="1630">
      <c r="A1630" s="120" t="str">
        <f>IFERROR(__xludf.DUMMYFUNCTION("TRANSPOSE(QUERY('Cadastro VTR/SEÇÃO/MILITAR'!$A$3:$B2000,""SELECT B WHERE A LIKE '""&amp;'carga de materiais'!D1631&amp;""'""))"),"#REF!")</f>
        <v>#REF!</v>
      </c>
    </row>
    <row r="1631">
      <c r="A1631" s="120" t="str">
        <f>IFERROR(__xludf.DUMMYFUNCTION("TRANSPOSE(QUERY('Cadastro VTR/SEÇÃO/MILITAR'!$A$3:$B2000,""SELECT B WHERE A LIKE '""&amp;'carga de materiais'!D1632&amp;""'""))"),"#REF!")</f>
        <v>#REF!</v>
      </c>
    </row>
    <row r="1632">
      <c r="A1632" s="120" t="str">
        <f>IFERROR(__xludf.DUMMYFUNCTION("TRANSPOSE(QUERY('Cadastro VTR/SEÇÃO/MILITAR'!$A$3:$B2000,""SELECT B WHERE A LIKE '""&amp;'carga de materiais'!D1633&amp;""'""))"),"#REF!")</f>
        <v>#REF!</v>
      </c>
    </row>
    <row r="1633">
      <c r="A1633" s="120" t="str">
        <f>IFERROR(__xludf.DUMMYFUNCTION("TRANSPOSE(QUERY('Cadastro VTR/SEÇÃO/MILITAR'!$A$3:$B2000,""SELECT B WHERE A LIKE '""&amp;'carga de materiais'!D1634&amp;""'""))"),"#REF!")</f>
        <v>#REF!</v>
      </c>
    </row>
    <row r="1634">
      <c r="A1634" s="120" t="str">
        <f>IFERROR(__xludf.DUMMYFUNCTION("TRANSPOSE(QUERY('Cadastro VTR/SEÇÃO/MILITAR'!$A$3:$B2000,""SELECT B WHERE A LIKE '""&amp;'carga de materiais'!D1635&amp;""'""))"),"#REF!")</f>
        <v>#REF!</v>
      </c>
    </row>
    <row r="1635">
      <c r="A1635" s="120" t="str">
        <f>IFERROR(__xludf.DUMMYFUNCTION("TRANSPOSE(QUERY('Cadastro VTR/SEÇÃO/MILITAR'!$A$3:$B2000,""SELECT B WHERE A LIKE '""&amp;'carga de materiais'!D1636&amp;""'""))"),"#REF!")</f>
        <v>#REF!</v>
      </c>
    </row>
    <row r="1636">
      <c r="A1636" s="120" t="str">
        <f>IFERROR(__xludf.DUMMYFUNCTION("TRANSPOSE(QUERY('Cadastro VTR/SEÇÃO/MILITAR'!$A$3:$B2000,""SELECT B WHERE A LIKE '""&amp;'carga de materiais'!D1637&amp;""'""))"),"#REF!")</f>
        <v>#REF!</v>
      </c>
    </row>
    <row r="1637">
      <c r="A1637" s="120" t="str">
        <f>IFERROR(__xludf.DUMMYFUNCTION("TRANSPOSE(QUERY('Cadastro VTR/SEÇÃO/MILITAR'!$A$3:$B2000,""SELECT B WHERE A LIKE '""&amp;'carga de materiais'!D1638&amp;""'""))"),"#REF!")</f>
        <v>#REF!</v>
      </c>
    </row>
    <row r="1638">
      <c r="A1638" s="120" t="str">
        <f>IFERROR(__xludf.DUMMYFUNCTION("TRANSPOSE(QUERY('Cadastro VTR/SEÇÃO/MILITAR'!$A$3:$B2000,""SELECT B WHERE A LIKE '""&amp;'carga de materiais'!D1639&amp;""'""))"),"#REF!")</f>
        <v>#REF!</v>
      </c>
    </row>
    <row r="1639">
      <c r="A1639" s="120" t="str">
        <f>IFERROR(__xludf.DUMMYFUNCTION("TRANSPOSE(QUERY('Cadastro VTR/SEÇÃO/MILITAR'!$A$3:$B2000,""SELECT B WHERE A LIKE '""&amp;'carga de materiais'!D1640&amp;""'""))"),"#REF!")</f>
        <v>#REF!</v>
      </c>
    </row>
    <row r="1640">
      <c r="A1640" s="120" t="str">
        <f>IFERROR(__xludf.DUMMYFUNCTION("TRANSPOSE(QUERY('Cadastro VTR/SEÇÃO/MILITAR'!$A$3:$B2000,""SELECT B WHERE A LIKE '""&amp;'carga de materiais'!D1641&amp;""'""))"),"#REF!")</f>
        <v>#REF!</v>
      </c>
    </row>
    <row r="1641">
      <c r="A1641" s="120" t="str">
        <f>IFERROR(__xludf.DUMMYFUNCTION("TRANSPOSE(QUERY('Cadastro VTR/SEÇÃO/MILITAR'!$A$3:$B2000,""SELECT B WHERE A LIKE '""&amp;'carga de materiais'!D1642&amp;""'""))"),"#REF!")</f>
        <v>#REF!</v>
      </c>
    </row>
    <row r="1642">
      <c r="A1642" s="120" t="str">
        <f>IFERROR(__xludf.DUMMYFUNCTION("TRANSPOSE(QUERY('Cadastro VTR/SEÇÃO/MILITAR'!$A$3:$B2000,""SELECT B WHERE A LIKE '""&amp;'carga de materiais'!D1643&amp;""'""))"),"#REF!")</f>
        <v>#REF!</v>
      </c>
    </row>
    <row r="1643">
      <c r="A1643" s="120" t="str">
        <f>IFERROR(__xludf.DUMMYFUNCTION("TRANSPOSE(QUERY('Cadastro VTR/SEÇÃO/MILITAR'!$A$3:$B2000,""SELECT B WHERE A LIKE '""&amp;'carga de materiais'!D1644&amp;""'""))"),"#REF!")</f>
        <v>#REF!</v>
      </c>
    </row>
    <row r="1644">
      <c r="A1644" s="120" t="str">
        <f>IFERROR(__xludf.DUMMYFUNCTION("TRANSPOSE(QUERY('Cadastro VTR/SEÇÃO/MILITAR'!$A$3:$B2000,""SELECT B WHERE A LIKE '""&amp;'carga de materiais'!D1645&amp;""'""))"),"#REF!")</f>
        <v>#REF!</v>
      </c>
    </row>
    <row r="1645">
      <c r="A1645" s="120" t="str">
        <f>IFERROR(__xludf.DUMMYFUNCTION("TRANSPOSE(QUERY('Cadastro VTR/SEÇÃO/MILITAR'!$A$3:$B2000,""SELECT B WHERE A LIKE '""&amp;'carga de materiais'!D1646&amp;""'""))"),"#REF!")</f>
        <v>#REF!</v>
      </c>
    </row>
    <row r="1646">
      <c r="A1646" s="120" t="str">
        <f>IFERROR(__xludf.DUMMYFUNCTION("TRANSPOSE(QUERY('Cadastro VTR/SEÇÃO/MILITAR'!$A$3:$B2000,""SELECT B WHERE A LIKE '""&amp;'carga de materiais'!D1647&amp;""'""))"),"#REF!")</f>
        <v>#REF!</v>
      </c>
    </row>
    <row r="1647">
      <c r="A1647" s="120" t="str">
        <f>IFERROR(__xludf.DUMMYFUNCTION("TRANSPOSE(QUERY('Cadastro VTR/SEÇÃO/MILITAR'!$A$3:$B2000,""SELECT B WHERE A LIKE '""&amp;'carga de materiais'!D1648&amp;""'""))"),"#REF!")</f>
        <v>#REF!</v>
      </c>
    </row>
    <row r="1648">
      <c r="A1648" s="120" t="str">
        <f>IFERROR(__xludf.DUMMYFUNCTION("TRANSPOSE(QUERY('Cadastro VTR/SEÇÃO/MILITAR'!$A$3:$B2000,""SELECT B WHERE A LIKE '""&amp;'carga de materiais'!D1649&amp;""'""))"),"#REF!")</f>
        <v>#REF!</v>
      </c>
    </row>
    <row r="1649">
      <c r="A1649" s="120" t="str">
        <f>IFERROR(__xludf.DUMMYFUNCTION("TRANSPOSE(QUERY('Cadastro VTR/SEÇÃO/MILITAR'!$A$3:$B2000,""SELECT B WHERE A LIKE '""&amp;'carga de materiais'!D1650&amp;""'""))"),"#REF!")</f>
        <v>#REF!</v>
      </c>
    </row>
    <row r="1650">
      <c r="A1650" s="120" t="str">
        <f>IFERROR(__xludf.DUMMYFUNCTION("TRANSPOSE(QUERY('Cadastro VTR/SEÇÃO/MILITAR'!$A$3:$B2000,""SELECT B WHERE A LIKE '""&amp;'carga de materiais'!D1651&amp;""'""))"),"#REF!")</f>
        <v>#REF!</v>
      </c>
    </row>
    <row r="1651">
      <c r="A1651" s="120" t="str">
        <f>IFERROR(__xludf.DUMMYFUNCTION("TRANSPOSE(QUERY('Cadastro VTR/SEÇÃO/MILITAR'!$A$3:$B2000,""SELECT B WHERE A LIKE '""&amp;'carga de materiais'!D1652&amp;""'""))"),"#REF!")</f>
        <v>#REF!</v>
      </c>
    </row>
    <row r="1652">
      <c r="A1652" s="120" t="str">
        <f>IFERROR(__xludf.DUMMYFUNCTION("TRANSPOSE(QUERY('Cadastro VTR/SEÇÃO/MILITAR'!$A$3:$B2000,""SELECT B WHERE A LIKE '""&amp;'carga de materiais'!D1653&amp;""'""))"),"#REF!")</f>
        <v>#REF!</v>
      </c>
    </row>
    <row r="1653">
      <c r="A1653" s="120" t="str">
        <f>IFERROR(__xludf.DUMMYFUNCTION("TRANSPOSE(QUERY('Cadastro VTR/SEÇÃO/MILITAR'!$A$3:$B2000,""SELECT B WHERE A LIKE '""&amp;'carga de materiais'!D1654&amp;""'""))"),"#REF!")</f>
        <v>#REF!</v>
      </c>
    </row>
    <row r="1654">
      <c r="A1654" s="120" t="str">
        <f>IFERROR(__xludf.DUMMYFUNCTION("TRANSPOSE(QUERY('Cadastro VTR/SEÇÃO/MILITAR'!$A$3:$B2000,""SELECT B WHERE A LIKE '""&amp;'carga de materiais'!D1655&amp;""'""))"),"#REF!")</f>
        <v>#REF!</v>
      </c>
    </row>
    <row r="1655">
      <c r="A1655" s="120" t="str">
        <f>IFERROR(__xludf.DUMMYFUNCTION("TRANSPOSE(QUERY('Cadastro VTR/SEÇÃO/MILITAR'!$A$3:$B2000,""SELECT B WHERE A LIKE '""&amp;'carga de materiais'!D1656&amp;""'""))"),"#REF!")</f>
        <v>#REF!</v>
      </c>
    </row>
    <row r="1656">
      <c r="A1656" s="120" t="str">
        <f>IFERROR(__xludf.DUMMYFUNCTION("TRANSPOSE(QUERY('Cadastro VTR/SEÇÃO/MILITAR'!$A$3:$B2000,""SELECT B WHERE A LIKE '""&amp;'carga de materiais'!D1657&amp;""'""))"),"#REF!")</f>
        <v>#REF!</v>
      </c>
    </row>
    <row r="1657">
      <c r="A1657" s="120" t="str">
        <f>IFERROR(__xludf.DUMMYFUNCTION("TRANSPOSE(QUERY('Cadastro VTR/SEÇÃO/MILITAR'!$A$3:$B2000,""SELECT B WHERE A LIKE '""&amp;'carga de materiais'!D1658&amp;""'""))"),"#REF!")</f>
        <v>#REF!</v>
      </c>
    </row>
    <row r="1658">
      <c r="A1658" s="120" t="str">
        <f>IFERROR(__xludf.DUMMYFUNCTION("TRANSPOSE(QUERY('Cadastro VTR/SEÇÃO/MILITAR'!$A$3:$B2000,""SELECT B WHERE A LIKE '""&amp;'carga de materiais'!D1659&amp;""'""))"),"#REF!")</f>
        <v>#REF!</v>
      </c>
    </row>
    <row r="1659">
      <c r="A1659" s="120" t="str">
        <f>IFERROR(__xludf.DUMMYFUNCTION("TRANSPOSE(QUERY('Cadastro VTR/SEÇÃO/MILITAR'!$A$3:$B2000,""SELECT B WHERE A LIKE '""&amp;'carga de materiais'!D1660&amp;""'""))"),"#REF!")</f>
        <v>#REF!</v>
      </c>
    </row>
    <row r="1660">
      <c r="A1660" s="120" t="str">
        <f>IFERROR(__xludf.DUMMYFUNCTION("TRANSPOSE(QUERY('Cadastro VTR/SEÇÃO/MILITAR'!$A$3:$B2000,""SELECT B WHERE A LIKE '""&amp;'carga de materiais'!D1661&amp;""'""))"),"#REF!")</f>
        <v>#REF!</v>
      </c>
    </row>
    <row r="1661">
      <c r="A1661" s="120" t="str">
        <f>IFERROR(__xludf.DUMMYFUNCTION("TRANSPOSE(QUERY('Cadastro VTR/SEÇÃO/MILITAR'!$A$3:$B2000,""SELECT B WHERE A LIKE '""&amp;'carga de materiais'!D1662&amp;""'""))"),"#REF!")</f>
        <v>#REF!</v>
      </c>
    </row>
    <row r="1662">
      <c r="A1662" s="120" t="str">
        <f>IFERROR(__xludf.DUMMYFUNCTION("TRANSPOSE(QUERY('Cadastro VTR/SEÇÃO/MILITAR'!$A$3:$B2000,""SELECT B WHERE A LIKE '""&amp;'carga de materiais'!D1663&amp;""'""))"),"#REF!")</f>
        <v>#REF!</v>
      </c>
    </row>
    <row r="1663">
      <c r="A1663" s="120" t="str">
        <f>IFERROR(__xludf.DUMMYFUNCTION("TRANSPOSE(QUERY('Cadastro VTR/SEÇÃO/MILITAR'!$A$3:$B2000,""SELECT B WHERE A LIKE '""&amp;'carga de materiais'!D1664&amp;""'""))"),"#REF!")</f>
        <v>#REF!</v>
      </c>
    </row>
    <row r="1664">
      <c r="A1664" s="120" t="str">
        <f>IFERROR(__xludf.DUMMYFUNCTION("TRANSPOSE(QUERY('Cadastro VTR/SEÇÃO/MILITAR'!$A$3:$B2000,""SELECT B WHERE A LIKE '""&amp;'carga de materiais'!D1665&amp;""'""))"),"#REF!")</f>
        <v>#REF!</v>
      </c>
    </row>
    <row r="1665">
      <c r="A1665" s="120" t="str">
        <f>IFERROR(__xludf.DUMMYFUNCTION("TRANSPOSE(QUERY('Cadastro VTR/SEÇÃO/MILITAR'!$A$3:$B2000,""SELECT B WHERE A LIKE '""&amp;'carga de materiais'!D1666&amp;""'""))"),"#REF!")</f>
        <v>#REF!</v>
      </c>
    </row>
    <row r="1666">
      <c r="A1666" s="120" t="str">
        <f>IFERROR(__xludf.DUMMYFUNCTION("TRANSPOSE(QUERY('Cadastro VTR/SEÇÃO/MILITAR'!$A$3:$B2000,""SELECT B WHERE A LIKE '""&amp;'carga de materiais'!D1667&amp;""'""))"),"#REF!")</f>
        <v>#REF!</v>
      </c>
    </row>
    <row r="1667">
      <c r="A1667" s="120" t="str">
        <f>IFERROR(__xludf.DUMMYFUNCTION("TRANSPOSE(QUERY('Cadastro VTR/SEÇÃO/MILITAR'!$A$3:$B2000,""SELECT B WHERE A LIKE '""&amp;'carga de materiais'!D1668&amp;""'""))"),"#REF!")</f>
        <v>#REF!</v>
      </c>
    </row>
    <row r="1668">
      <c r="A1668" s="120" t="str">
        <f>IFERROR(__xludf.DUMMYFUNCTION("TRANSPOSE(QUERY('Cadastro VTR/SEÇÃO/MILITAR'!$A$3:$B2000,""SELECT B WHERE A LIKE '""&amp;'carga de materiais'!D1669&amp;""'""))"),"#REF!")</f>
        <v>#REF!</v>
      </c>
    </row>
    <row r="1669">
      <c r="A1669" s="120" t="str">
        <f>IFERROR(__xludf.DUMMYFUNCTION("TRANSPOSE(QUERY('Cadastro VTR/SEÇÃO/MILITAR'!$A$3:$B2000,""SELECT B WHERE A LIKE '""&amp;'carga de materiais'!D1670&amp;""'""))"),"#REF!")</f>
        <v>#REF!</v>
      </c>
    </row>
    <row r="1670">
      <c r="A1670" s="120" t="str">
        <f>IFERROR(__xludf.DUMMYFUNCTION("TRANSPOSE(QUERY('Cadastro VTR/SEÇÃO/MILITAR'!$A$3:$B2000,""SELECT B WHERE A LIKE '""&amp;'carga de materiais'!D1671&amp;""'""))"),"#REF!")</f>
        <v>#REF!</v>
      </c>
    </row>
    <row r="1671">
      <c r="A1671" s="120" t="str">
        <f>IFERROR(__xludf.DUMMYFUNCTION("TRANSPOSE(QUERY('Cadastro VTR/SEÇÃO/MILITAR'!$A$3:$B2000,""SELECT B WHERE A LIKE '""&amp;'carga de materiais'!D1672&amp;""'""))"),"#REF!")</f>
        <v>#REF!</v>
      </c>
    </row>
    <row r="1672">
      <c r="A1672" s="120" t="str">
        <f>IFERROR(__xludf.DUMMYFUNCTION("TRANSPOSE(QUERY('Cadastro VTR/SEÇÃO/MILITAR'!$A$3:$B2000,""SELECT B WHERE A LIKE '""&amp;'carga de materiais'!D1673&amp;""'""))"),"#REF!")</f>
        <v>#REF!</v>
      </c>
    </row>
    <row r="1673">
      <c r="A1673" s="120" t="str">
        <f>IFERROR(__xludf.DUMMYFUNCTION("TRANSPOSE(QUERY('Cadastro VTR/SEÇÃO/MILITAR'!$A$3:$B2000,""SELECT B WHERE A LIKE '""&amp;'carga de materiais'!D1674&amp;""'""))"),"#REF!")</f>
        <v>#REF!</v>
      </c>
    </row>
    <row r="1674">
      <c r="A1674" s="120" t="str">
        <f>IFERROR(__xludf.DUMMYFUNCTION("TRANSPOSE(QUERY('Cadastro VTR/SEÇÃO/MILITAR'!$A$3:$B2000,""SELECT B WHERE A LIKE '""&amp;'carga de materiais'!D1675&amp;""'""))"),"#REF!")</f>
        <v>#REF!</v>
      </c>
    </row>
    <row r="1675">
      <c r="A1675" s="120" t="str">
        <f>IFERROR(__xludf.DUMMYFUNCTION("TRANSPOSE(QUERY('Cadastro VTR/SEÇÃO/MILITAR'!$A$3:$B2000,""SELECT B WHERE A LIKE '""&amp;'carga de materiais'!D1676&amp;""'""))"),"#REF!")</f>
        <v>#REF!</v>
      </c>
    </row>
    <row r="1676">
      <c r="A1676" s="120" t="str">
        <f>IFERROR(__xludf.DUMMYFUNCTION("TRANSPOSE(QUERY('Cadastro VTR/SEÇÃO/MILITAR'!$A$3:$B2000,""SELECT B WHERE A LIKE '""&amp;'carga de materiais'!D1677&amp;""'""))"),"#REF!")</f>
        <v>#REF!</v>
      </c>
    </row>
    <row r="1677">
      <c r="A1677" s="120" t="str">
        <f>IFERROR(__xludf.DUMMYFUNCTION("TRANSPOSE(QUERY('Cadastro VTR/SEÇÃO/MILITAR'!$A$3:$B2000,""SELECT B WHERE A LIKE '""&amp;'carga de materiais'!D1678&amp;""'""))"),"#REF!")</f>
        <v>#REF!</v>
      </c>
    </row>
    <row r="1678">
      <c r="A1678" s="120" t="str">
        <f>IFERROR(__xludf.DUMMYFUNCTION("TRANSPOSE(QUERY('Cadastro VTR/SEÇÃO/MILITAR'!$A$3:$B2000,""SELECT B WHERE A LIKE '""&amp;'carga de materiais'!D1679&amp;""'""))"),"#REF!")</f>
        <v>#REF!</v>
      </c>
    </row>
    <row r="1679">
      <c r="A1679" s="120" t="str">
        <f>IFERROR(__xludf.DUMMYFUNCTION("TRANSPOSE(QUERY('Cadastro VTR/SEÇÃO/MILITAR'!$A$3:$B2000,""SELECT B WHERE A LIKE '""&amp;'carga de materiais'!D1680&amp;""'""))"),"#REF!")</f>
        <v>#REF!</v>
      </c>
    </row>
    <row r="1680">
      <c r="A1680" s="120" t="str">
        <f>IFERROR(__xludf.DUMMYFUNCTION("TRANSPOSE(QUERY('Cadastro VTR/SEÇÃO/MILITAR'!$A$3:$B2000,""SELECT B WHERE A LIKE '""&amp;'carga de materiais'!D1681&amp;""'""))"),"#REF!")</f>
        <v>#REF!</v>
      </c>
    </row>
    <row r="1681">
      <c r="A1681" s="120" t="str">
        <f>IFERROR(__xludf.DUMMYFUNCTION("TRANSPOSE(QUERY('Cadastro VTR/SEÇÃO/MILITAR'!$A$3:$B2000,""SELECT B WHERE A LIKE '""&amp;'carga de materiais'!D1682&amp;""'""))"),"#REF!")</f>
        <v>#REF!</v>
      </c>
    </row>
    <row r="1682">
      <c r="A1682" s="120" t="str">
        <f>IFERROR(__xludf.DUMMYFUNCTION("TRANSPOSE(QUERY('Cadastro VTR/SEÇÃO/MILITAR'!$A$3:$B2000,""SELECT B WHERE A LIKE '""&amp;'carga de materiais'!D1683&amp;""'""))"),"#REF!")</f>
        <v>#REF!</v>
      </c>
    </row>
    <row r="1683">
      <c r="A1683" s="120" t="str">
        <f>IFERROR(__xludf.DUMMYFUNCTION("TRANSPOSE(QUERY('Cadastro VTR/SEÇÃO/MILITAR'!$A$3:$B2000,""SELECT B WHERE A LIKE '""&amp;'carga de materiais'!D1684&amp;""'""))"),"#REF!")</f>
        <v>#REF!</v>
      </c>
    </row>
    <row r="1684">
      <c r="A1684" s="120" t="str">
        <f>IFERROR(__xludf.DUMMYFUNCTION("TRANSPOSE(QUERY('Cadastro VTR/SEÇÃO/MILITAR'!$A$3:$B2000,""SELECT B WHERE A LIKE '""&amp;'carga de materiais'!D1685&amp;""'""))"),"#REF!")</f>
        <v>#REF!</v>
      </c>
    </row>
    <row r="1685">
      <c r="A1685" s="120" t="str">
        <f>IFERROR(__xludf.DUMMYFUNCTION("TRANSPOSE(QUERY('Cadastro VTR/SEÇÃO/MILITAR'!$A$3:$B2000,""SELECT B WHERE A LIKE '""&amp;'carga de materiais'!D1686&amp;""'""))"),"#REF!")</f>
        <v>#REF!</v>
      </c>
    </row>
    <row r="1686">
      <c r="A1686" s="120" t="str">
        <f>IFERROR(__xludf.DUMMYFUNCTION("TRANSPOSE(QUERY('Cadastro VTR/SEÇÃO/MILITAR'!$A$3:$B2000,""SELECT B WHERE A LIKE '""&amp;'carga de materiais'!D1687&amp;""'""))"),"#REF!")</f>
        <v>#REF!</v>
      </c>
    </row>
    <row r="1687">
      <c r="A1687" s="120" t="str">
        <f>IFERROR(__xludf.DUMMYFUNCTION("TRANSPOSE(QUERY('Cadastro VTR/SEÇÃO/MILITAR'!$A$3:$B2000,""SELECT B WHERE A LIKE '""&amp;'carga de materiais'!D1688&amp;""'""))"),"#REF!")</f>
        <v>#REF!</v>
      </c>
    </row>
    <row r="1688">
      <c r="A1688" s="120" t="str">
        <f>IFERROR(__xludf.DUMMYFUNCTION("TRANSPOSE(QUERY('Cadastro VTR/SEÇÃO/MILITAR'!$A$3:$B2000,""SELECT B WHERE A LIKE '""&amp;'carga de materiais'!D1689&amp;""'""))"),"#REF!")</f>
        <v>#REF!</v>
      </c>
    </row>
    <row r="1689">
      <c r="A1689" s="120" t="str">
        <f>IFERROR(__xludf.DUMMYFUNCTION("TRANSPOSE(QUERY('Cadastro VTR/SEÇÃO/MILITAR'!$A$3:$B2000,""SELECT B WHERE A LIKE '""&amp;'carga de materiais'!D1690&amp;""'""))"),"#REF!")</f>
        <v>#REF!</v>
      </c>
    </row>
    <row r="1690">
      <c r="A1690" s="120" t="str">
        <f>IFERROR(__xludf.DUMMYFUNCTION("TRANSPOSE(QUERY('Cadastro VTR/SEÇÃO/MILITAR'!$A$3:$B2000,""SELECT B WHERE A LIKE '""&amp;'carga de materiais'!D1691&amp;""'""))"),"#REF!")</f>
        <v>#REF!</v>
      </c>
    </row>
    <row r="1691">
      <c r="A1691" s="120" t="str">
        <f>IFERROR(__xludf.DUMMYFUNCTION("TRANSPOSE(QUERY('Cadastro VTR/SEÇÃO/MILITAR'!$A$3:$B2000,""SELECT B WHERE A LIKE '""&amp;'carga de materiais'!D1692&amp;""'""))"),"#REF!")</f>
        <v>#REF!</v>
      </c>
    </row>
    <row r="1692">
      <c r="A1692" s="120" t="str">
        <f>IFERROR(__xludf.DUMMYFUNCTION("TRANSPOSE(QUERY('Cadastro VTR/SEÇÃO/MILITAR'!$A$3:$B2000,""SELECT B WHERE A LIKE '""&amp;'carga de materiais'!D1693&amp;""'""))"),"#REF!")</f>
        <v>#REF!</v>
      </c>
    </row>
    <row r="1693">
      <c r="A1693" s="120" t="str">
        <f>IFERROR(__xludf.DUMMYFUNCTION("TRANSPOSE(QUERY('Cadastro VTR/SEÇÃO/MILITAR'!$A$3:$B2000,""SELECT B WHERE A LIKE '""&amp;'carga de materiais'!D1694&amp;""'""))"),"#REF!")</f>
        <v>#REF!</v>
      </c>
    </row>
    <row r="1694">
      <c r="A1694" s="120" t="str">
        <f>IFERROR(__xludf.DUMMYFUNCTION("TRANSPOSE(QUERY('Cadastro VTR/SEÇÃO/MILITAR'!$A$3:$B2000,""SELECT B WHERE A LIKE '""&amp;'carga de materiais'!D1695&amp;""'""))"),"#REF!")</f>
        <v>#REF!</v>
      </c>
    </row>
    <row r="1695">
      <c r="A1695" s="120" t="str">
        <f>IFERROR(__xludf.DUMMYFUNCTION("TRANSPOSE(QUERY('Cadastro VTR/SEÇÃO/MILITAR'!$A$3:$B2000,""SELECT B WHERE A LIKE '""&amp;'carga de materiais'!D1696&amp;""'""))"),"#REF!")</f>
        <v>#REF!</v>
      </c>
    </row>
    <row r="1696">
      <c r="A1696" s="120" t="str">
        <f>IFERROR(__xludf.DUMMYFUNCTION("TRANSPOSE(QUERY('Cadastro VTR/SEÇÃO/MILITAR'!$A$3:$B2000,""SELECT B WHERE A LIKE '""&amp;'carga de materiais'!D1697&amp;""'""))"),"#REF!")</f>
        <v>#REF!</v>
      </c>
    </row>
    <row r="1697">
      <c r="A1697" s="120" t="str">
        <f>IFERROR(__xludf.DUMMYFUNCTION("TRANSPOSE(QUERY('Cadastro VTR/SEÇÃO/MILITAR'!$A$3:$B2000,""SELECT B WHERE A LIKE '""&amp;'carga de materiais'!D1698&amp;""'""))"),"#REF!")</f>
        <v>#REF!</v>
      </c>
    </row>
    <row r="1698">
      <c r="A1698" s="120" t="str">
        <f>IFERROR(__xludf.DUMMYFUNCTION("TRANSPOSE(QUERY('Cadastro VTR/SEÇÃO/MILITAR'!$A$3:$B2000,""SELECT B WHERE A LIKE '""&amp;'carga de materiais'!D1699&amp;""'""))"),"#REF!")</f>
        <v>#REF!</v>
      </c>
    </row>
    <row r="1699">
      <c r="A1699" s="120" t="str">
        <f>IFERROR(__xludf.DUMMYFUNCTION("TRANSPOSE(QUERY('Cadastro VTR/SEÇÃO/MILITAR'!$A$3:$B2000,""SELECT B WHERE A LIKE '""&amp;'carga de materiais'!D1700&amp;""'""))"),"#REF!")</f>
        <v>#REF!</v>
      </c>
    </row>
    <row r="1700">
      <c r="A1700" s="120" t="str">
        <f>IFERROR(__xludf.DUMMYFUNCTION("TRANSPOSE(QUERY('Cadastro VTR/SEÇÃO/MILITAR'!$A$3:$B2000,""SELECT B WHERE A LIKE '""&amp;'carga de materiais'!D1701&amp;""'""))"),"#REF!")</f>
        <v>#REF!</v>
      </c>
    </row>
    <row r="1701">
      <c r="A1701" s="120" t="str">
        <f>IFERROR(__xludf.DUMMYFUNCTION("TRANSPOSE(QUERY('Cadastro VTR/SEÇÃO/MILITAR'!$A$3:$B2000,""SELECT B WHERE A LIKE '""&amp;'carga de materiais'!D1702&amp;""'""))"),"#REF!")</f>
        <v>#REF!</v>
      </c>
    </row>
    <row r="1702">
      <c r="A1702" s="120" t="str">
        <f>IFERROR(__xludf.DUMMYFUNCTION("TRANSPOSE(QUERY('Cadastro VTR/SEÇÃO/MILITAR'!$A$3:$B2000,""SELECT B WHERE A LIKE '""&amp;'carga de materiais'!D1703&amp;""'""))"),"#REF!")</f>
        <v>#REF!</v>
      </c>
    </row>
    <row r="1703">
      <c r="A1703" s="120" t="str">
        <f>IFERROR(__xludf.DUMMYFUNCTION("TRANSPOSE(QUERY('Cadastro VTR/SEÇÃO/MILITAR'!$A$3:$B2000,""SELECT B WHERE A LIKE '""&amp;'carga de materiais'!D1704&amp;""'""))"),"#REF!")</f>
        <v>#REF!</v>
      </c>
    </row>
    <row r="1704">
      <c r="A1704" s="120" t="str">
        <f>IFERROR(__xludf.DUMMYFUNCTION("TRANSPOSE(QUERY('Cadastro VTR/SEÇÃO/MILITAR'!$A$3:$B2000,""SELECT B WHERE A LIKE '""&amp;'carga de materiais'!D1705&amp;""'""))"),"#REF!")</f>
        <v>#REF!</v>
      </c>
    </row>
    <row r="1705">
      <c r="A1705" s="120" t="str">
        <f>IFERROR(__xludf.DUMMYFUNCTION("TRANSPOSE(QUERY('Cadastro VTR/SEÇÃO/MILITAR'!$A$3:$B2000,""SELECT B WHERE A LIKE '""&amp;'carga de materiais'!D1706&amp;""'""))"),"#REF!")</f>
        <v>#REF!</v>
      </c>
    </row>
    <row r="1706">
      <c r="A1706" s="120" t="str">
        <f>IFERROR(__xludf.DUMMYFUNCTION("TRANSPOSE(QUERY('Cadastro VTR/SEÇÃO/MILITAR'!$A$3:$B2000,""SELECT B WHERE A LIKE '""&amp;'carga de materiais'!D1707&amp;""'""))"),"#REF!")</f>
        <v>#REF!</v>
      </c>
    </row>
    <row r="1707">
      <c r="A1707" s="120" t="str">
        <f>IFERROR(__xludf.DUMMYFUNCTION("TRANSPOSE(QUERY('Cadastro VTR/SEÇÃO/MILITAR'!$A$3:$B2000,""SELECT B WHERE A LIKE '""&amp;'carga de materiais'!D1708&amp;""'""))"),"#REF!")</f>
        <v>#REF!</v>
      </c>
    </row>
    <row r="1708">
      <c r="A1708" s="120" t="str">
        <f>IFERROR(__xludf.DUMMYFUNCTION("TRANSPOSE(QUERY('Cadastro VTR/SEÇÃO/MILITAR'!$A$3:$B2000,""SELECT B WHERE A LIKE '""&amp;'carga de materiais'!D1709&amp;""'""))"),"#REF!")</f>
        <v>#REF!</v>
      </c>
    </row>
    <row r="1709">
      <c r="A1709" s="120" t="str">
        <f>IFERROR(__xludf.DUMMYFUNCTION("TRANSPOSE(QUERY('Cadastro VTR/SEÇÃO/MILITAR'!$A$3:$B2000,""SELECT B WHERE A LIKE '""&amp;'carga de materiais'!D1710&amp;""'""))"),"#REF!")</f>
        <v>#REF!</v>
      </c>
    </row>
    <row r="1710">
      <c r="A1710" s="120" t="str">
        <f>IFERROR(__xludf.DUMMYFUNCTION("TRANSPOSE(QUERY('Cadastro VTR/SEÇÃO/MILITAR'!$A$3:$B2000,""SELECT B WHERE A LIKE '""&amp;'carga de materiais'!D1711&amp;""'""))"),"#REF!")</f>
        <v>#REF!</v>
      </c>
    </row>
    <row r="1711">
      <c r="A1711" s="120" t="str">
        <f>IFERROR(__xludf.DUMMYFUNCTION("TRANSPOSE(QUERY('Cadastro VTR/SEÇÃO/MILITAR'!$A$3:$B2000,""SELECT B WHERE A LIKE '""&amp;'carga de materiais'!D1712&amp;""'""))"),"#REF!")</f>
        <v>#REF!</v>
      </c>
    </row>
    <row r="1712">
      <c r="A1712" s="120" t="str">
        <f>IFERROR(__xludf.DUMMYFUNCTION("TRANSPOSE(QUERY('Cadastro VTR/SEÇÃO/MILITAR'!$A$3:$B2000,""SELECT B WHERE A LIKE '""&amp;'carga de materiais'!D1713&amp;""'""))"),"#REF!")</f>
        <v>#REF!</v>
      </c>
    </row>
    <row r="1713">
      <c r="A1713" s="120" t="str">
        <f>IFERROR(__xludf.DUMMYFUNCTION("TRANSPOSE(QUERY('Cadastro VTR/SEÇÃO/MILITAR'!$A$3:$B2000,""SELECT B WHERE A LIKE '""&amp;'carga de materiais'!D1714&amp;""'""))"),"#REF!")</f>
        <v>#REF!</v>
      </c>
    </row>
    <row r="1714">
      <c r="A1714" s="120" t="str">
        <f>IFERROR(__xludf.DUMMYFUNCTION("TRANSPOSE(QUERY('Cadastro VTR/SEÇÃO/MILITAR'!$A$3:$B2000,""SELECT B WHERE A LIKE '""&amp;'carga de materiais'!D1715&amp;""'""))"),"#REF!")</f>
        <v>#REF!</v>
      </c>
    </row>
    <row r="1715">
      <c r="A1715" s="120" t="str">
        <f>IFERROR(__xludf.DUMMYFUNCTION("TRANSPOSE(QUERY('Cadastro VTR/SEÇÃO/MILITAR'!$A$3:$B2000,""SELECT B WHERE A LIKE '""&amp;'carga de materiais'!D1716&amp;""'""))"),"#REF!")</f>
        <v>#REF!</v>
      </c>
    </row>
    <row r="1716">
      <c r="A1716" s="120" t="str">
        <f>IFERROR(__xludf.DUMMYFUNCTION("TRANSPOSE(QUERY('Cadastro VTR/SEÇÃO/MILITAR'!$A$3:$B2000,""SELECT B WHERE A LIKE '""&amp;'carga de materiais'!D1717&amp;""'""))"),"#REF!")</f>
        <v>#REF!</v>
      </c>
    </row>
    <row r="1717">
      <c r="A1717" s="120" t="str">
        <f>IFERROR(__xludf.DUMMYFUNCTION("TRANSPOSE(QUERY('Cadastro VTR/SEÇÃO/MILITAR'!$A$3:$B2000,""SELECT B WHERE A LIKE '""&amp;'carga de materiais'!D1718&amp;""'""))"),"#REF!")</f>
        <v>#REF!</v>
      </c>
    </row>
    <row r="1718">
      <c r="A1718" s="120" t="str">
        <f>IFERROR(__xludf.DUMMYFUNCTION("TRANSPOSE(QUERY('Cadastro VTR/SEÇÃO/MILITAR'!$A$3:$B2000,""SELECT B WHERE A LIKE '""&amp;'carga de materiais'!D1719&amp;""'""))"),"#REF!")</f>
        <v>#REF!</v>
      </c>
    </row>
    <row r="1719">
      <c r="A1719" s="120" t="str">
        <f>IFERROR(__xludf.DUMMYFUNCTION("TRANSPOSE(QUERY('Cadastro VTR/SEÇÃO/MILITAR'!$A$3:$B2000,""SELECT B WHERE A LIKE '""&amp;'carga de materiais'!D1720&amp;""'""))"),"#REF!")</f>
        <v>#REF!</v>
      </c>
    </row>
    <row r="1720">
      <c r="A1720" s="120" t="str">
        <f>IFERROR(__xludf.DUMMYFUNCTION("TRANSPOSE(QUERY('Cadastro VTR/SEÇÃO/MILITAR'!$A$3:$B2000,""SELECT B WHERE A LIKE '""&amp;'carga de materiais'!D1721&amp;""'""))"),"#REF!")</f>
        <v>#REF!</v>
      </c>
    </row>
    <row r="1721">
      <c r="A1721" s="120" t="str">
        <f>IFERROR(__xludf.DUMMYFUNCTION("TRANSPOSE(QUERY('Cadastro VTR/SEÇÃO/MILITAR'!$A$3:$B2000,""SELECT B WHERE A LIKE '""&amp;'carga de materiais'!D1722&amp;""'""))"),"#REF!")</f>
        <v>#REF!</v>
      </c>
    </row>
    <row r="1722">
      <c r="A1722" s="120" t="str">
        <f>IFERROR(__xludf.DUMMYFUNCTION("TRANSPOSE(QUERY('Cadastro VTR/SEÇÃO/MILITAR'!$A$3:$B2000,""SELECT B WHERE A LIKE '""&amp;'carga de materiais'!D1723&amp;""'""))"),"#REF!")</f>
        <v>#REF!</v>
      </c>
    </row>
    <row r="1723">
      <c r="A1723" s="120" t="str">
        <f>IFERROR(__xludf.DUMMYFUNCTION("TRANSPOSE(QUERY('Cadastro VTR/SEÇÃO/MILITAR'!$A$3:$B2000,""SELECT B WHERE A LIKE '""&amp;'carga de materiais'!D1724&amp;""'""))"),"#REF!")</f>
        <v>#REF!</v>
      </c>
    </row>
    <row r="1724">
      <c r="A1724" s="120" t="str">
        <f>IFERROR(__xludf.DUMMYFUNCTION("TRANSPOSE(QUERY('Cadastro VTR/SEÇÃO/MILITAR'!$A$3:$B2000,""SELECT B WHERE A LIKE '""&amp;'carga de materiais'!D1725&amp;""'""))"),"#REF!")</f>
        <v>#REF!</v>
      </c>
    </row>
    <row r="1725">
      <c r="A1725" s="120" t="str">
        <f>IFERROR(__xludf.DUMMYFUNCTION("TRANSPOSE(QUERY('Cadastro VTR/SEÇÃO/MILITAR'!$A$3:$B2000,""SELECT B WHERE A LIKE '""&amp;'carga de materiais'!D1726&amp;""'""))"),"#REF!")</f>
        <v>#REF!</v>
      </c>
    </row>
    <row r="1726">
      <c r="A1726" s="120" t="str">
        <f>IFERROR(__xludf.DUMMYFUNCTION("TRANSPOSE(QUERY('Cadastro VTR/SEÇÃO/MILITAR'!$A$3:$B2000,""SELECT B WHERE A LIKE '""&amp;'carga de materiais'!D1727&amp;""'""))"),"#REF!")</f>
        <v>#REF!</v>
      </c>
    </row>
    <row r="1727">
      <c r="A1727" s="120" t="str">
        <f>IFERROR(__xludf.DUMMYFUNCTION("TRANSPOSE(QUERY('Cadastro VTR/SEÇÃO/MILITAR'!$A$3:$B2000,""SELECT B WHERE A LIKE '""&amp;'carga de materiais'!D1728&amp;""'""))"),"#REF!")</f>
        <v>#REF!</v>
      </c>
    </row>
    <row r="1728">
      <c r="A1728" s="120" t="str">
        <f>IFERROR(__xludf.DUMMYFUNCTION("TRANSPOSE(QUERY('Cadastro VTR/SEÇÃO/MILITAR'!$A$3:$B2000,""SELECT B WHERE A LIKE '""&amp;'carga de materiais'!D1729&amp;""'""))"),"#REF!")</f>
        <v>#REF!</v>
      </c>
    </row>
    <row r="1729">
      <c r="A1729" s="120" t="str">
        <f>IFERROR(__xludf.DUMMYFUNCTION("TRANSPOSE(QUERY('Cadastro VTR/SEÇÃO/MILITAR'!$A$3:$B2000,""SELECT B WHERE A LIKE '""&amp;'carga de materiais'!D1730&amp;""'""))"),"#REF!")</f>
        <v>#REF!</v>
      </c>
    </row>
    <row r="1730">
      <c r="A1730" s="120" t="str">
        <f>IFERROR(__xludf.DUMMYFUNCTION("TRANSPOSE(QUERY('Cadastro VTR/SEÇÃO/MILITAR'!$A$3:$B2000,""SELECT B WHERE A LIKE '""&amp;'carga de materiais'!D1731&amp;""'""))"),"#REF!")</f>
        <v>#REF!</v>
      </c>
    </row>
    <row r="1731">
      <c r="A1731" s="120" t="str">
        <f>IFERROR(__xludf.DUMMYFUNCTION("TRANSPOSE(QUERY('Cadastro VTR/SEÇÃO/MILITAR'!$A$3:$B2000,""SELECT B WHERE A LIKE '""&amp;'carga de materiais'!D1732&amp;""'""))"),"#REF!")</f>
        <v>#REF!</v>
      </c>
    </row>
    <row r="1732">
      <c r="A1732" s="120" t="str">
        <f>IFERROR(__xludf.DUMMYFUNCTION("TRANSPOSE(QUERY('Cadastro VTR/SEÇÃO/MILITAR'!$A$3:$B2000,""SELECT B WHERE A LIKE '""&amp;'carga de materiais'!D1733&amp;""'""))"),"#REF!")</f>
        <v>#REF!</v>
      </c>
    </row>
    <row r="1733">
      <c r="A1733" s="120" t="str">
        <f>IFERROR(__xludf.DUMMYFUNCTION("TRANSPOSE(QUERY('Cadastro VTR/SEÇÃO/MILITAR'!$A$3:$B2000,""SELECT B WHERE A LIKE '""&amp;'carga de materiais'!D1734&amp;""'""))"),"#REF!")</f>
        <v>#REF!</v>
      </c>
    </row>
    <row r="1734">
      <c r="A1734" s="120" t="str">
        <f>IFERROR(__xludf.DUMMYFUNCTION("TRANSPOSE(QUERY('Cadastro VTR/SEÇÃO/MILITAR'!$A$3:$B2000,""SELECT B WHERE A LIKE '""&amp;'carga de materiais'!D1735&amp;""'""))"),"#REF!")</f>
        <v>#REF!</v>
      </c>
    </row>
    <row r="1735">
      <c r="A1735" s="120" t="str">
        <f>IFERROR(__xludf.DUMMYFUNCTION("TRANSPOSE(QUERY('Cadastro VTR/SEÇÃO/MILITAR'!$A$3:$B2000,""SELECT B WHERE A LIKE '""&amp;'carga de materiais'!D1736&amp;""'""))"),"#REF!")</f>
        <v>#REF!</v>
      </c>
    </row>
    <row r="1736">
      <c r="A1736" s="120" t="str">
        <f>IFERROR(__xludf.DUMMYFUNCTION("TRANSPOSE(QUERY('Cadastro VTR/SEÇÃO/MILITAR'!$A$3:$B2000,""SELECT B WHERE A LIKE '""&amp;'carga de materiais'!D1737&amp;""'""))"),"#REF!")</f>
        <v>#REF!</v>
      </c>
    </row>
    <row r="1737">
      <c r="A1737" s="120" t="str">
        <f>IFERROR(__xludf.DUMMYFUNCTION("TRANSPOSE(QUERY('Cadastro VTR/SEÇÃO/MILITAR'!$A$3:$B2000,""SELECT B WHERE A LIKE '""&amp;'carga de materiais'!D1738&amp;""'""))"),"#REF!")</f>
        <v>#REF!</v>
      </c>
    </row>
    <row r="1738">
      <c r="A1738" s="120" t="str">
        <f>IFERROR(__xludf.DUMMYFUNCTION("TRANSPOSE(QUERY('Cadastro VTR/SEÇÃO/MILITAR'!$A$3:$B2000,""SELECT B WHERE A LIKE '""&amp;'carga de materiais'!D1739&amp;""'""))"),"#REF!")</f>
        <v>#REF!</v>
      </c>
    </row>
    <row r="1739">
      <c r="A1739" s="120" t="str">
        <f>IFERROR(__xludf.DUMMYFUNCTION("TRANSPOSE(QUERY('Cadastro VTR/SEÇÃO/MILITAR'!$A$3:$B2000,""SELECT B WHERE A LIKE '""&amp;'carga de materiais'!D1740&amp;""'""))"),"#REF!")</f>
        <v>#REF!</v>
      </c>
    </row>
    <row r="1740">
      <c r="A1740" s="120" t="str">
        <f>IFERROR(__xludf.DUMMYFUNCTION("TRANSPOSE(QUERY('Cadastro VTR/SEÇÃO/MILITAR'!$A$3:$B2000,""SELECT B WHERE A LIKE '""&amp;'carga de materiais'!D1741&amp;""'""))"),"#REF!")</f>
        <v>#REF!</v>
      </c>
    </row>
    <row r="1741">
      <c r="A1741" s="120" t="str">
        <f>IFERROR(__xludf.DUMMYFUNCTION("TRANSPOSE(QUERY('Cadastro VTR/SEÇÃO/MILITAR'!$A$3:$B2000,""SELECT B WHERE A LIKE '""&amp;'carga de materiais'!D1742&amp;""'""))"),"#REF!")</f>
        <v>#REF!</v>
      </c>
    </row>
    <row r="1742">
      <c r="A1742" s="120" t="str">
        <f>IFERROR(__xludf.DUMMYFUNCTION("TRANSPOSE(QUERY('Cadastro VTR/SEÇÃO/MILITAR'!$A$3:$B2000,""SELECT B WHERE A LIKE '""&amp;'carga de materiais'!D1743&amp;""'""))"),"#REF!")</f>
        <v>#REF!</v>
      </c>
    </row>
    <row r="1743">
      <c r="A1743" s="120" t="str">
        <f>IFERROR(__xludf.DUMMYFUNCTION("TRANSPOSE(QUERY('Cadastro VTR/SEÇÃO/MILITAR'!$A$3:$B2000,""SELECT B WHERE A LIKE '""&amp;'carga de materiais'!D1744&amp;""'""))"),"#REF!")</f>
        <v>#REF!</v>
      </c>
    </row>
    <row r="1744">
      <c r="A1744" s="120" t="str">
        <f>IFERROR(__xludf.DUMMYFUNCTION("TRANSPOSE(QUERY('Cadastro VTR/SEÇÃO/MILITAR'!$A$3:$B2000,""SELECT B WHERE A LIKE '""&amp;'carga de materiais'!D1745&amp;""'""))"),"#REF!")</f>
        <v>#REF!</v>
      </c>
    </row>
    <row r="1745">
      <c r="A1745" s="120" t="str">
        <f>IFERROR(__xludf.DUMMYFUNCTION("TRANSPOSE(QUERY('Cadastro VTR/SEÇÃO/MILITAR'!$A$3:$B2000,""SELECT B WHERE A LIKE '""&amp;'carga de materiais'!D1746&amp;""'""))"),"#REF!")</f>
        <v>#REF!</v>
      </c>
    </row>
    <row r="1746">
      <c r="A1746" s="120" t="str">
        <f>IFERROR(__xludf.DUMMYFUNCTION("TRANSPOSE(QUERY('Cadastro VTR/SEÇÃO/MILITAR'!$A$3:$B2000,""SELECT B WHERE A LIKE '""&amp;'carga de materiais'!D1747&amp;""'""))"),"#REF!")</f>
        <v>#REF!</v>
      </c>
    </row>
    <row r="1747">
      <c r="A1747" s="120" t="str">
        <f>IFERROR(__xludf.DUMMYFUNCTION("TRANSPOSE(QUERY('Cadastro VTR/SEÇÃO/MILITAR'!$A$3:$B2000,""SELECT B WHERE A LIKE '""&amp;'carga de materiais'!D1748&amp;""'""))"),"#REF!")</f>
        <v>#REF!</v>
      </c>
    </row>
    <row r="1748">
      <c r="A1748" s="120" t="str">
        <f>IFERROR(__xludf.DUMMYFUNCTION("TRANSPOSE(QUERY('Cadastro VTR/SEÇÃO/MILITAR'!$A$3:$B2000,""SELECT B WHERE A LIKE '""&amp;'carga de materiais'!D1749&amp;""'""))"),"#REF!")</f>
        <v>#REF!</v>
      </c>
    </row>
    <row r="1749">
      <c r="A1749" s="120" t="str">
        <f>IFERROR(__xludf.DUMMYFUNCTION("TRANSPOSE(QUERY('Cadastro VTR/SEÇÃO/MILITAR'!$A$3:$B2000,""SELECT B WHERE A LIKE '""&amp;'carga de materiais'!D1750&amp;""'""))"),"#REF!")</f>
        <v>#REF!</v>
      </c>
    </row>
    <row r="1750">
      <c r="A1750" s="120" t="str">
        <f>IFERROR(__xludf.DUMMYFUNCTION("TRANSPOSE(QUERY('Cadastro VTR/SEÇÃO/MILITAR'!$A$3:$B2000,""SELECT B WHERE A LIKE '""&amp;'carga de materiais'!D1751&amp;""'""))"),"#REF!")</f>
        <v>#REF!</v>
      </c>
    </row>
    <row r="1751">
      <c r="A1751" s="120" t="str">
        <f>IFERROR(__xludf.DUMMYFUNCTION("TRANSPOSE(QUERY('Cadastro VTR/SEÇÃO/MILITAR'!$A$3:$B2000,""SELECT B WHERE A LIKE '""&amp;'carga de materiais'!D1752&amp;""'""))"),"#REF!")</f>
        <v>#REF!</v>
      </c>
    </row>
    <row r="1752">
      <c r="A1752" s="120" t="str">
        <f>IFERROR(__xludf.DUMMYFUNCTION("TRANSPOSE(QUERY('Cadastro VTR/SEÇÃO/MILITAR'!$A$3:$B2000,""SELECT B WHERE A LIKE '""&amp;'carga de materiais'!D1753&amp;""'""))"),"#REF!")</f>
        <v>#REF!</v>
      </c>
    </row>
    <row r="1753">
      <c r="A1753" s="120" t="str">
        <f>IFERROR(__xludf.DUMMYFUNCTION("TRANSPOSE(QUERY('Cadastro VTR/SEÇÃO/MILITAR'!$A$3:$B2000,""SELECT B WHERE A LIKE '""&amp;'carga de materiais'!D1754&amp;""'""))"),"#REF!")</f>
        <v>#REF!</v>
      </c>
    </row>
    <row r="1754">
      <c r="A1754" s="120" t="str">
        <f>IFERROR(__xludf.DUMMYFUNCTION("TRANSPOSE(QUERY('Cadastro VTR/SEÇÃO/MILITAR'!$A$3:$B2000,""SELECT B WHERE A LIKE '""&amp;'carga de materiais'!D1755&amp;""'""))"),"#REF!")</f>
        <v>#REF!</v>
      </c>
    </row>
    <row r="1755">
      <c r="A1755" s="120" t="str">
        <f>IFERROR(__xludf.DUMMYFUNCTION("TRANSPOSE(QUERY('Cadastro VTR/SEÇÃO/MILITAR'!$A$3:$B2000,""SELECT B WHERE A LIKE '""&amp;'carga de materiais'!D1756&amp;""'""))"),"#REF!")</f>
        <v>#REF!</v>
      </c>
    </row>
    <row r="1756">
      <c r="A1756" s="120" t="str">
        <f>IFERROR(__xludf.DUMMYFUNCTION("TRANSPOSE(QUERY('Cadastro VTR/SEÇÃO/MILITAR'!$A$3:$B2000,""SELECT B WHERE A LIKE '""&amp;'carga de materiais'!D1757&amp;""'""))"),"#REF!")</f>
        <v>#REF!</v>
      </c>
    </row>
    <row r="1757">
      <c r="A1757" s="120" t="str">
        <f>IFERROR(__xludf.DUMMYFUNCTION("TRANSPOSE(QUERY('Cadastro VTR/SEÇÃO/MILITAR'!$A$3:$B2000,""SELECT B WHERE A LIKE '""&amp;'carga de materiais'!D1758&amp;""'""))"),"#REF!")</f>
        <v>#REF!</v>
      </c>
    </row>
    <row r="1758">
      <c r="A1758" s="120" t="str">
        <f>IFERROR(__xludf.DUMMYFUNCTION("TRANSPOSE(QUERY('Cadastro VTR/SEÇÃO/MILITAR'!$A$3:$B2000,""SELECT B WHERE A LIKE '""&amp;'carga de materiais'!D1759&amp;""'""))"),"#REF!")</f>
        <v>#REF!</v>
      </c>
    </row>
    <row r="1759">
      <c r="A1759" s="120" t="str">
        <f>IFERROR(__xludf.DUMMYFUNCTION("TRANSPOSE(QUERY('Cadastro VTR/SEÇÃO/MILITAR'!$A$3:$B2000,""SELECT B WHERE A LIKE '""&amp;'carga de materiais'!D1760&amp;""'""))"),"#REF!")</f>
        <v>#REF!</v>
      </c>
    </row>
    <row r="1760">
      <c r="A1760" s="120" t="str">
        <f>IFERROR(__xludf.DUMMYFUNCTION("TRANSPOSE(QUERY('Cadastro VTR/SEÇÃO/MILITAR'!$A$3:$B2000,""SELECT B WHERE A LIKE '""&amp;'carga de materiais'!D1761&amp;""'""))"),"#REF!")</f>
        <v>#REF!</v>
      </c>
    </row>
    <row r="1761">
      <c r="A1761" s="120" t="str">
        <f>IFERROR(__xludf.DUMMYFUNCTION("TRANSPOSE(QUERY('Cadastro VTR/SEÇÃO/MILITAR'!$A$3:$B2000,""SELECT B WHERE A LIKE '""&amp;'carga de materiais'!D1762&amp;""'""))"),"#REF!")</f>
        <v>#REF!</v>
      </c>
    </row>
    <row r="1762">
      <c r="A1762" s="120" t="str">
        <f>IFERROR(__xludf.DUMMYFUNCTION("TRANSPOSE(QUERY('Cadastro VTR/SEÇÃO/MILITAR'!$A$3:$B2000,""SELECT B WHERE A LIKE '""&amp;'carga de materiais'!D1763&amp;""'""))"),"#REF!")</f>
        <v>#REF!</v>
      </c>
    </row>
    <row r="1763">
      <c r="A1763" s="120" t="str">
        <f>IFERROR(__xludf.DUMMYFUNCTION("TRANSPOSE(QUERY('Cadastro VTR/SEÇÃO/MILITAR'!$A$3:$B2000,""SELECT B WHERE A LIKE '""&amp;'carga de materiais'!D1764&amp;""'""))"),"#REF!")</f>
        <v>#REF!</v>
      </c>
    </row>
    <row r="1764">
      <c r="A1764" s="120" t="str">
        <f>IFERROR(__xludf.DUMMYFUNCTION("TRANSPOSE(QUERY('Cadastro VTR/SEÇÃO/MILITAR'!$A$3:$B2000,""SELECT B WHERE A LIKE '""&amp;'carga de materiais'!D1765&amp;""'""))"),"#REF!")</f>
        <v>#REF!</v>
      </c>
    </row>
    <row r="1765">
      <c r="A1765" s="120" t="str">
        <f>IFERROR(__xludf.DUMMYFUNCTION("TRANSPOSE(QUERY('Cadastro VTR/SEÇÃO/MILITAR'!$A$3:$B2000,""SELECT B WHERE A LIKE '""&amp;'carga de materiais'!D1766&amp;""'""))"),"#REF!")</f>
        <v>#REF!</v>
      </c>
    </row>
    <row r="1766">
      <c r="A1766" s="120" t="str">
        <f>IFERROR(__xludf.DUMMYFUNCTION("TRANSPOSE(QUERY('Cadastro VTR/SEÇÃO/MILITAR'!$A$3:$B2000,""SELECT B WHERE A LIKE '""&amp;'carga de materiais'!D1767&amp;""'""))"),"#REF!")</f>
        <v>#REF!</v>
      </c>
    </row>
    <row r="1767">
      <c r="A1767" s="120" t="str">
        <f>IFERROR(__xludf.DUMMYFUNCTION("TRANSPOSE(QUERY('Cadastro VTR/SEÇÃO/MILITAR'!$A$3:$B2000,""SELECT B WHERE A LIKE '""&amp;'carga de materiais'!D1768&amp;""'""))"),"#REF!")</f>
        <v>#REF!</v>
      </c>
    </row>
    <row r="1768">
      <c r="A1768" s="120" t="str">
        <f>IFERROR(__xludf.DUMMYFUNCTION("TRANSPOSE(QUERY('Cadastro VTR/SEÇÃO/MILITAR'!$A$3:$B2000,""SELECT B WHERE A LIKE '""&amp;'carga de materiais'!D1769&amp;""'""))"),"#REF!")</f>
        <v>#REF!</v>
      </c>
    </row>
    <row r="1769">
      <c r="A1769" s="120" t="str">
        <f>IFERROR(__xludf.DUMMYFUNCTION("TRANSPOSE(QUERY('Cadastro VTR/SEÇÃO/MILITAR'!$A$3:$B2000,""SELECT B WHERE A LIKE '""&amp;'carga de materiais'!D1770&amp;""'""))"),"#REF!")</f>
        <v>#REF!</v>
      </c>
    </row>
    <row r="1770">
      <c r="A1770" s="120" t="str">
        <f>IFERROR(__xludf.DUMMYFUNCTION("TRANSPOSE(QUERY('Cadastro VTR/SEÇÃO/MILITAR'!$A$3:$B2000,""SELECT B WHERE A LIKE '""&amp;'carga de materiais'!D1771&amp;""'""))"),"#REF!")</f>
        <v>#REF!</v>
      </c>
    </row>
    <row r="1771">
      <c r="A1771" s="120" t="str">
        <f>IFERROR(__xludf.DUMMYFUNCTION("TRANSPOSE(QUERY('Cadastro VTR/SEÇÃO/MILITAR'!$A$3:$B2000,""SELECT B WHERE A LIKE '""&amp;'carga de materiais'!D1772&amp;""'""))"),"#REF!")</f>
        <v>#REF!</v>
      </c>
    </row>
    <row r="1772">
      <c r="A1772" s="120" t="str">
        <f>IFERROR(__xludf.DUMMYFUNCTION("TRANSPOSE(QUERY('Cadastro VTR/SEÇÃO/MILITAR'!$A$3:$B2000,""SELECT B WHERE A LIKE '""&amp;'carga de materiais'!D1773&amp;""'""))"),"#REF!")</f>
        <v>#REF!</v>
      </c>
    </row>
    <row r="1773">
      <c r="A1773" s="120" t="str">
        <f>IFERROR(__xludf.DUMMYFUNCTION("TRANSPOSE(QUERY('Cadastro VTR/SEÇÃO/MILITAR'!$A$3:$B2000,""SELECT B WHERE A LIKE '""&amp;'carga de materiais'!D1774&amp;""'""))"),"#REF!")</f>
        <v>#REF!</v>
      </c>
    </row>
    <row r="1774">
      <c r="A1774" s="120" t="str">
        <f>IFERROR(__xludf.DUMMYFUNCTION("TRANSPOSE(QUERY('Cadastro VTR/SEÇÃO/MILITAR'!$A$3:$B2000,""SELECT B WHERE A LIKE '""&amp;'carga de materiais'!D1775&amp;""'""))"),"#REF!")</f>
        <v>#REF!</v>
      </c>
    </row>
    <row r="1775">
      <c r="A1775" s="120" t="str">
        <f>IFERROR(__xludf.DUMMYFUNCTION("TRANSPOSE(QUERY('Cadastro VTR/SEÇÃO/MILITAR'!$A$3:$B2000,""SELECT B WHERE A LIKE '""&amp;'carga de materiais'!D1776&amp;""'""))"),"#REF!")</f>
        <v>#REF!</v>
      </c>
    </row>
    <row r="1776">
      <c r="A1776" s="120" t="str">
        <f>IFERROR(__xludf.DUMMYFUNCTION("TRANSPOSE(QUERY('Cadastro VTR/SEÇÃO/MILITAR'!$A$3:$B2000,""SELECT B WHERE A LIKE '""&amp;'carga de materiais'!D1777&amp;""'""))"),"#REF!")</f>
        <v>#REF!</v>
      </c>
    </row>
    <row r="1777">
      <c r="A1777" s="120" t="str">
        <f>IFERROR(__xludf.DUMMYFUNCTION("TRANSPOSE(QUERY('Cadastro VTR/SEÇÃO/MILITAR'!$A$3:$B2000,""SELECT B WHERE A LIKE '""&amp;'carga de materiais'!D1778&amp;""'""))"),"#REF!")</f>
        <v>#REF!</v>
      </c>
    </row>
    <row r="1778">
      <c r="A1778" s="120" t="str">
        <f>IFERROR(__xludf.DUMMYFUNCTION("TRANSPOSE(QUERY('Cadastro VTR/SEÇÃO/MILITAR'!$A$3:$B2000,""SELECT B WHERE A LIKE '""&amp;'carga de materiais'!D1779&amp;""'""))"),"#REF!")</f>
        <v>#REF!</v>
      </c>
    </row>
    <row r="1779">
      <c r="A1779" s="120" t="str">
        <f>IFERROR(__xludf.DUMMYFUNCTION("TRANSPOSE(QUERY('Cadastro VTR/SEÇÃO/MILITAR'!$A$3:$B2000,""SELECT B WHERE A LIKE '""&amp;'carga de materiais'!D1780&amp;""'""))"),"#REF!")</f>
        <v>#REF!</v>
      </c>
    </row>
    <row r="1780">
      <c r="A1780" s="120" t="str">
        <f>IFERROR(__xludf.DUMMYFUNCTION("TRANSPOSE(QUERY('Cadastro VTR/SEÇÃO/MILITAR'!$A$3:$B2000,""SELECT B WHERE A LIKE '""&amp;'carga de materiais'!D1781&amp;""'""))"),"#REF!")</f>
        <v>#REF!</v>
      </c>
    </row>
    <row r="1781">
      <c r="A1781" s="120" t="str">
        <f>IFERROR(__xludf.DUMMYFUNCTION("TRANSPOSE(QUERY('Cadastro VTR/SEÇÃO/MILITAR'!$A$3:$B2000,""SELECT B WHERE A LIKE '""&amp;'carga de materiais'!D1782&amp;""'""))"),"#REF!")</f>
        <v>#REF!</v>
      </c>
    </row>
    <row r="1782">
      <c r="A1782" s="120" t="str">
        <f>IFERROR(__xludf.DUMMYFUNCTION("TRANSPOSE(QUERY('Cadastro VTR/SEÇÃO/MILITAR'!$A$3:$B2000,""SELECT B WHERE A LIKE '""&amp;'carga de materiais'!D1783&amp;""'""))"),"#REF!")</f>
        <v>#REF!</v>
      </c>
    </row>
    <row r="1783">
      <c r="A1783" s="120" t="str">
        <f>IFERROR(__xludf.DUMMYFUNCTION("TRANSPOSE(QUERY('Cadastro VTR/SEÇÃO/MILITAR'!$A$3:$B2000,""SELECT B WHERE A LIKE '""&amp;'carga de materiais'!D1784&amp;""'""))"),"#REF!")</f>
        <v>#REF!</v>
      </c>
    </row>
    <row r="1784">
      <c r="A1784" s="120" t="str">
        <f>IFERROR(__xludf.DUMMYFUNCTION("TRANSPOSE(QUERY('Cadastro VTR/SEÇÃO/MILITAR'!$A$3:$B2000,""SELECT B WHERE A LIKE '""&amp;'carga de materiais'!D1785&amp;""'""))"),"#REF!")</f>
        <v>#REF!</v>
      </c>
    </row>
    <row r="1785">
      <c r="A1785" s="120" t="str">
        <f>IFERROR(__xludf.DUMMYFUNCTION("TRANSPOSE(QUERY('Cadastro VTR/SEÇÃO/MILITAR'!$A$3:$B2000,""SELECT B WHERE A LIKE '""&amp;'carga de materiais'!D1786&amp;""'""))"),"#REF!")</f>
        <v>#REF!</v>
      </c>
    </row>
    <row r="1786">
      <c r="A1786" s="120" t="str">
        <f>IFERROR(__xludf.DUMMYFUNCTION("TRANSPOSE(QUERY('Cadastro VTR/SEÇÃO/MILITAR'!$A$3:$B2000,""SELECT B WHERE A LIKE '""&amp;'carga de materiais'!D1787&amp;""'""))"),"#REF!")</f>
        <v>#REF!</v>
      </c>
    </row>
    <row r="1787">
      <c r="A1787" s="120" t="str">
        <f>IFERROR(__xludf.DUMMYFUNCTION("TRANSPOSE(QUERY('Cadastro VTR/SEÇÃO/MILITAR'!$A$3:$B2000,""SELECT B WHERE A LIKE '""&amp;'carga de materiais'!D1788&amp;""'""))"),"#REF!")</f>
        <v>#REF!</v>
      </c>
    </row>
    <row r="1788">
      <c r="A1788" s="120" t="str">
        <f>IFERROR(__xludf.DUMMYFUNCTION("TRANSPOSE(QUERY('Cadastro VTR/SEÇÃO/MILITAR'!$A$3:$B2000,""SELECT B WHERE A LIKE '""&amp;'carga de materiais'!D1789&amp;""'""))"),"#REF!")</f>
        <v>#REF!</v>
      </c>
    </row>
    <row r="1789">
      <c r="A1789" s="120" t="str">
        <f>IFERROR(__xludf.DUMMYFUNCTION("TRANSPOSE(QUERY('Cadastro VTR/SEÇÃO/MILITAR'!$A$3:$B2000,""SELECT B WHERE A LIKE '""&amp;'carga de materiais'!D1790&amp;""'""))"),"#REF!")</f>
        <v>#REF!</v>
      </c>
    </row>
    <row r="1790">
      <c r="A1790" s="120" t="str">
        <f>IFERROR(__xludf.DUMMYFUNCTION("TRANSPOSE(QUERY('Cadastro VTR/SEÇÃO/MILITAR'!$A$3:$B2000,""SELECT B WHERE A LIKE '""&amp;'carga de materiais'!D1791&amp;""'""))"),"#REF!")</f>
        <v>#REF!</v>
      </c>
    </row>
    <row r="1791">
      <c r="A1791" s="120" t="str">
        <f>IFERROR(__xludf.DUMMYFUNCTION("TRANSPOSE(QUERY('Cadastro VTR/SEÇÃO/MILITAR'!$A$3:$B2000,""SELECT B WHERE A LIKE '""&amp;'carga de materiais'!D1792&amp;""'""))"),"#REF!")</f>
        <v>#REF!</v>
      </c>
    </row>
    <row r="1792">
      <c r="A1792" s="120" t="str">
        <f>IFERROR(__xludf.DUMMYFUNCTION("TRANSPOSE(QUERY('Cadastro VTR/SEÇÃO/MILITAR'!$A$3:$B2000,""SELECT B WHERE A LIKE '""&amp;'carga de materiais'!D1793&amp;""'""))"),"#REF!")</f>
        <v>#REF!</v>
      </c>
    </row>
    <row r="1793">
      <c r="A1793" s="120" t="str">
        <f>IFERROR(__xludf.DUMMYFUNCTION("TRANSPOSE(QUERY('Cadastro VTR/SEÇÃO/MILITAR'!$A$3:$B2000,""SELECT B WHERE A LIKE '""&amp;'carga de materiais'!D1794&amp;""'""))"),"#REF!")</f>
        <v>#REF!</v>
      </c>
    </row>
    <row r="1794">
      <c r="A1794" s="120" t="str">
        <f>IFERROR(__xludf.DUMMYFUNCTION("TRANSPOSE(QUERY('Cadastro VTR/SEÇÃO/MILITAR'!$A$3:$B2000,""SELECT B WHERE A LIKE '""&amp;'carga de materiais'!D1795&amp;""'""))"),"#REF!")</f>
        <v>#REF!</v>
      </c>
    </row>
    <row r="1795">
      <c r="A1795" s="120" t="str">
        <f>IFERROR(__xludf.DUMMYFUNCTION("TRANSPOSE(QUERY('Cadastro VTR/SEÇÃO/MILITAR'!$A$3:$B2000,""SELECT B WHERE A LIKE '""&amp;'carga de materiais'!D1796&amp;""'""))"),"#REF!")</f>
        <v>#REF!</v>
      </c>
    </row>
    <row r="1796">
      <c r="A1796" s="120" t="str">
        <f>IFERROR(__xludf.DUMMYFUNCTION("TRANSPOSE(QUERY('Cadastro VTR/SEÇÃO/MILITAR'!$A$3:$B2000,""SELECT B WHERE A LIKE '""&amp;'carga de materiais'!D1797&amp;""'""))"),"#REF!")</f>
        <v>#REF!</v>
      </c>
    </row>
    <row r="1797">
      <c r="A1797" s="120" t="str">
        <f>IFERROR(__xludf.DUMMYFUNCTION("TRANSPOSE(QUERY('Cadastro VTR/SEÇÃO/MILITAR'!$A$3:$B2000,""SELECT B WHERE A LIKE '""&amp;'carga de materiais'!D1798&amp;""'""))"),"#REF!")</f>
        <v>#REF!</v>
      </c>
    </row>
    <row r="1798">
      <c r="A1798" s="120" t="str">
        <f>IFERROR(__xludf.DUMMYFUNCTION("TRANSPOSE(QUERY('Cadastro VTR/SEÇÃO/MILITAR'!$A$3:$B2000,""SELECT B WHERE A LIKE '""&amp;'carga de materiais'!D1799&amp;""'""))"),"#REF!")</f>
        <v>#REF!</v>
      </c>
    </row>
    <row r="1799">
      <c r="A1799" s="120" t="str">
        <f>IFERROR(__xludf.DUMMYFUNCTION("TRANSPOSE(QUERY('Cadastro VTR/SEÇÃO/MILITAR'!$A$3:$B2000,""SELECT B WHERE A LIKE '""&amp;'carga de materiais'!D1800&amp;""'""))"),"#REF!")</f>
        <v>#REF!</v>
      </c>
    </row>
    <row r="1800">
      <c r="A1800" s="120" t="str">
        <f>IFERROR(__xludf.DUMMYFUNCTION("TRANSPOSE(QUERY('Cadastro VTR/SEÇÃO/MILITAR'!$A$3:$B2000,""SELECT B WHERE A LIKE '""&amp;'carga de materiais'!D1801&amp;""'""))"),"#REF!")</f>
        <v>#REF!</v>
      </c>
    </row>
    <row r="1801">
      <c r="A1801" s="120" t="str">
        <f>IFERROR(__xludf.DUMMYFUNCTION("TRANSPOSE(QUERY('Cadastro VTR/SEÇÃO/MILITAR'!$A$3:$B2000,""SELECT B WHERE A LIKE '""&amp;'carga de materiais'!D1802&amp;""'""))"),"#REF!")</f>
        <v>#REF!</v>
      </c>
    </row>
    <row r="1802">
      <c r="A1802" s="120" t="str">
        <f>IFERROR(__xludf.DUMMYFUNCTION("TRANSPOSE(QUERY('Cadastro VTR/SEÇÃO/MILITAR'!$A$3:$B2000,""SELECT B WHERE A LIKE '""&amp;'carga de materiais'!D1803&amp;""'""))"),"#REF!")</f>
        <v>#REF!</v>
      </c>
    </row>
    <row r="1803">
      <c r="A1803" s="120" t="str">
        <f>IFERROR(__xludf.DUMMYFUNCTION("TRANSPOSE(QUERY('Cadastro VTR/SEÇÃO/MILITAR'!$A$3:$B2000,""SELECT B WHERE A LIKE '""&amp;'carga de materiais'!D1804&amp;""'""))"),"#REF!")</f>
        <v>#REF!</v>
      </c>
    </row>
    <row r="1804">
      <c r="A1804" s="120" t="str">
        <f>IFERROR(__xludf.DUMMYFUNCTION("TRANSPOSE(QUERY('Cadastro VTR/SEÇÃO/MILITAR'!$A$3:$B2000,""SELECT B WHERE A LIKE '""&amp;'carga de materiais'!D1805&amp;""'""))"),"#REF!")</f>
        <v>#REF!</v>
      </c>
    </row>
    <row r="1805">
      <c r="A1805" s="120" t="str">
        <f>IFERROR(__xludf.DUMMYFUNCTION("TRANSPOSE(QUERY('Cadastro VTR/SEÇÃO/MILITAR'!$A$3:$B2000,""SELECT B WHERE A LIKE '""&amp;'carga de materiais'!D1806&amp;""'""))"),"#REF!")</f>
        <v>#REF!</v>
      </c>
    </row>
    <row r="1806">
      <c r="A1806" s="120" t="str">
        <f>IFERROR(__xludf.DUMMYFUNCTION("TRANSPOSE(QUERY('Cadastro VTR/SEÇÃO/MILITAR'!$A$3:$B2000,""SELECT B WHERE A LIKE '""&amp;'carga de materiais'!D1807&amp;""'""))"),"#REF!")</f>
        <v>#REF!</v>
      </c>
    </row>
    <row r="1807">
      <c r="A1807" s="120" t="str">
        <f>IFERROR(__xludf.DUMMYFUNCTION("TRANSPOSE(QUERY('Cadastro VTR/SEÇÃO/MILITAR'!$A$3:$B2000,""SELECT B WHERE A LIKE '""&amp;'carga de materiais'!D1808&amp;""'""))"),"#REF!")</f>
        <v>#REF!</v>
      </c>
    </row>
    <row r="1808">
      <c r="A1808" s="120" t="str">
        <f>IFERROR(__xludf.DUMMYFUNCTION("TRANSPOSE(QUERY('Cadastro VTR/SEÇÃO/MILITAR'!$A$3:$B2000,""SELECT B WHERE A LIKE '""&amp;'carga de materiais'!D1809&amp;""'""))"),"#REF!")</f>
        <v>#REF!</v>
      </c>
    </row>
    <row r="1809">
      <c r="A1809" s="120" t="str">
        <f>IFERROR(__xludf.DUMMYFUNCTION("TRANSPOSE(QUERY('Cadastro VTR/SEÇÃO/MILITAR'!$A$3:$B2000,""SELECT B WHERE A LIKE '""&amp;'carga de materiais'!D1810&amp;""'""))"),"#REF!")</f>
        <v>#REF!</v>
      </c>
    </row>
    <row r="1810">
      <c r="A1810" s="120" t="str">
        <f>IFERROR(__xludf.DUMMYFUNCTION("TRANSPOSE(QUERY('Cadastro VTR/SEÇÃO/MILITAR'!$A$3:$B2000,""SELECT B WHERE A LIKE '""&amp;'carga de materiais'!D1811&amp;""'""))"),"#REF!")</f>
        <v>#REF!</v>
      </c>
    </row>
    <row r="1811">
      <c r="A1811" s="120" t="str">
        <f>IFERROR(__xludf.DUMMYFUNCTION("TRANSPOSE(QUERY('Cadastro VTR/SEÇÃO/MILITAR'!$A$3:$B2000,""SELECT B WHERE A LIKE '""&amp;'carga de materiais'!D1812&amp;""'""))"),"#REF!")</f>
        <v>#REF!</v>
      </c>
    </row>
    <row r="1812">
      <c r="A1812" s="120" t="str">
        <f>IFERROR(__xludf.DUMMYFUNCTION("TRANSPOSE(QUERY('Cadastro VTR/SEÇÃO/MILITAR'!$A$3:$B2000,""SELECT B WHERE A LIKE '""&amp;'carga de materiais'!D1813&amp;""'""))"),"#REF!")</f>
        <v>#REF!</v>
      </c>
    </row>
    <row r="1813">
      <c r="A1813" s="120" t="str">
        <f>IFERROR(__xludf.DUMMYFUNCTION("TRANSPOSE(QUERY('Cadastro VTR/SEÇÃO/MILITAR'!$A$3:$B2000,""SELECT B WHERE A LIKE '""&amp;'carga de materiais'!D1814&amp;""'""))"),"#REF!")</f>
        <v>#REF!</v>
      </c>
    </row>
    <row r="1814">
      <c r="A1814" s="120" t="str">
        <f>IFERROR(__xludf.DUMMYFUNCTION("TRANSPOSE(QUERY('Cadastro VTR/SEÇÃO/MILITAR'!$A$3:$B2000,""SELECT B WHERE A LIKE '""&amp;'carga de materiais'!D1815&amp;""'""))"),"#REF!")</f>
        <v>#REF!</v>
      </c>
    </row>
    <row r="1815">
      <c r="A1815" s="120" t="str">
        <f>IFERROR(__xludf.DUMMYFUNCTION("TRANSPOSE(QUERY('Cadastro VTR/SEÇÃO/MILITAR'!$A$3:$B2000,""SELECT B WHERE A LIKE '""&amp;'carga de materiais'!D1816&amp;""'""))"),"#REF!")</f>
        <v>#REF!</v>
      </c>
    </row>
    <row r="1816">
      <c r="A1816" s="120" t="str">
        <f>IFERROR(__xludf.DUMMYFUNCTION("TRANSPOSE(QUERY('Cadastro VTR/SEÇÃO/MILITAR'!$A$3:$B2000,""SELECT B WHERE A LIKE '""&amp;'carga de materiais'!D1817&amp;""'""))"),"#REF!")</f>
        <v>#REF!</v>
      </c>
    </row>
    <row r="1817">
      <c r="A1817" s="120" t="str">
        <f>IFERROR(__xludf.DUMMYFUNCTION("TRANSPOSE(QUERY('Cadastro VTR/SEÇÃO/MILITAR'!$A$3:$B2000,""SELECT B WHERE A LIKE '""&amp;'carga de materiais'!D1818&amp;""'""))"),"#REF!")</f>
        <v>#REF!</v>
      </c>
    </row>
    <row r="1818">
      <c r="A1818" s="120" t="str">
        <f>IFERROR(__xludf.DUMMYFUNCTION("TRANSPOSE(QUERY('Cadastro VTR/SEÇÃO/MILITAR'!$A$3:$B2000,""SELECT B WHERE A LIKE '""&amp;'carga de materiais'!D1819&amp;""'""))"),"#REF!")</f>
        <v>#REF!</v>
      </c>
    </row>
    <row r="1819">
      <c r="A1819" s="120" t="str">
        <f>IFERROR(__xludf.DUMMYFUNCTION("TRANSPOSE(QUERY('Cadastro VTR/SEÇÃO/MILITAR'!$A$3:$B2000,""SELECT B WHERE A LIKE '""&amp;'carga de materiais'!D1820&amp;""'""))"),"#REF!")</f>
        <v>#REF!</v>
      </c>
    </row>
    <row r="1820">
      <c r="A1820" s="120" t="str">
        <f>IFERROR(__xludf.DUMMYFUNCTION("TRANSPOSE(QUERY('Cadastro VTR/SEÇÃO/MILITAR'!$A$3:$B2000,""SELECT B WHERE A LIKE '""&amp;'carga de materiais'!D1821&amp;""'""))"),"#REF!")</f>
        <v>#REF!</v>
      </c>
    </row>
    <row r="1821">
      <c r="A1821" s="120" t="str">
        <f>IFERROR(__xludf.DUMMYFUNCTION("TRANSPOSE(QUERY('Cadastro VTR/SEÇÃO/MILITAR'!$A$3:$B2000,""SELECT B WHERE A LIKE '""&amp;'carga de materiais'!D1822&amp;""'""))"),"#REF!")</f>
        <v>#REF!</v>
      </c>
    </row>
    <row r="1822">
      <c r="A1822" s="120" t="str">
        <f>IFERROR(__xludf.DUMMYFUNCTION("TRANSPOSE(QUERY('Cadastro VTR/SEÇÃO/MILITAR'!$A$3:$B2000,""SELECT B WHERE A LIKE '""&amp;'carga de materiais'!D1823&amp;""'""))"),"#REF!")</f>
        <v>#REF!</v>
      </c>
    </row>
    <row r="1823">
      <c r="A1823" s="120" t="str">
        <f>IFERROR(__xludf.DUMMYFUNCTION("TRANSPOSE(QUERY('Cadastro VTR/SEÇÃO/MILITAR'!$A$3:$B2000,""SELECT B WHERE A LIKE '""&amp;'carga de materiais'!D1824&amp;""'""))"),"#REF!")</f>
        <v>#REF!</v>
      </c>
    </row>
    <row r="1824">
      <c r="A1824" s="120" t="str">
        <f>IFERROR(__xludf.DUMMYFUNCTION("TRANSPOSE(QUERY('Cadastro VTR/SEÇÃO/MILITAR'!$A$3:$B2000,""SELECT B WHERE A LIKE '""&amp;'carga de materiais'!D1825&amp;""'""))"),"#REF!")</f>
        <v>#REF!</v>
      </c>
    </row>
    <row r="1825">
      <c r="A1825" s="120" t="str">
        <f>IFERROR(__xludf.DUMMYFUNCTION("TRANSPOSE(QUERY('Cadastro VTR/SEÇÃO/MILITAR'!$A$3:$B2000,""SELECT B WHERE A LIKE '""&amp;'carga de materiais'!D1826&amp;""'""))"),"#REF!")</f>
        <v>#REF!</v>
      </c>
    </row>
    <row r="1826">
      <c r="A1826" s="120" t="str">
        <f>IFERROR(__xludf.DUMMYFUNCTION("TRANSPOSE(QUERY('Cadastro VTR/SEÇÃO/MILITAR'!$A$3:$B2000,""SELECT B WHERE A LIKE '""&amp;'carga de materiais'!D1827&amp;""'""))"),"#REF!")</f>
        <v>#REF!</v>
      </c>
    </row>
    <row r="1827">
      <c r="A1827" s="120" t="str">
        <f>IFERROR(__xludf.DUMMYFUNCTION("TRANSPOSE(QUERY('Cadastro VTR/SEÇÃO/MILITAR'!$A$3:$B2000,""SELECT B WHERE A LIKE '""&amp;'carga de materiais'!D1828&amp;""'""))"),"#REF!")</f>
        <v>#REF!</v>
      </c>
    </row>
    <row r="1828">
      <c r="A1828" s="120" t="str">
        <f>IFERROR(__xludf.DUMMYFUNCTION("TRANSPOSE(QUERY('Cadastro VTR/SEÇÃO/MILITAR'!$A$3:$B2000,""SELECT B WHERE A LIKE '""&amp;'carga de materiais'!D1829&amp;""'""))"),"#REF!")</f>
        <v>#REF!</v>
      </c>
    </row>
    <row r="1829">
      <c r="A1829" s="120" t="str">
        <f>IFERROR(__xludf.DUMMYFUNCTION("TRANSPOSE(QUERY('Cadastro VTR/SEÇÃO/MILITAR'!$A$3:$B2000,""SELECT B WHERE A LIKE '""&amp;'carga de materiais'!D1830&amp;""'""))"),"#REF!")</f>
        <v>#REF!</v>
      </c>
    </row>
    <row r="1830">
      <c r="A1830" s="120" t="str">
        <f>IFERROR(__xludf.DUMMYFUNCTION("TRANSPOSE(QUERY('Cadastro VTR/SEÇÃO/MILITAR'!$A$3:$B2000,""SELECT B WHERE A LIKE '""&amp;'carga de materiais'!D1831&amp;""'""))"),"#REF!")</f>
        <v>#REF!</v>
      </c>
    </row>
    <row r="1831">
      <c r="A1831" s="120" t="str">
        <f>IFERROR(__xludf.DUMMYFUNCTION("TRANSPOSE(QUERY('Cadastro VTR/SEÇÃO/MILITAR'!$A$3:$B2000,""SELECT B WHERE A LIKE '""&amp;'carga de materiais'!D1832&amp;""'""))"),"#REF!")</f>
        <v>#REF!</v>
      </c>
    </row>
    <row r="1832">
      <c r="A1832" s="120" t="str">
        <f>IFERROR(__xludf.DUMMYFUNCTION("TRANSPOSE(QUERY('Cadastro VTR/SEÇÃO/MILITAR'!$A$3:$B2000,""SELECT B WHERE A LIKE '""&amp;'carga de materiais'!D1833&amp;""'""))"),"#REF!")</f>
        <v>#REF!</v>
      </c>
    </row>
    <row r="1833">
      <c r="A1833" s="120" t="str">
        <f>IFERROR(__xludf.DUMMYFUNCTION("TRANSPOSE(QUERY('Cadastro VTR/SEÇÃO/MILITAR'!$A$3:$B2000,""SELECT B WHERE A LIKE '""&amp;'carga de materiais'!D1834&amp;""'""))"),"#REF!")</f>
        <v>#REF!</v>
      </c>
    </row>
    <row r="1834">
      <c r="A1834" s="120" t="str">
        <f>IFERROR(__xludf.DUMMYFUNCTION("TRANSPOSE(QUERY('Cadastro VTR/SEÇÃO/MILITAR'!$A$3:$B2000,""SELECT B WHERE A LIKE '""&amp;'carga de materiais'!D1835&amp;""'""))"),"#REF!")</f>
        <v>#REF!</v>
      </c>
    </row>
    <row r="1835">
      <c r="A1835" s="120" t="str">
        <f>IFERROR(__xludf.DUMMYFUNCTION("TRANSPOSE(QUERY('Cadastro VTR/SEÇÃO/MILITAR'!$A$3:$B2000,""SELECT B WHERE A LIKE '""&amp;'carga de materiais'!D1836&amp;""'""))"),"#REF!")</f>
        <v>#REF!</v>
      </c>
    </row>
    <row r="1836">
      <c r="A1836" s="120" t="str">
        <f>IFERROR(__xludf.DUMMYFUNCTION("TRANSPOSE(QUERY('Cadastro VTR/SEÇÃO/MILITAR'!$A$3:$B2000,""SELECT B WHERE A LIKE '""&amp;'carga de materiais'!D1837&amp;""'""))"),"#REF!")</f>
        <v>#REF!</v>
      </c>
    </row>
    <row r="1837">
      <c r="A1837" s="120" t="str">
        <f>IFERROR(__xludf.DUMMYFUNCTION("TRANSPOSE(QUERY('Cadastro VTR/SEÇÃO/MILITAR'!$A$3:$B2000,""SELECT B WHERE A LIKE '""&amp;'carga de materiais'!D1838&amp;""'""))"),"#REF!")</f>
        <v>#REF!</v>
      </c>
    </row>
    <row r="1838">
      <c r="A1838" s="120" t="str">
        <f>IFERROR(__xludf.DUMMYFUNCTION("TRANSPOSE(QUERY('Cadastro VTR/SEÇÃO/MILITAR'!$A$3:$B2000,""SELECT B WHERE A LIKE '""&amp;'carga de materiais'!D1839&amp;""'""))"),"#REF!")</f>
        <v>#REF!</v>
      </c>
    </row>
    <row r="1839">
      <c r="A1839" s="120" t="str">
        <f>IFERROR(__xludf.DUMMYFUNCTION("TRANSPOSE(QUERY('Cadastro VTR/SEÇÃO/MILITAR'!$A$3:$B2000,""SELECT B WHERE A LIKE '""&amp;'carga de materiais'!D1840&amp;""'""))"),"#REF!")</f>
        <v>#REF!</v>
      </c>
    </row>
    <row r="1840">
      <c r="A1840" s="120" t="str">
        <f>IFERROR(__xludf.DUMMYFUNCTION("TRANSPOSE(QUERY('Cadastro VTR/SEÇÃO/MILITAR'!$A$3:$B2000,""SELECT B WHERE A LIKE '""&amp;'carga de materiais'!D1841&amp;""'""))"),"#REF!")</f>
        <v>#REF!</v>
      </c>
    </row>
    <row r="1841">
      <c r="A1841" s="120" t="str">
        <f>IFERROR(__xludf.DUMMYFUNCTION("TRANSPOSE(QUERY('Cadastro VTR/SEÇÃO/MILITAR'!$A$3:$B2000,""SELECT B WHERE A LIKE '""&amp;'carga de materiais'!D1842&amp;""'""))"),"#REF!")</f>
        <v>#REF!</v>
      </c>
    </row>
    <row r="1842">
      <c r="A1842" s="120" t="str">
        <f>IFERROR(__xludf.DUMMYFUNCTION("TRANSPOSE(QUERY('Cadastro VTR/SEÇÃO/MILITAR'!$A$3:$B2000,""SELECT B WHERE A LIKE '""&amp;'carga de materiais'!D1843&amp;""'""))"),"#REF!")</f>
        <v>#REF!</v>
      </c>
    </row>
    <row r="1843">
      <c r="A1843" s="120" t="str">
        <f>IFERROR(__xludf.DUMMYFUNCTION("TRANSPOSE(QUERY('Cadastro VTR/SEÇÃO/MILITAR'!$A$3:$B2000,""SELECT B WHERE A LIKE '""&amp;'carga de materiais'!D1844&amp;""'""))"),"#REF!")</f>
        <v>#REF!</v>
      </c>
    </row>
    <row r="1844">
      <c r="A1844" s="120" t="str">
        <f>IFERROR(__xludf.DUMMYFUNCTION("TRANSPOSE(QUERY('Cadastro VTR/SEÇÃO/MILITAR'!$A$3:$B2000,""SELECT B WHERE A LIKE '""&amp;'carga de materiais'!D1845&amp;""'""))"),"#REF!")</f>
        <v>#REF!</v>
      </c>
    </row>
    <row r="1845">
      <c r="A1845" s="120" t="str">
        <f>IFERROR(__xludf.DUMMYFUNCTION("TRANSPOSE(QUERY('Cadastro VTR/SEÇÃO/MILITAR'!$A$3:$B2000,""SELECT B WHERE A LIKE '""&amp;'carga de materiais'!D1846&amp;""'""))"),"#REF!")</f>
        <v>#REF!</v>
      </c>
    </row>
    <row r="1846">
      <c r="A1846" s="120" t="str">
        <f>IFERROR(__xludf.DUMMYFUNCTION("TRANSPOSE(QUERY('Cadastro VTR/SEÇÃO/MILITAR'!$A$3:$B2000,""SELECT B WHERE A LIKE '""&amp;'carga de materiais'!D1847&amp;""'""))"),"#REF!")</f>
        <v>#REF!</v>
      </c>
    </row>
    <row r="1847">
      <c r="A1847" s="120" t="str">
        <f>IFERROR(__xludf.DUMMYFUNCTION("TRANSPOSE(QUERY('Cadastro VTR/SEÇÃO/MILITAR'!$A$3:$B2000,""SELECT B WHERE A LIKE '""&amp;'carga de materiais'!D1848&amp;""'""))"),"#REF!")</f>
        <v>#REF!</v>
      </c>
    </row>
    <row r="1848">
      <c r="A1848" s="120" t="str">
        <f>IFERROR(__xludf.DUMMYFUNCTION("TRANSPOSE(QUERY('Cadastro VTR/SEÇÃO/MILITAR'!$A$3:$B2000,""SELECT B WHERE A LIKE '""&amp;'carga de materiais'!D1849&amp;""'""))"),"#REF!")</f>
        <v>#REF!</v>
      </c>
    </row>
    <row r="1849">
      <c r="A1849" s="120" t="str">
        <f>IFERROR(__xludf.DUMMYFUNCTION("TRANSPOSE(QUERY('Cadastro VTR/SEÇÃO/MILITAR'!$A$3:$B2000,""SELECT B WHERE A LIKE '""&amp;'carga de materiais'!D1850&amp;""'""))"),"#REF!")</f>
        <v>#REF!</v>
      </c>
    </row>
    <row r="1850">
      <c r="A1850" s="120" t="str">
        <f>IFERROR(__xludf.DUMMYFUNCTION("TRANSPOSE(QUERY('Cadastro VTR/SEÇÃO/MILITAR'!$A$3:$B2000,""SELECT B WHERE A LIKE '""&amp;'carga de materiais'!D1851&amp;""'""))"),"#REF!")</f>
        <v>#REF!</v>
      </c>
    </row>
    <row r="1851">
      <c r="A1851" s="120" t="str">
        <f>IFERROR(__xludf.DUMMYFUNCTION("TRANSPOSE(QUERY('Cadastro VTR/SEÇÃO/MILITAR'!$A$3:$B2000,""SELECT B WHERE A LIKE '""&amp;'carga de materiais'!D1852&amp;""'""))"),"#REF!")</f>
        <v>#REF!</v>
      </c>
    </row>
    <row r="1852">
      <c r="A1852" s="120" t="str">
        <f>IFERROR(__xludf.DUMMYFUNCTION("TRANSPOSE(QUERY('Cadastro VTR/SEÇÃO/MILITAR'!$A$3:$B2000,""SELECT B WHERE A LIKE '""&amp;'carga de materiais'!D1853&amp;""'""))"),"#REF!")</f>
        <v>#REF!</v>
      </c>
    </row>
    <row r="1853">
      <c r="A1853" s="120" t="str">
        <f>IFERROR(__xludf.DUMMYFUNCTION("TRANSPOSE(QUERY('Cadastro VTR/SEÇÃO/MILITAR'!$A$3:$B2000,""SELECT B WHERE A LIKE '""&amp;'carga de materiais'!D1854&amp;""'""))"),"#REF!")</f>
        <v>#REF!</v>
      </c>
    </row>
    <row r="1854">
      <c r="A1854" s="120" t="str">
        <f>IFERROR(__xludf.DUMMYFUNCTION("TRANSPOSE(QUERY('Cadastro VTR/SEÇÃO/MILITAR'!$A$3:$B2000,""SELECT B WHERE A LIKE '""&amp;'carga de materiais'!D1855&amp;""'""))"),"#REF!")</f>
        <v>#REF!</v>
      </c>
    </row>
    <row r="1855">
      <c r="A1855" s="120" t="str">
        <f>IFERROR(__xludf.DUMMYFUNCTION("TRANSPOSE(QUERY('Cadastro VTR/SEÇÃO/MILITAR'!$A$3:$B2000,""SELECT B WHERE A LIKE '""&amp;'carga de materiais'!D1856&amp;""'""))"),"#REF!")</f>
        <v>#REF!</v>
      </c>
    </row>
    <row r="1856">
      <c r="A1856" s="120" t="str">
        <f>IFERROR(__xludf.DUMMYFUNCTION("TRANSPOSE(QUERY('Cadastro VTR/SEÇÃO/MILITAR'!$A$3:$B2000,""SELECT B WHERE A LIKE '""&amp;'carga de materiais'!D1857&amp;""'""))"),"#REF!")</f>
        <v>#REF!</v>
      </c>
    </row>
    <row r="1857">
      <c r="A1857" s="120" t="str">
        <f>IFERROR(__xludf.DUMMYFUNCTION("TRANSPOSE(QUERY('Cadastro VTR/SEÇÃO/MILITAR'!$A$3:$B2000,""SELECT B WHERE A LIKE '""&amp;'carga de materiais'!D1858&amp;""'""))"),"#REF!")</f>
        <v>#REF!</v>
      </c>
    </row>
    <row r="1858">
      <c r="A1858" s="120" t="str">
        <f>IFERROR(__xludf.DUMMYFUNCTION("TRANSPOSE(QUERY('Cadastro VTR/SEÇÃO/MILITAR'!$A$3:$B2000,""SELECT B WHERE A LIKE '""&amp;'carga de materiais'!D1859&amp;""'""))"),"#REF!")</f>
        <v>#REF!</v>
      </c>
    </row>
    <row r="1859">
      <c r="A1859" s="120" t="str">
        <f>IFERROR(__xludf.DUMMYFUNCTION("TRANSPOSE(QUERY('Cadastro VTR/SEÇÃO/MILITAR'!$A$3:$B2000,""SELECT B WHERE A LIKE '""&amp;'carga de materiais'!D1860&amp;""'""))"),"#REF!")</f>
        <v>#REF!</v>
      </c>
    </row>
    <row r="1860">
      <c r="A1860" s="120" t="str">
        <f>IFERROR(__xludf.DUMMYFUNCTION("TRANSPOSE(QUERY('Cadastro VTR/SEÇÃO/MILITAR'!$A$3:$B2000,""SELECT B WHERE A LIKE '""&amp;'carga de materiais'!D1861&amp;""'""))"),"#REF!")</f>
        <v>#REF!</v>
      </c>
    </row>
    <row r="1861">
      <c r="A1861" s="120" t="str">
        <f>IFERROR(__xludf.DUMMYFUNCTION("TRANSPOSE(QUERY('Cadastro VTR/SEÇÃO/MILITAR'!$A$3:$B2000,""SELECT B WHERE A LIKE '""&amp;'carga de materiais'!D1862&amp;""'""))"),"#REF!")</f>
        <v>#REF!</v>
      </c>
    </row>
    <row r="1862">
      <c r="A1862" s="120" t="str">
        <f>IFERROR(__xludf.DUMMYFUNCTION("TRANSPOSE(QUERY('Cadastro VTR/SEÇÃO/MILITAR'!$A$3:$B2000,""SELECT B WHERE A LIKE '""&amp;'carga de materiais'!D1863&amp;""'""))"),"#REF!")</f>
        <v>#REF!</v>
      </c>
    </row>
    <row r="1863">
      <c r="A1863" s="120" t="str">
        <f>IFERROR(__xludf.DUMMYFUNCTION("TRANSPOSE(QUERY('Cadastro VTR/SEÇÃO/MILITAR'!$A$3:$B2000,""SELECT B WHERE A LIKE '""&amp;'carga de materiais'!D1864&amp;""'""))"),"#REF!")</f>
        <v>#REF!</v>
      </c>
    </row>
    <row r="1864">
      <c r="A1864" s="120" t="str">
        <f>IFERROR(__xludf.DUMMYFUNCTION("TRANSPOSE(QUERY('Cadastro VTR/SEÇÃO/MILITAR'!$A$3:$B2000,""SELECT B WHERE A LIKE '""&amp;'carga de materiais'!D1865&amp;""'""))"),"#REF!")</f>
        <v>#REF!</v>
      </c>
    </row>
    <row r="1865">
      <c r="A1865" s="120" t="str">
        <f>IFERROR(__xludf.DUMMYFUNCTION("TRANSPOSE(QUERY('Cadastro VTR/SEÇÃO/MILITAR'!$A$3:$B2000,""SELECT B WHERE A LIKE '""&amp;'carga de materiais'!D1866&amp;""'""))"),"#REF!")</f>
        <v>#REF!</v>
      </c>
    </row>
    <row r="1866">
      <c r="A1866" s="120" t="str">
        <f>IFERROR(__xludf.DUMMYFUNCTION("TRANSPOSE(QUERY('Cadastro VTR/SEÇÃO/MILITAR'!$A$3:$B2000,""SELECT B WHERE A LIKE '""&amp;'carga de materiais'!D1867&amp;""'""))"),"#REF!")</f>
        <v>#REF!</v>
      </c>
    </row>
    <row r="1867">
      <c r="A1867" s="120" t="str">
        <f>IFERROR(__xludf.DUMMYFUNCTION("TRANSPOSE(QUERY('Cadastro VTR/SEÇÃO/MILITAR'!$A$3:$B2000,""SELECT B WHERE A LIKE '""&amp;'carga de materiais'!D1868&amp;""'""))"),"#REF!")</f>
        <v>#REF!</v>
      </c>
    </row>
    <row r="1868">
      <c r="A1868" s="120" t="str">
        <f>IFERROR(__xludf.DUMMYFUNCTION("TRANSPOSE(QUERY('Cadastro VTR/SEÇÃO/MILITAR'!$A$3:$B2000,""SELECT B WHERE A LIKE '""&amp;'carga de materiais'!D1869&amp;""'""))"),"#REF!")</f>
        <v>#REF!</v>
      </c>
    </row>
    <row r="1869">
      <c r="A1869" s="120" t="str">
        <f>IFERROR(__xludf.DUMMYFUNCTION("TRANSPOSE(QUERY('Cadastro VTR/SEÇÃO/MILITAR'!$A$3:$B2000,""SELECT B WHERE A LIKE '""&amp;'carga de materiais'!D1870&amp;""'""))"),"#REF!")</f>
        <v>#REF!</v>
      </c>
    </row>
    <row r="1870">
      <c r="A1870" s="120" t="str">
        <f>IFERROR(__xludf.DUMMYFUNCTION("TRANSPOSE(QUERY('Cadastro VTR/SEÇÃO/MILITAR'!$A$3:$B2000,""SELECT B WHERE A LIKE '""&amp;'carga de materiais'!D1871&amp;""'""))"),"#REF!")</f>
        <v>#REF!</v>
      </c>
    </row>
    <row r="1871">
      <c r="A1871" s="120" t="str">
        <f>IFERROR(__xludf.DUMMYFUNCTION("TRANSPOSE(QUERY('Cadastro VTR/SEÇÃO/MILITAR'!$A$3:$B2000,""SELECT B WHERE A LIKE '""&amp;'carga de materiais'!D1872&amp;""'""))"),"#REF!")</f>
        <v>#REF!</v>
      </c>
    </row>
    <row r="1872">
      <c r="A1872" s="120" t="str">
        <f>IFERROR(__xludf.DUMMYFUNCTION("TRANSPOSE(QUERY('Cadastro VTR/SEÇÃO/MILITAR'!$A$3:$B2000,""SELECT B WHERE A LIKE '""&amp;'carga de materiais'!D1873&amp;""'""))"),"#REF!")</f>
        <v>#REF!</v>
      </c>
    </row>
    <row r="1873">
      <c r="A1873" s="120" t="str">
        <f>IFERROR(__xludf.DUMMYFUNCTION("TRANSPOSE(QUERY('Cadastro VTR/SEÇÃO/MILITAR'!$A$3:$B2000,""SELECT B WHERE A LIKE '""&amp;'carga de materiais'!D1874&amp;""'""))"),"#REF!")</f>
        <v>#REF!</v>
      </c>
    </row>
    <row r="1874">
      <c r="A1874" s="120" t="str">
        <f>IFERROR(__xludf.DUMMYFUNCTION("TRANSPOSE(QUERY('Cadastro VTR/SEÇÃO/MILITAR'!$A$3:$B2000,""SELECT B WHERE A LIKE '""&amp;'carga de materiais'!D1875&amp;""'""))"),"#REF!")</f>
        <v>#REF!</v>
      </c>
    </row>
    <row r="1875">
      <c r="A1875" s="120" t="str">
        <f>IFERROR(__xludf.DUMMYFUNCTION("TRANSPOSE(QUERY('Cadastro VTR/SEÇÃO/MILITAR'!$A$3:$B2000,""SELECT B WHERE A LIKE '""&amp;'carga de materiais'!D1876&amp;""'""))"),"#REF!")</f>
        <v>#REF!</v>
      </c>
    </row>
    <row r="1876">
      <c r="A1876" s="120" t="str">
        <f>IFERROR(__xludf.DUMMYFUNCTION("TRANSPOSE(QUERY('Cadastro VTR/SEÇÃO/MILITAR'!$A$3:$B2000,""SELECT B WHERE A LIKE '""&amp;'carga de materiais'!D1877&amp;""'""))"),"#REF!")</f>
        <v>#REF!</v>
      </c>
    </row>
    <row r="1877">
      <c r="A1877" s="120" t="str">
        <f>IFERROR(__xludf.DUMMYFUNCTION("TRANSPOSE(QUERY('Cadastro VTR/SEÇÃO/MILITAR'!$A$3:$B2000,""SELECT B WHERE A LIKE '""&amp;'carga de materiais'!D1878&amp;""'""))"),"#REF!")</f>
        <v>#REF!</v>
      </c>
    </row>
    <row r="1878">
      <c r="A1878" s="120" t="str">
        <f>IFERROR(__xludf.DUMMYFUNCTION("TRANSPOSE(QUERY('Cadastro VTR/SEÇÃO/MILITAR'!$A$3:$B2000,""SELECT B WHERE A LIKE '""&amp;'carga de materiais'!D1879&amp;""'""))"),"#REF!")</f>
        <v>#REF!</v>
      </c>
    </row>
    <row r="1879">
      <c r="A1879" s="120" t="str">
        <f>IFERROR(__xludf.DUMMYFUNCTION("TRANSPOSE(QUERY('Cadastro VTR/SEÇÃO/MILITAR'!$A$3:$B2000,""SELECT B WHERE A LIKE '""&amp;'carga de materiais'!D1880&amp;""'""))"),"#REF!")</f>
        <v>#REF!</v>
      </c>
    </row>
    <row r="1880">
      <c r="A1880" s="120" t="str">
        <f>IFERROR(__xludf.DUMMYFUNCTION("TRANSPOSE(QUERY('Cadastro VTR/SEÇÃO/MILITAR'!$A$3:$B2000,""SELECT B WHERE A LIKE '""&amp;'carga de materiais'!D1881&amp;""'""))"),"#REF!")</f>
        <v>#REF!</v>
      </c>
    </row>
    <row r="1881">
      <c r="A1881" s="120" t="str">
        <f>IFERROR(__xludf.DUMMYFUNCTION("TRANSPOSE(QUERY('Cadastro VTR/SEÇÃO/MILITAR'!$A$3:$B2000,""SELECT B WHERE A LIKE '""&amp;'carga de materiais'!D1882&amp;""'""))"),"#REF!")</f>
        <v>#REF!</v>
      </c>
    </row>
    <row r="1882">
      <c r="A1882" s="120" t="str">
        <f>IFERROR(__xludf.DUMMYFUNCTION("TRANSPOSE(QUERY('Cadastro VTR/SEÇÃO/MILITAR'!$A$3:$B2000,""SELECT B WHERE A LIKE '""&amp;'carga de materiais'!D1883&amp;""'""))"),"#REF!")</f>
        <v>#REF!</v>
      </c>
    </row>
    <row r="1883">
      <c r="A1883" s="120" t="str">
        <f>IFERROR(__xludf.DUMMYFUNCTION("TRANSPOSE(QUERY('Cadastro VTR/SEÇÃO/MILITAR'!$A$3:$B2000,""SELECT B WHERE A LIKE '""&amp;'carga de materiais'!D1884&amp;""'""))"),"#REF!")</f>
        <v>#REF!</v>
      </c>
    </row>
    <row r="1884">
      <c r="A1884" s="120" t="str">
        <f>IFERROR(__xludf.DUMMYFUNCTION("TRANSPOSE(QUERY('Cadastro VTR/SEÇÃO/MILITAR'!$A$3:$B2000,""SELECT B WHERE A LIKE '""&amp;'carga de materiais'!D1885&amp;""'""))"),"#REF!")</f>
        <v>#REF!</v>
      </c>
    </row>
    <row r="1885">
      <c r="A1885" s="120" t="str">
        <f>IFERROR(__xludf.DUMMYFUNCTION("TRANSPOSE(QUERY('Cadastro VTR/SEÇÃO/MILITAR'!$A$3:$B2000,""SELECT B WHERE A LIKE '""&amp;'carga de materiais'!D1886&amp;""'""))"),"#REF!")</f>
        <v>#REF!</v>
      </c>
    </row>
    <row r="1886">
      <c r="A1886" s="120" t="str">
        <f>IFERROR(__xludf.DUMMYFUNCTION("TRANSPOSE(QUERY('Cadastro VTR/SEÇÃO/MILITAR'!$A$3:$B2000,""SELECT B WHERE A LIKE '""&amp;'carga de materiais'!D1887&amp;""'""))"),"#REF!")</f>
        <v>#REF!</v>
      </c>
    </row>
    <row r="1887">
      <c r="A1887" s="120" t="str">
        <f>IFERROR(__xludf.DUMMYFUNCTION("TRANSPOSE(QUERY('Cadastro VTR/SEÇÃO/MILITAR'!$A$3:$B2000,""SELECT B WHERE A LIKE '""&amp;'carga de materiais'!D1888&amp;""'""))"),"#REF!")</f>
        <v>#REF!</v>
      </c>
    </row>
    <row r="1888">
      <c r="A1888" s="120" t="str">
        <f>IFERROR(__xludf.DUMMYFUNCTION("TRANSPOSE(QUERY('Cadastro VTR/SEÇÃO/MILITAR'!$A$3:$B2000,""SELECT B WHERE A LIKE '""&amp;'carga de materiais'!D1889&amp;""'""))"),"#REF!")</f>
        <v>#REF!</v>
      </c>
    </row>
    <row r="1889">
      <c r="A1889" s="120" t="str">
        <f>IFERROR(__xludf.DUMMYFUNCTION("TRANSPOSE(QUERY('Cadastro VTR/SEÇÃO/MILITAR'!$A$3:$B2000,""SELECT B WHERE A LIKE '""&amp;'carga de materiais'!D1890&amp;""'""))"),"#REF!")</f>
        <v>#REF!</v>
      </c>
    </row>
    <row r="1890">
      <c r="A1890" s="120" t="str">
        <f>IFERROR(__xludf.DUMMYFUNCTION("TRANSPOSE(QUERY('Cadastro VTR/SEÇÃO/MILITAR'!$A$3:$B2000,""SELECT B WHERE A LIKE '""&amp;'carga de materiais'!D1891&amp;""'""))"),"#REF!")</f>
        <v>#REF!</v>
      </c>
    </row>
    <row r="1891">
      <c r="A1891" s="120" t="str">
        <f>IFERROR(__xludf.DUMMYFUNCTION("TRANSPOSE(QUERY('Cadastro VTR/SEÇÃO/MILITAR'!$A$3:$B2000,""SELECT B WHERE A LIKE '""&amp;'carga de materiais'!D1892&amp;""'""))"),"#REF!")</f>
        <v>#REF!</v>
      </c>
    </row>
    <row r="1892">
      <c r="A1892" s="120" t="str">
        <f>IFERROR(__xludf.DUMMYFUNCTION("TRANSPOSE(QUERY('Cadastro VTR/SEÇÃO/MILITAR'!$A$3:$B2000,""SELECT B WHERE A LIKE '""&amp;'carga de materiais'!D1893&amp;""'""))"),"#REF!")</f>
        <v>#REF!</v>
      </c>
    </row>
    <row r="1893">
      <c r="A1893" s="120" t="str">
        <f>IFERROR(__xludf.DUMMYFUNCTION("TRANSPOSE(QUERY('Cadastro VTR/SEÇÃO/MILITAR'!$A$3:$B2000,""SELECT B WHERE A LIKE '""&amp;'carga de materiais'!D1894&amp;""'""))"),"#REF!")</f>
        <v>#REF!</v>
      </c>
    </row>
    <row r="1894">
      <c r="A1894" s="120" t="str">
        <f>IFERROR(__xludf.DUMMYFUNCTION("TRANSPOSE(QUERY('Cadastro VTR/SEÇÃO/MILITAR'!$A$3:$B2000,""SELECT B WHERE A LIKE '""&amp;'carga de materiais'!D1895&amp;""'""))"),"#REF!")</f>
        <v>#REF!</v>
      </c>
    </row>
    <row r="1895">
      <c r="A1895" s="120" t="str">
        <f>IFERROR(__xludf.DUMMYFUNCTION("TRANSPOSE(QUERY('Cadastro VTR/SEÇÃO/MILITAR'!$A$3:$B2000,""SELECT B WHERE A LIKE '""&amp;'carga de materiais'!D1896&amp;""'""))"),"#REF!")</f>
        <v>#REF!</v>
      </c>
    </row>
    <row r="1896">
      <c r="A1896" s="120" t="str">
        <f>IFERROR(__xludf.DUMMYFUNCTION("TRANSPOSE(QUERY('Cadastro VTR/SEÇÃO/MILITAR'!$A$3:$B2000,""SELECT B WHERE A LIKE '""&amp;'carga de materiais'!D1897&amp;""'""))"),"#REF!")</f>
        <v>#REF!</v>
      </c>
    </row>
    <row r="1897">
      <c r="A1897" s="120" t="str">
        <f>IFERROR(__xludf.DUMMYFUNCTION("TRANSPOSE(QUERY('Cadastro VTR/SEÇÃO/MILITAR'!$A$3:$B2000,""SELECT B WHERE A LIKE '""&amp;'carga de materiais'!D1898&amp;""'""))"),"#REF!")</f>
        <v>#REF!</v>
      </c>
    </row>
    <row r="1898">
      <c r="A1898" s="120" t="str">
        <f>IFERROR(__xludf.DUMMYFUNCTION("TRANSPOSE(QUERY('Cadastro VTR/SEÇÃO/MILITAR'!$A$3:$B2000,""SELECT B WHERE A LIKE '""&amp;'carga de materiais'!D1899&amp;""'""))"),"#REF!")</f>
        <v>#REF!</v>
      </c>
    </row>
    <row r="1899">
      <c r="A1899" s="120" t="str">
        <f>IFERROR(__xludf.DUMMYFUNCTION("TRANSPOSE(QUERY('Cadastro VTR/SEÇÃO/MILITAR'!$A$3:$B2000,""SELECT B WHERE A LIKE '""&amp;'carga de materiais'!D1900&amp;""'""))"),"#REF!")</f>
        <v>#REF!</v>
      </c>
    </row>
    <row r="1900">
      <c r="A1900" s="120" t="str">
        <f>IFERROR(__xludf.DUMMYFUNCTION("TRANSPOSE(QUERY('Cadastro VTR/SEÇÃO/MILITAR'!$A$3:$B2000,""SELECT B WHERE A LIKE '""&amp;'carga de materiais'!D1901&amp;""'""))"),"#REF!")</f>
        <v>#REF!</v>
      </c>
    </row>
    <row r="1901">
      <c r="A1901" s="120" t="str">
        <f>IFERROR(__xludf.DUMMYFUNCTION("TRANSPOSE(QUERY('Cadastro VTR/SEÇÃO/MILITAR'!$A$3:$B2000,""SELECT B WHERE A LIKE '""&amp;'carga de materiais'!D1902&amp;""'""))"),"#REF!")</f>
        <v>#REF!</v>
      </c>
    </row>
    <row r="1902">
      <c r="A1902" s="120" t="str">
        <f>IFERROR(__xludf.DUMMYFUNCTION("TRANSPOSE(QUERY('Cadastro VTR/SEÇÃO/MILITAR'!$A$3:$B2000,""SELECT B WHERE A LIKE '""&amp;'carga de materiais'!D1903&amp;""'""))"),"#REF!")</f>
        <v>#REF!</v>
      </c>
    </row>
    <row r="1903">
      <c r="A1903" s="120" t="str">
        <f>IFERROR(__xludf.DUMMYFUNCTION("TRANSPOSE(QUERY('Cadastro VTR/SEÇÃO/MILITAR'!$A$3:$B2000,""SELECT B WHERE A LIKE '""&amp;'carga de materiais'!D1904&amp;""'""))"),"#REF!")</f>
        <v>#REF!</v>
      </c>
    </row>
    <row r="1904">
      <c r="A1904" s="120" t="str">
        <f>IFERROR(__xludf.DUMMYFUNCTION("TRANSPOSE(QUERY('Cadastro VTR/SEÇÃO/MILITAR'!$A$3:$B2000,""SELECT B WHERE A LIKE '""&amp;'carga de materiais'!D1905&amp;""'""))"),"#REF!")</f>
        <v>#REF!</v>
      </c>
    </row>
    <row r="1905">
      <c r="A1905" s="120" t="str">
        <f>IFERROR(__xludf.DUMMYFUNCTION("TRANSPOSE(QUERY('Cadastro VTR/SEÇÃO/MILITAR'!$A$3:$B2000,""SELECT B WHERE A LIKE '""&amp;'carga de materiais'!D1906&amp;""'""))"),"#REF!")</f>
        <v>#REF!</v>
      </c>
    </row>
    <row r="1906">
      <c r="A1906" s="120" t="str">
        <f>IFERROR(__xludf.DUMMYFUNCTION("TRANSPOSE(QUERY('Cadastro VTR/SEÇÃO/MILITAR'!$A$3:$B2000,""SELECT B WHERE A LIKE '""&amp;'carga de materiais'!D1907&amp;""'""))"),"#REF!")</f>
        <v>#REF!</v>
      </c>
    </row>
    <row r="1907">
      <c r="A1907" s="120" t="str">
        <f>IFERROR(__xludf.DUMMYFUNCTION("TRANSPOSE(QUERY('Cadastro VTR/SEÇÃO/MILITAR'!$A$3:$B2000,""SELECT B WHERE A LIKE '""&amp;'carga de materiais'!D1908&amp;""'""))"),"#REF!")</f>
        <v>#REF!</v>
      </c>
    </row>
    <row r="1908">
      <c r="A1908" s="120" t="str">
        <f>IFERROR(__xludf.DUMMYFUNCTION("TRANSPOSE(QUERY('Cadastro VTR/SEÇÃO/MILITAR'!$A$3:$B2000,""SELECT B WHERE A LIKE '""&amp;'carga de materiais'!D1909&amp;""'""))"),"#REF!")</f>
        <v>#REF!</v>
      </c>
    </row>
    <row r="1909">
      <c r="A1909" s="120" t="str">
        <f>IFERROR(__xludf.DUMMYFUNCTION("TRANSPOSE(QUERY('Cadastro VTR/SEÇÃO/MILITAR'!$A$3:$B2000,""SELECT B WHERE A LIKE '""&amp;'carga de materiais'!D1910&amp;""'""))"),"#REF!")</f>
        <v>#REF!</v>
      </c>
    </row>
    <row r="1910">
      <c r="A1910" s="120" t="str">
        <f>IFERROR(__xludf.DUMMYFUNCTION("TRANSPOSE(QUERY('Cadastro VTR/SEÇÃO/MILITAR'!$A$3:$B2000,""SELECT B WHERE A LIKE '""&amp;'carga de materiais'!D1911&amp;""'""))"),"#REF!")</f>
        <v>#REF!</v>
      </c>
    </row>
    <row r="1911">
      <c r="A1911" s="120" t="str">
        <f>IFERROR(__xludf.DUMMYFUNCTION("TRANSPOSE(QUERY('Cadastro VTR/SEÇÃO/MILITAR'!$A$3:$B2000,""SELECT B WHERE A LIKE '""&amp;'carga de materiais'!D1912&amp;""'""))"),"#REF!")</f>
        <v>#REF!</v>
      </c>
    </row>
    <row r="1912">
      <c r="A1912" s="120" t="str">
        <f>IFERROR(__xludf.DUMMYFUNCTION("TRANSPOSE(QUERY('Cadastro VTR/SEÇÃO/MILITAR'!$A$3:$B2000,""SELECT B WHERE A LIKE '""&amp;'carga de materiais'!D1913&amp;""'""))"),"#REF!")</f>
        <v>#REF!</v>
      </c>
    </row>
    <row r="1913">
      <c r="A1913" s="120" t="str">
        <f>IFERROR(__xludf.DUMMYFUNCTION("TRANSPOSE(QUERY('Cadastro VTR/SEÇÃO/MILITAR'!$A$3:$B2000,""SELECT B WHERE A LIKE '""&amp;'carga de materiais'!D1914&amp;""'""))"),"#REF!")</f>
        <v>#REF!</v>
      </c>
    </row>
    <row r="1914">
      <c r="A1914" s="120" t="str">
        <f>IFERROR(__xludf.DUMMYFUNCTION("TRANSPOSE(QUERY('Cadastro VTR/SEÇÃO/MILITAR'!$A$3:$B2000,""SELECT B WHERE A LIKE '""&amp;'carga de materiais'!D1915&amp;""'""))"),"#REF!")</f>
        <v>#REF!</v>
      </c>
    </row>
    <row r="1915">
      <c r="A1915" s="120" t="str">
        <f>IFERROR(__xludf.DUMMYFUNCTION("TRANSPOSE(QUERY('Cadastro VTR/SEÇÃO/MILITAR'!$A$3:$B2000,""SELECT B WHERE A LIKE '""&amp;'carga de materiais'!D1916&amp;""'""))"),"#REF!")</f>
        <v>#REF!</v>
      </c>
    </row>
    <row r="1916">
      <c r="A1916" s="120" t="str">
        <f>IFERROR(__xludf.DUMMYFUNCTION("TRANSPOSE(QUERY('Cadastro VTR/SEÇÃO/MILITAR'!$A$3:$B2000,""SELECT B WHERE A LIKE '""&amp;'carga de materiais'!D1917&amp;""'""))"),"#REF!")</f>
        <v>#REF!</v>
      </c>
    </row>
    <row r="1917">
      <c r="A1917" s="120" t="str">
        <f>IFERROR(__xludf.DUMMYFUNCTION("TRANSPOSE(QUERY('Cadastro VTR/SEÇÃO/MILITAR'!$A$3:$B2000,""SELECT B WHERE A LIKE '""&amp;'carga de materiais'!D1918&amp;""'""))"),"#REF!")</f>
        <v>#REF!</v>
      </c>
    </row>
    <row r="1918">
      <c r="A1918" s="120" t="str">
        <f>IFERROR(__xludf.DUMMYFUNCTION("TRANSPOSE(QUERY('Cadastro VTR/SEÇÃO/MILITAR'!$A$3:$B2000,""SELECT B WHERE A LIKE '""&amp;'carga de materiais'!D1919&amp;""'""))"),"#REF!")</f>
        <v>#REF!</v>
      </c>
    </row>
    <row r="1919">
      <c r="A1919" s="120" t="str">
        <f>IFERROR(__xludf.DUMMYFUNCTION("TRANSPOSE(QUERY('Cadastro VTR/SEÇÃO/MILITAR'!$A$3:$B2000,""SELECT B WHERE A LIKE '""&amp;'carga de materiais'!D1920&amp;""'""))"),"#REF!")</f>
        <v>#REF!</v>
      </c>
    </row>
    <row r="1920">
      <c r="A1920" s="120" t="str">
        <f>IFERROR(__xludf.DUMMYFUNCTION("TRANSPOSE(QUERY('Cadastro VTR/SEÇÃO/MILITAR'!$A$3:$B2000,""SELECT B WHERE A LIKE '""&amp;'carga de materiais'!D1921&amp;""'""))"),"#REF!")</f>
        <v>#REF!</v>
      </c>
    </row>
    <row r="1921">
      <c r="A1921" s="120" t="str">
        <f>IFERROR(__xludf.DUMMYFUNCTION("TRANSPOSE(QUERY('Cadastro VTR/SEÇÃO/MILITAR'!$A$3:$B2000,""SELECT B WHERE A LIKE '""&amp;'carga de materiais'!D1922&amp;""'""))"),"#REF!")</f>
        <v>#REF!</v>
      </c>
    </row>
    <row r="1922">
      <c r="A1922" s="120" t="str">
        <f>IFERROR(__xludf.DUMMYFUNCTION("TRANSPOSE(QUERY('Cadastro VTR/SEÇÃO/MILITAR'!$A$3:$B2000,""SELECT B WHERE A LIKE '""&amp;'carga de materiais'!D1923&amp;""'""))"),"#REF!")</f>
        <v>#REF!</v>
      </c>
    </row>
    <row r="1923">
      <c r="A1923" s="120" t="str">
        <f>IFERROR(__xludf.DUMMYFUNCTION("TRANSPOSE(QUERY('Cadastro VTR/SEÇÃO/MILITAR'!$A$3:$B2000,""SELECT B WHERE A LIKE '""&amp;'carga de materiais'!D1924&amp;""'""))"),"#REF!")</f>
        <v>#REF!</v>
      </c>
    </row>
    <row r="1924">
      <c r="A1924" s="120" t="str">
        <f>IFERROR(__xludf.DUMMYFUNCTION("TRANSPOSE(QUERY('Cadastro VTR/SEÇÃO/MILITAR'!$A$3:$B2000,""SELECT B WHERE A LIKE '""&amp;'carga de materiais'!D1925&amp;""'""))"),"#REF!")</f>
        <v>#REF!</v>
      </c>
    </row>
    <row r="1925">
      <c r="A1925" s="120" t="str">
        <f>IFERROR(__xludf.DUMMYFUNCTION("TRANSPOSE(QUERY('Cadastro VTR/SEÇÃO/MILITAR'!$A$3:$B2000,""SELECT B WHERE A LIKE '""&amp;'carga de materiais'!D1926&amp;""'""))"),"#REF!")</f>
        <v>#REF!</v>
      </c>
    </row>
    <row r="1926">
      <c r="A1926" s="120" t="str">
        <f>IFERROR(__xludf.DUMMYFUNCTION("TRANSPOSE(QUERY('Cadastro VTR/SEÇÃO/MILITAR'!$A$3:$B2000,""SELECT B WHERE A LIKE '""&amp;'carga de materiais'!D1927&amp;""'""))"),"#REF!")</f>
        <v>#REF!</v>
      </c>
    </row>
    <row r="1927">
      <c r="A1927" s="120" t="str">
        <f>IFERROR(__xludf.DUMMYFUNCTION("TRANSPOSE(QUERY('Cadastro VTR/SEÇÃO/MILITAR'!$A$3:$B2000,""SELECT B WHERE A LIKE '""&amp;'carga de materiais'!D1928&amp;""'""))"),"#REF!")</f>
        <v>#REF!</v>
      </c>
    </row>
    <row r="1928">
      <c r="A1928" s="120" t="str">
        <f>IFERROR(__xludf.DUMMYFUNCTION("TRANSPOSE(QUERY('Cadastro VTR/SEÇÃO/MILITAR'!$A$3:$B2000,""SELECT B WHERE A LIKE '""&amp;'carga de materiais'!D1929&amp;""'""))"),"#REF!")</f>
        <v>#REF!</v>
      </c>
    </row>
    <row r="1929">
      <c r="A1929" s="120" t="str">
        <f>IFERROR(__xludf.DUMMYFUNCTION("TRANSPOSE(QUERY('Cadastro VTR/SEÇÃO/MILITAR'!$A$3:$B2000,""SELECT B WHERE A LIKE '""&amp;'carga de materiais'!D1930&amp;""'""))"),"#REF!")</f>
        <v>#REF!</v>
      </c>
    </row>
    <row r="1930">
      <c r="A1930" s="120" t="str">
        <f>IFERROR(__xludf.DUMMYFUNCTION("TRANSPOSE(QUERY('Cadastro VTR/SEÇÃO/MILITAR'!$A$3:$B2000,""SELECT B WHERE A LIKE '""&amp;'carga de materiais'!D1931&amp;""'""))"),"#REF!")</f>
        <v>#REF!</v>
      </c>
    </row>
    <row r="1931">
      <c r="A1931" s="120" t="str">
        <f>IFERROR(__xludf.DUMMYFUNCTION("TRANSPOSE(QUERY('Cadastro VTR/SEÇÃO/MILITAR'!$A$3:$B2000,""SELECT B WHERE A LIKE '""&amp;'carga de materiais'!D1932&amp;""'""))"),"#REF!")</f>
        <v>#REF!</v>
      </c>
    </row>
    <row r="1932">
      <c r="A1932" s="120" t="str">
        <f>IFERROR(__xludf.DUMMYFUNCTION("TRANSPOSE(QUERY('Cadastro VTR/SEÇÃO/MILITAR'!$A$3:$B2000,""SELECT B WHERE A LIKE '""&amp;'carga de materiais'!D1933&amp;""'""))"),"#REF!")</f>
        <v>#REF!</v>
      </c>
    </row>
    <row r="1933">
      <c r="A1933" s="120" t="str">
        <f>IFERROR(__xludf.DUMMYFUNCTION("TRANSPOSE(QUERY('Cadastro VTR/SEÇÃO/MILITAR'!$A$3:$B2000,""SELECT B WHERE A LIKE '""&amp;'carga de materiais'!D1934&amp;""'""))"),"#REF!")</f>
        <v>#REF!</v>
      </c>
    </row>
    <row r="1934">
      <c r="A1934" s="120" t="str">
        <f>IFERROR(__xludf.DUMMYFUNCTION("TRANSPOSE(QUERY('Cadastro VTR/SEÇÃO/MILITAR'!$A$3:$B2000,""SELECT B WHERE A LIKE '""&amp;'carga de materiais'!D1935&amp;""'""))"),"#REF!")</f>
        <v>#REF!</v>
      </c>
    </row>
    <row r="1935">
      <c r="A1935" s="120" t="str">
        <f>IFERROR(__xludf.DUMMYFUNCTION("TRANSPOSE(QUERY('Cadastro VTR/SEÇÃO/MILITAR'!$A$3:$B2000,""SELECT B WHERE A LIKE '""&amp;'carga de materiais'!D1936&amp;""'""))"),"#REF!")</f>
        <v>#REF!</v>
      </c>
    </row>
    <row r="1936">
      <c r="A1936" s="120" t="str">
        <f>IFERROR(__xludf.DUMMYFUNCTION("TRANSPOSE(QUERY('Cadastro VTR/SEÇÃO/MILITAR'!$A$3:$B2000,""SELECT B WHERE A LIKE '""&amp;'carga de materiais'!D1937&amp;""'""))"),"#REF!")</f>
        <v>#REF!</v>
      </c>
    </row>
    <row r="1937">
      <c r="A1937" s="120" t="str">
        <f>IFERROR(__xludf.DUMMYFUNCTION("TRANSPOSE(QUERY('Cadastro VTR/SEÇÃO/MILITAR'!$A$3:$B2000,""SELECT B WHERE A LIKE '""&amp;'carga de materiais'!D1938&amp;""'""))"),"#REF!")</f>
        <v>#REF!</v>
      </c>
    </row>
    <row r="1938">
      <c r="A1938" s="120" t="str">
        <f>IFERROR(__xludf.DUMMYFUNCTION("TRANSPOSE(QUERY('Cadastro VTR/SEÇÃO/MILITAR'!$A$3:$B2000,""SELECT B WHERE A LIKE '""&amp;'carga de materiais'!D1939&amp;""'""))"),"#REF!")</f>
        <v>#REF!</v>
      </c>
    </row>
    <row r="1939">
      <c r="A1939" s="120" t="str">
        <f>IFERROR(__xludf.DUMMYFUNCTION("TRANSPOSE(QUERY('Cadastro VTR/SEÇÃO/MILITAR'!$A$3:$B2000,""SELECT B WHERE A LIKE '""&amp;'carga de materiais'!D1940&amp;""'""))"),"#REF!")</f>
        <v>#REF!</v>
      </c>
    </row>
    <row r="1940">
      <c r="A1940" s="120" t="str">
        <f>IFERROR(__xludf.DUMMYFUNCTION("TRANSPOSE(QUERY('Cadastro VTR/SEÇÃO/MILITAR'!$A$3:$B2000,""SELECT B WHERE A LIKE '""&amp;'carga de materiais'!D1941&amp;""'""))"),"#REF!")</f>
        <v>#REF!</v>
      </c>
    </row>
    <row r="1941">
      <c r="A1941" s="120" t="str">
        <f>IFERROR(__xludf.DUMMYFUNCTION("TRANSPOSE(QUERY('Cadastro VTR/SEÇÃO/MILITAR'!$A$3:$B2000,""SELECT B WHERE A LIKE '""&amp;'carga de materiais'!D1942&amp;""'""))"),"#REF!")</f>
        <v>#REF!</v>
      </c>
    </row>
    <row r="1942">
      <c r="A1942" s="120" t="str">
        <f>IFERROR(__xludf.DUMMYFUNCTION("TRANSPOSE(QUERY('Cadastro VTR/SEÇÃO/MILITAR'!$A$3:$B2000,""SELECT B WHERE A LIKE '""&amp;'carga de materiais'!D1943&amp;""'""))"),"#REF!")</f>
        <v>#REF!</v>
      </c>
    </row>
    <row r="1943">
      <c r="A1943" s="120" t="str">
        <f>IFERROR(__xludf.DUMMYFUNCTION("TRANSPOSE(QUERY('Cadastro VTR/SEÇÃO/MILITAR'!$A$3:$B2000,""SELECT B WHERE A LIKE '""&amp;'carga de materiais'!D1944&amp;""'""))"),"#REF!")</f>
        <v>#REF!</v>
      </c>
    </row>
    <row r="1944">
      <c r="A1944" s="120" t="str">
        <f>IFERROR(__xludf.DUMMYFUNCTION("TRANSPOSE(QUERY('Cadastro VTR/SEÇÃO/MILITAR'!$A$3:$B2000,""SELECT B WHERE A LIKE '""&amp;'carga de materiais'!D1945&amp;""'""))"),"#REF!")</f>
        <v>#REF!</v>
      </c>
    </row>
    <row r="1945">
      <c r="A1945" s="120" t="str">
        <f>IFERROR(__xludf.DUMMYFUNCTION("TRANSPOSE(QUERY('Cadastro VTR/SEÇÃO/MILITAR'!$A$3:$B2000,""SELECT B WHERE A LIKE '""&amp;'carga de materiais'!D1946&amp;""'""))"),"#REF!")</f>
        <v>#REF!</v>
      </c>
    </row>
    <row r="1946">
      <c r="A1946" s="120" t="str">
        <f>IFERROR(__xludf.DUMMYFUNCTION("TRANSPOSE(QUERY('Cadastro VTR/SEÇÃO/MILITAR'!$A$3:$B2000,""SELECT B WHERE A LIKE '""&amp;'carga de materiais'!D1947&amp;""'""))"),"#REF!")</f>
        <v>#REF!</v>
      </c>
    </row>
    <row r="1947">
      <c r="A1947" s="120" t="str">
        <f>IFERROR(__xludf.DUMMYFUNCTION("TRANSPOSE(QUERY('Cadastro VTR/SEÇÃO/MILITAR'!$A$3:$B2000,""SELECT B WHERE A LIKE '""&amp;'carga de materiais'!D1948&amp;""'""))"),"#REF!")</f>
        <v>#REF!</v>
      </c>
    </row>
    <row r="1948">
      <c r="A1948" s="120" t="str">
        <f>IFERROR(__xludf.DUMMYFUNCTION("TRANSPOSE(QUERY('Cadastro VTR/SEÇÃO/MILITAR'!$A$3:$B2000,""SELECT B WHERE A LIKE '""&amp;'carga de materiais'!D1949&amp;""'""))"),"#REF!")</f>
        <v>#REF!</v>
      </c>
    </row>
    <row r="1949">
      <c r="A1949" s="120" t="str">
        <f>IFERROR(__xludf.DUMMYFUNCTION("TRANSPOSE(QUERY('Cadastro VTR/SEÇÃO/MILITAR'!$A$3:$B2000,""SELECT B WHERE A LIKE '""&amp;'carga de materiais'!D1950&amp;""'""))"),"#REF!")</f>
        <v>#REF!</v>
      </c>
    </row>
    <row r="1950">
      <c r="A1950" s="120" t="str">
        <f>IFERROR(__xludf.DUMMYFUNCTION("TRANSPOSE(QUERY('Cadastro VTR/SEÇÃO/MILITAR'!$A$3:$B2000,""SELECT B WHERE A LIKE '""&amp;'carga de materiais'!D1951&amp;""'""))"),"#REF!")</f>
        <v>#REF!</v>
      </c>
    </row>
    <row r="1951">
      <c r="A1951" s="120" t="str">
        <f>IFERROR(__xludf.DUMMYFUNCTION("TRANSPOSE(QUERY('Cadastro VTR/SEÇÃO/MILITAR'!$A$3:$B2000,""SELECT B WHERE A LIKE '""&amp;'carga de materiais'!D1952&amp;""'""))"),"#REF!")</f>
        <v>#REF!</v>
      </c>
    </row>
    <row r="1952">
      <c r="A1952" s="120" t="str">
        <f>IFERROR(__xludf.DUMMYFUNCTION("TRANSPOSE(QUERY('Cadastro VTR/SEÇÃO/MILITAR'!$A$3:$B2000,""SELECT B WHERE A LIKE '""&amp;'carga de materiais'!D1953&amp;""'""))"),"#REF!")</f>
        <v>#REF!</v>
      </c>
    </row>
    <row r="1953">
      <c r="A1953" s="120" t="str">
        <f>IFERROR(__xludf.DUMMYFUNCTION("TRANSPOSE(QUERY('Cadastro VTR/SEÇÃO/MILITAR'!$A$3:$B2000,""SELECT B WHERE A LIKE '""&amp;'carga de materiais'!D1954&amp;""'""))"),"#REF!")</f>
        <v>#REF!</v>
      </c>
    </row>
    <row r="1954">
      <c r="A1954" s="120" t="str">
        <f>IFERROR(__xludf.DUMMYFUNCTION("TRANSPOSE(QUERY('Cadastro VTR/SEÇÃO/MILITAR'!$A$3:$B2000,""SELECT B WHERE A LIKE '""&amp;'carga de materiais'!D1955&amp;""'""))"),"#REF!")</f>
        <v>#REF!</v>
      </c>
    </row>
    <row r="1955">
      <c r="A1955" s="120" t="str">
        <f>IFERROR(__xludf.DUMMYFUNCTION("TRANSPOSE(QUERY('Cadastro VTR/SEÇÃO/MILITAR'!$A$3:$B2000,""SELECT B WHERE A LIKE '""&amp;'carga de materiais'!D1956&amp;""'""))"),"#REF!")</f>
        <v>#REF!</v>
      </c>
    </row>
    <row r="1956">
      <c r="A1956" s="120" t="str">
        <f>IFERROR(__xludf.DUMMYFUNCTION("TRANSPOSE(QUERY('Cadastro VTR/SEÇÃO/MILITAR'!$A$3:$B2000,""SELECT B WHERE A LIKE '""&amp;'carga de materiais'!D1957&amp;""'""))"),"#REF!")</f>
        <v>#REF!</v>
      </c>
    </row>
    <row r="1957">
      <c r="A1957" s="120" t="str">
        <f>IFERROR(__xludf.DUMMYFUNCTION("TRANSPOSE(QUERY('Cadastro VTR/SEÇÃO/MILITAR'!$A$3:$B2000,""SELECT B WHERE A LIKE '""&amp;'carga de materiais'!D1958&amp;""'""))"),"#REF!")</f>
        <v>#REF!</v>
      </c>
    </row>
    <row r="1958">
      <c r="A1958" s="120" t="str">
        <f>IFERROR(__xludf.DUMMYFUNCTION("TRANSPOSE(QUERY('Cadastro VTR/SEÇÃO/MILITAR'!$A$3:$B2000,""SELECT B WHERE A LIKE '""&amp;'carga de materiais'!D1959&amp;""'""))"),"#REF!")</f>
        <v>#REF!</v>
      </c>
    </row>
    <row r="1959">
      <c r="A1959" s="120" t="str">
        <f>IFERROR(__xludf.DUMMYFUNCTION("TRANSPOSE(QUERY('Cadastro VTR/SEÇÃO/MILITAR'!$A$3:$B2000,""SELECT B WHERE A LIKE '""&amp;'carga de materiais'!D1960&amp;""'""))"),"#REF!")</f>
        <v>#REF!</v>
      </c>
    </row>
    <row r="1960">
      <c r="A1960" s="120" t="str">
        <f>IFERROR(__xludf.DUMMYFUNCTION("TRANSPOSE(QUERY('Cadastro VTR/SEÇÃO/MILITAR'!$A$3:$B2000,""SELECT B WHERE A LIKE '""&amp;'carga de materiais'!D1961&amp;""'""))"),"#REF!")</f>
        <v>#REF!</v>
      </c>
    </row>
    <row r="1961">
      <c r="A1961" s="120" t="str">
        <f>IFERROR(__xludf.DUMMYFUNCTION("TRANSPOSE(QUERY('Cadastro VTR/SEÇÃO/MILITAR'!$A$3:$B2000,""SELECT B WHERE A LIKE '""&amp;'carga de materiais'!D1962&amp;""'""))"),"#REF!")</f>
        <v>#REF!</v>
      </c>
    </row>
    <row r="1962">
      <c r="A1962" s="120" t="str">
        <f>IFERROR(__xludf.DUMMYFUNCTION("TRANSPOSE(QUERY('Cadastro VTR/SEÇÃO/MILITAR'!$A$3:$B2000,""SELECT B WHERE A LIKE '""&amp;'carga de materiais'!D1963&amp;""'""))"),"#REF!")</f>
        <v>#REF!</v>
      </c>
    </row>
    <row r="1963">
      <c r="A1963" s="120" t="str">
        <f>IFERROR(__xludf.DUMMYFUNCTION("TRANSPOSE(QUERY('Cadastro VTR/SEÇÃO/MILITAR'!$A$3:$B2000,""SELECT B WHERE A LIKE '""&amp;'carga de materiais'!D1964&amp;""'""))"),"#REF!")</f>
        <v>#REF!</v>
      </c>
    </row>
    <row r="1964">
      <c r="A1964" s="120" t="str">
        <f>IFERROR(__xludf.DUMMYFUNCTION("TRANSPOSE(QUERY('Cadastro VTR/SEÇÃO/MILITAR'!$A$3:$B2000,""SELECT B WHERE A LIKE '""&amp;'carga de materiais'!D1965&amp;""'""))"),"#REF!")</f>
        <v>#REF!</v>
      </c>
    </row>
    <row r="1965">
      <c r="A1965" s="120" t="str">
        <f>IFERROR(__xludf.DUMMYFUNCTION("TRANSPOSE(QUERY('Cadastro VTR/SEÇÃO/MILITAR'!$A$3:$B2000,""SELECT B WHERE A LIKE '""&amp;'carga de materiais'!D1966&amp;""'""))"),"#REF!")</f>
        <v>#REF!</v>
      </c>
    </row>
    <row r="1966">
      <c r="A1966" s="120" t="str">
        <f>IFERROR(__xludf.DUMMYFUNCTION("TRANSPOSE(QUERY('Cadastro VTR/SEÇÃO/MILITAR'!$A$3:$B2000,""SELECT B WHERE A LIKE '""&amp;'carga de materiais'!D1967&amp;""'""))"),"#REF!")</f>
        <v>#REF!</v>
      </c>
    </row>
    <row r="1967">
      <c r="A1967" s="120" t="str">
        <f>IFERROR(__xludf.DUMMYFUNCTION("TRANSPOSE(QUERY('Cadastro VTR/SEÇÃO/MILITAR'!$A$3:$B2000,""SELECT B WHERE A LIKE '""&amp;'carga de materiais'!D1968&amp;""'""))"),"#REF!")</f>
        <v>#REF!</v>
      </c>
    </row>
    <row r="1968">
      <c r="A1968" s="120" t="str">
        <f>IFERROR(__xludf.DUMMYFUNCTION("TRANSPOSE(QUERY('Cadastro VTR/SEÇÃO/MILITAR'!$A$3:$B2000,""SELECT B WHERE A LIKE '""&amp;'carga de materiais'!D1969&amp;""'""))"),"#REF!")</f>
        <v>#REF!</v>
      </c>
    </row>
    <row r="1969">
      <c r="A1969" s="120" t="str">
        <f>IFERROR(__xludf.DUMMYFUNCTION("TRANSPOSE(QUERY('Cadastro VTR/SEÇÃO/MILITAR'!$A$3:$B2000,""SELECT B WHERE A LIKE '""&amp;'carga de materiais'!D1970&amp;""'""))"),"#REF!")</f>
        <v>#REF!</v>
      </c>
    </row>
    <row r="1970">
      <c r="A1970" s="120" t="str">
        <f>IFERROR(__xludf.DUMMYFUNCTION("TRANSPOSE(QUERY('Cadastro VTR/SEÇÃO/MILITAR'!$A$3:$B2000,""SELECT B WHERE A LIKE '""&amp;'carga de materiais'!D1971&amp;""'""))"),"#REF!")</f>
        <v>#REF!</v>
      </c>
    </row>
    <row r="1971">
      <c r="A1971" s="120" t="str">
        <f>IFERROR(__xludf.DUMMYFUNCTION("TRANSPOSE(QUERY('Cadastro VTR/SEÇÃO/MILITAR'!$A$3:$B2000,""SELECT B WHERE A LIKE '""&amp;'carga de materiais'!D1972&amp;""'""))"),"#REF!")</f>
        <v>#REF!</v>
      </c>
    </row>
    <row r="1972">
      <c r="A1972" s="120" t="str">
        <f>IFERROR(__xludf.DUMMYFUNCTION("TRANSPOSE(QUERY('Cadastro VTR/SEÇÃO/MILITAR'!$A$3:$B2000,""SELECT B WHERE A LIKE '""&amp;'carga de materiais'!D1973&amp;""'""))"),"#REF!")</f>
        <v>#REF!</v>
      </c>
    </row>
    <row r="1973">
      <c r="A1973" s="120" t="str">
        <f>IFERROR(__xludf.DUMMYFUNCTION("TRANSPOSE(QUERY('Cadastro VTR/SEÇÃO/MILITAR'!$A$3:$B2000,""SELECT B WHERE A LIKE '""&amp;'carga de materiais'!D1974&amp;""'""))"),"#REF!")</f>
        <v>#REF!</v>
      </c>
    </row>
    <row r="1974">
      <c r="A1974" s="120" t="str">
        <f>IFERROR(__xludf.DUMMYFUNCTION("TRANSPOSE(QUERY('Cadastro VTR/SEÇÃO/MILITAR'!$A$3:$B2000,""SELECT B WHERE A LIKE '""&amp;'carga de materiais'!D1975&amp;""'""))"),"#REF!")</f>
        <v>#REF!</v>
      </c>
    </row>
    <row r="1975">
      <c r="A1975" s="120" t="str">
        <f>IFERROR(__xludf.DUMMYFUNCTION("TRANSPOSE(QUERY('Cadastro VTR/SEÇÃO/MILITAR'!$A$3:$B2000,""SELECT B WHERE A LIKE '""&amp;'carga de materiais'!D1976&amp;""'""))"),"#REF!")</f>
        <v>#REF!</v>
      </c>
    </row>
    <row r="1976">
      <c r="A1976" s="120" t="str">
        <f>IFERROR(__xludf.DUMMYFUNCTION("TRANSPOSE(QUERY('Cadastro VTR/SEÇÃO/MILITAR'!$A$3:$B2000,""SELECT B WHERE A LIKE '""&amp;'carga de materiais'!D1977&amp;""'""))"),"#REF!")</f>
        <v>#REF!</v>
      </c>
    </row>
    <row r="1977">
      <c r="A1977" s="120" t="str">
        <f>IFERROR(__xludf.DUMMYFUNCTION("TRANSPOSE(QUERY('Cadastro VTR/SEÇÃO/MILITAR'!$A$3:$B2000,""SELECT B WHERE A LIKE '""&amp;'carga de materiais'!D1978&amp;""'""))"),"#REF!")</f>
        <v>#REF!</v>
      </c>
    </row>
    <row r="1978">
      <c r="A1978" s="120" t="str">
        <f>IFERROR(__xludf.DUMMYFUNCTION("TRANSPOSE(QUERY('Cadastro VTR/SEÇÃO/MILITAR'!$A$3:$B2000,""SELECT B WHERE A LIKE '""&amp;'carga de materiais'!D1979&amp;""'""))"),"#REF!")</f>
        <v>#REF!</v>
      </c>
    </row>
    <row r="1979">
      <c r="A1979" s="120" t="str">
        <f>IFERROR(__xludf.DUMMYFUNCTION("TRANSPOSE(QUERY('Cadastro VTR/SEÇÃO/MILITAR'!$A$3:$B2000,""SELECT B WHERE A LIKE '""&amp;'carga de materiais'!D1980&amp;""'""))"),"#REF!")</f>
        <v>#REF!</v>
      </c>
    </row>
    <row r="1980">
      <c r="A1980" s="120" t="str">
        <f>IFERROR(__xludf.DUMMYFUNCTION("TRANSPOSE(QUERY('Cadastro VTR/SEÇÃO/MILITAR'!$A$3:$B2000,""SELECT B WHERE A LIKE '""&amp;'carga de materiais'!D1981&amp;""'""))"),"#REF!")</f>
        <v>#REF!</v>
      </c>
    </row>
    <row r="1981">
      <c r="A1981" s="120" t="str">
        <f>IFERROR(__xludf.DUMMYFUNCTION("TRANSPOSE(QUERY('Cadastro VTR/SEÇÃO/MILITAR'!$A$3:$B2000,""SELECT B WHERE A LIKE '""&amp;'carga de materiais'!D1982&amp;""'""))"),"#REF!")</f>
        <v>#REF!</v>
      </c>
    </row>
    <row r="1982">
      <c r="A1982" s="120" t="str">
        <f>IFERROR(__xludf.DUMMYFUNCTION("TRANSPOSE(QUERY('Cadastro VTR/SEÇÃO/MILITAR'!$A$3:$B2000,""SELECT B WHERE A LIKE '""&amp;'carga de materiais'!D1983&amp;""'""))"),"#REF!")</f>
        <v>#REF!</v>
      </c>
    </row>
    <row r="1983">
      <c r="A1983" s="120" t="str">
        <f>IFERROR(__xludf.DUMMYFUNCTION("TRANSPOSE(QUERY('Cadastro VTR/SEÇÃO/MILITAR'!$A$3:$B2000,""SELECT B WHERE A LIKE '""&amp;'carga de materiais'!D1984&amp;""'""))"),"#REF!")</f>
        <v>#REF!</v>
      </c>
    </row>
    <row r="1984">
      <c r="A1984" s="120" t="str">
        <f>IFERROR(__xludf.DUMMYFUNCTION("TRANSPOSE(QUERY('Cadastro VTR/SEÇÃO/MILITAR'!$A$3:$B2000,""SELECT B WHERE A LIKE '""&amp;'carga de materiais'!D1985&amp;""'""))"),"#REF!")</f>
        <v>#REF!</v>
      </c>
    </row>
    <row r="1985">
      <c r="A1985" s="120" t="str">
        <f>IFERROR(__xludf.DUMMYFUNCTION("TRANSPOSE(QUERY('Cadastro VTR/SEÇÃO/MILITAR'!$A$3:$B2000,""SELECT B WHERE A LIKE '""&amp;'carga de materiais'!D1986&amp;""'""))"),"#REF!")</f>
        <v>#REF!</v>
      </c>
    </row>
    <row r="1986">
      <c r="A1986" s="120" t="str">
        <f>IFERROR(__xludf.DUMMYFUNCTION("TRANSPOSE(QUERY('Cadastro VTR/SEÇÃO/MILITAR'!$A$3:$B2000,""SELECT B WHERE A LIKE '""&amp;'carga de materiais'!D1987&amp;""'""))"),"#REF!")</f>
        <v>#REF!</v>
      </c>
    </row>
    <row r="1987">
      <c r="A1987" s="120" t="str">
        <f>IFERROR(__xludf.DUMMYFUNCTION("TRANSPOSE(QUERY('Cadastro VTR/SEÇÃO/MILITAR'!$A$3:$B2000,""SELECT B WHERE A LIKE '""&amp;'carga de materiais'!D1988&amp;""'""))"),"#REF!")</f>
        <v>#REF!</v>
      </c>
    </row>
    <row r="1988">
      <c r="A1988" s="120" t="str">
        <f>IFERROR(__xludf.DUMMYFUNCTION("TRANSPOSE(QUERY('Cadastro VTR/SEÇÃO/MILITAR'!$A$3:$B2000,""SELECT B WHERE A LIKE '""&amp;'carga de materiais'!D1989&amp;""'""))"),"#REF!")</f>
        <v>#REF!</v>
      </c>
    </row>
    <row r="1989">
      <c r="A1989" s="120" t="str">
        <f>IFERROR(__xludf.DUMMYFUNCTION("TRANSPOSE(QUERY('Cadastro VTR/SEÇÃO/MILITAR'!$A$3:$B2000,""SELECT B WHERE A LIKE '""&amp;'carga de materiais'!D1990&amp;""'""))"),"#REF!")</f>
        <v>#REF!</v>
      </c>
    </row>
    <row r="1990">
      <c r="A1990" s="120" t="str">
        <f>IFERROR(__xludf.DUMMYFUNCTION("TRANSPOSE(QUERY('Cadastro VTR/SEÇÃO/MILITAR'!$A$3:$B2000,""SELECT B WHERE A LIKE '""&amp;'carga de materiais'!D1991&amp;""'""))"),"#REF!")</f>
        <v>#REF!</v>
      </c>
    </row>
    <row r="1991">
      <c r="A1991" s="120" t="str">
        <f>IFERROR(__xludf.DUMMYFUNCTION("TRANSPOSE(QUERY('Cadastro VTR/SEÇÃO/MILITAR'!$A$3:$B2000,""SELECT B WHERE A LIKE '""&amp;'carga de materiais'!D1992&amp;""'""))"),"#REF!")</f>
        <v>#REF!</v>
      </c>
    </row>
    <row r="1992">
      <c r="A1992" s="120" t="str">
        <f>IFERROR(__xludf.DUMMYFUNCTION("TRANSPOSE(QUERY('Cadastro VTR/SEÇÃO/MILITAR'!$A$3:$B2000,""SELECT B WHERE A LIKE '""&amp;'carga de materiais'!D1993&amp;""'""))"),"#REF!")</f>
        <v>#REF!</v>
      </c>
    </row>
    <row r="1993">
      <c r="A1993" s="120" t="str">
        <f>IFERROR(__xludf.DUMMYFUNCTION("TRANSPOSE(QUERY('Cadastro VTR/SEÇÃO/MILITAR'!$A$3:$B2000,""SELECT B WHERE A LIKE '""&amp;'carga de materiais'!D1994&amp;""'""))"),"#REF!")</f>
        <v>#REF!</v>
      </c>
    </row>
    <row r="1994">
      <c r="A1994" s="120" t="str">
        <f>IFERROR(__xludf.DUMMYFUNCTION("TRANSPOSE(QUERY('Cadastro VTR/SEÇÃO/MILITAR'!$A$3:$B2000,""SELECT B WHERE A LIKE '""&amp;'carga de materiais'!D1995&amp;""'""))"),"#REF!")</f>
        <v>#REF!</v>
      </c>
    </row>
    <row r="1995">
      <c r="A1995" s="120" t="str">
        <f>IFERROR(__xludf.DUMMYFUNCTION("TRANSPOSE(QUERY('Cadastro VTR/SEÇÃO/MILITAR'!$A$3:$B2000,""SELECT B WHERE A LIKE '""&amp;'carga de materiais'!D1996&amp;""'""))"),"#REF!")</f>
        <v>#REF!</v>
      </c>
    </row>
    <row r="1996">
      <c r="A1996" s="120" t="str">
        <f>IFERROR(__xludf.DUMMYFUNCTION("TRANSPOSE(QUERY('Cadastro VTR/SEÇÃO/MILITAR'!$A$3:$B2000,""SELECT B WHERE A LIKE '""&amp;'carga de materiais'!D1997&amp;""'""))"),"#REF!")</f>
        <v>#REF!</v>
      </c>
    </row>
    <row r="1997">
      <c r="A1997" s="120" t="str">
        <f>IFERROR(__xludf.DUMMYFUNCTION("TRANSPOSE(QUERY('Cadastro VTR/SEÇÃO/MILITAR'!$A$3:$B2000,""SELECT B WHERE A LIKE '""&amp;'carga de materiais'!D1998&amp;""'""))"),"#REF!")</f>
        <v>#REF!</v>
      </c>
    </row>
    <row r="1998">
      <c r="A1998" s="120" t="str">
        <f>IFERROR(__xludf.DUMMYFUNCTION("TRANSPOSE(QUERY('Cadastro VTR/SEÇÃO/MILITAR'!$A$3:$B2000,""SELECT B WHERE A LIKE '""&amp;'carga de materiais'!D1999&amp;""'""))"),"#REF!")</f>
        <v>#REF!</v>
      </c>
    </row>
    <row r="1999">
      <c r="A1999" s="120" t="str">
        <f>IFERROR(__xludf.DUMMYFUNCTION("TRANSPOSE(QUERY('Cadastro VTR/SEÇÃO/MILITAR'!$A$3:$B2000,""SELECT B WHERE A LIKE '""&amp;'carga de materiais'!D2000&amp;""'""))"),"#REF!")</f>
        <v>#REF!</v>
      </c>
    </row>
    <row r="2000">
      <c r="A2000" s="120" t="str">
        <f>IFERROR(__xludf.DUMMYFUNCTION("TRANSPOSE(QUERY('Cadastro VTR/SEÇÃO/MILITAR'!$A$3:$B2000,""SELECT B WHERE A LIKE '""&amp;'carga de materiais'!D2001&amp;""'""))"),"#REF!")</f>
        <v>#REF!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2" width="22.38"/>
  </cols>
  <sheetData>
    <row r="1">
      <c r="A1" s="87" t="str">
        <f>IFERROR(__xludf.DUMMYFUNCTION("TRANSPOSE(QUERY('Cadastro VTR/SEÇÃO/MILITAR'!$E$3:$F2000,""SELECT F WHERE E LIKE '""&amp;#REF!&amp;""'""))"),"#REF!")</f>
        <v>#REF!</v>
      </c>
    </row>
    <row r="2">
      <c r="A2" s="87" t="str">
        <f>IFERROR(__xludf.DUMMYFUNCTION("TRANSPOSE(QUERY('Cadastro VTR/SEÇÃO/MILITAR'!$E$3:$F2000,""SELECT F WHERE E LIKE '""&amp;'carga de materiais'!E3&amp;""'""))"),"#REF!")</f>
        <v>#REF!</v>
      </c>
    </row>
    <row r="3">
      <c r="A3" s="87" t="str">
        <f>IFERROR(__xludf.DUMMYFUNCTION("TRANSPOSE(QUERY('Cadastro VTR/SEÇÃO/MILITAR'!$E$3:$F2000,""SELECT F WHERE E LIKE '""&amp;'carga de materiais'!E4&amp;""'""))"),"#REF!")</f>
        <v>#REF!</v>
      </c>
    </row>
    <row r="4">
      <c r="A4" s="87" t="str">
        <f>IFERROR(__xludf.DUMMYFUNCTION("TRANSPOSE(QUERY('Cadastro VTR/SEÇÃO/MILITAR'!$E$3:$F2000,""SELECT F WHERE E LIKE '""&amp;'carga de materiais'!E5&amp;""'""))"),"#REF!")</f>
        <v>#REF!</v>
      </c>
    </row>
    <row r="5">
      <c r="A5" s="87" t="str">
        <f>IFERROR(__xludf.DUMMYFUNCTION("TRANSPOSE(QUERY('Cadastro VTR/SEÇÃO/MILITAR'!$E$3:$F2000,""SELECT F WHERE E LIKE '""&amp;'carga de materiais'!E6&amp;""'""))"),"#REF!")</f>
        <v>#REF!</v>
      </c>
    </row>
    <row r="6">
      <c r="A6" s="87" t="str">
        <f>IFERROR(__xludf.DUMMYFUNCTION("TRANSPOSE(QUERY('Cadastro VTR/SEÇÃO/MILITAR'!$E$3:$F2000,""SELECT F WHERE E LIKE '""&amp;'carga de materiais'!E7&amp;""'""))"),"#REF!")</f>
        <v>#REF!</v>
      </c>
    </row>
    <row r="7">
      <c r="A7" s="87" t="str">
        <f>IFERROR(__xludf.DUMMYFUNCTION("TRANSPOSE(QUERY('Cadastro VTR/SEÇÃO/MILITAR'!$E$3:$F2000,""SELECT F WHERE E LIKE '""&amp;'carga de materiais'!E8&amp;""'""))"),"#REF!")</f>
        <v>#REF!</v>
      </c>
    </row>
    <row r="8">
      <c r="A8" s="87" t="str">
        <f>IFERROR(__xludf.DUMMYFUNCTION("TRANSPOSE(QUERY('Cadastro VTR/SEÇÃO/MILITAR'!$E$3:$F2000,""SELECT F WHERE E LIKE '""&amp;'carga de materiais'!E9&amp;""'""))"),"#REF!")</f>
        <v>#REF!</v>
      </c>
    </row>
    <row r="9">
      <c r="A9" s="87" t="str">
        <f>IFERROR(__xludf.DUMMYFUNCTION("TRANSPOSE(QUERY('Cadastro VTR/SEÇÃO/MILITAR'!$E$3:$F2000,""SELECT F WHERE E LIKE '""&amp;'carga de materiais'!E10&amp;""'""))"),"#REF!")</f>
        <v>#REF!</v>
      </c>
    </row>
    <row r="10">
      <c r="A10" s="87" t="str">
        <f>IFERROR(__xludf.DUMMYFUNCTION("TRANSPOSE(QUERY('Cadastro VTR/SEÇÃO/MILITAR'!$E$3:$F2000,""SELECT F WHERE E LIKE '""&amp;'carga de materiais'!E11&amp;""'""))"),"#REF!")</f>
        <v>#REF!</v>
      </c>
    </row>
    <row r="11">
      <c r="A11" s="87" t="str">
        <f>IFERROR(__xludf.DUMMYFUNCTION("TRANSPOSE(QUERY('Cadastro VTR/SEÇÃO/MILITAR'!$E$3:$F2000,""SELECT F WHERE E LIKE '""&amp;'carga de materiais'!E12&amp;""'""))"),"#REF!")</f>
        <v>#REF!</v>
      </c>
    </row>
    <row r="12">
      <c r="A12" s="87" t="str">
        <f>IFERROR(__xludf.DUMMYFUNCTION("TRANSPOSE(QUERY('Cadastro VTR/SEÇÃO/MILITAR'!$E$3:$F2000,""SELECT F WHERE E LIKE '""&amp;'carga de materiais'!E13&amp;""'""))"),"#REF!")</f>
        <v>#REF!</v>
      </c>
    </row>
    <row r="13">
      <c r="A13" s="87" t="str">
        <f>IFERROR(__xludf.DUMMYFUNCTION("TRANSPOSE(QUERY('Cadastro VTR/SEÇÃO/MILITAR'!$E$3:$F2000,""SELECT F WHERE E LIKE '""&amp;'carga de materiais'!E14&amp;""'""))"),"#REF!")</f>
        <v>#REF!</v>
      </c>
    </row>
    <row r="14">
      <c r="A14" s="87" t="str">
        <f>IFERROR(__xludf.DUMMYFUNCTION("TRANSPOSE(QUERY('Cadastro VTR/SEÇÃO/MILITAR'!$E$3:$F2000,""SELECT F WHERE E LIKE '""&amp;'carga de materiais'!E15&amp;""'""))"),"#REF!")</f>
        <v>#REF!</v>
      </c>
    </row>
    <row r="15">
      <c r="A15" s="87" t="str">
        <f>IFERROR(__xludf.DUMMYFUNCTION("TRANSPOSE(QUERY('Cadastro VTR/SEÇÃO/MILITAR'!$E$3:$F2000,""SELECT F WHERE E LIKE '""&amp;'carga de materiais'!E16&amp;""'""))"),"#REF!")</f>
        <v>#REF!</v>
      </c>
    </row>
    <row r="16">
      <c r="A16" s="87" t="str">
        <f>IFERROR(__xludf.DUMMYFUNCTION("TRANSPOSE(QUERY('Cadastro VTR/SEÇÃO/MILITAR'!$E$3:$F2000,""SELECT F WHERE E LIKE '""&amp;'carga de materiais'!E17&amp;""'""))"),"#REF!")</f>
        <v>#REF!</v>
      </c>
    </row>
    <row r="17">
      <c r="A17" s="87" t="str">
        <f>IFERROR(__xludf.DUMMYFUNCTION("TRANSPOSE(QUERY('Cadastro VTR/SEÇÃO/MILITAR'!$E$3:$F2000,""SELECT F WHERE E LIKE '""&amp;'carga de materiais'!E18&amp;""'""))"),"#REF!")</f>
        <v>#REF!</v>
      </c>
    </row>
    <row r="18">
      <c r="A18" s="87" t="str">
        <f>IFERROR(__xludf.DUMMYFUNCTION("TRANSPOSE(QUERY('Cadastro VTR/SEÇÃO/MILITAR'!$E$3:$F2000,""SELECT F WHERE E LIKE '""&amp;'carga de materiais'!E19&amp;""'""))"),"#REF!")</f>
        <v>#REF!</v>
      </c>
    </row>
    <row r="19">
      <c r="A19" s="87" t="str">
        <f>IFERROR(__xludf.DUMMYFUNCTION("TRANSPOSE(QUERY('Cadastro VTR/SEÇÃO/MILITAR'!$E$3:$F2000,""SELECT F WHERE E LIKE '""&amp;'carga de materiais'!E20&amp;""'""))"),"#REF!")</f>
        <v>#REF!</v>
      </c>
    </row>
    <row r="20">
      <c r="A20" s="87" t="str">
        <f>IFERROR(__xludf.DUMMYFUNCTION("TRANSPOSE(QUERY('Cadastro VTR/SEÇÃO/MILITAR'!$E$3:$F2000,""SELECT F WHERE E LIKE '""&amp;'carga de materiais'!E21&amp;""'""))"),"#REF!")</f>
        <v>#REF!</v>
      </c>
    </row>
    <row r="21">
      <c r="A21" s="87" t="str">
        <f>IFERROR(__xludf.DUMMYFUNCTION("TRANSPOSE(QUERY('Cadastro VTR/SEÇÃO/MILITAR'!$E$3:$F2000,""SELECT F WHERE E LIKE '""&amp;'carga de materiais'!E22&amp;""'""))"),"#REF!")</f>
        <v>#REF!</v>
      </c>
    </row>
    <row r="22">
      <c r="A22" s="87" t="str">
        <f>IFERROR(__xludf.DUMMYFUNCTION("TRANSPOSE(QUERY('Cadastro VTR/SEÇÃO/MILITAR'!$E$3:$F2000,""SELECT F WHERE E LIKE '""&amp;'carga de materiais'!E23&amp;""'""))"),"#REF!")</f>
        <v>#REF!</v>
      </c>
    </row>
    <row r="23">
      <c r="A23" s="87" t="str">
        <f>IFERROR(__xludf.DUMMYFUNCTION("TRANSPOSE(QUERY('Cadastro VTR/SEÇÃO/MILITAR'!$E$3:$F2000,""SELECT F WHERE E LIKE '""&amp;'carga de materiais'!E24&amp;""'""))"),"#REF!")</f>
        <v>#REF!</v>
      </c>
    </row>
    <row r="24">
      <c r="A24" s="87" t="str">
        <f>IFERROR(__xludf.DUMMYFUNCTION("TRANSPOSE(QUERY('Cadastro VTR/SEÇÃO/MILITAR'!$E$3:$F2000,""SELECT F WHERE E LIKE '""&amp;'carga de materiais'!E25&amp;""'""))"),"#REF!")</f>
        <v>#REF!</v>
      </c>
    </row>
    <row r="25">
      <c r="A25" s="87" t="str">
        <f>IFERROR(__xludf.DUMMYFUNCTION("TRANSPOSE(QUERY('Cadastro VTR/SEÇÃO/MILITAR'!$E$3:$F2000,""SELECT F WHERE E LIKE '""&amp;'carga de materiais'!E26&amp;""'""))"),"#REF!")</f>
        <v>#REF!</v>
      </c>
    </row>
    <row r="26">
      <c r="A26" s="87" t="str">
        <f>IFERROR(__xludf.DUMMYFUNCTION("TRANSPOSE(QUERY('Cadastro VTR/SEÇÃO/MILITAR'!$E$3:$F2000,""SELECT F WHERE E LIKE '""&amp;'carga de materiais'!E27&amp;""'""))"),"#REF!")</f>
        <v>#REF!</v>
      </c>
    </row>
    <row r="27">
      <c r="A27" s="87" t="str">
        <f>IFERROR(__xludf.DUMMYFUNCTION("TRANSPOSE(QUERY('Cadastro VTR/SEÇÃO/MILITAR'!$E$3:$F2000,""SELECT F WHERE E LIKE '""&amp;'carga de materiais'!E28&amp;""'""))"),"#REF!")</f>
        <v>#REF!</v>
      </c>
    </row>
    <row r="28">
      <c r="A28" s="87" t="str">
        <f>IFERROR(__xludf.DUMMYFUNCTION("TRANSPOSE(QUERY('Cadastro VTR/SEÇÃO/MILITAR'!$E$3:$F2000,""SELECT F WHERE E LIKE '""&amp;'carga de materiais'!E29&amp;""'""))"),"#REF!")</f>
        <v>#REF!</v>
      </c>
    </row>
    <row r="29">
      <c r="A29" s="87" t="str">
        <f>IFERROR(__xludf.DUMMYFUNCTION("TRANSPOSE(QUERY('Cadastro VTR/SEÇÃO/MILITAR'!$E$3:$F2000,""SELECT F WHERE E LIKE '""&amp;'carga de materiais'!E30&amp;""'""))"),"#REF!")</f>
        <v>#REF!</v>
      </c>
    </row>
    <row r="30">
      <c r="A30" s="87" t="str">
        <f>IFERROR(__xludf.DUMMYFUNCTION("TRANSPOSE(QUERY('Cadastro VTR/SEÇÃO/MILITAR'!$E$3:$F2000,""SELECT F WHERE E LIKE '""&amp;'carga de materiais'!E31&amp;""'""))"),"#REF!")</f>
        <v>#REF!</v>
      </c>
    </row>
    <row r="31">
      <c r="A31" s="87" t="str">
        <f>IFERROR(__xludf.DUMMYFUNCTION("TRANSPOSE(QUERY('Cadastro VTR/SEÇÃO/MILITAR'!$E$3:$F2000,""SELECT F WHERE E LIKE '""&amp;'carga de materiais'!E32&amp;""'""))"),"#REF!")</f>
        <v>#REF!</v>
      </c>
    </row>
    <row r="32">
      <c r="A32" s="87" t="str">
        <f>IFERROR(__xludf.DUMMYFUNCTION("TRANSPOSE(QUERY('Cadastro VTR/SEÇÃO/MILITAR'!$E$3:$F2000,""SELECT F WHERE E LIKE '""&amp;'carga de materiais'!E33&amp;""'""))"),"#REF!")</f>
        <v>#REF!</v>
      </c>
    </row>
    <row r="33">
      <c r="A33" s="87" t="str">
        <f>IFERROR(__xludf.DUMMYFUNCTION("TRANSPOSE(QUERY('Cadastro VTR/SEÇÃO/MILITAR'!$E$3:$F2000,""SELECT F WHERE E LIKE '""&amp;'carga de materiais'!E34&amp;""'""))"),"#REF!")</f>
        <v>#REF!</v>
      </c>
    </row>
    <row r="34">
      <c r="A34" s="87" t="str">
        <f>IFERROR(__xludf.DUMMYFUNCTION("TRANSPOSE(QUERY('Cadastro VTR/SEÇÃO/MILITAR'!$E$3:$F2000,""SELECT F WHERE E LIKE '""&amp;'carga de materiais'!E35&amp;""'""))"),"#REF!")</f>
        <v>#REF!</v>
      </c>
    </row>
    <row r="35">
      <c r="A35" s="87" t="str">
        <f>IFERROR(__xludf.DUMMYFUNCTION("TRANSPOSE(QUERY('Cadastro VTR/SEÇÃO/MILITAR'!$E$3:$F2000,""SELECT F WHERE E LIKE '""&amp;'carga de materiais'!E36&amp;""'""))"),"#REF!")</f>
        <v>#REF!</v>
      </c>
    </row>
    <row r="36">
      <c r="A36" s="87" t="str">
        <f>IFERROR(__xludf.DUMMYFUNCTION("TRANSPOSE(QUERY('Cadastro VTR/SEÇÃO/MILITAR'!$E$3:$F2000,""SELECT F WHERE E LIKE '""&amp;'carga de materiais'!E37&amp;""'""))"),"#REF!")</f>
        <v>#REF!</v>
      </c>
    </row>
    <row r="37">
      <c r="A37" s="87" t="str">
        <f>IFERROR(__xludf.DUMMYFUNCTION("TRANSPOSE(QUERY('Cadastro VTR/SEÇÃO/MILITAR'!$E$3:$F2000,""SELECT F WHERE E LIKE '""&amp;'carga de materiais'!E38&amp;""'""))"),"#REF!")</f>
        <v>#REF!</v>
      </c>
    </row>
    <row r="38">
      <c r="A38" s="87" t="str">
        <f>IFERROR(__xludf.DUMMYFUNCTION("TRANSPOSE(QUERY('Cadastro VTR/SEÇÃO/MILITAR'!$E$3:$F2000,""SELECT F WHERE E LIKE '""&amp;'carga de materiais'!E39&amp;""'""))"),"#REF!")</f>
        <v>#REF!</v>
      </c>
    </row>
    <row r="39">
      <c r="A39" s="87" t="str">
        <f>IFERROR(__xludf.DUMMYFUNCTION("TRANSPOSE(QUERY('Cadastro VTR/SEÇÃO/MILITAR'!$E$3:$F2000,""SELECT F WHERE E LIKE '""&amp;'carga de materiais'!E40&amp;""'""))"),"#REF!")</f>
        <v>#REF!</v>
      </c>
    </row>
    <row r="40">
      <c r="A40" s="87" t="str">
        <f>IFERROR(__xludf.DUMMYFUNCTION("TRANSPOSE(QUERY('Cadastro VTR/SEÇÃO/MILITAR'!$E$3:$F2000,""SELECT F WHERE E LIKE '""&amp;'carga de materiais'!E41&amp;""'""))"),"#REF!")</f>
        <v>#REF!</v>
      </c>
    </row>
    <row r="41">
      <c r="A41" s="87" t="str">
        <f>IFERROR(__xludf.DUMMYFUNCTION("TRANSPOSE(QUERY('Cadastro VTR/SEÇÃO/MILITAR'!$E$3:$F2000,""SELECT F WHERE E LIKE '""&amp;'carga de materiais'!E42&amp;""'""))"),"#REF!")</f>
        <v>#REF!</v>
      </c>
    </row>
    <row r="42">
      <c r="A42" s="87" t="str">
        <f>IFERROR(__xludf.DUMMYFUNCTION("TRANSPOSE(QUERY('Cadastro VTR/SEÇÃO/MILITAR'!$E$3:$F2000,""SELECT F WHERE E LIKE '""&amp;'carga de materiais'!E43&amp;""'""))"),"#REF!")</f>
        <v>#REF!</v>
      </c>
    </row>
    <row r="43">
      <c r="A43" s="87" t="str">
        <f>IFERROR(__xludf.DUMMYFUNCTION("TRANSPOSE(QUERY('Cadastro VTR/SEÇÃO/MILITAR'!$E$3:$F2000,""SELECT F WHERE E LIKE '""&amp;'carga de materiais'!E44&amp;""'""))"),"#REF!")</f>
        <v>#REF!</v>
      </c>
    </row>
    <row r="44">
      <c r="A44" s="87" t="str">
        <f>IFERROR(__xludf.DUMMYFUNCTION("TRANSPOSE(QUERY('Cadastro VTR/SEÇÃO/MILITAR'!$E$3:$F2000,""SELECT F WHERE E LIKE '""&amp;'carga de materiais'!E45&amp;""'""))"),"#REF!")</f>
        <v>#REF!</v>
      </c>
    </row>
    <row r="45">
      <c r="A45" s="87" t="str">
        <f>IFERROR(__xludf.DUMMYFUNCTION("TRANSPOSE(QUERY('Cadastro VTR/SEÇÃO/MILITAR'!$E$3:$F2000,""SELECT F WHERE E LIKE '""&amp;'carga de materiais'!E46&amp;""'""))"),"#REF!")</f>
        <v>#REF!</v>
      </c>
    </row>
    <row r="46">
      <c r="A46" s="87" t="str">
        <f>IFERROR(__xludf.DUMMYFUNCTION("TRANSPOSE(QUERY('Cadastro VTR/SEÇÃO/MILITAR'!$E$3:$F2000,""SELECT F WHERE E LIKE '""&amp;'carga de materiais'!E47&amp;""'""))"),"#REF!")</f>
        <v>#REF!</v>
      </c>
    </row>
    <row r="47">
      <c r="A47" s="87" t="str">
        <f>IFERROR(__xludf.DUMMYFUNCTION("TRANSPOSE(QUERY('Cadastro VTR/SEÇÃO/MILITAR'!$E$3:$F2000,""SELECT F WHERE E LIKE '""&amp;'carga de materiais'!E48&amp;""'""))"),"#REF!")</f>
        <v>#REF!</v>
      </c>
    </row>
    <row r="48">
      <c r="A48" s="87" t="str">
        <f>IFERROR(__xludf.DUMMYFUNCTION("TRANSPOSE(QUERY('Cadastro VTR/SEÇÃO/MILITAR'!$E$3:$F2000,""SELECT F WHERE E LIKE '""&amp;'carga de materiais'!E49&amp;""'""))"),"#REF!")</f>
        <v>#REF!</v>
      </c>
    </row>
    <row r="49">
      <c r="A49" s="87" t="str">
        <f>IFERROR(__xludf.DUMMYFUNCTION("TRANSPOSE(QUERY('Cadastro VTR/SEÇÃO/MILITAR'!$E$3:$F2000,""SELECT F WHERE E LIKE '""&amp;'carga de materiais'!E50&amp;""'""))"),"#REF!")</f>
        <v>#REF!</v>
      </c>
    </row>
    <row r="50">
      <c r="A50" s="87" t="str">
        <f>IFERROR(__xludf.DUMMYFUNCTION("TRANSPOSE(QUERY('Cadastro VTR/SEÇÃO/MILITAR'!$E$3:$F2000,""SELECT F WHERE E LIKE '""&amp;'carga de materiais'!E51&amp;""'""))"),"#REF!")</f>
        <v>#REF!</v>
      </c>
    </row>
    <row r="51">
      <c r="A51" s="87" t="str">
        <f>IFERROR(__xludf.DUMMYFUNCTION("TRANSPOSE(QUERY('Cadastro VTR/SEÇÃO/MILITAR'!$E$3:$F2000,""SELECT F WHERE E LIKE '""&amp;'carga de materiais'!E52&amp;""'""))"),"#REF!")</f>
        <v>#REF!</v>
      </c>
    </row>
    <row r="52">
      <c r="A52" s="87" t="str">
        <f>IFERROR(__xludf.DUMMYFUNCTION("TRANSPOSE(QUERY('Cadastro VTR/SEÇÃO/MILITAR'!$E$3:$F2000,""SELECT F WHERE E LIKE '""&amp;'carga de materiais'!E53&amp;""'""))"),"#REF!")</f>
        <v>#REF!</v>
      </c>
    </row>
    <row r="53">
      <c r="A53" s="87" t="str">
        <f>IFERROR(__xludf.DUMMYFUNCTION("TRANSPOSE(QUERY('Cadastro VTR/SEÇÃO/MILITAR'!$E$3:$F2000,""SELECT F WHERE E LIKE '""&amp;'carga de materiais'!E54&amp;""'""))"),"#REF!")</f>
        <v>#REF!</v>
      </c>
    </row>
    <row r="54">
      <c r="A54" s="87" t="str">
        <f>IFERROR(__xludf.DUMMYFUNCTION("TRANSPOSE(QUERY('Cadastro VTR/SEÇÃO/MILITAR'!$E$3:$F2000,""SELECT F WHERE E LIKE '""&amp;'carga de materiais'!E55&amp;""'""))"),"#REF!")</f>
        <v>#REF!</v>
      </c>
    </row>
    <row r="55">
      <c r="A55" s="87" t="str">
        <f>IFERROR(__xludf.DUMMYFUNCTION("TRANSPOSE(QUERY('Cadastro VTR/SEÇÃO/MILITAR'!$E$3:$F2000,""SELECT F WHERE E LIKE '""&amp;'carga de materiais'!E56&amp;""'""))"),"#REF!")</f>
        <v>#REF!</v>
      </c>
    </row>
    <row r="56">
      <c r="A56" s="87" t="str">
        <f>IFERROR(__xludf.DUMMYFUNCTION("TRANSPOSE(QUERY('Cadastro VTR/SEÇÃO/MILITAR'!$E$3:$F2000,""SELECT F WHERE E LIKE '""&amp;'carga de materiais'!E57&amp;""'""))"),"#REF!")</f>
        <v>#REF!</v>
      </c>
    </row>
    <row r="57">
      <c r="A57" s="87" t="str">
        <f>IFERROR(__xludf.DUMMYFUNCTION("TRANSPOSE(QUERY('Cadastro VTR/SEÇÃO/MILITAR'!$E$3:$F2000,""SELECT F WHERE E LIKE '""&amp;'carga de materiais'!E58&amp;""'""))"),"#REF!")</f>
        <v>#REF!</v>
      </c>
    </row>
    <row r="58">
      <c r="A58" s="87" t="str">
        <f>IFERROR(__xludf.DUMMYFUNCTION("TRANSPOSE(QUERY('Cadastro VTR/SEÇÃO/MILITAR'!$E$3:$F2000,""SELECT F WHERE E LIKE '""&amp;'carga de materiais'!E59&amp;""'""))"),"#REF!")</f>
        <v>#REF!</v>
      </c>
    </row>
    <row r="59">
      <c r="A59" s="87" t="str">
        <f>IFERROR(__xludf.DUMMYFUNCTION("TRANSPOSE(QUERY('Cadastro VTR/SEÇÃO/MILITAR'!$E$3:$F2000,""SELECT F WHERE E LIKE '""&amp;'carga de materiais'!E60&amp;""'""))"),"#REF!")</f>
        <v>#REF!</v>
      </c>
    </row>
    <row r="60">
      <c r="A60" s="87" t="str">
        <f>IFERROR(__xludf.DUMMYFUNCTION("TRANSPOSE(QUERY('Cadastro VTR/SEÇÃO/MILITAR'!$E$3:$F2000,""SELECT F WHERE E LIKE '""&amp;'carga de materiais'!E61&amp;""'""))"),"#REF!")</f>
        <v>#REF!</v>
      </c>
    </row>
    <row r="61">
      <c r="A61" s="87" t="str">
        <f>IFERROR(__xludf.DUMMYFUNCTION("TRANSPOSE(QUERY('Cadastro VTR/SEÇÃO/MILITAR'!$E$3:$F2000,""SELECT F WHERE E LIKE '""&amp;'carga de materiais'!E62&amp;""'""))"),"#REF!")</f>
        <v>#REF!</v>
      </c>
    </row>
    <row r="62">
      <c r="A62" s="87" t="str">
        <f>IFERROR(__xludf.DUMMYFUNCTION("TRANSPOSE(QUERY('Cadastro VTR/SEÇÃO/MILITAR'!$E$3:$F2000,""SELECT F WHERE E LIKE '""&amp;'carga de materiais'!E63&amp;""'""))"),"#REF!")</f>
        <v>#REF!</v>
      </c>
    </row>
    <row r="63">
      <c r="A63" s="87" t="str">
        <f>IFERROR(__xludf.DUMMYFUNCTION("TRANSPOSE(QUERY('Cadastro VTR/SEÇÃO/MILITAR'!$E$3:$F2000,""SELECT F WHERE E LIKE '""&amp;'carga de materiais'!E64&amp;""'""))"),"#REF!")</f>
        <v>#REF!</v>
      </c>
    </row>
    <row r="64">
      <c r="A64" s="87" t="str">
        <f>IFERROR(__xludf.DUMMYFUNCTION("TRANSPOSE(QUERY('Cadastro VTR/SEÇÃO/MILITAR'!$E$3:$F2000,""SELECT F WHERE E LIKE '""&amp;'carga de materiais'!E65&amp;""'""))"),"#REF!")</f>
        <v>#REF!</v>
      </c>
    </row>
    <row r="65">
      <c r="A65" s="87" t="str">
        <f>IFERROR(__xludf.DUMMYFUNCTION("TRANSPOSE(QUERY('Cadastro VTR/SEÇÃO/MILITAR'!$E$3:$F2000,""SELECT F WHERE E LIKE '""&amp;'carga de materiais'!E66&amp;""'""))"),"#REF!")</f>
        <v>#REF!</v>
      </c>
    </row>
    <row r="66">
      <c r="A66" s="87" t="str">
        <f>IFERROR(__xludf.DUMMYFUNCTION("TRANSPOSE(QUERY('Cadastro VTR/SEÇÃO/MILITAR'!$E$3:$F2000,""SELECT F WHERE E LIKE '""&amp;'carga de materiais'!E67&amp;""'""))"),"#REF!")</f>
        <v>#REF!</v>
      </c>
    </row>
    <row r="67">
      <c r="A67" s="87" t="str">
        <f>IFERROR(__xludf.DUMMYFUNCTION("TRANSPOSE(QUERY('Cadastro VTR/SEÇÃO/MILITAR'!$E$3:$F2000,""SELECT F WHERE E LIKE '""&amp;'carga de materiais'!E68&amp;""'""))"),"#REF!")</f>
        <v>#REF!</v>
      </c>
    </row>
    <row r="68">
      <c r="A68" s="87" t="str">
        <f>IFERROR(__xludf.DUMMYFUNCTION("TRANSPOSE(QUERY('Cadastro VTR/SEÇÃO/MILITAR'!$E$3:$F2000,""SELECT F WHERE E LIKE '""&amp;'carga de materiais'!E69&amp;""'""))"),"#REF!")</f>
        <v>#REF!</v>
      </c>
    </row>
    <row r="69">
      <c r="A69" s="87" t="str">
        <f>IFERROR(__xludf.DUMMYFUNCTION("TRANSPOSE(QUERY('Cadastro VTR/SEÇÃO/MILITAR'!$E$3:$F2000,""SELECT F WHERE E LIKE '""&amp;'carga de materiais'!E70&amp;""'""))"),"#REF!")</f>
        <v>#REF!</v>
      </c>
    </row>
    <row r="70">
      <c r="A70" s="87" t="str">
        <f>IFERROR(__xludf.DUMMYFUNCTION("TRANSPOSE(QUERY('Cadastro VTR/SEÇÃO/MILITAR'!$E$3:$F2000,""SELECT F WHERE E LIKE '""&amp;'carga de materiais'!E71&amp;""'""))"),"#REF!")</f>
        <v>#REF!</v>
      </c>
    </row>
    <row r="71">
      <c r="A71" s="87" t="str">
        <f>IFERROR(__xludf.DUMMYFUNCTION("TRANSPOSE(QUERY('Cadastro VTR/SEÇÃO/MILITAR'!$E$3:$F2000,""SELECT F WHERE E LIKE '""&amp;'carga de materiais'!E72&amp;""'""))"),"#REF!")</f>
        <v>#REF!</v>
      </c>
    </row>
    <row r="72">
      <c r="A72" s="87" t="str">
        <f>IFERROR(__xludf.DUMMYFUNCTION("TRANSPOSE(QUERY('Cadastro VTR/SEÇÃO/MILITAR'!$E$3:$F2000,""SELECT F WHERE E LIKE '""&amp;'carga de materiais'!E73&amp;""'""))"),"#REF!")</f>
        <v>#REF!</v>
      </c>
    </row>
    <row r="73">
      <c r="A73" s="87" t="str">
        <f>IFERROR(__xludf.DUMMYFUNCTION("TRANSPOSE(QUERY('Cadastro VTR/SEÇÃO/MILITAR'!$E$3:$F2000,""SELECT F WHERE E LIKE '""&amp;'carga de materiais'!E74&amp;""'""))"),"#REF!")</f>
        <v>#REF!</v>
      </c>
    </row>
    <row r="74">
      <c r="A74" s="87" t="str">
        <f>IFERROR(__xludf.DUMMYFUNCTION("TRANSPOSE(QUERY('Cadastro VTR/SEÇÃO/MILITAR'!$E$3:$F2000,""SELECT F WHERE E LIKE '""&amp;'carga de materiais'!E75&amp;""'""))"),"#REF!")</f>
        <v>#REF!</v>
      </c>
    </row>
    <row r="75">
      <c r="A75" s="87" t="str">
        <f>IFERROR(__xludf.DUMMYFUNCTION("TRANSPOSE(QUERY('Cadastro VTR/SEÇÃO/MILITAR'!$E$3:$F2000,""SELECT F WHERE E LIKE '""&amp;'carga de materiais'!E76&amp;""'""))"),"#REF!")</f>
        <v>#REF!</v>
      </c>
    </row>
    <row r="76">
      <c r="A76" s="87" t="str">
        <f>IFERROR(__xludf.DUMMYFUNCTION("TRANSPOSE(QUERY('Cadastro VTR/SEÇÃO/MILITAR'!$E$3:$F2000,""SELECT F WHERE E LIKE '""&amp;'carga de materiais'!E77&amp;""'""))"),"#REF!")</f>
        <v>#REF!</v>
      </c>
    </row>
    <row r="77">
      <c r="A77" s="87" t="str">
        <f>IFERROR(__xludf.DUMMYFUNCTION("TRANSPOSE(QUERY('Cadastro VTR/SEÇÃO/MILITAR'!$E$3:$F2000,""SELECT F WHERE E LIKE '""&amp;'carga de materiais'!E78&amp;""'""))"),"#REF!")</f>
        <v>#REF!</v>
      </c>
    </row>
    <row r="78">
      <c r="A78" s="87" t="str">
        <f>IFERROR(__xludf.DUMMYFUNCTION("TRANSPOSE(QUERY('Cadastro VTR/SEÇÃO/MILITAR'!$E$3:$F2000,""SELECT F WHERE E LIKE '""&amp;'carga de materiais'!E79&amp;""'""))"),"#REF!")</f>
        <v>#REF!</v>
      </c>
    </row>
    <row r="79">
      <c r="A79" s="87" t="str">
        <f>IFERROR(__xludf.DUMMYFUNCTION("TRANSPOSE(QUERY('Cadastro VTR/SEÇÃO/MILITAR'!$E$3:$F2000,""SELECT F WHERE E LIKE '""&amp;'carga de materiais'!E80&amp;""'""))"),"#REF!")</f>
        <v>#REF!</v>
      </c>
    </row>
    <row r="80">
      <c r="A80" s="87" t="str">
        <f>IFERROR(__xludf.DUMMYFUNCTION("TRANSPOSE(QUERY('Cadastro VTR/SEÇÃO/MILITAR'!$E$3:$F2000,""SELECT F WHERE E LIKE '""&amp;'carga de materiais'!E81&amp;""'""))"),"#REF!")</f>
        <v>#REF!</v>
      </c>
    </row>
    <row r="81">
      <c r="A81" s="87" t="str">
        <f>IFERROR(__xludf.DUMMYFUNCTION("TRANSPOSE(QUERY('Cadastro VTR/SEÇÃO/MILITAR'!$E$3:$F2000,""SELECT F WHERE E LIKE '""&amp;'carga de materiais'!E82&amp;""'""))"),"#REF!")</f>
        <v>#REF!</v>
      </c>
    </row>
    <row r="82">
      <c r="A82" s="87" t="str">
        <f>IFERROR(__xludf.DUMMYFUNCTION("TRANSPOSE(QUERY('Cadastro VTR/SEÇÃO/MILITAR'!$E$3:$F2000,""SELECT F WHERE E LIKE '""&amp;'carga de materiais'!E83&amp;""'""))"),"#REF!")</f>
        <v>#REF!</v>
      </c>
    </row>
    <row r="83">
      <c r="A83" s="87" t="str">
        <f>IFERROR(__xludf.DUMMYFUNCTION("TRANSPOSE(QUERY('Cadastro VTR/SEÇÃO/MILITAR'!$E$3:$F2000,""SELECT F WHERE E LIKE '""&amp;'carga de materiais'!E84&amp;""'""))"),"#REF!")</f>
        <v>#REF!</v>
      </c>
    </row>
    <row r="84">
      <c r="A84" s="87" t="str">
        <f>IFERROR(__xludf.DUMMYFUNCTION("TRANSPOSE(QUERY('Cadastro VTR/SEÇÃO/MILITAR'!$E$3:$F2000,""SELECT F WHERE E LIKE '""&amp;'carga de materiais'!E85&amp;""'""))"),"#REF!")</f>
        <v>#REF!</v>
      </c>
    </row>
    <row r="85">
      <c r="A85" s="87" t="str">
        <f>IFERROR(__xludf.DUMMYFUNCTION("TRANSPOSE(QUERY('Cadastro VTR/SEÇÃO/MILITAR'!$E$3:$F2000,""SELECT F WHERE E LIKE '""&amp;'carga de materiais'!E86&amp;""'""))"),"#REF!")</f>
        <v>#REF!</v>
      </c>
    </row>
    <row r="86">
      <c r="A86" s="87" t="str">
        <f>IFERROR(__xludf.DUMMYFUNCTION("TRANSPOSE(QUERY('Cadastro VTR/SEÇÃO/MILITAR'!$E$3:$F2000,""SELECT F WHERE E LIKE '""&amp;'carga de materiais'!E87&amp;""'""))"),"#REF!")</f>
        <v>#REF!</v>
      </c>
    </row>
    <row r="87">
      <c r="A87" s="87" t="str">
        <f>IFERROR(__xludf.DUMMYFUNCTION("TRANSPOSE(QUERY('Cadastro VTR/SEÇÃO/MILITAR'!$E$3:$F2000,""SELECT F WHERE E LIKE '""&amp;'carga de materiais'!E88&amp;""'""))"),"#REF!")</f>
        <v>#REF!</v>
      </c>
    </row>
    <row r="88">
      <c r="A88" s="87" t="str">
        <f>IFERROR(__xludf.DUMMYFUNCTION("TRANSPOSE(QUERY('Cadastro VTR/SEÇÃO/MILITAR'!$E$3:$F2000,""SELECT F WHERE E LIKE '""&amp;'carga de materiais'!E89&amp;""'""))"),"#REF!")</f>
        <v>#REF!</v>
      </c>
    </row>
    <row r="89">
      <c r="A89" s="87" t="str">
        <f>IFERROR(__xludf.DUMMYFUNCTION("TRANSPOSE(QUERY('Cadastro VTR/SEÇÃO/MILITAR'!$E$3:$F2000,""SELECT F WHERE E LIKE '""&amp;'carga de materiais'!E90&amp;""'""))"),"#REF!")</f>
        <v>#REF!</v>
      </c>
    </row>
    <row r="90">
      <c r="A90" s="87" t="str">
        <f>IFERROR(__xludf.DUMMYFUNCTION("TRANSPOSE(QUERY('Cadastro VTR/SEÇÃO/MILITAR'!$E$3:$F2000,""SELECT F WHERE E LIKE '""&amp;'carga de materiais'!E91&amp;""'""))"),"#REF!")</f>
        <v>#REF!</v>
      </c>
    </row>
    <row r="91">
      <c r="A91" s="87" t="str">
        <f>IFERROR(__xludf.DUMMYFUNCTION("TRANSPOSE(QUERY('Cadastro VTR/SEÇÃO/MILITAR'!$E$3:$F2000,""SELECT F WHERE E LIKE '""&amp;'carga de materiais'!E92&amp;""'""))"),"#REF!")</f>
        <v>#REF!</v>
      </c>
    </row>
    <row r="92">
      <c r="A92" s="87" t="str">
        <f>IFERROR(__xludf.DUMMYFUNCTION("TRANSPOSE(QUERY('Cadastro VTR/SEÇÃO/MILITAR'!$E$3:$F2000,""SELECT F WHERE E LIKE '""&amp;'carga de materiais'!E93&amp;""'""))"),"#REF!")</f>
        <v>#REF!</v>
      </c>
    </row>
    <row r="93">
      <c r="A93" s="87" t="str">
        <f>IFERROR(__xludf.DUMMYFUNCTION("TRANSPOSE(QUERY('Cadastro VTR/SEÇÃO/MILITAR'!$E$3:$F2000,""SELECT F WHERE E LIKE '""&amp;'carga de materiais'!E94&amp;""'""))"),"#REF!")</f>
        <v>#REF!</v>
      </c>
    </row>
    <row r="94">
      <c r="A94" s="87" t="str">
        <f>IFERROR(__xludf.DUMMYFUNCTION("TRANSPOSE(QUERY('Cadastro VTR/SEÇÃO/MILITAR'!$E$3:$F2000,""SELECT F WHERE E LIKE '""&amp;'carga de materiais'!E95&amp;""'""))"),"#REF!")</f>
        <v>#REF!</v>
      </c>
    </row>
    <row r="95">
      <c r="A95" s="87" t="str">
        <f>IFERROR(__xludf.DUMMYFUNCTION("TRANSPOSE(QUERY('Cadastro VTR/SEÇÃO/MILITAR'!$E$3:$F2000,""SELECT F WHERE E LIKE '""&amp;'carga de materiais'!E96&amp;""'""))"),"#REF!")</f>
        <v>#REF!</v>
      </c>
    </row>
    <row r="96">
      <c r="A96" s="87" t="str">
        <f>IFERROR(__xludf.DUMMYFUNCTION("TRANSPOSE(QUERY('Cadastro VTR/SEÇÃO/MILITAR'!$E$3:$F2000,""SELECT F WHERE E LIKE '""&amp;'carga de materiais'!E97&amp;""'""))"),"#REF!")</f>
        <v>#REF!</v>
      </c>
    </row>
    <row r="97">
      <c r="A97" s="87" t="str">
        <f>IFERROR(__xludf.DUMMYFUNCTION("TRANSPOSE(QUERY('Cadastro VTR/SEÇÃO/MILITAR'!$E$3:$F2000,""SELECT F WHERE E LIKE '""&amp;'carga de materiais'!E98&amp;""'""))"),"#REF!")</f>
        <v>#REF!</v>
      </c>
    </row>
    <row r="98">
      <c r="A98" s="87" t="str">
        <f>IFERROR(__xludf.DUMMYFUNCTION("TRANSPOSE(QUERY('Cadastro VTR/SEÇÃO/MILITAR'!$E$3:$F2000,""SELECT F WHERE E LIKE '""&amp;'carga de materiais'!E99&amp;""'""))"),"#REF!")</f>
        <v>#REF!</v>
      </c>
    </row>
    <row r="99">
      <c r="A99" s="87" t="str">
        <f>IFERROR(__xludf.DUMMYFUNCTION("TRANSPOSE(QUERY('Cadastro VTR/SEÇÃO/MILITAR'!$E$3:$F2000,""SELECT F WHERE E LIKE '""&amp;'carga de materiais'!E100&amp;""'""))"),"#REF!")</f>
        <v>#REF!</v>
      </c>
    </row>
    <row r="100">
      <c r="A100" s="87" t="str">
        <f>IFERROR(__xludf.DUMMYFUNCTION("TRANSPOSE(QUERY('Cadastro VTR/SEÇÃO/MILITAR'!$E$3:$F2000,""SELECT F WHERE E LIKE '""&amp;'carga de materiais'!E101&amp;""'""))"),"#REF!")</f>
        <v>#REF!</v>
      </c>
    </row>
    <row r="101">
      <c r="A101" s="87" t="str">
        <f>IFERROR(__xludf.DUMMYFUNCTION("TRANSPOSE(QUERY('Cadastro VTR/SEÇÃO/MILITAR'!$E$3:$F2000,""SELECT F WHERE E LIKE '""&amp;'carga de materiais'!E102&amp;""'""))"),"#REF!")</f>
        <v>#REF!</v>
      </c>
    </row>
    <row r="102">
      <c r="A102" s="87" t="str">
        <f>IFERROR(__xludf.DUMMYFUNCTION("TRANSPOSE(QUERY('Cadastro VTR/SEÇÃO/MILITAR'!$E$3:$F2000,""SELECT F WHERE E LIKE '""&amp;'carga de materiais'!E103&amp;""'""))"),"#REF!")</f>
        <v>#REF!</v>
      </c>
    </row>
    <row r="103">
      <c r="A103" s="87" t="str">
        <f>IFERROR(__xludf.DUMMYFUNCTION("TRANSPOSE(QUERY('Cadastro VTR/SEÇÃO/MILITAR'!$E$3:$F2000,""SELECT F WHERE E LIKE '""&amp;'carga de materiais'!E104&amp;""'""))"),"#REF!")</f>
        <v>#REF!</v>
      </c>
    </row>
    <row r="104">
      <c r="A104" s="87" t="str">
        <f>IFERROR(__xludf.DUMMYFUNCTION("TRANSPOSE(QUERY('Cadastro VTR/SEÇÃO/MILITAR'!$E$3:$F2000,""SELECT F WHERE E LIKE '""&amp;'carga de materiais'!E105&amp;""'""))"),"#REF!")</f>
        <v>#REF!</v>
      </c>
    </row>
    <row r="105">
      <c r="A105" s="87" t="str">
        <f>IFERROR(__xludf.DUMMYFUNCTION("TRANSPOSE(QUERY('Cadastro VTR/SEÇÃO/MILITAR'!$E$3:$F2000,""SELECT F WHERE E LIKE '""&amp;'carga de materiais'!E106&amp;""'""))"),"#REF!")</f>
        <v>#REF!</v>
      </c>
    </row>
    <row r="106">
      <c r="A106" s="87" t="str">
        <f>IFERROR(__xludf.DUMMYFUNCTION("TRANSPOSE(QUERY('Cadastro VTR/SEÇÃO/MILITAR'!$E$3:$F2000,""SELECT F WHERE E LIKE '""&amp;'carga de materiais'!E107&amp;""'""))"),"#REF!")</f>
        <v>#REF!</v>
      </c>
    </row>
    <row r="107">
      <c r="A107" s="87" t="str">
        <f>IFERROR(__xludf.DUMMYFUNCTION("TRANSPOSE(QUERY('Cadastro VTR/SEÇÃO/MILITAR'!$E$3:$F2000,""SELECT F WHERE E LIKE '""&amp;'carga de materiais'!E108&amp;""'""))"),"#REF!")</f>
        <v>#REF!</v>
      </c>
    </row>
    <row r="108">
      <c r="A108" s="87" t="str">
        <f>IFERROR(__xludf.DUMMYFUNCTION("TRANSPOSE(QUERY('Cadastro VTR/SEÇÃO/MILITAR'!$E$3:$F2000,""SELECT F WHERE E LIKE '""&amp;'carga de materiais'!E109&amp;""'""))"),"#REF!")</f>
        <v>#REF!</v>
      </c>
    </row>
    <row r="109">
      <c r="A109" s="87" t="str">
        <f>IFERROR(__xludf.DUMMYFUNCTION("TRANSPOSE(QUERY('Cadastro VTR/SEÇÃO/MILITAR'!$E$3:$F2000,""SELECT F WHERE E LIKE '""&amp;'carga de materiais'!E110&amp;""'""))"),"#REF!")</f>
        <v>#REF!</v>
      </c>
    </row>
    <row r="110">
      <c r="A110" s="87" t="str">
        <f>IFERROR(__xludf.DUMMYFUNCTION("TRANSPOSE(QUERY('Cadastro VTR/SEÇÃO/MILITAR'!$E$3:$F2000,""SELECT F WHERE E LIKE '""&amp;'carga de materiais'!E111&amp;""'""))"),"#REF!")</f>
        <v>#REF!</v>
      </c>
    </row>
    <row r="111">
      <c r="A111" s="87" t="str">
        <f>IFERROR(__xludf.DUMMYFUNCTION("TRANSPOSE(QUERY('Cadastro VTR/SEÇÃO/MILITAR'!$E$3:$F2000,""SELECT F WHERE E LIKE '""&amp;'carga de materiais'!E112&amp;""'""))"),"#REF!")</f>
        <v>#REF!</v>
      </c>
    </row>
    <row r="112">
      <c r="A112" s="87" t="str">
        <f>IFERROR(__xludf.DUMMYFUNCTION("TRANSPOSE(QUERY('Cadastro VTR/SEÇÃO/MILITAR'!$E$3:$F2000,""SELECT F WHERE E LIKE '""&amp;'carga de materiais'!E113&amp;""'""))"),"#REF!")</f>
        <v>#REF!</v>
      </c>
    </row>
    <row r="113">
      <c r="A113" s="87" t="str">
        <f>IFERROR(__xludf.DUMMYFUNCTION("TRANSPOSE(QUERY('Cadastro VTR/SEÇÃO/MILITAR'!$E$3:$F2000,""SELECT F WHERE E LIKE '""&amp;'carga de materiais'!E114&amp;""'""))"),"#REF!")</f>
        <v>#REF!</v>
      </c>
    </row>
    <row r="114">
      <c r="A114" s="87" t="str">
        <f>IFERROR(__xludf.DUMMYFUNCTION("TRANSPOSE(QUERY('Cadastro VTR/SEÇÃO/MILITAR'!$E$3:$F2000,""SELECT F WHERE E LIKE '""&amp;'carga de materiais'!E115&amp;""'""))"),"#REF!")</f>
        <v>#REF!</v>
      </c>
    </row>
    <row r="115">
      <c r="A115" s="87" t="str">
        <f>IFERROR(__xludf.DUMMYFUNCTION("TRANSPOSE(QUERY('Cadastro VTR/SEÇÃO/MILITAR'!$E$3:$F2000,""SELECT F WHERE E LIKE '""&amp;'carga de materiais'!E116&amp;""'""))"),"#REF!")</f>
        <v>#REF!</v>
      </c>
    </row>
    <row r="116">
      <c r="A116" s="87" t="str">
        <f>IFERROR(__xludf.DUMMYFUNCTION("TRANSPOSE(QUERY('Cadastro VTR/SEÇÃO/MILITAR'!$E$3:$F2000,""SELECT F WHERE E LIKE '""&amp;'carga de materiais'!E117&amp;""'""))"),"#REF!")</f>
        <v>#REF!</v>
      </c>
    </row>
    <row r="117">
      <c r="A117" s="87" t="str">
        <f>IFERROR(__xludf.DUMMYFUNCTION("TRANSPOSE(QUERY('Cadastro VTR/SEÇÃO/MILITAR'!$E$3:$F2000,""SELECT F WHERE E LIKE '""&amp;'carga de materiais'!E118&amp;""'""))"),"#REF!")</f>
        <v>#REF!</v>
      </c>
    </row>
    <row r="118">
      <c r="A118" s="87" t="str">
        <f>IFERROR(__xludf.DUMMYFUNCTION("TRANSPOSE(QUERY('Cadastro VTR/SEÇÃO/MILITAR'!$E$3:$F2000,""SELECT F WHERE E LIKE '""&amp;'carga de materiais'!E119&amp;""'""))"),"#REF!")</f>
        <v>#REF!</v>
      </c>
    </row>
    <row r="119">
      <c r="A119" s="87" t="str">
        <f>IFERROR(__xludf.DUMMYFUNCTION("TRANSPOSE(QUERY('Cadastro VTR/SEÇÃO/MILITAR'!$E$3:$F2000,""SELECT F WHERE E LIKE '""&amp;'carga de materiais'!E120&amp;""'""))"),"#REF!")</f>
        <v>#REF!</v>
      </c>
    </row>
    <row r="120">
      <c r="A120" s="87" t="str">
        <f>IFERROR(__xludf.DUMMYFUNCTION("TRANSPOSE(QUERY('Cadastro VTR/SEÇÃO/MILITAR'!$E$3:$F2000,""SELECT F WHERE E LIKE '""&amp;'carga de materiais'!E121&amp;""'""))"),"#REF!")</f>
        <v>#REF!</v>
      </c>
    </row>
    <row r="121">
      <c r="A121" s="87" t="str">
        <f>IFERROR(__xludf.DUMMYFUNCTION("TRANSPOSE(QUERY('Cadastro VTR/SEÇÃO/MILITAR'!$E$3:$F2000,""SELECT F WHERE E LIKE '""&amp;'carga de materiais'!E122&amp;""'""))"),"#REF!")</f>
        <v>#REF!</v>
      </c>
    </row>
    <row r="122">
      <c r="A122" s="87" t="str">
        <f>IFERROR(__xludf.DUMMYFUNCTION("TRANSPOSE(QUERY('Cadastro VTR/SEÇÃO/MILITAR'!$E$3:$F2000,""SELECT F WHERE E LIKE '""&amp;'carga de materiais'!E123&amp;""'""))"),"#REF!")</f>
        <v>#REF!</v>
      </c>
    </row>
    <row r="123">
      <c r="A123" s="87" t="str">
        <f>IFERROR(__xludf.DUMMYFUNCTION("TRANSPOSE(QUERY('Cadastro VTR/SEÇÃO/MILITAR'!$E$3:$F2000,""SELECT F WHERE E LIKE '""&amp;'carga de materiais'!E124&amp;""'""))"),"#REF!")</f>
        <v>#REF!</v>
      </c>
    </row>
    <row r="124">
      <c r="A124" s="87" t="str">
        <f>IFERROR(__xludf.DUMMYFUNCTION("TRANSPOSE(QUERY('Cadastro VTR/SEÇÃO/MILITAR'!$E$3:$F2000,""SELECT F WHERE E LIKE '""&amp;'carga de materiais'!E125&amp;""'""))"),"#REF!")</f>
        <v>#REF!</v>
      </c>
    </row>
    <row r="125">
      <c r="A125" s="87" t="str">
        <f>IFERROR(__xludf.DUMMYFUNCTION("TRANSPOSE(QUERY('Cadastro VTR/SEÇÃO/MILITAR'!$E$3:$F2000,""SELECT F WHERE E LIKE '""&amp;'carga de materiais'!E126&amp;""'""))"),"#REF!")</f>
        <v>#REF!</v>
      </c>
    </row>
    <row r="126">
      <c r="A126" s="87" t="str">
        <f>IFERROR(__xludf.DUMMYFUNCTION("TRANSPOSE(QUERY('Cadastro VTR/SEÇÃO/MILITAR'!$E$3:$F2000,""SELECT F WHERE E LIKE '""&amp;'carga de materiais'!E127&amp;""'""))"),"#REF!")</f>
        <v>#REF!</v>
      </c>
    </row>
    <row r="127">
      <c r="A127" s="87" t="str">
        <f>IFERROR(__xludf.DUMMYFUNCTION("TRANSPOSE(QUERY('Cadastro VTR/SEÇÃO/MILITAR'!$E$3:$F2000,""SELECT F WHERE E LIKE '""&amp;'carga de materiais'!E128&amp;""'""))"),"#REF!")</f>
        <v>#REF!</v>
      </c>
    </row>
    <row r="128">
      <c r="A128" s="87" t="str">
        <f>IFERROR(__xludf.DUMMYFUNCTION("TRANSPOSE(QUERY('Cadastro VTR/SEÇÃO/MILITAR'!$E$3:$F2000,""SELECT F WHERE E LIKE '""&amp;'carga de materiais'!E129&amp;""'""))"),"#REF!")</f>
        <v>#REF!</v>
      </c>
    </row>
    <row r="129">
      <c r="A129" s="87" t="str">
        <f>IFERROR(__xludf.DUMMYFUNCTION("TRANSPOSE(QUERY('Cadastro VTR/SEÇÃO/MILITAR'!$E$3:$F2000,""SELECT F WHERE E LIKE '""&amp;'carga de materiais'!E130&amp;""'""))"),"#REF!")</f>
        <v>#REF!</v>
      </c>
    </row>
    <row r="130">
      <c r="A130" s="87" t="str">
        <f>IFERROR(__xludf.DUMMYFUNCTION("TRANSPOSE(QUERY('Cadastro VTR/SEÇÃO/MILITAR'!$E$3:$F2000,""SELECT F WHERE E LIKE '""&amp;'carga de materiais'!E131&amp;""'""))"),"#REF!")</f>
        <v>#REF!</v>
      </c>
    </row>
    <row r="131">
      <c r="A131" s="87" t="str">
        <f>IFERROR(__xludf.DUMMYFUNCTION("TRANSPOSE(QUERY('Cadastro VTR/SEÇÃO/MILITAR'!$E$3:$F2000,""SELECT F WHERE E LIKE '""&amp;'carga de materiais'!E132&amp;""'""))"),"#REF!")</f>
        <v>#REF!</v>
      </c>
    </row>
    <row r="132">
      <c r="A132" s="87" t="str">
        <f>IFERROR(__xludf.DUMMYFUNCTION("TRANSPOSE(QUERY('Cadastro VTR/SEÇÃO/MILITAR'!$E$3:$F2000,""SELECT F WHERE E LIKE '""&amp;'carga de materiais'!E133&amp;""'""))"),"#REF!")</f>
        <v>#REF!</v>
      </c>
    </row>
    <row r="133">
      <c r="A133" s="87" t="str">
        <f>IFERROR(__xludf.DUMMYFUNCTION("TRANSPOSE(QUERY('Cadastro VTR/SEÇÃO/MILITAR'!$E$3:$F2000,""SELECT F WHERE E LIKE '""&amp;'carga de materiais'!E134&amp;""'""))"),"#REF!")</f>
        <v>#REF!</v>
      </c>
    </row>
    <row r="134">
      <c r="A134" s="87" t="str">
        <f>IFERROR(__xludf.DUMMYFUNCTION("TRANSPOSE(QUERY('Cadastro VTR/SEÇÃO/MILITAR'!$E$3:$F2000,""SELECT F WHERE E LIKE '""&amp;'carga de materiais'!E135&amp;""'""))"),"#REF!")</f>
        <v>#REF!</v>
      </c>
    </row>
    <row r="135">
      <c r="A135" s="87" t="str">
        <f>IFERROR(__xludf.DUMMYFUNCTION("TRANSPOSE(QUERY('Cadastro VTR/SEÇÃO/MILITAR'!$E$3:$F2000,""SELECT F WHERE E LIKE '""&amp;'carga de materiais'!E136&amp;""'""))"),"#REF!")</f>
        <v>#REF!</v>
      </c>
    </row>
    <row r="136">
      <c r="A136" s="87" t="str">
        <f>IFERROR(__xludf.DUMMYFUNCTION("TRANSPOSE(QUERY('Cadastro VTR/SEÇÃO/MILITAR'!$E$3:$F2000,""SELECT F WHERE E LIKE '""&amp;'carga de materiais'!E137&amp;""'""))"),"#REF!")</f>
        <v>#REF!</v>
      </c>
    </row>
    <row r="137">
      <c r="A137" s="87" t="str">
        <f>IFERROR(__xludf.DUMMYFUNCTION("TRANSPOSE(QUERY('Cadastro VTR/SEÇÃO/MILITAR'!$E$3:$F2000,""SELECT F WHERE E LIKE '""&amp;'carga de materiais'!E138&amp;""'""))"),"#REF!")</f>
        <v>#REF!</v>
      </c>
    </row>
    <row r="138">
      <c r="A138" s="87" t="str">
        <f>IFERROR(__xludf.DUMMYFUNCTION("TRANSPOSE(QUERY('Cadastro VTR/SEÇÃO/MILITAR'!$E$3:$F2000,""SELECT F WHERE E LIKE '""&amp;'carga de materiais'!E139&amp;""'""))"),"#REF!")</f>
        <v>#REF!</v>
      </c>
    </row>
    <row r="139">
      <c r="A139" s="87" t="str">
        <f>IFERROR(__xludf.DUMMYFUNCTION("TRANSPOSE(QUERY('Cadastro VTR/SEÇÃO/MILITAR'!$E$3:$F2000,""SELECT F WHERE E LIKE '""&amp;'carga de materiais'!E140&amp;""'""))"),"#REF!")</f>
        <v>#REF!</v>
      </c>
    </row>
    <row r="140">
      <c r="A140" s="87" t="str">
        <f>IFERROR(__xludf.DUMMYFUNCTION("TRANSPOSE(QUERY('Cadastro VTR/SEÇÃO/MILITAR'!$E$3:$F2000,""SELECT F WHERE E LIKE '""&amp;'carga de materiais'!E141&amp;""'""))"),"#REF!")</f>
        <v>#REF!</v>
      </c>
    </row>
    <row r="141">
      <c r="A141" s="87" t="str">
        <f>IFERROR(__xludf.DUMMYFUNCTION("TRANSPOSE(QUERY('Cadastro VTR/SEÇÃO/MILITAR'!$E$3:$F2000,""SELECT F WHERE E LIKE '""&amp;'carga de materiais'!E142&amp;""'""))"),"#REF!")</f>
        <v>#REF!</v>
      </c>
    </row>
    <row r="142">
      <c r="A142" s="87" t="str">
        <f>IFERROR(__xludf.DUMMYFUNCTION("TRANSPOSE(QUERY('Cadastro VTR/SEÇÃO/MILITAR'!$E$3:$F2000,""SELECT F WHERE E LIKE '""&amp;'carga de materiais'!E143&amp;""'""))"),"#REF!")</f>
        <v>#REF!</v>
      </c>
    </row>
    <row r="143">
      <c r="A143" s="87" t="str">
        <f>IFERROR(__xludf.DUMMYFUNCTION("TRANSPOSE(QUERY('Cadastro VTR/SEÇÃO/MILITAR'!$E$3:$F2000,""SELECT F WHERE E LIKE '""&amp;'carga de materiais'!E144&amp;""'""))"),"#REF!")</f>
        <v>#REF!</v>
      </c>
    </row>
    <row r="144">
      <c r="A144" s="87" t="str">
        <f>IFERROR(__xludf.DUMMYFUNCTION("TRANSPOSE(QUERY('Cadastro VTR/SEÇÃO/MILITAR'!$E$3:$F2000,""SELECT F WHERE E LIKE '""&amp;'carga de materiais'!E145&amp;""'""))"),"#REF!")</f>
        <v>#REF!</v>
      </c>
    </row>
    <row r="145">
      <c r="A145" s="87" t="str">
        <f>IFERROR(__xludf.DUMMYFUNCTION("TRANSPOSE(QUERY('Cadastro VTR/SEÇÃO/MILITAR'!$E$3:$F2000,""SELECT F WHERE E LIKE '""&amp;'carga de materiais'!E146&amp;""'""))"),"#REF!")</f>
        <v>#REF!</v>
      </c>
    </row>
    <row r="146">
      <c r="A146" s="87" t="str">
        <f>IFERROR(__xludf.DUMMYFUNCTION("TRANSPOSE(QUERY('Cadastro VTR/SEÇÃO/MILITAR'!$E$3:$F2000,""SELECT F WHERE E LIKE '""&amp;'carga de materiais'!E147&amp;""'""))"),"#REF!")</f>
        <v>#REF!</v>
      </c>
    </row>
    <row r="147">
      <c r="A147" s="87" t="str">
        <f>IFERROR(__xludf.DUMMYFUNCTION("TRANSPOSE(QUERY('Cadastro VTR/SEÇÃO/MILITAR'!$E$3:$F2000,""SELECT F WHERE E LIKE '""&amp;'carga de materiais'!E148&amp;""'""))"),"#REF!")</f>
        <v>#REF!</v>
      </c>
    </row>
    <row r="148">
      <c r="A148" s="87" t="str">
        <f>IFERROR(__xludf.DUMMYFUNCTION("TRANSPOSE(QUERY('Cadastro VTR/SEÇÃO/MILITAR'!$E$3:$F2000,""SELECT F WHERE E LIKE '""&amp;'carga de materiais'!E149&amp;""'""))"),"#REF!")</f>
        <v>#REF!</v>
      </c>
    </row>
    <row r="149">
      <c r="A149" s="87" t="str">
        <f>IFERROR(__xludf.DUMMYFUNCTION("TRANSPOSE(QUERY('Cadastro VTR/SEÇÃO/MILITAR'!$E$3:$F2000,""SELECT F WHERE E LIKE '""&amp;'carga de materiais'!E150&amp;""'""))"),"#REF!")</f>
        <v>#REF!</v>
      </c>
    </row>
    <row r="150">
      <c r="A150" s="87" t="str">
        <f>IFERROR(__xludf.DUMMYFUNCTION("TRANSPOSE(QUERY('Cadastro VTR/SEÇÃO/MILITAR'!$E$3:$F2000,""SELECT F WHERE E LIKE '""&amp;'carga de materiais'!E151&amp;""'""))"),"#REF!")</f>
        <v>#REF!</v>
      </c>
    </row>
    <row r="151">
      <c r="A151" s="87" t="str">
        <f>IFERROR(__xludf.DUMMYFUNCTION("TRANSPOSE(QUERY('Cadastro VTR/SEÇÃO/MILITAR'!$E$3:$F2000,""SELECT F WHERE E LIKE '""&amp;'carga de materiais'!E152&amp;""'""))"),"#REF!")</f>
        <v>#REF!</v>
      </c>
    </row>
    <row r="152">
      <c r="A152" s="87" t="str">
        <f>IFERROR(__xludf.DUMMYFUNCTION("TRANSPOSE(QUERY('Cadastro VTR/SEÇÃO/MILITAR'!$E$3:$F2000,""SELECT F WHERE E LIKE '""&amp;'carga de materiais'!E153&amp;""'""))"),"#REF!")</f>
        <v>#REF!</v>
      </c>
    </row>
    <row r="153">
      <c r="A153" s="87" t="str">
        <f>IFERROR(__xludf.DUMMYFUNCTION("TRANSPOSE(QUERY('Cadastro VTR/SEÇÃO/MILITAR'!$E$3:$F2000,""SELECT F WHERE E LIKE '""&amp;'carga de materiais'!E154&amp;""'""))"),"#REF!")</f>
        <v>#REF!</v>
      </c>
    </row>
    <row r="154">
      <c r="A154" s="87" t="str">
        <f>IFERROR(__xludf.DUMMYFUNCTION("TRANSPOSE(QUERY('Cadastro VTR/SEÇÃO/MILITAR'!$E$3:$F2000,""SELECT F WHERE E LIKE '""&amp;'carga de materiais'!E155&amp;""'""))"),"#REF!")</f>
        <v>#REF!</v>
      </c>
    </row>
    <row r="155">
      <c r="A155" s="87" t="str">
        <f>IFERROR(__xludf.DUMMYFUNCTION("TRANSPOSE(QUERY('Cadastro VTR/SEÇÃO/MILITAR'!$E$3:$F2000,""SELECT F WHERE E LIKE '""&amp;'carga de materiais'!E156&amp;""'""))"),"#REF!")</f>
        <v>#REF!</v>
      </c>
    </row>
    <row r="156">
      <c r="A156" s="87" t="str">
        <f>IFERROR(__xludf.DUMMYFUNCTION("TRANSPOSE(QUERY('Cadastro VTR/SEÇÃO/MILITAR'!$E$3:$F2000,""SELECT F WHERE E LIKE '""&amp;'carga de materiais'!E157&amp;""'""))"),"#REF!")</f>
        <v>#REF!</v>
      </c>
    </row>
    <row r="157">
      <c r="A157" s="87" t="str">
        <f>IFERROR(__xludf.DUMMYFUNCTION("TRANSPOSE(QUERY('Cadastro VTR/SEÇÃO/MILITAR'!$E$3:$F2000,""SELECT F WHERE E LIKE '""&amp;'carga de materiais'!E158&amp;""'""))"),"#REF!")</f>
        <v>#REF!</v>
      </c>
    </row>
    <row r="158">
      <c r="A158" s="87" t="str">
        <f>IFERROR(__xludf.DUMMYFUNCTION("TRANSPOSE(QUERY('Cadastro VTR/SEÇÃO/MILITAR'!$E$3:$F2000,""SELECT F WHERE E LIKE '""&amp;'carga de materiais'!E159&amp;""'""))"),"#REF!")</f>
        <v>#REF!</v>
      </c>
    </row>
    <row r="159">
      <c r="A159" s="87" t="str">
        <f>IFERROR(__xludf.DUMMYFUNCTION("TRANSPOSE(QUERY('Cadastro VTR/SEÇÃO/MILITAR'!$E$3:$F2000,""SELECT F WHERE E LIKE '""&amp;'carga de materiais'!E160&amp;""'""))"),"#REF!")</f>
        <v>#REF!</v>
      </c>
    </row>
    <row r="160">
      <c r="A160" s="87" t="str">
        <f>IFERROR(__xludf.DUMMYFUNCTION("TRANSPOSE(QUERY('Cadastro VTR/SEÇÃO/MILITAR'!$E$3:$F2000,""SELECT F WHERE E LIKE '""&amp;'carga de materiais'!E161&amp;""'""))"),"#REF!")</f>
        <v>#REF!</v>
      </c>
    </row>
    <row r="161">
      <c r="A161" s="87" t="str">
        <f>IFERROR(__xludf.DUMMYFUNCTION("TRANSPOSE(QUERY('Cadastro VTR/SEÇÃO/MILITAR'!$E$3:$F2000,""SELECT F WHERE E LIKE '""&amp;'carga de materiais'!E162&amp;""'""))"),"#REF!")</f>
        <v>#REF!</v>
      </c>
    </row>
    <row r="162">
      <c r="A162" s="87" t="str">
        <f>IFERROR(__xludf.DUMMYFUNCTION("TRANSPOSE(QUERY('Cadastro VTR/SEÇÃO/MILITAR'!$E$3:$F2000,""SELECT F WHERE E LIKE '""&amp;'carga de materiais'!E163&amp;""'""))"),"#REF!")</f>
        <v>#REF!</v>
      </c>
    </row>
    <row r="163">
      <c r="A163" s="87" t="str">
        <f>IFERROR(__xludf.DUMMYFUNCTION("TRANSPOSE(QUERY('Cadastro VTR/SEÇÃO/MILITAR'!$E$3:$F2000,""SELECT F WHERE E LIKE '""&amp;'carga de materiais'!E164&amp;""'""))"),"#REF!")</f>
        <v>#REF!</v>
      </c>
    </row>
    <row r="164">
      <c r="A164" s="87" t="str">
        <f>IFERROR(__xludf.DUMMYFUNCTION("TRANSPOSE(QUERY('Cadastro VTR/SEÇÃO/MILITAR'!$E$3:$F2000,""SELECT F WHERE E LIKE '""&amp;'carga de materiais'!E165&amp;""'""))"),"#REF!")</f>
        <v>#REF!</v>
      </c>
    </row>
    <row r="165">
      <c r="A165" s="87" t="str">
        <f>IFERROR(__xludf.DUMMYFUNCTION("TRANSPOSE(QUERY('Cadastro VTR/SEÇÃO/MILITAR'!$E$3:$F2000,""SELECT F WHERE E LIKE '""&amp;'carga de materiais'!E166&amp;""'""))"),"#REF!")</f>
        <v>#REF!</v>
      </c>
    </row>
    <row r="166">
      <c r="A166" s="87" t="str">
        <f>IFERROR(__xludf.DUMMYFUNCTION("TRANSPOSE(QUERY('Cadastro VTR/SEÇÃO/MILITAR'!$E$3:$F2000,""SELECT F WHERE E LIKE '""&amp;'carga de materiais'!E167&amp;""'""))"),"#REF!")</f>
        <v>#REF!</v>
      </c>
    </row>
    <row r="167">
      <c r="A167" s="87" t="str">
        <f>IFERROR(__xludf.DUMMYFUNCTION("TRANSPOSE(QUERY('Cadastro VTR/SEÇÃO/MILITAR'!$E$3:$F2000,""SELECT F WHERE E LIKE '""&amp;'carga de materiais'!E168&amp;""'""))"),"#REF!")</f>
        <v>#REF!</v>
      </c>
    </row>
    <row r="168">
      <c r="A168" s="87" t="str">
        <f>IFERROR(__xludf.DUMMYFUNCTION("TRANSPOSE(QUERY('Cadastro VTR/SEÇÃO/MILITAR'!$E$3:$F2000,""SELECT F WHERE E LIKE '""&amp;'carga de materiais'!E169&amp;""'""))"),"#REF!")</f>
        <v>#REF!</v>
      </c>
    </row>
    <row r="169">
      <c r="A169" s="87" t="str">
        <f>IFERROR(__xludf.DUMMYFUNCTION("TRANSPOSE(QUERY('Cadastro VTR/SEÇÃO/MILITAR'!$E$3:$F2000,""SELECT F WHERE E LIKE '""&amp;'carga de materiais'!E170&amp;""'""))"),"#REF!")</f>
        <v>#REF!</v>
      </c>
    </row>
    <row r="170">
      <c r="A170" s="87" t="str">
        <f>IFERROR(__xludf.DUMMYFUNCTION("TRANSPOSE(QUERY('Cadastro VTR/SEÇÃO/MILITAR'!$E$3:$F2000,""SELECT F WHERE E LIKE '""&amp;'carga de materiais'!E171&amp;""'""))"),"#REF!")</f>
        <v>#REF!</v>
      </c>
    </row>
    <row r="171">
      <c r="A171" s="87" t="str">
        <f>IFERROR(__xludf.DUMMYFUNCTION("TRANSPOSE(QUERY('Cadastro VTR/SEÇÃO/MILITAR'!$E$3:$F2000,""SELECT F WHERE E LIKE '""&amp;'carga de materiais'!E172&amp;""'""))"),"#REF!")</f>
        <v>#REF!</v>
      </c>
    </row>
    <row r="172">
      <c r="A172" s="87" t="str">
        <f>IFERROR(__xludf.DUMMYFUNCTION("TRANSPOSE(QUERY('Cadastro VTR/SEÇÃO/MILITAR'!$E$3:$F2000,""SELECT F WHERE E LIKE '""&amp;'carga de materiais'!E173&amp;""'""))"),"#REF!")</f>
        <v>#REF!</v>
      </c>
    </row>
    <row r="173">
      <c r="A173" s="87" t="str">
        <f>IFERROR(__xludf.DUMMYFUNCTION("TRANSPOSE(QUERY('Cadastro VTR/SEÇÃO/MILITAR'!$E$3:$F2000,""SELECT F WHERE E LIKE '""&amp;'carga de materiais'!E174&amp;""'""))"),"#REF!")</f>
        <v>#REF!</v>
      </c>
    </row>
    <row r="174">
      <c r="A174" s="87" t="str">
        <f>IFERROR(__xludf.DUMMYFUNCTION("TRANSPOSE(QUERY('Cadastro VTR/SEÇÃO/MILITAR'!$E$3:$F2000,""SELECT F WHERE E LIKE '""&amp;'carga de materiais'!E175&amp;""'""))"),"#REF!")</f>
        <v>#REF!</v>
      </c>
    </row>
    <row r="175">
      <c r="A175" s="87" t="str">
        <f>IFERROR(__xludf.DUMMYFUNCTION("TRANSPOSE(QUERY('Cadastro VTR/SEÇÃO/MILITAR'!$E$3:$F2000,""SELECT F WHERE E LIKE '""&amp;'carga de materiais'!E176&amp;""'""))"),"#REF!")</f>
        <v>#REF!</v>
      </c>
    </row>
    <row r="176">
      <c r="A176" s="87" t="str">
        <f>IFERROR(__xludf.DUMMYFUNCTION("TRANSPOSE(QUERY('Cadastro VTR/SEÇÃO/MILITAR'!$E$3:$F2000,""SELECT F WHERE E LIKE '""&amp;'carga de materiais'!E177&amp;""'""))"),"#REF!")</f>
        <v>#REF!</v>
      </c>
    </row>
    <row r="177">
      <c r="A177" s="87" t="str">
        <f>IFERROR(__xludf.DUMMYFUNCTION("TRANSPOSE(QUERY('Cadastro VTR/SEÇÃO/MILITAR'!$E$3:$F2000,""SELECT F WHERE E LIKE '""&amp;'carga de materiais'!E178&amp;""'""))"),"#REF!")</f>
        <v>#REF!</v>
      </c>
    </row>
    <row r="178">
      <c r="A178" s="87" t="str">
        <f>IFERROR(__xludf.DUMMYFUNCTION("TRANSPOSE(QUERY('Cadastro VTR/SEÇÃO/MILITAR'!$E$3:$F2000,""SELECT F WHERE E LIKE '""&amp;'carga de materiais'!E179&amp;""'""))"),"#REF!")</f>
        <v>#REF!</v>
      </c>
    </row>
    <row r="179">
      <c r="A179" s="87" t="str">
        <f>IFERROR(__xludf.DUMMYFUNCTION("TRANSPOSE(QUERY('Cadastro VTR/SEÇÃO/MILITAR'!$E$3:$F2000,""SELECT F WHERE E LIKE '""&amp;'carga de materiais'!E180&amp;""'""))"),"#REF!")</f>
        <v>#REF!</v>
      </c>
    </row>
    <row r="180">
      <c r="A180" s="87" t="str">
        <f>IFERROR(__xludf.DUMMYFUNCTION("TRANSPOSE(QUERY('Cadastro VTR/SEÇÃO/MILITAR'!$E$3:$F2000,""SELECT F WHERE E LIKE '""&amp;'carga de materiais'!E181&amp;""'""))"),"#REF!")</f>
        <v>#REF!</v>
      </c>
    </row>
    <row r="181">
      <c r="A181" s="87" t="str">
        <f>IFERROR(__xludf.DUMMYFUNCTION("TRANSPOSE(QUERY('Cadastro VTR/SEÇÃO/MILITAR'!$E$3:$F2000,""SELECT F WHERE E LIKE '""&amp;'carga de materiais'!E182&amp;""'""))"),"#REF!")</f>
        <v>#REF!</v>
      </c>
    </row>
    <row r="182">
      <c r="A182" s="87" t="str">
        <f>IFERROR(__xludf.DUMMYFUNCTION("TRANSPOSE(QUERY('Cadastro VTR/SEÇÃO/MILITAR'!$E$3:$F2000,""SELECT F WHERE E LIKE '""&amp;'carga de materiais'!E183&amp;""'""))"),"#REF!")</f>
        <v>#REF!</v>
      </c>
    </row>
    <row r="183">
      <c r="A183" s="87" t="str">
        <f>IFERROR(__xludf.DUMMYFUNCTION("TRANSPOSE(QUERY('Cadastro VTR/SEÇÃO/MILITAR'!$E$3:$F2000,""SELECT F WHERE E LIKE '""&amp;'carga de materiais'!E184&amp;""'""))"),"#REF!")</f>
        <v>#REF!</v>
      </c>
    </row>
    <row r="184">
      <c r="A184" s="87" t="str">
        <f>IFERROR(__xludf.DUMMYFUNCTION("TRANSPOSE(QUERY('Cadastro VTR/SEÇÃO/MILITAR'!$E$3:$F2000,""SELECT F WHERE E LIKE '""&amp;'carga de materiais'!E185&amp;""'""))"),"#REF!")</f>
        <v>#REF!</v>
      </c>
    </row>
    <row r="185">
      <c r="A185" s="87" t="str">
        <f>IFERROR(__xludf.DUMMYFUNCTION("TRANSPOSE(QUERY('Cadastro VTR/SEÇÃO/MILITAR'!$E$3:$F2000,""SELECT F WHERE E LIKE '""&amp;'carga de materiais'!E186&amp;""'""))"),"#REF!")</f>
        <v>#REF!</v>
      </c>
    </row>
    <row r="186">
      <c r="A186" s="87" t="str">
        <f>IFERROR(__xludf.DUMMYFUNCTION("TRANSPOSE(QUERY('Cadastro VTR/SEÇÃO/MILITAR'!$E$3:$F2000,""SELECT F WHERE E LIKE '""&amp;'carga de materiais'!E187&amp;""'""))"),"#REF!")</f>
        <v>#REF!</v>
      </c>
    </row>
    <row r="187">
      <c r="A187" s="87" t="str">
        <f>IFERROR(__xludf.DUMMYFUNCTION("TRANSPOSE(QUERY('Cadastro VTR/SEÇÃO/MILITAR'!$E$3:$F2000,""SELECT F WHERE E LIKE '""&amp;'carga de materiais'!E188&amp;""'""))"),"#REF!")</f>
        <v>#REF!</v>
      </c>
    </row>
    <row r="188">
      <c r="A188" s="87" t="str">
        <f>IFERROR(__xludf.DUMMYFUNCTION("TRANSPOSE(QUERY('Cadastro VTR/SEÇÃO/MILITAR'!$E$3:$F2000,""SELECT F WHERE E LIKE '""&amp;'carga de materiais'!E189&amp;""'""))"),"#REF!")</f>
        <v>#REF!</v>
      </c>
    </row>
    <row r="189">
      <c r="A189" s="87" t="str">
        <f>IFERROR(__xludf.DUMMYFUNCTION("TRANSPOSE(QUERY('Cadastro VTR/SEÇÃO/MILITAR'!$E$3:$F2000,""SELECT F WHERE E LIKE '""&amp;'carga de materiais'!E190&amp;""'""))"),"#REF!")</f>
        <v>#REF!</v>
      </c>
    </row>
    <row r="190">
      <c r="A190" s="87" t="str">
        <f>IFERROR(__xludf.DUMMYFUNCTION("TRANSPOSE(QUERY('Cadastro VTR/SEÇÃO/MILITAR'!$E$3:$F2000,""SELECT F WHERE E LIKE '""&amp;'carga de materiais'!E191&amp;""'""))"),"#REF!")</f>
        <v>#REF!</v>
      </c>
    </row>
    <row r="191">
      <c r="A191" s="87" t="str">
        <f>IFERROR(__xludf.DUMMYFUNCTION("TRANSPOSE(QUERY('Cadastro VTR/SEÇÃO/MILITAR'!$E$3:$F2000,""SELECT F WHERE E LIKE '""&amp;'carga de materiais'!E192&amp;""'""))"),"#REF!")</f>
        <v>#REF!</v>
      </c>
    </row>
    <row r="192">
      <c r="A192" s="87" t="str">
        <f>IFERROR(__xludf.DUMMYFUNCTION("TRANSPOSE(QUERY('Cadastro VTR/SEÇÃO/MILITAR'!$E$3:$F2000,""SELECT F WHERE E LIKE '""&amp;'carga de materiais'!E193&amp;""'""))"),"#REF!")</f>
        <v>#REF!</v>
      </c>
    </row>
    <row r="193">
      <c r="A193" s="87" t="str">
        <f>IFERROR(__xludf.DUMMYFUNCTION("TRANSPOSE(QUERY('Cadastro VTR/SEÇÃO/MILITAR'!$E$3:$F2000,""SELECT F WHERE E LIKE '""&amp;'carga de materiais'!E194&amp;""'""))"),"#REF!")</f>
        <v>#REF!</v>
      </c>
    </row>
    <row r="194">
      <c r="A194" s="87" t="str">
        <f>IFERROR(__xludf.DUMMYFUNCTION("TRANSPOSE(QUERY('Cadastro VTR/SEÇÃO/MILITAR'!$E$3:$F2000,""SELECT F WHERE E LIKE '""&amp;'carga de materiais'!E195&amp;""'""))"),"#REF!")</f>
        <v>#REF!</v>
      </c>
    </row>
    <row r="195">
      <c r="A195" s="87" t="str">
        <f>IFERROR(__xludf.DUMMYFUNCTION("TRANSPOSE(QUERY('Cadastro VTR/SEÇÃO/MILITAR'!$E$3:$F2000,""SELECT F WHERE E LIKE '""&amp;'carga de materiais'!E196&amp;""'""))"),"#REF!")</f>
        <v>#REF!</v>
      </c>
    </row>
    <row r="196">
      <c r="A196" s="87" t="str">
        <f>IFERROR(__xludf.DUMMYFUNCTION("TRANSPOSE(QUERY('Cadastro VTR/SEÇÃO/MILITAR'!$E$3:$F2000,""SELECT F WHERE E LIKE '""&amp;'carga de materiais'!E197&amp;""'""))"),"#REF!")</f>
        <v>#REF!</v>
      </c>
    </row>
    <row r="197">
      <c r="A197" s="87" t="str">
        <f>IFERROR(__xludf.DUMMYFUNCTION("TRANSPOSE(QUERY('Cadastro VTR/SEÇÃO/MILITAR'!$E$3:$F2000,""SELECT F WHERE E LIKE '""&amp;'carga de materiais'!E198&amp;""'""))"),"#REF!")</f>
        <v>#REF!</v>
      </c>
    </row>
    <row r="198">
      <c r="A198" s="87" t="str">
        <f>IFERROR(__xludf.DUMMYFUNCTION("TRANSPOSE(QUERY('Cadastro VTR/SEÇÃO/MILITAR'!$E$3:$F2000,""SELECT F WHERE E LIKE '""&amp;'carga de materiais'!E199&amp;""'""))"),"#REF!")</f>
        <v>#REF!</v>
      </c>
    </row>
    <row r="199">
      <c r="A199" s="87" t="str">
        <f>IFERROR(__xludf.DUMMYFUNCTION("TRANSPOSE(QUERY('Cadastro VTR/SEÇÃO/MILITAR'!$E$3:$F2000,""SELECT F WHERE E LIKE '""&amp;'carga de materiais'!E200&amp;""'""))"),"#REF!")</f>
        <v>#REF!</v>
      </c>
    </row>
    <row r="200">
      <c r="A200" s="87" t="str">
        <f>IFERROR(__xludf.DUMMYFUNCTION("TRANSPOSE(QUERY('Cadastro VTR/SEÇÃO/MILITAR'!$E$3:$F2000,""SELECT F WHERE E LIKE '""&amp;'carga de materiais'!E201&amp;""'""))"),"#REF!")</f>
        <v>#REF!</v>
      </c>
    </row>
    <row r="201">
      <c r="A201" s="87" t="str">
        <f>IFERROR(__xludf.DUMMYFUNCTION("TRANSPOSE(QUERY('Cadastro VTR/SEÇÃO/MILITAR'!$E$3:$F2000,""SELECT F WHERE E LIKE '""&amp;'carga de materiais'!E202&amp;""'""))"),"#REF!")</f>
        <v>#REF!</v>
      </c>
    </row>
    <row r="202">
      <c r="A202" s="87" t="str">
        <f>IFERROR(__xludf.DUMMYFUNCTION("TRANSPOSE(QUERY('Cadastro VTR/SEÇÃO/MILITAR'!$E$3:$F2000,""SELECT F WHERE E LIKE '""&amp;'carga de materiais'!E203&amp;""'""))"),"#REF!")</f>
        <v>#REF!</v>
      </c>
    </row>
    <row r="203">
      <c r="A203" s="87" t="str">
        <f>IFERROR(__xludf.DUMMYFUNCTION("TRANSPOSE(QUERY('Cadastro VTR/SEÇÃO/MILITAR'!$E$3:$F2000,""SELECT F WHERE E LIKE '""&amp;'carga de materiais'!E204&amp;""'""))"),"#REF!")</f>
        <v>#REF!</v>
      </c>
    </row>
    <row r="204">
      <c r="A204" s="87" t="str">
        <f>IFERROR(__xludf.DUMMYFUNCTION("TRANSPOSE(QUERY('Cadastro VTR/SEÇÃO/MILITAR'!$E$3:$F2000,""SELECT F WHERE E LIKE '""&amp;'carga de materiais'!E205&amp;""'""))"),"#REF!")</f>
        <v>#REF!</v>
      </c>
    </row>
    <row r="205">
      <c r="A205" s="87" t="str">
        <f>IFERROR(__xludf.DUMMYFUNCTION("TRANSPOSE(QUERY('Cadastro VTR/SEÇÃO/MILITAR'!$E$3:$F2000,""SELECT F WHERE E LIKE '""&amp;'carga de materiais'!E206&amp;""'""))"),"#REF!")</f>
        <v>#REF!</v>
      </c>
    </row>
    <row r="206">
      <c r="A206" s="87" t="str">
        <f>IFERROR(__xludf.DUMMYFUNCTION("TRANSPOSE(QUERY('Cadastro VTR/SEÇÃO/MILITAR'!$E$3:$F2000,""SELECT F WHERE E LIKE '""&amp;'carga de materiais'!E207&amp;""'""))"),"#REF!")</f>
        <v>#REF!</v>
      </c>
    </row>
    <row r="207">
      <c r="A207" s="87" t="str">
        <f>IFERROR(__xludf.DUMMYFUNCTION("TRANSPOSE(QUERY('Cadastro VTR/SEÇÃO/MILITAR'!$E$3:$F2000,""SELECT F WHERE E LIKE '""&amp;'carga de materiais'!E208&amp;""'""))"),"#REF!")</f>
        <v>#REF!</v>
      </c>
    </row>
    <row r="208">
      <c r="A208" s="87" t="str">
        <f>IFERROR(__xludf.DUMMYFUNCTION("TRANSPOSE(QUERY('Cadastro VTR/SEÇÃO/MILITAR'!$E$3:$F2000,""SELECT F WHERE E LIKE '""&amp;'carga de materiais'!E209&amp;""'""))"),"#REF!")</f>
        <v>#REF!</v>
      </c>
    </row>
    <row r="209">
      <c r="A209" s="87" t="str">
        <f>IFERROR(__xludf.DUMMYFUNCTION("TRANSPOSE(QUERY('Cadastro VTR/SEÇÃO/MILITAR'!$E$3:$F2000,""SELECT F WHERE E LIKE '""&amp;'carga de materiais'!E210&amp;""'""))"),"#REF!")</f>
        <v>#REF!</v>
      </c>
    </row>
    <row r="210">
      <c r="A210" s="87" t="str">
        <f>IFERROR(__xludf.DUMMYFUNCTION("TRANSPOSE(QUERY('Cadastro VTR/SEÇÃO/MILITAR'!$E$3:$F2000,""SELECT F WHERE E LIKE '""&amp;'carga de materiais'!E211&amp;""'""))"),"#REF!")</f>
        <v>#REF!</v>
      </c>
    </row>
    <row r="211">
      <c r="A211" s="87" t="str">
        <f>IFERROR(__xludf.DUMMYFUNCTION("TRANSPOSE(QUERY('Cadastro VTR/SEÇÃO/MILITAR'!$E$3:$F2000,""SELECT F WHERE E LIKE '""&amp;'carga de materiais'!E212&amp;""'""))"),"#REF!")</f>
        <v>#REF!</v>
      </c>
    </row>
    <row r="212">
      <c r="A212" s="87" t="str">
        <f>IFERROR(__xludf.DUMMYFUNCTION("TRANSPOSE(QUERY('Cadastro VTR/SEÇÃO/MILITAR'!$E$3:$F2000,""SELECT F WHERE E LIKE '""&amp;'carga de materiais'!E213&amp;""'""))"),"#REF!")</f>
        <v>#REF!</v>
      </c>
    </row>
    <row r="213">
      <c r="A213" s="87" t="str">
        <f>IFERROR(__xludf.DUMMYFUNCTION("TRANSPOSE(QUERY('Cadastro VTR/SEÇÃO/MILITAR'!$E$3:$F2000,""SELECT F WHERE E LIKE '""&amp;'carga de materiais'!E214&amp;""'""))"),"#REF!")</f>
        <v>#REF!</v>
      </c>
    </row>
    <row r="214">
      <c r="A214" s="87" t="str">
        <f>IFERROR(__xludf.DUMMYFUNCTION("TRANSPOSE(QUERY('Cadastro VTR/SEÇÃO/MILITAR'!$E$3:$F2000,""SELECT F WHERE E LIKE '""&amp;'carga de materiais'!E215&amp;""'""))"),"#REF!")</f>
        <v>#REF!</v>
      </c>
    </row>
    <row r="215">
      <c r="A215" s="87" t="str">
        <f>IFERROR(__xludf.DUMMYFUNCTION("TRANSPOSE(QUERY('Cadastro VTR/SEÇÃO/MILITAR'!$E$3:$F2000,""SELECT F WHERE E LIKE '""&amp;'carga de materiais'!E216&amp;""'""))"),"#REF!")</f>
        <v>#REF!</v>
      </c>
    </row>
    <row r="216">
      <c r="A216" s="87" t="str">
        <f>IFERROR(__xludf.DUMMYFUNCTION("TRANSPOSE(QUERY('Cadastro VTR/SEÇÃO/MILITAR'!$E$3:$F2000,""SELECT F WHERE E LIKE '""&amp;'carga de materiais'!E217&amp;""'""))"),"#REF!")</f>
        <v>#REF!</v>
      </c>
    </row>
    <row r="217">
      <c r="A217" s="87" t="str">
        <f>IFERROR(__xludf.DUMMYFUNCTION("TRANSPOSE(QUERY('Cadastro VTR/SEÇÃO/MILITAR'!$E$3:$F2000,""SELECT F WHERE E LIKE '""&amp;'carga de materiais'!E218&amp;""'""))"),"#REF!")</f>
        <v>#REF!</v>
      </c>
    </row>
    <row r="218">
      <c r="A218" s="87" t="str">
        <f>IFERROR(__xludf.DUMMYFUNCTION("TRANSPOSE(QUERY('Cadastro VTR/SEÇÃO/MILITAR'!$E$3:$F2000,""SELECT F WHERE E LIKE '""&amp;'carga de materiais'!E219&amp;""'""))"),"#REF!")</f>
        <v>#REF!</v>
      </c>
    </row>
    <row r="219">
      <c r="A219" s="87" t="str">
        <f>IFERROR(__xludf.DUMMYFUNCTION("TRANSPOSE(QUERY('Cadastro VTR/SEÇÃO/MILITAR'!$E$3:$F2000,""SELECT F WHERE E LIKE '""&amp;'carga de materiais'!E220&amp;""'""))"),"#REF!")</f>
        <v>#REF!</v>
      </c>
    </row>
    <row r="220">
      <c r="A220" s="87" t="str">
        <f>IFERROR(__xludf.DUMMYFUNCTION("TRANSPOSE(QUERY('Cadastro VTR/SEÇÃO/MILITAR'!$E$3:$F2000,""SELECT F WHERE E LIKE '""&amp;'carga de materiais'!E221&amp;""'""))"),"#REF!")</f>
        <v>#REF!</v>
      </c>
    </row>
    <row r="221">
      <c r="A221" s="87" t="str">
        <f>IFERROR(__xludf.DUMMYFUNCTION("TRANSPOSE(QUERY('Cadastro VTR/SEÇÃO/MILITAR'!$E$3:$F2000,""SELECT F WHERE E LIKE '""&amp;'carga de materiais'!E222&amp;""'""))"),"#REF!")</f>
        <v>#REF!</v>
      </c>
    </row>
    <row r="222">
      <c r="A222" s="87" t="str">
        <f>IFERROR(__xludf.DUMMYFUNCTION("TRANSPOSE(QUERY('Cadastro VTR/SEÇÃO/MILITAR'!$E$3:$F2000,""SELECT F WHERE E LIKE '""&amp;'carga de materiais'!E223&amp;""'""))"),"#REF!")</f>
        <v>#REF!</v>
      </c>
    </row>
    <row r="223">
      <c r="A223" s="87" t="str">
        <f>IFERROR(__xludf.DUMMYFUNCTION("TRANSPOSE(QUERY('Cadastro VTR/SEÇÃO/MILITAR'!$E$3:$F2000,""SELECT F WHERE E LIKE '""&amp;'carga de materiais'!E224&amp;""'""))"),"#REF!")</f>
        <v>#REF!</v>
      </c>
    </row>
    <row r="224">
      <c r="A224" s="87" t="str">
        <f>IFERROR(__xludf.DUMMYFUNCTION("TRANSPOSE(QUERY('Cadastro VTR/SEÇÃO/MILITAR'!$E$3:$F2000,""SELECT F WHERE E LIKE '""&amp;'carga de materiais'!E225&amp;""'""))"),"#REF!")</f>
        <v>#REF!</v>
      </c>
    </row>
    <row r="225">
      <c r="A225" s="87" t="str">
        <f>IFERROR(__xludf.DUMMYFUNCTION("TRANSPOSE(QUERY('Cadastro VTR/SEÇÃO/MILITAR'!$E$3:$F2000,""SELECT F WHERE E LIKE '""&amp;'carga de materiais'!E226&amp;""'""))"),"#REF!")</f>
        <v>#REF!</v>
      </c>
    </row>
    <row r="226">
      <c r="A226" s="87" t="str">
        <f>IFERROR(__xludf.DUMMYFUNCTION("TRANSPOSE(QUERY('Cadastro VTR/SEÇÃO/MILITAR'!$E$3:$F2000,""SELECT F WHERE E LIKE '""&amp;'carga de materiais'!E227&amp;""'""))"),"#REF!")</f>
        <v>#REF!</v>
      </c>
    </row>
    <row r="227">
      <c r="A227" s="87" t="str">
        <f>IFERROR(__xludf.DUMMYFUNCTION("TRANSPOSE(QUERY('Cadastro VTR/SEÇÃO/MILITAR'!$E$3:$F2000,""SELECT F WHERE E LIKE '""&amp;'carga de materiais'!E228&amp;""'""))"),"#REF!")</f>
        <v>#REF!</v>
      </c>
    </row>
    <row r="228">
      <c r="A228" s="87" t="str">
        <f>IFERROR(__xludf.DUMMYFUNCTION("TRANSPOSE(QUERY('Cadastro VTR/SEÇÃO/MILITAR'!$E$3:$F2000,""SELECT F WHERE E LIKE '""&amp;'carga de materiais'!E229&amp;""'""))"),"#REF!")</f>
        <v>#REF!</v>
      </c>
    </row>
    <row r="229">
      <c r="A229" s="87" t="str">
        <f>IFERROR(__xludf.DUMMYFUNCTION("TRANSPOSE(QUERY('Cadastro VTR/SEÇÃO/MILITAR'!$E$3:$F2000,""SELECT F WHERE E LIKE '""&amp;'carga de materiais'!E230&amp;""'""))"),"#REF!")</f>
        <v>#REF!</v>
      </c>
    </row>
    <row r="230">
      <c r="A230" s="87" t="str">
        <f>IFERROR(__xludf.DUMMYFUNCTION("TRANSPOSE(QUERY('Cadastro VTR/SEÇÃO/MILITAR'!$E$3:$F2000,""SELECT F WHERE E LIKE '""&amp;'carga de materiais'!E231&amp;""'""))"),"#REF!")</f>
        <v>#REF!</v>
      </c>
    </row>
    <row r="231">
      <c r="A231" s="87" t="str">
        <f>IFERROR(__xludf.DUMMYFUNCTION("TRANSPOSE(QUERY('Cadastro VTR/SEÇÃO/MILITAR'!$E$3:$F2000,""SELECT F WHERE E LIKE '""&amp;'carga de materiais'!E232&amp;""'""))"),"#REF!")</f>
        <v>#REF!</v>
      </c>
    </row>
    <row r="232">
      <c r="A232" s="87" t="str">
        <f>IFERROR(__xludf.DUMMYFUNCTION("TRANSPOSE(QUERY('Cadastro VTR/SEÇÃO/MILITAR'!$E$3:$F2000,""SELECT F WHERE E LIKE '""&amp;'carga de materiais'!E233&amp;""'""))"),"#REF!")</f>
        <v>#REF!</v>
      </c>
    </row>
    <row r="233">
      <c r="A233" s="87" t="str">
        <f>IFERROR(__xludf.DUMMYFUNCTION("TRANSPOSE(QUERY('Cadastro VTR/SEÇÃO/MILITAR'!$E$3:$F2000,""SELECT F WHERE E LIKE '""&amp;'carga de materiais'!E234&amp;""'""))"),"#REF!")</f>
        <v>#REF!</v>
      </c>
    </row>
    <row r="234">
      <c r="A234" s="87" t="str">
        <f>IFERROR(__xludf.DUMMYFUNCTION("TRANSPOSE(QUERY('Cadastro VTR/SEÇÃO/MILITAR'!$E$3:$F2000,""SELECT F WHERE E LIKE '""&amp;'carga de materiais'!E235&amp;""'""))"),"#REF!")</f>
        <v>#REF!</v>
      </c>
    </row>
    <row r="235">
      <c r="A235" s="87" t="str">
        <f>IFERROR(__xludf.DUMMYFUNCTION("TRANSPOSE(QUERY('Cadastro VTR/SEÇÃO/MILITAR'!$E$3:$F2000,""SELECT F WHERE E LIKE '""&amp;'carga de materiais'!E236&amp;""'""))"),"#REF!")</f>
        <v>#REF!</v>
      </c>
    </row>
    <row r="236">
      <c r="A236" s="87" t="str">
        <f>IFERROR(__xludf.DUMMYFUNCTION("TRANSPOSE(QUERY('Cadastro VTR/SEÇÃO/MILITAR'!$E$3:$F2000,""SELECT F WHERE E LIKE '""&amp;'carga de materiais'!E237&amp;""'""))"),"#REF!")</f>
        <v>#REF!</v>
      </c>
    </row>
    <row r="237">
      <c r="A237" s="87" t="str">
        <f>IFERROR(__xludf.DUMMYFUNCTION("TRANSPOSE(QUERY('Cadastro VTR/SEÇÃO/MILITAR'!$E$3:$F2000,""SELECT F WHERE E LIKE '""&amp;'carga de materiais'!E238&amp;""'""))"),"#REF!")</f>
        <v>#REF!</v>
      </c>
    </row>
    <row r="238">
      <c r="A238" s="87" t="str">
        <f>IFERROR(__xludf.DUMMYFUNCTION("TRANSPOSE(QUERY('Cadastro VTR/SEÇÃO/MILITAR'!$E$3:$F2000,""SELECT F WHERE E LIKE '""&amp;'carga de materiais'!E239&amp;""'""))"),"#REF!")</f>
        <v>#REF!</v>
      </c>
    </row>
    <row r="239">
      <c r="A239" s="87" t="str">
        <f>IFERROR(__xludf.DUMMYFUNCTION("TRANSPOSE(QUERY('Cadastro VTR/SEÇÃO/MILITAR'!$E$3:$F2000,""SELECT F WHERE E LIKE '""&amp;'carga de materiais'!E240&amp;""'""))"),"#REF!")</f>
        <v>#REF!</v>
      </c>
    </row>
    <row r="240">
      <c r="A240" s="87" t="str">
        <f>IFERROR(__xludf.DUMMYFUNCTION("TRANSPOSE(QUERY('Cadastro VTR/SEÇÃO/MILITAR'!$E$3:$F2000,""SELECT F WHERE E LIKE '""&amp;'carga de materiais'!E241&amp;""'""))"),"#REF!")</f>
        <v>#REF!</v>
      </c>
    </row>
    <row r="241">
      <c r="A241" s="87" t="str">
        <f>IFERROR(__xludf.DUMMYFUNCTION("TRANSPOSE(QUERY('Cadastro VTR/SEÇÃO/MILITAR'!$E$3:$F2000,""SELECT F WHERE E LIKE '""&amp;'carga de materiais'!E242&amp;""'""))"),"#REF!")</f>
        <v>#REF!</v>
      </c>
    </row>
    <row r="242">
      <c r="A242" s="87" t="str">
        <f>IFERROR(__xludf.DUMMYFUNCTION("TRANSPOSE(QUERY('Cadastro VTR/SEÇÃO/MILITAR'!$E$3:$F2000,""SELECT F WHERE E LIKE '""&amp;'carga de materiais'!E243&amp;""'""))"),"#REF!")</f>
        <v>#REF!</v>
      </c>
    </row>
    <row r="243">
      <c r="A243" s="87" t="str">
        <f>IFERROR(__xludf.DUMMYFUNCTION("TRANSPOSE(QUERY('Cadastro VTR/SEÇÃO/MILITAR'!$E$3:$F2000,""SELECT F WHERE E LIKE '""&amp;'carga de materiais'!E244&amp;""'""))"),"#REF!")</f>
        <v>#REF!</v>
      </c>
    </row>
    <row r="244">
      <c r="A244" s="87" t="str">
        <f>IFERROR(__xludf.DUMMYFUNCTION("TRANSPOSE(QUERY('Cadastro VTR/SEÇÃO/MILITAR'!$E$3:$F2000,""SELECT F WHERE E LIKE '""&amp;'carga de materiais'!E245&amp;""'""))"),"#REF!")</f>
        <v>#REF!</v>
      </c>
    </row>
    <row r="245">
      <c r="A245" s="87" t="str">
        <f>IFERROR(__xludf.DUMMYFUNCTION("TRANSPOSE(QUERY('Cadastro VTR/SEÇÃO/MILITAR'!$E$3:$F2000,""SELECT F WHERE E LIKE '""&amp;'carga de materiais'!E246&amp;""'""))"),"#REF!")</f>
        <v>#REF!</v>
      </c>
    </row>
    <row r="246">
      <c r="A246" s="87" t="str">
        <f>IFERROR(__xludf.DUMMYFUNCTION("TRANSPOSE(QUERY('Cadastro VTR/SEÇÃO/MILITAR'!$E$3:$F2000,""SELECT F WHERE E LIKE '""&amp;'carga de materiais'!E247&amp;""'""))"),"#REF!")</f>
        <v>#REF!</v>
      </c>
    </row>
    <row r="247">
      <c r="A247" s="87" t="str">
        <f>IFERROR(__xludf.DUMMYFUNCTION("TRANSPOSE(QUERY('Cadastro VTR/SEÇÃO/MILITAR'!$E$3:$F2000,""SELECT F WHERE E LIKE '""&amp;'carga de materiais'!E248&amp;""'""))"),"#REF!")</f>
        <v>#REF!</v>
      </c>
    </row>
    <row r="248">
      <c r="A248" s="87" t="str">
        <f>IFERROR(__xludf.DUMMYFUNCTION("TRANSPOSE(QUERY('Cadastro VTR/SEÇÃO/MILITAR'!$E$3:$F2000,""SELECT F WHERE E LIKE '""&amp;'carga de materiais'!E249&amp;""'""))"),"#REF!")</f>
        <v>#REF!</v>
      </c>
    </row>
    <row r="249">
      <c r="A249" s="87" t="str">
        <f>IFERROR(__xludf.DUMMYFUNCTION("TRANSPOSE(QUERY('Cadastro VTR/SEÇÃO/MILITAR'!$E$3:$F2000,""SELECT F WHERE E LIKE '""&amp;'carga de materiais'!E250&amp;""'""))"),"#REF!")</f>
        <v>#REF!</v>
      </c>
    </row>
    <row r="250">
      <c r="A250" s="87" t="str">
        <f>IFERROR(__xludf.DUMMYFUNCTION("TRANSPOSE(QUERY('Cadastro VTR/SEÇÃO/MILITAR'!$E$3:$F2000,""SELECT F WHERE E LIKE '""&amp;'carga de materiais'!E251&amp;""'""))"),"#REF!")</f>
        <v>#REF!</v>
      </c>
    </row>
    <row r="251">
      <c r="A251" s="87" t="str">
        <f>IFERROR(__xludf.DUMMYFUNCTION("TRANSPOSE(QUERY('Cadastro VTR/SEÇÃO/MILITAR'!$E$3:$F2000,""SELECT F WHERE E LIKE '""&amp;'carga de materiais'!E252&amp;""'""))"),"#REF!")</f>
        <v>#REF!</v>
      </c>
    </row>
    <row r="252">
      <c r="A252" s="87" t="str">
        <f>IFERROR(__xludf.DUMMYFUNCTION("TRANSPOSE(QUERY('Cadastro VTR/SEÇÃO/MILITAR'!$E$3:$F2000,""SELECT F WHERE E LIKE '""&amp;'carga de materiais'!E253&amp;""'""))"),"#REF!")</f>
        <v>#REF!</v>
      </c>
    </row>
    <row r="253">
      <c r="A253" s="87" t="str">
        <f>IFERROR(__xludf.DUMMYFUNCTION("TRANSPOSE(QUERY('Cadastro VTR/SEÇÃO/MILITAR'!$E$3:$F2000,""SELECT F WHERE E LIKE '""&amp;'carga de materiais'!E254&amp;""'""))"),"#REF!")</f>
        <v>#REF!</v>
      </c>
    </row>
    <row r="254">
      <c r="A254" s="87" t="str">
        <f>IFERROR(__xludf.DUMMYFUNCTION("TRANSPOSE(QUERY('Cadastro VTR/SEÇÃO/MILITAR'!$E$3:$F2000,""SELECT F WHERE E LIKE '""&amp;'carga de materiais'!E255&amp;""'""))"),"#REF!")</f>
        <v>#REF!</v>
      </c>
    </row>
    <row r="255">
      <c r="A255" s="87" t="str">
        <f>IFERROR(__xludf.DUMMYFUNCTION("TRANSPOSE(QUERY('Cadastro VTR/SEÇÃO/MILITAR'!$E$3:$F2000,""SELECT F WHERE E LIKE '""&amp;'carga de materiais'!E256&amp;""'""))"),"#REF!")</f>
        <v>#REF!</v>
      </c>
    </row>
    <row r="256">
      <c r="A256" s="87" t="str">
        <f>IFERROR(__xludf.DUMMYFUNCTION("TRANSPOSE(QUERY('Cadastro VTR/SEÇÃO/MILITAR'!$E$3:$F2000,""SELECT F WHERE E LIKE '""&amp;'carga de materiais'!E257&amp;""'""))"),"#REF!")</f>
        <v>#REF!</v>
      </c>
    </row>
    <row r="257">
      <c r="A257" s="87" t="str">
        <f>IFERROR(__xludf.DUMMYFUNCTION("TRANSPOSE(QUERY('Cadastro VTR/SEÇÃO/MILITAR'!$E$3:$F2000,""SELECT F WHERE E LIKE '""&amp;'carga de materiais'!E258&amp;""'""))"),"#REF!")</f>
        <v>#REF!</v>
      </c>
    </row>
    <row r="258">
      <c r="A258" s="87" t="str">
        <f>IFERROR(__xludf.DUMMYFUNCTION("TRANSPOSE(QUERY('Cadastro VTR/SEÇÃO/MILITAR'!$E$3:$F2000,""SELECT F WHERE E LIKE '""&amp;'carga de materiais'!E259&amp;""'""))"),"#REF!")</f>
        <v>#REF!</v>
      </c>
    </row>
    <row r="259">
      <c r="A259" s="87" t="str">
        <f>IFERROR(__xludf.DUMMYFUNCTION("TRANSPOSE(QUERY('Cadastro VTR/SEÇÃO/MILITAR'!$E$3:$F2000,""SELECT F WHERE E LIKE '""&amp;'carga de materiais'!E260&amp;""'""))"),"#REF!")</f>
        <v>#REF!</v>
      </c>
    </row>
    <row r="260">
      <c r="A260" s="87" t="str">
        <f>IFERROR(__xludf.DUMMYFUNCTION("TRANSPOSE(QUERY('Cadastro VTR/SEÇÃO/MILITAR'!$E$3:$F2000,""SELECT F WHERE E LIKE '""&amp;'carga de materiais'!E261&amp;""'""))"),"#REF!")</f>
        <v>#REF!</v>
      </c>
    </row>
    <row r="261">
      <c r="A261" s="87" t="str">
        <f>IFERROR(__xludf.DUMMYFUNCTION("TRANSPOSE(QUERY('Cadastro VTR/SEÇÃO/MILITAR'!$E$3:$F2000,""SELECT F WHERE E LIKE '""&amp;'carga de materiais'!E262&amp;""'""))"),"#REF!")</f>
        <v>#REF!</v>
      </c>
    </row>
    <row r="262">
      <c r="A262" s="87" t="str">
        <f>IFERROR(__xludf.DUMMYFUNCTION("TRANSPOSE(QUERY('Cadastro VTR/SEÇÃO/MILITAR'!$E$3:$F2000,""SELECT F WHERE E LIKE '""&amp;'carga de materiais'!E263&amp;""'""))"),"#REF!")</f>
        <v>#REF!</v>
      </c>
    </row>
    <row r="263">
      <c r="A263" s="87" t="str">
        <f>IFERROR(__xludf.DUMMYFUNCTION("TRANSPOSE(QUERY('Cadastro VTR/SEÇÃO/MILITAR'!$E$3:$F2000,""SELECT F WHERE E LIKE '""&amp;'carga de materiais'!E264&amp;""'""))"),"#REF!")</f>
        <v>#REF!</v>
      </c>
    </row>
    <row r="264">
      <c r="A264" s="87" t="str">
        <f>IFERROR(__xludf.DUMMYFUNCTION("TRANSPOSE(QUERY('Cadastro VTR/SEÇÃO/MILITAR'!$E$3:$F2000,""SELECT F WHERE E LIKE '""&amp;'carga de materiais'!E265&amp;""'""))"),"#REF!")</f>
        <v>#REF!</v>
      </c>
    </row>
    <row r="265">
      <c r="A265" s="87" t="str">
        <f>IFERROR(__xludf.DUMMYFUNCTION("TRANSPOSE(QUERY('Cadastro VTR/SEÇÃO/MILITAR'!$E$3:$F2000,""SELECT F WHERE E LIKE '""&amp;'carga de materiais'!E266&amp;""'""))"),"#REF!")</f>
        <v>#REF!</v>
      </c>
    </row>
    <row r="266">
      <c r="A266" s="87" t="str">
        <f>IFERROR(__xludf.DUMMYFUNCTION("TRANSPOSE(QUERY('Cadastro VTR/SEÇÃO/MILITAR'!$E$3:$F2000,""SELECT F WHERE E LIKE '""&amp;'carga de materiais'!E267&amp;""'""))"),"#REF!")</f>
        <v>#REF!</v>
      </c>
    </row>
    <row r="267">
      <c r="A267" s="87" t="str">
        <f>IFERROR(__xludf.DUMMYFUNCTION("TRANSPOSE(QUERY('Cadastro VTR/SEÇÃO/MILITAR'!$E$3:$F2000,""SELECT F WHERE E LIKE '""&amp;'carga de materiais'!E268&amp;""'""))"),"#REF!")</f>
        <v>#REF!</v>
      </c>
    </row>
    <row r="268">
      <c r="A268" s="87" t="str">
        <f>IFERROR(__xludf.DUMMYFUNCTION("TRANSPOSE(QUERY('Cadastro VTR/SEÇÃO/MILITAR'!$E$3:$F2000,""SELECT F WHERE E LIKE '""&amp;'carga de materiais'!E269&amp;""'""))"),"#REF!")</f>
        <v>#REF!</v>
      </c>
    </row>
    <row r="269">
      <c r="A269" s="87" t="str">
        <f>IFERROR(__xludf.DUMMYFUNCTION("TRANSPOSE(QUERY('Cadastro VTR/SEÇÃO/MILITAR'!$E$3:$F2000,""SELECT F WHERE E LIKE '""&amp;'carga de materiais'!E270&amp;""'""))"),"#REF!")</f>
        <v>#REF!</v>
      </c>
    </row>
    <row r="270">
      <c r="A270" s="87" t="str">
        <f>IFERROR(__xludf.DUMMYFUNCTION("TRANSPOSE(QUERY('Cadastro VTR/SEÇÃO/MILITAR'!$E$3:$F2000,""SELECT F WHERE E LIKE '""&amp;'carga de materiais'!E271&amp;""'""))"),"#REF!")</f>
        <v>#REF!</v>
      </c>
    </row>
    <row r="271">
      <c r="A271" s="87" t="str">
        <f>IFERROR(__xludf.DUMMYFUNCTION("TRANSPOSE(QUERY('Cadastro VTR/SEÇÃO/MILITAR'!$E$3:$F2000,""SELECT F WHERE E LIKE '""&amp;'carga de materiais'!E272&amp;""'""))"),"#REF!")</f>
        <v>#REF!</v>
      </c>
    </row>
    <row r="272">
      <c r="A272" s="87" t="str">
        <f>IFERROR(__xludf.DUMMYFUNCTION("TRANSPOSE(QUERY('Cadastro VTR/SEÇÃO/MILITAR'!$E$3:$F2000,""SELECT F WHERE E LIKE '""&amp;'carga de materiais'!E273&amp;""'""))"),"#REF!")</f>
        <v>#REF!</v>
      </c>
    </row>
    <row r="273">
      <c r="A273" s="87" t="str">
        <f>IFERROR(__xludf.DUMMYFUNCTION("TRANSPOSE(QUERY('Cadastro VTR/SEÇÃO/MILITAR'!$E$3:$F2000,""SELECT F WHERE E LIKE '""&amp;'carga de materiais'!E274&amp;""'""))"),"#REF!")</f>
        <v>#REF!</v>
      </c>
    </row>
    <row r="274">
      <c r="A274" s="87" t="str">
        <f>IFERROR(__xludf.DUMMYFUNCTION("TRANSPOSE(QUERY('Cadastro VTR/SEÇÃO/MILITAR'!$E$3:$F2000,""SELECT F WHERE E LIKE '""&amp;'carga de materiais'!E275&amp;""'""))"),"#REF!")</f>
        <v>#REF!</v>
      </c>
    </row>
    <row r="275">
      <c r="A275" s="87" t="str">
        <f>IFERROR(__xludf.DUMMYFUNCTION("TRANSPOSE(QUERY('Cadastro VTR/SEÇÃO/MILITAR'!$E$3:$F2000,""SELECT F WHERE E LIKE '""&amp;'carga de materiais'!E276&amp;""'""))"),"#REF!")</f>
        <v>#REF!</v>
      </c>
    </row>
    <row r="276">
      <c r="A276" s="87" t="str">
        <f>IFERROR(__xludf.DUMMYFUNCTION("TRANSPOSE(QUERY('Cadastro VTR/SEÇÃO/MILITAR'!$E$3:$F2000,""SELECT F WHERE E LIKE '""&amp;'carga de materiais'!E277&amp;""'""))"),"#REF!")</f>
        <v>#REF!</v>
      </c>
    </row>
    <row r="277">
      <c r="A277" s="87" t="str">
        <f>IFERROR(__xludf.DUMMYFUNCTION("TRANSPOSE(QUERY('Cadastro VTR/SEÇÃO/MILITAR'!$E$3:$F2000,""SELECT F WHERE E LIKE '""&amp;'carga de materiais'!E278&amp;""'""))"),"#REF!")</f>
        <v>#REF!</v>
      </c>
    </row>
    <row r="278">
      <c r="A278" s="87" t="str">
        <f>IFERROR(__xludf.DUMMYFUNCTION("TRANSPOSE(QUERY('Cadastro VTR/SEÇÃO/MILITAR'!$E$3:$F2000,""SELECT F WHERE E LIKE '""&amp;'carga de materiais'!E279&amp;""'""))"),"#REF!")</f>
        <v>#REF!</v>
      </c>
    </row>
    <row r="279">
      <c r="A279" s="87" t="str">
        <f>IFERROR(__xludf.DUMMYFUNCTION("TRANSPOSE(QUERY('Cadastro VTR/SEÇÃO/MILITAR'!$E$3:$F2000,""SELECT F WHERE E LIKE '""&amp;'carga de materiais'!E280&amp;""'""))"),"#REF!")</f>
        <v>#REF!</v>
      </c>
    </row>
    <row r="280">
      <c r="A280" s="87" t="str">
        <f>IFERROR(__xludf.DUMMYFUNCTION("TRANSPOSE(QUERY('Cadastro VTR/SEÇÃO/MILITAR'!$E$3:$F2000,""SELECT F WHERE E LIKE '""&amp;'carga de materiais'!E281&amp;""'""))"),"#REF!")</f>
        <v>#REF!</v>
      </c>
    </row>
    <row r="281">
      <c r="A281" s="87" t="str">
        <f>IFERROR(__xludf.DUMMYFUNCTION("TRANSPOSE(QUERY('Cadastro VTR/SEÇÃO/MILITAR'!$E$3:$F2000,""SELECT F WHERE E LIKE '""&amp;'carga de materiais'!E282&amp;""'""))"),"#REF!")</f>
        <v>#REF!</v>
      </c>
    </row>
    <row r="282">
      <c r="A282" s="87" t="str">
        <f>IFERROR(__xludf.DUMMYFUNCTION("TRANSPOSE(QUERY('Cadastro VTR/SEÇÃO/MILITAR'!$E$3:$F2000,""SELECT F WHERE E LIKE '""&amp;'carga de materiais'!E283&amp;""'""))"),"#REF!")</f>
        <v>#REF!</v>
      </c>
    </row>
    <row r="283">
      <c r="A283" s="87" t="str">
        <f>IFERROR(__xludf.DUMMYFUNCTION("TRANSPOSE(QUERY('Cadastro VTR/SEÇÃO/MILITAR'!$E$3:$F2000,""SELECT F WHERE E LIKE '""&amp;'carga de materiais'!E284&amp;""'""))"),"#REF!")</f>
        <v>#REF!</v>
      </c>
    </row>
    <row r="284">
      <c r="A284" s="87" t="str">
        <f>IFERROR(__xludf.DUMMYFUNCTION("TRANSPOSE(QUERY('Cadastro VTR/SEÇÃO/MILITAR'!$E$3:$F2000,""SELECT F WHERE E LIKE '""&amp;'carga de materiais'!E285&amp;""'""))"),"#REF!")</f>
        <v>#REF!</v>
      </c>
    </row>
    <row r="285">
      <c r="A285" s="87" t="str">
        <f>IFERROR(__xludf.DUMMYFUNCTION("TRANSPOSE(QUERY('Cadastro VTR/SEÇÃO/MILITAR'!$E$3:$F2000,""SELECT F WHERE E LIKE '""&amp;'carga de materiais'!E286&amp;""'""))"),"#REF!")</f>
        <v>#REF!</v>
      </c>
    </row>
    <row r="286">
      <c r="A286" s="87" t="str">
        <f>IFERROR(__xludf.DUMMYFUNCTION("TRANSPOSE(QUERY('Cadastro VTR/SEÇÃO/MILITAR'!$E$3:$F2000,""SELECT F WHERE E LIKE '""&amp;'carga de materiais'!E287&amp;""'""))"),"#REF!")</f>
        <v>#REF!</v>
      </c>
    </row>
    <row r="287">
      <c r="A287" s="87" t="str">
        <f>IFERROR(__xludf.DUMMYFUNCTION("TRANSPOSE(QUERY('Cadastro VTR/SEÇÃO/MILITAR'!$E$3:$F2000,""SELECT F WHERE E LIKE '""&amp;'carga de materiais'!E288&amp;""'""))"),"#REF!")</f>
        <v>#REF!</v>
      </c>
    </row>
    <row r="288">
      <c r="A288" s="87" t="str">
        <f>IFERROR(__xludf.DUMMYFUNCTION("TRANSPOSE(QUERY('Cadastro VTR/SEÇÃO/MILITAR'!$E$3:$F2000,""SELECT F WHERE E LIKE '""&amp;'carga de materiais'!E289&amp;""'""))"),"#REF!")</f>
        <v>#REF!</v>
      </c>
    </row>
    <row r="289">
      <c r="A289" s="87" t="str">
        <f>IFERROR(__xludf.DUMMYFUNCTION("TRANSPOSE(QUERY('Cadastro VTR/SEÇÃO/MILITAR'!$E$3:$F2000,""SELECT F WHERE E LIKE '""&amp;'carga de materiais'!E290&amp;""'""))"),"#REF!")</f>
        <v>#REF!</v>
      </c>
    </row>
    <row r="290">
      <c r="A290" s="87" t="str">
        <f>IFERROR(__xludf.DUMMYFUNCTION("TRANSPOSE(QUERY('Cadastro VTR/SEÇÃO/MILITAR'!$E$3:$F2000,""SELECT F WHERE E LIKE '""&amp;'carga de materiais'!E291&amp;""'""))"),"#REF!")</f>
        <v>#REF!</v>
      </c>
    </row>
    <row r="291">
      <c r="A291" s="87" t="str">
        <f>IFERROR(__xludf.DUMMYFUNCTION("TRANSPOSE(QUERY('Cadastro VTR/SEÇÃO/MILITAR'!$E$3:$F2000,""SELECT F WHERE E LIKE '""&amp;'carga de materiais'!E292&amp;""'""))"),"#REF!")</f>
        <v>#REF!</v>
      </c>
    </row>
    <row r="292">
      <c r="A292" s="87" t="str">
        <f>IFERROR(__xludf.DUMMYFUNCTION("TRANSPOSE(QUERY('Cadastro VTR/SEÇÃO/MILITAR'!$E$3:$F2000,""SELECT F WHERE E LIKE '""&amp;'carga de materiais'!E293&amp;""'""))"),"#REF!")</f>
        <v>#REF!</v>
      </c>
    </row>
    <row r="293">
      <c r="A293" s="87" t="str">
        <f>IFERROR(__xludf.DUMMYFUNCTION("TRANSPOSE(QUERY('Cadastro VTR/SEÇÃO/MILITAR'!$E$3:$F2000,""SELECT F WHERE E LIKE '""&amp;'carga de materiais'!E294&amp;""'""))"),"#REF!")</f>
        <v>#REF!</v>
      </c>
    </row>
    <row r="294">
      <c r="A294" s="87" t="str">
        <f>IFERROR(__xludf.DUMMYFUNCTION("TRANSPOSE(QUERY('Cadastro VTR/SEÇÃO/MILITAR'!$E$3:$F2000,""SELECT F WHERE E LIKE '""&amp;'carga de materiais'!E295&amp;""'""))"),"#REF!")</f>
        <v>#REF!</v>
      </c>
    </row>
    <row r="295">
      <c r="A295" s="87" t="str">
        <f>IFERROR(__xludf.DUMMYFUNCTION("TRANSPOSE(QUERY('Cadastro VTR/SEÇÃO/MILITAR'!$E$3:$F2000,""SELECT F WHERE E LIKE '""&amp;'carga de materiais'!E296&amp;""'""))"),"#REF!")</f>
        <v>#REF!</v>
      </c>
    </row>
    <row r="296">
      <c r="A296" s="87" t="str">
        <f>IFERROR(__xludf.DUMMYFUNCTION("TRANSPOSE(QUERY('Cadastro VTR/SEÇÃO/MILITAR'!$E$3:$F2000,""SELECT F WHERE E LIKE '""&amp;'carga de materiais'!E297&amp;""'""))"),"#REF!")</f>
        <v>#REF!</v>
      </c>
    </row>
    <row r="297">
      <c r="A297" s="87" t="str">
        <f>IFERROR(__xludf.DUMMYFUNCTION("TRANSPOSE(QUERY('Cadastro VTR/SEÇÃO/MILITAR'!$E$3:$F2000,""SELECT F WHERE E LIKE '""&amp;'carga de materiais'!E298&amp;""'""))"),"#REF!")</f>
        <v>#REF!</v>
      </c>
    </row>
    <row r="298">
      <c r="A298" s="87" t="str">
        <f>IFERROR(__xludf.DUMMYFUNCTION("TRANSPOSE(QUERY('Cadastro VTR/SEÇÃO/MILITAR'!$E$3:$F2000,""SELECT F WHERE E LIKE '""&amp;'carga de materiais'!E299&amp;""'""))"),"#REF!")</f>
        <v>#REF!</v>
      </c>
    </row>
    <row r="299">
      <c r="A299" s="87" t="str">
        <f>IFERROR(__xludf.DUMMYFUNCTION("TRANSPOSE(QUERY('Cadastro VTR/SEÇÃO/MILITAR'!$E$3:$F2000,""SELECT F WHERE E LIKE '""&amp;'carga de materiais'!E300&amp;""'""))"),"#REF!")</f>
        <v>#REF!</v>
      </c>
    </row>
    <row r="300">
      <c r="A300" s="87" t="str">
        <f>IFERROR(__xludf.DUMMYFUNCTION("TRANSPOSE(QUERY('Cadastro VTR/SEÇÃO/MILITAR'!$E$3:$F2000,""SELECT F WHERE E LIKE '""&amp;'carga de materiais'!E301&amp;""'""))"),"#REF!")</f>
        <v>#REF!</v>
      </c>
    </row>
    <row r="301">
      <c r="A301" s="87" t="str">
        <f>IFERROR(__xludf.DUMMYFUNCTION("TRANSPOSE(QUERY('Cadastro VTR/SEÇÃO/MILITAR'!$E$3:$F2000,""SELECT F WHERE E LIKE '""&amp;'carga de materiais'!E302&amp;""'""))"),"#REF!")</f>
        <v>#REF!</v>
      </c>
    </row>
    <row r="302">
      <c r="A302" s="87" t="str">
        <f>IFERROR(__xludf.DUMMYFUNCTION("TRANSPOSE(QUERY('Cadastro VTR/SEÇÃO/MILITAR'!$E$3:$F2000,""SELECT F WHERE E LIKE '""&amp;'carga de materiais'!E303&amp;""'""))"),"#REF!")</f>
        <v>#REF!</v>
      </c>
    </row>
    <row r="303">
      <c r="A303" s="87" t="str">
        <f>IFERROR(__xludf.DUMMYFUNCTION("TRANSPOSE(QUERY('Cadastro VTR/SEÇÃO/MILITAR'!$E$3:$F2000,""SELECT F WHERE E LIKE '""&amp;'carga de materiais'!E304&amp;""'""))"),"#REF!")</f>
        <v>#REF!</v>
      </c>
    </row>
    <row r="304">
      <c r="A304" s="87" t="str">
        <f>IFERROR(__xludf.DUMMYFUNCTION("TRANSPOSE(QUERY('Cadastro VTR/SEÇÃO/MILITAR'!$E$3:$F2000,""SELECT F WHERE E LIKE '""&amp;'carga de materiais'!E305&amp;""'""))"),"#REF!")</f>
        <v>#REF!</v>
      </c>
    </row>
    <row r="305">
      <c r="A305" s="87" t="str">
        <f>IFERROR(__xludf.DUMMYFUNCTION("TRANSPOSE(QUERY('Cadastro VTR/SEÇÃO/MILITAR'!$E$3:$F2000,""SELECT F WHERE E LIKE '""&amp;'carga de materiais'!E306&amp;""'""))"),"#REF!")</f>
        <v>#REF!</v>
      </c>
    </row>
    <row r="306">
      <c r="A306" s="87" t="str">
        <f>IFERROR(__xludf.DUMMYFUNCTION("TRANSPOSE(QUERY('Cadastro VTR/SEÇÃO/MILITAR'!$E$3:$F2000,""SELECT F WHERE E LIKE '""&amp;'carga de materiais'!E307&amp;""'""))"),"#REF!")</f>
        <v>#REF!</v>
      </c>
    </row>
    <row r="307">
      <c r="A307" s="87" t="str">
        <f>IFERROR(__xludf.DUMMYFUNCTION("TRANSPOSE(QUERY('Cadastro VTR/SEÇÃO/MILITAR'!$E$3:$F2000,""SELECT F WHERE E LIKE '""&amp;'carga de materiais'!E308&amp;""'""))"),"#REF!")</f>
        <v>#REF!</v>
      </c>
    </row>
    <row r="308">
      <c r="A308" s="87" t="str">
        <f>IFERROR(__xludf.DUMMYFUNCTION("TRANSPOSE(QUERY('Cadastro VTR/SEÇÃO/MILITAR'!$E$3:$F2000,""SELECT F WHERE E LIKE '""&amp;'carga de materiais'!E309&amp;""'""))"),"#REF!")</f>
        <v>#REF!</v>
      </c>
    </row>
    <row r="309">
      <c r="A309" s="87" t="str">
        <f>IFERROR(__xludf.DUMMYFUNCTION("TRANSPOSE(QUERY('Cadastro VTR/SEÇÃO/MILITAR'!$E$3:$F2000,""SELECT F WHERE E LIKE '""&amp;'carga de materiais'!E310&amp;""'""))"),"#REF!")</f>
        <v>#REF!</v>
      </c>
    </row>
    <row r="310">
      <c r="A310" s="87" t="str">
        <f>IFERROR(__xludf.DUMMYFUNCTION("TRANSPOSE(QUERY('Cadastro VTR/SEÇÃO/MILITAR'!$E$3:$F2000,""SELECT F WHERE E LIKE '""&amp;'carga de materiais'!E311&amp;""'""))"),"#REF!")</f>
        <v>#REF!</v>
      </c>
    </row>
    <row r="311">
      <c r="A311" s="87" t="str">
        <f>IFERROR(__xludf.DUMMYFUNCTION("TRANSPOSE(QUERY('Cadastro VTR/SEÇÃO/MILITAR'!$E$3:$F2000,""SELECT F WHERE E LIKE '""&amp;'carga de materiais'!E312&amp;""'""))"),"#REF!")</f>
        <v>#REF!</v>
      </c>
    </row>
    <row r="312">
      <c r="A312" s="87" t="str">
        <f>IFERROR(__xludf.DUMMYFUNCTION("TRANSPOSE(QUERY('Cadastro VTR/SEÇÃO/MILITAR'!$E$3:$F2000,""SELECT F WHERE E LIKE '""&amp;'carga de materiais'!E313&amp;""'""))"),"#REF!")</f>
        <v>#REF!</v>
      </c>
    </row>
    <row r="313">
      <c r="A313" s="87" t="str">
        <f>IFERROR(__xludf.DUMMYFUNCTION("TRANSPOSE(QUERY('Cadastro VTR/SEÇÃO/MILITAR'!$E$3:$F2000,""SELECT F WHERE E LIKE '""&amp;'carga de materiais'!E314&amp;""'""))"),"#REF!")</f>
        <v>#REF!</v>
      </c>
    </row>
    <row r="314">
      <c r="A314" s="87" t="str">
        <f>IFERROR(__xludf.DUMMYFUNCTION("TRANSPOSE(QUERY('Cadastro VTR/SEÇÃO/MILITAR'!$E$3:$F2000,""SELECT F WHERE E LIKE '""&amp;'carga de materiais'!E315&amp;""'""))"),"#REF!")</f>
        <v>#REF!</v>
      </c>
    </row>
    <row r="315">
      <c r="A315" s="87" t="str">
        <f>IFERROR(__xludf.DUMMYFUNCTION("TRANSPOSE(QUERY('Cadastro VTR/SEÇÃO/MILITAR'!$E$3:$F2000,""SELECT F WHERE E LIKE '""&amp;'carga de materiais'!E316&amp;""'""))"),"#REF!")</f>
        <v>#REF!</v>
      </c>
    </row>
    <row r="316">
      <c r="A316" s="87" t="str">
        <f>IFERROR(__xludf.DUMMYFUNCTION("TRANSPOSE(QUERY('Cadastro VTR/SEÇÃO/MILITAR'!$E$3:$F2000,""SELECT F WHERE E LIKE '""&amp;'carga de materiais'!E317&amp;""'""))"),"#REF!")</f>
        <v>#REF!</v>
      </c>
    </row>
    <row r="317">
      <c r="A317" s="87" t="str">
        <f>IFERROR(__xludf.DUMMYFUNCTION("TRANSPOSE(QUERY('Cadastro VTR/SEÇÃO/MILITAR'!$E$3:$F2000,""SELECT F WHERE E LIKE '""&amp;'carga de materiais'!E318&amp;""'""))"),"#REF!")</f>
        <v>#REF!</v>
      </c>
    </row>
    <row r="318">
      <c r="A318" s="87" t="str">
        <f>IFERROR(__xludf.DUMMYFUNCTION("TRANSPOSE(QUERY('Cadastro VTR/SEÇÃO/MILITAR'!$E$3:$F2000,""SELECT F WHERE E LIKE '""&amp;'carga de materiais'!E319&amp;""'""))"),"#REF!")</f>
        <v>#REF!</v>
      </c>
    </row>
    <row r="319">
      <c r="A319" s="87" t="str">
        <f>IFERROR(__xludf.DUMMYFUNCTION("TRANSPOSE(QUERY('Cadastro VTR/SEÇÃO/MILITAR'!$E$3:$F2000,""SELECT F WHERE E LIKE '""&amp;'carga de materiais'!E320&amp;""'""))"),"#REF!")</f>
        <v>#REF!</v>
      </c>
    </row>
    <row r="320">
      <c r="A320" s="87" t="str">
        <f>IFERROR(__xludf.DUMMYFUNCTION("TRANSPOSE(QUERY('Cadastro VTR/SEÇÃO/MILITAR'!$E$3:$F2000,""SELECT F WHERE E LIKE '""&amp;'carga de materiais'!E321&amp;""'""))"),"#REF!")</f>
        <v>#REF!</v>
      </c>
    </row>
    <row r="321">
      <c r="A321" s="87" t="str">
        <f>IFERROR(__xludf.DUMMYFUNCTION("TRANSPOSE(QUERY('Cadastro VTR/SEÇÃO/MILITAR'!$E$3:$F2000,""SELECT F WHERE E LIKE '""&amp;'carga de materiais'!E322&amp;""'""))"),"#REF!")</f>
        <v>#REF!</v>
      </c>
    </row>
    <row r="322">
      <c r="A322" s="87" t="str">
        <f>IFERROR(__xludf.DUMMYFUNCTION("TRANSPOSE(QUERY('Cadastro VTR/SEÇÃO/MILITAR'!$E$3:$F2000,""SELECT F WHERE E LIKE '""&amp;'carga de materiais'!E323&amp;""'""))"),"#REF!")</f>
        <v>#REF!</v>
      </c>
    </row>
    <row r="323">
      <c r="A323" s="87" t="str">
        <f>IFERROR(__xludf.DUMMYFUNCTION("TRANSPOSE(QUERY('Cadastro VTR/SEÇÃO/MILITAR'!$E$3:$F2000,""SELECT F WHERE E LIKE '""&amp;'carga de materiais'!E324&amp;""'""))"),"#REF!")</f>
        <v>#REF!</v>
      </c>
    </row>
    <row r="324">
      <c r="A324" s="87" t="str">
        <f>IFERROR(__xludf.DUMMYFUNCTION("TRANSPOSE(QUERY('Cadastro VTR/SEÇÃO/MILITAR'!$E$3:$F2000,""SELECT F WHERE E LIKE '""&amp;'carga de materiais'!E325&amp;""'""))"),"#REF!")</f>
        <v>#REF!</v>
      </c>
    </row>
    <row r="325">
      <c r="A325" s="87" t="str">
        <f>IFERROR(__xludf.DUMMYFUNCTION("TRANSPOSE(QUERY('Cadastro VTR/SEÇÃO/MILITAR'!$E$3:$F2000,""SELECT F WHERE E LIKE '""&amp;'carga de materiais'!E326&amp;""'""))"),"#REF!")</f>
        <v>#REF!</v>
      </c>
    </row>
    <row r="326">
      <c r="A326" s="87" t="str">
        <f>IFERROR(__xludf.DUMMYFUNCTION("TRANSPOSE(QUERY('Cadastro VTR/SEÇÃO/MILITAR'!$E$3:$F2000,""SELECT F WHERE E LIKE '""&amp;'carga de materiais'!E327&amp;""'""))"),"#REF!")</f>
        <v>#REF!</v>
      </c>
    </row>
    <row r="327">
      <c r="A327" s="87" t="str">
        <f>IFERROR(__xludf.DUMMYFUNCTION("TRANSPOSE(QUERY('Cadastro VTR/SEÇÃO/MILITAR'!$E$3:$F2000,""SELECT F WHERE E LIKE '""&amp;'carga de materiais'!E328&amp;""'""))"),"#REF!")</f>
        <v>#REF!</v>
      </c>
    </row>
    <row r="328">
      <c r="A328" s="87" t="str">
        <f>IFERROR(__xludf.DUMMYFUNCTION("TRANSPOSE(QUERY('Cadastro VTR/SEÇÃO/MILITAR'!$E$3:$F2000,""SELECT F WHERE E LIKE '""&amp;'carga de materiais'!E329&amp;""'""))"),"#REF!")</f>
        <v>#REF!</v>
      </c>
    </row>
    <row r="329">
      <c r="A329" s="87" t="str">
        <f>IFERROR(__xludf.DUMMYFUNCTION("TRANSPOSE(QUERY('Cadastro VTR/SEÇÃO/MILITAR'!$E$3:$F2000,""SELECT F WHERE E LIKE '""&amp;'carga de materiais'!E330&amp;""'""))"),"#REF!")</f>
        <v>#REF!</v>
      </c>
    </row>
    <row r="330">
      <c r="A330" s="87" t="str">
        <f>IFERROR(__xludf.DUMMYFUNCTION("TRANSPOSE(QUERY('Cadastro VTR/SEÇÃO/MILITAR'!$E$3:$F2000,""SELECT F WHERE E LIKE '""&amp;'carga de materiais'!E331&amp;""'""))"),"#REF!")</f>
        <v>#REF!</v>
      </c>
    </row>
    <row r="331">
      <c r="A331" s="87" t="str">
        <f>IFERROR(__xludf.DUMMYFUNCTION("TRANSPOSE(QUERY('Cadastro VTR/SEÇÃO/MILITAR'!$E$3:$F2000,""SELECT F WHERE E LIKE '""&amp;'carga de materiais'!E332&amp;""'""))"),"#REF!")</f>
        <v>#REF!</v>
      </c>
    </row>
    <row r="332">
      <c r="A332" s="87" t="str">
        <f>IFERROR(__xludf.DUMMYFUNCTION("TRANSPOSE(QUERY('Cadastro VTR/SEÇÃO/MILITAR'!$E$3:$F2000,""SELECT F WHERE E LIKE '""&amp;'carga de materiais'!E333&amp;""'""))"),"#REF!")</f>
        <v>#REF!</v>
      </c>
    </row>
    <row r="333">
      <c r="A333" s="87" t="str">
        <f>IFERROR(__xludf.DUMMYFUNCTION("TRANSPOSE(QUERY('Cadastro VTR/SEÇÃO/MILITAR'!$E$3:$F2000,""SELECT F WHERE E LIKE '""&amp;'carga de materiais'!E334&amp;""'""))"),"#REF!")</f>
        <v>#REF!</v>
      </c>
    </row>
    <row r="334">
      <c r="A334" s="87" t="str">
        <f>IFERROR(__xludf.DUMMYFUNCTION("TRANSPOSE(QUERY('Cadastro VTR/SEÇÃO/MILITAR'!$E$3:$F2000,""SELECT F WHERE E LIKE '""&amp;'carga de materiais'!E335&amp;""'""))"),"#REF!")</f>
        <v>#REF!</v>
      </c>
    </row>
    <row r="335">
      <c r="A335" s="87" t="str">
        <f>IFERROR(__xludf.DUMMYFUNCTION("TRANSPOSE(QUERY('Cadastro VTR/SEÇÃO/MILITAR'!$E$3:$F2000,""SELECT F WHERE E LIKE '""&amp;'carga de materiais'!E336&amp;""'""))"),"#REF!")</f>
        <v>#REF!</v>
      </c>
    </row>
    <row r="336">
      <c r="A336" s="87" t="str">
        <f>IFERROR(__xludf.DUMMYFUNCTION("TRANSPOSE(QUERY('Cadastro VTR/SEÇÃO/MILITAR'!$E$3:$F2000,""SELECT F WHERE E LIKE '""&amp;'carga de materiais'!E337&amp;""'""))"),"#REF!")</f>
        <v>#REF!</v>
      </c>
    </row>
    <row r="337">
      <c r="A337" s="87" t="str">
        <f>IFERROR(__xludf.DUMMYFUNCTION("TRANSPOSE(QUERY('Cadastro VTR/SEÇÃO/MILITAR'!$E$3:$F2000,""SELECT F WHERE E LIKE '""&amp;'carga de materiais'!E338&amp;""'""))"),"#REF!")</f>
        <v>#REF!</v>
      </c>
    </row>
    <row r="338">
      <c r="A338" s="87" t="str">
        <f>IFERROR(__xludf.DUMMYFUNCTION("TRANSPOSE(QUERY('Cadastro VTR/SEÇÃO/MILITAR'!$E$3:$F2000,""SELECT F WHERE E LIKE '""&amp;'carga de materiais'!E339&amp;""'""))"),"#REF!")</f>
        <v>#REF!</v>
      </c>
    </row>
    <row r="339">
      <c r="A339" s="87" t="str">
        <f>IFERROR(__xludf.DUMMYFUNCTION("TRANSPOSE(QUERY('Cadastro VTR/SEÇÃO/MILITAR'!$E$3:$F2000,""SELECT F WHERE E LIKE '""&amp;'carga de materiais'!E340&amp;""'""))"),"#REF!")</f>
        <v>#REF!</v>
      </c>
    </row>
    <row r="340">
      <c r="A340" s="87" t="str">
        <f>IFERROR(__xludf.DUMMYFUNCTION("TRANSPOSE(QUERY('Cadastro VTR/SEÇÃO/MILITAR'!$E$3:$F2000,""SELECT F WHERE E LIKE '""&amp;'carga de materiais'!E341&amp;""'""))"),"#REF!")</f>
        <v>#REF!</v>
      </c>
    </row>
    <row r="341">
      <c r="A341" s="87" t="str">
        <f>IFERROR(__xludf.DUMMYFUNCTION("TRANSPOSE(QUERY('Cadastro VTR/SEÇÃO/MILITAR'!$E$3:$F2000,""SELECT F WHERE E LIKE '""&amp;'carga de materiais'!E342&amp;""'""))"),"#REF!")</f>
        <v>#REF!</v>
      </c>
    </row>
    <row r="342">
      <c r="A342" s="87" t="str">
        <f>IFERROR(__xludf.DUMMYFUNCTION("TRANSPOSE(QUERY('Cadastro VTR/SEÇÃO/MILITAR'!$E$3:$F2000,""SELECT F WHERE E LIKE '""&amp;'carga de materiais'!E343&amp;""'""))"),"#REF!")</f>
        <v>#REF!</v>
      </c>
    </row>
    <row r="343">
      <c r="A343" s="87" t="str">
        <f>IFERROR(__xludf.DUMMYFUNCTION("TRANSPOSE(QUERY('Cadastro VTR/SEÇÃO/MILITAR'!$E$3:$F2000,""SELECT F WHERE E LIKE '""&amp;'carga de materiais'!E344&amp;""'""))"),"#REF!")</f>
        <v>#REF!</v>
      </c>
    </row>
    <row r="344">
      <c r="A344" s="87" t="str">
        <f>IFERROR(__xludf.DUMMYFUNCTION("TRANSPOSE(QUERY('Cadastro VTR/SEÇÃO/MILITAR'!$E$3:$F2000,""SELECT F WHERE E LIKE '""&amp;'carga de materiais'!E345&amp;""'""))"),"#REF!")</f>
        <v>#REF!</v>
      </c>
    </row>
    <row r="345">
      <c r="A345" s="87" t="str">
        <f>IFERROR(__xludf.DUMMYFUNCTION("TRANSPOSE(QUERY('Cadastro VTR/SEÇÃO/MILITAR'!$E$3:$F2000,""SELECT F WHERE E LIKE '""&amp;'carga de materiais'!E346&amp;""'""))"),"#REF!")</f>
        <v>#REF!</v>
      </c>
    </row>
    <row r="346">
      <c r="A346" s="87" t="str">
        <f>IFERROR(__xludf.DUMMYFUNCTION("TRANSPOSE(QUERY('Cadastro VTR/SEÇÃO/MILITAR'!$E$3:$F2000,""SELECT F WHERE E LIKE '""&amp;'carga de materiais'!E347&amp;""'""))"),"#REF!")</f>
        <v>#REF!</v>
      </c>
    </row>
    <row r="347">
      <c r="A347" s="87" t="str">
        <f>IFERROR(__xludf.DUMMYFUNCTION("TRANSPOSE(QUERY('Cadastro VTR/SEÇÃO/MILITAR'!$E$3:$F2000,""SELECT F WHERE E LIKE '""&amp;'carga de materiais'!E348&amp;""'""))"),"#REF!")</f>
        <v>#REF!</v>
      </c>
    </row>
    <row r="348">
      <c r="A348" s="87" t="str">
        <f>IFERROR(__xludf.DUMMYFUNCTION("TRANSPOSE(QUERY('Cadastro VTR/SEÇÃO/MILITAR'!$E$3:$F2000,""SELECT F WHERE E LIKE '""&amp;'carga de materiais'!E349&amp;""'""))"),"#REF!")</f>
        <v>#REF!</v>
      </c>
    </row>
    <row r="349">
      <c r="A349" s="87" t="str">
        <f>IFERROR(__xludf.DUMMYFUNCTION("TRANSPOSE(QUERY('Cadastro VTR/SEÇÃO/MILITAR'!$E$3:$F2000,""SELECT F WHERE E LIKE '""&amp;'carga de materiais'!E350&amp;""'""))"),"#REF!")</f>
        <v>#REF!</v>
      </c>
    </row>
    <row r="350">
      <c r="A350" s="87" t="str">
        <f>IFERROR(__xludf.DUMMYFUNCTION("TRANSPOSE(QUERY('Cadastro VTR/SEÇÃO/MILITAR'!$E$3:$F2000,""SELECT F WHERE E LIKE '""&amp;'carga de materiais'!E351&amp;""'""))"),"#REF!")</f>
        <v>#REF!</v>
      </c>
    </row>
    <row r="351">
      <c r="A351" s="87" t="str">
        <f>IFERROR(__xludf.DUMMYFUNCTION("TRANSPOSE(QUERY('Cadastro VTR/SEÇÃO/MILITAR'!$E$3:$F2000,""SELECT F WHERE E LIKE '""&amp;'carga de materiais'!E352&amp;""'""))"),"#REF!")</f>
        <v>#REF!</v>
      </c>
    </row>
    <row r="352">
      <c r="A352" s="87" t="str">
        <f>IFERROR(__xludf.DUMMYFUNCTION("TRANSPOSE(QUERY('Cadastro VTR/SEÇÃO/MILITAR'!$E$3:$F2000,""SELECT F WHERE E LIKE '""&amp;'carga de materiais'!E353&amp;""'""))"),"#REF!")</f>
        <v>#REF!</v>
      </c>
    </row>
    <row r="353">
      <c r="A353" s="87" t="str">
        <f>IFERROR(__xludf.DUMMYFUNCTION("TRANSPOSE(QUERY('Cadastro VTR/SEÇÃO/MILITAR'!$E$3:$F2000,""SELECT F WHERE E LIKE '""&amp;'carga de materiais'!E354&amp;""'""))"),"#REF!")</f>
        <v>#REF!</v>
      </c>
    </row>
    <row r="354">
      <c r="A354" s="87" t="str">
        <f>IFERROR(__xludf.DUMMYFUNCTION("TRANSPOSE(QUERY('Cadastro VTR/SEÇÃO/MILITAR'!$E$3:$F2000,""SELECT F WHERE E LIKE '""&amp;'carga de materiais'!E355&amp;""'""))"),"#REF!")</f>
        <v>#REF!</v>
      </c>
    </row>
    <row r="355">
      <c r="A355" s="87" t="str">
        <f>IFERROR(__xludf.DUMMYFUNCTION("TRANSPOSE(QUERY('Cadastro VTR/SEÇÃO/MILITAR'!$E$3:$F2000,""SELECT F WHERE E LIKE '""&amp;'carga de materiais'!E356&amp;""'""))"),"#REF!")</f>
        <v>#REF!</v>
      </c>
    </row>
    <row r="356">
      <c r="A356" s="87" t="str">
        <f>IFERROR(__xludf.DUMMYFUNCTION("TRANSPOSE(QUERY('Cadastro VTR/SEÇÃO/MILITAR'!$E$3:$F2000,""SELECT F WHERE E LIKE '""&amp;'carga de materiais'!E357&amp;""'""))"),"#REF!")</f>
        <v>#REF!</v>
      </c>
    </row>
    <row r="357">
      <c r="A357" s="87" t="str">
        <f>IFERROR(__xludf.DUMMYFUNCTION("TRANSPOSE(QUERY('Cadastro VTR/SEÇÃO/MILITAR'!$E$3:$F2000,""SELECT F WHERE E LIKE '""&amp;'carga de materiais'!E358&amp;""'""))"),"#REF!")</f>
        <v>#REF!</v>
      </c>
    </row>
    <row r="358">
      <c r="A358" s="87" t="str">
        <f>IFERROR(__xludf.DUMMYFUNCTION("TRANSPOSE(QUERY('Cadastro VTR/SEÇÃO/MILITAR'!$E$3:$F2000,""SELECT F WHERE E LIKE '""&amp;'carga de materiais'!E359&amp;""'""))"),"#REF!")</f>
        <v>#REF!</v>
      </c>
    </row>
    <row r="359">
      <c r="A359" s="87" t="str">
        <f>IFERROR(__xludf.DUMMYFUNCTION("TRANSPOSE(QUERY('Cadastro VTR/SEÇÃO/MILITAR'!$E$3:$F2000,""SELECT F WHERE E LIKE '""&amp;'carga de materiais'!E360&amp;""'""))"),"#REF!")</f>
        <v>#REF!</v>
      </c>
    </row>
    <row r="360">
      <c r="A360" s="87" t="str">
        <f>IFERROR(__xludf.DUMMYFUNCTION("TRANSPOSE(QUERY('Cadastro VTR/SEÇÃO/MILITAR'!$E$3:$F2000,""SELECT F WHERE E LIKE '""&amp;'carga de materiais'!E361&amp;""'""))"),"#REF!")</f>
        <v>#REF!</v>
      </c>
    </row>
    <row r="361">
      <c r="A361" s="87" t="str">
        <f>IFERROR(__xludf.DUMMYFUNCTION("TRANSPOSE(QUERY('Cadastro VTR/SEÇÃO/MILITAR'!$E$3:$F2000,""SELECT F WHERE E LIKE '""&amp;'carga de materiais'!E362&amp;""'""))"),"#REF!")</f>
        <v>#REF!</v>
      </c>
    </row>
    <row r="362">
      <c r="A362" s="87" t="str">
        <f>IFERROR(__xludf.DUMMYFUNCTION("TRANSPOSE(QUERY('Cadastro VTR/SEÇÃO/MILITAR'!$E$3:$F2000,""SELECT F WHERE E LIKE '""&amp;'carga de materiais'!E363&amp;""'""))"),"#REF!")</f>
        <v>#REF!</v>
      </c>
    </row>
    <row r="363">
      <c r="A363" s="87" t="str">
        <f>IFERROR(__xludf.DUMMYFUNCTION("TRANSPOSE(QUERY('Cadastro VTR/SEÇÃO/MILITAR'!$E$3:$F2000,""SELECT F WHERE E LIKE '""&amp;'carga de materiais'!E364&amp;""'""))"),"#REF!")</f>
        <v>#REF!</v>
      </c>
    </row>
    <row r="364">
      <c r="A364" s="87" t="str">
        <f>IFERROR(__xludf.DUMMYFUNCTION("TRANSPOSE(QUERY('Cadastro VTR/SEÇÃO/MILITAR'!$E$3:$F2000,""SELECT F WHERE E LIKE '""&amp;'carga de materiais'!E365&amp;""'""))"),"#REF!")</f>
        <v>#REF!</v>
      </c>
    </row>
    <row r="365">
      <c r="A365" s="87" t="str">
        <f>IFERROR(__xludf.DUMMYFUNCTION("TRANSPOSE(QUERY('Cadastro VTR/SEÇÃO/MILITAR'!$E$3:$F2000,""SELECT F WHERE E LIKE '""&amp;'carga de materiais'!E366&amp;""'""))"),"#REF!")</f>
        <v>#REF!</v>
      </c>
    </row>
    <row r="366">
      <c r="A366" s="87" t="str">
        <f>IFERROR(__xludf.DUMMYFUNCTION("TRANSPOSE(QUERY('Cadastro VTR/SEÇÃO/MILITAR'!$E$3:$F2000,""SELECT F WHERE E LIKE '""&amp;'carga de materiais'!E367&amp;""'""))"),"#REF!")</f>
        <v>#REF!</v>
      </c>
    </row>
    <row r="367">
      <c r="A367" s="87" t="str">
        <f>IFERROR(__xludf.DUMMYFUNCTION("TRANSPOSE(QUERY('Cadastro VTR/SEÇÃO/MILITAR'!$E$3:$F2000,""SELECT F WHERE E LIKE '""&amp;'carga de materiais'!E368&amp;""'""))"),"#REF!")</f>
        <v>#REF!</v>
      </c>
    </row>
    <row r="368">
      <c r="A368" s="87" t="str">
        <f>IFERROR(__xludf.DUMMYFUNCTION("TRANSPOSE(QUERY('Cadastro VTR/SEÇÃO/MILITAR'!$E$3:$F2000,""SELECT F WHERE E LIKE '""&amp;'carga de materiais'!E369&amp;""'""))"),"#REF!")</f>
        <v>#REF!</v>
      </c>
    </row>
    <row r="369">
      <c r="A369" s="87" t="str">
        <f>IFERROR(__xludf.DUMMYFUNCTION("TRANSPOSE(QUERY('Cadastro VTR/SEÇÃO/MILITAR'!$E$3:$F2000,""SELECT F WHERE E LIKE '""&amp;'carga de materiais'!E370&amp;""'""))"),"#REF!")</f>
        <v>#REF!</v>
      </c>
    </row>
    <row r="370">
      <c r="A370" s="87" t="str">
        <f>IFERROR(__xludf.DUMMYFUNCTION("TRANSPOSE(QUERY('Cadastro VTR/SEÇÃO/MILITAR'!$E$3:$F2000,""SELECT F WHERE E LIKE '""&amp;'carga de materiais'!E371&amp;""'""))"),"#REF!")</f>
        <v>#REF!</v>
      </c>
    </row>
    <row r="371">
      <c r="A371" s="87" t="str">
        <f>IFERROR(__xludf.DUMMYFUNCTION("TRANSPOSE(QUERY('Cadastro VTR/SEÇÃO/MILITAR'!$E$3:$F2000,""SELECT F WHERE E LIKE '""&amp;'carga de materiais'!E372&amp;""'""))"),"#REF!")</f>
        <v>#REF!</v>
      </c>
    </row>
    <row r="372">
      <c r="A372" s="87" t="str">
        <f>IFERROR(__xludf.DUMMYFUNCTION("TRANSPOSE(QUERY('Cadastro VTR/SEÇÃO/MILITAR'!$E$3:$F2000,""SELECT F WHERE E LIKE '""&amp;'carga de materiais'!E373&amp;""'""))"),"#REF!")</f>
        <v>#REF!</v>
      </c>
    </row>
    <row r="373">
      <c r="A373" s="87" t="str">
        <f>IFERROR(__xludf.DUMMYFUNCTION("TRANSPOSE(QUERY('Cadastro VTR/SEÇÃO/MILITAR'!$E$3:$F2000,""SELECT F WHERE E LIKE '""&amp;'carga de materiais'!E374&amp;""'""))"),"#REF!")</f>
        <v>#REF!</v>
      </c>
    </row>
    <row r="374">
      <c r="A374" s="87" t="str">
        <f>IFERROR(__xludf.DUMMYFUNCTION("TRANSPOSE(QUERY('Cadastro VTR/SEÇÃO/MILITAR'!$E$3:$F2000,""SELECT F WHERE E LIKE '""&amp;'carga de materiais'!E375&amp;""'""))"),"#REF!")</f>
        <v>#REF!</v>
      </c>
    </row>
    <row r="375">
      <c r="A375" s="87" t="str">
        <f>IFERROR(__xludf.DUMMYFUNCTION("TRANSPOSE(QUERY('Cadastro VTR/SEÇÃO/MILITAR'!$E$3:$F2000,""SELECT F WHERE E LIKE '""&amp;'carga de materiais'!E376&amp;""'""))"),"#REF!")</f>
        <v>#REF!</v>
      </c>
    </row>
    <row r="376">
      <c r="A376" s="87" t="str">
        <f>IFERROR(__xludf.DUMMYFUNCTION("TRANSPOSE(QUERY('Cadastro VTR/SEÇÃO/MILITAR'!$E$3:$F2000,""SELECT F WHERE E LIKE '""&amp;'carga de materiais'!E377&amp;""'""))"),"#REF!")</f>
        <v>#REF!</v>
      </c>
    </row>
    <row r="377">
      <c r="A377" s="87" t="str">
        <f>IFERROR(__xludf.DUMMYFUNCTION("TRANSPOSE(QUERY('Cadastro VTR/SEÇÃO/MILITAR'!$E$3:$F2000,""SELECT F WHERE E LIKE '""&amp;'carga de materiais'!E378&amp;""'""))"),"#REF!")</f>
        <v>#REF!</v>
      </c>
    </row>
    <row r="378">
      <c r="A378" s="87" t="str">
        <f>IFERROR(__xludf.DUMMYFUNCTION("TRANSPOSE(QUERY('Cadastro VTR/SEÇÃO/MILITAR'!$E$3:$F2000,""SELECT F WHERE E LIKE '""&amp;'carga de materiais'!E379&amp;""'""))"),"#REF!")</f>
        <v>#REF!</v>
      </c>
    </row>
    <row r="379">
      <c r="A379" s="87" t="str">
        <f>IFERROR(__xludf.DUMMYFUNCTION("TRANSPOSE(QUERY('Cadastro VTR/SEÇÃO/MILITAR'!$E$3:$F2000,""SELECT F WHERE E LIKE '""&amp;'carga de materiais'!E380&amp;""'""))"),"#REF!")</f>
        <v>#REF!</v>
      </c>
    </row>
    <row r="380">
      <c r="A380" s="87" t="str">
        <f>IFERROR(__xludf.DUMMYFUNCTION("TRANSPOSE(QUERY('Cadastro VTR/SEÇÃO/MILITAR'!$E$3:$F2000,""SELECT F WHERE E LIKE '""&amp;'carga de materiais'!E381&amp;""'""))"),"#REF!")</f>
        <v>#REF!</v>
      </c>
    </row>
    <row r="381">
      <c r="A381" s="87" t="str">
        <f>IFERROR(__xludf.DUMMYFUNCTION("TRANSPOSE(QUERY('Cadastro VTR/SEÇÃO/MILITAR'!$E$3:$F2000,""SELECT F WHERE E LIKE '""&amp;'carga de materiais'!E382&amp;""'""))"),"#REF!")</f>
        <v>#REF!</v>
      </c>
    </row>
    <row r="382">
      <c r="A382" s="87" t="str">
        <f>IFERROR(__xludf.DUMMYFUNCTION("TRANSPOSE(QUERY('Cadastro VTR/SEÇÃO/MILITAR'!$E$3:$F2000,""SELECT F WHERE E LIKE '""&amp;'carga de materiais'!E383&amp;""'""))"),"#REF!")</f>
        <v>#REF!</v>
      </c>
    </row>
    <row r="383">
      <c r="A383" s="87" t="str">
        <f>IFERROR(__xludf.DUMMYFUNCTION("TRANSPOSE(QUERY('Cadastro VTR/SEÇÃO/MILITAR'!$E$3:$F2000,""SELECT F WHERE E LIKE '""&amp;'carga de materiais'!E384&amp;""'""))"),"#REF!")</f>
        <v>#REF!</v>
      </c>
    </row>
    <row r="384">
      <c r="A384" s="87" t="str">
        <f>IFERROR(__xludf.DUMMYFUNCTION("TRANSPOSE(QUERY('Cadastro VTR/SEÇÃO/MILITAR'!$E$3:$F2000,""SELECT F WHERE E LIKE '""&amp;'carga de materiais'!E385&amp;""'""))"),"#REF!")</f>
        <v>#REF!</v>
      </c>
    </row>
    <row r="385">
      <c r="A385" s="87" t="str">
        <f>IFERROR(__xludf.DUMMYFUNCTION("TRANSPOSE(QUERY('Cadastro VTR/SEÇÃO/MILITAR'!$E$3:$F2000,""SELECT F WHERE E LIKE '""&amp;'carga de materiais'!E386&amp;""'""))"),"#REF!")</f>
        <v>#REF!</v>
      </c>
    </row>
    <row r="386">
      <c r="A386" s="87" t="str">
        <f>IFERROR(__xludf.DUMMYFUNCTION("TRANSPOSE(QUERY('Cadastro VTR/SEÇÃO/MILITAR'!$E$3:$F2000,""SELECT F WHERE E LIKE '""&amp;'carga de materiais'!E387&amp;""'""))"),"#REF!")</f>
        <v>#REF!</v>
      </c>
    </row>
    <row r="387">
      <c r="A387" s="87" t="str">
        <f>IFERROR(__xludf.DUMMYFUNCTION("TRANSPOSE(QUERY('Cadastro VTR/SEÇÃO/MILITAR'!$E$3:$F2000,""SELECT F WHERE E LIKE '""&amp;'carga de materiais'!E388&amp;""'""))"),"#REF!")</f>
        <v>#REF!</v>
      </c>
    </row>
    <row r="388">
      <c r="A388" s="87" t="str">
        <f>IFERROR(__xludf.DUMMYFUNCTION("TRANSPOSE(QUERY('Cadastro VTR/SEÇÃO/MILITAR'!$E$3:$F2000,""SELECT F WHERE E LIKE '""&amp;'carga de materiais'!E389&amp;""'""))"),"#REF!")</f>
        <v>#REF!</v>
      </c>
    </row>
    <row r="389">
      <c r="A389" s="87" t="str">
        <f>IFERROR(__xludf.DUMMYFUNCTION("TRANSPOSE(QUERY('Cadastro VTR/SEÇÃO/MILITAR'!$E$3:$F2000,""SELECT F WHERE E LIKE '""&amp;'carga de materiais'!E390&amp;""'""))"),"#REF!")</f>
        <v>#REF!</v>
      </c>
    </row>
    <row r="390">
      <c r="A390" s="87" t="str">
        <f>IFERROR(__xludf.DUMMYFUNCTION("TRANSPOSE(QUERY('Cadastro VTR/SEÇÃO/MILITAR'!$E$3:$F2000,""SELECT F WHERE E LIKE '""&amp;'carga de materiais'!E391&amp;""'""))"),"#REF!")</f>
        <v>#REF!</v>
      </c>
    </row>
    <row r="391">
      <c r="A391" s="87" t="str">
        <f>IFERROR(__xludf.DUMMYFUNCTION("TRANSPOSE(QUERY('Cadastro VTR/SEÇÃO/MILITAR'!$E$3:$F2000,""SELECT F WHERE E LIKE '""&amp;'carga de materiais'!E392&amp;""'""))"),"#REF!")</f>
        <v>#REF!</v>
      </c>
    </row>
    <row r="392">
      <c r="A392" s="87" t="str">
        <f>IFERROR(__xludf.DUMMYFUNCTION("TRANSPOSE(QUERY('Cadastro VTR/SEÇÃO/MILITAR'!$E$3:$F2000,""SELECT F WHERE E LIKE '""&amp;'carga de materiais'!E393&amp;""'""))"),"#REF!")</f>
        <v>#REF!</v>
      </c>
    </row>
    <row r="393">
      <c r="A393" s="87" t="str">
        <f>IFERROR(__xludf.DUMMYFUNCTION("TRANSPOSE(QUERY('Cadastro VTR/SEÇÃO/MILITAR'!$E$3:$F2000,""SELECT F WHERE E LIKE '""&amp;'carga de materiais'!E394&amp;""'""))"),"#REF!")</f>
        <v>#REF!</v>
      </c>
    </row>
    <row r="394">
      <c r="A394" s="87" t="str">
        <f>IFERROR(__xludf.DUMMYFUNCTION("TRANSPOSE(QUERY('Cadastro VTR/SEÇÃO/MILITAR'!$E$3:$F2000,""SELECT F WHERE E LIKE '""&amp;'carga de materiais'!E395&amp;""'""))"),"#REF!")</f>
        <v>#REF!</v>
      </c>
    </row>
    <row r="395">
      <c r="A395" s="87" t="str">
        <f>IFERROR(__xludf.DUMMYFUNCTION("TRANSPOSE(QUERY('Cadastro VTR/SEÇÃO/MILITAR'!$E$3:$F2000,""SELECT F WHERE E LIKE '""&amp;'carga de materiais'!E396&amp;""'""))"),"#REF!")</f>
        <v>#REF!</v>
      </c>
    </row>
    <row r="396">
      <c r="A396" s="87" t="str">
        <f>IFERROR(__xludf.DUMMYFUNCTION("TRANSPOSE(QUERY('Cadastro VTR/SEÇÃO/MILITAR'!$E$3:$F2000,""SELECT F WHERE E LIKE '""&amp;'carga de materiais'!E397&amp;""'""))"),"#REF!")</f>
        <v>#REF!</v>
      </c>
    </row>
    <row r="397">
      <c r="A397" s="87" t="str">
        <f>IFERROR(__xludf.DUMMYFUNCTION("TRANSPOSE(QUERY('Cadastro VTR/SEÇÃO/MILITAR'!$E$3:$F2000,""SELECT F WHERE E LIKE '""&amp;'carga de materiais'!E398&amp;""'""))"),"#REF!")</f>
        <v>#REF!</v>
      </c>
    </row>
    <row r="398">
      <c r="A398" s="87" t="str">
        <f>IFERROR(__xludf.DUMMYFUNCTION("TRANSPOSE(QUERY('Cadastro VTR/SEÇÃO/MILITAR'!$E$3:$F2000,""SELECT F WHERE E LIKE '""&amp;'carga de materiais'!E399&amp;""'""))"),"#REF!")</f>
        <v>#REF!</v>
      </c>
    </row>
    <row r="399">
      <c r="A399" s="87" t="str">
        <f>IFERROR(__xludf.DUMMYFUNCTION("TRANSPOSE(QUERY('Cadastro VTR/SEÇÃO/MILITAR'!$E$3:$F2000,""SELECT F WHERE E LIKE '""&amp;'carga de materiais'!E400&amp;""'""))"),"#REF!")</f>
        <v>#REF!</v>
      </c>
    </row>
    <row r="400">
      <c r="A400" s="87" t="str">
        <f>IFERROR(__xludf.DUMMYFUNCTION("TRANSPOSE(QUERY('Cadastro VTR/SEÇÃO/MILITAR'!$E$3:$F2000,""SELECT F WHERE E LIKE '""&amp;'carga de materiais'!E401&amp;""'""))"),"#REF!")</f>
        <v>#REF!</v>
      </c>
    </row>
    <row r="401">
      <c r="A401" s="87" t="str">
        <f>IFERROR(__xludf.DUMMYFUNCTION("TRANSPOSE(QUERY('Cadastro VTR/SEÇÃO/MILITAR'!$E$3:$F2000,""SELECT F WHERE E LIKE '""&amp;'carga de materiais'!E402&amp;""'""))"),"#REF!")</f>
        <v>#REF!</v>
      </c>
    </row>
    <row r="402">
      <c r="A402" s="87" t="str">
        <f>IFERROR(__xludf.DUMMYFUNCTION("TRANSPOSE(QUERY('Cadastro VTR/SEÇÃO/MILITAR'!$E$3:$F2000,""SELECT F WHERE E LIKE '""&amp;'carga de materiais'!E403&amp;""'""))"),"#REF!")</f>
        <v>#REF!</v>
      </c>
    </row>
    <row r="403">
      <c r="A403" s="87" t="str">
        <f>IFERROR(__xludf.DUMMYFUNCTION("TRANSPOSE(QUERY('Cadastro VTR/SEÇÃO/MILITAR'!$E$3:$F2000,""SELECT F WHERE E LIKE '""&amp;'carga de materiais'!E404&amp;""'""))"),"#REF!")</f>
        <v>#REF!</v>
      </c>
    </row>
    <row r="404">
      <c r="A404" s="87" t="str">
        <f>IFERROR(__xludf.DUMMYFUNCTION("TRANSPOSE(QUERY('Cadastro VTR/SEÇÃO/MILITAR'!$E$3:$F2000,""SELECT F WHERE E LIKE '""&amp;'carga de materiais'!E405&amp;""'""))"),"#REF!")</f>
        <v>#REF!</v>
      </c>
    </row>
    <row r="405">
      <c r="A405" s="87" t="str">
        <f>IFERROR(__xludf.DUMMYFUNCTION("TRANSPOSE(QUERY('Cadastro VTR/SEÇÃO/MILITAR'!$E$3:$F2000,""SELECT F WHERE E LIKE '""&amp;'carga de materiais'!E406&amp;""'""))"),"#REF!")</f>
        <v>#REF!</v>
      </c>
    </row>
    <row r="406">
      <c r="A406" s="87" t="str">
        <f>IFERROR(__xludf.DUMMYFUNCTION("TRANSPOSE(QUERY('Cadastro VTR/SEÇÃO/MILITAR'!$E$3:$F2000,""SELECT F WHERE E LIKE '""&amp;'carga de materiais'!E407&amp;""'""))"),"#REF!")</f>
        <v>#REF!</v>
      </c>
    </row>
    <row r="407">
      <c r="A407" s="87" t="str">
        <f>IFERROR(__xludf.DUMMYFUNCTION("TRANSPOSE(QUERY('Cadastro VTR/SEÇÃO/MILITAR'!$E$3:$F2000,""SELECT F WHERE E LIKE '""&amp;'carga de materiais'!E408&amp;""'""))"),"#REF!")</f>
        <v>#REF!</v>
      </c>
    </row>
    <row r="408">
      <c r="A408" s="87" t="str">
        <f>IFERROR(__xludf.DUMMYFUNCTION("TRANSPOSE(QUERY('Cadastro VTR/SEÇÃO/MILITAR'!$E$3:$F2000,""SELECT F WHERE E LIKE '""&amp;'carga de materiais'!E409&amp;""'""))"),"#REF!")</f>
        <v>#REF!</v>
      </c>
    </row>
    <row r="409">
      <c r="A409" s="87" t="str">
        <f>IFERROR(__xludf.DUMMYFUNCTION("TRANSPOSE(QUERY('Cadastro VTR/SEÇÃO/MILITAR'!$E$3:$F2000,""SELECT F WHERE E LIKE '""&amp;'carga de materiais'!E410&amp;""'""))"),"#REF!")</f>
        <v>#REF!</v>
      </c>
    </row>
    <row r="410">
      <c r="A410" s="87" t="str">
        <f>IFERROR(__xludf.DUMMYFUNCTION("TRANSPOSE(QUERY('Cadastro VTR/SEÇÃO/MILITAR'!$E$3:$F2000,""SELECT F WHERE E LIKE '""&amp;'carga de materiais'!E411&amp;""'""))"),"#REF!")</f>
        <v>#REF!</v>
      </c>
    </row>
    <row r="411">
      <c r="A411" s="87" t="str">
        <f>IFERROR(__xludf.DUMMYFUNCTION("TRANSPOSE(QUERY('Cadastro VTR/SEÇÃO/MILITAR'!$E$3:$F2000,""SELECT F WHERE E LIKE '""&amp;'carga de materiais'!E412&amp;""'""))"),"#REF!")</f>
        <v>#REF!</v>
      </c>
    </row>
    <row r="412">
      <c r="A412" s="87" t="str">
        <f>IFERROR(__xludf.DUMMYFUNCTION("TRANSPOSE(QUERY('Cadastro VTR/SEÇÃO/MILITAR'!$E$3:$F2000,""SELECT F WHERE E LIKE '""&amp;'carga de materiais'!E413&amp;""'""))"),"#REF!")</f>
        <v>#REF!</v>
      </c>
    </row>
    <row r="413">
      <c r="A413" s="87" t="str">
        <f>IFERROR(__xludf.DUMMYFUNCTION("TRANSPOSE(QUERY('Cadastro VTR/SEÇÃO/MILITAR'!$E$3:$F2000,""SELECT F WHERE E LIKE '""&amp;'carga de materiais'!E414&amp;""'""))"),"#REF!")</f>
        <v>#REF!</v>
      </c>
    </row>
    <row r="414">
      <c r="A414" s="87" t="str">
        <f>IFERROR(__xludf.DUMMYFUNCTION("TRANSPOSE(QUERY('Cadastro VTR/SEÇÃO/MILITAR'!$E$3:$F2000,""SELECT F WHERE E LIKE '""&amp;'carga de materiais'!E415&amp;""'""))"),"#REF!")</f>
        <v>#REF!</v>
      </c>
    </row>
    <row r="415">
      <c r="A415" s="87" t="str">
        <f>IFERROR(__xludf.DUMMYFUNCTION("TRANSPOSE(QUERY('Cadastro VTR/SEÇÃO/MILITAR'!$E$3:$F2000,""SELECT F WHERE E LIKE '""&amp;'carga de materiais'!E416&amp;""'""))"),"#REF!")</f>
        <v>#REF!</v>
      </c>
    </row>
    <row r="416">
      <c r="A416" s="87" t="str">
        <f>IFERROR(__xludf.DUMMYFUNCTION("TRANSPOSE(QUERY('Cadastro VTR/SEÇÃO/MILITAR'!$E$3:$F2000,""SELECT F WHERE E LIKE '""&amp;'carga de materiais'!E417&amp;""'""))"),"#REF!")</f>
        <v>#REF!</v>
      </c>
    </row>
    <row r="417">
      <c r="A417" s="87" t="str">
        <f>IFERROR(__xludf.DUMMYFUNCTION("TRANSPOSE(QUERY('Cadastro VTR/SEÇÃO/MILITAR'!$E$3:$F2000,""SELECT F WHERE E LIKE '""&amp;'carga de materiais'!E418&amp;""'""))"),"#REF!")</f>
        <v>#REF!</v>
      </c>
    </row>
    <row r="418">
      <c r="A418" s="87" t="str">
        <f>IFERROR(__xludf.DUMMYFUNCTION("TRANSPOSE(QUERY('Cadastro VTR/SEÇÃO/MILITAR'!$E$3:$F2000,""SELECT F WHERE E LIKE '""&amp;'carga de materiais'!E419&amp;""'""))"),"#REF!")</f>
        <v>#REF!</v>
      </c>
    </row>
    <row r="419">
      <c r="A419" s="87" t="str">
        <f>IFERROR(__xludf.DUMMYFUNCTION("TRANSPOSE(QUERY('Cadastro VTR/SEÇÃO/MILITAR'!$E$3:$F2000,""SELECT F WHERE E LIKE '""&amp;'carga de materiais'!E420&amp;""'""))"),"#REF!")</f>
        <v>#REF!</v>
      </c>
    </row>
    <row r="420">
      <c r="A420" s="87" t="str">
        <f>IFERROR(__xludf.DUMMYFUNCTION("TRANSPOSE(QUERY('Cadastro VTR/SEÇÃO/MILITAR'!$E$3:$F2000,""SELECT F WHERE E LIKE '""&amp;'carga de materiais'!E421&amp;""'""))"),"#REF!")</f>
        <v>#REF!</v>
      </c>
    </row>
    <row r="421">
      <c r="A421" s="87" t="str">
        <f>IFERROR(__xludf.DUMMYFUNCTION("TRANSPOSE(QUERY('Cadastro VTR/SEÇÃO/MILITAR'!$E$3:$F2000,""SELECT F WHERE E LIKE '""&amp;'carga de materiais'!E422&amp;""'""))"),"#REF!")</f>
        <v>#REF!</v>
      </c>
    </row>
    <row r="422">
      <c r="A422" s="87" t="str">
        <f>IFERROR(__xludf.DUMMYFUNCTION("TRANSPOSE(QUERY('Cadastro VTR/SEÇÃO/MILITAR'!$E$3:$F2000,""SELECT F WHERE E LIKE '""&amp;'carga de materiais'!E423&amp;""'""))"),"#REF!")</f>
        <v>#REF!</v>
      </c>
    </row>
    <row r="423">
      <c r="A423" s="87" t="str">
        <f>IFERROR(__xludf.DUMMYFUNCTION("TRANSPOSE(QUERY('Cadastro VTR/SEÇÃO/MILITAR'!$E$3:$F2000,""SELECT F WHERE E LIKE '""&amp;'carga de materiais'!E424&amp;""'""))"),"#REF!")</f>
        <v>#REF!</v>
      </c>
    </row>
    <row r="424">
      <c r="A424" s="87" t="str">
        <f>IFERROR(__xludf.DUMMYFUNCTION("TRANSPOSE(QUERY('Cadastro VTR/SEÇÃO/MILITAR'!$E$3:$F2000,""SELECT F WHERE E LIKE '""&amp;'carga de materiais'!E425&amp;""'""))"),"#REF!")</f>
        <v>#REF!</v>
      </c>
    </row>
    <row r="425">
      <c r="A425" s="87" t="str">
        <f>IFERROR(__xludf.DUMMYFUNCTION("TRANSPOSE(QUERY('Cadastro VTR/SEÇÃO/MILITAR'!$E$3:$F2000,""SELECT F WHERE E LIKE '""&amp;'carga de materiais'!E426&amp;""'""))"),"#REF!")</f>
        <v>#REF!</v>
      </c>
    </row>
    <row r="426">
      <c r="A426" s="87" t="str">
        <f>IFERROR(__xludf.DUMMYFUNCTION("TRANSPOSE(QUERY('Cadastro VTR/SEÇÃO/MILITAR'!$E$3:$F2000,""SELECT F WHERE E LIKE '""&amp;'carga de materiais'!E427&amp;""'""))"),"#REF!")</f>
        <v>#REF!</v>
      </c>
    </row>
    <row r="427">
      <c r="A427" s="87" t="str">
        <f>IFERROR(__xludf.DUMMYFUNCTION("TRANSPOSE(QUERY('Cadastro VTR/SEÇÃO/MILITAR'!$E$3:$F2000,""SELECT F WHERE E LIKE '""&amp;'carga de materiais'!E428&amp;""'""))"),"#REF!")</f>
        <v>#REF!</v>
      </c>
    </row>
    <row r="428">
      <c r="A428" s="87" t="str">
        <f>IFERROR(__xludf.DUMMYFUNCTION("TRANSPOSE(QUERY('Cadastro VTR/SEÇÃO/MILITAR'!$E$3:$F2000,""SELECT F WHERE E LIKE '""&amp;'carga de materiais'!E429&amp;""'""))"),"#REF!")</f>
        <v>#REF!</v>
      </c>
    </row>
    <row r="429">
      <c r="A429" s="87" t="str">
        <f>IFERROR(__xludf.DUMMYFUNCTION("TRANSPOSE(QUERY('Cadastro VTR/SEÇÃO/MILITAR'!$E$3:$F2000,""SELECT F WHERE E LIKE '""&amp;'carga de materiais'!E430&amp;""'""))"),"#REF!")</f>
        <v>#REF!</v>
      </c>
    </row>
    <row r="430">
      <c r="A430" s="87" t="str">
        <f>IFERROR(__xludf.DUMMYFUNCTION("TRANSPOSE(QUERY('Cadastro VTR/SEÇÃO/MILITAR'!$E$3:$F2000,""SELECT F WHERE E LIKE '""&amp;'carga de materiais'!E431&amp;""'""))"),"#REF!")</f>
        <v>#REF!</v>
      </c>
    </row>
    <row r="431">
      <c r="A431" s="87" t="str">
        <f>IFERROR(__xludf.DUMMYFUNCTION("TRANSPOSE(QUERY('Cadastro VTR/SEÇÃO/MILITAR'!$E$3:$F2000,""SELECT F WHERE E LIKE '""&amp;'carga de materiais'!E432&amp;""'""))"),"#REF!")</f>
        <v>#REF!</v>
      </c>
    </row>
    <row r="432">
      <c r="A432" s="87" t="str">
        <f>IFERROR(__xludf.DUMMYFUNCTION("TRANSPOSE(QUERY('Cadastro VTR/SEÇÃO/MILITAR'!$E$3:$F2000,""SELECT F WHERE E LIKE '""&amp;'carga de materiais'!E433&amp;""'""))"),"#REF!")</f>
        <v>#REF!</v>
      </c>
    </row>
    <row r="433">
      <c r="A433" s="87" t="str">
        <f>IFERROR(__xludf.DUMMYFUNCTION("TRANSPOSE(QUERY('Cadastro VTR/SEÇÃO/MILITAR'!$E$3:$F2000,""SELECT F WHERE E LIKE '""&amp;'carga de materiais'!E434&amp;""'""))"),"#REF!")</f>
        <v>#REF!</v>
      </c>
    </row>
    <row r="434">
      <c r="A434" s="87" t="str">
        <f>IFERROR(__xludf.DUMMYFUNCTION("TRANSPOSE(QUERY('Cadastro VTR/SEÇÃO/MILITAR'!$E$3:$F2000,""SELECT F WHERE E LIKE '""&amp;'carga de materiais'!E435&amp;""'""))"),"#REF!")</f>
        <v>#REF!</v>
      </c>
    </row>
    <row r="435">
      <c r="A435" s="87" t="str">
        <f>IFERROR(__xludf.DUMMYFUNCTION("TRANSPOSE(QUERY('Cadastro VTR/SEÇÃO/MILITAR'!$E$3:$F2000,""SELECT F WHERE E LIKE '""&amp;'carga de materiais'!E436&amp;""'""))"),"#REF!")</f>
        <v>#REF!</v>
      </c>
    </row>
    <row r="436">
      <c r="A436" s="87" t="str">
        <f>IFERROR(__xludf.DUMMYFUNCTION("TRANSPOSE(QUERY('Cadastro VTR/SEÇÃO/MILITAR'!$E$3:$F2000,""SELECT F WHERE E LIKE '""&amp;'carga de materiais'!E437&amp;""'""))"),"#REF!")</f>
        <v>#REF!</v>
      </c>
    </row>
    <row r="437">
      <c r="A437" s="87" t="str">
        <f>IFERROR(__xludf.DUMMYFUNCTION("TRANSPOSE(QUERY('Cadastro VTR/SEÇÃO/MILITAR'!$E$3:$F2000,""SELECT F WHERE E LIKE '""&amp;'carga de materiais'!E438&amp;""'""))"),"#REF!")</f>
        <v>#REF!</v>
      </c>
    </row>
    <row r="438">
      <c r="A438" s="87" t="str">
        <f>IFERROR(__xludf.DUMMYFUNCTION("TRANSPOSE(QUERY('Cadastro VTR/SEÇÃO/MILITAR'!$E$3:$F2000,""SELECT F WHERE E LIKE '""&amp;'carga de materiais'!E439&amp;""'""))"),"#REF!")</f>
        <v>#REF!</v>
      </c>
    </row>
    <row r="439">
      <c r="A439" s="87" t="str">
        <f>IFERROR(__xludf.DUMMYFUNCTION("TRANSPOSE(QUERY('Cadastro VTR/SEÇÃO/MILITAR'!$E$3:$F2000,""SELECT F WHERE E LIKE '""&amp;'carga de materiais'!E440&amp;""'""))"),"#REF!")</f>
        <v>#REF!</v>
      </c>
    </row>
    <row r="440">
      <c r="A440" s="87" t="str">
        <f>IFERROR(__xludf.DUMMYFUNCTION("TRANSPOSE(QUERY('Cadastro VTR/SEÇÃO/MILITAR'!$E$3:$F2000,""SELECT F WHERE E LIKE '""&amp;'carga de materiais'!E441&amp;""'""))"),"#REF!")</f>
        <v>#REF!</v>
      </c>
    </row>
    <row r="441">
      <c r="A441" s="87" t="str">
        <f>IFERROR(__xludf.DUMMYFUNCTION("TRANSPOSE(QUERY('Cadastro VTR/SEÇÃO/MILITAR'!$E$3:$F2000,""SELECT F WHERE E LIKE '""&amp;'carga de materiais'!E442&amp;""'""))"),"#REF!")</f>
        <v>#REF!</v>
      </c>
    </row>
    <row r="442">
      <c r="A442" s="87" t="str">
        <f>IFERROR(__xludf.DUMMYFUNCTION("TRANSPOSE(QUERY('Cadastro VTR/SEÇÃO/MILITAR'!$E$3:$F2000,""SELECT F WHERE E LIKE '""&amp;'carga de materiais'!E443&amp;""'""))"),"#REF!")</f>
        <v>#REF!</v>
      </c>
    </row>
    <row r="443">
      <c r="A443" s="87" t="str">
        <f>IFERROR(__xludf.DUMMYFUNCTION("TRANSPOSE(QUERY('Cadastro VTR/SEÇÃO/MILITAR'!$E$3:$F2000,""SELECT F WHERE E LIKE '""&amp;'carga de materiais'!E444&amp;""'""))"),"#REF!")</f>
        <v>#REF!</v>
      </c>
    </row>
    <row r="444">
      <c r="A444" s="87" t="str">
        <f>IFERROR(__xludf.DUMMYFUNCTION("TRANSPOSE(QUERY('Cadastro VTR/SEÇÃO/MILITAR'!$E$3:$F2000,""SELECT F WHERE E LIKE '""&amp;'carga de materiais'!E445&amp;""'""))"),"#REF!")</f>
        <v>#REF!</v>
      </c>
    </row>
    <row r="445">
      <c r="A445" s="87" t="str">
        <f>IFERROR(__xludf.DUMMYFUNCTION("TRANSPOSE(QUERY('Cadastro VTR/SEÇÃO/MILITAR'!$E$3:$F2000,""SELECT F WHERE E LIKE '""&amp;'carga de materiais'!E446&amp;""'""))"),"#REF!")</f>
        <v>#REF!</v>
      </c>
    </row>
    <row r="446">
      <c r="A446" s="87" t="str">
        <f>IFERROR(__xludf.DUMMYFUNCTION("TRANSPOSE(QUERY('Cadastro VTR/SEÇÃO/MILITAR'!$E$3:$F2000,""SELECT F WHERE E LIKE '""&amp;'carga de materiais'!E447&amp;""'""))"),"#REF!")</f>
        <v>#REF!</v>
      </c>
    </row>
    <row r="447">
      <c r="A447" s="87" t="str">
        <f>IFERROR(__xludf.DUMMYFUNCTION("TRANSPOSE(QUERY('Cadastro VTR/SEÇÃO/MILITAR'!$E$3:$F2000,""SELECT F WHERE E LIKE '""&amp;'carga de materiais'!E448&amp;""'""))"),"#REF!")</f>
        <v>#REF!</v>
      </c>
    </row>
    <row r="448">
      <c r="A448" s="87" t="str">
        <f>IFERROR(__xludf.DUMMYFUNCTION("TRANSPOSE(QUERY('Cadastro VTR/SEÇÃO/MILITAR'!$E$3:$F2000,""SELECT F WHERE E LIKE '""&amp;'carga de materiais'!E449&amp;""'""))"),"#REF!")</f>
        <v>#REF!</v>
      </c>
    </row>
    <row r="449">
      <c r="A449" s="87" t="str">
        <f>IFERROR(__xludf.DUMMYFUNCTION("TRANSPOSE(QUERY('Cadastro VTR/SEÇÃO/MILITAR'!$E$3:$F2000,""SELECT F WHERE E LIKE '""&amp;'carga de materiais'!E450&amp;""'""))"),"#REF!")</f>
        <v>#REF!</v>
      </c>
    </row>
    <row r="450">
      <c r="A450" s="87" t="str">
        <f>IFERROR(__xludf.DUMMYFUNCTION("TRANSPOSE(QUERY('Cadastro VTR/SEÇÃO/MILITAR'!$E$3:$F2000,""SELECT F WHERE E LIKE '""&amp;'carga de materiais'!E451&amp;""'""))"),"#REF!")</f>
        <v>#REF!</v>
      </c>
    </row>
    <row r="451">
      <c r="A451" s="87" t="str">
        <f>IFERROR(__xludf.DUMMYFUNCTION("TRANSPOSE(QUERY('Cadastro VTR/SEÇÃO/MILITAR'!$E$3:$F2000,""SELECT F WHERE E LIKE '""&amp;'carga de materiais'!E452&amp;""'""))"),"#REF!")</f>
        <v>#REF!</v>
      </c>
    </row>
    <row r="452">
      <c r="A452" s="87" t="str">
        <f>IFERROR(__xludf.DUMMYFUNCTION("TRANSPOSE(QUERY('Cadastro VTR/SEÇÃO/MILITAR'!$E$3:$F2000,""SELECT F WHERE E LIKE '""&amp;'carga de materiais'!E453&amp;""'""))"),"#REF!")</f>
        <v>#REF!</v>
      </c>
    </row>
    <row r="453">
      <c r="A453" s="87" t="str">
        <f>IFERROR(__xludf.DUMMYFUNCTION("TRANSPOSE(QUERY('Cadastro VTR/SEÇÃO/MILITAR'!$E$3:$F2000,""SELECT F WHERE E LIKE '""&amp;'carga de materiais'!E454&amp;""'""))"),"#REF!")</f>
        <v>#REF!</v>
      </c>
    </row>
    <row r="454">
      <c r="A454" s="87" t="str">
        <f>IFERROR(__xludf.DUMMYFUNCTION("TRANSPOSE(QUERY('Cadastro VTR/SEÇÃO/MILITAR'!$E$3:$F2000,""SELECT F WHERE E LIKE '""&amp;'carga de materiais'!E455&amp;""'""))"),"#REF!")</f>
        <v>#REF!</v>
      </c>
    </row>
    <row r="455">
      <c r="A455" s="87" t="str">
        <f>IFERROR(__xludf.DUMMYFUNCTION("TRANSPOSE(QUERY('Cadastro VTR/SEÇÃO/MILITAR'!$E$3:$F2000,""SELECT F WHERE E LIKE '""&amp;'carga de materiais'!E456&amp;""'""))"),"#REF!")</f>
        <v>#REF!</v>
      </c>
    </row>
    <row r="456">
      <c r="A456" s="87" t="str">
        <f>IFERROR(__xludf.DUMMYFUNCTION("TRANSPOSE(QUERY('Cadastro VTR/SEÇÃO/MILITAR'!$E$3:$F2000,""SELECT F WHERE E LIKE '""&amp;'carga de materiais'!E457&amp;""'""))"),"#REF!")</f>
        <v>#REF!</v>
      </c>
    </row>
    <row r="457">
      <c r="A457" s="87" t="str">
        <f>IFERROR(__xludf.DUMMYFUNCTION("TRANSPOSE(QUERY('Cadastro VTR/SEÇÃO/MILITAR'!$E$3:$F2000,""SELECT F WHERE E LIKE '""&amp;'carga de materiais'!E458&amp;""'""))"),"#REF!")</f>
        <v>#REF!</v>
      </c>
    </row>
    <row r="458">
      <c r="A458" s="87" t="str">
        <f>IFERROR(__xludf.DUMMYFUNCTION("TRANSPOSE(QUERY('Cadastro VTR/SEÇÃO/MILITAR'!$E$3:$F2000,""SELECT F WHERE E LIKE '""&amp;'carga de materiais'!E459&amp;""'""))"),"#REF!")</f>
        <v>#REF!</v>
      </c>
    </row>
    <row r="459">
      <c r="A459" s="87" t="str">
        <f>IFERROR(__xludf.DUMMYFUNCTION("TRANSPOSE(QUERY('Cadastro VTR/SEÇÃO/MILITAR'!$E$3:$F2000,""SELECT F WHERE E LIKE '""&amp;'carga de materiais'!E460&amp;""'""))"),"#REF!")</f>
        <v>#REF!</v>
      </c>
    </row>
    <row r="460">
      <c r="A460" s="87" t="str">
        <f>IFERROR(__xludf.DUMMYFUNCTION("TRANSPOSE(QUERY('Cadastro VTR/SEÇÃO/MILITAR'!$E$3:$F2000,""SELECT F WHERE E LIKE '""&amp;'carga de materiais'!E461&amp;""'""))"),"#REF!")</f>
        <v>#REF!</v>
      </c>
    </row>
    <row r="461">
      <c r="A461" s="87" t="str">
        <f>IFERROR(__xludf.DUMMYFUNCTION("TRANSPOSE(QUERY('Cadastro VTR/SEÇÃO/MILITAR'!$E$3:$F2000,""SELECT F WHERE E LIKE '""&amp;'carga de materiais'!E462&amp;""'""))"),"#REF!")</f>
        <v>#REF!</v>
      </c>
    </row>
    <row r="462">
      <c r="A462" s="87" t="str">
        <f>IFERROR(__xludf.DUMMYFUNCTION("TRANSPOSE(QUERY('Cadastro VTR/SEÇÃO/MILITAR'!$E$3:$F2000,""SELECT F WHERE E LIKE '""&amp;'carga de materiais'!E463&amp;""'""))"),"#REF!")</f>
        <v>#REF!</v>
      </c>
    </row>
    <row r="463">
      <c r="A463" s="87" t="str">
        <f>IFERROR(__xludf.DUMMYFUNCTION("TRANSPOSE(QUERY('Cadastro VTR/SEÇÃO/MILITAR'!$E$3:$F2000,""SELECT F WHERE E LIKE '""&amp;'carga de materiais'!E464&amp;""'""))"),"#REF!")</f>
        <v>#REF!</v>
      </c>
    </row>
    <row r="464">
      <c r="A464" s="87" t="str">
        <f>IFERROR(__xludf.DUMMYFUNCTION("TRANSPOSE(QUERY('Cadastro VTR/SEÇÃO/MILITAR'!$E$3:$F2000,""SELECT F WHERE E LIKE '""&amp;'carga de materiais'!E465&amp;""'""))"),"#REF!")</f>
        <v>#REF!</v>
      </c>
    </row>
    <row r="465">
      <c r="A465" s="87" t="str">
        <f>IFERROR(__xludf.DUMMYFUNCTION("TRANSPOSE(QUERY('Cadastro VTR/SEÇÃO/MILITAR'!$E$3:$F2000,""SELECT F WHERE E LIKE '""&amp;'carga de materiais'!E466&amp;""'""))"),"#REF!")</f>
        <v>#REF!</v>
      </c>
    </row>
    <row r="466">
      <c r="A466" s="87" t="str">
        <f>IFERROR(__xludf.DUMMYFUNCTION("TRANSPOSE(QUERY('Cadastro VTR/SEÇÃO/MILITAR'!$E$3:$F2000,""SELECT F WHERE E LIKE '""&amp;'carga de materiais'!E467&amp;""'""))"),"#REF!")</f>
        <v>#REF!</v>
      </c>
    </row>
    <row r="467">
      <c r="A467" s="87" t="str">
        <f>IFERROR(__xludf.DUMMYFUNCTION("TRANSPOSE(QUERY('Cadastro VTR/SEÇÃO/MILITAR'!$E$3:$F2000,""SELECT F WHERE E LIKE '""&amp;'carga de materiais'!E468&amp;""'""))"),"#REF!")</f>
        <v>#REF!</v>
      </c>
    </row>
    <row r="468">
      <c r="A468" s="87" t="str">
        <f>IFERROR(__xludf.DUMMYFUNCTION("TRANSPOSE(QUERY('Cadastro VTR/SEÇÃO/MILITAR'!$E$3:$F2000,""SELECT F WHERE E LIKE '""&amp;'carga de materiais'!E469&amp;""'""))"),"#REF!")</f>
        <v>#REF!</v>
      </c>
    </row>
    <row r="469">
      <c r="A469" s="87" t="str">
        <f>IFERROR(__xludf.DUMMYFUNCTION("TRANSPOSE(QUERY('Cadastro VTR/SEÇÃO/MILITAR'!$E$3:$F2000,""SELECT F WHERE E LIKE '""&amp;'carga de materiais'!E470&amp;""'""))"),"#REF!")</f>
        <v>#REF!</v>
      </c>
    </row>
    <row r="470">
      <c r="A470" s="87" t="str">
        <f>IFERROR(__xludf.DUMMYFUNCTION("TRANSPOSE(QUERY('Cadastro VTR/SEÇÃO/MILITAR'!$E$3:$F2000,""SELECT F WHERE E LIKE '""&amp;'carga de materiais'!E471&amp;""'""))"),"#REF!")</f>
        <v>#REF!</v>
      </c>
    </row>
    <row r="471">
      <c r="A471" s="87" t="str">
        <f>IFERROR(__xludf.DUMMYFUNCTION("TRANSPOSE(QUERY('Cadastro VTR/SEÇÃO/MILITAR'!$E$3:$F2000,""SELECT F WHERE E LIKE '""&amp;'carga de materiais'!E472&amp;""'""))"),"#REF!")</f>
        <v>#REF!</v>
      </c>
    </row>
    <row r="472">
      <c r="A472" s="87" t="str">
        <f>IFERROR(__xludf.DUMMYFUNCTION("TRANSPOSE(QUERY('Cadastro VTR/SEÇÃO/MILITAR'!$E$3:$F2000,""SELECT F WHERE E LIKE '""&amp;'carga de materiais'!E473&amp;""'""))"),"#REF!")</f>
        <v>#REF!</v>
      </c>
    </row>
    <row r="473">
      <c r="A473" s="87" t="str">
        <f>IFERROR(__xludf.DUMMYFUNCTION("TRANSPOSE(QUERY('Cadastro VTR/SEÇÃO/MILITAR'!$E$3:$F2000,""SELECT F WHERE E LIKE '""&amp;'carga de materiais'!E474&amp;""'""))"),"#REF!")</f>
        <v>#REF!</v>
      </c>
    </row>
    <row r="474">
      <c r="A474" s="87" t="str">
        <f>IFERROR(__xludf.DUMMYFUNCTION("TRANSPOSE(QUERY('Cadastro VTR/SEÇÃO/MILITAR'!$E$3:$F2000,""SELECT F WHERE E LIKE '""&amp;'carga de materiais'!E475&amp;""'""))"),"#REF!")</f>
        <v>#REF!</v>
      </c>
    </row>
    <row r="475">
      <c r="A475" s="87" t="str">
        <f>IFERROR(__xludf.DUMMYFUNCTION("TRANSPOSE(QUERY('Cadastro VTR/SEÇÃO/MILITAR'!$E$3:$F2000,""SELECT F WHERE E LIKE '""&amp;'carga de materiais'!E476&amp;""'""))"),"#REF!")</f>
        <v>#REF!</v>
      </c>
    </row>
    <row r="476">
      <c r="A476" s="87" t="str">
        <f>IFERROR(__xludf.DUMMYFUNCTION("TRANSPOSE(QUERY('Cadastro VTR/SEÇÃO/MILITAR'!$E$3:$F2000,""SELECT F WHERE E LIKE '""&amp;'carga de materiais'!E477&amp;""'""))"),"#REF!")</f>
        <v>#REF!</v>
      </c>
    </row>
    <row r="477">
      <c r="A477" s="87" t="str">
        <f>IFERROR(__xludf.DUMMYFUNCTION("TRANSPOSE(QUERY('Cadastro VTR/SEÇÃO/MILITAR'!$E$3:$F2000,""SELECT F WHERE E LIKE '""&amp;'carga de materiais'!E478&amp;""'""))"),"#REF!")</f>
        <v>#REF!</v>
      </c>
    </row>
    <row r="478">
      <c r="A478" s="87" t="str">
        <f>IFERROR(__xludf.DUMMYFUNCTION("TRANSPOSE(QUERY('Cadastro VTR/SEÇÃO/MILITAR'!$E$3:$F2000,""SELECT F WHERE E LIKE '""&amp;'carga de materiais'!E479&amp;""'""))"),"#REF!")</f>
        <v>#REF!</v>
      </c>
    </row>
    <row r="479">
      <c r="A479" s="87" t="str">
        <f>IFERROR(__xludf.DUMMYFUNCTION("TRANSPOSE(QUERY('Cadastro VTR/SEÇÃO/MILITAR'!$E$3:$F2000,""SELECT F WHERE E LIKE '""&amp;'carga de materiais'!E480&amp;""'""))"),"#REF!")</f>
        <v>#REF!</v>
      </c>
    </row>
    <row r="480">
      <c r="A480" s="87" t="str">
        <f>IFERROR(__xludf.DUMMYFUNCTION("TRANSPOSE(QUERY('Cadastro VTR/SEÇÃO/MILITAR'!$E$3:$F2000,""SELECT F WHERE E LIKE '""&amp;'carga de materiais'!E481&amp;""'""))"),"#REF!")</f>
        <v>#REF!</v>
      </c>
    </row>
    <row r="481">
      <c r="A481" s="87" t="str">
        <f>IFERROR(__xludf.DUMMYFUNCTION("TRANSPOSE(QUERY('Cadastro VTR/SEÇÃO/MILITAR'!$E$3:$F2000,""SELECT F WHERE E LIKE '""&amp;'carga de materiais'!E482&amp;""'""))"),"#REF!")</f>
        <v>#REF!</v>
      </c>
    </row>
    <row r="482">
      <c r="A482" s="87" t="str">
        <f>IFERROR(__xludf.DUMMYFUNCTION("TRANSPOSE(QUERY('Cadastro VTR/SEÇÃO/MILITAR'!$E$3:$F2000,""SELECT F WHERE E LIKE '""&amp;'carga de materiais'!E483&amp;""'""))"),"#REF!")</f>
        <v>#REF!</v>
      </c>
    </row>
    <row r="483">
      <c r="A483" s="87" t="str">
        <f>IFERROR(__xludf.DUMMYFUNCTION("TRANSPOSE(QUERY('Cadastro VTR/SEÇÃO/MILITAR'!$E$3:$F2000,""SELECT F WHERE E LIKE '""&amp;'carga de materiais'!E484&amp;""'""))"),"#REF!")</f>
        <v>#REF!</v>
      </c>
    </row>
    <row r="484">
      <c r="A484" s="87" t="str">
        <f>IFERROR(__xludf.DUMMYFUNCTION("TRANSPOSE(QUERY('Cadastro VTR/SEÇÃO/MILITAR'!$E$3:$F2000,""SELECT F WHERE E LIKE '""&amp;'carga de materiais'!E485&amp;""'""))"),"#REF!")</f>
        <v>#REF!</v>
      </c>
    </row>
    <row r="485">
      <c r="A485" s="87" t="str">
        <f>IFERROR(__xludf.DUMMYFUNCTION("TRANSPOSE(QUERY('Cadastro VTR/SEÇÃO/MILITAR'!$E$3:$F2000,""SELECT F WHERE E LIKE '""&amp;'carga de materiais'!E486&amp;""'""))"),"#REF!")</f>
        <v>#REF!</v>
      </c>
    </row>
    <row r="486">
      <c r="A486" s="87" t="str">
        <f>IFERROR(__xludf.DUMMYFUNCTION("TRANSPOSE(QUERY('Cadastro VTR/SEÇÃO/MILITAR'!$E$3:$F2000,""SELECT F WHERE E LIKE '""&amp;'carga de materiais'!E487&amp;""'""))"),"#REF!")</f>
        <v>#REF!</v>
      </c>
    </row>
    <row r="487">
      <c r="A487" s="87" t="str">
        <f>IFERROR(__xludf.DUMMYFUNCTION("TRANSPOSE(QUERY('Cadastro VTR/SEÇÃO/MILITAR'!$E$3:$F2000,""SELECT F WHERE E LIKE '""&amp;'carga de materiais'!E488&amp;""'""))"),"#REF!")</f>
        <v>#REF!</v>
      </c>
    </row>
    <row r="488">
      <c r="A488" s="87" t="str">
        <f>IFERROR(__xludf.DUMMYFUNCTION("TRANSPOSE(QUERY('Cadastro VTR/SEÇÃO/MILITAR'!$E$3:$F2000,""SELECT F WHERE E LIKE '""&amp;'carga de materiais'!E489&amp;""'""))"),"#REF!")</f>
        <v>#REF!</v>
      </c>
    </row>
    <row r="489">
      <c r="A489" s="87" t="str">
        <f>IFERROR(__xludf.DUMMYFUNCTION("TRANSPOSE(QUERY('Cadastro VTR/SEÇÃO/MILITAR'!$E$3:$F2000,""SELECT F WHERE E LIKE '""&amp;'carga de materiais'!E490&amp;""'""))"),"#REF!")</f>
        <v>#REF!</v>
      </c>
    </row>
    <row r="490">
      <c r="A490" s="87" t="str">
        <f>IFERROR(__xludf.DUMMYFUNCTION("TRANSPOSE(QUERY('Cadastro VTR/SEÇÃO/MILITAR'!$E$3:$F2000,""SELECT F WHERE E LIKE '""&amp;'carga de materiais'!E491&amp;""'""))"),"#REF!")</f>
        <v>#REF!</v>
      </c>
    </row>
    <row r="491">
      <c r="A491" s="87" t="str">
        <f>IFERROR(__xludf.DUMMYFUNCTION("TRANSPOSE(QUERY('Cadastro VTR/SEÇÃO/MILITAR'!$E$3:$F2000,""SELECT F WHERE E LIKE '""&amp;'carga de materiais'!E492&amp;""'""))"),"#REF!")</f>
        <v>#REF!</v>
      </c>
    </row>
    <row r="492">
      <c r="A492" s="87" t="str">
        <f>IFERROR(__xludf.DUMMYFUNCTION("TRANSPOSE(QUERY('Cadastro VTR/SEÇÃO/MILITAR'!$E$3:$F2000,""SELECT F WHERE E LIKE '""&amp;'carga de materiais'!E493&amp;""'""))"),"#REF!")</f>
        <v>#REF!</v>
      </c>
    </row>
    <row r="493">
      <c r="A493" s="87" t="str">
        <f>IFERROR(__xludf.DUMMYFUNCTION("TRANSPOSE(QUERY('Cadastro VTR/SEÇÃO/MILITAR'!$E$3:$F2000,""SELECT F WHERE E LIKE '""&amp;'carga de materiais'!E494&amp;""'""))"),"#REF!")</f>
        <v>#REF!</v>
      </c>
    </row>
    <row r="494">
      <c r="A494" s="87" t="str">
        <f>IFERROR(__xludf.DUMMYFUNCTION("TRANSPOSE(QUERY('Cadastro VTR/SEÇÃO/MILITAR'!$E$3:$F2000,""SELECT F WHERE E LIKE '""&amp;'carga de materiais'!E495&amp;""'""))"),"#REF!")</f>
        <v>#REF!</v>
      </c>
    </row>
    <row r="495">
      <c r="A495" s="87" t="str">
        <f>IFERROR(__xludf.DUMMYFUNCTION("TRANSPOSE(QUERY('Cadastro VTR/SEÇÃO/MILITAR'!$E$3:$F2000,""SELECT F WHERE E LIKE '""&amp;'carga de materiais'!E496&amp;""'""))"),"#REF!")</f>
        <v>#REF!</v>
      </c>
    </row>
    <row r="496">
      <c r="A496" s="87" t="str">
        <f>IFERROR(__xludf.DUMMYFUNCTION("TRANSPOSE(QUERY('Cadastro VTR/SEÇÃO/MILITAR'!$E$3:$F2000,""SELECT F WHERE E LIKE '""&amp;'carga de materiais'!E497&amp;""'""))"),"#REF!")</f>
        <v>#REF!</v>
      </c>
    </row>
    <row r="497">
      <c r="A497" s="87" t="str">
        <f>IFERROR(__xludf.DUMMYFUNCTION("TRANSPOSE(QUERY('Cadastro VTR/SEÇÃO/MILITAR'!$E$3:$F2000,""SELECT F WHERE E LIKE '""&amp;'carga de materiais'!E498&amp;""'""))"),"#REF!")</f>
        <v>#REF!</v>
      </c>
    </row>
    <row r="498">
      <c r="A498" s="87" t="str">
        <f>IFERROR(__xludf.DUMMYFUNCTION("TRANSPOSE(QUERY('Cadastro VTR/SEÇÃO/MILITAR'!$E$3:$F2000,""SELECT F WHERE E LIKE '""&amp;'carga de materiais'!E499&amp;""'""))"),"#REF!")</f>
        <v>#REF!</v>
      </c>
    </row>
    <row r="499">
      <c r="A499" s="87" t="str">
        <f>IFERROR(__xludf.DUMMYFUNCTION("TRANSPOSE(QUERY('Cadastro VTR/SEÇÃO/MILITAR'!$E$3:$F2000,""SELECT F WHERE E LIKE '""&amp;'carga de materiais'!E500&amp;""'""))"),"#REF!")</f>
        <v>#REF!</v>
      </c>
    </row>
    <row r="500">
      <c r="A500" s="87" t="str">
        <f>IFERROR(__xludf.DUMMYFUNCTION("TRANSPOSE(QUERY('Cadastro VTR/SEÇÃO/MILITAR'!$E$3:$F2000,""SELECT F WHERE E LIKE '""&amp;'carga de materiais'!E501&amp;""'""))"),"#REF!")</f>
        <v>#REF!</v>
      </c>
    </row>
    <row r="501">
      <c r="A501" s="87" t="str">
        <f>IFERROR(__xludf.DUMMYFUNCTION("TRANSPOSE(QUERY('Cadastro VTR/SEÇÃO/MILITAR'!$E$3:$F2000,""SELECT F WHERE E LIKE '""&amp;'carga de materiais'!E502&amp;""'""))"),"#REF!")</f>
        <v>#REF!</v>
      </c>
    </row>
    <row r="502">
      <c r="A502" s="87" t="str">
        <f>IFERROR(__xludf.DUMMYFUNCTION("TRANSPOSE(QUERY('Cadastro VTR/SEÇÃO/MILITAR'!$E$3:$F2000,""SELECT F WHERE E LIKE '""&amp;'carga de materiais'!E503&amp;""'""))"),"#REF!")</f>
        <v>#REF!</v>
      </c>
    </row>
    <row r="503">
      <c r="A503" s="87" t="str">
        <f>IFERROR(__xludf.DUMMYFUNCTION("TRANSPOSE(QUERY('Cadastro VTR/SEÇÃO/MILITAR'!$E$3:$F2000,""SELECT F WHERE E LIKE '""&amp;'carga de materiais'!E504&amp;""'""))"),"#REF!")</f>
        <v>#REF!</v>
      </c>
    </row>
    <row r="504">
      <c r="A504" s="87" t="str">
        <f>IFERROR(__xludf.DUMMYFUNCTION("TRANSPOSE(QUERY('Cadastro VTR/SEÇÃO/MILITAR'!$E$3:$F2000,""SELECT F WHERE E LIKE '""&amp;'carga de materiais'!E505&amp;""'""))"),"#REF!")</f>
        <v>#REF!</v>
      </c>
    </row>
    <row r="505">
      <c r="A505" s="87" t="str">
        <f>IFERROR(__xludf.DUMMYFUNCTION("TRANSPOSE(QUERY('Cadastro VTR/SEÇÃO/MILITAR'!$E$3:$F2000,""SELECT F WHERE E LIKE '""&amp;'carga de materiais'!E506&amp;""'""))"),"#REF!")</f>
        <v>#REF!</v>
      </c>
    </row>
    <row r="506">
      <c r="A506" s="87" t="str">
        <f>IFERROR(__xludf.DUMMYFUNCTION("TRANSPOSE(QUERY('Cadastro VTR/SEÇÃO/MILITAR'!$E$3:$F2000,""SELECT F WHERE E LIKE '""&amp;'carga de materiais'!E507&amp;""'""))"),"#REF!")</f>
        <v>#REF!</v>
      </c>
    </row>
    <row r="507">
      <c r="A507" s="87" t="str">
        <f>IFERROR(__xludf.DUMMYFUNCTION("TRANSPOSE(QUERY('Cadastro VTR/SEÇÃO/MILITAR'!$E$3:$F2000,""SELECT F WHERE E LIKE '""&amp;'carga de materiais'!E508&amp;""'""))"),"#REF!")</f>
        <v>#REF!</v>
      </c>
    </row>
    <row r="508">
      <c r="A508" s="87" t="str">
        <f>IFERROR(__xludf.DUMMYFUNCTION("TRANSPOSE(QUERY('Cadastro VTR/SEÇÃO/MILITAR'!$E$3:$F2000,""SELECT F WHERE E LIKE '""&amp;'carga de materiais'!E509&amp;""'""))"),"#REF!")</f>
        <v>#REF!</v>
      </c>
    </row>
    <row r="509">
      <c r="A509" s="87" t="str">
        <f>IFERROR(__xludf.DUMMYFUNCTION("TRANSPOSE(QUERY('Cadastro VTR/SEÇÃO/MILITAR'!$E$3:$F2000,""SELECT F WHERE E LIKE '""&amp;'carga de materiais'!E510&amp;""'""))"),"#REF!")</f>
        <v>#REF!</v>
      </c>
    </row>
    <row r="510">
      <c r="A510" s="87" t="str">
        <f>IFERROR(__xludf.DUMMYFUNCTION("TRANSPOSE(QUERY('Cadastro VTR/SEÇÃO/MILITAR'!$E$3:$F2000,""SELECT F WHERE E LIKE '""&amp;'carga de materiais'!E511&amp;""'""))"),"#REF!")</f>
        <v>#REF!</v>
      </c>
    </row>
    <row r="511">
      <c r="A511" s="87" t="str">
        <f>IFERROR(__xludf.DUMMYFUNCTION("TRANSPOSE(QUERY('Cadastro VTR/SEÇÃO/MILITAR'!$E$3:$F2000,""SELECT F WHERE E LIKE '""&amp;'carga de materiais'!E512&amp;""'""))"),"#REF!")</f>
        <v>#REF!</v>
      </c>
    </row>
    <row r="512">
      <c r="A512" s="87" t="str">
        <f>IFERROR(__xludf.DUMMYFUNCTION("TRANSPOSE(QUERY('Cadastro VTR/SEÇÃO/MILITAR'!$E$3:$F2000,""SELECT F WHERE E LIKE '""&amp;'carga de materiais'!E513&amp;""'""))"),"#REF!")</f>
        <v>#REF!</v>
      </c>
    </row>
    <row r="513">
      <c r="A513" s="87" t="str">
        <f>IFERROR(__xludf.DUMMYFUNCTION("TRANSPOSE(QUERY('Cadastro VTR/SEÇÃO/MILITAR'!$E$3:$F2000,""SELECT F WHERE E LIKE '""&amp;'carga de materiais'!E514&amp;""'""))"),"#REF!")</f>
        <v>#REF!</v>
      </c>
    </row>
    <row r="514">
      <c r="A514" s="87" t="str">
        <f>IFERROR(__xludf.DUMMYFUNCTION("TRANSPOSE(QUERY('Cadastro VTR/SEÇÃO/MILITAR'!$E$3:$F2000,""SELECT F WHERE E LIKE '""&amp;'carga de materiais'!E515&amp;""'""))"),"#REF!")</f>
        <v>#REF!</v>
      </c>
    </row>
    <row r="515">
      <c r="A515" s="87" t="str">
        <f>IFERROR(__xludf.DUMMYFUNCTION("TRANSPOSE(QUERY('Cadastro VTR/SEÇÃO/MILITAR'!$E$3:$F2000,""SELECT F WHERE E LIKE '""&amp;'carga de materiais'!E516&amp;""'""))"),"#REF!")</f>
        <v>#REF!</v>
      </c>
    </row>
    <row r="516">
      <c r="A516" s="87" t="str">
        <f>IFERROR(__xludf.DUMMYFUNCTION("TRANSPOSE(QUERY('Cadastro VTR/SEÇÃO/MILITAR'!$E$3:$F2000,""SELECT F WHERE E LIKE '""&amp;'carga de materiais'!E517&amp;""'""))"),"#REF!")</f>
        <v>#REF!</v>
      </c>
    </row>
    <row r="517">
      <c r="A517" s="87" t="str">
        <f>IFERROR(__xludf.DUMMYFUNCTION("TRANSPOSE(QUERY('Cadastro VTR/SEÇÃO/MILITAR'!$E$3:$F2000,""SELECT F WHERE E LIKE '""&amp;'carga de materiais'!E518&amp;""'""))"),"#REF!")</f>
        <v>#REF!</v>
      </c>
    </row>
    <row r="518">
      <c r="A518" s="87" t="str">
        <f>IFERROR(__xludf.DUMMYFUNCTION("TRANSPOSE(QUERY('Cadastro VTR/SEÇÃO/MILITAR'!$E$3:$F2000,""SELECT F WHERE E LIKE '""&amp;'carga de materiais'!E519&amp;""'""))"),"#REF!")</f>
        <v>#REF!</v>
      </c>
    </row>
    <row r="519">
      <c r="A519" s="87" t="str">
        <f>IFERROR(__xludf.DUMMYFUNCTION("TRANSPOSE(QUERY('Cadastro VTR/SEÇÃO/MILITAR'!$E$3:$F2000,""SELECT F WHERE E LIKE '""&amp;'carga de materiais'!E520&amp;""'""))"),"#REF!")</f>
        <v>#REF!</v>
      </c>
    </row>
    <row r="520">
      <c r="A520" s="87" t="str">
        <f>IFERROR(__xludf.DUMMYFUNCTION("TRANSPOSE(QUERY('Cadastro VTR/SEÇÃO/MILITAR'!$E$3:$F2000,""SELECT F WHERE E LIKE '""&amp;'carga de materiais'!E521&amp;""'""))"),"#REF!")</f>
        <v>#REF!</v>
      </c>
    </row>
    <row r="521">
      <c r="A521" s="87" t="str">
        <f>IFERROR(__xludf.DUMMYFUNCTION("TRANSPOSE(QUERY('Cadastro VTR/SEÇÃO/MILITAR'!$E$3:$F2000,""SELECT F WHERE E LIKE '""&amp;'carga de materiais'!E522&amp;""'""))"),"#REF!")</f>
        <v>#REF!</v>
      </c>
    </row>
    <row r="522">
      <c r="A522" s="87" t="str">
        <f>IFERROR(__xludf.DUMMYFUNCTION("TRANSPOSE(QUERY('Cadastro VTR/SEÇÃO/MILITAR'!$E$3:$F2000,""SELECT F WHERE E LIKE '""&amp;'carga de materiais'!E523&amp;""'""))"),"#REF!")</f>
        <v>#REF!</v>
      </c>
    </row>
    <row r="523">
      <c r="A523" s="87" t="str">
        <f>IFERROR(__xludf.DUMMYFUNCTION("TRANSPOSE(QUERY('Cadastro VTR/SEÇÃO/MILITAR'!$E$3:$F2000,""SELECT F WHERE E LIKE '""&amp;'carga de materiais'!E524&amp;""'""))"),"#REF!")</f>
        <v>#REF!</v>
      </c>
    </row>
    <row r="524">
      <c r="A524" s="87" t="str">
        <f>IFERROR(__xludf.DUMMYFUNCTION("TRANSPOSE(QUERY('Cadastro VTR/SEÇÃO/MILITAR'!$E$3:$F2000,""SELECT F WHERE E LIKE '""&amp;'carga de materiais'!E525&amp;""'""))"),"#REF!")</f>
        <v>#REF!</v>
      </c>
    </row>
    <row r="525">
      <c r="A525" s="87" t="str">
        <f>IFERROR(__xludf.DUMMYFUNCTION("TRANSPOSE(QUERY('Cadastro VTR/SEÇÃO/MILITAR'!$E$3:$F2000,""SELECT F WHERE E LIKE '""&amp;'carga de materiais'!E526&amp;""'""))"),"#REF!")</f>
        <v>#REF!</v>
      </c>
    </row>
    <row r="526">
      <c r="A526" s="87" t="str">
        <f>IFERROR(__xludf.DUMMYFUNCTION("TRANSPOSE(QUERY('Cadastro VTR/SEÇÃO/MILITAR'!$E$3:$F2000,""SELECT F WHERE E LIKE '""&amp;'carga de materiais'!E527&amp;""'""))"),"#REF!")</f>
        <v>#REF!</v>
      </c>
    </row>
    <row r="527">
      <c r="A527" s="87" t="str">
        <f>IFERROR(__xludf.DUMMYFUNCTION("TRANSPOSE(QUERY('Cadastro VTR/SEÇÃO/MILITAR'!$E$3:$F2000,""SELECT F WHERE E LIKE '""&amp;'carga de materiais'!E528&amp;""'""))"),"#REF!")</f>
        <v>#REF!</v>
      </c>
    </row>
    <row r="528">
      <c r="A528" s="87" t="str">
        <f>IFERROR(__xludf.DUMMYFUNCTION("TRANSPOSE(QUERY('Cadastro VTR/SEÇÃO/MILITAR'!$E$3:$F2000,""SELECT F WHERE E LIKE '""&amp;'carga de materiais'!E529&amp;""'""))"),"#REF!")</f>
        <v>#REF!</v>
      </c>
    </row>
    <row r="529">
      <c r="A529" s="87" t="str">
        <f>IFERROR(__xludf.DUMMYFUNCTION("TRANSPOSE(QUERY('Cadastro VTR/SEÇÃO/MILITAR'!$E$3:$F2000,""SELECT F WHERE E LIKE '""&amp;'carga de materiais'!E530&amp;""'""))"),"#REF!")</f>
        <v>#REF!</v>
      </c>
    </row>
    <row r="530">
      <c r="A530" s="87" t="str">
        <f>IFERROR(__xludf.DUMMYFUNCTION("TRANSPOSE(QUERY('Cadastro VTR/SEÇÃO/MILITAR'!$E$3:$F2000,""SELECT F WHERE E LIKE '""&amp;'carga de materiais'!E531&amp;""'""))"),"#REF!")</f>
        <v>#REF!</v>
      </c>
    </row>
    <row r="531">
      <c r="A531" s="87" t="str">
        <f>IFERROR(__xludf.DUMMYFUNCTION("TRANSPOSE(QUERY('Cadastro VTR/SEÇÃO/MILITAR'!$E$3:$F2000,""SELECT F WHERE E LIKE '""&amp;'carga de materiais'!E532&amp;""'""))"),"#REF!")</f>
        <v>#REF!</v>
      </c>
    </row>
    <row r="532">
      <c r="A532" s="87" t="str">
        <f>IFERROR(__xludf.DUMMYFUNCTION("TRANSPOSE(QUERY('Cadastro VTR/SEÇÃO/MILITAR'!$E$3:$F2000,""SELECT F WHERE E LIKE '""&amp;'carga de materiais'!E533&amp;""'""))"),"#REF!")</f>
        <v>#REF!</v>
      </c>
    </row>
    <row r="533">
      <c r="A533" s="87" t="str">
        <f>IFERROR(__xludf.DUMMYFUNCTION("TRANSPOSE(QUERY('Cadastro VTR/SEÇÃO/MILITAR'!$E$3:$F2000,""SELECT F WHERE E LIKE '""&amp;'carga de materiais'!E534&amp;""'""))"),"#REF!")</f>
        <v>#REF!</v>
      </c>
    </row>
    <row r="534">
      <c r="A534" s="87" t="str">
        <f>IFERROR(__xludf.DUMMYFUNCTION("TRANSPOSE(QUERY('Cadastro VTR/SEÇÃO/MILITAR'!$E$3:$F2000,""SELECT F WHERE E LIKE '""&amp;'carga de materiais'!E535&amp;""'""))"),"#REF!")</f>
        <v>#REF!</v>
      </c>
    </row>
    <row r="535">
      <c r="A535" s="87" t="str">
        <f>IFERROR(__xludf.DUMMYFUNCTION("TRANSPOSE(QUERY('Cadastro VTR/SEÇÃO/MILITAR'!$E$3:$F2000,""SELECT F WHERE E LIKE '""&amp;'carga de materiais'!E536&amp;""'""))"),"#REF!")</f>
        <v>#REF!</v>
      </c>
    </row>
    <row r="536">
      <c r="A536" s="87" t="str">
        <f>IFERROR(__xludf.DUMMYFUNCTION("TRANSPOSE(QUERY('Cadastro VTR/SEÇÃO/MILITAR'!$E$3:$F2000,""SELECT F WHERE E LIKE '""&amp;'carga de materiais'!E537&amp;""'""))"),"#REF!")</f>
        <v>#REF!</v>
      </c>
    </row>
    <row r="537">
      <c r="A537" s="87" t="str">
        <f>IFERROR(__xludf.DUMMYFUNCTION("TRANSPOSE(QUERY('Cadastro VTR/SEÇÃO/MILITAR'!$E$3:$F2000,""SELECT F WHERE E LIKE '""&amp;'carga de materiais'!E538&amp;""'""))"),"#REF!")</f>
        <v>#REF!</v>
      </c>
    </row>
    <row r="538">
      <c r="A538" s="87" t="str">
        <f>IFERROR(__xludf.DUMMYFUNCTION("TRANSPOSE(QUERY('Cadastro VTR/SEÇÃO/MILITAR'!$E$3:$F2000,""SELECT F WHERE E LIKE '""&amp;'carga de materiais'!E539&amp;""'""))"),"#REF!")</f>
        <v>#REF!</v>
      </c>
    </row>
    <row r="539">
      <c r="A539" s="87" t="str">
        <f>IFERROR(__xludf.DUMMYFUNCTION("TRANSPOSE(QUERY('Cadastro VTR/SEÇÃO/MILITAR'!$E$3:$F2000,""SELECT F WHERE E LIKE '""&amp;'carga de materiais'!E540&amp;""'""))"),"#REF!")</f>
        <v>#REF!</v>
      </c>
    </row>
    <row r="540">
      <c r="A540" s="87" t="str">
        <f>IFERROR(__xludf.DUMMYFUNCTION("TRANSPOSE(QUERY('Cadastro VTR/SEÇÃO/MILITAR'!$E$3:$F2000,""SELECT F WHERE E LIKE '""&amp;'carga de materiais'!E541&amp;""'""))"),"#REF!")</f>
        <v>#REF!</v>
      </c>
    </row>
    <row r="541">
      <c r="A541" s="87" t="str">
        <f>IFERROR(__xludf.DUMMYFUNCTION("TRANSPOSE(QUERY('Cadastro VTR/SEÇÃO/MILITAR'!$E$3:$F2000,""SELECT F WHERE E LIKE '""&amp;'carga de materiais'!E542&amp;""'""))"),"#REF!")</f>
        <v>#REF!</v>
      </c>
    </row>
    <row r="542">
      <c r="A542" s="87" t="str">
        <f>IFERROR(__xludf.DUMMYFUNCTION("TRANSPOSE(QUERY('Cadastro VTR/SEÇÃO/MILITAR'!$E$3:$F2000,""SELECT F WHERE E LIKE '""&amp;'carga de materiais'!E543&amp;""'""))"),"#REF!")</f>
        <v>#REF!</v>
      </c>
    </row>
    <row r="543">
      <c r="A543" s="87" t="str">
        <f>IFERROR(__xludf.DUMMYFUNCTION("TRANSPOSE(QUERY('Cadastro VTR/SEÇÃO/MILITAR'!$E$3:$F2000,""SELECT F WHERE E LIKE '""&amp;'carga de materiais'!E544&amp;""'""))"),"#REF!")</f>
        <v>#REF!</v>
      </c>
    </row>
    <row r="544">
      <c r="A544" s="87" t="str">
        <f>IFERROR(__xludf.DUMMYFUNCTION("TRANSPOSE(QUERY('Cadastro VTR/SEÇÃO/MILITAR'!$E$3:$F2000,""SELECT F WHERE E LIKE '""&amp;'carga de materiais'!E545&amp;""'""))"),"#REF!")</f>
        <v>#REF!</v>
      </c>
    </row>
    <row r="545">
      <c r="A545" s="87" t="str">
        <f>IFERROR(__xludf.DUMMYFUNCTION("TRANSPOSE(QUERY('Cadastro VTR/SEÇÃO/MILITAR'!$E$3:$F2000,""SELECT F WHERE E LIKE '""&amp;'carga de materiais'!E546&amp;""'""))"),"#REF!")</f>
        <v>#REF!</v>
      </c>
    </row>
    <row r="546">
      <c r="A546" s="87" t="str">
        <f>IFERROR(__xludf.DUMMYFUNCTION("TRANSPOSE(QUERY('Cadastro VTR/SEÇÃO/MILITAR'!$E$3:$F2000,""SELECT F WHERE E LIKE '""&amp;'carga de materiais'!E547&amp;""'""))"),"#REF!")</f>
        <v>#REF!</v>
      </c>
    </row>
    <row r="547">
      <c r="A547" s="87" t="str">
        <f>IFERROR(__xludf.DUMMYFUNCTION("TRANSPOSE(QUERY('Cadastro VTR/SEÇÃO/MILITAR'!$E$3:$F2000,""SELECT F WHERE E LIKE '""&amp;'carga de materiais'!E548&amp;""'""))"),"#REF!")</f>
        <v>#REF!</v>
      </c>
    </row>
    <row r="548">
      <c r="A548" s="87" t="str">
        <f>IFERROR(__xludf.DUMMYFUNCTION("TRANSPOSE(QUERY('Cadastro VTR/SEÇÃO/MILITAR'!$E$3:$F2000,""SELECT F WHERE E LIKE '""&amp;'carga de materiais'!E549&amp;""'""))"),"#REF!")</f>
        <v>#REF!</v>
      </c>
    </row>
    <row r="549">
      <c r="A549" s="87" t="str">
        <f>IFERROR(__xludf.DUMMYFUNCTION("TRANSPOSE(QUERY('Cadastro VTR/SEÇÃO/MILITAR'!$E$3:$F2000,""SELECT F WHERE E LIKE '""&amp;'carga de materiais'!E550&amp;""'""))"),"#REF!")</f>
        <v>#REF!</v>
      </c>
    </row>
    <row r="550">
      <c r="A550" s="87" t="str">
        <f>IFERROR(__xludf.DUMMYFUNCTION("TRANSPOSE(QUERY('Cadastro VTR/SEÇÃO/MILITAR'!$E$3:$F2000,""SELECT F WHERE E LIKE '""&amp;'carga de materiais'!E551&amp;""'""))"),"#REF!")</f>
        <v>#REF!</v>
      </c>
    </row>
    <row r="551">
      <c r="A551" s="87" t="str">
        <f>IFERROR(__xludf.DUMMYFUNCTION("TRANSPOSE(QUERY('Cadastro VTR/SEÇÃO/MILITAR'!$E$3:$F2000,""SELECT F WHERE E LIKE '""&amp;'carga de materiais'!E552&amp;""'""))"),"#REF!")</f>
        <v>#REF!</v>
      </c>
    </row>
    <row r="552">
      <c r="A552" s="87" t="str">
        <f>IFERROR(__xludf.DUMMYFUNCTION("TRANSPOSE(QUERY('Cadastro VTR/SEÇÃO/MILITAR'!$E$3:$F2000,""SELECT F WHERE E LIKE '""&amp;'carga de materiais'!E553&amp;""'""))"),"#REF!")</f>
        <v>#REF!</v>
      </c>
    </row>
    <row r="553">
      <c r="A553" s="87" t="str">
        <f>IFERROR(__xludf.DUMMYFUNCTION("TRANSPOSE(QUERY('Cadastro VTR/SEÇÃO/MILITAR'!$E$3:$F2000,""SELECT F WHERE E LIKE '""&amp;'carga de materiais'!E554&amp;""'""))"),"#REF!")</f>
        <v>#REF!</v>
      </c>
    </row>
    <row r="554">
      <c r="A554" s="87" t="str">
        <f>IFERROR(__xludf.DUMMYFUNCTION("TRANSPOSE(QUERY('Cadastro VTR/SEÇÃO/MILITAR'!$E$3:$F2000,""SELECT F WHERE E LIKE '""&amp;'carga de materiais'!E555&amp;""'""))"),"#REF!")</f>
        <v>#REF!</v>
      </c>
    </row>
    <row r="555">
      <c r="A555" s="87" t="str">
        <f>IFERROR(__xludf.DUMMYFUNCTION("TRANSPOSE(QUERY('Cadastro VTR/SEÇÃO/MILITAR'!$E$3:$F2000,""SELECT F WHERE E LIKE '""&amp;'carga de materiais'!E556&amp;""'""))"),"#REF!")</f>
        <v>#REF!</v>
      </c>
    </row>
    <row r="556">
      <c r="A556" s="87" t="str">
        <f>IFERROR(__xludf.DUMMYFUNCTION("TRANSPOSE(QUERY('Cadastro VTR/SEÇÃO/MILITAR'!$E$3:$F2000,""SELECT F WHERE E LIKE '""&amp;'carga de materiais'!E557&amp;""'""))"),"#REF!")</f>
        <v>#REF!</v>
      </c>
    </row>
    <row r="557">
      <c r="A557" s="87" t="str">
        <f>IFERROR(__xludf.DUMMYFUNCTION("TRANSPOSE(QUERY('Cadastro VTR/SEÇÃO/MILITAR'!$E$3:$F2000,""SELECT F WHERE E LIKE '""&amp;'carga de materiais'!E558&amp;""'""))"),"#REF!")</f>
        <v>#REF!</v>
      </c>
    </row>
    <row r="558">
      <c r="A558" s="87" t="str">
        <f>IFERROR(__xludf.DUMMYFUNCTION("TRANSPOSE(QUERY('Cadastro VTR/SEÇÃO/MILITAR'!$E$3:$F2000,""SELECT F WHERE E LIKE '""&amp;'carga de materiais'!E559&amp;""'""))"),"#REF!")</f>
        <v>#REF!</v>
      </c>
    </row>
    <row r="559">
      <c r="A559" s="87" t="str">
        <f>IFERROR(__xludf.DUMMYFUNCTION("TRANSPOSE(QUERY('Cadastro VTR/SEÇÃO/MILITAR'!$E$3:$F2000,""SELECT F WHERE E LIKE '""&amp;'carga de materiais'!E560&amp;""'""))"),"#REF!")</f>
        <v>#REF!</v>
      </c>
    </row>
    <row r="560">
      <c r="A560" s="87" t="str">
        <f>IFERROR(__xludf.DUMMYFUNCTION("TRANSPOSE(QUERY('Cadastro VTR/SEÇÃO/MILITAR'!$E$3:$F2000,""SELECT F WHERE E LIKE '""&amp;'carga de materiais'!E561&amp;""'""))"),"#REF!")</f>
        <v>#REF!</v>
      </c>
    </row>
    <row r="561">
      <c r="A561" s="87" t="str">
        <f>IFERROR(__xludf.DUMMYFUNCTION("TRANSPOSE(QUERY('Cadastro VTR/SEÇÃO/MILITAR'!$E$3:$F2000,""SELECT F WHERE E LIKE '""&amp;'carga de materiais'!E562&amp;""'""))"),"#REF!")</f>
        <v>#REF!</v>
      </c>
    </row>
    <row r="562">
      <c r="A562" s="87" t="str">
        <f>IFERROR(__xludf.DUMMYFUNCTION("TRANSPOSE(QUERY('Cadastro VTR/SEÇÃO/MILITAR'!$E$3:$F2000,""SELECT F WHERE E LIKE '""&amp;'carga de materiais'!E563&amp;""'""))"),"#REF!")</f>
        <v>#REF!</v>
      </c>
    </row>
    <row r="563">
      <c r="A563" s="87" t="str">
        <f>IFERROR(__xludf.DUMMYFUNCTION("TRANSPOSE(QUERY('Cadastro VTR/SEÇÃO/MILITAR'!$E$3:$F2000,""SELECT F WHERE E LIKE '""&amp;'carga de materiais'!E564&amp;""'""))"),"#REF!")</f>
        <v>#REF!</v>
      </c>
    </row>
    <row r="564">
      <c r="A564" s="87" t="str">
        <f>IFERROR(__xludf.DUMMYFUNCTION("TRANSPOSE(QUERY('Cadastro VTR/SEÇÃO/MILITAR'!$E$3:$F2000,""SELECT F WHERE E LIKE '""&amp;'carga de materiais'!E565&amp;""'""))"),"#REF!")</f>
        <v>#REF!</v>
      </c>
    </row>
    <row r="565">
      <c r="A565" s="87" t="str">
        <f>IFERROR(__xludf.DUMMYFUNCTION("TRANSPOSE(QUERY('Cadastro VTR/SEÇÃO/MILITAR'!$E$3:$F2000,""SELECT F WHERE E LIKE '""&amp;'carga de materiais'!E566&amp;""'""))"),"#REF!")</f>
        <v>#REF!</v>
      </c>
    </row>
    <row r="566">
      <c r="A566" s="87" t="str">
        <f>IFERROR(__xludf.DUMMYFUNCTION("TRANSPOSE(QUERY('Cadastro VTR/SEÇÃO/MILITAR'!$E$3:$F2000,""SELECT F WHERE E LIKE '""&amp;'carga de materiais'!E567&amp;""'""))"),"#REF!")</f>
        <v>#REF!</v>
      </c>
    </row>
    <row r="567">
      <c r="A567" s="87" t="str">
        <f>IFERROR(__xludf.DUMMYFUNCTION("TRANSPOSE(QUERY('Cadastro VTR/SEÇÃO/MILITAR'!$E$3:$F2000,""SELECT F WHERE E LIKE '""&amp;'carga de materiais'!E568&amp;""'""))"),"#REF!")</f>
        <v>#REF!</v>
      </c>
    </row>
    <row r="568">
      <c r="A568" s="87" t="str">
        <f>IFERROR(__xludf.DUMMYFUNCTION("TRANSPOSE(QUERY('Cadastro VTR/SEÇÃO/MILITAR'!$E$3:$F2000,""SELECT F WHERE E LIKE '""&amp;'carga de materiais'!E569&amp;""'""))"),"#REF!")</f>
        <v>#REF!</v>
      </c>
    </row>
    <row r="569">
      <c r="A569" s="87" t="str">
        <f>IFERROR(__xludf.DUMMYFUNCTION("TRANSPOSE(QUERY('Cadastro VTR/SEÇÃO/MILITAR'!$E$3:$F2000,""SELECT F WHERE E LIKE '""&amp;'carga de materiais'!E570&amp;""'""))"),"#REF!")</f>
        <v>#REF!</v>
      </c>
    </row>
    <row r="570">
      <c r="A570" s="87" t="str">
        <f>IFERROR(__xludf.DUMMYFUNCTION("TRANSPOSE(QUERY('Cadastro VTR/SEÇÃO/MILITAR'!$E$3:$F2000,""SELECT F WHERE E LIKE '""&amp;'carga de materiais'!E571&amp;""'""))"),"#REF!")</f>
        <v>#REF!</v>
      </c>
    </row>
    <row r="571">
      <c r="A571" s="87" t="str">
        <f>IFERROR(__xludf.DUMMYFUNCTION("TRANSPOSE(QUERY('Cadastro VTR/SEÇÃO/MILITAR'!$E$3:$F2000,""SELECT F WHERE E LIKE '""&amp;'carga de materiais'!E572&amp;""'""))"),"#REF!")</f>
        <v>#REF!</v>
      </c>
    </row>
    <row r="572">
      <c r="A572" s="87" t="str">
        <f>IFERROR(__xludf.DUMMYFUNCTION("TRANSPOSE(QUERY('Cadastro VTR/SEÇÃO/MILITAR'!$E$3:$F2000,""SELECT F WHERE E LIKE '""&amp;'carga de materiais'!E573&amp;""'""))"),"#REF!")</f>
        <v>#REF!</v>
      </c>
    </row>
    <row r="573">
      <c r="A573" s="87" t="str">
        <f>IFERROR(__xludf.DUMMYFUNCTION("TRANSPOSE(QUERY('Cadastro VTR/SEÇÃO/MILITAR'!$E$3:$F2000,""SELECT F WHERE E LIKE '""&amp;'carga de materiais'!E574&amp;""'""))"),"#REF!")</f>
        <v>#REF!</v>
      </c>
    </row>
    <row r="574">
      <c r="A574" s="87" t="str">
        <f>IFERROR(__xludf.DUMMYFUNCTION("TRANSPOSE(QUERY('Cadastro VTR/SEÇÃO/MILITAR'!$E$3:$F2000,""SELECT F WHERE E LIKE '""&amp;'carga de materiais'!E575&amp;""'""))"),"#REF!")</f>
        <v>#REF!</v>
      </c>
    </row>
    <row r="575">
      <c r="A575" s="87" t="str">
        <f>IFERROR(__xludf.DUMMYFUNCTION("TRANSPOSE(QUERY('Cadastro VTR/SEÇÃO/MILITAR'!$E$3:$F2000,""SELECT F WHERE E LIKE '""&amp;'carga de materiais'!E576&amp;""'""))"),"#REF!")</f>
        <v>#REF!</v>
      </c>
    </row>
    <row r="576">
      <c r="A576" s="87" t="str">
        <f>IFERROR(__xludf.DUMMYFUNCTION("TRANSPOSE(QUERY('Cadastro VTR/SEÇÃO/MILITAR'!$E$3:$F2000,""SELECT F WHERE E LIKE '""&amp;'carga de materiais'!E577&amp;""'""))"),"#REF!")</f>
        <v>#REF!</v>
      </c>
    </row>
    <row r="577">
      <c r="A577" s="87" t="str">
        <f>IFERROR(__xludf.DUMMYFUNCTION("TRANSPOSE(QUERY('Cadastro VTR/SEÇÃO/MILITAR'!$E$3:$F2000,""SELECT F WHERE E LIKE '""&amp;'carga de materiais'!E578&amp;""'""))"),"#REF!")</f>
        <v>#REF!</v>
      </c>
    </row>
    <row r="578">
      <c r="A578" s="87" t="str">
        <f>IFERROR(__xludf.DUMMYFUNCTION("TRANSPOSE(QUERY('Cadastro VTR/SEÇÃO/MILITAR'!$E$3:$F2000,""SELECT F WHERE E LIKE '""&amp;'carga de materiais'!E579&amp;""'""))"),"#REF!")</f>
        <v>#REF!</v>
      </c>
    </row>
    <row r="579">
      <c r="A579" s="87" t="str">
        <f>IFERROR(__xludf.DUMMYFUNCTION("TRANSPOSE(QUERY('Cadastro VTR/SEÇÃO/MILITAR'!$E$3:$F2000,""SELECT F WHERE E LIKE '""&amp;'carga de materiais'!E580&amp;""'""))"),"#REF!")</f>
        <v>#REF!</v>
      </c>
    </row>
    <row r="580">
      <c r="A580" s="87" t="str">
        <f>IFERROR(__xludf.DUMMYFUNCTION("TRANSPOSE(QUERY('Cadastro VTR/SEÇÃO/MILITAR'!$E$3:$F2000,""SELECT F WHERE E LIKE '""&amp;'carga de materiais'!E581&amp;""'""))"),"#REF!")</f>
        <v>#REF!</v>
      </c>
    </row>
    <row r="581">
      <c r="A581" s="87" t="str">
        <f>IFERROR(__xludf.DUMMYFUNCTION("TRANSPOSE(QUERY('Cadastro VTR/SEÇÃO/MILITAR'!$E$3:$F2000,""SELECT F WHERE E LIKE '""&amp;'carga de materiais'!E582&amp;""'""))"),"#REF!")</f>
        <v>#REF!</v>
      </c>
    </row>
    <row r="582">
      <c r="A582" s="87" t="str">
        <f>IFERROR(__xludf.DUMMYFUNCTION("TRANSPOSE(QUERY('Cadastro VTR/SEÇÃO/MILITAR'!$E$3:$F2000,""SELECT F WHERE E LIKE '""&amp;'carga de materiais'!E583&amp;""'""))"),"#REF!")</f>
        <v>#REF!</v>
      </c>
    </row>
    <row r="583">
      <c r="A583" s="87" t="str">
        <f>IFERROR(__xludf.DUMMYFUNCTION("TRANSPOSE(QUERY('Cadastro VTR/SEÇÃO/MILITAR'!$E$3:$F2000,""SELECT F WHERE E LIKE '""&amp;'carga de materiais'!E584&amp;""'""))"),"#REF!")</f>
        <v>#REF!</v>
      </c>
    </row>
    <row r="584">
      <c r="A584" s="87" t="str">
        <f>IFERROR(__xludf.DUMMYFUNCTION("TRANSPOSE(QUERY('Cadastro VTR/SEÇÃO/MILITAR'!$E$3:$F2000,""SELECT F WHERE E LIKE '""&amp;'carga de materiais'!E585&amp;""'""))"),"#REF!")</f>
        <v>#REF!</v>
      </c>
    </row>
    <row r="585">
      <c r="A585" s="87" t="str">
        <f>IFERROR(__xludf.DUMMYFUNCTION("TRANSPOSE(QUERY('Cadastro VTR/SEÇÃO/MILITAR'!$E$3:$F2000,""SELECT F WHERE E LIKE '""&amp;'carga de materiais'!E586&amp;""'""))"),"#REF!")</f>
        <v>#REF!</v>
      </c>
    </row>
    <row r="586">
      <c r="A586" s="87" t="str">
        <f>IFERROR(__xludf.DUMMYFUNCTION("TRANSPOSE(QUERY('Cadastro VTR/SEÇÃO/MILITAR'!$E$3:$F2000,""SELECT F WHERE E LIKE '""&amp;'carga de materiais'!E587&amp;""'""))"),"#REF!")</f>
        <v>#REF!</v>
      </c>
    </row>
    <row r="587">
      <c r="A587" s="87" t="str">
        <f>IFERROR(__xludf.DUMMYFUNCTION("TRANSPOSE(QUERY('Cadastro VTR/SEÇÃO/MILITAR'!$E$3:$F2000,""SELECT F WHERE E LIKE '""&amp;'carga de materiais'!E588&amp;""'""))"),"#REF!")</f>
        <v>#REF!</v>
      </c>
    </row>
    <row r="588">
      <c r="A588" s="87" t="str">
        <f>IFERROR(__xludf.DUMMYFUNCTION("TRANSPOSE(QUERY('Cadastro VTR/SEÇÃO/MILITAR'!$E$3:$F2000,""SELECT F WHERE E LIKE '""&amp;'carga de materiais'!E589&amp;""'""))"),"#REF!")</f>
        <v>#REF!</v>
      </c>
    </row>
    <row r="589">
      <c r="A589" s="87" t="str">
        <f>IFERROR(__xludf.DUMMYFUNCTION("TRANSPOSE(QUERY('Cadastro VTR/SEÇÃO/MILITAR'!$E$3:$F2000,""SELECT F WHERE E LIKE '""&amp;'carga de materiais'!E590&amp;""'""))"),"#REF!")</f>
        <v>#REF!</v>
      </c>
    </row>
    <row r="590">
      <c r="A590" s="87" t="str">
        <f>IFERROR(__xludf.DUMMYFUNCTION("TRANSPOSE(QUERY('Cadastro VTR/SEÇÃO/MILITAR'!$E$3:$F2000,""SELECT F WHERE E LIKE '""&amp;'carga de materiais'!E591&amp;""'""))"),"#REF!")</f>
        <v>#REF!</v>
      </c>
    </row>
    <row r="591">
      <c r="A591" s="87" t="str">
        <f>IFERROR(__xludf.DUMMYFUNCTION("TRANSPOSE(QUERY('Cadastro VTR/SEÇÃO/MILITAR'!$E$3:$F2000,""SELECT F WHERE E LIKE '""&amp;'carga de materiais'!E592&amp;""'""))"),"#REF!")</f>
        <v>#REF!</v>
      </c>
    </row>
    <row r="592">
      <c r="A592" s="87" t="str">
        <f>IFERROR(__xludf.DUMMYFUNCTION("TRANSPOSE(QUERY('Cadastro VTR/SEÇÃO/MILITAR'!$E$3:$F2000,""SELECT F WHERE E LIKE '""&amp;'carga de materiais'!E593&amp;""'""))"),"#REF!")</f>
        <v>#REF!</v>
      </c>
    </row>
    <row r="593">
      <c r="A593" s="87" t="str">
        <f>IFERROR(__xludf.DUMMYFUNCTION("TRANSPOSE(QUERY('Cadastro VTR/SEÇÃO/MILITAR'!$E$3:$F2000,""SELECT F WHERE E LIKE '""&amp;'carga de materiais'!E594&amp;""'""))"),"#REF!")</f>
        <v>#REF!</v>
      </c>
    </row>
    <row r="594">
      <c r="A594" s="87" t="str">
        <f>IFERROR(__xludf.DUMMYFUNCTION("TRANSPOSE(QUERY('Cadastro VTR/SEÇÃO/MILITAR'!$E$3:$F2000,""SELECT F WHERE E LIKE '""&amp;'carga de materiais'!E595&amp;""'""))"),"#REF!")</f>
        <v>#REF!</v>
      </c>
    </row>
    <row r="595">
      <c r="A595" s="87" t="str">
        <f>IFERROR(__xludf.DUMMYFUNCTION("TRANSPOSE(QUERY('Cadastro VTR/SEÇÃO/MILITAR'!$E$3:$F2000,""SELECT F WHERE E LIKE '""&amp;'carga de materiais'!E596&amp;""'""))"),"#REF!")</f>
        <v>#REF!</v>
      </c>
    </row>
    <row r="596">
      <c r="A596" s="87" t="str">
        <f>IFERROR(__xludf.DUMMYFUNCTION("TRANSPOSE(QUERY('Cadastro VTR/SEÇÃO/MILITAR'!$E$3:$F2000,""SELECT F WHERE E LIKE '""&amp;'carga de materiais'!E597&amp;""'""))"),"#REF!")</f>
        <v>#REF!</v>
      </c>
    </row>
    <row r="597">
      <c r="A597" s="87" t="str">
        <f>IFERROR(__xludf.DUMMYFUNCTION("TRANSPOSE(QUERY('Cadastro VTR/SEÇÃO/MILITAR'!$E$3:$F2000,""SELECT F WHERE E LIKE '""&amp;'carga de materiais'!E598&amp;""'""))"),"#REF!")</f>
        <v>#REF!</v>
      </c>
    </row>
    <row r="598">
      <c r="A598" s="87" t="str">
        <f>IFERROR(__xludf.DUMMYFUNCTION("TRANSPOSE(QUERY('Cadastro VTR/SEÇÃO/MILITAR'!$E$3:$F2000,""SELECT F WHERE E LIKE '""&amp;'carga de materiais'!E599&amp;""'""))"),"#REF!")</f>
        <v>#REF!</v>
      </c>
    </row>
    <row r="599">
      <c r="A599" s="87" t="str">
        <f>IFERROR(__xludf.DUMMYFUNCTION("TRANSPOSE(QUERY('Cadastro VTR/SEÇÃO/MILITAR'!$E$3:$F2000,""SELECT F WHERE E LIKE '""&amp;'carga de materiais'!E600&amp;""'""))"),"#REF!")</f>
        <v>#REF!</v>
      </c>
    </row>
    <row r="600">
      <c r="A600" s="87" t="str">
        <f>IFERROR(__xludf.DUMMYFUNCTION("TRANSPOSE(QUERY('Cadastro VTR/SEÇÃO/MILITAR'!$E$3:$F2000,""SELECT F WHERE E LIKE '""&amp;'carga de materiais'!E601&amp;""'""))"),"#REF!")</f>
        <v>#REF!</v>
      </c>
    </row>
    <row r="601">
      <c r="A601" s="87" t="str">
        <f>IFERROR(__xludf.DUMMYFUNCTION("TRANSPOSE(QUERY('Cadastro VTR/SEÇÃO/MILITAR'!$E$3:$F2000,""SELECT F WHERE E LIKE '""&amp;'carga de materiais'!E602&amp;""'""))"),"#REF!")</f>
        <v>#REF!</v>
      </c>
    </row>
    <row r="602">
      <c r="A602" s="87" t="str">
        <f>IFERROR(__xludf.DUMMYFUNCTION("TRANSPOSE(QUERY('Cadastro VTR/SEÇÃO/MILITAR'!$E$3:$F2000,""SELECT F WHERE E LIKE '""&amp;'carga de materiais'!E603&amp;""'""))"),"#REF!")</f>
        <v>#REF!</v>
      </c>
    </row>
    <row r="603">
      <c r="A603" s="87" t="str">
        <f>IFERROR(__xludf.DUMMYFUNCTION("TRANSPOSE(QUERY('Cadastro VTR/SEÇÃO/MILITAR'!$E$3:$F2000,""SELECT F WHERE E LIKE '""&amp;'carga de materiais'!E604&amp;""'""))"),"#REF!")</f>
        <v>#REF!</v>
      </c>
    </row>
    <row r="604">
      <c r="A604" s="87" t="str">
        <f>IFERROR(__xludf.DUMMYFUNCTION("TRANSPOSE(QUERY('Cadastro VTR/SEÇÃO/MILITAR'!$E$3:$F2000,""SELECT F WHERE E LIKE '""&amp;'carga de materiais'!E605&amp;""'""))"),"#REF!")</f>
        <v>#REF!</v>
      </c>
    </row>
    <row r="605">
      <c r="A605" s="87" t="str">
        <f>IFERROR(__xludf.DUMMYFUNCTION("TRANSPOSE(QUERY('Cadastro VTR/SEÇÃO/MILITAR'!$E$3:$F2000,""SELECT F WHERE E LIKE '""&amp;'carga de materiais'!E606&amp;""'""))"),"#REF!")</f>
        <v>#REF!</v>
      </c>
    </row>
    <row r="606">
      <c r="A606" s="87" t="str">
        <f>IFERROR(__xludf.DUMMYFUNCTION("TRANSPOSE(QUERY('Cadastro VTR/SEÇÃO/MILITAR'!$E$3:$F2000,""SELECT F WHERE E LIKE '""&amp;'carga de materiais'!E607&amp;""'""))"),"#REF!")</f>
        <v>#REF!</v>
      </c>
    </row>
    <row r="607">
      <c r="A607" s="87" t="str">
        <f>IFERROR(__xludf.DUMMYFUNCTION("TRANSPOSE(QUERY('Cadastro VTR/SEÇÃO/MILITAR'!$E$3:$F2000,""SELECT F WHERE E LIKE '""&amp;'carga de materiais'!E608&amp;""'""))"),"#REF!")</f>
        <v>#REF!</v>
      </c>
    </row>
    <row r="608">
      <c r="A608" s="87" t="str">
        <f>IFERROR(__xludf.DUMMYFUNCTION("TRANSPOSE(QUERY('Cadastro VTR/SEÇÃO/MILITAR'!$E$3:$F2000,""SELECT F WHERE E LIKE '""&amp;'carga de materiais'!E609&amp;""'""))"),"#REF!")</f>
        <v>#REF!</v>
      </c>
    </row>
    <row r="609">
      <c r="A609" s="87" t="str">
        <f>IFERROR(__xludf.DUMMYFUNCTION("TRANSPOSE(QUERY('Cadastro VTR/SEÇÃO/MILITAR'!$E$3:$F2000,""SELECT F WHERE E LIKE '""&amp;'carga de materiais'!E610&amp;""'""))"),"#REF!")</f>
        <v>#REF!</v>
      </c>
    </row>
    <row r="610">
      <c r="A610" s="87" t="str">
        <f>IFERROR(__xludf.DUMMYFUNCTION("TRANSPOSE(QUERY('Cadastro VTR/SEÇÃO/MILITAR'!$E$3:$F2000,""SELECT F WHERE E LIKE '""&amp;'carga de materiais'!E611&amp;""'""))"),"#REF!")</f>
        <v>#REF!</v>
      </c>
    </row>
    <row r="611">
      <c r="A611" s="87" t="str">
        <f>IFERROR(__xludf.DUMMYFUNCTION("TRANSPOSE(QUERY('Cadastro VTR/SEÇÃO/MILITAR'!$E$3:$F2000,""SELECT F WHERE E LIKE '""&amp;'carga de materiais'!E612&amp;""'""))"),"#REF!")</f>
        <v>#REF!</v>
      </c>
    </row>
    <row r="612">
      <c r="A612" s="87" t="str">
        <f>IFERROR(__xludf.DUMMYFUNCTION("TRANSPOSE(QUERY('Cadastro VTR/SEÇÃO/MILITAR'!$E$3:$F2000,""SELECT F WHERE E LIKE '""&amp;'carga de materiais'!E613&amp;""'""))"),"#REF!")</f>
        <v>#REF!</v>
      </c>
    </row>
    <row r="613">
      <c r="A613" s="87" t="str">
        <f>IFERROR(__xludf.DUMMYFUNCTION("TRANSPOSE(QUERY('Cadastro VTR/SEÇÃO/MILITAR'!$E$3:$F2000,""SELECT F WHERE E LIKE '""&amp;'carga de materiais'!E614&amp;""'""))"),"#REF!")</f>
        <v>#REF!</v>
      </c>
    </row>
    <row r="614">
      <c r="A614" s="87" t="str">
        <f>IFERROR(__xludf.DUMMYFUNCTION("TRANSPOSE(QUERY('Cadastro VTR/SEÇÃO/MILITAR'!$E$3:$F2000,""SELECT F WHERE E LIKE '""&amp;'carga de materiais'!E615&amp;""'""))"),"#REF!")</f>
        <v>#REF!</v>
      </c>
    </row>
    <row r="615">
      <c r="A615" s="87" t="str">
        <f>IFERROR(__xludf.DUMMYFUNCTION("TRANSPOSE(QUERY('Cadastro VTR/SEÇÃO/MILITAR'!$E$3:$F2000,""SELECT F WHERE E LIKE '""&amp;'carga de materiais'!E616&amp;""'""))"),"#REF!")</f>
        <v>#REF!</v>
      </c>
    </row>
    <row r="616">
      <c r="A616" s="87" t="str">
        <f>IFERROR(__xludf.DUMMYFUNCTION("TRANSPOSE(QUERY('Cadastro VTR/SEÇÃO/MILITAR'!$E$3:$F2000,""SELECT F WHERE E LIKE '""&amp;'carga de materiais'!E617&amp;""'""))"),"#REF!")</f>
        <v>#REF!</v>
      </c>
    </row>
    <row r="617">
      <c r="A617" s="87" t="str">
        <f>IFERROR(__xludf.DUMMYFUNCTION("TRANSPOSE(QUERY('Cadastro VTR/SEÇÃO/MILITAR'!$E$3:$F2000,""SELECT F WHERE E LIKE '""&amp;'carga de materiais'!E618&amp;""'""))"),"#REF!")</f>
        <v>#REF!</v>
      </c>
    </row>
    <row r="618">
      <c r="A618" s="87" t="str">
        <f>IFERROR(__xludf.DUMMYFUNCTION("TRANSPOSE(QUERY('Cadastro VTR/SEÇÃO/MILITAR'!$E$3:$F2000,""SELECT F WHERE E LIKE '""&amp;'carga de materiais'!E619&amp;""'""))"),"#REF!")</f>
        <v>#REF!</v>
      </c>
    </row>
    <row r="619">
      <c r="A619" s="87" t="str">
        <f>IFERROR(__xludf.DUMMYFUNCTION("TRANSPOSE(QUERY('Cadastro VTR/SEÇÃO/MILITAR'!$E$3:$F2000,""SELECT F WHERE E LIKE '""&amp;'carga de materiais'!E620&amp;""'""))"),"#REF!")</f>
        <v>#REF!</v>
      </c>
    </row>
    <row r="620">
      <c r="A620" s="87" t="str">
        <f>IFERROR(__xludf.DUMMYFUNCTION("TRANSPOSE(QUERY('Cadastro VTR/SEÇÃO/MILITAR'!$E$3:$F2000,""SELECT F WHERE E LIKE '""&amp;'carga de materiais'!E621&amp;""'""))"),"#REF!")</f>
        <v>#REF!</v>
      </c>
    </row>
    <row r="621">
      <c r="A621" s="87" t="str">
        <f>IFERROR(__xludf.DUMMYFUNCTION("TRANSPOSE(QUERY('Cadastro VTR/SEÇÃO/MILITAR'!$E$3:$F2000,""SELECT F WHERE E LIKE '""&amp;'carga de materiais'!E622&amp;""'""))"),"#REF!")</f>
        <v>#REF!</v>
      </c>
    </row>
    <row r="622">
      <c r="A622" s="87" t="str">
        <f>IFERROR(__xludf.DUMMYFUNCTION("TRANSPOSE(QUERY('Cadastro VTR/SEÇÃO/MILITAR'!$E$3:$F2000,""SELECT F WHERE E LIKE '""&amp;'carga de materiais'!E623&amp;""'""))"),"#REF!")</f>
        <v>#REF!</v>
      </c>
    </row>
    <row r="623">
      <c r="A623" s="87" t="str">
        <f>IFERROR(__xludf.DUMMYFUNCTION("TRANSPOSE(QUERY('Cadastro VTR/SEÇÃO/MILITAR'!$E$3:$F2000,""SELECT F WHERE E LIKE '""&amp;'carga de materiais'!E624&amp;""'""))"),"#REF!")</f>
        <v>#REF!</v>
      </c>
    </row>
    <row r="624">
      <c r="A624" s="87" t="str">
        <f>IFERROR(__xludf.DUMMYFUNCTION("TRANSPOSE(QUERY('Cadastro VTR/SEÇÃO/MILITAR'!$E$3:$F2000,""SELECT F WHERE E LIKE '""&amp;'carga de materiais'!E625&amp;""'""))"),"#REF!")</f>
        <v>#REF!</v>
      </c>
    </row>
    <row r="625">
      <c r="A625" s="87" t="str">
        <f>IFERROR(__xludf.DUMMYFUNCTION("TRANSPOSE(QUERY('Cadastro VTR/SEÇÃO/MILITAR'!$E$3:$F2000,""SELECT F WHERE E LIKE '""&amp;'carga de materiais'!E626&amp;""'""))"),"#REF!")</f>
        <v>#REF!</v>
      </c>
    </row>
    <row r="626">
      <c r="A626" s="87" t="str">
        <f>IFERROR(__xludf.DUMMYFUNCTION("TRANSPOSE(QUERY('Cadastro VTR/SEÇÃO/MILITAR'!$E$3:$F2000,""SELECT F WHERE E LIKE '""&amp;'carga de materiais'!E627&amp;""'""))"),"#REF!")</f>
        <v>#REF!</v>
      </c>
    </row>
    <row r="627">
      <c r="A627" s="87" t="str">
        <f>IFERROR(__xludf.DUMMYFUNCTION("TRANSPOSE(QUERY('Cadastro VTR/SEÇÃO/MILITAR'!$E$3:$F2000,""SELECT F WHERE E LIKE '""&amp;'carga de materiais'!E628&amp;""'""))"),"#REF!")</f>
        <v>#REF!</v>
      </c>
    </row>
    <row r="628">
      <c r="A628" s="87" t="str">
        <f>IFERROR(__xludf.DUMMYFUNCTION("TRANSPOSE(QUERY('Cadastro VTR/SEÇÃO/MILITAR'!$E$3:$F2000,""SELECT F WHERE E LIKE '""&amp;'carga de materiais'!E629&amp;""'""))"),"#REF!")</f>
        <v>#REF!</v>
      </c>
    </row>
    <row r="629">
      <c r="A629" s="87" t="str">
        <f>IFERROR(__xludf.DUMMYFUNCTION("TRANSPOSE(QUERY('Cadastro VTR/SEÇÃO/MILITAR'!$E$3:$F2000,""SELECT F WHERE E LIKE '""&amp;'carga de materiais'!E630&amp;""'""))"),"#REF!")</f>
        <v>#REF!</v>
      </c>
    </row>
    <row r="630">
      <c r="A630" s="87" t="str">
        <f>IFERROR(__xludf.DUMMYFUNCTION("TRANSPOSE(QUERY('Cadastro VTR/SEÇÃO/MILITAR'!$E$3:$F2000,""SELECT F WHERE E LIKE '""&amp;'carga de materiais'!E631&amp;""'""))"),"#REF!")</f>
        <v>#REF!</v>
      </c>
    </row>
    <row r="631">
      <c r="A631" s="87" t="str">
        <f>IFERROR(__xludf.DUMMYFUNCTION("TRANSPOSE(QUERY('Cadastro VTR/SEÇÃO/MILITAR'!$E$3:$F2000,""SELECT F WHERE E LIKE '""&amp;'carga de materiais'!E632&amp;""'""))"),"#REF!")</f>
        <v>#REF!</v>
      </c>
    </row>
    <row r="632">
      <c r="A632" s="87" t="str">
        <f>IFERROR(__xludf.DUMMYFUNCTION("TRANSPOSE(QUERY('Cadastro VTR/SEÇÃO/MILITAR'!$E$3:$F2000,""SELECT F WHERE E LIKE '""&amp;'carga de materiais'!E633&amp;""'""))"),"#REF!")</f>
        <v>#REF!</v>
      </c>
    </row>
    <row r="633">
      <c r="A633" s="87" t="str">
        <f>IFERROR(__xludf.DUMMYFUNCTION("TRANSPOSE(QUERY('Cadastro VTR/SEÇÃO/MILITAR'!$E$3:$F2000,""SELECT F WHERE E LIKE '""&amp;'carga de materiais'!E634&amp;""'""))"),"#REF!")</f>
        <v>#REF!</v>
      </c>
    </row>
    <row r="634">
      <c r="A634" s="87" t="str">
        <f>IFERROR(__xludf.DUMMYFUNCTION("TRANSPOSE(QUERY('Cadastro VTR/SEÇÃO/MILITAR'!$E$3:$F2000,""SELECT F WHERE E LIKE '""&amp;'carga de materiais'!E635&amp;""'""))"),"#REF!")</f>
        <v>#REF!</v>
      </c>
    </row>
    <row r="635">
      <c r="A635" s="87" t="str">
        <f>IFERROR(__xludf.DUMMYFUNCTION("TRANSPOSE(QUERY('Cadastro VTR/SEÇÃO/MILITAR'!$E$3:$F2000,""SELECT F WHERE E LIKE '""&amp;'carga de materiais'!E636&amp;""'""))"),"#REF!")</f>
        <v>#REF!</v>
      </c>
    </row>
    <row r="636">
      <c r="A636" s="87" t="str">
        <f>IFERROR(__xludf.DUMMYFUNCTION("TRANSPOSE(QUERY('Cadastro VTR/SEÇÃO/MILITAR'!$E$3:$F2000,""SELECT F WHERE E LIKE '""&amp;'carga de materiais'!E637&amp;""'""))"),"#REF!")</f>
        <v>#REF!</v>
      </c>
    </row>
    <row r="637">
      <c r="A637" s="87" t="str">
        <f>IFERROR(__xludf.DUMMYFUNCTION("TRANSPOSE(QUERY('Cadastro VTR/SEÇÃO/MILITAR'!$E$3:$F2000,""SELECT F WHERE E LIKE '""&amp;'carga de materiais'!E638&amp;""'""))"),"#REF!")</f>
        <v>#REF!</v>
      </c>
    </row>
    <row r="638">
      <c r="A638" s="87" t="str">
        <f>IFERROR(__xludf.DUMMYFUNCTION("TRANSPOSE(QUERY('Cadastro VTR/SEÇÃO/MILITAR'!$E$3:$F2000,""SELECT F WHERE E LIKE '""&amp;'carga de materiais'!E639&amp;""'""))"),"#REF!")</f>
        <v>#REF!</v>
      </c>
    </row>
    <row r="639">
      <c r="A639" s="87" t="str">
        <f>IFERROR(__xludf.DUMMYFUNCTION("TRANSPOSE(QUERY('Cadastro VTR/SEÇÃO/MILITAR'!$E$3:$F2000,""SELECT F WHERE E LIKE '""&amp;'carga de materiais'!E640&amp;""'""))"),"#REF!")</f>
        <v>#REF!</v>
      </c>
    </row>
    <row r="640">
      <c r="A640" s="87" t="str">
        <f>IFERROR(__xludf.DUMMYFUNCTION("TRANSPOSE(QUERY('Cadastro VTR/SEÇÃO/MILITAR'!$E$3:$F2000,""SELECT F WHERE E LIKE '""&amp;'carga de materiais'!E641&amp;""'""))"),"#REF!")</f>
        <v>#REF!</v>
      </c>
    </row>
    <row r="641">
      <c r="A641" s="87" t="str">
        <f>IFERROR(__xludf.DUMMYFUNCTION("TRANSPOSE(QUERY('Cadastro VTR/SEÇÃO/MILITAR'!$E$3:$F2000,""SELECT F WHERE E LIKE '""&amp;'carga de materiais'!E642&amp;""'""))"),"#REF!")</f>
        <v>#REF!</v>
      </c>
    </row>
    <row r="642">
      <c r="A642" s="87" t="str">
        <f>IFERROR(__xludf.DUMMYFUNCTION("TRANSPOSE(QUERY('Cadastro VTR/SEÇÃO/MILITAR'!$E$3:$F2000,""SELECT F WHERE E LIKE '""&amp;'carga de materiais'!E643&amp;""'""))"),"#REF!")</f>
        <v>#REF!</v>
      </c>
    </row>
    <row r="643">
      <c r="A643" s="87" t="str">
        <f>IFERROR(__xludf.DUMMYFUNCTION("TRANSPOSE(QUERY('Cadastro VTR/SEÇÃO/MILITAR'!$E$3:$F2000,""SELECT F WHERE E LIKE '""&amp;'carga de materiais'!E644&amp;""'""))"),"#REF!")</f>
        <v>#REF!</v>
      </c>
    </row>
    <row r="644">
      <c r="A644" s="87" t="str">
        <f>IFERROR(__xludf.DUMMYFUNCTION("TRANSPOSE(QUERY('Cadastro VTR/SEÇÃO/MILITAR'!$E$3:$F2000,""SELECT F WHERE E LIKE '""&amp;'carga de materiais'!E645&amp;""'""))"),"#REF!")</f>
        <v>#REF!</v>
      </c>
    </row>
    <row r="645">
      <c r="A645" s="87" t="str">
        <f>IFERROR(__xludf.DUMMYFUNCTION("TRANSPOSE(QUERY('Cadastro VTR/SEÇÃO/MILITAR'!$E$3:$F2000,""SELECT F WHERE E LIKE '""&amp;'carga de materiais'!E646&amp;""'""))"),"#REF!")</f>
        <v>#REF!</v>
      </c>
    </row>
    <row r="646">
      <c r="A646" s="87" t="str">
        <f>IFERROR(__xludf.DUMMYFUNCTION("TRANSPOSE(QUERY('Cadastro VTR/SEÇÃO/MILITAR'!$E$3:$F2000,""SELECT F WHERE E LIKE '""&amp;'carga de materiais'!E647&amp;""'""))"),"#REF!")</f>
        <v>#REF!</v>
      </c>
    </row>
    <row r="647">
      <c r="A647" s="87" t="str">
        <f>IFERROR(__xludf.DUMMYFUNCTION("TRANSPOSE(QUERY('Cadastro VTR/SEÇÃO/MILITAR'!$E$3:$F2000,""SELECT F WHERE E LIKE '""&amp;'carga de materiais'!E648&amp;""'""))"),"#REF!")</f>
        <v>#REF!</v>
      </c>
    </row>
    <row r="648">
      <c r="A648" s="87" t="str">
        <f>IFERROR(__xludf.DUMMYFUNCTION("TRANSPOSE(QUERY('Cadastro VTR/SEÇÃO/MILITAR'!$E$3:$F2000,""SELECT F WHERE E LIKE '""&amp;'carga de materiais'!E649&amp;""'""))"),"#REF!")</f>
        <v>#REF!</v>
      </c>
    </row>
    <row r="649">
      <c r="A649" s="87" t="str">
        <f>IFERROR(__xludf.DUMMYFUNCTION("TRANSPOSE(QUERY('Cadastro VTR/SEÇÃO/MILITAR'!$E$3:$F2000,""SELECT F WHERE E LIKE '""&amp;'carga de materiais'!E650&amp;""'""))"),"#REF!")</f>
        <v>#REF!</v>
      </c>
    </row>
    <row r="650">
      <c r="A650" s="87" t="str">
        <f>IFERROR(__xludf.DUMMYFUNCTION("TRANSPOSE(QUERY('Cadastro VTR/SEÇÃO/MILITAR'!$E$3:$F2000,""SELECT F WHERE E LIKE '""&amp;'carga de materiais'!E651&amp;""'""))"),"#REF!")</f>
        <v>#REF!</v>
      </c>
    </row>
    <row r="651">
      <c r="A651" s="87" t="str">
        <f>IFERROR(__xludf.DUMMYFUNCTION("TRANSPOSE(QUERY('Cadastro VTR/SEÇÃO/MILITAR'!$E$3:$F2000,""SELECT F WHERE E LIKE '""&amp;'carga de materiais'!E652&amp;""'""))"),"#REF!")</f>
        <v>#REF!</v>
      </c>
    </row>
    <row r="652">
      <c r="A652" s="87" t="str">
        <f>IFERROR(__xludf.DUMMYFUNCTION("TRANSPOSE(QUERY('Cadastro VTR/SEÇÃO/MILITAR'!$E$3:$F2000,""SELECT F WHERE E LIKE '""&amp;'carga de materiais'!E653&amp;""'""))"),"#REF!")</f>
        <v>#REF!</v>
      </c>
    </row>
    <row r="653">
      <c r="A653" s="87" t="str">
        <f>IFERROR(__xludf.DUMMYFUNCTION("TRANSPOSE(QUERY('Cadastro VTR/SEÇÃO/MILITAR'!$E$3:$F2000,""SELECT F WHERE E LIKE '""&amp;'carga de materiais'!E654&amp;""'""))"),"#REF!")</f>
        <v>#REF!</v>
      </c>
    </row>
    <row r="654">
      <c r="A654" s="87" t="str">
        <f>IFERROR(__xludf.DUMMYFUNCTION("TRANSPOSE(QUERY('Cadastro VTR/SEÇÃO/MILITAR'!$E$3:$F2000,""SELECT F WHERE E LIKE '""&amp;'carga de materiais'!E655&amp;""'""))"),"#REF!")</f>
        <v>#REF!</v>
      </c>
    </row>
    <row r="655">
      <c r="A655" s="87" t="str">
        <f>IFERROR(__xludf.DUMMYFUNCTION("TRANSPOSE(QUERY('Cadastro VTR/SEÇÃO/MILITAR'!$E$3:$F2000,""SELECT F WHERE E LIKE '""&amp;'carga de materiais'!E656&amp;""'""))"),"#REF!")</f>
        <v>#REF!</v>
      </c>
    </row>
    <row r="656">
      <c r="A656" s="87" t="str">
        <f>IFERROR(__xludf.DUMMYFUNCTION("TRANSPOSE(QUERY('Cadastro VTR/SEÇÃO/MILITAR'!$E$3:$F2000,""SELECT F WHERE E LIKE '""&amp;'carga de materiais'!E657&amp;""'""))"),"#REF!")</f>
        <v>#REF!</v>
      </c>
    </row>
    <row r="657">
      <c r="A657" s="87" t="str">
        <f>IFERROR(__xludf.DUMMYFUNCTION("TRANSPOSE(QUERY('Cadastro VTR/SEÇÃO/MILITAR'!$E$3:$F2000,""SELECT F WHERE E LIKE '""&amp;'carga de materiais'!E658&amp;""'""))"),"#REF!")</f>
        <v>#REF!</v>
      </c>
    </row>
    <row r="658">
      <c r="A658" s="87" t="str">
        <f>IFERROR(__xludf.DUMMYFUNCTION("TRANSPOSE(QUERY('Cadastro VTR/SEÇÃO/MILITAR'!$E$3:$F2000,""SELECT F WHERE E LIKE '""&amp;'carga de materiais'!E659&amp;""'""))"),"#REF!")</f>
        <v>#REF!</v>
      </c>
    </row>
    <row r="659">
      <c r="A659" s="87" t="str">
        <f>IFERROR(__xludf.DUMMYFUNCTION("TRANSPOSE(QUERY('Cadastro VTR/SEÇÃO/MILITAR'!$E$3:$F2000,""SELECT F WHERE E LIKE '""&amp;'carga de materiais'!E660&amp;""'""))"),"#REF!")</f>
        <v>#REF!</v>
      </c>
    </row>
    <row r="660">
      <c r="A660" s="87" t="str">
        <f>IFERROR(__xludf.DUMMYFUNCTION("TRANSPOSE(QUERY('Cadastro VTR/SEÇÃO/MILITAR'!$E$3:$F2000,""SELECT F WHERE E LIKE '""&amp;'carga de materiais'!E661&amp;""'""))"),"#REF!")</f>
        <v>#REF!</v>
      </c>
    </row>
    <row r="661">
      <c r="A661" s="87" t="str">
        <f>IFERROR(__xludf.DUMMYFUNCTION("TRANSPOSE(QUERY('Cadastro VTR/SEÇÃO/MILITAR'!$E$3:$F2000,""SELECT F WHERE E LIKE '""&amp;'carga de materiais'!E662&amp;""'""))"),"#REF!")</f>
        <v>#REF!</v>
      </c>
    </row>
    <row r="662">
      <c r="A662" s="87" t="str">
        <f>IFERROR(__xludf.DUMMYFUNCTION("TRANSPOSE(QUERY('Cadastro VTR/SEÇÃO/MILITAR'!$E$3:$F2000,""SELECT F WHERE E LIKE '""&amp;'carga de materiais'!E663&amp;""'""))"),"#REF!")</f>
        <v>#REF!</v>
      </c>
    </row>
    <row r="663">
      <c r="A663" s="87" t="str">
        <f>IFERROR(__xludf.DUMMYFUNCTION("TRANSPOSE(QUERY('Cadastro VTR/SEÇÃO/MILITAR'!$E$3:$F2000,""SELECT F WHERE E LIKE '""&amp;'carga de materiais'!E664&amp;""'""))"),"#REF!")</f>
        <v>#REF!</v>
      </c>
    </row>
    <row r="664">
      <c r="A664" s="87" t="str">
        <f>IFERROR(__xludf.DUMMYFUNCTION("TRANSPOSE(QUERY('Cadastro VTR/SEÇÃO/MILITAR'!$E$3:$F2000,""SELECT F WHERE E LIKE '""&amp;'carga de materiais'!E665&amp;""'""))"),"#REF!")</f>
        <v>#REF!</v>
      </c>
    </row>
    <row r="665">
      <c r="A665" s="87" t="str">
        <f>IFERROR(__xludf.DUMMYFUNCTION("TRANSPOSE(QUERY('Cadastro VTR/SEÇÃO/MILITAR'!$E$3:$F2000,""SELECT F WHERE E LIKE '""&amp;'carga de materiais'!E666&amp;""'""))"),"#REF!")</f>
        <v>#REF!</v>
      </c>
    </row>
    <row r="666">
      <c r="A666" s="87" t="str">
        <f>IFERROR(__xludf.DUMMYFUNCTION("TRANSPOSE(QUERY('Cadastro VTR/SEÇÃO/MILITAR'!$E$3:$F2000,""SELECT F WHERE E LIKE '""&amp;'carga de materiais'!E667&amp;""'""))"),"#REF!")</f>
        <v>#REF!</v>
      </c>
    </row>
    <row r="667">
      <c r="A667" s="87" t="str">
        <f>IFERROR(__xludf.DUMMYFUNCTION("TRANSPOSE(QUERY('Cadastro VTR/SEÇÃO/MILITAR'!$E$3:$F2000,""SELECT F WHERE E LIKE '""&amp;'carga de materiais'!E668&amp;""'""))"),"#REF!")</f>
        <v>#REF!</v>
      </c>
    </row>
    <row r="668">
      <c r="A668" s="87" t="str">
        <f>IFERROR(__xludf.DUMMYFUNCTION("TRANSPOSE(QUERY('Cadastro VTR/SEÇÃO/MILITAR'!$E$3:$F2000,""SELECT F WHERE E LIKE '""&amp;'carga de materiais'!E669&amp;""'""))"),"#REF!")</f>
        <v>#REF!</v>
      </c>
    </row>
    <row r="669">
      <c r="A669" s="87" t="str">
        <f>IFERROR(__xludf.DUMMYFUNCTION("TRANSPOSE(QUERY('Cadastro VTR/SEÇÃO/MILITAR'!$E$3:$F2000,""SELECT F WHERE E LIKE '""&amp;'carga de materiais'!E670&amp;""'""))"),"#REF!")</f>
        <v>#REF!</v>
      </c>
    </row>
    <row r="670">
      <c r="A670" s="87" t="str">
        <f>IFERROR(__xludf.DUMMYFUNCTION("TRANSPOSE(QUERY('Cadastro VTR/SEÇÃO/MILITAR'!$E$3:$F2000,""SELECT F WHERE E LIKE '""&amp;'carga de materiais'!E671&amp;""'""))"),"#REF!")</f>
        <v>#REF!</v>
      </c>
    </row>
    <row r="671">
      <c r="A671" s="87" t="str">
        <f>IFERROR(__xludf.DUMMYFUNCTION("TRANSPOSE(QUERY('Cadastro VTR/SEÇÃO/MILITAR'!$E$3:$F2000,""SELECT F WHERE E LIKE '""&amp;'carga de materiais'!E672&amp;""'""))"),"#REF!")</f>
        <v>#REF!</v>
      </c>
    </row>
    <row r="672">
      <c r="A672" s="87" t="str">
        <f>IFERROR(__xludf.DUMMYFUNCTION("TRANSPOSE(QUERY('Cadastro VTR/SEÇÃO/MILITAR'!$E$3:$F2000,""SELECT F WHERE E LIKE '""&amp;'carga de materiais'!E673&amp;""'""))"),"#REF!")</f>
        <v>#REF!</v>
      </c>
    </row>
    <row r="673">
      <c r="A673" s="87" t="str">
        <f>IFERROR(__xludf.DUMMYFUNCTION("TRANSPOSE(QUERY('Cadastro VTR/SEÇÃO/MILITAR'!$E$3:$F2000,""SELECT F WHERE E LIKE '""&amp;'carga de materiais'!E674&amp;""'""))"),"#REF!")</f>
        <v>#REF!</v>
      </c>
    </row>
    <row r="674">
      <c r="A674" s="87" t="str">
        <f>IFERROR(__xludf.DUMMYFUNCTION("TRANSPOSE(QUERY('Cadastro VTR/SEÇÃO/MILITAR'!$E$3:$F2000,""SELECT F WHERE E LIKE '""&amp;'carga de materiais'!E675&amp;""'""))"),"#REF!")</f>
        <v>#REF!</v>
      </c>
    </row>
    <row r="675">
      <c r="A675" s="87" t="str">
        <f>IFERROR(__xludf.DUMMYFUNCTION("TRANSPOSE(QUERY('Cadastro VTR/SEÇÃO/MILITAR'!$E$3:$F2000,""SELECT F WHERE E LIKE '""&amp;'carga de materiais'!E676&amp;""'""))"),"#REF!")</f>
        <v>#REF!</v>
      </c>
    </row>
    <row r="676">
      <c r="A676" s="87" t="str">
        <f>IFERROR(__xludf.DUMMYFUNCTION("TRANSPOSE(QUERY('Cadastro VTR/SEÇÃO/MILITAR'!$E$3:$F2000,""SELECT F WHERE E LIKE '""&amp;'carga de materiais'!E677&amp;""'""))"),"#REF!")</f>
        <v>#REF!</v>
      </c>
    </row>
    <row r="677">
      <c r="A677" s="87" t="str">
        <f>IFERROR(__xludf.DUMMYFUNCTION("TRANSPOSE(QUERY('Cadastro VTR/SEÇÃO/MILITAR'!$E$3:$F2000,""SELECT F WHERE E LIKE '""&amp;'carga de materiais'!E678&amp;""'""))"),"#REF!")</f>
        <v>#REF!</v>
      </c>
    </row>
    <row r="678">
      <c r="A678" s="87" t="str">
        <f>IFERROR(__xludf.DUMMYFUNCTION("TRANSPOSE(QUERY('Cadastro VTR/SEÇÃO/MILITAR'!$E$3:$F2000,""SELECT F WHERE E LIKE '""&amp;'carga de materiais'!E679&amp;""'""))"),"#REF!")</f>
        <v>#REF!</v>
      </c>
    </row>
    <row r="679">
      <c r="A679" s="87" t="str">
        <f>IFERROR(__xludf.DUMMYFUNCTION("TRANSPOSE(QUERY('Cadastro VTR/SEÇÃO/MILITAR'!$E$3:$F2000,""SELECT F WHERE E LIKE '""&amp;'carga de materiais'!E680&amp;""'""))"),"#REF!")</f>
        <v>#REF!</v>
      </c>
    </row>
    <row r="680">
      <c r="A680" s="87" t="str">
        <f>IFERROR(__xludf.DUMMYFUNCTION("TRANSPOSE(QUERY('Cadastro VTR/SEÇÃO/MILITAR'!$E$3:$F2000,""SELECT F WHERE E LIKE '""&amp;'carga de materiais'!E681&amp;""'""))"),"#REF!")</f>
        <v>#REF!</v>
      </c>
    </row>
    <row r="681">
      <c r="A681" s="87" t="str">
        <f>IFERROR(__xludf.DUMMYFUNCTION("TRANSPOSE(QUERY('Cadastro VTR/SEÇÃO/MILITAR'!$E$3:$F2000,""SELECT F WHERE E LIKE '""&amp;'carga de materiais'!E682&amp;""'""))"),"#REF!")</f>
        <v>#REF!</v>
      </c>
    </row>
    <row r="682">
      <c r="A682" s="87" t="str">
        <f>IFERROR(__xludf.DUMMYFUNCTION("TRANSPOSE(QUERY('Cadastro VTR/SEÇÃO/MILITAR'!$E$3:$F2000,""SELECT F WHERE E LIKE '""&amp;'carga de materiais'!E683&amp;""'""))"),"#REF!")</f>
        <v>#REF!</v>
      </c>
    </row>
    <row r="683">
      <c r="A683" s="87" t="str">
        <f>IFERROR(__xludf.DUMMYFUNCTION("TRANSPOSE(QUERY('Cadastro VTR/SEÇÃO/MILITAR'!$E$3:$F2000,""SELECT F WHERE E LIKE '""&amp;'carga de materiais'!E684&amp;""'""))"),"#REF!")</f>
        <v>#REF!</v>
      </c>
    </row>
    <row r="684">
      <c r="A684" s="87" t="str">
        <f>IFERROR(__xludf.DUMMYFUNCTION("TRANSPOSE(QUERY('Cadastro VTR/SEÇÃO/MILITAR'!$E$3:$F2000,""SELECT F WHERE E LIKE '""&amp;'carga de materiais'!E685&amp;""'""))"),"#REF!")</f>
        <v>#REF!</v>
      </c>
    </row>
    <row r="685">
      <c r="A685" s="87" t="str">
        <f>IFERROR(__xludf.DUMMYFUNCTION("TRANSPOSE(QUERY('Cadastro VTR/SEÇÃO/MILITAR'!$E$3:$F2000,""SELECT F WHERE E LIKE '""&amp;'carga de materiais'!E686&amp;""'""))"),"#REF!")</f>
        <v>#REF!</v>
      </c>
    </row>
    <row r="686">
      <c r="A686" s="87" t="str">
        <f>IFERROR(__xludf.DUMMYFUNCTION("TRANSPOSE(QUERY('Cadastro VTR/SEÇÃO/MILITAR'!$E$3:$F2000,""SELECT F WHERE E LIKE '""&amp;'carga de materiais'!E687&amp;""'""))"),"#REF!")</f>
        <v>#REF!</v>
      </c>
    </row>
    <row r="687">
      <c r="A687" s="87" t="str">
        <f>IFERROR(__xludf.DUMMYFUNCTION("TRANSPOSE(QUERY('Cadastro VTR/SEÇÃO/MILITAR'!$E$3:$F2000,""SELECT F WHERE E LIKE '""&amp;'carga de materiais'!E688&amp;""'""))"),"#REF!")</f>
        <v>#REF!</v>
      </c>
    </row>
    <row r="688">
      <c r="A688" s="87" t="str">
        <f>IFERROR(__xludf.DUMMYFUNCTION("TRANSPOSE(QUERY('Cadastro VTR/SEÇÃO/MILITAR'!$E$3:$F2000,""SELECT F WHERE E LIKE '""&amp;'carga de materiais'!E689&amp;""'""))"),"#REF!")</f>
        <v>#REF!</v>
      </c>
    </row>
    <row r="689">
      <c r="A689" s="87" t="str">
        <f>IFERROR(__xludf.DUMMYFUNCTION("TRANSPOSE(QUERY('Cadastro VTR/SEÇÃO/MILITAR'!$E$3:$F2000,""SELECT F WHERE E LIKE '""&amp;'carga de materiais'!E690&amp;""'""))"),"#REF!")</f>
        <v>#REF!</v>
      </c>
    </row>
    <row r="690">
      <c r="A690" s="87" t="str">
        <f>IFERROR(__xludf.DUMMYFUNCTION("TRANSPOSE(QUERY('Cadastro VTR/SEÇÃO/MILITAR'!$E$3:$F2000,""SELECT F WHERE E LIKE '""&amp;'carga de materiais'!E691&amp;""'""))"),"#REF!")</f>
        <v>#REF!</v>
      </c>
    </row>
    <row r="691">
      <c r="A691" s="87" t="str">
        <f>IFERROR(__xludf.DUMMYFUNCTION("TRANSPOSE(QUERY('Cadastro VTR/SEÇÃO/MILITAR'!$E$3:$F2000,""SELECT F WHERE E LIKE '""&amp;'carga de materiais'!E692&amp;""'""))"),"#REF!")</f>
        <v>#REF!</v>
      </c>
    </row>
    <row r="692">
      <c r="A692" s="87" t="str">
        <f>IFERROR(__xludf.DUMMYFUNCTION("TRANSPOSE(QUERY('Cadastro VTR/SEÇÃO/MILITAR'!$E$3:$F2000,""SELECT F WHERE E LIKE '""&amp;'carga de materiais'!E693&amp;""'""))"),"#REF!")</f>
        <v>#REF!</v>
      </c>
    </row>
    <row r="693">
      <c r="A693" s="87" t="str">
        <f>IFERROR(__xludf.DUMMYFUNCTION("TRANSPOSE(QUERY('Cadastro VTR/SEÇÃO/MILITAR'!$E$3:$F2000,""SELECT F WHERE E LIKE '""&amp;'carga de materiais'!E694&amp;""'""))"),"#REF!")</f>
        <v>#REF!</v>
      </c>
    </row>
    <row r="694">
      <c r="A694" s="87" t="str">
        <f>IFERROR(__xludf.DUMMYFUNCTION("TRANSPOSE(QUERY('Cadastro VTR/SEÇÃO/MILITAR'!$E$3:$F2000,""SELECT F WHERE E LIKE '""&amp;'carga de materiais'!E695&amp;""'""))"),"#REF!")</f>
        <v>#REF!</v>
      </c>
    </row>
    <row r="695">
      <c r="A695" s="87" t="str">
        <f>IFERROR(__xludf.DUMMYFUNCTION("TRANSPOSE(QUERY('Cadastro VTR/SEÇÃO/MILITAR'!$E$3:$F2000,""SELECT F WHERE E LIKE '""&amp;'carga de materiais'!E696&amp;""'""))"),"#REF!")</f>
        <v>#REF!</v>
      </c>
    </row>
    <row r="696">
      <c r="A696" s="87" t="str">
        <f>IFERROR(__xludf.DUMMYFUNCTION("TRANSPOSE(QUERY('Cadastro VTR/SEÇÃO/MILITAR'!$E$3:$F2000,""SELECT F WHERE E LIKE '""&amp;'carga de materiais'!E697&amp;""'""))"),"#REF!")</f>
        <v>#REF!</v>
      </c>
    </row>
    <row r="697">
      <c r="A697" s="87" t="str">
        <f>IFERROR(__xludf.DUMMYFUNCTION("TRANSPOSE(QUERY('Cadastro VTR/SEÇÃO/MILITAR'!$E$3:$F2000,""SELECT F WHERE E LIKE '""&amp;'carga de materiais'!E698&amp;""'""))"),"#REF!")</f>
        <v>#REF!</v>
      </c>
    </row>
    <row r="698">
      <c r="A698" s="87" t="str">
        <f>IFERROR(__xludf.DUMMYFUNCTION("TRANSPOSE(QUERY('Cadastro VTR/SEÇÃO/MILITAR'!$E$3:$F2000,""SELECT F WHERE E LIKE '""&amp;'carga de materiais'!E699&amp;""'""))"),"#REF!")</f>
        <v>#REF!</v>
      </c>
    </row>
    <row r="699">
      <c r="A699" s="87" t="str">
        <f>IFERROR(__xludf.DUMMYFUNCTION("TRANSPOSE(QUERY('Cadastro VTR/SEÇÃO/MILITAR'!$E$3:$F2000,""SELECT F WHERE E LIKE '""&amp;'carga de materiais'!E700&amp;""'""))"),"#REF!")</f>
        <v>#REF!</v>
      </c>
    </row>
    <row r="700">
      <c r="A700" s="87" t="str">
        <f>IFERROR(__xludf.DUMMYFUNCTION("TRANSPOSE(QUERY('Cadastro VTR/SEÇÃO/MILITAR'!$E$3:$F2000,""SELECT F WHERE E LIKE '""&amp;'carga de materiais'!E701&amp;""'""))"),"#REF!")</f>
        <v>#REF!</v>
      </c>
    </row>
    <row r="701">
      <c r="A701" s="87" t="str">
        <f>IFERROR(__xludf.DUMMYFUNCTION("TRANSPOSE(QUERY('Cadastro VTR/SEÇÃO/MILITAR'!$E$3:$F2000,""SELECT F WHERE E LIKE '""&amp;'carga de materiais'!E702&amp;""'""))"),"#REF!")</f>
        <v>#REF!</v>
      </c>
    </row>
    <row r="702">
      <c r="A702" s="87" t="str">
        <f>IFERROR(__xludf.DUMMYFUNCTION("TRANSPOSE(QUERY('Cadastro VTR/SEÇÃO/MILITAR'!$E$3:$F2000,""SELECT F WHERE E LIKE '""&amp;'carga de materiais'!E703&amp;""'""))"),"#REF!")</f>
        <v>#REF!</v>
      </c>
    </row>
    <row r="703">
      <c r="A703" s="87" t="str">
        <f>IFERROR(__xludf.DUMMYFUNCTION("TRANSPOSE(QUERY('Cadastro VTR/SEÇÃO/MILITAR'!$E$3:$F2000,""SELECT F WHERE E LIKE '""&amp;'carga de materiais'!E704&amp;""'""))"),"#REF!")</f>
        <v>#REF!</v>
      </c>
    </row>
    <row r="704">
      <c r="A704" s="87" t="str">
        <f>IFERROR(__xludf.DUMMYFUNCTION("TRANSPOSE(QUERY('Cadastro VTR/SEÇÃO/MILITAR'!$E$3:$F2000,""SELECT F WHERE E LIKE '""&amp;'carga de materiais'!E705&amp;""'""))"),"#REF!")</f>
        <v>#REF!</v>
      </c>
    </row>
    <row r="705">
      <c r="A705" s="87" t="str">
        <f>IFERROR(__xludf.DUMMYFUNCTION("TRANSPOSE(QUERY('Cadastro VTR/SEÇÃO/MILITAR'!$E$3:$F2000,""SELECT F WHERE E LIKE '""&amp;'carga de materiais'!E706&amp;""'""))"),"#REF!")</f>
        <v>#REF!</v>
      </c>
    </row>
    <row r="706">
      <c r="A706" s="87" t="str">
        <f>IFERROR(__xludf.DUMMYFUNCTION("TRANSPOSE(QUERY('Cadastro VTR/SEÇÃO/MILITAR'!$E$3:$F2000,""SELECT F WHERE E LIKE '""&amp;'carga de materiais'!E707&amp;""'""))"),"#REF!")</f>
        <v>#REF!</v>
      </c>
    </row>
    <row r="707">
      <c r="A707" s="87" t="str">
        <f>IFERROR(__xludf.DUMMYFUNCTION("TRANSPOSE(QUERY('Cadastro VTR/SEÇÃO/MILITAR'!$E$3:$F2000,""SELECT F WHERE E LIKE '""&amp;'carga de materiais'!E708&amp;""'""))"),"#REF!")</f>
        <v>#REF!</v>
      </c>
    </row>
    <row r="708">
      <c r="A708" s="87" t="str">
        <f>IFERROR(__xludf.DUMMYFUNCTION("TRANSPOSE(QUERY('Cadastro VTR/SEÇÃO/MILITAR'!$E$3:$F2000,""SELECT F WHERE E LIKE '""&amp;'carga de materiais'!E709&amp;""'""))"),"#REF!")</f>
        <v>#REF!</v>
      </c>
    </row>
    <row r="709">
      <c r="A709" s="87" t="str">
        <f>IFERROR(__xludf.DUMMYFUNCTION("TRANSPOSE(QUERY('Cadastro VTR/SEÇÃO/MILITAR'!$E$3:$F2000,""SELECT F WHERE E LIKE '""&amp;'carga de materiais'!E710&amp;""'""))"),"#REF!")</f>
        <v>#REF!</v>
      </c>
    </row>
    <row r="710">
      <c r="A710" s="87" t="str">
        <f>IFERROR(__xludf.DUMMYFUNCTION("TRANSPOSE(QUERY('Cadastro VTR/SEÇÃO/MILITAR'!$E$3:$F2000,""SELECT F WHERE E LIKE '""&amp;'carga de materiais'!E711&amp;""'""))"),"#REF!")</f>
        <v>#REF!</v>
      </c>
    </row>
    <row r="711">
      <c r="A711" s="87" t="str">
        <f>IFERROR(__xludf.DUMMYFUNCTION("TRANSPOSE(QUERY('Cadastro VTR/SEÇÃO/MILITAR'!$E$3:$F2000,""SELECT F WHERE E LIKE '""&amp;'carga de materiais'!E712&amp;""'""))"),"#REF!")</f>
        <v>#REF!</v>
      </c>
    </row>
    <row r="712">
      <c r="A712" s="87" t="str">
        <f>IFERROR(__xludf.DUMMYFUNCTION("TRANSPOSE(QUERY('Cadastro VTR/SEÇÃO/MILITAR'!$E$3:$F2000,""SELECT F WHERE E LIKE '""&amp;'carga de materiais'!E713&amp;""'""))"),"#REF!")</f>
        <v>#REF!</v>
      </c>
    </row>
    <row r="713">
      <c r="A713" s="87" t="str">
        <f>IFERROR(__xludf.DUMMYFUNCTION("TRANSPOSE(QUERY('Cadastro VTR/SEÇÃO/MILITAR'!$E$3:$F2000,""SELECT F WHERE E LIKE '""&amp;'carga de materiais'!E714&amp;""'""))"),"#REF!")</f>
        <v>#REF!</v>
      </c>
    </row>
    <row r="714">
      <c r="A714" s="87" t="str">
        <f>IFERROR(__xludf.DUMMYFUNCTION("TRANSPOSE(QUERY('Cadastro VTR/SEÇÃO/MILITAR'!$E$3:$F2000,""SELECT F WHERE E LIKE '""&amp;'carga de materiais'!E715&amp;""'""))"),"#REF!")</f>
        <v>#REF!</v>
      </c>
    </row>
    <row r="715">
      <c r="A715" s="87" t="str">
        <f>IFERROR(__xludf.DUMMYFUNCTION("TRANSPOSE(QUERY('Cadastro VTR/SEÇÃO/MILITAR'!$E$3:$F2000,""SELECT F WHERE E LIKE '""&amp;'carga de materiais'!E716&amp;""'""))"),"#REF!")</f>
        <v>#REF!</v>
      </c>
    </row>
    <row r="716">
      <c r="A716" s="87" t="str">
        <f>IFERROR(__xludf.DUMMYFUNCTION("TRANSPOSE(QUERY('Cadastro VTR/SEÇÃO/MILITAR'!$E$3:$F2000,""SELECT F WHERE E LIKE '""&amp;'carga de materiais'!E717&amp;""'""))"),"#REF!")</f>
        <v>#REF!</v>
      </c>
    </row>
    <row r="717">
      <c r="A717" s="87" t="str">
        <f>IFERROR(__xludf.DUMMYFUNCTION("TRANSPOSE(QUERY('Cadastro VTR/SEÇÃO/MILITAR'!$E$3:$F2000,""SELECT F WHERE E LIKE '""&amp;'carga de materiais'!E718&amp;""'""))"),"#REF!")</f>
        <v>#REF!</v>
      </c>
    </row>
    <row r="718">
      <c r="A718" s="87" t="str">
        <f>IFERROR(__xludf.DUMMYFUNCTION("TRANSPOSE(QUERY('Cadastro VTR/SEÇÃO/MILITAR'!$E$3:$F2000,""SELECT F WHERE E LIKE '""&amp;'carga de materiais'!E719&amp;""'""))"),"#REF!")</f>
        <v>#REF!</v>
      </c>
    </row>
    <row r="719">
      <c r="A719" s="87" t="str">
        <f>IFERROR(__xludf.DUMMYFUNCTION("TRANSPOSE(QUERY('Cadastro VTR/SEÇÃO/MILITAR'!$E$3:$F2000,""SELECT F WHERE E LIKE '""&amp;'carga de materiais'!E720&amp;""'""))"),"#REF!")</f>
        <v>#REF!</v>
      </c>
    </row>
    <row r="720">
      <c r="A720" s="87" t="str">
        <f>IFERROR(__xludf.DUMMYFUNCTION("TRANSPOSE(QUERY('Cadastro VTR/SEÇÃO/MILITAR'!$E$3:$F2000,""SELECT F WHERE E LIKE '""&amp;'carga de materiais'!E721&amp;""'""))"),"#REF!")</f>
        <v>#REF!</v>
      </c>
    </row>
    <row r="721">
      <c r="A721" s="87" t="str">
        <f>IFERROR(__xludf.DUMMYFUNCTION("TRANSPOSE(QUERY('Cadastro VTR/SEÇÃO/MILITAR'!$E$3:$F2000,""SELECT F WHERE E LIKE '""&amp;'carga de materiais'!E722&amp;""'""))"),"#REF!")</f>
        <v>#REF!</v>
      </c>
    </row>
    <row r="722">
      <c r="A722" s="87" t="str">
        <f>IFERROR(__xludf.DUMMYFUNCTION("TRANSPOSE(QUERY('Cadastro VTR/SEÇÃO/MILITAR'!$E$3:$F2000,""SELECT F WHERE E LIKE '""&amp;'carga de materiais'!E723&amp;""'""))"),"#REF!")</f>
        <v>#REF!</v>
      </c>
    </row>
    <row r="723">
      <c r="A723" s="87" t="str">
        <f>IFERROR(__xludf.DUMMYFUNCTION("TRANSPOSE(QUERY('Cadastro VTR/SEÇÃO/MILITAR'!$E$3:$F2000,""SELECT F WHERE E LIKE '""&amp;'carga de materiais'!E724&amp;""'""))"),"#REF!")</f>
        <v>#REF!</v>
      </c>
    </row>
    <row r="724">
      <c r="A724" s="87" t="str">
        <f>IFERROR(__xludf.DUMMYFUNCTION("TRANSPOSE(QUERY('Cadastro VTR/SEÇÃO/MILITAR'!$E$3:$F2000,""SELECT F WHERE E LIKE '""&amp;'carga de materiais'!E725&amp;""'""))"),"#REF!")</f>
        <v>#REF!</v>
      </c>
    </row>
    <row r="725">
      <c r="A725" s="87" t="str">
        <f>IFERROR(__xludf.DUMMYFUNCTION("TRANSPOSE(QUERY('Cadastro VTR/SEÇÃO/MILITAR'!$E$3:$F2000,""SELECT F WHERE E LIKE '""&amp;'carga de materiais'!E726&amp;""'""))"),"#REF!")</f>
        <v>#REF!</v>
      </c>
    </row>
    <row r="726">
      <c r="A726" s="87" t="str">
        <f>IFERROR(__xludf.DUMMYFUNCTION("TRANSPOSE(QUERY('Cadastro VTR/SEÇÃO/MILITAR'!$E$3:$F2000,""SELECT F WHERE E LIKE '""&amp;'carga de materiais'!E727&amp;""'""))"),"#REF!")</f>
        <v>#REF!</v>
      </c>
    </row>
    <row r="727">
      <c r="A727" s="87" t="str">
        <f>IFERROR(__xludf.DUMMYFUNCTION("TRANSPOSE(QUERY('Cadastro VTR/SEÇÃO/MILITAR'!$E$3:$F2000,""SELECT F WHERE E LIKE '""&amp;'carga de materiais'!E728&amp;""'""))"),"#REF!")</f>
        <v>#REF!</v>
      </c>
    </row>
    <row r="728">
      <c r="A728" s="87" t="str">
        <f>IFERROR(__xludf.DUMMYFUNCTION("TRANSPOSE(QUERY('Cadastro VTR/SEÇÃO/MILITAR'!$E$3:$F2000,""SELECT F WHERE E LIKE '""&amp;'carga de materiais'!E729&amp;""'""))"),"#REF!")</f>
        <v>#REF!</v>
      </c>
    </row>
    <row r="729">
      <c r="A729" s="87" t="str">
        <f>IFERROR(__xludf.DUMMYFUNCTION("TRANSPOSE(QUERY('Cadastro VTR/SEÇÃO/MILITAR'!$E$3:$F2000,""SELECT F WHERE E LIKE '""&amp;'carga de materiais'!E730&amp;""'""))"),"#REF!")</f>
        <v>#REF!</v>
      </c>
    </row>
    <row r="730">
      <c r="A730" s="87" t="str">
        <f>IFERROR(__xludf.DUMMYFUNCTION("TRANSPOSE(QUERY('Cadastro VTR/SEÇÃO/MILITAR'!$E$3:$F2000,""SELECT F WHERE E LIKE '""&amp;'carga de materiais'!E731&amp;""'""))"),"#REF!")</f>
        <v>#REF!</v>
      </c>
    </row>
    <row r="731">
      <c r="A731" s="87" t="str">
        <f>IFERROR(__xludf.DUMMYFUNCTION("TRANSPOSE(QUERY('Cadastro VTR/SEÇÃO/MILITAR'!$E$3:$F2000,""SELECT F WHERE E LIKE '""&amp;'carga de materiais'!E732&amp;""'""))"),"#REF!")</f>
        <v>#REF!</v>
      </c>
    </row>
    <row r="732">
      <c r="A732" s="87" t="str">
        <f>IFERROR(__xludf.DUMMYFUNCTION("TRANSPOSE(QUERY('Cadastro VTR/SEÇÃO/MILITAR'!$E$3:$F2000,""SELECT F WHERE E LIKE '""&amp;'carga de materiais'!E733&amp;""'""))"),"#REF!")</f>
        <v>#REF!</v>
      </c>
    </row>
    <row r="733">
      <c r="A733" s="87" t="str">
        <f>IFERROR(__xludf.DUMMYFUNCTION("TRANSPOSE(QUERY('Cadastro VTR/SEÇÃO/MILITAR'!$E$3:$F2000,""SELECT F WHERE E LIKE '""&amp;'carga de materiais'!E734&amp;""'""))"),"#REF!")</f>
        <v>#REF!</v>
      </c>
    </row>
    <row r="734">
      <c r="A734" s="87" t="str">
        <f>IFERROR(__xludf.DUMMYFUNCTION("TRANSPOSE(QUERY('Cadastro VTR/SEÇÃO/MILITAR'!$E$3:$F2000,""SELECT F WHERE E LIKE '""&amp;'carga de materiais'!E735&amp;""'""))"),"#REF!")</f>
        <v>#REF!</v>
      </c>
    </row>
    <row r="735">
      <c r="A735" s="87" t="str">
        <f>IFERROR(__xludf.DUMMYFUNCTION("TRANSPOSE(QUERY('Cadastro VTR/SEÇÃO/MILITAR'!$E$3:$F2000,""SELECT F WHERE E LIKE '""&amp;'carga de materiais'!E736&amp;""'""))"),"#REF!")</f>
        <v>#REF!</v>
      </c>
    </row>
    <row r="736">
      <c r="A736" s="87" t="str">
        <f>IFERROR(__xludf.DUMMYFUNCTION("TRANSPOSE(QUERY('Cadastro VTR/SEÇÃO/MILITAR'!$E$3:$F2000,""SELECT F WHERE E LIKE '""&amp;'carga de materiais'!E737&amp;""'""))"),"#REF!")</f>
        <v>#REF!</v>
      </c>
    </row>
    <row r="737">
      <c r="A737" s="87" t="str">
        <f>IFERROR(__xludf.DUMMYFUNCTION("TRANSPOSE(QUERY('Cadastro VTR/SEÇÃO/MILITAR'!$E$3:$F2000,""SELECT F WHERE E LIKE '""&amp;'carga de materiais'!E738&amp;""'""))"),"#REF!")</f>
        <v>#REF!</v>
      </c>
    </row>
    <row r="738">
      <c r="A738" s="87" t="str">
        <f>IFERROR(__xludf.DUMMYFUNCTION("TRANSPOSE(QUERY('Cadastro VTR/SEÇÃO/MILITAR'!$E$3:$F2000,""SELECT F WHERE E LIKE '""&amp;'carga de materiais'!E739&amp;""'""))"),"#REF!")</f>
        <v>#REF!</v>
      </c>
    </row>
    <row r="739">
      <c r="A739" s="87" t="str">
        <f>IFERROR(__xludf.DUMMYFUNCTION("TRANSPOSE(QUERY('Cadastro VTR/SEÇÃO/MILITAR'!$E$3:$F2000,""SELECT F WHERE E LIKE '""&amp;'carga de materiais'!E740&amp;""'""))"),"#REF!")</f>
        <v>#REF!</v>
      </c>
    </row>
    <row r="740">
      <c r="A740" s="87" t="str">
        <f>IFERROR(__xludf.DUMMYFUNCTION("TRANSPOSE(QUERY('Cadastro VTR/SEÇÃO/MILITAR'!$E$3:$F2000,""SELECT F WHERE E LIKE '""&amp;'carga de materiais'!E741&amp;""'""))"),"#REF!")</f>
        <v>#REF!</v>
      </c>
    </row>
    <row r="741">
      <c r="A741" s="87" t="str">
        <f>IFERROR(__xludf.DUMMYFUNCTION("TRANSPOSE(QUERY('Cadastro VTR/SEÇÃO/MILITAR'!$E$3:$F2000,""SELECT F WHERE E LIKE '""&amp;'carga de materiais'!E742&amp;""'""))"),"#REF!")</f>
        <v>#REF!</v>
      </c>
    </row>
    <row r="742">
      <c r="A742" s="87" t="str">
        <f>IFERROR(__xludf.DUMMYFUNCTION("TRANSPOSE(QUERY('Cadastro VTR/SEÇÃO/MILITAR'!$E$3:$F2000,""SELECT F WHERE E LIKE '""&amp;'carga de materiais'!E743&amp;""'""))"),"#REF!")</f>
        <v>#REF!</v>
      </c>
    </row>
    <row r="743">
      <c r="A743" s="87" t="str">
        <f>IFERROR(__xludf.DUMMYFUNCTION("TRANSPOSE(QUERY('Cadastro VTR/SEÇÃO/MILITAR'!$E$3:$F2000,""SELECT F WHERE E LIKE '""&amp;'carga de materiais'!E744&amp;""'""))"),"#REF!")</f>
        <v>#REF!</v>
      </c>
    </row>
    <row r="744">
      <c r="A744" s="87" t="str">
        <f>IFERROR(__xludf.DUMMYFUNCTION("TRANSPOSE(QUERY('Cadastro VTR/SEÇÃO/MILITAR'!$E$3:$F2000,""SELECT F WHERE E LIKE '""&amp;'carga de materiais'!E745&amp;""'""))"),"#REF!")</f>
        <v>#REF!</v>
      </c>
    </row>
    <row r="745">
      <c r="A745" s="87" t="str">
        <f>IFERROR(__xludf.DUMMYFUNCTION("TRANSPOSE(QUERY('Cadastro VTR/SEÇÃO/MILITAR'!$E$3:$F2000,""SELECT F WHERE E LIKE '""&amp;'carga de materiais'!E746&amp;""'""))"),"#REF!")</f>
        <v>#REF!</v>
      </c>
    </row>
    <row r="746">
      <c r="A746" s="87" t="str">
        <f>IFERROR(__xludf.DUMMYFUNCTION("TRANSPOSE(QUERY('Cadastro VTR/SEÇÃO/MILITAR'!$E$3:$F2000,""SELECT F WHERE E LIKE '""&amp;'carga de materiais'!E747&amp;""'""))"),"#REF!")</f>
        <v>#REF!</v>
      </c>
    </row>
    <row r="747">
      <c r="A747" s="87" t="str">
        <f>IFERROR(__xludf.DUMMYFUNCTION("TRANSPOSE(QUERY('Cadastro VTR/SEÇÃO/MILITAR'!$E$3:$F2000,""SELECT F WHERE E LIKE '""&amp;'carga de materiais'!E748&amp;""'""))"),"#REF!")</f>
        <v>#REF!</v>
      </c>
    </row>
    <row r="748">
      <c r="A748" s="87" t="str">
        <f>IFERROR(__xludf.DUMMYFUNCTION("TRANSPOSE(QUERY('Cadastro VTR/SEÇÃO/MILITAR'!$E$3:$F2000,""SELECT F WHERE E LIKE '""&amp;'carga de materiais'!E749&amp;""'""))"),"#REF!")</f>
        <v>#REF!</v>
      </c>
    </row>
    <row r="749">
      <c r="A749" s="87" t="str">
        <f>IFERROR(__xludf.DUMMYFUNCTION("TRANSPOSE(QUERY('Cadastro VTR/SEÇÃO/MILITAR'!$E$3:$F2000,""SELECT F WHERE E LIKE '""&amp;'carga de materiais'!E750&amp;""'""))"),"#REF!")</f>
        <v>#REF!</v>
      </c>
    </row>
    <row r="750">
      <c r="A750" s="87" t="str">
        <f>IFERROR(__xludf.DUMMYFUNCTION("TRANSPOSE(QUERY('Cadastro VTR/SEÇÃO/MILITAR'!$E$3:$F2000,""SELECT F WHERE E LIKE '""&amp;'carga de materiais'!E751&amp;""'""))"),"#REF!")</f>
        <v>#REF!</v>
      </c>
    </row>
    <row r="751">
      <c r="A751" s="87" t="str">
        <f>IFERROR(__xludf.DUMMYFUNCTION("TRANSPOSE(QUERY('Cadastro VTR/SEÇÃO/MILITAR'!$E$3:$F2000,""SELECT F WHERE E LIKE '""&amp;'carga de materiais'!E752&amp;""'""))"),"#REF!")</f>
        <v>#REF!</v>
      </c>
    </row>
    <row r="752">
      <c r="A752" s="87" t="str">
        <f>IFERROR(__xludf.DUMMYFUNCTION("TRANSPOSE(QUERY('Cadastro VTR/SEÇÃO/MILITAR'!$E$3:$F2000,""SELECT F WHERE E LIKE '""&amp;'carga de materiais'!E753&amp;""'""))"),"#REF!")</f>
        <v>#REF!</v>
      </c>
    </row>
    <row r="753">
      <c r="A753" s="87" t="str">
        <f>IFERROR(__xludf.DUMMYFUNCTION("TRANSPOSE(QUERY('Cadastro VTR/SEÇÃO/MILITAR'!$E$3:$F2000,""SELECT F WHERE E LIKE '""&amp;'carga de materiais'!E754&amp;""'""))"),"#REF!")</f>
        <v>#REF!</v>
      </c>
    </row>
    <row r="754">
      <c r="A754" s="87" t="str">
        <f>IFERROR(__xludf.DUMMYFUNCTION("TRANSPOSE(QUERY('Cadastro VTR/SEÇÃO/MILITAR'!$E$3:$F2000,""SELECT F WHERE E LIKE '""&amp;'carga de materiais'!E755&amp;""'""))"),"#REF!")</f>
        <v>#REF!</v>
      </c>
    </row>
    <row r="755">
      <c r="A755" s="87" t="str">
        <f>IFERROR(__xludf.DUMMYFUNCTION("TRANSPOSE(QUERY('Cadastro VTR/SEÇÃO/MILITAR'!$E$3:$F2000,""SELECT F WHERE E LIKE '""&amp;'carga de materiais'!E756&amp;""'""))"),"#REF!")</f>
        <v>#REF!</v>
      </c>
    </row>
    <row r="756">
      <c r="A756" s="87" t="str">
        <f>IFERROR(__xludf.DUMMYFUNCTION("TRANSPOSE(QUERY('Cadastro VTR/SEÇÃO/MILITAR'!$E$3:$F2000,""SELECT F WHERE E LIKE '""&amp;'carga de materiais'!E757&amp;""'""))"),"#REF!")</f>
        <v>#REF!</v>
      </c>
    </row>
    <row r="757">
      <c r="A757" s="87" t="str">
        <f>IFERROR(__xludf.DUMMYFUNCTION("TRANSPOSE(QUERY('Cadastro VTR/SEÇÃO/MILITAR'!$E$3:$F2000,""SELECT F WHERE E LIKE '""&amp;'carga de materiais'!E758&amp;""'""))"),"#REF!")</f>
        <v>#REF!</v>
      </c>
    </row>
    <row r="758">
      <c r="A758" s="87" t="str">
        <f>IFERROR(__xludf.DUMMYFUNCTION("TRANSPOSE(QUERY('Cadastro VTR/SEÇÃO/MILITAR'!$E$3:$F2000,""SELECT F WHERE E LIKE '""&amp;'carga de materiais'!E759&amp;""'""))"),"#REF!")</f>
        <v>#REF!</v>
      </c>
    </row>
    <row r="759">
      <c r="A759" s="87" t="str">
        <f>IFERROR(__xludf.DUMMYFUNCTION("TRANSPOSE(QUERY('Cadastro VTR/SEÇÃO/MILITAR'!$E$3:$F2000,""SELECT F WHERE E LIKE '""&amp;'carga de materiais'!E760&amp;""'""))"),"#REF!")</f>
        <v>#REF!</v>
      </c>
    </row>
    <row r="760">
      <c r="A760" s="87" t="str">
        <f>IFERROR(__xludf.DUMMYFUNCTION("TRANSPOSE(QUERY('Cadastro VTR/SEÇÃO/MILITAR'!$E$3:$F2000,""SELECT F WHERE E LIKE '""&amp;'carga de materiais'!E761&amp;""'""))"),"#REF!")</f>
        <v>#REF!</v>
      </c>
    </row>
    <row r="761">
      <c r="A761" s="87" t="str">
        <f>IFERROR(__xludf.DUMMYFUNCTION("TRANSPOSE(QUERY('Cadastro VTR/SEÇÃO/MILITAR'!$E$3:$F2000,""SELECT F WHERE E LIKE '""&amp;'carga de materiais'!E762&amp;""'""))"),"#REF!")</f>
        <v>#REF!</v>
      </c>
    </row>
    <row r="762">
      <c r="A762" s="87" t="str">
        <f>IFERROR(__xludf.DUMMYFUNCTION("TRANSPOSE(QUERY('Cadastro VTR/SEÇÃO/MILITAR'!$E$3:$F2000,""SELECT F WHERE E LIKE '""&amp;'carga de materiais'!E763&amp;""'""))"),"#REF!")</f>
        <v>#REF!</v>
      </c>
    </row>
    <row r="763">
      <c r="A763" s="87" t="str">
        <f>IFERROR(__xludf.DUMMYFUNCTION("TRANSPOSE(QUERY('Cadastro VTR/SEÇÃO/MILITAR'!$E$3:$F2000,""SELECT F WHERE E LIKE '""&amp;'carga de materiais'!E764&amp;""'""))"),"#REF!")</f>
        <v>#REF!</v>
      </c>
    </row>
    <row r="764">
      <c r="A764" s="87" t="str">
        <f>IFERROR(__xludf.DUMMYFUNCTION("TRANSPOSE(QUERY('Cadastro VTR/SEÇÃO/MILITAR'!$E$3:$F2000,""SELECT F WHERE E LIKE '""&amp;'carga de materiais'!E765&amp;""'""))"),"#REF!")</f>
        <v>#REF!</v>
      </c>
    </row>
    <row r="765">
      <c r="A765" s="87" t="str">
        <f>IFERROR(__xludf.DUMMYFUNCTION("TRANSPOSE(QUERY('Cadastro VTR/SEÇÃO/MILITAR'!$E$3:$F2000,""SELECT F WHERE E LIKE '""&amp;'carga de materiais'!E766&amp;""'""))"),"#REF!")</f>
        <v>#REF!</v>
      </c>
    </row>
    <row r="766">
      <c r="A766" s="87" t="str">
        <f>IFERROR(__xludf.DUMMYFUNCTION("TRANSPOSE(QUERY('Cadastro VTR/SEÇÃO/MILITAR'!$E$3:$F2000,""SELECT F WHERE E LIKE '""&amp;'carga de materiais'!E767&amp;""'""))"),"#REF!")</f>
        <v>#REF!</v>
      </c>
    </row>
    <row r="767">
      <c r="A767" s="87" t="str">
        <f>IFERROR(__xludf.DUMMYFUNCTION("TRANSPOSE(QUERY('Cadastro VTR/SEÇÃO/MILITAR'!$E$3:$F2000,""SELECT F WHERE E LIKE '""&amp;'carga de materiais'!E768&amp;""'""))"),"#REF!")</f>
        <v>#REF!</v>
      </c>
    </row>
    <row r="768">
      <c r="A768" s="87" t="str">
        <f>IFERROR(__xludf.DUMMYFUNCTION("TRANSPOSE(QUERY('Cadastro VTR/SEÇÃO/MILITAR'!$E$3:$F2000,""SELECT F WHERE E LIKE '""&amp;'carga de materiais'!E769&amp;""'""))"),"#REF!")</f>
        <v>#REF!</v>
      </c>
    </row>
    <row r="769">
      <c r="A769" s="87" t="str">
        <f>IFERROR(__xludf.DUMMYFUNCTION("TRANSPOSE(QUERY('Cadastro VTR/SEÇÃO/MILITAR'!$E$3:$F2000,""SELECT F WHERE E LIKE '""&amp;'carga de materiais'!E770&amp;""'""))"),"#REF!")</f>
        <v>#REF!</v>
      </c>
    </row>
    <row r="770">
      <c r="A770" s="87" t="str">
        <f>IFERROR(__xludf.DUMMYFUNCTION("TRANSPOSE(QUERY('Cadastro VTR/SEÇÃO/MILITAR'!$E$3:$F2000,""SELECT F WHERE E LIKE '""&amp;'carga de materiais'!E771&amp;""'""))"),"#REF!")</f>
        <v>#REF!</v>
      </c>
    </row>
    <row r="771">
      <c r="A771" s="87" t="str">
        <f>IFERROR(__xludf.DUMMYFUNCTION("TRANSPOSE(QUERY('Cadastro VTR/SEÇÃO/MILITAR'!$E$3:$F2000,""SELECT F WHERE E LIKE '""&amp;'carga de materiais'!E772&amp;""'""))"),"#REF!")</f>
        <v>#REF!</v>
      </c>
    </row>
    <row r="772">
      <c r="A772" s="87" t="str">
        <f>IFERROR(__xludf.DUMMYFUNCTION("TRANSPOSE(QUERY('Cadastro VTR/SEÇÃO/MILITAR'!$E$3:$F2000,""SELECT F WHERE E LIKE '""&amp;'carga de materiais'!E773&amp;""'""))"),"#REF!")</f>
        <v>#REF!</v>
      </c>
    </row>
    <row r="773">
      <c r="A773" s="87" t="str">
        <f>IFERROR(__xludf.DUMMYFUNCTION("TRANSPOSE(QUERY('Cadastro VTR/SEÇÃO/MILITAR'!$E$3:$F2000,""SELECT F WHERE E LIKE '""&amp;'carga de materiais'!E774&amp;""'""))"),"#REF!")</f>
        <v>#REF!</v>
      </c>
    </row>
    <row r="774">
      <c r="A774" s="87" t="str">
        <f>IFERROR(__xludf.DUMMYFUNCTION("TRANSPOSE(QUERY('Cadastro VTR/SEÇÃO/MILITAR'!$E$3:$F2000,""SELECT F WHERE E LIKE '""&amp;'carga de materiais'!E775&amp;""'""))"),"#REF!")</f>
        <v>#REF!</v>
      </c>
    </row>
    <row r="775">
      <c r="A775" s="87" t="str">
        <f>IFERROR(__xludf.DUMMYFUNCTION("TRANSPOSE(QUERY('Cadastro VTR/SEÇÃO/MILITAR'!$E$3:$F2000,""SELECT F WHERE E LIKE '""&amp;'carga de materiais'!E776&amp;""'""))"),"#REF!")</f>
        <v>#REF!</v>
      </c>
    </row>
    <row r="776">
      <c r="A776" s="87" t="str">
        <f>IFERROR(__xludf.DUMMYFUNCTION("TRANSPOSE(QUERY('Cadastro VTR/SEÇÃO/MILITAR'!$E$3:$F2000,""SELECT F WHERE E LIKE '""&amp;'carga de materiais'!E777&amp;""'""))"),"#REF!")</f>
        <v>#REF!</v>
      </c>
    </row>
    <row r="777">
      <c r="A777" s="87" t="str">
        <f>IFERROR(__xludf.DUMMYFUNCTION("TRANSPOSE(QUERY('Cadastro VTR/SEÇÃO/MILITAR'!$E$3:$F2000,""SELECT F WHERE E LIKE '""&amp;'carga de materiais'!E778&amp;""'""))"),"#REF!")</f>
        <v>#REF!</v>
      </c>
    </row>
    <row r="778">
      <c r="A778" s="87" t="str">
        <f>IFERROR(__xludf.DUMMYFUNCTION("TRANSPOSE(QUERY('Cadastro VTR/SEÇÃO/MILITAR'!$E$3:$F2000,""SELECT F WHERE E LIKE '""&amp;'carga de materiais'!E779&amp;""'""))"),"#REF!")</f>
        <v>#REF!</v>
      </c>
    </row>
    <row r="779">
      <c r="A779" s="87" t="str">
        <f>IFERROR(__xludf.DUMMYFUNCTION("TRANSPOSE(QUERY('Cadastro VTR/SEÇÃO/MILITAR'!$E$3:$F2000,""SELECT F WHERE E LIKE '""&amp;'carga de materiais'!E780&amp;""'""))"),"#REF!")</f>
        <v>#REF!</v>
      </c>
    </row>
    <row r="780">
      <c r="A780" s="87" t="str">
        <f>IFERROR(__xludf.DUMMYFUNCTION("TRANSPOSE(QUERY('Cadastro VTR/SEÇÃO/MILITAR'!$E$3:$F2000,""SELECT F WHERE E LIKE '""&amp;'carga de materiais'!E781&amp;""'""))"),"#REF!")</f>
        <v>#REF!</v>
      </c>
    </row>
    <row r="781">
      <c r="A781" s="87" t="str">
        <f>IFERROR(__xludf.DUMMYFUNCTION("TRANSPOSE(QUERY('Cadastro VTR/SEÇÃO/MILITAR'!$E$3:$F2000,""SELECT F WHERE E LIKE '""&amp;'carga de materiais'!E782&amp;""'""))"),"#REF!")</f>
        <v>#REF!</v>
      </c>
    </row>
    <row r="782">
      <c r="A782" s="87" t="str">
        <f>IFERROR(__xludf.DUMMYFUNCTION("TRANSPOSE(QUERY('Cadastro VTR/SEÇÃO/MILITAR'!$E$3:$F2000,""SELECT F WHERE E LIKE '""&amp;'carga de materiais'!E783&amp;""'""))"),"#REF!")</f>
        <v>#REF!</v>
      </c>
    </row>
    <row r="783">
      <c r="A783" s="87" t="str">
        <f>IFERROR(__xludf.DUMMYFUNCTION("TRANSPOSE(QUERY('Cadastro VTR/SEÇÃO/MILITAR'!$E$3:$F2000,""SELECT F WHERE E LIKE '""&amp;'carga de materiais'!E784&amp;""'""))"),"#REF!")</f>
        <v>#REF!</v>
      </c>
    </row>
    <row r="784">
      <c r="A784" s="87" t="str">
        <f>IFERROR(__xludf.DUMMYFUNCTION("TRANSPOSE(QUERY('Cadastro VTR/SEÇÃO/MILITAR'!$E$3:$F2000,""SELECT F WHERE E LIKE '""&amp;'carga de materiais'!E785&amp;""'""))"),"#REF!")</f>
        <v>#REF!</v>
      </c>
    </row>
    <row r="785">
      <c r="A785" s="87" t="str">
        <f>IFERROR(__xludf.DUMMYFUNCTION("TRANSPOSE(QUERY('Cadastro VTR/SEÇÃO/MILITAR'!$E$3:$F2000,""SELECT F WHERE E LIKE '""&amp;'carga de materiais'!E786&amp;""'""))"),"#REF!")</f>
        <v>#REF!</v>
      </c>
    </row>
    <row r="786">
      <c r="A786" s="87" t="str">
        <f>IFERROR(__xludf.DUMMYFUNCTION("TRANSPOSE(QUERY('Cadastro VTR/SEÇÃO/MILITAR'!$E$3:$F2000,""SELECT F WHERE E LIKE '""&amp;'carga de materiais'!E787&amp;""'""))"),"#REF!")</f>
        <v>#REF!</v>
      </c>
    </row>
    <row r="787">
      <c r="A787" s="87" t="str">
        <f>IFERROR(__xludf.DUMMYFUNCTION("TRANSPOSE(QUERY('Cadastro VTR/SEÇÃO/MILITAR'!$E$3:$F2000,""SELECT F WHERE E LIKE '""&amp;'carga de materiais'!E788&amp;""'""))"),"#REF!")</f>
        <v>#REF!</v>
      </c>
    </row>
    <row r="788">
      <c r="A788" s="87" t="str">
        <f>IFERROR(__xludf.DUMMYFUNCTION("TRANSPOSE(QUERY('Cadastro VTR/SEÇÃO/MILITAR'!$E$3:$F2000,""SELECT F WHERE E LIKE '""&amp;'carga de materiais'!E789&amp;""'""))"),"#REF!")</f>
        <v>#REF!</v>
      </c>
    </row>
    <row r="789">
      <c r="A789" s="87" t="str">
        <f>IFERROR(__xludf.DUMMYFUNCTION("TRANSPOSE(QUERY('Cadastro VTR/SEÇÃO/MILITAR'!$E$3:$F2000,""SELECT F WHERE E LIKE '""&amp;'carga de materiais'!E790&amp;""'""))"),"#REF!")</f>
        <v>#REF!</v>
      </c>
    </row>
    <row r="790">
      <c r="A790" s="87" t="str">
        <f>IFERROR(__xludf.DUMMYFUNCTION("TRANSPOSE(QUERY('Cadastro VTR/SEÇÃO/MILITAR'!$E$3:$F2000,""SELECT F WHERE E LIKE '""&amp;'carga de materiais'!E791&amp;""'""))"),"#REF!")</f>
        <v>#REF!</v>
      </c>
    </row>
    <row r="791">
      <c r="A791" s="87" t="str">
        <f>IFERROR(__xludf.DUMMYFUNCTION("TRANSPOSE(QUERY('Cadastro VTR/SEÇÃO/MILITAR'!$E$3:$F2000,""SELECT F WHERE E LIKE '""&amp;'carga de materiais'!E792&amp;""'""))"),"#REF!")</f>
        <v>#REF!</v>
      </c>
    </row>
    <row r="792">
      <c r="A792" s="87" t="str">
        <f>IFERROR(__xludf.DUMMYFUNCTION("TRANSPOSE(QUERY('Cadastro VTR/SEÇÃO/MILITAR'!$E$3:$F2000,""SELECT F WHERE E LIKE '""&amp;'carga de materiais'!E793&amp;""'""))"),"#REF!")</f>
        <v>#REF!</v>
      </c>
    </row>
    <row r="793">
      <c r="A793" s="87" t="str">
        <f>IFERROR(__xludf.DUMMYFUNCTION("TRANSPOSE(QUERY('Cadastro VTR/SEÇÃO/MILITAR'!$E$3:$F2000,""SELECT F WHERE E LIKE '""&amp;'carga de materiais'!E794&amp;""'""))"),"#REF!")</f>
        <v>#REF!</v>
      </c>
    </row>
    <row r="794">
      <c r="A794" s="87" t="str">
        <f>IFERROR(__xludf.DUMMYFUNCTION("TRANSPOSE(QUERY('Cadastro VTR/SEÇÃO/MILITAR'!$E$3:$F2000,""SELECT F WHERE E LIKE '""&amp;'carga de materiais'!E795&amp;""'""))"),"#REF!")</f>
        <v>#REF!</v>
      </c>
    </row>
    <row r="795">
      <c r="A795" s="87" t="str">
        <f>IFERROR(__xludf.DUMMYFUNCTION("TRANSPOSE(QUERY('Cadastro VTR/SEÇÃO/MILITAR'!$E$3:$F2000,""SELECT F WHERE E LIKE '""&amp;'carga de materiais'!E796&amp;""'""))"),"#REF!")</f>
        <v>#REF!</v>
      </c>
    </row>
    <row r="796">
      <c r="A796" s="87" t="str">
        <f>IFERROR(__xludf.DUMMYFUNCTION("TRANSPOSE(QUERY('Cadastro VTR/SEÇÃO/MILITAR'!$E$3:$F2000,""SELECT F WHERE E LIKE '""&amp;'carga de materiais'!E797&amp;""'""))"),"#REF!")</f>
        <v>#REF!</v>
      </c>
    </row>
    <row r="797">
      <c r="A797" s="87" t="str">
        <f>IFERROR(__xludf.DUMMYFUNCTION("TRANSPOSE(QUERY('Cadastro VTR/SEÇÃO/MILITAR'!$E$3:$F2000,""SELECT F WHERE E LIKE '""&amp;'carga de materiais'!E798&amp;""'""))"),"#REF!")</f>
        <v>#REF!</v>
      </c>
    </row>
    <row r="798">
      <c r="A798" s="87" t="str">
        <f>IFERROR(__xludf.DUMMYFUNCTION("TRANSPOSE(QUERY('Cadastro VTR/SEÇÃO/MILITAR'!$E$3:$F2000,""SELECT F WHERE E LIKE '""&amp;'carga de materiais'!E799&amp;""'""))"),"#REF!")</f>
        <v>#REF!</v>
      </c>
    </row>
    <row r="799">
      <c r="A799" s="87" t="str">
        <f>IFERROR(__xludf.DUMMYFUNCTION("TRANSPOSE(QUERY('Cadastro VTR/SEÇÃO/MILITAR'!$E$3:$F2000,""SELECT F WHERE E LIKE '""&amp;'carga de materiais'!E800&amp;""'""))"),"#REF!")</f>
        <v>#REF!</v>
      </c>
    </row>
    <row r="800">
      <c r="A800" s="87" t="str">
        <f>IFERROR(__xludf.DUMMYFUNCTION("TRANSPOSE(QUERY('Cadastro VTR/SEÇÃO/MILITAR'!$E$3:$F2000,""SELECT F WHERE E LIKE '""&amp;'carga de materiais'!E801&amp;""'""))"),"#REF!")</f>
        <v>#REF!</v>
      </c>
    </row>
    <row r="801">
      <c r="A801" s="87" t="str">
        <f>IFERROR(__xludf.DUMMYFUNCTION("TRANSPOSE(QUERY('Cadastro VTR/SEÇÃO/MILITAR'!$E$3:$F2000,""SELECT F WHERE E LIKE '""&amp;'carga de materiais'!E802&amp;""'""))"),"#REF!")</f>
        <v>#REF!</v>
      </c>
    </row>
    <row r="802">
      <c r="A802" s="87" t="str">
        <f>IFERROR(__xludf.DUMMYFUNCTION("TRANSPOSE(QUERY('Cadastro VTR/SEÇÃO/MILITAR'!$E$3:$F2000,""SELECT F WHERE E LIKE '""&amp;'carga de materiais'!E803&amp;""'""))"),"#REF!")</f>
        <v>#REF!</v>
      </c>
    </row>
    <row r="803">
      <c r="A803" s="87" t="str">
        <f>IFERROR(__xludf.DUMMYFUNCTION("TRANSPOSE(QUERY('Cadastro VTR/SEÇÃO/MILITAR'!$E$3:$F2000,""SELECT F WHERE E LIKE '""&amp;'carga de materiais'!E804&amp;""'""))"),"#REF!")</f>
        <v>#REF!</v>
      </c>
    </row>
    <row r="804">
      <c r="A804" s="87" t="str">
        <f>IFERROR(__xludf.DUMMYFUNCTION("TRANSPOSE(QUERY('Cadastro VTR/SEÇÃO/MILITAR'!$E$3:$F2000,""SELECT F WHERE E LIKE '""&amp;'carga de materiais'!E805&amp;""'""))"),"#REF!")</f>
        <v>#REF!</v>
      </c>
    </row>
    <row r="805">
      <c r="A805" s="87" t="str">
        <f>IFERROR(__xludf.DUMMYFUNCTION("TRANSPOSE(QUERY('Cadastro VTR/SEÇÃO/MILITAR'!$E$3:$F2000,""SELECT F WHERE E LIKE '""&amp;'carga de materiais'!E806&amp;""'""))"),"#REF!")</f>
        <v>#REF!</v>
      </c>
    </row>
    <row r="806">
      <c r="A806" s="87" t="str">
        <f>IFERROR(__xludf.DUMMYFUNCTION("TRANSPOSE(QUERY('Cadastro VTR/SEÇÃO/MILITAR'!$E$3:$F2000,""SELECT F WHERE E LIKE '""&amp;'carga de materiais'!E807&amp;""'""))"),"#REF!")</f>
        <v>#REF!</v>
      </c>
    </row>
    <row r="807">
      <c r="A807" s="87" t="str">
        <f>IFERROR(__xludf.DUMMYFUNCTION("TRANSPOSE(QUERY('Cadastro VTR/SEÇÃO/MILITAR'!$E$3:$F2000,""SELECT F WHERE E LIKE '""&amp;'carga de materiais'!E808&amp;""'""))"),"#REF!")</f>
        <v>#REF!</v>
      </c>
    </row>
    <row r="808">
      <c r="A808" s="87" t="str">
        <f>IFERROR(__xludf.DUMMYFUNCTION("TRANSPOSE(QUERY('Cadastro VTR/SEÇÃO/MILITAR'!$E$3:$F2000,""SELECT F WHERE E LIKE '""&amp;'carga de materiais'!E809&amp;""'""))"),"#REF!")</f>
        <v>#REF!</v>
      </c>
    </row>
    <row r="809">
      <c r="A809" s="87" t="str">
        <f>IFERROR(__xludf.DUMMYFUNCTION("TRANSPOSE(QUERY('Cadastro VTR/SEÇÃO/MILITAR'!$E$3:$F2000,""SELECT F WHERE E LIKE '""&amp;'carga de materiais'!E810&amp;""'""))"),"#REF!")</f>
        <v>#REF!</v>
      </c>
    </row>
    <row r="810">
      <c r="A810" s="87" t="str">
        <f>IFERROR(__xludf.DUMMYFUNCTION("TRANSPOSE(QUERY('Cadastro VTR/SEÇÃO/MILITAR'!$E$3:$F2000,""SELECT F WHERE E LIKE '""&amp;'carga de materiais'!E811&amp;""'""))"),"#REF!")</f>
        <v>#REF!</v>
      </c>
    </row>
    <row r="811">
      <c r="A811" s="87" t="str">
        <f>IFERROR(__xludf.DUMMYFUNCTION("TRANSPOSE(QUERY('Cadastro VTR/SEÇÃO/MILITAR'!$E$3:$F2000,""SELECT F WHERE E LIKE '""&amp;'carga de materiais'!E812&amp;""'""))"),"#REF!")</f>
        <v>#REF!</v>
      </c>
    </row>
    <row r="812">
      <c r="A812" s="87" t="str">
        <f>IFERROR(__xludf.DUMMYFUNCTION("TRANSPOSE(QUERY('Cadastro VTR/SEÇÃO/MILITAR'!$E$3:$F2000,""SELECT F WHERE E LIKE '""&amp;'carga de materiais'!E813&amp;""'""))"),"#REF!")</f>
        <v>#REF!</v>
      </c>
    </row>
    <row r="813">
      <c r="A813" s="87" t="str">
        <f>IFERROR(__xludf.DUMMYFUNCTION("TRANSPOSE(QUERY('Cadastro VTR/SEÇÃO/MILITAR'!$E$3:$F2000,""SELECT F WHERE E LIKE '""&amp;'carga de materiais'!E814&amp;""'""))"),"#REF!")</f>
        <v>#REF!</v>
      </c>
    </row>
    <row r="814">
      <c r="A814" s="87" t="str">
        <f>IFERROR(__xludf.DUMMYFUNCTION("TRANSPOSE(QUERY('Cadastro VTR/SEÇÃO/MILITAR'!$E$3:$F2000,""SELECT F WHERE E LIKE '""&amp;'carga de materiais'!E815&amp;""'""))"),"#REF!")</f>
        <v>#REF!</v>
      </c>
    </row>
    <row r="815">
      <c r="A815" s="87" t="str">
        <f>IFERROR(__xludf.DUMMYFUNCTION("TRANSPOSE(QUERY('Cadastro VTR/SEÇÃO/MILITAR'!$E$3:$F2000,""SELECT F WHERE E LIKE '""&amp;'carga de materiais'!E816&amp;""'""))"),"#REF!")</f>
        <v>#REF!</v>
      </c>
    </row>
    <row r="816">
      <c r="A816" s="87" t="str">
        <f>IFERROR(__xludf.DUMMYFUNCTION("TRANSPOSE(QUERY('Cadastro VTR/SEÇÃO/MILITAR'!$E$3:$F2000,""SELECT F WHERE E LIKE '""&amp;'carga de materiais'!E817&amp;""'""))"),"#REF!")</f>
        <v>#REF!</v>
      </c>
    </row>
    <row r="817">
      <c r="A817" s="87" t="str">
        <f>IFERROR(__xludf.DUMMYFUNCTION("TRANSPOSE(QUERY('Cadastro VTR/SEÇÃO/MILITAR'!$E$3:$F2000,""SELECT F WHERE E LIKE '""&amp;'carga de materiais'!E818&amp;""'""))"),"#REF!")</f>
        <v>#REF!</v>
      </c>
    </row>
    <row r="818">
      <c r="A818" s="87" t="str">
        <f>IFERROR(__xludf.DUMMYFUNCTION("TRANSPOSE(QUERY('Cadastro VTR/SEÇÃO/MILITAR'!$E$3:$F2000,""SELECT F WHERE E LIKE '""&amp;'carga de materiais'!E819&amp;""'""))"),"#REF!")</f>
        <v>#REF!</v>
      </c>
    </row>
    <row r="819">
      <c r="A819" s="87" t="str">
        <f>IFERROR(__xludf.DUMMYFUNCTION("TRANSPOSE(QUERY('Cadastro VTR/SEÇÃO/MILITAR'!$E$3:$F2000,""SELECT F WHERE E LIKE '""&amp;'carga de materiais'!E820&amp;""'""))"),"#REF!")</f>
        <v>#REF!</v>
      </c>
    </row>
    <row r="820">
      <c r="A820" s="87" t="str">
        <f>IFERROR(__xludf.DUMMYFUNCTION("TRANSPOSE(QUERY('Cadastro VTR/SEÇÃO/MILITAR'!$E$3:$F2000,""SELECT F WHERE E LIKE '""&amp;'carga de materiais'!E821&amp;""'""))"),"#REF!")</f>
        <v>#REF!</v>
      </c>
    </row>
    <row r="821">
      <c r="A821" s="87" t="str">
        <f>IFERROR(__xludf.DUMMYFUNCTION("TRANSPOSE(QUERY('Cadastro VTR/SEÇÃO/MILITAR'!$E$3:$F2000,""SELECT F WHERE E LIKE '""&amp;'carga de materiais'!E822&amp;""'""))"),"#REF!")</f>
        <v>#REF!</v>
      </c>
    </row>
    <row r="822">
      <c r="A822" s="87" t="str">
        <f>IFERROR(__xludf.DUMMYFUNCTION("TRANSPOSE(QUERY('Cadastro VTR/SEÇÃO/MILITAR'!$E$3:$F2000,""SELECT F WHERE E LIKE '""&amp;'carga de materiais'!E823&amp;""'""))"),"#REF!")</f>
        <v>#REF!</v>
      </c>
    </row>
    <row r="823">
      <c r="A823" s="87" t="str">
        <f>IFERROR(__xludf.DUMMYFUNCTION("TRANSPOSE(QUERY('Cadastro VTR/SEÇÃO/MILITAR'!$E$3:$F2000,""SELECT F WHERE E LIKE '""&amp;'carga de materiais'!E824&amp;""'""))"),"#REF!")</f>
        <v>#REF!</v>
      </c>
    </row>
    <row r="824">
      <c r="A824" s="87" t="str">
        <f>IFERROR(__xludf.DUMMYFUNCTION("TRANSPOSE(QUERY('Cadastro VTR/SEÇÃO/MILITAR'!$E$3:$F2000,""SELECT F WHERE E LIKE '""&amp;'carga de materiais'!E825&amp;""'""))"),"#REF!")</f>
        <v>#REF!</v>
      </c>
    </row>
    <row r="825">
      <c r="A825" s="87" t="str">
        <f>IFERROR(__xludf.DUMMYFUNCTION("TRANSPOSE(QUERY('Cadastro VTR/SEÇÃO/MILITAR'!$E$3:$F2000,""SELECT F WHERE E LIKE '""&amp;'carga de materiais'!E826&amp;""'""))"),"#REF!")</f>
        <v>#REF!</v>
      </c>
    </row>
    <row r="826">
      <c r="A826" s="87" t="str">
        <f>IFERROR(__xludf.DUMMYFUNCTION("TRANSPOSE(QUERY('Cadastro VTR/SEÇÃO/MILITAR'!$E$3:$F2000,""SELECT F WHERE E LIKE '""&amp;'carga de materiais'!E827&amp;""'""))"),"#REF!")</f>
        <v>#REF!</v>
      </c>
    </row>
    <row r="827">
      <c r="A827" s="87" t="str">
        <f>IFERROR(__xludf.DUMMYFUNCTION("TRANSPOSE(QUERY('Cadastro VTR/SEÇÃO/MILITAR'!$E$3:$F2000,""SELECT F WHERE E LIKE '""&amp;'carga de materiais'!E828&amp;""'""))"),"#REF!")</f>
        <v>#REF!</v>
      </c>
    </row>
    <row r="828">
      <c r="A828" s="87" t="str">
        <f>IFERROR(__xludf.DUMMYFUNCTION("TRANSPOSE(QUERY('Cadastro VTR/SEÇÃO/MILITAR'!$E$3:$F2000,""SELECT F WHERE E LIKE '""&amp;'carga de materiais'!E829&amp;""'""))"),"#REF!")</f>
        <v>#REF!</v>
      </c>
    </row>
    <row r="829">
      <c r="A829" s="87" t="str">
        <f>IFERROR(__xludf.DUMMYFUNCTION("TRANSPOSE(QUERY('Cadastro VTR/SEÇÃO/MILITAR'!$E$3:$F2000,""SELECT F WHERE E LIKE '""&amp;'carga de materiais'!E830&amp;""'""))"),"#REF!")</f>
        <v>#REF!</v>
      </c>
    </row>
    <row r="830">
      <c r="A830" s="87" t="str">
        <f>IFERROR(__xludf.DUMMYFUNCTION("TRANSPOSE(QUERY('Cadastro VTR/SEÇÃO/MILITAR'!$E$3:$F2000,""SELECT F WHERE E LIKE '""&amp;'carga de materiais'!E831&amp;""'""))"),"#REF!")</f>
        <v>#REF!</v>
      </c>
    </row>
    <row r="831">
      <c r="A831" s="87" t="str">
        <f>IFERROR(__xludf.DUMMYFUNCTION("TRANSPOSE(QUERY('Cadastro VTR/SEÇÃO/MILITAR'!$E$3:$F2000,""SELECT F WHERE E LIKE '""&amp;'carga de materiais'!E832&amp;""'""))"),"#REF!")</f>
        <v>#REF!</v>
      </c>
    </row>
    <row r="832">
      <c r="A832" s="87" t="str">
        <f>IFERROR(__xludf.DUMMYFUNCTION("TRANSPOSE(QUERY('Cadastro VTR/SEÇÃO/MILITAR'!$E$3:$F2000,""SELECT F WHERE E LIKE '""&amp;'carga de materiais'!E833&amp;""'""))"),"#REF!")</f>
        <v>#REF!</v>
      </c>
    </row>
    <row r="833">
      <c r="A833" s="87" t="str">
        <f>IFERROR(__xludf.DUMMYFUNCTION("TRANSPOSE(QUERY('Cadastro VTR/SEÇÃO/MILITAR'!$E$3:$F2000,""SELECT F WHERE E LIKE '""&amp;'carga de materiais'!E834&amp;""'""))"),"#REF!")</f>
        <v>#REF!</v>
      </c>
    </row>
    <row r="834">
      <c r="A834" s="87" t="str">
        <f>IFERROR(__xludf.DUMMYFUNCTION("TRANSPOSE(QUERY('Cadastro VTR/SEÇÃO/MILITAR'!$E$3:$F2000,""SELECT F WHERE E LIKE '""&amp;'carga de materiais'!E835&amp;""'""))"),"#REF!")</f>
        <v>#REF!</v>
      </c>
    </row>
    <row r="835">
      <c r="A835" s="87" t="str">
        <f>IFERROR(__xludf.DUMMYFUNCTION("TRANSPOSE(QUERY('Cadastro VTR/SEÇÃO/MILITAR'!$E$3:$F2000,""SELECT F WHERE E LIKE '""&amp;'carga de materiais'!E836&amp;""'""))"),"#REF!")</f>
        <v>#REF!</v>
      </c>
    </row>
    <row r="836">
      <c r="A836" s="87" t="str">
        <f>IFERROR(__xludf.DUMMYFUNCTION("TRANSPOSE(QUERY('Cadastro VTR/SEÇÃO/MILITAR'!$E$3:$F2000,""SELECT F WHERE E LIKE '""&amp;'carga de materiais'!E837&amp;""'""))"),"#REF!")</f>
        <v>#REF!</v>
      </c>
    </row>
    <row r="837">
      <c r="A837" s="87" t="str">
        <f>IFERROR(__xludf.DUMMYFUNCTION("TRANSPOSE(QUERY('Cadastro VTR/SEÇÃO/MILITAR'!$E$3:$F2000,""SELECT F WHERE E LIKE '""&amp;'carga de materiais'!E838&amp;""'""))"),"#REF!")</f>
        <v>#REF!</v>
      </c>
    </row>
    <row r="838">
      <c r="A838" s="87" t="str">
        <f>IFERROR(__xludf.DUMMYFUNCTION("TRANSPOSE(QUERY('Cadastro VTR/SEÇÃO/MILITAR'!$E$3:$F2000,""SELECT F WHERE E LIKE '""&amp;'carga de materiais'!E839&amp;""'""))"),"#REF!")</f>
        <v>#REF!</v>
      </c>
    </row>
    <row r="839">
      <c r="A839" s="87" t="str">
        <f>IFERROR(__xludf.DUMMYFUNCTION("TRANSPOSE(QUERY('Cadastro VTR/SEÇÃO/MILITAR'!$E$3:$F2000,""SELECT F WHERE E LIKE '""&amp;'carga de materiais'!E840&amp;""'""))"),"#REF!")</f>
        <v>#REF!</v>
      </c>
    </row>
    <row r="840">
      <c r="A840" s="87" t="str">
        <f>IFERROR(__xludf.DUMMYFUNCTION("TRANSPOSE(QUERY('Cadastro VTR/SEÇÃO/MILITAR'!$E$3:$F2000,""SELECT F WHERE E LIKE '""&amp;'carga de materiais'!E841&amp;""'""))"),"#REF!")</f>
        <v>#REF!</v>
      </c>
    </row>
    <row r="841">
      <c r="A841" s="87" t="str">
        <f>IFERROR(__xludf.DUMMYFUNCTION("TRANSPOSE(QUERY('Cadastro VTR/SEÇÃO/MILITAR'!$E$3:$F2000,""SELECT F WHERE E LIKE '""&amp;'carga de materiais'!E842&amp;""'""))"),"#REF!")</f>
        <v>#REF!</v>
      </c>
    </row>
    <row r="842">
      <c r="A842" s="87" t="str">
        <f>IFERROR(__xludf.DUMMYFUNCTION("TRANSPOSE(QUERY('Cadastro VTR/SEÇÃO/MILITAR'!$E$3:$F2000,""SELECT F WHERE E LIKE '""&amp;'carga de materiais'!E843&amp;""'""))"),"#REF!")</f>
        <v>#REF!</v>
      </c>
    </row>
    <row r="843">
      <c r="A843" s="87" t="str">
        <f>IFERROR(__xludf.DUMMYFUNCTION("TRANSPOSE(QUERY('Cadastro VTR/SEÇÃO/MILITAR'!$E$3:$F2000,""SELECT F WHERE E LIKE '""&amp;'carga de materiais'!E844&amp;""'""))"),"#REF!")</f>
        <v>#REF!</v>
      </c>
    </row>
    <row r="844">
      <c r="A844" s="87" t="str">
        <f>IFERROR(__xludf.DUMMYFUNCTION("TRANSPOSE(QUERY('Cadastro VTR/SEÇÃO/MILITAR'!$E$3:$F2000,""SELECT F WHERE E LIKE '""&amp;'carga de materiais'!E845&amp;""'""))"),"#REF!")</f>
        <v>#REF!</v>
      </c>
    </row>
    <row r="845">
      <c r="A845" s="87" t="str">
        <f>IFERROR(__xludf.DUMMYFUNCTION("TRANSPOSE(QUERY('Cadastro VTR/SEÇÃO/MILITAR'!$E$3:$F2000,""SELECT F WHERE E LIKE '""&amp;'carga de materiais'!E846&amp;""'""))"),"#REF!")</f>
        <v>#REF!</v>
      </c>
    </row>
    <row r="846">
      <c r="A846" s="87" t="str">
        <f>IFERROR(__xludf.DUMMYFUNCTION("TRANSPOSE(QUERY('Cadastro VTR/SEÇÃO/MILITAR'!$E$3:$F2000,""SELECT F WHERE E LIKE '""&amp;'carga de materiais'!E847&amp;""'""))"),"#REF!")</f>
        <v>#REF!</v>
      </c>
    </row>
    <row r="847">
      <c r="A847" s="87" t="str">
        <f>IFERROR(__xludf.DUMMYFUNCTION("TRANSPOSE(QUERY('Cadastro VTR/SEÇÃO/MILITAR'!$E$3:$F2000,""SELECT F WHERE E LIKE '""&amp;'carga de materiais'!E848&amp;""'""))"),"#REF!")</f>
        <v>#REF!</v>
      </c>
    </row>
    <row r="848">
      <c r="A848" s="87" t="str">
        <f>IFERROR(__xludf.DUMMYFUNCTION("TRANSPOSE(QUERY('Cadastro VTR/SEÇÃO/MILITAR'!$E$3:$F2000,""SELECT F WHERE E LIKE '""&amp;'carga de materiais'!E849&amp;""'""))"),"#REF!")</f>
        <v>#REF!</v>
      </c>
    </row>
    <row r="849">
      <c r="A849" s="87" t="str">
        <f>IFERROR(__xludf.DUMMYFUNCTION("TRANSPOSE(QUERY('Cadastro VTR/SEÇÃO/MILITAR'!$E$3:$F2000,""SELECT F WHERE E LIKE '""&amp;'carga de materiais'!E850&amp;""'""))"),"#REF!")</f>
        <v>#REF!</v>
      </c>
    </row>
    <row r="850">
      <c r="A850" s="87" t="str">
        <f>IFERROR(__xludf.DUMMYFUNCTION("TRANSPOSE(QUERY('Cadastro VTR/SEÇÃO/MILITAR'!$E$3:$F2000,""SELECT F WHERE E LIKE '""&amp;'carga de materiais'!E851&amp;""'""))"),"#REF!")</f>
        <v>#REF!</v>
      </c>
    </row>
    <row r="851">
      <c r="A851" s="87" t="str">
        <f>IFERROR(__xludf.DUMMYFUNCTION("TRANSPOSE(QUERY('Cadastro VTR/SEÇÃO/MILITAR'!$E$3:$F2000,""SELECT F WHERE E LIKE '""&amp;'carga de materiais'!E852&amp;""'""))"),"#REF!")</f>
        <v>#REF!</v>
      </c>
    </row>
    <row r="852">
      <c r="A852" s="87" t="str">
        <f>IFERROR(__xludf.DUMMYFUNCTION("TRANSPOSE(QUERY('Cadastro VTR/SEÇÃO/MILITAR'!$E$3:$F2000,""SELECT F WHERE E LIKE '""&amp;'carga de materiais'!E853&amp;""'""))"),"#REF!")</f>
        <v>#REF!</v>
      </c>
    </row>
    <row r="853">
      <c r="A853" s="87" t="str">
        <f>IFERROR(__xludf.DUMMYFUNCTION("TRANSPOSE(QUERY('Cadastro VTR/SEÇÃO/MILITAR'!$E$3:$F2000,""SELECT F WHERE E LIKE '""&amp;'carga de materiais'!E854&amp;""'""))"),"#REF!")</f>
        <v>#REF!</v>
      </c>
    </row>
    <row r="854">
      <c r="A854" s="87" t="str">
        <f>IFERROR(__xludf.DUMMYFUNCTION("TRANSPOSE(QUERY('Cadastro VTR/SEÇÃO/MILITAR'!$E$3:$F2000,""SELECT F WHERE E LIKE '""&amp;'carga de materiais'!E855&amp;""'""))"),"#REF!")</f>
        <v>#REF!</v>
      </c>
    </row>
    <row r="855">
      <c r="A855" s="87" t="str">
        <f>IFERROR(__xludf.DUMMYFUNCTION("TRANSPOSE(QUERY('Cadastro VTR/SEÇÃO/MILITAR'!$E$3:$F2000,""SELECT F WHERE E LIKE '""&amp;'carga de materiais'!E856&amp;""'""))"),"#REF!")</f>
        <v>#REF!</v>
      </c>
    </row>
    <row r="856">
      <c r="A856" s="87" t="str">
        <f>IFERROR(__xludf.DUMMYFUNCTION("TRANSPOSE(QUERY('Cadastro VTR/SEÇÃO/MILITAR'!$E$3:$F2000,""SELECT F WHERE E LIKE '""&amp;'carga de materiais'!E857&amp;""'""))"),"#REF!")</f>
        <v>#REF!</v>
      </c>
    </row>
    <row r="857">
      <c r="A857" s="87" t="str">
        <f>IFERROR(__xludf.DUMMYFUNCTION("TRANSPOSE(QUERY('Cadastro VTR/SEÇÃO/MILITAR'!$E$3:$F2000,""SELECT F WHERE E LIKE '""&amp;'carga de materiais'!E858&amp;""'""))"),"#REF!")</f>
        <v>#REF!</v>
      </c>
    </row>
    <row r="858">
      <c r="A858" s="87" t="str">
        <f>IFERROR(__xludf.DUMMYFUNCTION("TRANSPOSE(QUERY('Cadastro VTR/SEÇÃO/MILITAR'!$E$3:$F2000,""SELECT F WHERE E LIKE '""&amp;'carga de materiais'!E859&amp;""'""))"),"#REF!")</f>
        <v>#REF!</v>
      </c>
    </row>
    <row r="859">
      <c r="A859" s="87" t="str">
        <f>IFERROR(__xludf.DUMMYFUNCTION("TRANSPOSE(QUERY('Cadastro VTR/SEÇÃO/MILITAR'!$E$3:$F2000,""SELECT F WHERE E LIKE '""&amp;'carga de materiais'!E860&amp;""'""))"),"#REF!")</f>
        <v>#REF!</v>
      </c>
    </row>
    <row r="860">
      <c r="A860" s="87" t="str">
        <f>IFERROR(__xludf.DUMMYFUNCTION("TRANSPOSE(QUERY('Cadastro VTR/SEÇÃO/MILITAR'!$E$3:$F2000,""SELECT F WHERE E LIKE '""&amp;'carga de materiais'!E861&amp;""'""))"),"#REF!")</f>
        <v>#REF!</v>
      </c>
    </row>
    <row r="861">
      <c r="A861" s="87" t="str">
        <f>IFERROR(__xludf.DUMMYFUNCTION("TRANSPOSE(QUERY('Cadastro VTR/SEÇÃO/MILITAR'!$E$3:$F2000,""SELECT F WHERE E LIKE '""&amp;'carga de materiais'!E862&amp;""'""))"),"#REF!")</f>
        <v>#REF!</v>
      </c>
    </row>
    <row r="862">
      <c r="A862" s="87" t="str">
        <f>IFERROR(__xludf.DUMMYFUNCTION("TRANSPOSE(QUERY('Cadastro VTR/SEÇÃO/MILITAR'!$E$3:$F2000,""SELECT F WHERE E LIKE '""&amp;'carga de materiais'!E863&amp;""'""))"),"#REF!")</f>
        <v>#REF!</v>
      </c>
    </row>
    <row r="863">
      <c r="A863" s="87" t="str">
        <f>IFERROR(__xludf.DUMMYFUNCTION("TRANSPOSE(QUERY('Cadastro VTR/SEÇÃO/MILITAR'!$E$3:$F2000,""SELECT F WHERE E LIKE '""&amp;'carga de materiais'!E864&amp;""'""))"),"#REF!")</f>
        <v>#REF!</v>
      </c>
    </row>
    <row r="864">
      <c r="A864" s="87" t="str">
        <f>IFERROR(__xludf.DUMMYFUNCTION("TRANSPOSE(QUERY('Cadastro VTR/SEÇÃO/MILITAR'!$E$3:$F2000,""SELECT F WHERE E LIKE '""&amp;'carga de materiais'!E865&amp;""'""))"),"#REF!")</f>
        <v>#REF!</v>
      </c>
    </row>
    <row r="865">
      <c r="A865" s="87" t="str">
        <f>IFERROR(__xludf.DUMMYFUNCTION("TRANSPOSE(QUERY('Cadastro VTR/SEÇÃO/MILITAR'!$E$3:$F2000,""SELECT F WHERE E LIKE '""&amp;'carga de materiais'!E866&amp;""'""))"),"#REF!")</f>
        <v>#REF!</v>
      </c>
    </row>
    <row r="866">
      <c r="A866" s="87" t="str">
        <f>IFERROR(__xludf.DUMMYFUNCTION("TRANSPOSE(QUERY('Cadastro VTR/SEÇÃO/MILITAR'!$E$3:$F2000,""SELECT F WHERE E LIKE '""&amp;'carga de materiais'!E867&amp;""'""))"),"#REF!")</f>
        <v>#REF!</v>
      </c>
    </row>
    <row r="867">
      <c r="A867" s="87" t="str">
        <f>IFERROR(__xludf.DUMMYFUNCTION("TRANSPOSE(QUERY('Cadastro VTR/SEÇÃO/MILITAR'!$E$3:$F2000,""SELECT F WHERE E LIKE '""&amp;'carga de materiais'!E868&amp;""'""))"),"#REF!")</f>
        <v>#REF!</v>
      </c>
    </row>
    <row r="868">
      <c r="A868" s="87" t="str">
        <f>IFERROR(__xludf.DUMMYFUNCTION("TRANSPOSE(QUERY('Cadastro VTR/SEÇÃO/MILITAR'!$E$3:$F2000,""SELECT F WHERE E LIKE '""&amp;'carga de materiais'!E869&amp;""'""))"),"#REF!")</f>
        <v>#REF!</v>
      </c>
    </row>
    <row r="869">
      <c r="A869" s="87" t="str">
        <f>IFERROR(__xludf.DUMMYFUNCTION("TRANSPOSE(QUERY('Cadastro VTR/SEÇÃO/MILITAR'!$E$3:$F2000,""SELECT F WHERE E LIKE '""&amp;'carga de materiais'!E870&amp;""'""))"),"#REF!")</f>
        <v>#REF!</v>
      </c>
    </row>
    <row r="870">
      <c r="A870" s="87" t="str">
        <f>IFERROR(__xludf.DUMMYFUNCTION("TRANSPOSE(QUERY('Cadastro VTR/SEÇÃO/MILITAR'!$E$3:$F2000,""SELECT F WHERE E LIKE '""&amp;'carga de materiais'!E871&amp;""'""))"),"#REF!")</f>
        <v>#REF!</v>
      </c>
    </row>
    <row r="871">
      <c r="A871" s="87" t="str">
        <f>IFERROR(__xludf.DUMMYFUNCTION("TRANSPOSE(QUERY('Cadastro VTR/SEÇÃO/MILITAR'!$E$3:$F2000,""SELECT F WHERE E LIKE '""&amp;'carga de materiais'!E872&amp;""'""))"),"#REF!")</f>
        <v>#REF!</v>
      </c>
    </row>
    <row r="872">
      <c r="A872" s="87" t="str">
        <f>IFERROR(__xludf.DUMMYFUNCTION("TRANSPOSE(QUERY('Cadastro VTR/SEÇÃO/MILITAR'!$E$3:$F2000,""SELECT F WHERE E LIKE '""&amp;'carga de materiais'!E873&amp;""'""))"),"#REF!")</f>
        <v>#REF!</v>
      </c>
    </row>
    <row r="873">
      <c r="A873" s="87" t="str">
        <f>IFERROR(__xludf.DUMMYFUNCTION("TRANSPOSE(QUERY('Cadastro VTR/SEÇÃO/MILITAR'!$E$3:$F2000,""SELECT F WHERE E LIKE '""&amp;'carga de materiais'!E874&amp;""'""))"),"#REF!")</f>
        <v>#REF!</v>
      </c>
    </row>
    <row r="874">
      <c r="A874" s="87" t="str">
        <f>IFERROR(__xludf.DUMMYFUNCTION("TRANSPOSE(QUERY('Cadastro VTR/SEÇÃO/MILITAR'!$E$3:$F2000,""SELECT F WHERE E LIKE '""&amp;'carga de materiais'!E875&amp;""'""))"),"#REF!")</f>
        <v>#REF!</v>
      </c>
    </row>
    <row r="875">
      <c r="A875" s="87" t="str">
        <f>IFERROR(__xludf.DUMMYFUNCTION("TRANSPOSE(QUERY('Cadastro VTR/SEÇÃO/MILITAR'!$E$3:$F2000,""SELECT F WHERE E LIKE '""&amp;'carga de materiais'!E876&amp;""'""))"),"#REF!")</f>
        <v>#REF!</v>
      </c>
    </row>
    <row r="876">
      <c r="A876" s="87" t="str">
        <f>IFERROR(__xludf.DUMMYFUNCTION("TRANSPOSE(QUERY('Cadastro VTR/SEÇÃO/MILITAR'!$E$3:$F2000,""SELECT F WHERE E LIKE '""&amp;'carga de materiais'!E877&amp;""'""))"),"#REF!")</f>
        <v>#REF!</v>
      </c>
    </row>
    <row r="877">
      <c r="A877" s="87" t="str">
        <f>IFERROR(__xludf.DUMMYFUNCTION("TRANSPOSE(QUERY('Cadastro VTR/SEÇÃO/MILITAR'!$E$3:$F2000,""SELECT F WHERE E LIKE '""&amp;'carga de materiais'!E878&amp;""'""))"),"#REF!")</f>
        <v>#REF!</v>
      </c>
    </row>
    <row r="878">
      <c r="A878" s="87" t="str">
        <f>IFERROR(__xludf.DUMMYFUNCTION("TRANSPOSE(QUERY('Cadastro VTR/SEÇÃO/MILITAR'!$E$3:$F2000,""SELECT F WHERE E LIKE '""&amp;'carga de materiais'!E879&amp;""'""))"),"#REF!")</f>
        <v>#REF!</v>
      </c>
    </row>
    <row r="879">
      <c r="A879" s="87" t="str">
        <f>IFERROR(__xludf.DUMMYFUNCTION("TRANSPOSE(QUERY('Cadastro VTR/SEÇÃO/MILITAR'!$E$3:$F2000,""SELECT F WHERE E LIKE '""&amp;'carga de materiais'!E880&amp;""'""))"),"#REF!")</f>
        <v>#REF!</v>
      </c>
    </row>
    <row r="880">
      <c r="A880" s="87" t="str">
        <f>IFERROR(__xludf.DUMMYFUNCTION("TRANSPOSE(QUERY('Cadastro VTR/SEÇÃO/MILITAR'!$E$3:$F2000,""SELECT F WHERE E LIKE '""&amp;'carga de materiais'!E881&amp;""'""))"),"#REF!")</f>
        <v>#REF!</v>
      </c>
    </row>
    <row r="881">
      <c r="A881" s="87" t="str">
        <f>IFERROR(__xludf.DUMMYFUNCTION("TRANSPOSE(QUERY('Cadastro VTR/SEÇÃO/MILITAR'!$E$3:$F2000,""SELECT F WHERE E LIKE '""&amp;'carga de materiais'!E882&amp;""'""))"),"#REF!")</f>
        <v>#REF!</v>
      </c>
    </row>
    <row r="882">
      <c r="A882" s="87" t="str">
        <f>IFERROR(__xludf.DUMMYFUNCTION("TRANSPOSE(QUERY('Cadastro VTR/SEÇÃO/MILITAR'!$E$3:$F2000,""SELECT F WHERE E LIKE '""&amp;'carga de materiais'!E883&amp;""'""))"),"#REF!")</f>
        <v>#REF!</v>
      </c>
    </row>
    <row r="883">
      <c r="A883" s="87" t="str">
        <f>IFERROR(__xludf.DUMMYFUNCTION("TRANSPOSE(QUERY('Cadastro VTR/SEÇÃO/MILITAR'!$E$3:$F2000,""SELECT F WHERE E LIKE '""&amp;'carga de materiais'!E884&amp;""'""))"),"#REF!")</f>
        <v>#REF!</v>
      </c>
    </row>
    <row r="884">
      <c r="A884" s="87" t="str">
        <f>IFERROR(__xludf.DUMMYFUNCTION("TRANSPOSE(QUERY('Cadastro VTR/SEÇÃO/MILITAR'!$E$3:$F2000,""SELECT F WHERE E LIKE '""&amp;'carga de materiais'!E885&amp;""'""))"),"#REF!")</f>
        <v>#REF!</v>
      </c>
    </row>
    <row r="885">
      <c r="A885" s="87" t="str">
        <f>IFERROR(__xludf.DUMMYFUNCTION("TRANSPOSE(QUERY('Cadastro VTR/SEÇÃO/MILITAR'!$E$3:$F2000,""SELECT F WHERE E LIKE '""&amp;'carga de materiais'!E886&amp;""'""))"),"#REF!")</f>
        <v>#REF!</v>
      </c>
    </row>
    <row r="886">
      <c r="A886" s="87" t="str">
        <f>IFERROR(__xludf.DUMMYFUNCTION("TRANSPOSE(QUERY('Cadastro VTR/SEÇÃO/MILITAR'!$E$3:$F2000,""SELECT F WHERE E LIKE '""&amp;'carga de materiais'!E887&amp;""'""))"),"#REF!")</f>
        <v>#REF!</v>
      </c>
    </row>
    <row r="887">
      <c r="A887" s="87" t="str">
        <f>IFERROR(__xludf.DUMMYFUNCTION("TRANSPOSE(QUERY('Cadastro VTR/SEÇÃO/MILITAR'!$E$3:$F2000,""SELECT F WHERE E LIKE '""&amp;'carga de materiais'!E888&amp;""'""))"),"#REF!")</f>
        <v>#REF!</v>
      </c>
    </row>
    <row r="888">
      <c r="A888" s="87" t="str">
        <f>IFERROR(__xludf.DUMMYFUNCTION("TRANSPOSE(QUERY('Cadastro VTR/SEÇÃO/MILITAR'!$E$3:$F2000,""SELECT F WHERE E LIKE '""&amp;'carga de materiais'!E889&amp;""'""))"),"#REF!")</f>
        <v>#REF!</v>
      </c>
    </row>
    <row r="889">
      <c r="A889" s="87" t="str">
        <f>IFERROR(__xludf.DUMMYFUNCTION("TRANSPOSE(QUERY('Cadastro VTR/SEÇÃO/MILITAR'!$E$3:$F2000,""SELECT F WHERE E LIKE '""&amp;'carga de materiais'!E890&amp;""'""))"),"#REF!")</f>
        <v>#REF!</v>
      </c>
    </row>
    <row r="890">
      <c r="A890" s="87" t="str">
        <f>IFERROR(__xludf.DUMMYFUNCTION("TRANSPOSE(QUERY('Cadastro VTR/SEÇÃO/MILITAR'!$E$3:$F2000,""SELECT F WHERE E LIKE '""&amp;'carga de materiais'!E891&amp;""'""))"),"#REF!")</f>
        <v>#REF!</v>
      </c>
    </row>
    <row r="891">
      <c r="A891" s="87" t="str">
        <f>IFERROR(__xludf.DUMMYFUNCTION("TRANSPOSE(QUERY('Cadastro VTR/SEÇÃO/MILITAR'!$E$3:$F2000,""SELECT F WHERE E LIKE '""&amp;'carga de materiais'!E892&amp;""'""))"),"#REF!")</f>
        <v>#REF!</v>
      </c>
    </row>
    <row r="892">
      <c r="A892" s="87" t="str">
        <f>IFERROR(__xludf.DUMMYFUNCTION("TRANSPOSE(QUERY('Cadastro VTR/SEÇÃO/MILITAR'!$E$3:$F2000,""SELECT F WHERE E LIKE '""&amp;'carga de materiais'!E893&amp;""'""))"),"#REF!")</f>
        <v>#REF!</v>
      </c>
    </row>
    <row r="893">
      <c r="A893" s="87" t="str">
        <f>IFERROR(__xludf.DUMMYFUNCTION("TRANSPOSE(QUERY('Cadastro VTR/SEÇÃO/MILITAR'!$E$3:$F2000,""SELECT F WHERE E LIKE '""&amp;'carga de materiais'!E894&amp;""'""))"),"#REF!")</f>
        <v>#REF!</v>
      </c>
    </row>
    <row r="894">
      <c r="A894" s="87" t="str">
        <f>IFERROR(__xludf.DUMMYFUNCTION("TRANSPOSE(QUERY('Cadastro VTR/SEÇÃO/MILITAR'!$E$3:$F2000,""SELECT F WHERE E LIKE '""&amp;'carga de materiais'!E895&amp;""'""))"),"#REF!")</f>
        <v>#REF!</v>
      </c>
    </row>
    <row r="895">
      <c r="A895" s="87" t="str">
        <f>IFERROR(__xludf.DUMMYFUNCTION("TRANSPOSE(QUERY('Cadastro VTR/SEÇÃO/MILITAR'!$E$3:$F2000,""SELECT F WHERE E LIKE '""&amp;'carga de materiais'!E896&amp;""'""))"),"#REF!")</f>
        <v>#REF!</v>
      </c>
    </row>
    <row r="896">
      <c r="A896" s="87" t="str">
        <f>IFERROR(__xludf.DUMMYFUNCTION("TRANSPOSE(QUERY('Cadastro VTR/SEÇÃO/MILITAR'!$E$3:$F2000,""SELECT F WHERE E LIKE '""&amp;'carga de materiais'!E897&amp;""'""))"),"#REF!")</f>
        <v>#REF!</v>
      </c>
    </row>
    <row r="897">
      <c r="A897" s="87" t="str">
        <f>IFERROR(__xludf.DUMMYFUNCTION("TRANSPOSE(QUERY('Cadastro VTR/SEÇÃO/MILITAR'!$E$3:$F2000,""SELECT F WHERE E LIKE '""&amp;'carga de materiais'!E898&amp;""'""))"),"#REF!")</f>
        <v>#REF!</v>
      </c>
    </row>
    <row r="898">
      <c r="A898" s="87" t="str">
        <f>IFERROR(__xludf.DUMMYFUNCTION("TRANSPOSE(QUERY('Cadastro VTR/SEÇÃO/MILITAR'!$E$3:$F2000,""SELECT F WHERE E LIKE '""&amp;'carga de materiais'!E899&amp;""'""))"),"#REF!")</f>
        <v>#REF!</v>
      </c>
    </row>
    <row r="899">
      <c r="A899" s="87" t="str">
        <f>IFERROR(__xludf.DUMMYFUNCTION("TRANSPOSE(QUERY('Cadastro VTR/SEÇÃO/MILITAR'!$E$3:$F2000,""SELECT F WHERE E LIKE '""&amp;'carga de materiais'!E900&amp;""'""))"),"#REF!")</f>
        <v>#REF!</v>
      </c>
    </row>
    <row r="900">
      <c r="A900" s="87" t="str">
        <f>IFERROR(__xludf.DUMMYFUNCTION("TRANSPOSE(QUERY('Cadastro VTR/SEÇÃO/MILITAR'!$E$3:$F2000,""SELECT F WHERE E LIKE '""&amp;'carga de materiais'!E901&amp;""'""))"),"#REF!")</f>
        <v>#REF!</v>
      </c>
    </row>
    <row r="901">
      <c r="A901" s="87" t="str">
        <f>IFERROR(__xludf.DUMMYFUNCTION("TRANSPOSE(QUERY('Cadastro VTR/SEÇÃO/MILITAR'!$E$3:$F2000,""SELECT F WHERE E LIKE '""&amp;'carga de materiais'!E902&amp;""'""))"),"#REF!")</f>
        <v>#REF!</v>
      </c>
    </row>
    <row r="902">
      <c r="A902" s="87" t="str">
        <f>IFERROR(__xludf.DUMMYFUNCTION("TRANSPOSE(QUERY('Cadastro VTR/SEÇÃO/MILITAR'!$E$3:$F2000,""SELECT F WHERE E LIKE '""&amp;'carga de materiais'!E903&amp;""'""))"),"#REF!")</f>
        <v>#REF!</v>
      </c>
    </row>
    <row r="903">
      <c r="A903" s="87" t="str">
        <f>IFERROR(__xludf.DUMMYFUNCTION("TRANSPOSE(QUERY('Cadastro VTR/SEÇÃO/MILITAR'!$E$3:$F2000,""SELECT F WHERE E LIKE '""&amp;'carga de materiais'!E904&amp;""'""))"),"#REF!")</f>
        <v>#REF!</v>
      </c>
    </row>
    <row r="904">
      <c r="A904" s="87" t="str">
        <f>IFERROR(__xludf.DUMMYFUNCTION("TRANSPOSE(QUERY('Cadastro VTR/SEÇÃO/MILITAR'!$E$3:$F2000,""SELECT F WHERE E LIKE '""&amp;'carga de materiais'!E905&amp;""'""))"),"#REF!")</f>
        <v>#REF!</v>
      </c>
    </row>
    <row r="905">
      <c r="A905" s="87" t="str">
        <f>IFERROR(__xludf.DUMMYFUNCTION("TRANSPOSE(QUERY('Cadastro VTR/SEÇÃO/MILITAR'!$E$3:$F2000,""SELECT F WHERE E LIKE '""&amp;'carga de materiais'!E906&amp;""'""))"),"#REF!")</f>
        <v>#REF!</v>
      </c>
    </row>
    <row r="906">
      <c r="A906" s="87" t="str">
        <f>IFERROR(__xludf.DUMMYFUNCTION("TRANSPOSE(QUERY('Cadastro VTR/SEÇÃO/MILITAR'!$E$3:$F2000,""SELECT F WHERE E LIKE '""&amp;'carga de materiais'!E907&amp;""'""))"),"#REF!")</f>
        <v>#REF!</v>
      </c>
    </row>
    <row r="907">
      <c r="A907" s="87" t="str">
        <f>IFERROR(__xludf.DUMMYFUNCTION("TRANSPOSE(QUERY('Cadastro VTR/SEÇÃO/MILITAR'!$E$3:$F2000,""SELECT F WHERE E LIKE '""&amp;'carga de materiais'!E908&amp;""'""))"),"#REF!")</f>
        <v>#REF!</v>
      </c>
    </row>
    <row r="908">
      <c r="A908" s="87" t="str">
        <f>IFERROR(__xludf.DUMMYFUNCTION("TRANSPOSE(QUERY('Cadastro VTR/SEÇÃO/MILITAR'!$E$3:$F2000,""SELECT F WHERE E LIKE '""&amp;'carga de materiais'!E909&amp;""'""))"),"#REF!")</f>
        <v>#REF!</v>
      </c>
    </row>
    <row r="909">
      <c r="A909" s="87" t="str">
        <f>IFERROR(__xludf.DUMMYFUNCTION("TRANSPOSE(QUERY('Cadastro VTR/SEÇÃO/MILITAR'!$E$3:$F2000,""SELECT F WHERE E LIKE '""&amp;'carga de materiais'!E910&amp;""'""))"),"#REF!")</f>
        <v>#REF!</v>
      </c>
    </row>
    <row r="910">
      <c r="A910" s="87" t="str">
        <f>IFERROR(__xludf.DUMMYFUNCTION("TRANSPOSE(QUERY('Cadastro VTR/SEÇÃO/MILITAR'!$E$3:$F2000,""SELECT F WHERE E LIKE '""&amp;'carga de materiais'!E911&amp;""'""))"),"#REF!")</f>
        <v>#REF!</v>
      </c>
    </row>
    <row r="911">
      <c r="A911" s="87" t="str">
        <f>IFERROR(__xludf.DUMMYFUNCTION("TRANSPOSE(QUERY('Cadastro VTR/SEÇÃO/MILITAR'!$E$3:$F2000,""SELECT F WHERE E LIKE '""&amp;'carga de materiais'!E912&amp;""'""))"),"#REF!")</f>
        <v>#REF!</v>
      </c>
    </row>
    <row r="912">
      <c r="A912" s="87" t="str">
        <f>IFERROR(__xludf.DUMMYFUNCTION("TRANSPOSE(QUERY('Cadastro VTR/SEÇÃO/MILITAR'!$E$3:$F2000,""SELECT F WHERE E LIKE '""&amp;'carga de materiais'!E913&amp;""'""))"),"#REF!")</f>
        <v>#REF!</v>
      </c>
    </row>
    <row r="913">
      <c r="A913" s="87" t="str">
        <f>IFERROR(__xludf.DUMMYFUNCTION("TRANSPOSE(QUERY('Cadastro VTR/SEÇÃO/MILITAR'!$E$3:$F2000,""SELECT F WHERE E LIKE '""&amp;'carga de materiais'!E914&amp;""'""))"),"#REF!")</f>
        <v>#REF!</v>
      </c>
    </row>
    <row r="914">
      <c r="A914" s="87" t="str">
        <f>IFERROR(__xludf.DUMMYFUNCTION("TRANSPOSE(QUERY('Cadastro VTR/SEÇÃO/MILITAR'!$E$3:$F2000,""SELECT F WHERE E LIKE '""&amp;'carga de materiais'!E915&amp;""'""))"),"#REF!")</f>
        <v>#REF!</v>
      </c>
    </row>
    <row r="915">
      <c r="A915" s="87" t="str">
        <f>IFERROR(__xludf.DUMMYFUNCTION("TRANSPOSE(QUERY('Cadastro VTR/SEÇÃO/MILITAR'!$E$3:$F2000,""SELECT F WHERE E LIKE '""&amp;'carga de materiais'!E916&amp;""'""))"),"#REF!")</f>
        <v>#REF!</v>
      </c>
    </row>
    <row r="916">
      <c r="A916" s="87" t="str">
        <f>IFERROR(__xludf.DUMMYFUNCTION("TRANSPOSE(QUERY('Cadastro VTR/SEÇÃO/MILITAR'!$E$3:$F2000,""SELECT F WHERE E LIKE '""&amp;'carga de materiais'!E917&amp;""'""))"),"#REF!")</f>
        <v>#REF!</v>
      </c>
    </row>
    <row r="917">
      <c r="A917" s="87" t="str">
        <f>IFERROR(__xludf.DUMMYFUNCTION("TRANSPOSE(QUERY('Cadastro VTR/SEÇÃO/MILITAR'!$E$3:$F2000,""SELECT F WHERE E LIKE '""&amp;'carga de materiais'!E918&amp;""'""))"),"#REF!")</f>
        <v>#REF!</v>
      </c>
    </row>
    <row r="918">
      <c r="A918" s="87" t="str">
        <f>IFERROR(__xludf.DUMMYFUNCTION("TRANSPOSE(QUERY('Cadastro VTR/SEÇÃO/MILITAR'!$E$3:$F2000,""SELECT F WHERE E LIKE '""&amp;'carga de materiais'!E919&amp;""'""))"),"#REF!")</f>
        <v>#REF!</v>
      </c>
    </row>
    <row r="919">
      <c r="A919" s="87" t="str">
        <f>IFERROR(__xludf.DUMMYFUNCTION("TRANSPOSE(QUERY('Cadastro VTR/SEÇÃO/MILITAR'!$E$3:$F2000,""SELECT F WHERE E LIKE '""&amp;'carga de materiais'!E920&amp;""'""))"),"#REF!")</f>
        <v>#REF!</v>
      </c>
    </row>
    <row r="920">
      <c r="A920" s="87" t="str">
        <f>IFERROR(__xludf.DUMMYFUNCTION("TRANSPOSE(QUERY('Cadastro VTR/SEÇÃO/MILITAR'!$E$3:$F2000,""SELECT F WHERE E LIKE '""&amp;'carga de materiais'!E921&amp;""'""))"),"#REF!")</f>
        <v>#REF!</v>
      </c>
    </row>
    <row r="921">
      <c r="A921" s="87" t="str">
        <f>IFERROR(__xludf.DUMMYFUNCTION("TRANSPOSE(QUERY('Cadastro VTR/SEÇÃO/MILITAR'!$E$3:$F2000,""SELECT F WHERE E LIKE '""&amp;'carga de materiais'!E922&amp;""'""))"),"#REF!")</f>
        <v>#REF!</v>
      </c>
    </row>
    <row r="922">
      <c r="A922" s="87" t="str">
        <f>IFERROR(__xludf.DUMMYFUNCTION("TRANSPOSE(QUERY('Cadastro VTR/SEÇÃO/MILITAR'!$E$3:$F2000,""SELECT F WHERE E LIKE '""&amp;'carga de materiais'!E923&amp;""'""))"),"#REF!")</f>
        <v>#REF!</v>
      </c>
    </row>
    <row r="923">
      <c r="A923" s="87" t="str">
        <f>IFERROR(__xludf.DUMMYFUNCTION("TRANSPOSE(QUERY('Cadastro VTR/SEÇÃO/MILITAR'!$E$3:$F2000,""SELECT F WHERE E LIKE '""&amp;'carga de materiais'!E924&amp;""'""))"),"#REF!")</f>
        <v>#REF!</v>
      </c>
    </row>
    <row r="924">
      <c r="A924" s="87" t="str">
        <f>IFERROR(__xludf.DUMMYFUNCTION("TRANSPOSE(QUERY('Cadastro VTR/SEÇÃO/MILITAR'!$E$3:$F2000,""SELECT F WHERE E LIKE '""&amp;'carga de materiais'!E925&amp;""'""))"),"#REF!")</f>
        <v>#REF!</v>
      </c>
    </row>
    <row r="925">
      <c r="A925" s="87" t="str">
        <f>IFERROR(__xludf.DUMMYFUNCTION("TRANSPOSE(QUERY('Cadastro VTR/SEÇÃO/MILITAR'!$E$3:$F2000,""SELECT F WHERE E LIKE '""&amp;'carga de materiais'!E926&amp;""'""))"),"#REF!")</f>
        <v>#REF!</v>
      </c>
    </row>
    <row r="926">
      <c r="A926" s="87" t="str">
        <f>IFERROR(__xludf.DUMMYFUNCTION("TRANSPOSE(QUERY('Cadastro VTR/SEÇÃO/MILITAR'!$E$3:$F2000,""SELECT F WHERE E LIKE '""&amp;'carga de materiais'!E927&amp;""'""))"),"#REF!")</f>
        <v>#REF!</v>
      </c>
    </row>
    <row r="927">
      <c r="A927" s="87" t="str">
        <f>IFERROR(__xludf.DUMMYFUNCTION("TRANSPOSE(QUERY('Cadastro VTR/SEÇÃO/MILITAR'!$E$3:$F2000,""SELECT F WHERE E LIKE '""&amp;'carga de materiais'!E928&amp;""'""))"),"#REF!")</f>
        <v>#REF!</v>
      </c>
    </row>
    <row r="928">
      <c r="A928" s="87" t="str">
        <f>IFERROR(__xludf.DUMMYFUNCTION("TRANSPOSE(QUERY('Cadastro VTR/SEÇÃO/MILITAR'!$E$3:$F2000,""SELECT F WHERE E LIKE '""&amp;'carga de materiais'!E929&amp;""'""))"),"#REF!")</f>
        <v>#REF!</v>
      </c>
    </row>
    <row r="929">
      <c r="A929" s="87" t="str">
        <f>IFERROR(__xludf.DUMMYFUNCTION("TRANSPOSE(QUERY('Cadastro VTR/SEÇÃO/MILITAR'!$E$3:$F2000,""SELECT F WHERE E LIKE '""&amp;'carga de materiais'!E930&amp;""'""))"),"#REF!")</f>
        <v>#REF!</v>
      </c>
    </row>
    <row r="930">
      <c r="A930" s="87" t="str">
        <f>IFERROR(__xludf.DUMMYFUNCTION("TRANSPOSE(QUERY('Cadastro VTR/SEÇÃO/MILITAR'!$E$3:$F2000,""SELECT F WHERE E LIKE '""&amp;'carga de materiais'!E931&amp;""'""))"),"#REF!")</f>
        <v>#REF!</v>
      </c>
    </row>
    <row r="931">
      <c r="A931" s="87" t="str">
        <f>IFERROR(__xludf.DUMMYFUNCTION("TRANSPOSE(QUERY('Cadastro VTR/SEÇÃO/MILITAR'!$E$3:$F2000,""SELECT F WHERE E LIKE '""&amp;'carga de materiais'!E932&amp;""'""))"),"#REF!")</f>
        <v>#REF!</v>
      </c>
    </row>
    <row r="932">
      <c r="A932" s="87" t="str">
        <f>IFERROR(__xludf.DUMMYFUNCTION("TRANSPOSE(QUERY('Cadastro VTR/SEÇÃO/MILITAR'!$E$3:$F2000,""SELECT F WHERE E LIKE '""&amp;'carga de materiais'!E933&amp;""'""))"),"#REF!")</f>
        <v>#REF!</v>
      </c>
    </row>
    <row r="933">
      <c r="A933" s="87" t="str">
        <f>IFERROR(__xludf.DUMMYFUNCTION("TRANSPOSE(QUERY('Cadastro VTR/SEÇÃO/MILITAR'!$E$3:$F2000,""SELECT F WHERE E LIKE '""&amp;'carga de materiais'!E934&amp;""'""))"),"#REF!")</f>
        <v>#REF!</v>
      </c>
    </row>
    <row r="934">
      <c r="A934" s="87" t="str">
        <f>IFERROR(__xludf.DUMMYFUNCTION("TRANSPOSE(QUERY('Cadastro VTR/SEÇÃO/MILITAR'!$E$3:$F2000,""SELECT F WHERE E LIKE '""&amp;'carga de materiais'!E935&amp;""'""))"),"#REF!")</f>
        <v>#REF!</v>
      </c>
    </row>
    <row r="935">
      <c r="A935" s="87" t="str">
        <f>IFERROR(__xludf.DUMMYFUNCTION("TRANSPOSE(QUERY('Cadastro VTR/SEÇÃO/MILITAR'!$E$3:$F2000,""SELECT F WHERE E LIKE '""&amp;'carga de materiais'!E936&amp;""'""))"),"#REF!")</f>
        <v>#REF!</v>
      </c>
    </row>
    <row r="936">
      <c r="A936" s="87" t="str">
        <f>IFERROR(__xludf.DUMMYFUNCTION("TRANSPOSE(QUERY('Cadastro VTR/SEÇÃO/MILITAR'!$E$3:$F2000,""SELECT F WHERE E LIKE '""&amp;'carga de materiais'!E937&amp;""'""))"),"#REF!")</f>
        <v>#REF!</v>
      </c>
    </row>
    <row r="937">
      <c r="A937" s="87" t="str">
        <f>IFERROR(__xludf.DUMMYFUNCTION("TRANSPOSE(QUERY('Cadastro VTR/SEÇÃO/MILITAR'!$E$3:$F2000,""SELECT F WHERE E LIKE '""&amp;'carga de materiais'!E938&amp;""'""))"),"#REF!")</f>
        <v>#REF!</v>
      </c>
    </row>
    <row r="938">
      <c r="A938" s="87" t="str">
        <f>IFERROR(__xludf.DUMMYFUNCTION("TRANSPOSE(QUERY('Cadastro VTR/SEÇÃO/MILITAR'!$E$3:$F2000,""SELECT F WHERE E LIKE '""&amp;'carga de materiais'!E939&amp;""'""))"),"#REF!")</f>
        <v>#REF!</v>
      </c>
    </row>
    <row r="939">
      <c r="A939" s="87" t="str">
        <f>IFERROR(__xludf.DUMMYFUNCTION("TRANSPOSE(QUERY('Cadastro VTR/SEÇÃO/MILITAR'!$E$3:$F2000,""SELECT F WHERE E LIKE '""&amp;'carga de materiais'!E940&amp;""'""))"),"#REF!")</f>
        <v>#REF!</v>
      </c>
    </row>
    <row r="940">
      <c r="A940" s="87" t="str">
        <f>IFERROR(__xludf.DUMMYFUNCTION("TRANSPOSE(QUERY('Cadastro VTR/SEÇÃO/MILITAR'!$E$3:$F2000,""SELECT F WHERE E LIKE '""&amp;'carga de materiais'!E941&amp;""'""))"),"#REF!")</f>
        <v>#REF!</v>
      </c>
    </row>
    <row r="941">
      <c r="A941" s="87" t="str">
        <f>IFERROR(__xludf.DUMMYFUNCTION("TRANSPOSE(QUERY('Cadastro VTR/SEÇÃO/MILITAR'!$E$3:$F2000,""SELECT F WHERE E LIKE '""&amp;'carga de materiais'!E942&amp;""'""))"),"#REF!")</f>
        <v>#REF!</v>
      </c>
    </row>
    <row r="942">
      <c r="A942" s="87" t="str">
        <f>IFERROR(__xludf.DUMMYFUNCTION("TRANSPOSE(QUERY('Cadastro VTR/SEÇÃO/MILITAR'!$E$3:$F2000,""SELECT F WHERE E LIKE '""&amp;'carga de materiais'!E943&amp;""'""))"),"#REF!")</f>
        <v>#REF!</v>
      </c>
    </row>
    <row r="943">
      <c r="A943" s="87" t="str">
        <f>IFERROR(__xludf.DUMMYFUNCTION("TRANSPOSE(QUERY('Cadastro VTR/SEÇÃO/MILITAR'!$E$3:$F2000,""SELECT F WHERE E LIKE '""&amp;'carga de materiais'!E944&amp;""'""))"),"#REF!")</f>
        <v>#REF!</v>
      </c>
    </row>
    <row r="944">
      <c r="A944" s="87" t="str">
        <f>IFERROR(__xludf.DUMMYFUNCTION("TRANSPOSE(QUERY('Cadastro VTR/SEÇÃO/MILITAR'!$E$3:$F2000,""SELECT F WHERE E LIKE '""&amp;'carga de materiais'!E945&amp;""'""))"),"#REF!")</f>
        <v>#REF!</v>
      </c>
    </row>
    <row r="945">
      <c r="A945" s="87" t="str">
        <f>IFERROR(__xludf.DUMMYFUNCTION("TRANSPOSE(QUERY('Cadastro VTR/SEÇÃO/MILITAR'!$E$3:$F2000,""SELECT F WHERE E LIKE '""&amp;'carga de materiais'!E946&amp;""'""))"),"#REF!")</f>
        <v>#REF!</v>
      </c>
    </row>
    <row r="946">
      <c r="A946" s="87" t="str">
        <f>IFERROR(__xludf.DUMMYFUNCTION("TRANSPOSE(QUERY('Cadastro VTR/SEÇÃO/MILITAR'!$E$3:$F2000,""SELECT F WHERE E LIKE '""&amp;'carga de materiais'!E947&amp;""'""))"),"#REF!")</f>
        <v>#REF!</v>
      </c>
    </row>
    <row r="947">
      <c r="A947" s="87" t="str">
        <f>IFERROR(__xludf.DUMMYFUNCTION("TRANSPOSE(QUERY('Cadastro VTR/SEÇÃO/MILITAR'!$E$3:$F2000,""SELECT F WHERE E LIKE '""&amp;'carga de materiais'!E948&amp;""'""))"),"#REF!")</f>
        <v>#REF!</v>
      </c>
    </row>
    <row r="948">
      <c r="A948" s="87" t="str">
        <f>IFERROR(__xludf.DUMMYFUNCTION("TRANSPOSE(QUERY('Cadastro VTR/SEÇÃO/MILITAR'!$E$3:$F2000,""SELECT F WHERE E LIKE '""&amp;'carga de materiais'!E949&amp;""'""))"),"#REF!")</f>
        <v>#REF!</v>
      </c>
    </row>
    <row r="949">
      <c r="A949" s="87" t="str">
        <f>IFERROR(__xludf.DUMMYFUNCTION("TRANSPOSE(QUERY('Cadastro VTR/SEÇÃO/MILITAR'!$E$3:$F2000,""SELECT F WHERE E LIKE '""&amp;'carga de materiais'!E950&amp;""'""))"),"#REF!")</f>
        <v>#REF!</v>
      </c>
    </row>
    <row r="950">
      <c r="A950" s="87" t="str">
        <f>IFERROR(__xludf.DUMMYFUNCTION("TRANSPOSE(QUERY('Cadastro VTR/SEÇÃO/MILITAR'!$E$3:$F2000,""SELECT F WHERE E LIKE '""&amp;'carga de materiais'!E951&amp;""'""))"),"#REF!")</f>
        <v>#REF!</v>
      </c>
    </row>
    <row r="951">
      <c r="A951" s="87" t="str">
        <f>IFERROR(__xludf.DUMMYFUNCTION("TRANSPOSE(QUERY('Cadastro VTR/SEÇÃO/MILITAR'!$E$3:$F2000,""SELECT F WHERE E LIKE '""&amp;'carga de materiais'!E952&amp;""'""))"),"#REF!")</f>
        <v>#REF!</v>
      </c>
    </row>
    <row r="952">
      <c r="A952" s="87" t="str">
        <f>IFERROR(__xludf.DUMMYFUNCTION("TRANSPOSE(QUERY('Cadastro VTR/SEÇÃO/MILITAR'!$E$3:$F2000,""SELECT F WHERE E LIKE '""&amp;'carga de materiais'!E953&amp;""'""))"),"#REF!")</f>
        <v>#REF!</v>
      </c>
    </row>
    <row r="953">
      <c r="A953" s="87" t="str">
        <f>IFERROR(__xludf.DUMMYFUNCTION("TRANSPOSE(QUERY('Cadastro VTR/SEÇÃO/MILITAR'!$E$3:$F2000,""SELECT F WHERE E LIKE '""&amp;'carga de materiais'!E954&amp;""'""))"),"#REF!")</f>
        <v>#REF!</v>
      </c>
    </row>
    <row r="954">
      <c r="A954" s="87" t="str">
        <f>IFERROR(__xludf.DUMMYFUNCTION("TRANSPOSE(QUERY('Cadastro VTR/SEÇÃO/MILITAR'!$E$3:$F2000,""SELECT F WHERE E LIKE '""&amp;'carga de materiais'!E955&amp;""'""))"),"#REF!")</f>
        <v>#REF!</v>
      </c>
    </row>
    <row r="955">
      <c r="A955" s="87" t="str">
        <f>IFERROR(__xludf.DUMMYFUNCTION("TRANSPOSE(QUERY('Cadastro VTR/SEÇÃO/MILITAR'!$E$3:$F2000,""SELECT F WHERE E LIKE '""&amp;'carga de materiais'!E956&amp;""'""))"),"#REF!")</f>
        <v>#REF!</v>
      </c>
    </row>
    <row r="956">
      <c r="A956" s="87" t="str">
        <f>IFERROR(__xludf.DUMMYFUNCTION("TRANSPOSE(QUERY('Cadastro VTR/SEÇÃO/MILITAR'!$E$3:$F2000,""SELECT F WHERE E LIKE '""&amp;'carga de materiais'!E957&amp;""'""))"),"#REF!")</f>
        <v>#REF!</v>
      </c>
    </row>
    <row r="957">
      <c r="A957" s="87" t="str">
        <f>IFERROR(__xludf.DUMMYFUNCTION("TRANSPOSE(QUERY('Cadastro VTR/SEÇÃO/MILITAR'!$E$3:$F2000,""SELECT F WHERE E LIKE '""&amp;'carga de materiais'!E958&amp;""'""))"),"#REF!")</f>
        <v>#REF!</v>
      </c>
    </row>
    <row r="958">
      <c r="A958" s="87" t="str">
        <f>IFERROR(__xludf.DUMMYFUNCTION("TRANSPOSE(QUERY('Cadastro VTR/SEÇÃO/MILITAR'!$E$3:$F2000,""SELECT F WHERE E LIKE '""&amp;'carga de materiais'!E959&amp;""'""))"),"#REF!")</f>
        <v>#REF!</v>
      </c>
    </row>
    <row r="959">
      <c r="A959" s="87" t="str">
        <f>IFERROR(__xludf.DUMMYFUNCTION("TRANSPOSE(QUERY('Cadastro VTR/SEÇÃO/MILITAR'!$E$3:$F2000,""SELECT F WHERE E LIKE '""&amp;'carga de materiais'!E960&amp;""'""))"),"#REF!")</f>
        <v>#REF!</v>
      </c>
    </row>
    <row r="960">
      <c r="A960" s="87" t="str">
        <f>IFERROR(__xludf.DUMMYFUNCTION("TRANSPOSE(QUERY('Cadastro VTR/SEÇÃO/MILITAR'!$E$3:$F2000,""SELECT F WHERE E LIKE '""&amp;'carga de materiais'!E961&amp;""'""))"),"#REF!")</f>
        <v>#REF!</v>
      </c>
    </row>
    <row r="961">
      <c r="A961" s="87" t="str">
        <f>IFERROR(__xludf.DUMMYFUNCTION("TRANSPOSE(QUERY('Cadastro VTR/SEÇÃO/MILITAR'!$E$3:$F2000,""SELECT F WHERE E LIKE '""&amp;'carga de materiais'!E962&amp;""'""))"),"#REF!")</f>
        <v>#REF!</v>
      </c>
    </row>
    <row r="962">
      <c r="A962" s="87" t="str">
        <f>IFERROR(__xludf.DUMMYFUNCTION("TRANSPOSE(QUERY('Cadastro VTR/SEÇÃO/MILITAR'!$E$3:$F2000,""SELECT F WHERE E LIKE '""&amp;'carga de materiais'!E963&amp;""'""))"),"#REF!")</f>
        <v>#REF!</v>
      </c>
    </row>
    <row r="963">
      <c r="A963" s="87" t="str">
        <f>IFERROR(__xludf.DUMMYFUNCTION("TRANSPOSE(QUERY('Cadastro VTR/SEÇÃO/MILITAR'!$E$3:$F2000,""SELECT F WHERE E LIKE '""&amp;'carga de materiais'!E964&amp;""'""))"),"#REF!")</f>
        <v>#REF!</v>
      </c>
    </row>
    <row r="964">
      <c r="A964" s="87" t="str">
        <f>IFERROR(__xludf.DUMMYFUNCTION("TRANSPOSE(QUERY('Cadastro VTR/SEÇÃO/MILITAR'!$E$3:$F2000,""SELECT F WHERE E LIKE '""&amp;'carga de materiais'!E965&amp;""'""))"),"#REF!")</f>
        <v>#REF!</v>
      </c>
    </row>
    <row r="965">
      <c r="A965" s="87" t="str">
        <f>IFERROR(__xludf.DUMMYFUNCTION("TRANSPOSE(QUERY('Cadastro VTR/SEÇÃO/MILITAR'!$E$3:$F2000,""SELECT F WHERE E LIKE '""&amp;'carga de materiais'!E966&amp;""'""))"),"#REF!")</f>
        <v>#REF!</v>
      </c>
    </row>
    <row r="966">
      <c r="A966" s="87" t="str">
        <f>IFERROR(__xludf.DUMMYFUNCTION("TRANSPOSE(QUERY('Cadastro VTR/SEÇÃO/MILITAR'!$E$3:$F2000,""SELECT F WHERE E LIKE '""&amp;'carga de materiais'!E967&amp;""'""))"),"#REF!")</f>
        <v>#REF!</v>
      </c>
    </row>
    <row r="967">
      <c r="A967" s="87" t="str">
        <f>IFERROR(__xludf.DUMMYFUNCTION("TRANSPOSE(QUERY('Cadastro VTR/SEÇÃO/MILITAR'!$E$3:$F2000,""SELECT F WHERE E LIKE '""&amp;'carga de materiais'!E968&amp;""'""))"),"#REF!")</f>
        <v>#REF!</v>
      </c>
    </row>
    <row r="968">
      <c r="A968" s="87" t="str">
        <f>IFERROR(__xludf.DUMMYFUNCTION("TRANSPOSE(QUERY('Cadastro VTR/SEÇÃO/MILITAR'!$E$3:$F2000,""SELECT F WHERE E LIKE '""&amp;'carga de materiais'!E969&amp;""'""))"),"#REF!")</f>
        <v>#REF!</v>
      </c>
    </row>
    <row r="969">
      <c r="A969" s="87" t="str">
        <f>IFERROR(__xludf.DUMMYFUNCTION("TRANSPOSE(QUERY('Cadastro VTR/SEÇÃO/MILITAR'!$E$3:$F2000,""SELECT F WHERE E LIKE '""&amp;'carga de materiais'!E970&amp;""'""))"),"#REF!")</f>
        <v>#REF!</v>
      </c>
    </row>
    <row r="970">
      <c r="A970" s="87" t="str">
        <f>IFERROR(__xludf.DUMMYFUNCTION("TRANSPOSE(QUERY('Cadastro VTR/SEÇÃO/MILITAR'!$E$3:$F2000,""SELECT F WHERE E LIKE '""&amp;'carga de materiais'!E971&amp;""'""))"),"#REF!")</f>
        <v>#REF!</v>
      </c>
    </row>
    <row r="971">
      <c r="A971" s="87" t="str">
        <f>IFERROR(__xludf.DUMMYFUNCTION("TRANSPOSE(QUERY('Cadastro VTR/SEÇÃO/MILITAR'!$E$3:$F2000,""SELECT F WHERE E LIKE '""&amp;'carga de materiais'!E972&amp;""'""))"),"#REF!")</f>
        <v>#REF!</v>
      </c>
    </row>
    <row r="972">
      <c r="A972" s="87" t="str">
        <f>IFERROR(__xludf.DUMMYFUNCTION("TRANSPOSE(QUERY('Cadastro VTR/SEÇÃO/MILITAR'!$E$3:$F2000,""SELECT F WHERE E LIKE '""&amp;'carga de materiais'!E973&amp;""'""))"),"#REF!")</f>
        <v>#REF!</v>
      </c>
    </row>
    <row r="973">
      <c r="A973" s="87" t="str">
        <f>IFERROR(__xludf.DUMMYFUNCTION("TRANSPOSE(QUERY('Cadastro VTR/SEÇÃO/MILITAR'!$E$3:$F2000,""SELECT F WHERE E LIKE '""&amp;'carga de materiais'!E974&amp;""'""))"),"#REF!")</f>
        <v>#REF!</v>
      </c>
    </row>
    <row r="974">
      <c r="A974" s="87" t="str">
        <f>IFERROR(__xludf.DUMMYFUNCTION("TRANSPOSE(QUERY('Cadastro VTR/SEÇÃO/MILITAR'!$E$3:$F2000,""SELECT F WHERE E LIKE '""&amp;'carga de materiais'!E975&amp;""'""))"),"#REF!")</f>
        <v>#REF!</v>
      </c>
    </row>
    <row r="975">
      <c r="A975" s="87" t="str">
        <f>IFERROR(__xludf.DUMMYFUNCTION("TRANSPOSE(QUERY('Cadastro VTR/SEÇÃO/MILITAR'!$E$3:$F2000,""SELECT F WHERE E LIKE '""&amp;'carga de materiais'!E976&amp;""'""))"),"#REF!")</f>
        <v>#REF!</v>
      </c>
    </row>
    <row r="976">
      <c r="A976" s="87" t="str">
        <f>IFERROR(__xludf.DUMMYFUNCTION("TRANSPOSE(QUERY('Cadastro VTR/SEÇÃO/MILITAR'!$E$3:$F2000,""SELECT F WHERE E LIKE '""&amp;'carga de materiais'!E977&amp;""'""))"),"#REF!")</f>
        <v>#REF!</v>
      </c>
    </row>
    <row r="977">
      <c r="A977" s="87" t="str">
        <f>IFERROR(__xludf.DUMMYFUNCTION("TRANSPOSE(QUERY('Cadastro VTR/SEÇÃO/MILITAR'!$E$3:$F2000,""SELECT F WHERE E LIKE '""&amp;'carga de materiais'!E978&amp;""'""))"),"#REF!")</f>
        <v>#REF!</v>
      </c>
    </row>
    <row r="978">
      <c r="A978" s="87" t="str">
        <f>IFERROR(__xludf.DUMMYFUNCTION("TRANSPOSE(QUERY('Cadastro VTR/SEÇÃO/MILITAR'!$E$3:$F2000,""SELECT F WHERE E LIKE '""&amp;'carga de materiais'!E979&amp;""'""))"),"#REF!")</f>
        <v>#REF!</v>
      </c>
    </row>
    <row r="979">
      <c r="A979" s="87" t="str">
        <f>IFERROR(__xludf.DUMMYFUNCTION("TRANSPOSE(QUERY('Cadastro VTR/SEÇÃO/MILITAR'!$E$3:$F2000,""SELECT F WHERE E LIKE '""&amp;'carga de materiais'!E980&amp;""'""))"),"#REF!")</f>
        <v>#REF!</v>
      </c>
    </row>
    <row r="980">
      <c r="A980" s="87" t="str">
        <f>IFERROR(__xludf.DUMMYFUNCTION("TRANSPOSE(QUERY('Cadastro VTR/SEÇÃO/MILITAR'!$E$3:$F2000,""SELECT F WHERE E LIKE '""&amp;'carga de materiais'!E981&amp;""'""))"),"#REF!")</f>
        <v>#REF!</v>
      </c>
    </row>
    <row r="981">
      <c r="A981" s="87" t="str">
        <f>IFERROR(__xludf.DUMMYFUNCTION("TRANSPOSE(QUERY('Cadastro VTR/SEÇÃO/MILITAR'!$E$3:$F2000,""SELECT F WHERE E LIKE '""&amp;'carga de materiais'!E982&amp;""'""))"),"#REF!")</f>
        <v>#REF!</v>
      </c>
    </row>
    <row r="982">
      <c r="A982" s="87" t="str">
        <f>IFERROR(__xludf.DUMMYFUNCTION("TRANSPOSE(QUERY('Cadastro VTR/SEÇÃO/MILITAR'!$E$3:$F2000,""SELECT F WHERE E LIKE '""&amp;'carga de materiais'!E983&amp;""'""))"),"#REF!")</f>
        <v>#REF!</v>
      </c>
    </row>
    <row r="983">
      <c r="A983" s="87" t="str">
        <f>IFERROR(__xludf.DUMMYFUNCTION("TRANSPOSE(QUERY('Cadastro VTR/SEÇÃO/MILITAR'!$E$3:$F2000,""SELECT F WHERE E LIKE '""&amp;'carga de materiais'!E984&amp;""'""))"),"#REF!")</f>
        <v>#REF!</v>
      </c>
    </row>
    <row r="984">
      <c r="A984" s="87" t="str">
        <f>IFERROR(__xludf.DUMMYFUNCTION("TRANSPOSE(QUERY('Cadastro VTR/SEÇÃO/MILITAR'!$E$3:$F2000,""SELECT F WHERE E LIKE '""&amp;'carga de materiais'!E985&amp;""'""))"),"#REF!")</f>
        <v>#REF!</v>
      </c>
    </row>
    <row r="985">
      <c r="A985" s="87" t="str">
        <f>IFERROR(__xludf.DUMMYFUNCTION("TRANSPOSE(QUERY('Cadastro VTR/SEÇÃO/MILITAR'!$E$3:$F2000,""SELECT F WHERE E LIKE '""&amp;'carga de materiais'!E986&amp;""'""))"),"#REF!")</f>
        <v>#REF!</v>
      </c>
    </row>
    <row r="986">
      <c r="A986" s="87" t="str">
        <f>IFERROR(__xludf.DUMMYFUNCTION("TRANSPOSE(QUERY('Cadastro VTR/SEÇÃO/MILITAR'!$E$3:$F2000,""SELECT F WHERE E LIKE '""&amp;'carga de materiais'!E987&amp;""'""))"),"#REF!")</f>
        <v>#REF!</v>
      </c>
    </row>
    <row r="987">
      <c r="A987" s="87" t="str">
        <f>IFERROR(__xludf.DUMMYFUNCTION("TRANSPOSE(QUERY('Cadastro VTR/SEÇÃO/MILITAR'!$E$3:$F2000,""SELECT F WHERE E LIKE '""&amp;'carga de materiais'!E988&amp;""'""))"),"#REF!")</f>
        <v>#REF!</v>
      </c>
    </row>
    <row r="988">
      <c r="A988" s="87" t="str">
        <f>IFERROR(__xludf.DUMMYFUNCTION("TRANSPOSE(QUERY('Cadastro VTR/SEÇÃO/MILITAR'!$E$3:$F2000,""SELECT F WHERE E LIKE '""&amp;'carga de materiais'!E989&amp;""'""))"),"#REF!")</f>
        <v>#REF!</v>
      </c>
    </row>
    <row r="989">
      <c r="A989" s="87" t="str">
        <f>IFERROR(__xludf.DUMMYFUNCTION("TRANSPOSE(QUERY('Cadastro VTR/SEÇÃO/MILITAR'!$E$3:$F2000,""SELECT F WHERE E LIKE '""&amp;'carga de materiais'!E990&amp;""'""))"),"#REF!")</f>
        <v>#REF!</v>
      </c>
    </row>
    <row r="990">
      <c r="A990" s="87" t="str">
        <f>IFERROR(__xludf.DUMMYFUNCTION("TRANSPOSE(QUERY('Cadastro VTR/SEÇÃO/MILITAR'!$E$3:$F2000,""SELECT F WHERE E LIKE '""&amp;'carga de materiais'!E991&amp;""'""))"),"#REF!")</f>
        <v>#REF!</v>
      </c>
    </row>
    <row r="991">
      <c r="A991" s="87" t="str">
        <f>IFERROR(__xludf.DUMMYFUNCTION("TRANSPOSE(QUERY('Cadastro VTR/SEÇÃO/MILITAR'!$E$3:$F2000,""SELECT F WHERE E LIKE '""&amp;'carga de materiais'!E992&amp;""'""))"),"#REF!")</f>
        <v>#REF!</v>
      </c>
    </row>
    <row r="992">
      <c r="A992" s="87" t="str">
        <f>IFERROR(__xludf.DUMMYFUNCTION("TRANSPOSE(QUERY('Cadastro VTR/SEÇÃO/MILITAR'!$E$3:$F2000,""SELECT F WHERE E LIKE '""&amp;'carga de materiais'!E993&amp;""'""))"),"#REF!")</f>
        <v>#REF!</v>
      </c>
    </row>
    <row r="993">
      <c r="A993" s="87" t="str">
        <f>IFERROR(__xludf.DUMMYFUNCTION("TRANSPOSE(QUERY('Cadastro VTR/SEÇÃO/MILITAR'!$E$3:$F2000,""SELECT F WHERE E LIKE '""&amp;'carga de materiais'!E994&amp;""'""))"),"#REF!")</f>
        <v>#REF!</v>
      </c>
    </row>
    <row r="994">
      <c r="A994" s="87" t="str">
        <f>IFERROR(__xludf.DUMMYFUNCTION("TRANSPOSE(QUERY('Cadastro VTR/SEÇÃO/MILITAR'!$E$3:$F2000,""SELECT F WHERE E LIKE '""&amp;'carga de materiais'!E995&amp;""'""))"),"#REF!")</f>
        <v>#REF!</v>
      </c>
    </row>
    <row r="995">
      <c r="A995" s="87" t="str">
        <f>IFERROR(__xludf.DUMMYFUNCTION("TRANSPOSE(QUERY('Cadastro VTR/SEÇÃO/MILITAR'!$E$3:$F2000,""SELECT F WHERE E LIKE '""&amp;'carga de materiais'!E996&amp;""'""))"),"#REF!")</f>
        <v>#REF!</v>
      </c>
    </row>
    <row r="996">
      <c r="A996" s="87" t="str">
        <f>IFERROR(__xludf.DUMMYFUNCTION("TRANSPOSE(QUERY('Cadastro VTR/SEÇÃO/MILITAR'!$E$3:$F2000,""SELECT F WHERE E LIKE '""&amp;'carga de materiais'!E997&amp;""'""))"),"#REF!")</f>
        <v>#REF!</v>
      </c>
    </row>
    <row r="997">
      <c r="A997" s="87" t="str">
        <f>IFERROR(__xludf.DUMMYFUNCTION("TRANSPOSE(QUERY('Cadastro VTR/SEÇÃO/MILITAR'!$E$3:$F2000,""SELECT F WHERE E LIKE '""&amp;'carga de materiais'!E998&amp;""'""))"),"#REF!")</f>
        <v>#REF!</v>
      </c>
    </row>
    <row r="998">
      <c r="A998" s="87" t="str">
        <f>IFERROR(__xludf.DUMMYFUNCTION("TRANSPOSE(QUERY('Cadastro VTR/SEÇÃO/MILITAR'!$E$3:$F2000,""SELECT F WHERE E LIKE '""&amp;'carga de materiais'!E999&amp;""'""))"),"#REF!")</f>
        <v>#REF!</v>
      </c>
    </row>
    <row r="999">
      <c r="A999" s="87" t="str">
        <f>IFERROR(__xludf.DUMMYFUNCTION("TRANSPOSE(QUERY('Cadastro VTR/SEÇÃO/MILITAR'!$E$3:$F2000,""SELECT F WHERE E LIKE '""&amp;'carga de materiais'!E1000&amp;""'""))"),"#REF!")</f>
        <v>#REF!</v>
      </c>
    </row>
    <row r="1000">
      <c r="A1000" s="87" t="str">
        <f>IFERROR(__xludf.DUMMYFUNCTION("TRANSPOSE(QUERY('Cadastro VTR/SEÇÃO/MILITAR'!$E$3:$F2000,""SELECT F WHERE E LIKE '""&amp;'carga de materiais'!E1001&amp;""'""))"),"#REF!")</f>
        <v>#REF!</v>
      </c>
    </row>
    <row r="1001">
      <c r="A1001" s="87" t="str">
        <f>IFERROR(__xludf.DUMMYFUNCTION("TRANSPOSE(QUERY('Cadastro VTR/SEÇÃO/MILITAR'!$E$3:$F2000,""SELECT F WHERE E LIKE '""&amp;'carga de materiais'!E1002&amp;""'""))"),"#REF!")</f>
        <v>#REF!</v>
      </c>
    </row>
    <row r="1002">
      <c r="A1002" s="87" t="str">
        <f>IFERROR(__xludf.DUMMYFUNCTION("TRANSPOSE(QUERY('Cadastro VTR/SEÇÃO/MILITAR'!$E$3:$F2000,""SELECT F WHERE E LIKE '""&amp;'carga de materiais'!E1003&amp;""'""))"),"#REF!")</f>
        <v>#REF!</v>
      </c>
    </row>
    <row r="1003">
      <c r="A1003" s="87" t="str">
        <f>IFERROR(__xludf.DUMMYFUNCTION("TRANSPOSE(QUERY('Cadastro VTR/SEÇÃO/MILITAR'!$E$3:$F2000,""SELECT F WHERE E LIKE '""&amp;'carga de materiais'!E1004&amp;""'""))"),"#REF!")</f>
        <v>#REF!</v>
      </c>
    </row>
    <row r="1004">
      <c r="A1004" s="87" t="str">
        <f>IFERROR(__xludf.DUMMYFUNCTION("TRANSPOSE(QUERY('Cadastro VTR/SEÇÃO/MILITAR'!$E$3:$F2000,""SELECT F WHERE E LIKE '""&amp;'carga de materiais'!E1005&amp;""'""))"),"#REF!")</f>
        <v>#REF!</v>
      </c>
    </row>
    <row r="1005">
      <c r="A1005" s="87" t="str">
        <f>IFERROR(__xludf.DUMMYFUNCTION("TRANSPOSE(QUERY('Cadastro VTR/SEÇÃO/MILITAR'!$E$3:$F2000,""SELECT F WHERE E LIKE '""&amp;'carga de materiais'!E1006&amp;""'""))"),"#REF!")</f>
        <v>#REF!</v>
      </c>
    </row>
    <row r="1006">
      <c r="A1006" s="87" t="str">
        <f>IFERROR(__xludf.DUMMYFUNCTION("TRANSPOSE(QUERY('Cadastro VTR/SEÇÃO/MILITAR'!$E$3:$F2000,""SELECT F WHERE E LIKE '""&amp;'carga de materiais'!E1007&amp;""'""))"),"#REF!")</f>
        <v>#REF!</v>
      </c>
    </row>
    <row r="1007">
      <c r="A1007" s="87" t="str">
        <f>IFERROR(__xludf.DUMMYFUNCTION("TRANSPOSE(QUERY('Cadastro VTR/SEÇÃO/MILITAR'!$E$3:$F2000,""SELECT F WHERE E LIKE '""&amp;'carga de materiais'!E1008&amp;""'""))"),"#REF!")</f>
        <v>#REF!</v>
      </c>
    </row>
    <row r="1008">
      <c r="A1008" s="87" t="str">
        <f>IFERROR(__xludf.DUMMYFUNCTION("TRANSPOSE(QUERY('Cadastro VTR/SEÇÃO/MILITAR'!$E$3:$F2000,""SELECT F WHERE E LIKE '""&amp;'carga de materiais'!E1009&amp;""'""))"),"#REF!")</f>
        <v>#REF!</v>
      </c>
    </row>
    <row r="1009">
      <c r="A1009" s="87" t="str">
        <f>IFERROR(__xludf.DUMMYFUNCTION("TRANSPOSE(QUERY('Cadastro VTR/SEÇÃO/MILITAR'!$E$3:$F2000,""SELECT F WHERE E LIKE '""&amp;'carga de materiais'!E1010&amp;""'""))"),"#REF!")</f>
        <v>#REF!</v>
      </c>
    </row>
    <row r="1010">
      <c r="A1010" s="87" t="str">
        <f>IFERROR(__xludf.DUMMYFUNCTION("TRANSPOSE(QUERY('Cadastro VTR/SEÇÃO/MILITAR'!$E$3:$F2000,""SELECT F WHERE E LIKE '""&amp;'carga de materiais'!E1011&amp;""'""))"),"#REF!")</f>
        <v>#REF!</v>
      </c>
    </row>
    <row r="1011">
      <c r="A1011" s="87" t="str">
        <f>IFERROR(__xludf.DUMMYFUNCTION("TRANSPOSE(QUERY('Cadastro VTR/SEÇÃO/MILITAR'!$E$3:$F2000,""SELECT F WHERE E LIKE '""&amp;'carga de materiais'!E1012&amp;""'""))"),"#REF!")</f>
        <v>#REF!</v>
      </c>
    </row>
    <row r="1012">
      <c r="A1012" s="87" t="str">
        <f>IFERROR(__xludf.DUMMYFUNCTION("TRANSPOSE(QUERY('Cadastro VTR/SEÇÃO/MILITAR'!$E$3:$F2000,""SELECT F WHERE E LIKE '""&amp;'carga de materiais'!E1013&amp;""'""))"),"#REF!")</f>
        <v>#REF!</v>
      </c>
    </row>
    <row r="1013">
      <c r="A1013" s="87" t="str">
        <f>IFERROR(__xludf.DUMMYFUNCTION("TRANSPOSE(QUERY('Cadastro VTR/SEÇÃO/MILITAR'!$E$3:$F2000,""SELECT F WHERE E LIKE '""&amp;'carga de materiais'!E1014&amp;""'""))"),"#REF!")</f>
        <v>#REF!</v>
      </c>
    </row>
    <row r="1014">
      <c r="A1014" s="87" t="str">
        <f>IFERROR(__xludf.DUMMYFUNCTION("TRANSPOSE(QUERY('Cadastro VTR/SEÇÃO/MILITAR'!$E$3:$F2000,""SELECT F WHERE E LIKE '""&amp;'carga de materiais'!E1015&amp;""'""))"),"#REF!")</f>
        <v>#REF!</v>
      </c>
    </row>
    <row r="1015">
      <c r="A1015" s="87" t="str">
        <f>IFERROR(__xludf.DUMMYFUNCTION("TRANSPOSE(QUERY('Cadastro VTR/SEÇÃO/MILITAR'!$E$3:$F2000,""SELECT F WHERE E LIKE '""&amp;'carga de materiais'!E1016&amp;""'""))"),"#REF!")</f>
        <v>#REF!</v>
      </c>
    </row>
    <row r="1016">
      <c r="A1016" s="87" t="str">
        <f>IFERROR(__xludf.DUMMYFUNCTION("TRANSPOSE(QUERY('Cadastro VTR/SEÇÃO/MILITAR'!$E$3:$F2000,""SELECT F WHERE E LIKE '""&amp;'carga de materiais'!E1017&amp;""'""))"),"#REF!")</f>
        <v>#REF!</v>
      </c>
    </row>
    <row r="1017">
      <c r="A1017" s="87" t="str">
        <f>IFERROR(__xludf.DUMMYFUNCTION("TRANSPOSE(QUERY('Cadastro VTR/SEÇÃO/MILITAR'!$E$3:$F2000,""SELECT F WHERE E LIKE '""&amp;'carga de materiais'!E1018&amp;""'""))"),"#REF!")</f>
        <v>#REF!</v>
      </c>
    </row>
    <row r="1018">
      <c r="A1018" s="87" t="str">
        <f>IFERROR(__xludf.DUMMYFUNCTION("TRANSPOSE(QUERY('Cadastro VTR/SEÇÃO/MILITAR'!$E$3:$F2000,""SELECT F WHERE E LIKE '""&amp;'carga de materiais'!E1019&amp;""'""))"),"#REF!")</f>
        <v>#REF!</v>
      </c>
    </row>
    <row r="1019">
      <c r="A1019" s="87" t="str">
        <f>IFERROR(__xludf.DUMMYFUNCTION("TRANSPOSE(QUERY('Cadastro VTR/SEÇÃO/MILITAR'!$E$3:$F2000,""SELECT F WHERE E LIKE '""&amp;'carga de materiais'!E1020&amp;""'""))"),"#REF!")</f>
        <v>#REF!</v>
      </c>
    </row>
    <row r="1020">
      <c r="A1020" s="87" t="str">
        <f>IFERROR(__xludf.DUMMYFUNCTION("TRANSPOSE(QUERY('Cadastro VTR/SEÇÃO/MILITAR'!$E$3:$F2000,""SELECT F WHERE E LIKE '""&amp;'carga de materiais'!E1021&amp;""'""))"),"#REF!")</f>
        <v>#REF!</v>
      </c>
    </row>
    <row r="1021">
      <c r="A1021" s="87" t="str">
        <f>IFERROR(__xludf.DUMMYFUNCTION("TRANSPOSE(QUERY('Cadastro VTR/SEÇÃO/MILITAR'!$E$3:$F2000,""SELECT F WHERE E LIKE '""&amp;'carga de materiais'!E1022&amp;""'""))"),"#REF!")</f>
        <v>#REF!</v>
      </c>
    </row>
    <row r="1022">
      <c r="A1022" s="87" t="str">
        <f>IFERROR(__xludf.DUMMYFUNCTION("TRANSPOSE(QUERY('Cadastro VTR/SEÇÃO/MILITAR'!$E$3:$F2000,""SELECT F WHERE E LIKE '""&amp;'carga de materiais'!E1023&amp;""'""))"),"#REF!")</f>
        <v>#REF!</v>
      </c>
    </row>
    <row r="1023">
      <c r="A1023" s="87" t="str">
        <f>IFERROR(__xludf.DUMMYFUNCTION("TRANSPOSE(QUERY('Cadastro VTR/SEÇÃO/MILITAR'!$E$3:$F2000,""SELECT F WHERE E LIKE '""&amp;'carga de materiais'!E1024&amp;""'""))"),"#REF!")</f>
        <v>#REF!</v>
      </c>
    </row>
    <row r="1024">
      <c r="A1024" s="87" t="str">
        <f>IFERROR(__xludf.DUMMYFUNCTION("TRANSPOSE(QUERY('Cadastro VTR/SEÇÃO/MILITAR'!$E$3:$F2000,""SELECT F WHERE E LIKE '""&amp;'carga de materiais'!E1025&amp;""'""))"),"#REF!")</f>
        <v>#REF!</v>
      </c>
    </row>
    <row r="1025">
      <c r="A1025" s="87" t="str">
        <f>IFERROR(__xludf.DUMMYFUNCTION("TRANSPOSE(QUERY('Cadastro VTR/SEÇÃO/MILITAR'!$E$3:$F2000,""SELECT F WHERE E LIKE '""&amp;'carga de materiais'!E1026&amp;""'""))"),"#REF!")</f>
        <v>#REF!</v>
      </c>
    </row>
    <row r="1026">
      <c r="A1026" s="87" t="str">
        <f>IFERROR(__xludf.DUMMYFUNCTION("TRANSPOSE(QUERY('Cadastro VTR/SEÇÃO/MILITAR'!$E$3:$F2000,""SELECT F WHERE E LIKE '""&amp;'carga de materiais'!E1027&amp;""'""))"),"#REF!")</f>
        <v>#REF!</v>
      </c>
    </row>
    <row r="1027">
      <c r="A1027" s="87" t="str">
        <f>IFERROR(__xludf.DUMMYFUNCTION("TRANSPOSE(QUERY('Cadastro VTR/SEÇÃO/MILITAR'!$E$3:$F2000,""SELECT F WHERE E LIKE '""&amp;'carga de materiais'!E1028&amp;""'""))"),"#REF!")</f>
        <v>#REF!</v>
      </c>
    </row>
    <row r="1028">
      <c r="A1028" s="87" t="str">
        <f>IFERROR(__xludf.DUMMYFUNCTION("TRANSPOSE(QUERY('Cadastro VTR/SEÇÃO/MILITAR'!$E$3:$F2000,""SELECT F WHERE E LIKE '""&amp;'carga de materiais'!E1029&amp;""'""))"),"#REF!")</f>
        <v>#REF!</v>
      </c>
    </row>
    <row r="1029">
      <c r="A1029" s="87" t="str">
        <f>IFERROR(__xludf.DUMMYFUNCTION("TRANSPOSE(QUERY('Cadastro VTR/SEÇÃO/MILITAR'!$E$3:$F2000,""SELECT F WHERE E LIKE '""&amp;'carga de materiais'!E1030&amp;""'""))"),"#REF!")</f>
        <v>#REF!</v>
      </c>
    </row>
    <row r="1030">
      <c r="A1030" s="87" t="str">
        <f>IFERROR(__xludf.DUMMYFUNCTION("TRANSPOSE(QUERY('Cadastro VTR/SEÇÃO/MILITAR'!$E$3:$F2000,""SELECT F WHERE E LIKE '""&amp;'carga de materiais'!E1031&amp;""'""))"),"#REF!")</f>
        <v>#REF!</v>
      </c>
    </row>
    <row r="1031">
      <c r="A1031" s="87" t="str">
        <f>IFERROR(__xludf.DUMMYFUNCTION("TRANSPOSE(QUERY('Cadastro VTR/SEÇÃO/MILITAR'!$E$3:$F2000,""SELECT F WHERE E LIKE '""&amp;'carga de materiais'!E1032&amp;""'""))"),"#REF!")</f>
        <v>#REF!</v>
      </c>
    </row>
    <row r="1032">
      <c r="A1032" s="87" t="str">
        <f>IFERROR(__xludf.DUMMYFUNCTION("TRANSPOSE(QUERY('Cadastro VTR/SEÇÃO/MILITAR'!$E$3:$F2000,""SELECT F WHERE E LIKE '""&amp;'carga de materiais'!E1033&amp;""'""))"),"#REF!")</f>
        <v>#REF!</v>
      </c>
    </row>
    <row r="1033">
      <c r="A1033" s="87" t="str">
        <f>IFERROR(__xludf.DUMMYFUNCTION("TRANSPOSE(QUERY('Cadastro VTR/SEÇÃO/MILITAR'!$E$3:$F2000,""SELECT F WHERE E LIKE '""&amp;'carga de materiais'!E1034&amp;""'""))"),"#REF!")</f>
        <v>#REF!</v>
      </c>
    </row>
    <row r="1034">
      <c r="A1034" s="87" t="str">
        <f>IFERROR(__xludf.DUMMYFUNCTION("TRANSPOSE(QUERY('Cadastro VTR/SEÇÃO/MILITAR'!$E$3:$F2000,""SELECT F WHERE E LIKE '""&amp;'carga de materiais'!E1035&amp;""'""))"),"#REF!")</f>
        <v>#REF!</v>
      </c>
    </row>
    <row r="1035">
      <c r="A1035" s="87" t="str">
        <f>IFERROR(__xludf.DUMMYFUNCTION("TRANSPOSE(QUERY('Cadastro VTR/SEÇÃO/MILITAR'!$E$3:$F2000,""SELECT F WHERE E LIKE '""&amp;'carga de materiais'!E1036&amp;""'""))"),"#REF!")</f>
        <v>#REF!</v>
      </c>
    </row>
    <row r="1036">
      <c r="A1036" s="87" t="str">
        <f>IFERROR(__xludf.DUMMYFUNCTION("TRANSPOSE(QUERY('Cadastro VTR/SEÇÃO/MILITAR'!$E$3:$F2000,""SELECT F WHERE E LIKE '""&amp;'carga de materiais'!E1037&amp;""'""))"),"#REF!")</f>
        <v>#REF!</v>
      </c>
    </row>
    <row r="1037">
      <c r="A1037" s="87" t="str">
        <f>IFERROR(__xludf.DUMMYFUNCTION("TRANSPOSE(QUERY('Cadastro VTR/SEÇÃO/MILITAR'!$E$3:$F2000,""SELECT F WHERE E LIKE '""&amp;'carga de materiais'!E1038&amp;""'""))"),"#REF!")</f>
        <v>#REF!</v>
      </c>
    </row>
    <row r="1038">
      <c r="A1038" s="87" t="str">
        <f>IFERROR(__xludf.DUMMYFUNCTION("TRANSPOSE(QUERY('Cadastro VTR/SEÇÃO/MILITAR'!$E$3:$F2000,""SELECT F WHERE E LIKE '""&amp;'carga de materiais'!E1039&amp;""'""))"),"#REF!")</f>
        <v>#REF!</v>
      </c>
    </row>
    <row r="1039">
      <c r="A1039" s="87" t="str">
        <f>IFERROR(__xludf.DUMMYFUNCTION("TRANSPOSE(QUERY('Cadastro VTR/SEÇÃO/MILITAR'!$E$3:$F2000,""SELECT F WHERE E LIKE '""&amp;'carga de materiais'!E1040&amp;""'""))"),"#REF!")</f>
        <v>#REF!</v>
      </c>
    </row>
    <row r="1040">
      <c r="A1040" s="87" t="str">
        <f>IFERROR(__xludf.DUMMYFUNCTION("TRANSPOSE(QUERY('Cadastro VTR/SEÇÃO/MILITAR'!$E$3:$F2000,""SELECT F WHERE E LIKE '""&amp;'carga de materiais'!E1041&amp;""'""))"),"#REF!")</f>
        <v>#REF!</v>
      </c>
    </row>
    <row r="1041">
      <c r="A1041" s="87" t="str">
        <f>IFERROR(__xludf.DUMMYFUNCTION("TRANSPOSE(QUERY('Cadastro VTR/SEÇÃO/MILITAR'!$E$3:$F2000,""SELECT F WHERE E LIKE '""&amp;'carga de materiais'!E1042&amp;""'""))"),"#REF!")</f>
        <v>#REF!</v>
      </c>
    </row>
    <row r="1042">
      <c r="A1042" s="87" t="str">
        <f>IFERROR(__xludf.DUMMYFUNCTION("TRANSPOSE(QUERY('Cadastro VTR/SEÇÃO/MILITAR'!$E$3:$F2000,""SELECT F WHERE E LIKE '""&amp;'carga de materiais'!E1043&amp;""'""))"),"#REF!")</f>
        <v>#REF!</v>
      </c>
    </row>
    <row r="1043">
      <c r="A1043" s="87" t="str">
        <f>IFERROR(__xludf.DUMMYFUNCTION("TRANSPOSE(QUERY('Cadastro VTR/SEÇÃO/MILITAR'!$E$3:$F2000,""SELECT F WHERE E LIKE '""&amp;'carga de materiais'!E1044&amp;""'""))"),"#REF!")</f>
        <v>#REF!</v>
      </c>
    </row>
    <row r="1044">
      <c r="A1044" s="87" t="str">
        <f>IFERROR(__xludf.DUMMYFUNCTION("TRANSPOSE(QUERY('Cadastro VTR/SEÇÃO/MILITAR'!$E$3:$F2000,""SELECT F WHERE E LIKE '""&amp;'carga de materiais'!E1045&amp;""'""))"),"#REF!")</f>
        <v>#REF!</v>
      </c>
    </row>
    <row r="1045">
      <c r="A1045" s="87" t="str">
        <f>IFERROR(__xludf.DUMMYFUNCTION("TRANSPOSE(QUERY('Cadastro VTR/SEÇÃO/MILITAR'!$E$3:$F2000,""SELECT F WHERE E LIKE '""&amp;'carga de materiais'!E1046&amp;""'""))"),"#REF!")</f>
        <v>#REF!</v>
      </c>
    </row>
    <row r="1046">
      <c r="A1046" s="87" t="str">
        <f>IFERROR(__xludf.DUMMYFUNCTION("TRANSPOSE(QUERY('Cadastro VTR/SEÇÃO/MILITAR'!$E$3:$F2000,""SELECT F WHERE E LIKE '""&amp;'carga de materiais'!E1047&amp;""'""))"),"#REF!")</f>
        <v>#REF!</v>
      </c>
    </row>
    <row r="1047">
      <c r="A1047" s="87" t="str">
        <f>IFERROR(__xludf.DUMMYFUNCTION("TRANSPOSE(QUERY('Cadastro VTR/SEÇÃO/MILITAR'!$E$3:$F2000,""SELECT F WHERE E LIKE '""&amp;'carga de materiais'!E1048&amp;""'""))"),"#REF!")</f>
        <v>#REF!</v>
      </c>
    </row>
    <row r="1048">
      <c r="A1048" s="87" t="str">
        <f>IFERROR(__xludf.DUMMYFUNCTION("TRANSPOSE(QUERY('Cadastro VTR/SEÇÃO/MILITAR'!$E$3:$F2000,""SELECT F WHERE E LIKE '""&amp;'carga de materiais'!E1049&amp;""'""))"),"#REF!")</f>
        <v>#REF!</v>
      </c>
    </row>
    <row r="1049">
      <c r="A1049" s="87" t="str">
        <f>IFERROR(__xludf.DUMMYFUNCTION("TRANSPOSE(QUERY('Cadastro VTR/SEÇÃO/MILITAR'!$E$3:$F2000,""SELECT F WHERE E LIKE '""&amp;'carga de materiais'!E1050&amp;""'""))"),"#REF!")</f>
        <v>#REF!</v>
      </c>
    </row>
    <row r="1050">
      <c r="A1050" s="87" t="str">
        <f>IFERROR(__xludf.DUMMYFUNCTION("TRANSPOSE(QUERY('Cadastro VTR/SEÇÃO/MILITAR'!$E$3:$F2000,""SELECT F WHERE E LIKE '""&amp;'carga de materiais'!E1051&amp;""'""))"),"#REF!")</f>
        <v>#REF!</v>
      </c>
    </row>
    <row r="1051">
      <c r="A1051" s="87" t="str">
        <f>IFERROR(__xludf.DUMMYFUNCTION("TRANSPOSE(QUERY('Cadastro VTR/SEÇÃO/MILITAR'!$E$3:$F2000,""SELECT F WHERE E LIKE '""&amp;'carga de materiais'!E1052&amp;""'""))"),"#REF!")</f>
        <v>#REF!</v>
      </c>
    </row>
    <row r="1052">
      <c r="A1052" s="87" t="str">
        <f>IFERROR(__xludf.DUMMYFUNCTION("TRANSPOSE(QUERY('Cadastro VTR/SEÇÃO/MILITAR'!$E$3:$F2000,""SELECT F WHERE E LIKE '""&amp;'carga de materiais'!E1053&amp;""'""))"),"#REF!")</f>
        <v>#REF!</v>
      </c>
    </row>
    <row r="1053">
      <c r="A1053" s="87" t="str">
        <f>IFERROR(__xludf.DUMMYFUNCTION("TRANSPOSE(QUERY('Cadastro VTR/SEÇÃO/MILITAR'!$E$3:$F2000,""SELECT F WHERE E LIKE '""&amp;'carga de materiais'!E1054&amp;""'""))"),"#REF!")</f>
        <v>#REF!</v>
      </c>
    </row>
    <row r="1054">
      <c r="A1054" s="87" t="str">
        <f>IFERROR(__xludf.DUMMYFUNCTION("TRANSPOSE(QUERY('Cadastro VTR/SEÇÃO/MILITAR'!$E$3:$F2000,""SELECT F WHERE E LIKE '""&amp;'carga de materiais'!E1055&amp;""'""))"),"#REF!")</f>
        <v>#REF!</v>
      </c>
    </row>
    <row r="1055">
      <c r="A1055" s="87" t="str">
        <f>IFERROR(__xludf.DUMMYFUNCTION("TRANSPOSE(QUERY('Cadastro VTR/SEÇÃO/MILITAR'!$E$3:$F2000,""SELECT F WHERE E LIKE '""&amp;'carga de materiais'!E1056&amp;""'""))"),"#REF!")</f>
        <v>#REF!</v>
      </c>
    </row>
    <row r="1056">
      <c r="A1056" s="87" t="str">
        <f>IFERROR(__xludf.DUMMYFUNCTION("TRANSPOSE(QUERY('Cadastro VTR/SEÇÃO/MILITAR'!$E$3:$F2000,""SELECT F WHERE E LIKE '""&amp;'carga de materiais'!E1057&amp;""'""))"),"#REF!")</f>
        <v>#REF!</v>
      </c>
    </row>
    <row r="1057">
      <c r="A1057" s="87" t="str">
        <f>IFERROR(__xludf.DUMMYFUNCTION("TRANSPOSE(QUERY('Cadastro VTR/SEÇÃO/MILITAR'!$E$3:$F2000,""SELECT F WHERE E LIKE '""&amp;'carga de materiais'!E1058&amp;""'""))"),"#REF!")</f>
        <v>#REF!</v>
      </c>
    </row>
    <row r="1058">
      <c r="A1058" s="87" t="str">
        <f>IFERROR(__xludf.DUMMYFUNCTION("TRANSPOSE(QUERY('Cadastro VTR/SEÇÃO/MILITAR'!$E$3:$F2000,""SELECT F WHERE E LIKE '""&amp;'carga de materiais'!E1059&amp;""'""))"),"#REF!")</f>
        <v>#REF!</v>
      </c>
    </row>
    <row r="1059">
      <c r="A1059" s="87" t="str">
        <f>IFERROR(__xludf.DUMMYFUNCTION("TRANSPOSE(QUERY('Cadastro VTR/SEÇÃO/MILITAR'!$E$3:$F2000,""SELECT F WHERE E LIKE '""&amp;'carga de materiais'!E1060&amp;""'""))"),"#REF!")</f>
        <v>#REF!</v>
      </c>
    </row>
    <row r="1060">
      <c r="A1060" s="87" t="str">
        <f>IFERROR(__xludf.DUMMYFUNCTION("TRANSPOSE(QUERY('Cadastro VTR/SEÇÃO/MILITAR'!$E$3:$F2000,""SELECT F WHERE E LIKE '""&amp;'carga de materiais'!E1061&amp;""'""))"),"#REF!")</f>
        <v>#REF!</v>
      </c>
    </row>
    <row r="1061">
      <c r="A1061" s="87" t="str">
        <f>IFERROR(__xludf.DUMMYFUNCTION("TRANSPOSE(QUERY('Cadastro VTR/SEÇÃO/MILITAR'!$E$3:$F2000,""SELECT F WHERE E LIKE '""&amp;'carga de materiais'!E1062&amp;""'""))"),"#REF!")</f>
        <v>#REF!</v>
      </c>
    </row>
    <row r="1062">
      <c r="A1062" s="87" t="str">
        <f>IFERROR(__xludf.DUMMYFUNCTION("TRANSPOSE(QUERY('Cadastro VTR/SEÇÃO/MILITAR'!$E$3:$F2000,""SELECT F WHERE E LIKE '""&amp;'carga de materiais'!E1063&amp;""'""))"),"#REF!")</f>
        <v>#REF!</v>
      </c>
    </row>
    <row r="1063">
      <c r="A1063" s="87" t="str">
        <f>IFERROR(__xludf.DUMMYFUNCTION("TRANSPOSE(QUERY('Cadastro VTR/SEÇÃO/MILITAR'!$E$3:$F2000,""SELECT F WHERE E LIKE '""&amp;'carga de materiais'!E1064&amp;""'""))"),"#REF!")</f>
        <v>#REF!</v>
      </c>
    </row>
    <row r="1064">
      <c r="A1064" s="87" t="str">
        <f>IFERROR(__xludf.DUMMYFUNCTION("TRANSPOSE(QUERY('Cadastro VTR/SEÇÃO/MILITAR'!$E$3:$F2000,""SELECT F WHERE E LIKE '""&amp;'carga de materiais'!E1065&amp;""'""))"),"#REF!")</f>
        <v>#REF!</v>
      </c>
    </row>
    <row r="1065">
      <c r="A1065" s="87" t="str">
        <f>IFERROR(__xludf.DUMMYFUNCTION("TRANSPOSE(QUERY('Cadastro VTR/SEÇÃO/MILITAR'!$E$3:$F2000,""SELECT F WHERE E LIKE '""&amp;'carga de materiais'!E1066&amp;""'""))"),"#REF!")</f>
        <v>#REF!</v>
      </c>
    </row>
    <row r="1066">
      <c r="A1066" s="87" t="str">
        <f>IFERROR(__xludf.DUMMYFUNCTION("TRANSPOSE(QUERY('Cadastro VTR/SEÇÃO/MILITAR'!$E$3:$F2000,""SELECT F WHERE E LIKE '""&amp;'carga de materiais'!E1067&amp;""'""))"),"#REF!")</f>
        <v>#REF!</v>
      </c>
    </row>
    <row r="1067">
      <c r="A1067" s="87" t="str">
        <f>IFERROR(__xludf.DUMMYFUNCTION("TRANSPOSE(QUERY('Cadastro VTR/SEÇÃO/MILITAR'!$E$3:$F2000,""SELECT F WHERE E LIKE '""&amp;'carga de materiais'!E1068&amp;""'""))"),"#REF!")</f>
        <v>#REF!</v>
      </c>
    </row>
    <row r="1068">
      <c r="A1068" s="87" t="str">
        <f>IFERROR(__xludf.DUMMYFUNCTION("TRANSPOSE(QUERY('Cadastro VTR/SEÇÃO/MILITAR'!$E$3:$F2000,""SELECT F WHERE E LIKE '""&amp;'carga de materiais'!E1069&amp;""'""))"),"#REF!")</f>
        <v>#REF!</v>
      </c>
    </row>
    <row r="1069">
      <c r="A1069" s="87" t="str">
        <f>IFERROR(__xludf.DUMMYFUNCTION("TRANSPOSE(QUERY('Cadastro VTR/SEÇÃO/MILITAR'!$E$3:$F2000,""SELECT F WHERE E LIKE '""&amp;'carga de materiais'!E1070&amp;""'""))"),"#REF!")</f>
        <v>#REF!</v>
      </c>
    </row>
    <row r="1070">
      <c r="A1070" s="87" t="str">
        <f>IFERROR(__xludf.DUMMYFUNCTION("TRANSPOSE(QUERY('Cadastro VTR/SEÇÃO/MILITAR'!$E$3:$F2000,""SELECT F WHERE E LIKE '""&amp;'carga de materiais'!E1071&amp;""'""))"),"#REF!")</f>
        <v>#REF!</v>
      </c>
    </row>
    <row r="1071">
      <c r="A1071" s="87" t="str">
        <f>IFERROR(__xludf.DUMMYFUNCTION("TRANSPOSE(QUERY('Cadastro VTR/SEÇÃO/MILITAR'!$E$3:$F2000,""SELECT F WHERE E LIKE '""&amp;'carga de materiais'!E1072&amp;""'""))"),"#REF!")</f>
        <v>#REF!</v>
      </c>
    </row>
    <row r="1072">
      <c r="A1072" s="87" t="str">
        <f>IFERROR(__xludf.DUMMYFUNCTION("TRANSPOSE(QUERY('Cadastro VTR/SEÇÃO/MILITAR'!$E$3:$F2000,""SELECT F WHERE E LIKE '""&amp;'carga de materiais'!E1073&amp;""'""))"),"#REF!")</f>
        <v>#REF!</v>
      </c>
    </row>
    <row r="1073">
      <c r="A1073" s="87" t="str">
        <f>IFERROR(__xludf.DUMMYFUNCTION("TRANSPOSE(QUERY('Cadastro VTR/SEÇÃO/MILITAR'!$E$3:$F2000,""SELECT F WHERE E LIKE '""&amp;'carga de materiais'!E1074&amp;""'""))"),"#REF!")</f>
        <v>#REF!</v>
      </c>
    </row>
    <row r="1074">
      <c r="A1074" s="87" t="str">
        <f>IFERROR(__xludf.DUMMYFUNCTION("TRANSPOSE(QUERY('Cadastro VTR/SEÇÃO/MILITAR'!$E$3:$F2000,""SELECT F WHERE E LIKE '""&amp;'carga de materiais'!E1075&amp;""'""))"),"#REF!")</f>
        <v>#REF!</v>
      </c>
    </row>
    <row r="1075">
      <c r="A1075" s="87" t="str">
        <f>IFERROR(__xludf.DUMMYFUNCTION("TRANSPOSE(QUERY('Cadastro VTR/SEÇÃO/MILITAR'!$E$3:$F2000,""SELECT F WHERE E LIKE '""&amp;'carga de materiais'!E1076&amp;""'""))"),"#REF!")</f>
        <v>#REF!</v>
      </c>
    </row>
    <row r="1076">
      <c r="A1076" s="87" t="str">
        <f>IFERROR(__xludf.DUMMYFUNCTION("TRANSPOSE(QUERY('Cadastro VTR/SEÇÃO/MILITAR'!$E$3:$F2000,""SELECT F WHERE E LIKE '""&amp;'carga de materiais'!E1077&amp;""'""))"),"#REF!")</f>
        <v>#REF!</v>
      </c>
    </row>
    <row r="1077">
      <c r="A1077" s="87" t="str">
        <f>IFERROR(__xludf.DUMMYFUNCTION("TRANSPOSE(QUERY('Cadastro VTR/SEÇÃO/MILITAR'!$E$3:$F2000,""SELECT F WHERE E LIKE '""&amp;'carga de materiais'!E1078&amp;""'""))"),"#REF!")</f>
        <v>#REF!</v>
      </c>
    </row>
    <row r="1078">
      <c r="A1078" s="87" t="str">
        <f>IFERROR(__xludf.DUMMYFUNCTION("TRANSPOSE(QUERY('Cadastro VTR/SEÇÃO/MILITAR'!$E$3:$F2000,""SELECT F WHERE E LIKE '""&amp;'carga de materiais'!E1079&amp;""'""))"),"#REF!")</f>
        <v>#REF!</v>
      </c>
    </row>
    <row r="1079">
      <c r="A1079" s="87" t="str">
        <f>IFERROR(__xludf.DUMMYFUNCTION("TRANSPOSE(QUERY('Cadastro VTR/SEÇÃO/MILITAR'!$E$3:$F2000,""SELECT F WHERE E LIKE '""&amp;'carga de materiais'!E1080&amp;""'""))"),"#REF!")</f>
        <v>#REF!</v>
      </c>
    </row>
    <row r="1080">
      <c r="A1080" s="87" t="str">
        <f>IFERROR(__xludf.DUMMYFUNCTION("TRANSPOSE(QUERY('Cadastro VTR/SEÇÃO/MILITAR'!$E$3:$F2000,""SELECT F WHERE E LIKE '""&amp;'carga de materiais'!E1081&amp;""'""))"),"#REF!")</f>
        <v>#REF!</v>
      </c>
    </row>
    <row r="1081">
      <c r="A1081" s="87" t="str">
        <f>IFERROR(__xludf.DUMMYFUNCTION("TRANSPOSE(QUERY('Cadastro VTR/SEÇÃO/MILITAR'!$E$3:$F2000,""SELECT F WHERE E LIKE '""&amp;'carga de materiais'!E1082&amp;""'""))"),"#REF!")</f>
        <v>#REF!</v>
      </c>
    </row>
    <row r="1082">
      <c r="A1082" s="87" t="str">
        <f>IFERROR(__xludf.DUMMYFUNCTION("TRANSPOSE(QUERY('Cadastro VTR/SEÇÃO/MILITAR'!$E$3:$F2000,""SELECT F WHERE E LIKE '""&amp;'carga de materiais'!E1083&amp;""'""))"),"#REF!")</f>
        <v>#REF!</v>
      </c>
    </row>
    <row r="1083">
      <c r="A1083" s="87" t="str">
        <f>IFERROR(__xludf.DUMMYFUNCTION("TRANSPOSE(QUERY('Cadastro VTR/SEÇÃO/MILITAR'!$E$3:$F2000,""SELECT F WHERE E LIKE '""&amp;'carga de materiais'!E1084&amp;""'""))"),"#REF!")</f>
        <v>#REF!</v>
      </c>
    </row>
    <row r="1084">
      <c r="A1084" s="87" t="str">
        <f>IFERROR(__xludf.DUMMYFUNCTION("TRANSPOSE(QUERY('Cadastro VTR/SEÇÃO/MILITAR'!$E$3:$F2000,""SELECT F WHERE E LIKE '""&amp;'carga de materiais'!E1085&amp;""'""))"),"#REF!")</f>
        <v>#REF!</v>
      </c>
    </row>
    <row r="1085">
      <c r="A1085" s="87" t="str">
        <f>IFERROR(__xludf.DUMMYFUNCTION("TRANSPOSE(QUERY('Cadastro VTR/SEÇÃO/MILITAR'!$E$3:$F2000,""SELECT F WHERE E LIKE '""&amp;'carga de materiais'!E1086&amp;""'""))"),"#REF!")</f>
        <v>#REF!</v>
      </c>
    </row>
    <row r="1086">
      <c r="A1086" s="87" t="str">
        <f>IFERROR(__xludf.DUMMYFUNCTION("TRANSPOSE(QUERY('Cadastro VTR/SEÇÃO/MILITAR'!$E$3:$F2000,""SELECT F WHERE E LIKE '""&amp;'carga de materiais'!E1087&amp;""'""))"),"#REF!")</f>
        <v>#REF!</v>
      </c>
    </row>
    <row r="1087">
      <c r="A1087" s="87" t="str">
        <f>IFERROR(__xludf.DUMMYFUNCTION("TRANSPOSE(QUERY('Cadastro VTR/SEÇÃO/MILITAR'!$E$3:$F2000,""SELECT F WHERE E LIKE '""&amp;'carga de materiais'!E1088&amp;""'""))"),"#REF!")</f>
        <v>#REF!</v>
      </c>
    </row>
    <row r="1088">
      <c r="A1088" s="87" t="str">
        <f>IFERROR(__xludf.DUMMYFUNCTION("TRANSPOSE(QUERY('Cadastro VTR/SEÇÃO/MILITAR'!$E$3:$F2000,""SELECT F WHERE E LIKE '""&amp;'carga de materiais'!E1089&amp;""'""))"),"#REF!")</f>
        <v>#REF!</v>
      </c>
    </row>
    <row r="1089">
      <c r="A1089" s="87" t="str">
        <f>IFERROR(__xludf.DUMMYFUNCTION("TRANSPOSE(QUERY('Cadastro VTR/SEÇÃO/MILITAR'!$E$3:$F2000,""SELECT F WHERE E LIKE '""&amp;'carga de materiais'!E1090&amp;""'""))"),"#REF!")</f>
        <v>#REF!</v>
      </c>
    </row>
    <row r="1090">
      <c r="A1090" s="87" t="str">
        <f>IFERROR(__xludf.DUMMYFUNCTION("TRANSPOSE(QUERY('Cadastro VTR/SEÇÃO/MILITAR'!$E$3:$F2000,""SELECT F WHERE E LIKE '""&amp;'carga de materiais'!E1091&amp;""'""))"),"#REF!")</f>
        <v>#REF!</v>
      </c>
    </row>
    <row r="1091">
      <c r="A1091" s="87" t="str">
        <f>IFERROR(__xludf.DUMMYFUNCTION("TRANSPOSE(QUERY('Cadastro VTR/SEÇÃO/MILITAR'!$E$3:$F2000,""SELECT F WHERE E LIKE '""&amp;'carga de materiais'!E1092&amp;""'""))"),"#REF!")</f>
        <v>#REF!</v>
      </c>
    </row>
    <row r="1092">
      <c r="A1092" s="87" t="str">
        <f>IFERROR(__xludf.DUMMYFUNCTION("TRANSPOSE(QUERY('Cadastro VTR/SEÇÃO/MILITAR'!$E$3:$F2000,""SELECT F WHERE E LIKE '""&amp;'carga de materiais'!E1093&amp;""'""))"),"#REF!")</f>
        <v>#REF!</v>
      </c>
    </row>
    <row r="1093">
      <c r="A1093" s="87" t="str">
        <f>IFERROR(__xludf.DUMMYFUNCTION("TRANSPOSE(QUERY('Cadastro VTR/SEÇÃO/MILITAR'!$E$3:$F2000,""SELECT F WHERE E LIKE '""&amp;'carga de materiais'!E1094&amp;""'""))"),"#REF!")</f>
        <v>#REF!</v>
      </c>
    </row>
    <row r="1094">
      <c r="A1094" s="87" t="str">
        <f>IFERROR(__xludf.DUMMYFUNCTION("TRANSPOSE(QUERY('Cadastro VTR/SEÇÃO/MILITAR'!$E$3:$F2000,""SELECT F WHERE E LIKE '""&amp;'carga de materiais'!E1095&amp;""'""))"),"#REF!")</f>
        <v>#REF!</v>
      </c>
    </row>
    <row r="1095">
      <c r="A1095" s="87" t="str">
        <f>IFERROR(__xludf.DUMMYFUNCTION("TRANSPOSE(QUERY('Cadastro VTR/SEÇÃO/MILITAR'!$E$3:$F2000,""SELECT F WHERE E LIKE '""&amp;'carga de materiais'!E1096&amp;""'""))"),"#REF!")</f>
        <v>#REF!</v>
      </c>
    </row>
    <row r="1096">
      <c r="A1096" s="87" t="str">
        <f>IFERROR(__xludf.DUMMYFUNCTION("TRANSPOSE(QUERY('Cadastro VTR/SEÇÃO/MILITAR'!$E$3:$F2000,""SELECT F WHERE E LIKE '""&amp;'carga de materiais'!E1097&amp;""'""))"),"#REF!")</f>
        <v>#REF!</v>
      </c>
    </row>
    <row r="1097">
      <c r="A1097" s="87" t="str">
        <f>IFERROR(__xludf.DUMMYFUNCTION("TRANSPOSE(QUERY('Cadastro VTR/SEÇÃO/MILITAR'!$E$3:$F2000,""SELECT F WHERE E LIKE '""&amp;'carga de materiais'!E1098&amp;""'""))"),"#REF!")</f>
        <v>#REF!</v>
      </c>
    </row>
    <row r="1098">
      <c r="A1098" s="87" t="str">
        <f>IFERROR(__xludf.DUMMYFUNCTION("TRANSPOSE(QUERY('Cadastro VTR/SEÇÃO/MILITAR'!$E$3:$F2000,""SELECT F WHERE E LIKE '""&amp;'carga de materiais'!E1099&amp;""'""))"),"#REF!")</f>
        <v>#REF!</v>
      </c>
    </row>
    <row r="1099">
      <c r="A1099" s="87" t="str">
        <f>IFERROR(__xludf.DUMMYFUNCTION("TRANSPOSE(QUERY('Cadastro VTR/SEÇÃO/MILITAR'!$E$3:$F2000,""SELECT F WHERE E LIKE '""&amp;'carga de materiais'!E1100&amp;""'""))"),"#REF!")</f>
        <v>#REF!</v>
      </c>
    </row>
    <row r="1100">
      <c r="A1100" s="87" t="str">
        <f>IFERROR(__xludf.DUMMYFUNCTION("TRANSPOSE(QUERY('Cadastro VTR/SEÇÃO/MILITAR'!$E$3:$F2000,""SELECT F WHERE E LIKE '""&amp;'carga de materiais'!E1101&amp;""'""))"),"#REF!")</f>
        <v>#REF!</v>
      </c>
    </row>
    <row r="1101">
      <c r="A1101" s="87" t="str">
        <f>IFERROR(__xludf.DUMMYFUNCTION("TRANSPOSE(QUERY('Cadastro VTR/SEÇÃO/MILITAR'!$E$3:$F2000,""SELECT F WHERE E LIKE '""&amp;'carga de materiais'!E1102&amp;""'""))"),"#REF!")</f>
        <v>#REF!</v>
      </c>
    </row>
    <row r="1102">
      <c r="A1102" s="87" t="str">
        <f>IFERROR(__xludf.DUMMYFUNCTION("TRANSPOSE(QUERY('Cadastro VTR/SEÇÃO/MILITAR'!$E$3:$F2000,""SELECT F WHERE E LIKE '""&amp;'carga de materiais'!E1103&amp;""'""))"),"#REF!")</f>
        <v>#REF!</v>
      </c>
    </row>
    <row r="1103">
      <c r="A1103" s="87" t="str">
        <f>IFERROR(__xludf.DUMMYFUNCTION("TRANSPOSE(QUERY('Cadastro VTR/SEÇÃO/MILITAR'!$E$3:$F2000,""SELECT F WHERE E LIKE '""&amp;'carga de materiais'!E1104&amp;""'""))"),"#REF!")</f>
        <v>#REF!</v>
      </c>
    </row>
    <row r="1104">
      <c r="A1104" s="87" t="str">
        <f>IFERROR(__xludf.DUMMYFUNCTION("TRANSPOSE(QUERY('Cadastro VTR/SEÇÃO/MILITAR'!$E$3:$F2000,""SELECT F WHERE E LIKE '""&amp;'carga de materiais'!E1105&amp;""'""))"),"#REF!")</f>
        <v>#REF!</v>
      </c>
    </row>
    <row r="1105">
      <c r="A1105" s="87" t="str">
        <f>IFERROR(__xludf.DUMMYFUNCTION("TRANSPOSE(QUERY('Cadastro VTR/SEÇÃO/MILITAR'!$E$3:$F2000,""SELECT F WHERE E LIKE '""&amp;'carga de materiais'!E1106&amp;""'""))"),"#REF!")</f>
        <v>#REF!</v>
      </c>
    </row>
    <row r="1106">
      <c r="A1106" s="87" t="str">
        <f>IFERROR(__xludf.DUMMYFUNCTION("TRANSPOSE(QUERY('Cadastro VTR/SEÇÃO/MILITAR'!$E$3:$F2000,""SELECT F WHERE E LIKE '""&amp;'carga de materiais'!E1107&amp;""'""))"),"#REF!")</f>
        <v>#REF!</v>
      </c>
    </row>
    <row r="1107">
      <c r="A1107" s="87" t="str">
        <f>IFERROR(__xludf.DUMMYFUNCTION("TRANSPOSE(QUERY('Cadastro VTR/SEÇÃO/MILITAR'!$E$3:$F2000,""SELECT F WHERE E LIKE '""&amp;'carga de materiais'!E1108&amp;""'""))"),"#REF!")</f>
        <v>#REF!</v>
      </c>
    </row>
    <row r="1108">
      <c r="A1108" s="87" t="str">
        <f>IFERROR(__xludf.DUMMYFUNCTION("TRANSPOSE(QUERY('Cadastro VTR/SEÇÃO/MILITAR'!$E$3:$F2000,""SELECT F WHERE E LIKE '""&amp;'carga de materiais'!E1109&amp;""'""))"),"#REF!")</f>
        <v>#REF!</v>
      </c>
    </row>
    <row r="1109">
      <c r="A1109" s="87" t="str">
        <f>IFERROR(__xludf.DUMMYFUNCTION("TRANSPOSE(QUERY('Cadastro VTR/SEÇÃO/MILITAR'!$E$3:$F2000,""SELECT F WHERE E LIKE '""&amp;'carga de materiais'!E1110&amp;""'""))"),"#REF!")</f>
        <v>#REF!</v>
      </c>
    </row>
    <row r="1110">
      <c r="A1110" s="87" t="str">
        <f>IFERROR(__xludf.DUMMYFUNCTION("TRANSPOSE(QUERY('Cadastro VTR/SEÇÃO/MILITAR'!$E$3:$F2000,""SELECT F WHERE E LIKE '""&amp;'carga de materiais'!E1111&amp;""'""))"),"#REF!")</f>
        <v>#REF!</v>
      </c>
    </row>
    <row r="1111">
      <c r="A1111" s="87" t="str">
        <f>IFERROR(__xludf.DUMMYFUNCTION("TRANSPOSE(QUERY('Cadastro VTR/SEÇÃO/MILITAR'!$E$3:$F2000,""SELECT F WHERE E LIKE '""&amp;'carga de materiais'!E1112&amp;""'""))"),"#REF!")</f>
        <v>#REF!</v>
      </c>
    </row>
    <row r="1112">
      <c r="A1112" s="87" t="str">
        <f>IFERROR(__xludf.DUMMYFUNCTION("TRANSPOSE(QUERY('Cadastro VTR/SEÇÃO/MILITAR'!$E$3:$F2000,""SELECT F WHERE E LIKE '""&amp;'carga de materiais'!E1113&amp;""'""))"),"#REF!")</f>
        <v>#REF!</v>
      </c>
    </row>
    <row r="1113">
      <c r="A1113" s="87" t="str">
        <f>IFERROR(__xludf.DUMMYFUNCTION("TRANSPOSE(QUERY('Cadastro VTR/SEÇÃO/MILITAR'!$E$3:$F2000,""SELECT F WHERE E LIKE '""&amp;'carga de materiais'!E1114&amp;""'""))"),"#REF!")</f>
        <v>#REF!</v>
      </c>
    </row>
    <row r="1114">
      <c r="A1114" s="87" t="str">
        <f>IFERROR(__xludf.DUMMYFUNCTION("TRANSPOSE(QUERY('Cadastro VTR/SEÇÃO/MILITAR'!$E$3:$F2000,""SELECT F WHERE E LIKE '""&amp;'carga de materiais'!E1115&amp;""'""))"),"#REF!")</f>
        <v>#REF!</v>
      </c>
    </row>
    <row r="1115">
      <c r="A1115" s="87" t="str">
        <f>IFERROR(__xludf.DUMMYFUNCTION("TRANSPOSE(QUERY('Cadastro VTR/SEÇÃO/MILITAR'!$E$3:$F2000,""SELECT F WHERE E LIKE '""&amp;'carga de materiais'!E1116&amp;""'""))"),"#REF!")</f>
        <v>#REF!</v>
      </c>
    </row>
    <row r="1116">
      <c r="A1116" s="87" t="str">
        <f>IFERROR(__xludf.DUMMYFUNCTION("TRANSPOSE(QUERY('Cadastro VTR/SEÇÃO/MILITAR'!$E$3:$F2000,""SELECT F WHERE E LIKE '""&amp;'carga de materiais'!E1117&amp;""'""))"),"#REF!")</f>
        <v>#REF!</v>
      </c>
    </row>
    <row r="1117">
      <c r="A1117" s="87" t="str">
        <f>IFERROR(__xludf.DUMMYFUNCTION("TRANSPOSE(QUERY('Cadastro VTR/SEÇÃO/MILITAR'!$E$3:$F2000,""SELECT F WHERE E LIKE '""&amp;'carga de materiais'!E1118&amp;""'""))"),"#REF!")</f>
        <v>#REF!</v>
      </c>
    </row>
    <row r="1118">
      <c r="A1118" s="87" t="str">
        <f>IFERROR(__xludf.DUMMYFUNCTION("TRANSPOSE(QUERY('Cadastro VTR/SEÇÃO/MILITAR'!$E$3:$F2000,""SELECT F WHERE E LIKE '""&amp;'carga de materiais'!E1119&amp;""'""))"),"#REF!")</f>
        <v>#REF!</v>
      </c>
    </row>
    <row r="1119">
      <c r="A1119" s="87" t="str">
        <f>IFERROR(__xludf.DUMMYFUNCTION("TRANSPOSE(QUERY('Cadastro VTR/SEÇÃO/MILITAR'!$E$3:$F2000,""SELECT F WHERE E LIKE '""&amp;'carga de materiais'!E1120&amp;""'""))"),"#REF!")</f>
        <v>#REF!</v>
      </c>
    </row>
    <row r="1120">
      <c r="A1120" s="87" t="str">
        <f>IFERROR(__xludf.DUMMYFUNCTION("TRANSPOSE(QUERY('Cadastro VTR/SEÇÃO/MILITAR'!$E$3:$F2000,""SELECT F WHERE E LIKE '""&amp;'carga de materiais'!E1121&amp;""'""))"),"#REF!")</f>
        <v>#REF!</v>
      </c>
    </row>
    <row r="1121">
      <c r="A1121" s="87" t="str">
        <f>IFERROR(__xludf.DUMMYFUNCTION("TRANSPOSE(QUERY('Cadastro VTR/SEÇÃO/MILITAR'!$E$3:$F2000,""SELECT F WHERE E LIKE '""&amp;'carga de materiais'!E1122&amp;""'""))"),"#REF!")</f>
        <v>#REF!</v>
      </c>
    </row>
    <row r="1122">
      <c r="A1122" s="87" t="str">
        <f>IFERROR(__xludf.DUMMYFUNCTION("TRANSPOSE(QUERY('Cadastro VTR/SEÇÃO/MILITAR'!$E$3:$F2000,""SELECT F WHERE E LIKE '""&amp;'carga de materiais'!E1123&amp;""'""))"),"#REF!")</f>
        <v>#REF!</v>
      </c>
    </row>
    <row r="1123">
      <c r="A1123" s="87" t="str">
        <f>IFERROR(__xludf.DUMMYFUNCTION("TRANSPOSE(QUERY('Cadastro VTR/SEÇÃO/MILITAR'!$E$3:$F2000,""SELECT F WHERE E LIKE '""&amp;'carga de materiais'!E1124&amp;""'""))"),"#REF!")</f>
        <v>#REF!</v>
      </c>
    </row>
    <row r="1124">
      <c r="A1124" s="87" t="str">
        <f>IFERROR(__xludf.DUMMYFUNCTION("TRANSPOSE(QUERY('Cadastro VTR/SEÇÃO/MILITAR'!$E$3:$F2000,""SELECT F WHERE E LIKE '""&amp;'carga de materiais'!E1125&amp;""'""))"),"#REF!")</f>
        <v>#REF!</v>
      </c>
    </row>
    <row r="1125">
      <c r="A1125" s="87" t="str">
        <f>IFERROR(__xludf.DUMMYFUNCTION("TRANSPOSE(QUERY('Cadastro VTR/SEÇÃO/MILITAR'!$E$3:$F2000,""SELECT F WHERE E LIKE '""&amp;'carga de materiais'!E1126&amp;""'""))"),"#REF!")</f>
        <v>#REF!</v>
      </c>
    </row>
    <row r="1126">
      <c r="A1126" s="87" t="str">
        <f>IFERROR(__xludf.DUMMYFUNCTION("TRANSPOSE(QUERY('Cadastro VTR/SEÇÃO/MILITAR'!$E$3:$F2000,""SELECT F WHERE E LIKE '""&amp;'carga de materiais'!E1127&amp;""'""))"),"#REF!")</f>
        <v>#REF!</v>
      </c>
    </row>
    <row r="1127">
      <c r="A1127" s="87" t="str">
        <f>IFERROR(__xludf.DUMMYFUNCTION("TRANSPOSE(QUERY('Cadastro VTR/SEÇÃO/MILITAR'!$E$3:$F2000,""SELECT F WHERE E LIKE '""&amp;'carga de materiais'!E1128&amp;""'""))"),"#REF!")</f>
        <v>#REF!</v>
      </c>
    </row>
    <row r="1128">
      <c r="A1128" s="87" t="str">
        <f>IFERROR(__xludf.DUMMYFUNCTION("TRANSPOSE(QUERY('Cadastro VTR/SEÇÃO/MILITAR'!$E$3:$F2000,""SELECT F WHERE E LIKE '""&amp;'carga de materiais'!E1129&amp;""'""))"),"#REF!")</f>
        <v>#REF!</v>
      </c>
    </row>
    <row r="1129">
      <c r="A1129" s="87" t="str">
        <f>IFERROR(__xludf.DUMMYFUNCTION("TRANSPOSE(QUERY('Cadastro VTR/SEÇÃO/MILITAR'!$E$3:$F2000,""SELECT F WHERE E LIKE '""&amp;'carga de materiais'!E1130&amp;""'""))"),"#REF!")</f>
        <v>#REF!</v>
      </c>
    </row>
    <row r="1130">
      <c r="A1130" s="87" t="str">
        <f>IFERROR(__xludf.DUMMYFUNCTION("TRANSPOSE(QUERY('Cadastro VTR/SEÇÃO/MILITAR'!$E$3:$F2000,""SELECT F WHERE E LIKE '""&amp;'carga de materiais'!E1131&amp;""'""))"),"#REF!")</f>
        <v>#REF!</v>
      </c>
    </row>
    <row r="1131">
      <c r="A1131" s="87" t="str">
        <f>IFERROR(__xludf.DUMMYFUNCTION("TRANSPOSE(QUERY('Cadastro VTR/SEÇÃO/MILITAR'!$E$3:$F2000,""SELECT F WHERE E LIKE '""&amp;'carga de materiais'!E1132&amp;""'""))"),"#REF!")</f>
        <v>#REF!</v>
      </c>
    </row>
    <row r="1132">
      <c r="A1132" s="87" t="str">
        <f>IFERROR(__xludf.DUMMYFUNCTION("TRANSPOSE(QUERY('Cadastro VTR/SEÇÃO/MILITAR'!$E$3:$F2000,""SELECT F WHERE E LIKE '""&amp;'carga de materiais'!E1133&amp;""'""))"),"#REF!")</f>
        <v>#REF!</v>
      </c>
    </row>
    <row r="1133">
      <c r="A1133" s="87" t="str">
        <f>IFERROR(__xludf.DUMMYFUNCTION("TRANSPOSE(QUERY('Cadastro VTR/SEÇÃO/MILITAR'!$E$3:$F2000,""SELECT F WHERE E LIKE '""&amp;'carga de materiais'!E1134&amp;""'""))"),"#REF!")</f>
        <v>#REF!</v>
      </c>
    </row>
    <row r="1134">
      <c r="A1134" s="87" t="str">
        <f>IFERROR(__xludf.DUMMYFUNCTION("TRANSPOSE(QUERY('Cadastro VTR/SEÇÃO/MILITAR'!$E$3:$F2000,""SELECT F WHERE E LIKE '""&amp;'carga de materiais'!E1135&amp;""'""))"),"#REF!")</f>
        <v>#REF!</v>
      </c>
    </row>
    <row r="1135">
      <c r="A1135" s="87" t="str">
        <f>IFERROR(__xludf.DUMMYFUNCTION("TRANSPOSE(QUERY('Cadastro VTR/SEÇÃO/MILITAR'!$E$3:$F2000,""SELECT F WHERE E LIKE '""&amp;'carga de materiais'!E1136&amp;""'""))"),"#REF!")</f>
        <v>#REF!</v>
      </c>
    </row>
    <row r="1136">
      <c r="A1136" s="87" t="str">
        <f>IFERROR(__xludf.DUMMYFUNCTION("TRANSPOSE(QUERY('Cadastro VTR/SEÇÃO/MILITAR'!$E$3:$F2000,""SELECT F WHERE E LIKE '""&amp;'carga de materiais'!E1137&amp;""'""))"),"#REF!")</f>
        <v>#REF!</v>
      </c>
    </row>
    <row r="1137">
      <c r="A1137" s="87" t="str">
        <f>IFERROR(__xludf.DUMMYFUNCTION("TRANSPOSE(QUERY('Cadastro VTR/SEÇÃO/MILITAR'!$E$3:$F2000,""SELECT F WHERE E LIKE '""&amp;'carga de materiais'!E1138&amp;""'""))"),"#REF!")</f>
        <v>#REF!</v>
      </c>
    </row>
    <row r="1138">
      <c r="A1138" s="87" t="str">
        <f>IFERROR(__xludf.DUMMYFUNCTION("TRANSPOSE(QUERY('Cadastro VTR/SEÇÃO/MILITAR'!$E$3:$F2000,""SELECT F WHERE E LIKE '""&amp;'carga de materiais'!E1139&amp;""'""))"),"#REF!")</f>
        <v>#REF!</v>
      </c>
    </row>
    <row r="1139">
      <c r="A1139" s="87" t="str">
        <f>IFERROR(__xludf.DUMMYFUNCTION("TRANSPOSE(QUERY('Cadastro VTR/SEÇÃO/MILITAR'!$E$3:$F2000,""SELECT F WHERE E LIKE '""&amp;'carga de materiais'!E1140&amp;""'""))"),"#REF!")</f>
        <v>#REF!</v>
      </c>
    </row>
    <row r="1140">
      <c r="A1140" s="87" t="str">
        <f>IFERROR(__xludf.DUMMYFUNCTION("TRANSPOSE(QUERY('Cadastro VTR/SEÇÃO/MILITAR'!$E$3:$F2000,""SELECT F WHERE E LIKE '""&amp;'carga de materiais'!E1141&amp;""'""))"),"#REF!")</f>
        <v>#REF!</v>
      </c>
    </row>
    <row r="1141">
      <c r="A1141" s="87" t="str">
        <f>IFERROR(__xludf.DUMMYFUNCTION("TRANSPOSE(QUERY('Cadastro VTR/SEÇÃO/MILITAR'!$E$3:$F2000,""SELECT F WHERE E LIKE '""&amp;'carga de materiais'!E1142&amp;""'""))"),"#REF!")</f>
        <v>#REF!</v>
      </c>
    </row>
    <row r="1142">
      <c r="A1142" s="87" t="str">
        <f>IFERROR(__xludf.DUMMYFUNCTION("TRANSPOSE(QUERY('Cadastro VTR/SEÇÃO/MILITAR'!$E$3:$F2000,""SELECT F WHERE E LIKE '""&amp;'carga de materiais'!E1143&amp;""'""))"),"#REF!")</f>
        <v>#REF!</v>
      </c>
    </row>
    <row r="1143">
      <c r="A1143" s="87" t="str">
        <f>IFERROR(__xludf.DUMMYFUNCTION("TRANSPOSE(QUERY('Cadastro VTR/SEÇÃO/MILITAR'!$E$3:$F2000,""SELECT F WHERE E LIKE '""&amp;'carga de materiais'!E1144&amp;""'""))"),"#REF!")</f>
        <v>#REF!</v>
      </c>
    </row>
    <row r="1144">
      <c r="A1144" s="87" t="str">
        <f>IFERROR(__xludf.DUMMYFUNCTION("TRANSPOSE(QUERY('Cadastro VTR/SEÇÃO/MILITAR'!$E$3:$F2000,""SELECT F WHERE E LIKE '""&amp;'carga de materiais'!E1145&amp;""'""))"),"#REF!")</f>
        <v>#REF!</v>
      </c>
    </row>
    <row r="1145">
      <c r="A1145" s="87" t="str">
        <f>IFERROR(__xludf.DUMMYFUNCTION("TRANSPOSE(QUERY('Cadastro VTR/SEÇÃO/MILITAR'!$E$3:$F2000,""SELECT F WHERE E LIKE '""&amp;'carga de materiais'!E1146&amp;""'""))"),"#REF!")</f>
        <v>#REF!</v>
      </c>
    </row>
    <row r="1146">
      <c r="A1146" s="87" t="str">
        <f>IFERROR(__xludf.DUMMYFUNCTION("TRANSPOSE(QUERY('Cadastro VTR/SEÇÃO/MILITAR'!$E$3:$F2000,""SELECT F WHERE E LIKE '""&amp;'carga de materiais'!E1147&amp;""'""))"),"#REF!")</f>
        <v>#REF!</v>
      </c>
    </row>
    <row r="1147">
      <c r="A1147" s="87" t="str">
        <f>IFERROR(__xludf.DUMMYFUNCTION("TRANSPOSE(QUERY('Cadastro VTR/SEÇÃO/MILITAR'!$E$3:$F2000,""SELECT F WHERE E LIKE '""&amp;'carga de materiais'!E1148&amp;""'""))"),"#REF!")</f>
        <v>#REF!</v>
      </c>
    </row>
    <row r="1148">
      <c r="A1148" s="87" t="str">
        <f>IFERROR(__xludf.DUMMYFUNCTION("TRANSPOSE(QUERY('Cadastro VTR/SEÇÃO/MILITAR'!$E$3:$F2000,""SELECT F WHERE E LIKE '""&amp;'carga de materiais'!E1149&amp;""'""))"),"#REF!")</f>
        <v>#REF!</v>
      </c>
    </row>
    <row r="1149">
      <c r="A1149" s="87" t="str">
        <f>IFERROR(__xludf.DUMMYFUNCTION("TRANSPOSE(QUERY('Cadastro VTR/SEÇÃO/MILITAR'!$E$3:$F2000,""SELECT F WHERE E LIKE '""&amp;'carga de materiais'!E1150&amp;""'""))"),"#REF!")</f>
        <v>#REF!</v>
      </c>
    </row>
    <row r="1150">
      <c r="A1150" s="87" t="str">
        <f>IFERROR(__xludf.DUMMYFUNCTION("TRANSPOSE(QUERY('Cadastro VTR/SEÇÃO/MILITAR'!$E$3:$F2000,""SELECT F WHERE E LIKE '""&amp;'carga de materiais'!E1151&amp;""'""))"),"#REF!")</f>
        <v>#REF!</v>
      </c>
    </row>
    <row r="1151">
      <c r="A1151" s="87" t="str">
        <f>IFERROR(__xludf.DUMMYFUNCTION("TRANSPOSE(QUERY('Cadastro VTR/SEÇÃO/MILITAR'!$E$3:$F2000,""SELECT F WHERE E LIKE '""&amp;'carga de materiais'!E1152&amp;""'""))"),"#REF!")</f>
        <v>#REF!</v>
      </c>
    </row>
    <row r="1152">
      <c r="A1152" s="87" t="str">
        <f>IFERROR(__xludf.DUMMYFUNCTION("TRANSPOSE(QUERY('Cadastro VTR/SEÇÃO/MILITAR'!$E$3:$F2000,""SELECT F WHERE E LIKE '""&amp;'carga de materiais'!E1153&amp;""'""))"),"#REF!")</f>
        <v>#REF!</v>
      </c>
    </row>
    <row r="1153">
      <c r="A1153" s="87" t="str">
        <f>IFERROR(__xludf.DUMMYFUNCTION("TRANSPOSE(QUERY('Cadastro VTR/SEÇÃO/MILITAR'!$E$3:$F2000,""SELECT F WHERE E LIKE '""&amp;'carga de materiais'!E1154&amp;""'""))"),"#REF!")</f>
        <v>#REF!</v>
      </c>
    </row>
    <row r="1154">
      <c r="A1154" s="87" t="str">
        <f>IFERROR(__xludf.DUMMYFUNCTION("TRANSPOSE(QUERY('Cadastro VTR/SEÇÃO/MILITAR'!$E$3:$F2000,""SELECT F WHERE E LIKE '""&amp;'carga de materiais'!E1155&amp;""'""))"),"#REF!")</f>
        <v>#REF!</v>
      </c>
    </row>
    <row r="1155">
      <c r="A1155" s="87" t="str">
        <f>IFERROR(__xludf.DUMMYFUNCTION("TRANSPOSE(QUERY('Cadastro VTR/SEÇÃO/MILITAR'!$E$3:$F2000,""SELECT F WHERE E LIKE '""&amp;'carga de materiais'!E1156&amp;""'""))"),"#REF!")</f>
        <v>#REF!</v>
      </c>
    </row>
    <row r="1156">
      <c r="A1156" s="87" t="str">
        <f>IFERROR(__xludf.DUMMYFUNCTION("TRANSPOSE(QUERY('Cadastro VTR/SEÇÃO/MILITAR'!$E$3:$F2000,""SELECT F WHERE E LIKE '""&amp;'carga de materiais'!E1157&amp;""'""))"),"#REF!")</f>
        <v>#REF!</v>
      </c>
    </row>
    <row r="1157">
      <c r="A1157" s="87" t="str">
        <f>IFERROR(__xludf.DUMMYFUNCTION("TRANSPOSE(QUERY('Cadastro VTR/SEÇÃO/MILITAR'!$E$3:$F2000,""SELECT F WHERE E LIKE '""&amp;'carga de materiais'!E1158&amp;""'""))"),"#REF!")</f>
        <v>#REF!</v>
      </c>
    </row>
    <row r="1158">
      <c r="A1158" s="87" t="str">
        <f>IFERROR(__xludf.DUMMYFUNCTION("TRANSPOSE(QUERY('Cadastro VTR/SEÇÃO/MILITAR'!$E$3:$F2000,""SELECT F WHERE E LIKE '""&amp;'carga de materiais'!E1159&amp;""'""))"),"#REF!")</f>
        <v>#REF!</v>
      </c>
    </row>
    <row r="1159">
      <c r="A1159" s="87" t="str">
        <f>IFERROR(__xludf.DUMMYFUNCTION("TRANSPOSE(QUERY('Cadastro VTR/SEÇÃO/MILITAR'!$E$3:$F2000,""SELECT F WHERE E LIKE '""&amp;'carga de materiais'!E1160&amp;""'""))"),"#REF!")</f>
        <v>#REF!</v>
      </c>
    </row>
    <row r="1160">
      <c r="A1160" s="87" t="str">
        <f>IFERROR(__xludf.DUMMYFUNCTION("TRANSPOSE(QUERY('Cadastro VTR/SEÇÃO/MILITAR'!$E$3:$F2000,""SELECT F WHERE E LIKE '""&amp;'carga de materiais'!E1161&amp;""'""))"),"#REF!")</f>
        <v>#REF!</v>
      </c>
    </row>
    <row r="1161">
      <c r="A1161" s="87" t="str">
        <f>IFERROR(__xludf.DUMMYFUNCTION("TRANSPOSE(QUERY('Cadastro VTR/SEÇÃO/MILITAR'!$E$3:$F2000,""SELECT F WHERE E LIKE '""&amp;'carga de materiais'!E1162&amp;""'""))"),"#REF!")</f>
        <v>#REF!</v>
      </c>
    </row>
    <row r="1162">
      <c r="A1162" s="87" t="str">
        <f>IFERROR(__xludf.DUMMYFUNCTION("TRANSPOSE(QUERY('Cadastro VTR/SEÇÃO/MILITAR'!$E$3:$F2000,""SELECT F WHERE E LIKE '""&amp;'carga de materiais'!E1163&amp;""'""))"),"#REF!")</f>
        <v>#REF!</v>
      </c>
    </row>
    <row r="1163">
      <c r="A1163" s="87" t="str">
        <f>IFERROR(__xludf.DUMMYFUNCTION("TRANSPOSE(QUERY('Cadastro VTR/SEÇÃO/MILITAR'!$E$3:$F2000,""SELECT F WHERE E LIKE '""&amp;'carga de materiais'!E1164&amp;""'""))"),"#REF!")</f>
        <v>#REF!</v>
      </c>
    </row>
    <row r="1164">
      <c r="A1164" s="87" t="str">
        <f>IFERROR(__xludf.DUMMYFUNCTION("TRANSPOSE(QUERY('Cadastro VTR/SEÇÃO/MILITAR'!$E$3:$F2000,""SELECT F WHERE E LIKE '""&amp;'carga de materiais'!E1165&amp;""'""))"),"#REF!")</f>
        <v>#REF!</v>
      </c>
    </row>
    <row r="1165">
      <c r="A1165" s="87" t="str">
        <f>IFERROR(__xludf.DUMMYFUNCTION("TRANSPOSE(QUERY('Cadastro VTR/SEÇÃO/MILITAR'!$E$3:$F2000,""SELECT F WHERE E LIKE '""&amp;'carga de materiais'!E1166&amp;""'""))"),"#REF!")</f>
        <v>#REF!</v>
      </c>
    </row>
    <row r="1166">
      <c r="A1166" s="87" t="str">
        <f>IFERROR(__xludf.DUMMYFUNCTION("TRANSPOSE(QUERY('Cadastro VTR/SEÇÃO/MILITAR'!$E$3:$F2000,""SELECT F WHERE E LIKE '""&amp;'carga de materiais'!E1167&amp;""'""))"),"#REF!")</f>
        <v>#REF!</v>
      </c>
    </row>
    <row r="1167">
      <c r="A1167" s="87" t="str">
        <f>IFERROR(__xludf.DUMMYFUNCTION("TRANSPOSE(QUERY('Cadastro VTR/SEÇÃO/MILITAR'!$E$3:$F2000,""SELECT F WHERE E LIKE '""&amp;'carga de materiais'!E1168&amp;""'""))"),"#REF!")</f>
        <v>#REF!</v>
      </c>
    </row>
    <row r="1168">
      <c r="A1168" s="87" t="str">
        <f>IFERROR(__xludf.DUMMYFUNCTION("TRANSPOSE(QUERY('Cadastro VTR/SEÇÃO/MILITAR'!$E$3:$F2000,""SELECT F WHERE E LIKE '""&amp;'carga de materiais'!E1169&amp;""'""))"),"#REF!")</f>
        <v>#REF!</v>
      </c>
    </row>
    <row r="1169">
      <c r="A1169" s="87" t="str">
        <f>IFERROR(__xludf.DUMMYFUNCTION("TRANSPOSE(QUERY('Cadastro VTR/SEÇÃO/MILITAR'!$E$3:$F2000,""SELECT F WHERE E LIKE '""&amp;'carga de materiais'!E1170&amp;""'""))"),"#REF!")</f>
        <v>#REF!</v>
      </c>
    </row>
    <row r="1170">
      <c r="A1170" s="87" t="str">
        <f>IFERROR(__xludf.DUMMYFUNCTION("TRANSPOSE(QUERY('Cadastro VTR/SEÇÃO/MILITAR'!$E$3:$F2000,""SELECT F WHERE E LIKE '""&amp;'carga de materiais'!E1171&amp;""'""))"),"#REF!")</f>
        <v>#REF!</v>
      </c>
    </row>
    <row r="1171">
      <c r="A1171" s="87" t="str">
        <f>IFERROR(__xludf.DUMMYFUNCTION("TRANSPOSE(QUERY('Cadastro VTR/SEÇÃO/MILITAR'!$E$3:$F2000,""SELECT F WHERE E LIKE '""&amp;'carga de materiais'!E1172&amp;""'""))"),"#REF!")</f>
        <v>#REF!</v>
      </c>
    </row>
    <row r="1172">
      <c r="A1172" s="87" t="str">
        <f>IFERROR(__xludf.DUMMYFUNCTION("TRANSPOSE(QUERY('Cadastro VTR/SEÇÃO/MILITAR'!$E$3:$F2000,""SELECT F WHERE E LIKE '""&amp;'carga de materiais'!E1173&amp;""'""))"),"#REF!")</f>
        <v>#REF!</v>
      </c>
    </row>
    <row r="1173">
      <c r="A1173" s="87" t="str">
        <f>IFERROR(__xludf.DUMMYFUNCTION("TRANSPOSE(QUERY('Cadastro VTR/SEÇÃO/MILITAR'!$E$3:$F2000,""SELECT F WHERE E LIKE '""&amp;'carga de materiais'!E1174&amp;""'""))"),"#REF!")</f>
        <v>#REF!</v>
      </c>
    </row>
    <row r="1174">
      <c r="A1174" s="87" t="str">
        <f>IFERROR(__xludf.DUMMYFUNCTION("TRANSPOSE(QUERY('Cadastro VTR/SEÇÃO/MILITAR'!$E$3:$F2000,""SELECT F WHERE E LIKE '""&amp;'carga de materiais'!E1175&amp;""'""))"),"#REF!")</f>
        <v>#REF!</v>
      </c>
    </row>
    <row r="1175">
      <c r="A1175" s="87" t="str">
        <f>IFERROR(__xludf.DUMMYFUNCTION("TRANSPOSE(QUERY('Cadastro VTR/SEÇÃO/MILITAR'!$E$3:$F2000,""SELECT F WHERE E LIKE '""&amp;'carga de materiais'!E1176&amp;""'""))"),"#REF!")</f>
        <v>#REF!</v>
      </c>
    </row>
    <row r="1176">
      <c r="A1176" s="87" t="str">
        <f>IFERROR(__xludf.DUMMYFUNCTION("TRANSPOSE(QUERY('Cadastro VTR/SEÇÃO/MILITAR'!$E$3:$F2000,""SELECT F WHERE E LIKE '""&amp;'carga de materiais'!E1177&amp;""'""))"),"#REF!")</f>
        <v>#REF!</v>
      </c>
    </row>
    <row r="1177">
      <c r="A1177" s="87" t="str">
        <f>IFERROR(__xludf.DUMMYFUNCTION("TRANSPOSE(QUERY('Cadastro VTR/SEÇÃO/MILITAR'!$E$3:$F2000,""SELECT F WHERE E LIKE '""&amp;'carga de materiais'!E1178&amp;""'""))"),"#REF!")</f>
        <v>#REF!</v>
      </c>
    </row>
    <row r="1178">
      <c r="A1178" s="87" t="str">
        <f>IFERROR(__xludf.DUMMYFUNCTION("TRANSPOSE(QUERY('Cadastro VTR/SEÇÃO/MILITAR'!$E$3:$F2000,""SELECT F WHERE E LIKE '""&amp;'carga de materiais'!E1179&amp;""'""))"),"#REF!")</f>
        <v>#REF!</v>
      </c>
    </row>
    <row r="1179">
      <c r="A1179" s="87" t="str">
        <f>IFERROR(__xludf.DUMMYFUNCTION("TRANSPOSE(QUERY('Cadastro VTR/SEÇÃO/MILITAR'!$E$3:$F2000,""SELECT F WHERE E LIKE '""&amp;'carga de materiais'!E1180&amp;""'""))"),"#REF!")</f>
        <v>#REF!</v>
      </c>
    </row>
    <row r="1180">
      <c r="A1180" s="87" t="str">
        <f>IFERROR(__xludf.DUMMYFUNCTION("TRANSPOSE(QUERY('Cadastro VTR/SEÇÃO/MILITAR'!$E$3:$F2000,""SELECT F WHERE E LIKE '""&amp;'carga de materiais'!E1181&amp;""'""))"),"#REF!")</f>
        <v>#REF!</v>
      </c>
    </row>
    <row r="1181">
      <c r="A1181" s="87" t="str">
        <f>IFERROR(__xludf.DUMMYFUNCTION("TRANSPOSE(QUERY('Cadastro VTR/SEÇÃO/MILITAR'!$E$3:$F2000,""SELECT F WHERE E LIKE '""&amp;'carga de materiais'!E1182&amp;""'""))"),"#REF!")</f>
        <v>#REF!</v>
      </c>
    </row>
    <row r="1182">
      <c r="A1182" s="87" t="str">
        <f>IFERROR(__xludf.DUMMYFUNCTION("TRANSPOSE(QUERY('Cadastro VTR/SEÇÃO/MILITAR'!$E$3:$F2000,""SELECT F WHERE E LIKE '""&amp;'carga de materiais'!E1183&amp;""'""))"),"#REF!")</f>
        <v>#REF!</v>
      </c>
    </row>
    <row r="1183">
      <c r="A1183" s="87" t="str">
        <f>IFERROR(__xludf.DUMMYFUNCTION("TRANSPOSE(QUERY('Cadastro VTR/SEÇÃO/MILITAR'!$E$3:$F2000,""SELECT F WHERE E LIKE '""&amp;'carga de materiais'!E1184&amp;""'""))"),"#REF!")</f>
        <v>#REF!</v>
      </c>
    </row>
    <row r="1184">
      <c r="A1184" s="87" t="str">
        <f>IFERROR(__xludf.DUMMYFUNCTION("TRANSPOSE(QUERY('Cadastro VTR/SEÇÃO/MILITAR'!$E$3:$F2000,""SELECT F WHERE E LIKE '""&amp;'carga de materiais'!E1185&amp;""'""))"),"#REF!")</f>
        <v>#REF!</v>
      </c>
    </row>
    <row r="1185">
      <c r="A1185" s="87" t="str">
        <f>IFERROR(__xludf.DUMMYFUNCTION("TRANSPOSE(QUERY('Cadastro VTR/SEÇÃO/MILITAR'!$E$3:$F2000,""SELECT F WHERE E LIKE '""&amp;'carga de materiais'!E1186&amp;""'""))"),"#REF!")</f>
        <v>#REF!</v>
      </c>
    </row>
    <row r="1186">
      <c r="A1186" s="87" t="str">
        <f>IFERROR(__xludf.DUMMYFUNCTION("TRANSPOSE(QUERY('Cadastro VTR/SEÇÃO/MILITAR'!$E$3:$F2000,""SELECT F WHERE E LIKE '""&amp;'carga de materiais'!E1187&amp;""'""))"),"#REF!")</f>
        <v>#REF!</v>
      </c>
    </row>
    <row r="1187">
      <c r="A1187" s="87" t="str">
        <f>IFERROR(__xludf.DUMMYFUNCTION("TRANSPOSE(QUERY('Cadastro VTR/SEÇÃO/MILITAR'!$E$3:$F2000,""SELECT F WHERE E LIKE '""&amp;'carga de materiais'!E1188&amp;""'""))"),"#REF!")</f>
        <v>#REF!</v>
      </c>
    </row>
    <row r="1188">
      <c r="A1188" s="87" t="str">
        <f>IFERROR(__xludf.DUMMYFUNCTION("TRANSPOSE(QUERY('Cadastro VTR/SEÇÃO/MILITAR'!$E$3:$F2000,""SELECT F WHERE E LIKE '""&amp;'carga de materiais'!E1189&amp;""'""))"),"#REF!")</f>
        <v>#REF!</v>
      </c>
    </row>
    <row r="1189">
      <c r="A1189" s="87" t="str">
        <f>IFERROR(__xludf.DUMMYFUNCTION("TRANSPOSE(QUERY('Cadastro VTR/SEÇÃO/MILITAR'!$E$3:$F2000,""SELECT F WHERE E LIKE '""&amp;'carga de materiais'!E1190&amp;""'""))"),"#REF!")</f>
        <v>#REF!</v>
      </c>
    </row>
    <row r="1190">
      <c r="A1190" s="87" t="str">
        <f>IFERROR(__xludf.DUMMYFUNCTION("TRANSPOSE(QUERY('Cadastro VTR/SEÇÃO/MILITAR'!$E$3:$F2000,""SELECT F WHERE E LIKE '""&amp;'carga de materiais'!E1191&amp;""'""))"),"#REF!")</f>
        <v>#REF!</v>
      </c>
    </row>
    <row r="1191">
      <c r="A1191" s="87" t="str">
        <f>IFERROR(__xludf.DUMMYFUNCTION("TRANSPOSE(QUERY('Cadastro VTR/SEÇÃO/MILITAR'!$E$3:$F2000,""SELECT F WHERE E LIKE '""&amp;'carga de materiais'!E1192&amp;""'""))"),"#REF!")</f>
        <v>#REF!</v>
      </c>
    </row>
    <row r="1192">
      <c r="A1192" s="87" t="str">
        <f>IFERROR(__xludf.DUMMYFUNCTION("TRANSPOSE(QUERY('Cadastro VTR/SEÇÃO/MILITAR'!$E$3:$F2000,""SELECT F WHERE E LIKE '""&amp;'carga de materiais'!E1193&amp;""'""))"),"#REF!")</f>
        <v>#REF!</v>
      </c>
    </row>
    <row r="1193">
      <c r="A1193" s="87" t="str">
        <f>IFERROR(__xludf.DUMMYFUNCTION("TRANSPOSE(QUERY('Cadastro VTR/SEÇÃO/MILITAR'!$E$3:$F2000,""SELECT F WHERE E LIKE '""&amp;'carga de materiais'!E1194&amp;""'""))"),"#REF!")</f>
        <v>#REF!</v>
      </c>
    </row>
    <row r="1194">
      <c r="A1194" s="87" t="str">
        <f>IFERROR(__xludf.DUMMYFUNCTION("TRANSPOSE(QUERY('Cadastro VTR/SEÇÃO/MILITAR'!$E$3:$F2000,""SELECT F WHERE E LIKE '""&amp;'carga de materiais'!E1195&amp;""'""))"),"#REF!")</f>
        <v>#REF!</v>
      </c>
    </row>
    <row r="1195">
      <c r="A1195" s="87" t="str">
        <f>IFERROR(__xludf.DUMMYFUNCTION("TRANSPOSE(QUERY('Cadastro VTR/SEÇÃO/MILITAR'!$E$3:$F2000,""SELECT F WHERE E LIKE '""&amp;'carga de materiais'!E1196&amp;""'""))"),"#REF!")</f>
        <v>#REF!</v>
      </c>
    </row>
    <row r="1196">
      <c r="A1196" s="87" t="str">
        <f>IFERROR(__xludf.DUMMYFUNCTION("TRANSPOSE(QUERY('Cadastro VTR/SEÇÃO/MILITAR'!$E$3:$F2000,""SELECT F WHERE E LIKE '""&amp;'carga de materiais'!E1197&amp;""'""))"),"#REF!")</f>
        <v>#REF!</v>
      </c>
    </row>
    <row r="1197">
      <c r="A1197" s="87" t="str">
        <f>IFERROR(__xludf.DUMMYFUNCTION("TRANSPOSE(QUERY('Cadastro VTR/SEÇÃO/MILITAR'!$E$3:$F2000,""SELECT F WHERE E LIKE '""&amp;'carga de materiais'!E1198&amp;""'""))"),"#REF!")</f>
        <v>#REF!</v>
      </c>
    </row>
    <row r="1198">
      <c r="A1198" s="87" t="str">
        <f>IFERROR(__xludf.DUMMYFUNCTION("TRANSPOSE(QUERY('Cadastro VTR/SEÇÃO/MILITAR'!$E$3:$F2000,""SELECT F WHERE E LIKE '""&amp;'carga de materiais'!E1199&amp;""'""))"),"#REF!")</f>
        <v>#REF!</v>
      </c>
    </row>
    <row r="1199">
      <c r="A1199" s="87" t="str">
        <f>IFERROR(__xludf.DUMMYFUNCTION("TRANSPOSE(QUERY('Cadastro VTR/SEÇÃO/MILITAR'!$E$3:$F2000,""SELECT F WHERE E LIKE '""&amp;'carga de materiais'!E1200&amp;""'""))"),"#REF!")</f>
        <v>#REF!</v>
      </c>
    </row>
    <row r="1200">
      <c r="A1200" s="87" t="str">
        <f>IFERROR(__xludf.DUMMYFUNCTION("TRANSPOSE(QUERY('Cadastro VTR/SEÇÃO/MILITAR'!$E$3:$F2000,""SELECT F WHERE E LIKE '""&amp;'carga de materiais'!E1201&amp;""'""))"),"#REF!")</f>
        <v>#REF!</v>
      </c>
    </row>
    <row r="1201">
      <c r="A1201" s="87" t="str">
        <f>IFERROR(__xludf.DUMMYFUNCTION("TRANSPOSE(QUERY('Cadastro VTR/SEÇÃO/MILITAR'!$E$3:$F2000,""SELECT F WHERE E LIKE '""&amp;'carga de materiais'!E1202&amp;""'""))"),"#REF!")</f>
        <v>#REF!</v>
      </c>
    </row>
    <row r="1202">
      <c r="A1202" s="87" t="str">
        <f>IFERROR(__xludf.DUMMYFUNCTION("TRANSPOSE(QUERY('Cadastro VTR/SEÇÃO/MILITAR'!$E$3:$F2000,""SELECT F WHERE E LIKE '""&amp;'carga de materiais'!E1203&amp;""'""))"),"#REF!")</f>
        <v>#REF!</v>
      </c>
    </row>
    <row r="1203">
      <c r="A1203" s="87" t="str">
        <f>IFERROR(__xludf.DUMMYFUNCTION("TRANSPOSE(QUERY('Cadastro VTR/SEÇÃO/MILITAR'!$E$3:$F2000,""SELECT F WHERE E LIKE '""&amp;'carga de materiais'!E1204&amp;""'""))"),"#REF!")</f>
        <v>#REF!</v>
      </c>
    </row>
    <row r="1204">
      <c r="A1204" s="87" t="str">
        <f>IFERROR(__xludf.DUMMYFUNCTION("TRANSPOSE(QUERY('Cadastro VTR/SEÇÃO/MILITAR'!$E$3:$F2000,""SELECT F WHERE E LIKE '""&amp;'carga de materiais'!E1205&amp;""'""))"),"#REF!")</f>
        <v>#REF!</v>
      </c>
    </row>
    <row r="1205">
      <c r="A1205" s="87" t="str">
        <f>IFERROR(__xludf.DUMMYFUNCTION("TRANSPOSE(QUERY('Cadastro VTR/SEÇÃO/MILITAR'!$E$3:$F2000,""SELECT F WHERE E LIKE '""&amp;'carga de materiais'!E1206&amp;""'""))"),"#REF!")</f>
        <v>#REF!</v>
      </c>
    </row>
    <row r="1206">
      <c r="A1206" s="87" t="str">
        <f>IFERROR(__xludf.DUMMYFUNCTION("TRANSPOSE(QUERY('Cadastro VTR/SEÇÃO/MILITAR'!$E$3:$F2000,""SELECT F WHERE E LIKE '""&amp;'carga de materiais'!E1207&amp;""'""))"),"#REF!")</f>
        <v>#REF!</v>
      </c>
    </row>
    <row r="1207">
      <c r="A1207" s="87" t="str">
        <f>IFERROR(__xludf.DUMMYFUNCTION("TRANSPOSE(QUERY('Cadastro VTR/SEÇÃO/MILITAR'!$E$3:$F2000,""SELECT F WHERE E LIKE '""&amp;'carga de materiais'!E1208&amp;""'""))"),"#REF!")</f>
        <v>#REF!</v>
      </c>
    </row>
    <row r="1208">
      <c r="A1208" s="87" t="str">
        <f>IFERROR(__xludf.DUMMYFUNCTION("TRANSPOSE(QUERY('Cadastro VTR/SEÇÃO/MILITAR'!$E$3:$F2000,""SELECT F WHERE E LIKE '""&amp;'carga de materiais'!E1209&amp;""'""))"),"#REF!")</f>
        <v>#REF!</v>
      </c>
    </row>
    <row r="1209">
      <c r="A1209" s="87" t="str">
        <f>IFERROR(__xludf.DUMMYFUNCTION("TRANSPOSE(QUERY('Cadastro VTR/SEÇÃO/MILITAR'!$E$3:$F2000,""SELECT F WHERE E LIKE '""&amp;'carga de materiais'!E1210&amp;""'""))"),"#REF!")</f>
        <v>#REF!</v>
      </c>
    </row>
    <row r="1210">
      <c r="A1210" s="87" t="str">
        <f>IFERROR(__xludf.DUMMYFUNCTION("TRANSPOSE(QUERY('Cadastro VTR/SEÇÃO/MILITAR'!$E$3:$F2000,""SELECT F WHERE E LIKE '""&amp;'carga de materiais'!E1211&amp;""'""))"),"#REF!")</f>
        <v>#REF!</v>
      </c>
    </row>
    <row r="1211">
      <c r="A1211" s="87" t="str">
        <f>IFERROR(__xludf.DUMMYFUNCTION("TRANSPOSE(QUERY('Cadastro VTR/SEÇÃO/MILITAR'!$E$3:$F2000,""SELECT F WHERE E LIKE '""&amp;'carga de materiais'!E1212&amp;""'""))"),"#REF!")</f>
        <v>#REF!</v>
      </c>
    </row>
    <row r="1212">
      <c r="A1212" s="87" t="str">
        <f>IFERROR(__xludf.DUMMYFUNCTION("TRANSPOSE(QUERY('Cadastro VTR/SEÇÃO/MILITAR'!$E$3:$F2000,""SELECT F WHERE E LIKE '""&amp;'carga de materiais'!E1213&amp;""'""))"),"#REF!")</f>
        <v>#REF!</v>
      </c>
    </row>
    <row r="1213">
      <c r="A1213" s="87" t="str">
        <f>IFERROR(__xludf.DUMMYFUNCTION("TRANSPOSE(QUERY('Cadastro VTR/SEÇÃO/MILITAR'!$E$3:$F2000,""SELECT F WHERE E LIKE '""&amp;'carga de materiais'!E1214&amp;""'""))"),"#REF!")</f>
        <v>#REF!</v>
      </c>
    </row>
    <row r="1214">
      <c r="A1214" s="87" t="str">
        <f>IFERROR(__xludf.DUMMYFUNCTION("TRANSPOSE(QUERY('Cadastro VTR/SEÇÃO/MILITAR'!$E$3:$F2000,""SELECT F WHERE E LIKE '""&amp;'carga de materiais'!E1215&amp;""'""))"),"#REF!")</f>
        <v>#REF!</v>
      </c>
    </row>
    <row r="1215">
      <c r="A1215" s="87" t="str">
        <f>IFERROR(__xludf.DUMMYFUNCTION("TRANSPOSE(QUERY('Cadastro VTR/SEÇÃO/MILITAR'!$E$3:$F2000,""SELECT F WHERE E LIKE '""&amp;'carga de materiais'!E1216&amp;""'""))"),"#REF!")</f>
        <v>#REF!</v>
      </c>
    </row>
    <row r="1216">
      <c r="A1216" s="87" t="str">
        <f>IFERROR(__xludf.DUMMYFUNCTION("TRANSPOSE(QUERY('Cadastro VTR/SEÇÃO/MILITAR'!$E$3:$F2000,""SELECT F WHERE E LIKE '""&amp;'carga de materiais'!E1217&amp;""'""))"),"#REF!")</f>
        <v>#REF!</v>
      </c>
    </row>
    <row r="1217">
      <c r="A1217" s="87" t="str">
        <f>IFERROR(__xludf.DUMMYFUNCTION("TRANSPOSE(QUERY('Cadastro VTR/SEÇÃO/MILITAR'!$E$3:$F2000,""SELECT F WHERE E LIKE '""&amp;'carga de materiais'!E1218&amp;""'""))"),"#REF!")</f>
        <v>#REF!</v>
      </c>
    </row>
    <row r="1218">
      <c r="A1218" s="87" t="str">
        <f>IFERROR(__xludf.DUMMYFUNCTION("TRANSPOSE(QUERY('Cadastro VTR/SEÇÃO/MILITAR'!$E$3:$F2000,""SELECT F WHERE E LIKE '""&amp;'carga de materiais'!E1219&amp;""'""))"),"#REF!")</f>
        <v>#REF!</v>
      </c>
    </row>
    <row r="1219">
      <c r="A1219" s="87" t="str">
        <f>IFERROR(__xludf.DUMMYFUNCTION("TRANSPOSE(QUERY('Cadastro VTR/SEÇÃO/MILITAR'!$E$3:$F2000,""SELECT F WHERE E LIKE '""&amp;'carga de materiais'!E1220&amp;""'""))"),"#REF!")</f>
        <v>#REF!</v>
      </c>
    </row>
    <row r="1220">
      <c r="A1220" s="87" t="str">
        <f>IFERROR(__xludf.DUMMYFUNCTION("TRANSPOSE(QUERY('Cadastro VTR/SEÇÃO/MILITAR'!$E$3:$F2000,""SELECT F WHERE E LIKE '""&amp;'carga de materiais'!E1221&amp;""'""))"),"#REF!")</f>
        <v>#REF!</v>
      </c>
    </row>
    <row r="1221">
      <c r="A1221" s="87" t="str">
        <f>IFERROR(__xludf.DUMMYFUNCTION("TRANSPOSE(QUERY('Cadastro VTR/SEÇÃO/MILITAR'!$E$3:$F2000,""SELECT F WHERE E LIKE '""&amp;'carga de materiais'!E1222&amp;""'""))"),"#REF!")</f>
        <v>#REF!</v>
      </c>
    </row>
    <row r="1222">
      <c r="A1222" s="87" t="str">
        <f>IFERROR(__xludf.DUMMYFUNCTION("TRANSPOSE(QUERY('Cadastro VTR/SEÇÃO/MILITAR'!$E$3:$F2000,""SELECT F WHERE E LIKE '""&amp;'carga de materiais'!E1223&amp;""'""))"),"#REF!")</f>
        <v>#REF!</v>
      </c>
    </row>
    <row r="1223">
      <c r="A1223" s="87" t="str">
        <f>IFERROR(__xludf.DUMMYFUNCTION("TRANSPOSE(QUERY('Cadastro VTR/SEÇÃO/MILITAR'!$E$3:$F2000,""SELECT F WHERE E LIKE '""&amp;'carga de materiais'!E1224&amp;""'""))"),"#REF!")</f>
        <v>#REF!</v>
      </c>
    </row>
    <row r="1224">
      <c r="A1224" s="87" t="str">
        <f>IFERROR(__xludf.DUMMYFUNCTION("TRANSPOSE(QUERY('Cadastro VTR/SEÇÃO/MILITAR'!$E$3:$F2000,""SELECT F WHERE E LIKE '""&amp;'carga de materiais'!E1225&amp;""'""))"),"#REF!")</f>
        <v>#REF!</v>
      </c>
    </row>
    <row r="1225">
      <c r="A1225" s="87" t="str">
        <f>IFERROR(__xludf.DUMMYFUNCTION("TRANSPOSE(QUERY('Cadastro VTR/SEÇÃO/MILITAR'!$E$3:$F2000,""SELECT F WHERE E LIKE '""&amp;'carga de materiais'!E1226&amp;""'""))"),"#REF!")</f>
        <v>#REF!</v>
      </c>
    </row>
    <row r="1226">
      <c r="A1226" s="87" t="str">
        <f>IFERROR(__xludf.DUMMYFUNCTION("TRANSPOSE(QUERY('Cadastro VTR/SEÇÃO/MILITAR'!$E$3:$F2000,""SELECT F WHERE E LIKE '""&amp;'carga de materiais'!E1227&amp;""'""))"),"#REF!")</f>
        <v>#REF!</v>
      </c>
    </row>
    <row r="1227">
      <c r="A1227" s="87" t="str">
        <f>IFERROR(__xludf.DUMMYFUNCTION("TRANSPOSE(QUERY('Cadastro VTR/SEÇÃO/MILITAR'!$E$3:$F2000,""SELECT F WHERE E LIKE '""&amp;'carga de materiais'!E1228&amp;""'""))"),"#REF!")</f>
        <v>#REF!</v>
      </c>
    </row>
    <row r="1228">
      <c r="A1228" s="87" t="str">
        <f>IFERROR(__xludf.DUMMYFUNCTION("TRANSPOSE(QUERY('Cadastro VTR/SEÇÃO/MILITAR'!$E$3:$F2000,""SELECT F WHERE E LIKE '""&amp;'carga de materiais'!E1229&amp;""'""))"),"#REF!")</f>
        <v>#REF!</v>
      </c>
    </row>
    <row r="1229">
      <c r="A1229" s="87" t="str">
        <f>IFERROR(__xludf.DUMMYFUNCTION("TRANSPOSE(QUERY('Cadastro VTR/SEÇÃO/MILITAR'!$E$3:$F2000,""SELECT F WHERE E LIKE '""&amp;'carga de materiais'!E1230&amp;""'""))"),"#REF!")</f>
        <v>#REF!</v>
      </c>
    </row>
    <row r="1230">
      <c r="A1230" s="87" t="str">
        <f>IFERROR(__xludf.DUMMYFUNCTION("TRANSPOSE(QUERY('Cadastro VTR/SEÇÃO/MILITAR'!$E$3:$F2000,""SELECT F WHERE E LIKE '""&amp;'carga de materiais'!E1231&amp;""'""))"),"#REF!")</f>
        <v>#REF!</v>
      </c>
    </row>
    <row r="1231">
      <c r="A1231" s="87" t="str">
        <f>IFERROR(__xludf.DUMMYFUNCTION("TRANSPOSE(QUERY('Cadastro VTR/SEÇÃO/MILITAR'!$E$3:$F2000,""SELECT F WHERE E LIKE '""&amp;'carga de materiais'!E1232&amp;""'""))"),"#REF!")</f>
        <v>#REF!</v>
      </c>
    </row>
    <row r="1232">
      <c r="A1232" s="87" t="str">
        <f>IFERROR(__xludf.DUMMYFUNCTION("TRANSPOSE(QUERY('Cadastro VTR/SEÇÃO/MILITAR'!$E$3:$F2000,""SELECT F WHERE E LIKE '""&amp;'carga de materiais'!E1233&amp;""'""))"),"#REF!")</f>
        <v>#REF!</v>
      </c>
    </row>
    <row r="1233">
      <c r="A1233" s="87" t="str">
        <f>IFERROR(__xludf.DUMMYFUNCTION("TRANSPOSE(QUERY('Cadastro VTR/SEÇÃO/MILITAR'!$E$3:$F2000,""SELECT F WHERE E LIKE '""&amp;'carga de materiais'!E1234&amp;""'""))"),"#REF!")</f>
        <v>#REF!</v>
      </c>
    </row>
    <row r="1234">
      <c r="A1234" s="87" t="str">
        <f>IFERROR(__xludf.DUMMYFUNCTION("TRANSPOSE(QUERY('Cadastro VTR/SEÇÃO/MILITAR'!$E$3:$F2000,""SELECT F WHERE E LIKE '""&amp;'carga de materiais'!E1235&amp;""'""))"),"#REF!")</f>
        <v>#REF!</v>
      </c>
    </row>
    <row r="1235">
      <c r="A1235" s="87" t="str">
        <f>IFERROR(__xludf.DUMMYFUNCTION("TRANSPOSE(QUERY('Cadastro VTR/SEÇÃO/MILITAR'!$E$3:$F2000,""SELECT F WHERE E LIKE '""&amp;'carga de materiais'!E1236&amp;""'""))"),"#REF!")</f>
        <v>#REF!</v>
      </c>
    </row>
    <row r="1236">
      <c r="A1236" s="87" t="str">
        <f>IFERROR(__xludf.DUMMYFUNCTION("TRANSPOSE(QUERY('Cadastro VTR/SEÇÃO/MILITAR'!$E$3:$F2000,""SELECT F WHERE E LIKE '""&amp;'carga de materiais'!E1237&amp;""'""))"),"#REF!")</f>
        <v>#REF!</v>
      </c>
    </row>
    <row r="1237">
      <c r="A1237" s="87" t="str">
        <f>IFERROR(__xludf.DUMMYFUNCTION("TRANSPOSE(QUERY('Cadastro VTR/SEÇÃO/MILITAR'!$E$3:$F2000,""SELECT F WHERE E LIKE '""&amp;'carga de materiais'!E1238&amp;""'""))"),"#REF!")</f>
        <v>#REF!</v>
      </c>
    </row>
    <row r="1238">
      <c r="A1238" s="87" t="str">
        <f>IFERROR(__xludf.DUMMYFUNCTION("TRANSPOSE(QUERY('Cadastro VTR/SEÇÃO/MILITAR'!$E$3:$F2000,""SELECT F WHERE E LIKE '""&amp;'carga de materiais'!E1239&amp;""'""))"),"#REF!")</f>
        <v>#REF!</v>
      </c>
    </row>
    <row r="1239">
      <c r="A1239" s="87" t="str">
        <f>IFERROR(__xludf.DUMMYFUNCTION("TRANSPOSE(QUERY('Cadastro VTR/SEÇÃO/MILITAR'!$E$3:$F2000,""SELECT F WHERE E LIKE '""&amp;'carga de materiais'!E1240&amp;""'""))"),"#REF!")</f>
        <v>#REF!</v>
      </c>
    </row>
    <row r="1240">
      <c r="A1240" s="87" t="str">
        <f>IFERROR(__xludf.DUMMYFUNCTION("TRANSPOSE(QUERY('Cadastro VTR/SEÇÃO/MILITAR'!$E$3:$F2000,""SELECT F WHERE E LIKE '""&amp;'carga de materiais'!E1241&amp;""'""))"),"#REF!")</f>
        <v>#REF!</v>
      </c>
    </row>
    <row r="1241">
      <c r="A1241" s="87" t="str">
        <f>IFERROR(__xludf.DUMMYFUNCTION("TRANSPOSE(QUERY('Cadastro VTR/SEÇÃO/MILITAR'!$E$3:$F2000,""SELECT F WHERE E LIKE '""&amp;'carga de materiais'!E1242&amp;""'""))"),"#REF!")</f>
        <v>#REF!</v>
      </c>
    </row>
    <row r="1242">
      <c r="A1242" s="87" t="str">
        <f>IFERROR(__xludf.DUMMYFUNCTION("TRANSPOSE(QUERY('Cadastro VTR/SEÇÃO/MILITAR'!$E$3:$F2000,""SELECT F WHERE E LIKE '""&amp;'carga de materiais'!E1243&amp;""'""))"),"#REF!")</f>
        <v>#REF!</v>
      </c>
    </row>
    <row r="1243">
      <c r="A1243" s="87" t="str">
        <f>IFERROR(__xludf.DUMMYFUNCTION("TRANSPOSE(QUERY('Cadastro VTR/SEÇÃO/MILITAR'!$E$3:$F2000,""SELECT F WHERE E LIKE '""&amp;'carga de materiais'!E1244&amp;""'""))"),"#REF!")</f>
        <v>#REF!</v>
      </c>
    </row>
    <row r="1244">
      <c r="A1244" s="87" t="str">
        <f>IFERROR(__xludf.DUMMYFUNCTION("TRANSPOSE(QUERY('Cadastro VTR/SEÇÃO/MILITAR'!$E$3:$F2000,""SELECT F WHERE E LIKE '""&amp;'carga de materiais'!E1245&amp;""'""))"),"#REF!")</f>
        <v>#REF!</v>
      </c>
    </row>
    <row r="1245">
      <c r="A1245" s="87" t="str">
        <f>IFERROR(__xludf.DUMMYFUNCTION("TRANSPOSE(QUERY('Cadastro VTR/SEÇÃO/MILITAR'!$E$3:$F2000,""SELECT F WHERE E LIKE '""&amp;'carga de materiais'!E1246&amp;""'""))"),"#REF!")</f>
        <v>#REF!</v>
      </c>
    </row>
    <row r="1246">
      <c r="A1246" s="87" t="str">
        <f>IFERROR(__xludf.DUMMYFUNCTION("TRANSPOSE(QUERY('Cadastro VTR/SEÇÃO/MILITAR'!$E$3:$F2000,""SELECT F WHERE E LIKE '""&amp;'carga de materiais'!E1247&amp;""'""))"),"#REF!")</f>
        <v>#REF!</v>
      </c>
    </row>
    <row r="1247">
      <c r="A1247" s="87" t="str">
        <f>IFERROR(__xludf.DUMMYFUNCTION("TRANSPOSE(QUERY('Cadastro VTR/SEÇÃO/MILITAR'!$E$3:$F2000,""SELECT F WHERE E LIKE '""&amp;'carga de materiais'!E1248&amp;""'""))"),"#REF!")</f>
        <v>#REF!</v>
      </c>
    </row>
    <row r="1248">
      <c r="A1248" s="87" t="str">
        <f>IFERROR(__xludf.DUMMYFUNCTION("TRANSPOSE(QUERY('Cadastro VTR/SEÇÃO/MILITAR'!$E$3:$F2000,""SELECT F WHERE E LIKE '""&amp;'carga de materiais'!E1249&amp;""'""))"),"#REF!")</f>
        <v>#REF!</v>
      </c>
    </row>
    <row r="1249">
      <c r="A1249" s="87" t="str">
        <f>IFERROR(__xludf.DUMMYFUNCTION("TRANSPOSE(QUERY('Cadastro VTR/SEÇÃO/MILITAR'!$E$3:$F2000,""SELECT F WHERE E LIKE '""&amp;'carga de materiais'!E1250&amp;""'""))"),"#REF!")</f>
        <v>#REF!</v>
      </c>
    </row>
    <row r="1250">
      <c r="A1250" s="87" t="str">
        <f>IFERROR(__xludf.DUMMYFUNCTION("TRANSPOSE(QUERY('Cadastro VTR/SEÇÃO/MILITAR'!$E$3:$F2000,""SELECT F WHERE E LIKE '""&amp;'carga de materiais'!E1251&amp;""'""))"),"#REF!")</f>
        <v>#REF!</v>
      </c>
    </row>
    <row r="1251">
      <c r="A1251" s="87" t="str">
        <f>IFERROR(__xludf.DUMMYFUNCTION("TRANSPOSE(QUERY('Cadastro VTR/SEÇÃO/MILITAR'!$E$3:$F2000,""SELECT F WHERE E LIKE '""&amp;'carga de materiais'!E1252&amp;""'""))"),"#REF!")</f>
        <v>#REF!</v>
      </c>
    </row>
    <row r="1252">
      <c r="A1252" s="87" t="str">
        <f>IFERROR(__xludf.DUMMYFUNCTION("TRANSPOSE(QUERY('Cadastro VTR/SEÇÃO/MILITAR'!$E$3:$F2000,""SELECT F WHERE E LIKE '""&amp;'carga de materiais'!E1253&amp;""'""))"),"#REF!")</f>
        <v>#REF!</v>
      </c>
    </row>
    <row r="1253">
      <c r="A1253" s="87" t="str">
        <f>IFERROR(__xludf.DUMMYFUNCTION("TRANSPOSE(QUERY('Cadastro VTR/SEÇÃO/MILITAR'!$E$3:$F2000,""SELECT F WHERE E LIKE '""&amp;'carga de materiais'!E1254&amp;""'""))"),"#REF!")</f>
        <v>#REF!</v>
      </c>
    </row>
    <row r="1254">
      <c r="A1254" s="87" t="str">
        <f>IFERROR(__xludf.DUMMYFUNCTION("TRANSPOSE(QUERY('Cadastro VTR/SEÇÃO/MILITAR'!$E$3:$F2000,""SELECT F WHERE E LIKE '""&amp;'carga de materiais'!E1255&amp;""'""))"),"#REF!")</f>
        <v>#REF!</v>
      </c>
    </row>
    <row r="1255">
      <c r="A1255" s="87" t="str">
        <f>IFERROR(__xludf.DUMMYFUNCTION("TRANSPOSE(QUERY('Cadastro VTR/SEÇÃO/MILITAR'!$E$3:$F2000,""SELECT F WHERE E LIKE '""&amp;'carga de materiais'!E1256&amp;""'""))"),"#REF!")</f>
        <v>#REF!</v>
      </c>
    </row>
    <row r="1256">
      <c r="A1256" s="87" t="str">
        <f>IFERROR(__xludf.DUMMYFUNCTION("TRANSPOSE(QUERY('Cadastro VTR/SEÇÃO/MILITAR'!$E$3:$F2000,""SELECT F WHERE E LIKE '""&amp;'carga de materiais'!E1257&amp;""'""))"),"#REF!")</f>
        <v>#REF!</v>
      </c>
    </row>
    <row r="1257">
      <c r="A1257" s="87" t="str">
        <f>IFERROR(__xludf.DUMMYFUNCTION("TRANSPOSE(QUERY('Cadastro VTR/SEÇÃO/MILITAR'!$E$3:$F2000,""SELECT F WHERE E LIKE '""&amp;'carga de materiais'!E1258&amp;""'""))"),"#REF!")</f>
        <v>#REF!</v>
      </c>
    </row>
    <row r="1258">
      <c r="A1258" s="87" t="str">
        <f>IFERROR(__xludf.DUMMYFUNCTION("TRANSPOSE(QUERY('Cadastro VTR/SEÇÃO/MILITAR'!$E$3:$F2000,""SELECT F WHERE E LIKE '""&amp;'carga de materiais'!E1259&amp;""'""))"),"#REF!")</f>
        <v>#REF!</v>
      </c>
    </row>
    <row r="1259">
      <c r="A1259" s="87" t="str">
        <f>IFERROR(__xludf.DUMMYFUNCTION("TRANSPOSE(QUERY('Cadastro VTR/SEÇÃO/MILITAR'!$E$3:$F2000,""SELECT F WHERE E LIKE '""&amp;'carga de materiais'!E1260&amp;""'""))"),"#REF!")</f>
        <v>#REF!</v>
      </c>
    </row>
    <row r="1260">
      <c r="A1260" s="87" t="str">
        <f>IFERROR(__xludf.DUMMYFUNCTION("TRANSPOSE(QUERY('Cadastro VTR/SEÇÃO/MILITAR'!$E$3:$F2000,""SELECT F WHERE E LIKE '""&amp;'carga de materiais'!E1261&amp;""'""))"),"#REF!")</f>
        <v>#REF!</v>
      </c>
    </row>
    <row r="1261">
      <c r="A1261" s="87" t="str">
        <f>IFERROR(__xludf.DUMMYFUNCTION("TRANSPOSE(QUERY('Cadastro VTR/SEÇÃO/MILITAR'!$E$3:$F2000,""SELECT F WHERE E LIKE '""&amp;'carga de materiais'!E1262&amp;""'""))"),"#REF!")</f>
        <v>#REF!</v>
      </c>
    </row>
    <row r="1262">
      <c r="A1262" s="87" t="str">
        <f>IFERROR(__xludf.DUMMYFUNCTION("TRANSPOSE(QUERY('Cadastro VTR/SEÇÃO/MILITAR'!$E$3:$F2000,""SELECT F WHERE E LIKE '""&amp;'carga de materiais'!E1263&amp;""'""))"),"#REF!")</f>
        <v>#REF!</v>
      </c>
    </row>
    <row r="1263">
      <c r="A1263" s="87" t="str">
        <f>IFERROR(__xludf.DUMMYFUNCTION("TRANSPOSE(QUERY('Cadastro VTR/SEÇÃO/MILITAR'!$E$3:$F2000,""SELECT F WHERE E LIKE '""&amp;'carga de materiais'!E1264&amp;""'""))"),"#REF!")</f>
        <v>#REF!</v>
      </c>
    </row>
    <row r="1264">
      <c r="A1264" s="87" t="str">
        <f>IFERROR(__xludf.DUMMYFUNCTION("TRANSPOSE(QUERY('Cadastro VTR/SEÇÃO/MILITAR'!$E$3:$F2000,""SELECT F WHERE E LIKE '""&amp;'carga de materiais'!E1265&amp;""'""))"),"#REF!")</f>
        <v>#REF!</v>
      </c>
    </row>
    <row r="1265">
      <c r="A1265" s="87" t="str">
        <f>IFERROR(__xludf.DUMMYFUNCTION("TRANSPOSE(QUERY('Cadastro VTR/SEÇÃO/MILITAR'!$E$3:$F2000,""SELECT F WHERE E LIKE '""&amp;'carga de materiais'!E1266&amp;""'""))"),"#REF!")</f>
        <v>#REF!</v>
      </c>
    </row>
    <row r="1266">
      <c r="A1266" s="87" t="str">
        <f>IFERROR(__xludf.DUMMYFUNCTION("TRANSPOSE(QUERY('Cadastro VTR/SEÇÃO/MILITAR'!$E$3:$F2000,""SELECT F WHERE E LIKE '""&amp;'carga de materiais'!E1267&amp;""'""))"),"#REF!")</f>
        <v>#REF!</v>
      </c>
    </row>
    <row r="1267">
      <c r="A1267" s="87" t="str">
        <f>IFERROR(__xludf.DUMMYFUNCTION("TRANSPOSE(QUERY('Cadastro VTR/SEÇÃO/MILITAR'!$E$3:$F2000,""SELECT F WHERE E LIKE '""&amp;'carga de materiais'!E1268&amp;""'""))"),"#REF!")</f>
        <v>#REF!</v>
      </c>
    </row>
    <row r="1268">
      <c r="A1268" s="87" t="str">
        <f>IFERROR(__xludf.DUMMYFUNCTION("TRANSPOSE(QUERY('Cadastro VTR/SEÇÃO/MILITAR'!$E$3:$F2000,""SELECT F WHERE E LIKE '""&amp;'carga de materiais'!E1269&amp;""'""))"),"#REF!")</f>
        <v>#REF!</v>
      </c>
    </row>
    <row r="1269">
      <c r="A1269" s="87" t="str">
        <f>IFERROR(__xludf.DUMMYFUNCTION("TRANSPOSE(QUERY('Cadastro VTR/SEÇÃO/MILITAR'!$E$3:$F2000,""SELECT F WHERE E LIKE '""&amp;'carga de materiais'!E1270&amp;""'""))"),"#REF!")</f>
        <v>#REF!</v>
      </c>
    </row>
    <row r="1270">
      <c r="A1270" s="87" t="str">
        <f>IFERROR(__xludf.DUMMYFUNCTION("TRANSPOSE(QUERY('Cadastro VTR/SEÇÃO/MILITAR'!$E$3:$F2000,""SELECT F WHERE E LIKE '""&amp;'carga de materiais'!E1271&amp;""'""))"),"#REF!")</f>
        <v>#REF!</v>
      </c>
    </row>
    <row r="1271">
      <c r="A1271" s="87" t="str">
        <f>IFERROR(__xludf.DUMMYFUNCTION("TRANSPOSE(QUERY('Cadastro VTR/SEÇÃO/MILITAR'!$E$3:$F2000,""SELECT F WHERE E LIKE '""&amp;'carga de materiais'!E1272&amp;""'""))"),"#REF!")</f>
        <v>#REF!</v>
      </c>
    </row>
    <row r="1272">
      <c r="A1272" s="87" t="str">
        <f>IFERROR(__xludf.DUMMYFUNCTION("TRANSPOSE(QUERY('Cadastro VTR/SEÇÃO/MILITAR'!$E$3:$F2000,""SELECT F WHERE E LIKE '""&amp;'carga de materiais'!E1273&amp;""'""))"),"#REF!")</f>
        <v>#REF!</v>
      </c>
    </row>
    <row r="1273">
      <c r="A1273" s="87" t="str">
        <f>IFERROR(__xludf.DUMMYFUNCTION("TRANSPOSE(QUERY('Cadastro VTR/SEÇÃO/MILITAR'!$E$3:$F2000,""SELECT F WHERE E LIKE '""&amp;'carga de materiais'!E1274&amp;""'""))"),"#REF!")</f>
        <v>#REF!</v>
      </c>
    </row>
    <row r="1274">
      <c r="A1274" s="87" t="str">
        <f>IFERROR(__xludf.DUMMYFUNCTION("TRANSPOSE(QUERY('Cadastro VTR/SEÇÃO/MILITAR'!$E$3:$F2000,""SELECT F WHERE E LIKE '""&amp;'carga de materiais'!E1275&amp;""'""))"),"#REF!")</f>
        <v>#REF!</v>
      </c>
    </row>
    <row r="1275">
      <c r="A1275" s="87" t="str">
        <f>IFERROR(__xludf.DUMMYFUNCTION("TRANSPOSE(QUERY('Cadastro VTR/SEÇÃO/MILITAR'!$E$3:$F2000,""SELECT F WHERE E LIKE '""&amp;'carga de materiais'!E1276&amp;""'""))"),"#REF!")</f>
        <v>#REF!</v>
      </c>
    </row>
    <row r="1276">
      <c r="A1276" s="87" t="str">
        <f>IFERROR(__xludf.DUMMYFUNCTION("TRANSPOSE(QUERY('Cadastro VTR/SEÇÃO/MILITAR'!$E$3:$F2000,""SELECT F WHERE E LIKE '""&amp;'carga de materiais'!E1277&amp;""'""))"),"#REF!")</f>
        <v>#REF!</v>
      </c>
    </row>
    <row r="1277">
      <c r="A1277" s="87" t="str">
        <f>IFERROR(__xludf.DUMMYFUNCTION("TRANSPOSE(QUERY('Cadastro VTR/SEÇÃO/MILITAR'!$E$3:$F2000,""SELECT F WHERE E LIKE '""&amp;'carga de materiais'!E1278&amp;""'""))"),"#REF!")</f>
        <v>#REF!</v>
      </c>
    </row>
    <row r="1278">
      <c r="A1278" s="87" t="str">
        <f>IFERROR(__xludf.DUMMYFUNCTION("TRANSPOSE(QUERY('Cadastro VTR/SEÇÃO/MILITAR'!$E$3:$F2000,""SELECT F WHERE E LIKE '""&amp;'carga de materiais'!E1279&amp;""'""))"),"#REF!")</f>
        <v>#REF!</v>
      </c>
    </row>
    <row r="1279">
      <c r="A1279" s="87" t="str">
        <f>IFERROR(__xludf.DUMMYFUNCTION("TRANSPOSE(QUERY('Cadastro VTR/SEÇÃO/MILITAR'!$E$3:$F2000,""SELECT F WHERE E LIKE '""&amp;'carga de materiais'!E1280&amp;""'""))"),"#REF!")</f>
        <v>#REF!</v>
      </c>
    </row>
    <row r="1280">
      <c r="A1280" s="87" t="str">
        <f>IFERROR(__xludf.DUMMYFUNCTION("TRANSPOSE(QUERY('Cadastro VTR/SEÇÃO/MILITAR'!$E$3:$F2000,""SELECT F WHERE E LIKE '""&amp;'carga de materiais'!E1281&amp;""'""))"),"#REF!")</f>
        <v>#REF!</v>
      </c>
    </row>
    <row r="1281">
      <c r="A1281" s="87" t="str">
        <f>IFERROR(__xludf.DUMMYFUNCTION("TRANSPOSE(QUERY('Cadastro VTR/SEÇÃO/MILITAR'!$E$3:$F2000,""SELECT F WHERE E LIKE '""&amp;'carga de materiais'!E1282&amp;""'""))"),"#REF!")</f>
        <v>#REF!</v>
      </c>
    </row>
    <row r="1282">
      <c r="A1282" s="87" t="str">
        <f>IFERROR(__xludf.DUMMYFUNCTION("TRANSPOSE(QUERY('Cadastro VTR/SEÇÃO/MILITAR'!$E$3:$F2000,""SELECT F WHERE E LIKE '""&amp;'carga de materiais'!E1283&amp;""'""))"),"#REF!")</f>
        <v>#REF!</v>
      </c>
    </row>
    <row r="1283">
      <c r="A1283" s="87" t="str">
        <f>IFERROR(__xludf.DUMMYFUNCTION("TRANSPOSE(QUERY('Cadastro VTR/SEÇÃO/MILITAR'!$E$3:$F2000,""SELECT F WHERE E LIKE '""&amp;'carga de materiais'!E1284&amp;""'""))"),"#REF!")</f>
        <v>#REF!</v>
      </c>
    </row>
    <row r="1284">
      <c r="A1284" s="87" t="str">
        <f>IFERROR(__xludf.DUMMYFUNCTION("TRANSPOSE(QUERY('Cadastro VTR/SEÇÃO/MILITAR'!$E$3:$F2000,""SELECT F WHERE E LIKE '""&amp;'carga de materiais'!E1285&amp;""'""))"),"#REF!")</f>
        <v>#REF!</v>
      </c>
    </row>
    <row r="1285">
      <c r="A1285" s="87" t="str">
        <f>IFERROR(__xludf.DUMMYFUNCTION("TRANSPOSE(QUERY('Cadastro VTR/SEÇÃO/MILITAR'!$E$3:$F2000,""SELECT F WHERE E LIKE '""&amp;'carga de materiais'!E1286&amp;""'""))"),"#REF!")</f>
        <v>#REF!</v>
      </c>
    </row>
    <row r="1286">
      <c r="A1286" s="87" t="str">
        <f>IFERROR(__xludf.DUMMYFUNCTION("TRANSPOSE(QUERY('Cadastro VTR/SEÇÃO/MILITAR'!$E$3:$F2000,""SELECT F WHERE E LIKE '""&amp;'carga de materiais'!E1287&amp;""'""))"),"#REF!")</f>
        <v>#REF!</v>
      </c>
    </row>
    <row r="1287">
      <c r="A1287" s="87" t="str">
        <f>IFERROR(__xludf.DUMMYFUNCTION("TRANSPOSE(QUERY('Cadastro VTR/SEÇÃO/MILITAR'!$E$3:$F2000,""SELECT F WHERE E LIKE '""&amp;'carga de materiais'!E1288&amp;""'""))"),"#REF!")</f>
        <v>#REF!</v>
      </c>
    </row>
    <row r="1288">
      <c r="A1288" s="87" t="str">
        <f>IFERROR(__xludf.DUMMYFUNCTION("TRANSPOSE(QUERY('Cadastro VTR/SEÇÃO/MILITAR'!$E$3:$F2000,""SELECT F WHERE E LIKE '""&amp;'carga de materiais'!E1289&amp;""'""))"),"#REF!")</f>
        <v>#REF!</v>
      </c>
    </row>
    <row r="1289">
      <c r="A1289" s="87" t="str">
        <f>IFERROR(__xludf.DUMMYFUNCTION("TRANSPOSE(QUERY('Cadastro VTR/SEÇÃO/MILITAR'!$E$3:$F2000,""SELECT F WHERE E LIKE '""&amp;'carga de materiais'!E1290&amp;""'""))"),"#REF!")</f>
        <v>#REF!</v>
      </c>
    </row>
    <row r="1290">
      <c r="A1290" s="87" t="str">
        <f>IFERROR(__xludf.DUMMYFUNCTION("TRANSPOSE(QUERY('Cadastro VTR/SEÇÃO/MILITAR'!$E$3:$F2000,""SELECT F WHERE E LIKE '""&amp;'carga de materiais'!E1291&amp;""'""))"),"#REF!")</f>
        <v>#REF!</v>
      </c>
    </row>
    <row r="1291">
      <c r="A1291" s="87" t="str">
        <f>IFERROR(__xludf.DUMMYFUNCTION("TRANSPOSE(QUERY('Cadastro VTR/SEÇÃO/MILITAR'!$E$3:$F2000,""SELECT F WHERE E LIKE '""&amp;'carga de materiais'!E1292&amp;""'""))"),"#REF!")</f>
        <v>#REF!</v>
      </c>
    </row>
    <row r="1292">
      <c r="A1292" s="87" t="str">
        <f>IFERROR(__xludf.DUMMYFUNCTION("TRANSPOSE(QUERY('Cadastro VTR/SEÇÃO/MILITAR'!$E$3:$F2000,""SELECT F WHERE E LIKE '""&amp;'carga de materiais'!E1293&amp;""'""))"),"#REF!")</f>
        <v>#REF!</v>
      </c>
    </row>
    <row r="1293">
      <c r="A1293" s="87" t="str">
        <f>IFERROR(__xludf.DUMMYFUNCTION("TRANSPOSE(QUERY('Cadastro VTR/SEÇÃO/MILITAR'!$E$3:$F2000,""SELECT F WHERE E LIKE '""&amp;'carga de materiais'!E1294&amp;""'""))"),"#REF!")</f>
        <v>#REF!</v>
      </c>
    </row>
    <row r="1294">
      <c r="A1294" s="87" t="str">
        <f>IFERROR(__xludf.DUMMYFUNCTION("TRANSPOSE(QUERY('Cadastro VTR/SEÇÃO/MILITAR'!$E$3:$F2000,""SELECT F WHERE E LIKE '""&amp;'carga de materiais'!E1295&amp;""'""))"),"#REF!")</f>
        <v>#REF!</v>
      </c>
    </row>
    <row r="1295">
      <c r="A1295" s="87" t="str">
        <f>IFERROR(__xludf.DUMMYFUNCTION("TRANSPOSE(QUERY('Cadastro VTR/SEÇÃO/MILITAR'!$E$3:$F2000,""SELECT F WHERE E LIKE '""&amp;'carga de materiais'!E1296&amp;""'""))"),"#REF!")</f>
        <v>#REF!</v>
      </c>
    </row>
    <row r="1296">
      <c r="A1296" s="87" t="str">
        <f>IFERROR(__xludf.DUMMYFUNCTION("TRANSPOSE(QUERY('Cadastro VTR/SEÇÃO/MILITAR'!$E$3:$F2000,""SELECT F WHERE E LIKE '""&amp;'carga de materiais'!E1297&amp;""'""))"),"#REF!")</f>
        <v>#REF!</v>
      </c>
    </row>
    <row r="1297">
      <c r="A1297" s="87" t="str">
        <f>IFERROR(__xludf.DUMMYFUNCTION("TRANSPOSE(QUERY('Cadastro VTR/SEÇÃO/MILITAR'!$E$3:$F2000,""SELECT F WHERE E LIKE '""&amp;'carga de materiais'!E1298&amp;""'""))"),"#REF!")</f>
        <v>#REF!</v>
      </c>
    </row>
    <row r="1298">
      <c r="A1298" s="87" t="str">
        <f>IFERROR(__xludf.DUMMYFUNCTION("TRANSPOSE(QUERY('Cadastro VTR/SEÇÃO/MILITAR'!$E$3:$F2000,""SELECT F WHERE E LIKE '""&amp;'carga de materiais'!E1299&amp;""'""))"),"#REF!")</f>
        <v>#REF!</v>
      </c>
    </row>
    <row r="1299">
      <c r="A1299" s="87" t="str">
        <f>IFERROR(__xludf.DUMMYFUNCTION("TRANSPOSE(QUERY('Cadastro VTR/SEÇÃO/MILITAR'!$E$3:$F2000,""SELECT F WHERE E LIKE '""&amp;'carga de materiais'!E1300&amp;""'""))"),"#REF!")</f>
        <v>#REF!</v>
      </c>
    </row>
    <row r="1300">
      <c r="A1300" s="87" t="str">
        <f>IFERROR(__xludf.DUMMYFUNCTION("TRANSPOSE(QUERY('Cadastro VTR/SEÇÃO/MILITAR'!$E$3:$F2000,""SELECT F WHERE E LIKE '""&amp;'carga de materiais'!E1301&amp;""'""))"),"#REF!")</f>
        <v>#REF!</v>
      </c>
    </row>
    <row r="1301">
      <c r="A1301" s="87" t="str">
        <f>IFERROR(__xludf.DUMMYFUNCTION("TRANSPOSE(QUERY('Cadastro VTR/SEÇÃO/MILITAR'!$E$3:$F2000,""SELECT F WHERE E LIKE '""&amp;'carga de materiais'!E1302&amp;""'""))"),"#REF!")</f>
        <v>#REF!</v>
      </c>
    </row>
    <row r="1302">
      <c r="A1302" s="87" t="str">
        <f>IFERROR(__xludf.DUMMYFUNCTION("TRANSPOSE(QUERY('Cadastro VTR/SEÇÃO/MILITAR'!$E$3:$F2000,""SELECT F WHERE E LIKE '""&amp;'carga de materiais'!E1303&amp;""'""))"),"#REF!")</f>
        <v>#REF!</v>
      </c>
    </row>
    <row r="1303">
      <c r="A1303" s="87" t="str">
        <f>IFERROR(__xludf.DUMMYFUNCTION("TRANSPOSE(QUERY('Cadastro VTR/SEÇÃO/MILITAR'!$E$3:$F2000,""SELECT F WHERE E LIKE '""&amp;'carga de materiais'!E1304&amp;""'""))"),"#REF!")</f>
        <v>#REF!</v>
      </c>
    </row>
    <row r="1304">
      <c r="A1304" s="87" t="str">
        <f>IFERROR(__xludf.DUMMYFUNCTION("TRANSPOSE(QUERY('Cadastro VTR/SEÇÃO/MILITAR'!$E$3:$F2000,""SELECT F WHERE E LIKE '""&amp;'carga de materiais'!E1305&amp;""'""))"),"#REF!")</f>
        <v>#REF!</v>
      </c>
    </row>
    <row r="1305">
      <c r="A1305" s="87" t="str">
        <f>IFERROR(__xludf.DUMMYFUNCTION("TRANSPOSE(QUERY('Cadastro VTR/SEÇÃO/MILITAR'!$E$3:$F2000,""SELECT F WHERE E LIKE '""&amp;'carga de materiais'!E1306&amp;""'""))"),"#REF!")</f>
        <v>#REF!</v>
      </c>
    </row>
    <row r="1306">
      <c r="A1306" s="87" t="str">
        <f>IFERROR(__xludf.DUMMYFUNCTION("TRANSPOSE(QUERY('Cadastro VTR/SEÇÃO/MILITAR'!$E$3:$F2000,""SELECT F WHERE E LIKE '""&amp;'carga de materiais'!E1307&amp;""'""))"),"#REF!")</f>
        <v>#REF!</v>
      </c>
    </row>
    <row r="1307">
      <c r="A1307" s="87" t="str">
        <f>IFERROR(__xludf.DUMMYFUNCTION("TRANSPOSE(QUERY('Cadastro VTR/SEÇÃO/MILITAR'!$E$3:$F2000,""SELECT F WHERE E LIKE '""&amp;'carga de materiais'!E1308&amp;""'""))"),"#REF!")</f>
        <v>#REF!</v>
      </c>
    </row>
    <row r="1308">
      <c r="A1308" s="87" t="str">
        <f>IFERROR(__xludf.DUMMYFUNCTION("TRANSPOSE(QUERY('Cadastro VTR/SEÇÃO/MILITAR'!$E$3:$F2000,""SELECT F WHERE E LIKE '""&amp;'carga de materiais'!E1309&amp;""'""))"),"#REF!")</f>
        <v>#REF!</v>
      </c>
    </row>
    <row r="1309">
      <c r="A1309" s="87" t="str">
        <f>IFERROR(__xludf.DUMMYFUNCTION("TRANSPOSE(QUERY('Cadastro VTR/SEÇÃO/MILITAR'!$E$3:$F2000,""SELECT F WHERE E LIKE '""&amp;'carga de materiais'!E1310&amp;""'""))"),"#REF!")</f>
        <v>#REF!</v>
      </c>
    </row>
    <row r="1310">
      <c r="A1310" s="87" t="str">
        <f>IFERROR(__xludf.DUMMYFUNCTION("TRANSPOSE(QUERY('Cadastro VTR/SEÇÃO/MILITAR'!$E$3:$F2000,""SELECT F WHERE E LIKE '""&amp;'carga de materiais'!E1311&amp;""'""))"),"#REF!")</f>
        <v>#REF!</v>
      </c>
    </row>
    <row r="1311">
      <c r="A1311" s="87" t="str">
        <f>IFERROR(__xludf.DUMMYFUNCTION("TRANSPOSE(QUERY('Cadastro VTR/SEÇÃO/MILITAR'!$E$3:$F2000,""SELECT F WHERE E LIKE '""&amp;'carga de materiais'!E1312&amp;""'""))"),"#REF!")</f>
        <v>#REF!</v>
      </c>
    </row>
    <row r="1312">
      <c r="A1312" s="87" t="str">
        <f>IFERROR(__xludf.DUMMYFUNCTION("TRANSPOSE(QUERY('Cadastro VTR/SEÇÃO/MILITAR'!$E$3:$F2000,""SELECT F WHERE E LIKE '""&amp;'carga de materiais'!E1313&amp;""'""))"),"#REF!")</f>
        <v>#REF!</v>
      </c>
    </row>
    <row r="1313">
      <c r="A1313" s="87" t="str">
        <f>IFERROR(__xludf.DUMMYFUNCTION("TRANSPOSE(QUERY('Cadastro VTR/SEÇÃO/MILITAR'!$E$3:$F2000,""SELECT F WHERE E LIKE '""&amp;'carga de materiais'!E1314&amp;""'""))"),"#REF!")</f>
        <v>#REF!</v>
      </c>
    </row>
    <row r="1314">
      <c r="A1314" s="87" t="str">
        <f>IFERROR(__xludf.DUMMYFUNCTION("TRANSPOSE(QUERY('Cadastro VTR/SEÇÃO/MILITAR'!$E$3:$F2000,""SELECT F WHERE E LIKE '""&amp;'carga de materiais'!E1315&amp;""'""))"),"#REF!")</f>
        <v>#REF!</v>
      </c>
    </row>
    <row r="1315">
      <c r="A1315" s="87" t="str">
        <f>IFERROR(__xludf.DUMMYFUNCTION("TRANSPOSE(QUERY('Cadastro VTR/SEÇÃO/MILITAR'!$E$3:$F2000,""SELECT F WHERE E LIKE '""&amp;'carga de materiais'!E1316&amp;""'""))"),"#REF!")</f>
        <v>#REF!</v>
      </c>
    </row>
    <row r="1316">
      <c r="A1316" s="87" t="str">
        <f>IFERROR(__xludf.DUMMYFUNCTION("TRANSPOSE(QUERY('Cadastro VTR/SEÇÃO/MILITAR'!$E$3:$F2000,""SELECT F WHERE E LIKE '""&amp;'carga de materiais'!E1317&amp;""'""))"),"#REF!")</f>
        <v>#REF!</v>
      </c>
    </row>
    <row r="1317">
      <c r="A1317" s="87" t="str">
        <f>IFERROR(__xludf.DUMMYFUNCTION("TRANSPOSE(QUERY('Cadastro VTR/SEÇÃO/MILITAR'!$E$3:$F2000,""SELECT F WHERE E LIKE '""&amp;'carga de materiais'!E1318&amp;""'""))"),"#REF!")</f>
        <v>#REF!</v>
      </c>
    </row>
    <row r="1318">
      <c r="A1318" s="87" t="str">
        <f>IFERROR(__xludf.DUMMYFUNCTION("TRANSPOSE(QUERY('Cadastro VTR/SEÇÃO/MILITAR'!$E$3:$F2000,""SELECT F WHERE E LIKE '""&amp;'carga de materiais'!E1319&amp;""'""))"),"#REF!")</f>
        <v>#REF!</v>
      </c>
    </row>
    <row r="1319">
      <c r="A1319" s="87" t="str">
        <f>IFERROR(__xludf.DUMMYFUNCTION("TRANSPOSE(QUERY('Cadastro VTR/SEÇÃO/MILITAR'!$E$3:$F2000,""SELECT F WHERE E LIKE '""&amp;'carga de materiais'!E1320&amp;""'""))"),"#REF!")</f>
        <v>#REF!</v>
      </c>
    </row>
    <row r="1320">
      <c r="A1320" s="87" t="str">
        <f>IFERROR(__xludf.DUMMYFUNCTION("TRANSPOSE(QUERY('Cadastro VTR/SEÇÃO/MILITAR'!$E$3:$F2000,""SELECT F WHERE E LIKE '""&amp;'carga de materiais'!E1321&amp;""'""))"),"#REF!")</f>
        <v>#REF!</v>
      </c>
    </row>
    <row r="1321">
      <c r="A1321" s="87" t="str">
        <f>IFERROR(__xludf.DUMMYFUNCTION("TRANSPOSE(QUERY('Cadastro VTR/SEÇÃO/MILITAR'!$E$3:$F2000,""SELECT F WHERE E LIKE '""&amp;'carga de materiais'!E1322&amp;""'""))"),"#REF!")</f>
        <v>#REF!</v>
      </c>
    </row>
    <row r="1322">
      <c r="A1322" s="87" t="str">
        <f>IFERROR(__xludf.DUMMYFUNCTION("TRANSPOSE(QUERY('Cadastro VTR/SEÇÃO/MILITAR'!$E$3:$F2000,""SELECT F WHERE E LIKE '""&amp;'carga de materiais'!E1323&amp;""'""))"),"#REF!")</f>
        <v>#REF!</v>
      </c>
    </row>
    <row r="1323">
      <c r="A1323" s="87" t="str">
        <f>IFERROR(__xludf.DUMMYFUNCTION("TRANSPOSE(QUERY('Cadastro VTR/SEÇÃO/MILITAR'!$E$3:$F2000,""SELECT F WHERE E LIKE '""&amp;'carga de materiais'!E1324&amp;""'""))"),"#REF!")</f>
        <v>#REF!</v>
      </c>
    </row>
    <row r="1324">
      <c r="A1324" s="87" t="str">
        <f>IFERROR(__xludf.DUMMYFUNCTION("TRANSPOSE(QUERY('Cadastro VTR/SEÇÃO/MILITAR'!$E$3:$F2000,""SELECT F WHERE E LIKE '""&amp;'carga de materiais'!E1325&amp;""'""))"),"#REF!")</f>
        <v>#REF!</v>
      </c>
    </row>
    <row r="1325">
      <c r="A1325" s="87" t="str">
        <f>IFERROR(__xludf.DUMMYFUNCTION("TRANSPOSE(QUERY('Cadastro VTR/SEÇÃO/MILITAR'!$E$3:$F2000,""SELECT F WHERE E LIKE '""&amp;'carga de materiais'!E1326&amp;""'""))"),"#REF!")</f>
        <v>#REF!</v>
      </c>
    </row>
    <row r="1326">
      <c r="A1326" s="87" t="str">
        <f>IFERROR(__xludf.DUMMYFUNCTION("TRANSPOSE(QUERY('Cadastro VTR/SEÇÃO/MILITAR'!$E$3:$F2000,""SELECT F WHERE E LIKE '""&amp;'carga de materiais'!E1327&amp;""'""))"),"#REF!")</f>
        <v>#REF!</v>
      </c>
    </row>
    <row r="1327">
      <c r="A1327" s="87" t="str">
        <f>IFERROR(__xludf.DUMMYFUNCTION("TRANSPOSE(QUERY('Cadastro VTR/SEÇÃO/MILITAR'!$E$3:$F2000,""SELECT F WHERE E LIKE '""&amp;'carga de materiais'!E1328&amp;""'""))"),"#REF!")</f>
        <v>#REF!</v>
      </c>
    </row>
    <row r="1328">
      <c r="A1328" s="87" t="str">
        <f>IFERROR(__xludf.DUMMYFUNCTION("TRANSPOSE(QUERY('Cadastro VTR/SEÇÃO/MILITAR'!$E$3:$F2000,""SELECT F WHERE E LIKE '""&amp;'carga de materiais'!E1329&amp;""'""))"),"#REF!")</f>
        <v>#REF!</v>
      </c>
    </row>
    <row r="1329">
      <c r="A1329" s="87" t="str">
        <f>IFERROR(__xludf.DUMMYFUNCTION("TRANSPOSE(QUERY('Cadastro VTR/SEÇÃO/MILITAR'!$E$3:$F2000,""SELECT F WHERE E LIKE '""&amp;'carga de materiais'!E1330&amp;""'""))"),"#REF!")</f>
        <v>#REF!</v>
      </c>
    </row>
    <row r="1330">
      <c r="A1330" s="87" t="str">
        <f>IFERROR(__xludf.DUMMYFUNCTION("TRANSPOSE(QUERY('Cadastro VTR/SEÇÃO/MILITAR'!$E$3:$F2000,""SELECT F WHERE E LIKE '""&amp;'carga de materiais'!E1331&amp;""'""))"),"#REF!")</f>
        <v>#REF!</v>
      </c>
    </row>
    <row r="1331">
      <c r="A1331" s="87" t="str">
        <f>IFERROR(__xludf.DUMMYFUNCTION("TRANSPOSE(QUERY('Cadastro VTR/SEÇÃO/MILITAR'!$E$3:$F2000,""SELECT F WHERE E LIKE '""&amp;'carga de materiais'!E1332&amp;""'""))"),"#REF!")</f>
        <v>#REF!</v>
      </c>
    </row>
    <row r="1332">
      <c r="A1332" s="87" t="str">
        <f>IFERROR(__xludf.DUMMYFUNCTION("TRANSPOSE(QUERY('Cadastro VTR/SEÇÃO/MILITAR'!$E$3:$F2000,""SELECT F WHERE E LIKE '""&amp;'carga de materiais'!E1333&amp;""'""))"),"#REF!")</f>
        <v>#REF!</v>
      </c>
    </row>
    <row r="1333">
      <c r="A1333" s="87" t="str">
        <f>IFERROR(__xludf.DUMMYFUNCTION("TRANSPOSE(QUERY('Cadastro VTR/SEÇÃO/MILITAR'!$E$3:$F2000,""SELECT F WHERE E LIKE '""&amp;'carga de materiais'!E1334&amp;""'""))"),"#REF!")</f>
        <v>#REF!</v>
      </c>
    </row>
    <row r="1334">
      <c r="A1334" s="87" t="str">
        <f>IFERROR(__xludf.DUMMYFUNCTION("TRANSPOSE(QUERY('Cadastro VTR/SEÇÃO/MILITAR'!$E$3:$F2000,""SELECT F WHERE E LIKE '""&amp;'carga de materiais'!E1335&amp;""'""))"),"#REF!")</f>
        <v>#REF!</v>
      </c>
    </row>
    <row r="1335">
      <c r="A1335" s="87" t="str">
        <f>IFERROR(__xludf.DUMMYFUNCTION("TRANSPOSE(QUERY('Cadastro VTR/SEÇÃO/MILITAR'!$E$3:$F2000,""SELECT F WHERE E LIKE '""&amp;'carga de materiais'!E1336&amp;""'""))"),"#REF!")</f>
        <v>#REF!</v>
      </c>
    </row>
    <row r="1336">
      <c r="A1336" s="87" t="str">
        <f>IFERROR(__xludf.DUMMYFUNCTION("TRANSPOSE(QUERY('Cadastro VTR/SEÇÃO/MILITAR'!$E$3:$F2000,""SELECT F WHERE E LIKE '""&amp;'carga de materiais'!E1337&amp;""'""))"),"#REF!")</f>
        <v>#REF!</v>
      </c>
    </row>
    <row r="1337">
      <c r="A1337" s="87" t="str">
        <f>IFERROR(__xludf.DUMMYFUNCTION("TRANSPOSE(QUERY('Cadastro VTR/SEÇÃO/MILITAR'!$E$3:$F2000,""SELECT F WHERE E LIKE '""&amp;'carga de materiais'!E1338&amp;""'""))"),"#REF!")</f>
        <v>#REF!</v>
      </c>
    </row>
    <row r="1338">
      <c r="A1338" s="87" t="str">
        <f>IFERROR(__xludf.DUMMYFUNCTION("TRANSPOSE(QUERY('Cadastro VTR/SEÇÃO/MILITAR'!$E$3:$F2000,""SELECT F WHERE E LIKE '""&amp;'carga de materiais'!E1339&amp;""'""))"),"#REF!")</f>
        <v>#REF!</v>
      </c>
    </row>
    <row r="1339">
      <c r="A1339" s="87" t="str">
        <f>IFERROR(__xludf.DUMMYFUNCTION("TRANSPOSE(QUERY('Cadastro VTR/SEÇÃO/MILITAR'!$E$3:$F2000,""SELECT F WHERE E LIKE '""&amp;'carga de materiais'!E1340&amp;""'""))"),"#REF!")</f>
        <v>#REF!</v>
      </c>
    </row>
    <row r="1340">
      <c r="A1340" s="87" t="str">
        <f>IFERROR(__xludf.DUMMYFUNCTION("TRANSPOSE(QUERY('Cadastro VTR/SEÇÃO/MILITAR'!$E$3:$F2000,""SELECT F WHERE E LIKE '""&amp;'carga de materiais'!E1341&amp;""'""))"),"#REF!")</f>
        <v>#REF!</v>
      </c>
    </row>
    <row r="1341">
      <c r="A1341" s="87" t="str">
        <f>IFERROR(__xludf.DUMMYFUNCTION("TRANSPOSE(QUERY('Cadastro VTR/SEÇÃO/MILITAR'!$E$3:$F2000,""SELECT F WHERE E LIKE '""&amp;'carga de materiais'!E1342&amp;""'""))"),"#REF!")</f>
        <v>#REF!</v>
      </c>
    </row>
    <row r="1342">
      <c r="A1342" s="87" t="str">
        <f>IFERROR(__xludf.DUMMYFUNCTION("TRANSPOSE(QUERY('Cadastro VTR/SEÇÃO/MILITAR'!$E$3:$F2000,""SELECT F WHERE E LIKE '""&amp;'carga de materiais'!E1343&amp;""'""))"),"#REF!")</f>
        <v>#REF!</v>
      </c>
    </row>
    <row r="1343">
      <c r="A1343" s="87" t="str">
        <f>IFERROR(__xludf.DUMMYFUNCTION("TRANSPOSE(QUERY('Cadastro VTR/SEÇÃO/MILITAR'!$E$3:$F2000,""SELECT F WHERE E LIKE '""&amp;'carga de materiais'!E1344&amp;""'""))"),"#REF!")</f>
        <v>#REF!</v>
      </c>
    </row>
    <row r="1344">
      <c r="A1344" s="87" t="str">
        <f>IFERROR(__xludf.DUMMYFUNCTION("TRANSPOSE(QUERY('Cadastro VTR/SEÇÃO/MILITAR'!$E$3:$F2000,""SELECT F WHERE E LIKE '""&amp;'carga de materiais'!E1345&amp;""'""))"),"#REF!")</f>
        <v>#REF!</v>
      </c>
    </row>
    <row r="1345">
      <c r="A1345" s="87" t="str">
        <f>IFERROR(__xludf.DUMMYFUNCTION("TRANSPOSE(QUERY('Cadastro VTR/SEÇÃO/MILITAR'!$E$3:$F2000,""SELECT F WHERE E LIKE '""&amp;'carga de materiais'!E1346&amp;""'""))"),"#REF!")</f>
        <v>#REF!</v>
      </c>
    </row>
    <row r="1346">
      <c r="A1346" s="87" t="str">
        <f>IFERROR(__xludf.DUMMYFUNCTION("TRANSPOSE(QUERY('Cadastro VTR/SEÇÃO/MILITAR'!$E$3:$F2000,""SELECT F WHERE E LIKE '""&amp;'carga de materiais'!E1347&amp;""'""))"),"#REF!")</f>
        <v>#REF!</v>
      </c>
    </row>
    <row r="1347">
      <c r="A1347" s="87" t="str">
        <f>IFERROR(__xludf.DUMMYFUNCTION("TRANSPOSE(QUERY('Cadastro VTR/SEÇÃO/MILITAR'!$E$3:$F2000,""SELECT F WHERE E LIKE '""&amp;'carga de materiais'!E1348&amp;""'""))"),"#REF!")</f>
        <v>#REF!</v>
      </c>
    </row>
    <row r="1348">
      <c r="A1348" s="87" t="str">
        <f>IFERROR(__xludf.DUMMYFUNCTION("TRANSPOSE(QUERY('Cadastro VTR/SEÇÃO/MILITAR'!$E$3:$F2000,""SELECT F WHERE E LIKE '""&amp;'carga de materiais'!E1349&amp;""'""))"),"#REF!")</f>
        <v>#REF!</v>
      </c>
    </row>
    <row r="1349">
      <c r="A1349" s="87" t="str">
        <f>IFERROR(__xludf.DUMMYFUNCTION("TRANSPOSE(QUERY('Cadastro VTR/SEÇÃO/MILITAR'!$E$3:$F2000,""SELECT F WHERE E LIKE '""&amp;'carga de materiais'!E1350&amp;""'""))"),"#REF!")</f>
        <v>#REF!</v>
      </c>
    </row>
    <row r="1350">
      <c r="A1350" s="87" t="str">
        <f>IFERROR(__xludf.DUMMYFUNCTION("TRANSPOSE(QUERY('Cadastro VTR/SEÇÃO/MILITAR'!$E$3:$F2000,""SELECT F WHERE E LIKE '""&amp;'carga de materiais'!E1351&amp;""'""))"),"#REF!")</f>
        <v>#REF!</v>
      </c>
    </row>
    <row r="1351">
      <c r="A1351" s="87" t="str">
        <f>IFERROR(__xludf.DUMMYFUNCTION("TRANSPOSE(QUERY('Cadastro VTR/SEÇÃO/MILITAR'!$E$3:$F2000,""SELECT F WHERE E LIKE '""&amp;'carga de materiais'!E1352&amp;""'""))"),"#REF!")</f>
        <v>#REF!</v>
      </c>
    </row>
    <row r="1352">
      <c r="A1352" s="87" t="str">
        <f>IFERROR(__xludf.DUMMYFUNCTION("TRANSPOSE(QUERY('Cadastro VTR/SEÇÃO/MILITAR'!$E$3:$F2000,""SELECT F WHERE E LIKE '""&amp;'carga de materiais'!E1353&amp;""'""))"),"#REF!")</f>
        <v>#REF!</v>
      </c>
    </row>
    <row r="1353">
      <c r="A1353" s="87" t="str">
        <f>IFERROR(__xludf.DUMMYFUNCTION("TRANSPOSE(QUERY('Cadastro VTR/SEÇÃO/MILITAR'!$E$3:$F2000,""SELECT F WHERE E LIKE '""&amp;'carga de materiais'!E1354&amp;""'""))"),"#REF!")</f>
        <v>#REF!</v>
      </c>
    </row>
    <row r="1354">
      <c r="A1354" s="87" t="str">
        <f>IFERROR(__xludf.DUMMYFUNCTION("TRANSPOSE(QUERY('Cadastro VTR/SEÇÃO/MILITAR'!$E$3:$F2000,""SELECT F WHERE E LIKE '""&amp;'carga de materiais'!E1355&amp;""'""))"),"#REF!")</f>
        <v>#REF!</v>
      </c>
    </row>
    <row r="1355">
      <c r="A1355" s="87" t="str">
        <f>IFERROR(__xludf.DUMMYFUNCTION("TRANSPOSE(QUERY('Cadastro VTR/SEÇÃO/MILITAR'!$E$3:$F2000,""SELECT F WHERE E LIKE '""&amp;'carga de materiais'!E1356&amp;""'""))"),"#REF!")</f>
        <v>#REF!</v>
      </c>
    </row>
    <row r="1356">
      <c r="A1356" s="87" t="str">
        <f>IFERROR(__xludf.DUMMYFUNCTION("TRANSPOSE(QUERY('Cadastro VTR/SEÇÃO/MILITAR'!$E$3:$F2000,""SELECT F WHERE E LIKE '""&amp;'carga de materiais'!E1357&amp;""'""))"),"#REF!")</f>
        <v>#REF!</v>
      </c>
    </row>
    <row r="1357">
      <c r="A1357" s="87" t="str">
        <f>IFERROR(__xludf.DUMMYFUNCTION("TRANSPOSE(QUERY('Cadastro VTR/SEÇÃO/MILITAR'!$E$3:$F2000,""SELECT F WHERE E LIKE '""&amp;'carga de materiais'!E1358&amp;""'""))"),"#REF!")</f>
        <v>#REF!</v>
      </c>
    </row>
    <row r="1358">
      <c r="A1358" s="87" t="str">
        <f>IFERROR(__xludf.DUMMYFUNCTION("TRANSPOSE(QUERY('Cadastro VTR/SEÇÃO/MILITAR'!$E$3:$F2000,""SELECT F WHERE E LIKE '""&amp;'carga de materiais'!E1359&amp;""'""))"),"#REF!")</f>
        <v>#REF!</v>
      </c>
    </row>
    <row r="1359">
      <c r="A1359" s="87" t="str">
        <f>IFERROR(__xludf.DUMMYFUNCTION("TRANSPOSE(QUERY('Cadastro VTR/SEÇÃO/MILITAR'!$E$3:$F2000,""SELECT F WHERE E LIKE '""&amp;'carga de materiais'!E1360&amp;""'""))"),"#REF!")</f>
        <v>#REF!</v>
      </c>
    </row>
    <row r="1360">
      <c r="A1360" s="87" t="str">
        <f>IFERROR(__xludf.DUMMYFUNCTION("TRANSPOSE(QUERY('Cadastro VTR/SEÇÃO/MILITAR'!$E$3:$F2000,""SELECT F WHERE E LIKE '""&amp;'carga de materiais'!E1361&amp;""'""))"),"#REF!")</f>
        <v>#REF!</v>
      </c>
    </row>
    <row r="1361">
      <c r="A1361" s="87" t="str">
        <f>IFERROR(__xludf.DUMMYFUNCTION("TRANSPOSE(QUERY('Cadastro VTR/SEÇÃO/MILITAR'!$E$3:$F2000,""SELECT F WHERE E LIKE '""&amp;'carga de materiais'!E1362&amp;""'""))"),"#REF!")</f>
        <v>#REF!</v>
      </c>
    </row>
    <row r="1362">
      <c r="A1362" s="87" t="str">
        <f>IFERROR(__xludf.DUMMYFUNCTION("TRANSPOSE(QUERY('Cadastro VTR/SEÇÃO/MILITAR'!$E$3:$F2000,""SELECT F WHERE E LIKE '""&amp;'carga de materiais'!E1363&amp;""'""))"),"#REF!")</f>
        <v>#REF!</v>
      </c>
    </row>
    <row r="1363">
      <c r="A1363" s="87" t="str">
        <f>IFERROR(__xludf.DUMMYFUNCTION("TRANSPOSE(QUERY('Cadastro VTR/SEÇÃO/MILITAR'!$E$3:$F2000,""SELECT F WHERE E LIKE '""&amp;'carga de materiais'!E1364&amp;""'""))"),"#REF!")</f>
        <v>#REF!</v>
      </c>
    </row>
    <row r="1364">
      <c r="A1364" s="87" t="str">
        <f>IFERROR(__xludf.DUMMYFUNCTION("TRANSPOSE(QUERY('Cadastro VTR/SEÇÃO/MILITAR'!$E$3:$F2000,""SELECT F WHERE E LIKE '""&amp;'carga de materiais'!E1365&amp;""'""))"),"#REF!")</f>
        <v>#REF!</v>
      </c>
    </row>
    <row r="1365">
      <c r="A1365" s="87" t="str">
        <f>IFERROR(__xludf.DUMMYFUNCTION("TRANSPOSE(QUERY('Cadastro VTR/SEÇÃO/MILITAR'!$E$3:$F2000,""SELECT F WHERE E LIKE '""&amp;'carga de materiais'!E1366&amp;""'""))"),"#REF!")</f>
        <v>#REF!</v>
      </c>
    </row>
    <row r="1366">
      <c r="A1366" s="87" t="str">
        <f>IFERROR(__xludf.DUMMYFUNCTION("TRANSPOSE(QUERY('Cadastro VTR/SEÇÃO/MILITAR'!$E$3:$F2000,""SELECT F WHERE E LIKE '""&amp;'carga de materiais'!E1367&amp;""'""))"),"#REF!")</f>
        <v>#REF!</v>
      </c>
    </row>
    <row r="1367">
      <c r="A1367" s="87" t="str">
        <f>IFERROR(__xludf.DUMMYFUNCTION("TRANSPOSE(QUERY('Cadastro VTR/SEÇÃO/MILITAR'!$E$3:$F2000,""SELECT F WHERE E LIKE '""&amp;'carga de materiais'!E1368&amp;""'""))"),"#REF!")</f>
        <v>#REF!</v>
      </c>
    </row>
    <row r="1368">
      <c r="A1368" s="87" t="str">
        <f>IFERROR(__xludf.DUMMYFUNCTION("TRANSPOSE(QUERY('Cadastro VTR/SEÇÃO/MILITAR'!$E$3:$F2000,""SELECT F WHERE E LIKE '""&amp;'carga de materiais'!E1369&amp;""'""))"),"#REF!")</f>
        <v>#REF!</v>
      </c>
    </row>
    <row r="1369">
      <c r="A1369" s="87" t="str">
        <f>IFERROR(__xludf.DUMMYFUNCTION("TRANSPOSE(QUERY('Cadastro VTR/SEÇÃO/MILITAR'!$E$3:$F2000,""SELECT F WHERE E LIKE '""&amp;'carga de materiais'!E1370&amp;""'""))"),"#REF!")</f>
        <v>#REF!</v>
      </c>
    </row>
    <row r="1370">
      <c r="A1370" s="87" t="str">
        <f>IFERROR(__xludf.DUMMYFUNCTION("TRANSPOSE(QUERY('Cadastro VTR/SEÇÃO/MILITAR'!$E$3:$F2000,""SELECT F WHERE E LIKE '""&amp;'carga de materiais'!E1371&amp;""'""))"),"#REF!")</f>
        <v>#REF!</v>
      </c>
    </row>
    <row r="1371">
      <c r="A1371" s="87" t="str">
        <f>IFERROR(__xludf.DUMMYFUNCTION("TRANSPOSE(QUERY('Cadastro VTR/SEÇÃO/MILITAR'!$E$3:$F2000,""SELECT F WHERE E LIKE '""&amp;'carga de materiais'!E1372&amp;""'""))"),"#REF!")</f>
        <v>#REF!</v>
      </c>
    </row>
    <row r="1372">
      <c r="A1372" s="87" t="str">
        <f>IFERROR(__xludf.DUMMYFUNCTION("TRANSPOSE(QUERY('Cadastro VTR/SEÇÃO/MILITAR'!$E$3:$F2000,""SELECT F WHERE E LIKE '""&amp;'carga de materiais'!E1373&amp;""'""))"),"#REF!")</f>
        <v>#REF!</v>
      </c>
    </row>
    <row r="1373">
      <c r="A1373" s="87" t="str">
        <f>IFERROR(__xludf.DUMMYFUNCTION("TRANSPOSE(QUERY('Cadastro VTR/SEÇÃO/MILITAR'!$E$3:$F2000,""SELECT F WHERE E LIKE '""&amp;'carga de materiais'!E1374&amp;""'""))"),"#REF!")</f>
        <v>#REF!</v>
      </c>
    </row>
    <row r="1374">
      <c r="A1374" s="87" t="str">
        <f>IFERROR(__xludf.DUMMYFUNCTION("TRANSPOSE(QUERY('Cadastro VTR/SEÇÃO/MILITAR'!$E$3:$F2000,""SELECT F WHERE E LIKE '""&amp;'carga de materiais'!E1375&amp;""'""))"),"#REF!")</f>
        <v>#REF!</v>
      </c>
    </row>
    <row r="1375">
      <c r="A1375" s="87" t="str">
        <f>IFERROR(__xludf.DUMMYFUNCTION("TRANSPOSE(QUERY('Cadastro VTR/SEÇÃO/MILITAR'!$E$3:$F2000,""SELECT F WHERE E LIKE '""&amp;'carga de materiais'!E1376&amp;""'""))"),"#REF!")</f>
        <v>#REF!</v>
      </c>
    </row>
    <row r="1376">
      <c r="A1376" s="87" t="str">
        <f>IFERROR(__xludf.DUMMYFUNCTION("TRANSPOSE(QUERY('Cadastro VTR/SEÇÃO/MILITAR'!$E$3:$F2000,""SELECT F WHERE E LIKE '""&amp;'carga de materiais'!E1377&amp;""'""))"),"#REF!")</f>
        <v>#REF!</v>
      </c>
    </row>
    <row r="1377">
      <c r="A1377" s="87" t="str">
        <f>IFERROR(__xludf.DUMMYFUNCTION("TRANSPOSE(QUERY('Cadastro VTR/SEÇÃO/MILITAR'!$E$3:$F2000,""SELECT F WHERE E LIKE '""&amp;'carga de materiais'!E1378&amp;""'""))"),"#REF!")</f>
        <v>#REF!</v>
      </c>
    </row>
    <row r="1378">
      <c r="A1378" s="87" t="str">
        <f>IFERROR(__xludf.DUMMYFUNCTION("TRANSPOSE(QUERY('Cadastro VTR/SEÇÃO/MILITAR'!$E$3:$F2000,""SELECT F WHERE E LIKE '""&amp;'carga de materiais'!E1379&amp;""'""))"),"#REF!")</f>
        <v>#REF!</v>
      </c>
    </row>
    <row r="1379">
      <c r="A1379" s="87" t="str">
        <f>IFERROR(__xludf.DUMMYFUNCTION("TRANSPOSE(QUERY('Cadastro VTR/SEÇÃO/MILITAR'!$E$3:$F2000,""SELECT F WHERE E LIKE '""&amp;'carga de materiais'!E1380&amp;""'""))"),"#REF!")</f>
        <v>#REF!</v>
      </c>
    </row>
    <row r="1380">
      <c r="A1380" s="87" t="str">
        <f>IFERROR(__xludf.DUMMYFUNCTION("TRANSPOSE(QUERY('Cadastro VTR/SEÇÃO/MILITAR'!$E$3:$F2000,""SELECT F WHERE E LIKE '""&amp;'carga de materiais'!E1381&amp;""'""))"),"#REF!")</f>
        <v>#REF!</v>
      </c>
    </row>
    <row r="1381">
      <c r="A1381" s="87" t="str">
        <f>IFERROR(__xludf.DUMMYFUNCTION("TRANSPOSE(QUERY('Cadastro VTR/SEÇÃO/MILITAR'!$E$3:$F2000,""SELECT F WHERE E LIKE '""&amp;'carga de materiais'!E1382&amp;""'""))"),"#REF!")</f>
        <v>#REF!</v>
      </c>
    </row>
    <row r="1382">
      <c r="A1382" s="87" t="str">
        <f>IFERROR(__xludf.DUMMYFUNCTION("TRANSPOSE(QUERY('Cadastro VTR/SEÇÃO/MILITAR'!$E$3:$F2000,""SELECT F WHERE E LIKE '""&amp;'carga de materiais'!E1383&amp;""'""))"),"#REF!")</f>
        <v>#REF!</v>
      </c>
    </row>
    <row r="1383">
      <c r="A1383" s="87" t="str">
        <f>IFERROR(__xludf.DUMMYFUNCTION("TRANSPOSE(QUERY('Cadastro VTR/SEÇÃO/MILITAR'!$E$3:$F2000,""SELECT F WHERE E LIKE '""&amp;'carga de materiais'!E1384&amp;""'""))"),"#REF!")</f>
        <v>#REF!</v>
      </c>
    </row>
    <row r="1384">
      <c r="A1384" s="87" t="str">
        <f>IFERROR(__xludf.DUMMYFUNCTION("TRANSPOSE(QUERY('Cadastro VTR/SEÇÃO/MILITAR'!$E$3:$F2000,""SELECT F WHERE E LIKE '""&amp;'carga de materiais'!E1385&amp;""'""))"),"#REF!")</f>
        <v>#REF!</v>
      </c>
    </row>
    <row r="1385">
      <c r="A1385" s="87" t="str">
        <f>IFERROR(__xludf.DUMMYFUNCTION("TRANSPOSE(QUERY('Cadastro VTR/SEÇÃO/MILITAR'!$E$3:$F2000,""SELECT F WHERE E LIKE '""&amp;'carga de materiais'!E1386&amp;""'""))"),"#REF!")</f>
        <v>#REF!</v>
      </c>
    </row>
    <row r="1386">
      <c r="A1386" s="87" t="str">
        <f>IFERROR(__xludf.DUMMYFUNCTION("TRANSPOSE(QUERY('Cadastro VTR/SEÇÃO/MILITAR'!$E$3:$F2000,""SELECT F WHERE E LIKE '""&amp;'carga de materiais'!E1387&amp;""'""))"),"#REF!")</f>
        <v>#REF!</v>
      </c>
    </row>
    <row r="1387">
      <c r="A1387" s="87" t="str">
        <f>IFERROR(__xludf.DUMMYFUNCTION("TRANSPOSE(QUERY('Cadastro VTR/SEÇÃO/MILITAR'!$E$3:$F2000,""SELECT F WHERE E LIKE '""&amp;'carga de materiais'!E1388&amp;""'""))"),"#REF!")</f>
        <v>#REF!</v>
      </c>
    </row>
    <row r="1388">
      <c r="A1388" s="87" t="str">
        <f>IFERROR(__xludf.DUMMYFUNCTION("TRANSPOSE(QUERY('Cadastro VTR/SEÇÃO/MILITAR'!$E$3:$F2000,""SELECT F WHERE E LIKE '""&amp;'carga de materiais'!E1389&amp;""'""))"),"#REF!")</f>
        <v>#REF!</v>
      </c>
    </row>
    <row r="1389">
      <c r="A1389" s="87" t="str">
        <f>IFERROR(__xludf.DUMMYFUNCTION("TRANSPOSE(QUERY('Cadastro VTR/SEÇÃO/MILITAR'!$E$3:$F2000,""SELECT F WHERE E LIKE '""&amp;'carga de materiais'!E1390&amp;""'""))"),"#REF!")</f>
        <v>#REF!</v>
      </c>
    </row>
    <row r="1390">
      <c r="A1390" s="87" t="str">
        <f>IFERROR(__xludf.DUMMYFUNCTION("TRANSPOSE(QUERY('Cadastro VTR/SEÇÃO/MILITAR'!$E$3:$F2000,""SELECT F WHERE E LIKE '""&amp;'carga de materiais'!E1391&amp;""'""))"),"#REF!")</f>
        <v>#REF!</v>
      </c>
    </row>
    <row r="1391">
      <c r="A1391" s="87" t="str">
        <f>IFERROR(__xludf.DUMMYFUNCTION("TRANSPOSE(QUERY('Cadastro VTR/SEÇÃO/MILITAR'!$E$3:$F2000,""SELECT F WHERE E LIKE '""&amp;'carga de materiais'!E1392&amp;""'""))"),"#REF!")</f>
        <v>#REF!</v>
      </c>
    </row>
    <row r="1392">
      <c r="A1392" s="87" t="str">
        <f>IFERROR(__xludf.DUMMYFUNCTION("TRANSPOSE(QUERY('Cadastro VTR/SEÇÃO/MILITAR'!$E$3:$F2000,""SELECT F WHERE E LIKE '""&amp;'carga de materiais'!E1393&amp;""'""))"),"#REF!")</f>
        <v>#REF!</v>
      </c>
    </row>
    <row r="1393">
      <c r="A1393" s="87" t="str">
        <f>IFERROR(__xludf.DUMMYFUNCTION("TRANSPOSE(QUERY('Cadastro VTR/SEÇÃO/MILITAR'!$E$3:$F2000,""SELECT F WHERE E LIKE '""&amp;'carga de materiais'!E1394&amp;""'""))"),"#REF!")</f>
        <v>#REF!</v>
      </c>
    </row>
    <row r="1394">
      <c r="A1394" s="87" t="str">
        <f>IFERROR(__xludf.DUMMYFUNCTION("TRANSPOSE(QUERY('Cadastro VTR/SEÇÃO/MILITAR'!$E$3:$F2000,""SELECT F WHERE E LIKE '""&amp;'carga de materiais'!E1395&amp;""'""))"),"#REF!")</f>
        <v>#REF!</v>
      </c>
    </row>
    <row r="1395">
      <c r="A1395" s="87" t="str">
        <f>IFERROR(__xludf.DUMMYFUNCTION("TRANSPOSE(QUERY('Cadastro VTR/SEÇÃO/MILITAR'!$E$3:$F2000,""SELECT F WHERE E LIKE '""&amp;'carga de materiais'!E1396&amp;""'""))"),"#REF!")</f>
        <v>#REF!</v>
      </c>
    </row>
    <row r="1396">
      <c r="A1396" s="87" t="str">
        <f>IFERROR(__xludf.DUMMYFUNCTION("TRANSPOSE(QUERY('Cadastro VTR/SEÇÃO/MILITAR'!$E$3:$F2000,""SELECT F WHERE E LIKE '""&amp;'carga de materiais'!E1397&amp;""'""))"),"#REF!")</f>
        <v>#REF!</v>
      </c>
    </row>
    <row r="1397">
      <c r="A1397" s="87" t="str">
        <f>IFERROR(__xludf.DUMMYFUNCTION("TRANSPOSE(QUERY('Cadastro VTR/SEÇÃO/MILITAR'!$E$3:$F2000,""SELECT F WHERE E LIKE '""&amp;'carga de materiais'!E1398&amp;""'""))"),"#REF!")</f>
        <v>#REF!</v>
      </c>
    </row>
    <row r="1398">
      <c r="A1398" s="87" t="str">
        <f>IFERROR(__xludf.DUMMYFUNCTION("TRANSPOSE(QUERY('Cadastro VTR/SEÇÃO/MILITAR'!$E$3:$F2000,""SELECT F WHERE E LIKE '""&amp;'carga de materiais'!E1399&amp;""'""))"),"#REF!")</f>
        <v>#REF!</v>
      </c>
    </row>
    <row r="1399">
      <c r="A1399" s="87" t="str">
        <f>IFERROR(__xludf.DUMMYFUNCTION("TRANSPOSE(QUERY('Cadastro VTR/SEÇÃO/MILITAR'!$E$3:$F2000,""SELECT F WHERE E LIKE '""&amp;'carga de materiais'!E1400&amp;""'""))"),"#REF!")</f>
        <v>#REF!</v>
      </c>
    </row>
    <row r="1400">
      <c r="A1400" s="87" t="str">
        <f>IFERROR(__xludf.DUMMYFUNCTION("TRANSPOSE(QUERY('Cadastro VTR/SEÇÃO/MILITAR'!$E$3:$F2000,""SELECT F WHERE E LIKE '""&amp;'carga de materiais'!E1401&amp;""'""))"),"#REF!")</f>
        <v>#REF!</v>
      </c>
    </row>
    <row r="1401">
      <c r="A1401" s="87" t="str">
        <f>IFERROR(__xludf.DUMMYFUNCTION("TRANSPOSE(QUERY('Cadastro VTR/SEÇÃO/MILITAR'!$E$3:$F2000,""SELECT F WHERE E LIKE '""&amp;'carga de materiais'!E1402&amp;""'""))"),"#REF!")</f>
        <v>#REF!</v>
      </c>
    </row>
    <row r="1402">
      <c r="A1402" s="87" t="str">
        <f>IFERROR(__xludf.DUMMYFUNCTION("TRANSPOSE(QUERY('Cadastro VTR/SEÇÃO/MILITAR'!$E$3:$F2000,""SELECT F WHERE E LIKE '""&amp;'carga de materiais'!E1403&amp;""'""))"),"#REF!")</f>
        <v>#REF!</v>
      </c>
    </row>
    <row r="1403">
      <c r="A1403" s="87" t="str">
        <f>IFERROR(__xludf.DUMMYFUNCTION("TRANSPOSE(QUERY('Cadastro VTR/SEÇÃO/MILITAR'!$E$3:$F2000,""SELECT F WHERE E LIKE '""&amp;'carga de materiais'!E1404&amp;""'""))"),"#REF!")</f>
        <v>#REF!</v>
      </c>
    </row>
    <row r="1404">
      <c r="A1404" s="87" t="str">
        <f>IFERROR(__xludf.DUMMYFUNCTION("TRANSPOSE(QUERY('Cadastro VTR/SEÇÃO/MILITAR'!$E$3:$F2000,""SELECT F WHERE E LIKE '""&amp;'carga de materiais'!E1405&amp;""'""))"),"#REF!")</f>
        <v>#REF!</v>
      </c>
    </row>
    <row r="1405">
      <c r="A1405" s="87" t="str">
        <f>IFERROR(__xludf.DUMMYFUNCTION("TRANSPOSE(QUERY('Cadastro VTR/SEÇÃO/MILITAR'!$E$3:$F2000,""SELECT F WHERE E LIKE '""&amp;'carga de materiais'!E1406&amp;""'""))"),"#REF!")</f>
        <v>#REF!</v>
      </c>
    </row>
    <row r="1406">
      <c r="A1406" s="87" t="str">
        <f>IFERROR(__xludf.DUMMYFUNCTION("TRANSPOSE(QUERY('Cadastro VTR/SEÇÃO/MILITAR'!$E$3:$F2000,""SELECT F WHERE E LIKE '""&amp;'carga de materiais'!E1407&amp;""'""))"),"#REF!")</f>
        <v>#REF!</v>
      </c>
    </row>
    <row r="1407">
      <c r="A1407" s="87" t="str">
        <f>IFERROR(__xludf.DUMMYFUNCTION("TRANSPOSE(QUERY('Cadastro VTR/SEÇÃO/MILITAR'!$E$3:$F2000,""SELECT F WHERE E LIKE '""&amp;'carga de materiais'!E1408&amp;""'""))"),"#REF!")</f>
        <v>#REF!</v>
      </c>
    </row>
    <row r="1408">
      <c r="A1408" s="87" t="str">
        <f>IFERROR(__xludf.DUMMYFUNCTION("TRANSPOSE(QUERY('Cadastro VTR/SEÇÃO/MILITAR'!$E$3:$F2000,""SELECT F WHERE E LIKE '""&amp;'carga de materiais'!E1409&amp;""'""))"),"#REF!")</f>
        <v>#REF!</v>
      </c>
    </row>
    <row r="1409">
      <c r="A1409" s="87" t="str">
        <f>IFERROR(__xludf.DUMMYFUNCTION("TRANSPOSE(QUERY('Cadastro VTR/SEÇÃO/MILITAR'!$E$3:$F2000,""SELECT F WHERE E LIKE '""&amp;'carga de materiais'!E1410&amp;""'""))"),"#REF!")</f>
        <v>#REF!</v>
      </c>
    </row>
    <row r="1410">
      <c r="A1410" s="87" t="str">
        <f>IFERROR(__xludf.DUMMYFUNCTION("TRANSPOSE(QUERY('Cadastro VTR/SEÇÃO/MILITAR'!$E$3:$F2000,""SELECT F WHERE E LIKE '""&amp;'carga de materiais'!E1411&amp;""'""))"),"#REF!")</f>
        <v>#REF!</v>
      </c>
    </row>
    <row r="1411">
      <c r="A1411" s="87" t="str">
        <f>IFERROR(__xludf.DUMMYFUNCTION("TRANSPOSE(QUERY('Cadastro VTR/SEÇÃO/MILITAR'!$E$3:$F2000,""SELECT F WHERE E LIKE '""&amp;'carga de materiais'!E1412&amp;""'""))"),"#REF!")</f>
        <v>#REF!</v>
      </c>
    </row>
    <row r="1412">
      <c r="A1412" s="87" t="str">
        <f>IFERROR(__xludf.DUMMYFUNCTION("TRANSPOSE(QUERY('Cadastro VTR/SEÇÃO/MILITAR'!$E$3:$F2000,""SELECT F WHERE E LIKE '""&amp;'carga de materiais'!E1413&amp;""'""))"),"#REF!")</f>
        <v>#REF!</v>
      </c>
    </row>
    <row r="1413">
      <c r="A1413" s="87" t="str">
        <f>IFERROR(__xludf.DUMMYFUNCTION("TRANSPOSE(QUERY('Cadastro VTR/SEÇÃO/MILITAR'!$E$3:$F2000,""SELECT F WHERE E LIKE '""&amp;'carga de materiais'!E1414&amp;""'""))"),"#REF!")</f>
        <v>#REF!</v>
      </c>
    </row>
    <row r="1414">
      <c r="A1414" s="87" t="str">
        <f>IFERROR(__xludf.DUMMYFUNCTION("TRANSPOSE(QUERY('Cadastro VTR/SEÇÃO/MILITAR'!$E$3:$F2000,""SELECT F WHERE E LIKE '""&amp;'carga de materiais'!E1415&amp;""'""))"),"#REF!")</f>
        <v>#REF!</v>
      </c>
    </row>
    <row r="1415">
      <c r="A1415" s="87" t="str">
        <f>IFERROR(__xludf.DUMMYFUNCTION("TRANSPOSE(QUERY('Cadastro VTR/SEÇÃO/MILITAR'!$E$3:$F2000,""SELECT F WHERE E LIKE '""&amp;'carga de materiais'!E1416&amp;""'""))"),"#REF!")</f>
        <v>#REF!</v>
      </c>
    </row>
    <row r="1416">
      <c r="A1416" s="87" t="str">
        <f>IFERROR(__xludf.DUMMYFUNCTION("TRANSPOSE(QUERY('Cadastro VTR/SEÇÃO/MILITAR'!$E$3:$F2000,""SELECT F WHERE E LIKE '""&amp;'carga de materiais'!E1417&amp;""'""))"),"#REF!")</f>
        <v>#REF!</v>
      </c>
    </row>
    <row r="1417">
      <c r="A1417" s="87" t="str">
        <f>IFERROR(__xludf.DUMMYFUNCTION("TRANSPOSE(QUERY('Cadastro VTR/SEÇÃO/MILITAR'!$E$3:$F2000,""SELECT F WHERE E LIKE '""&amp;'carga de materiais'!E1418&amp;""'""))"),"#REF!")</f>
        <v>#REF!</v>
      </c>
    </row>
    <row r="1418">
      <c r="A1418" s="87" t="str">
        <f>IFERROR(__xludf.DUMMYFUNCTION("TRANSPOSE(QUERY('Cadastro VTR/SEÇÃO/MILITAR'!$E$3:$F2000,""SELECT F WHERE E LIKE '""&amp;'carga de materiais'!E1419&amp;""'""))"),"#REF!")</f>
        <v>#REF!</v>
      </c>
    </row>
    <row r="1419">
      <c r="A1419" s="87" t="str">
        <f>IFERROR(__xludf.DUMMYFUNCTION("TRANSPOSE(QUERY('Cadastro VTR/SEÇÃO/MILITAR'!$E$3:$F2000,""SELECT F WHERE E LIKE '""&amp;'carga de materiais'!E1420&amp;""'""))"),"#REF!")</f>
        <v>#REF!</v>
      </c>
    </row>
    <row r="1420">
      <c r="A1420" s="87" t="str">
        <f>IFERROR(__xludf.DUMMYFUNCTION("TRANSPOSE(QUERY('Cadastro VTR/SEÇÃO/MILITAR'!$E$3:$F2000,""SELECT F WHERE E LIKE '""&amp;'carga de materiais'!E1421&amp;""'""))"),"#REF!")</f>
        <v>#REF!</v>
      </c>
    </row>
    <row r="1421">
      <c r="A1421" s="87" t="str">
        <f>IFERROR(__xludf.DUMMYFUNCTION("TRANSPOSE(QUERY('Cadastro VTR/SEÇÃO/MILITAR'!$E$3:$F2000,""SELECT F WHERE E LIKE '""&amp;'carga de materiais'!E1422&amp;""'""))"),"#REF!")</f>
        <v>#REF!</v>
      </c>
    </row>
    <row r="1422">
      <c r="A1422" s="87" t="str">
        <f>IFERROR(__xludf.DUMMYFUNCTION("TRANSPOSE(QUERY('Cadastro VTR/SEÇÃO/MILITAR'!$E$3:$F2000,""SELECT F WHERE E LIKE '""&amp;'carga de materiais'!E1423&amp;""'""))"),"#REF!")</f>
        <v>#REF!</v>
      </c>
    </row>
    <row r="1423">
      <c r="A1423" s="87" t="str">
        <f>IFERROR(__xludf.DUMMYFUNCTION("TRANSPOSE(QUERY('Cadastro VTR/SEÇÃO/MILITAR'!$E$3:$F2000,""SELECT F WHERE E LIKE '""&amp;'carga de materiais'!E1424&amp;""'""))"),"#REF!")</f>
        <v>#REF!</v>
      </c>
    </row>
    <row r="1424">
      <c r="A1424" s="87" t="str">
        <f>IFERROR(__xludf.DUMMYFUNCTION("TRANSPOSE(QUERY('Cadastro VTR/SEÇÃO/MILITAR'!$E$3:$F2000,""SELECT F WHERE E LIKE '""&amp;'carga de materiais'!E1425&amp;""'""))"),"#REF!")</f>
        <v>#REF!</v>
      </c>
    </row>
    <row r="1425">
      <c r="A1425" s="87" t="str">
        <f>IFERROR(__xludf.DUMMYFUNCTION("TRANSPOSE(QUERY('Cadastro VTR/SEÇÃO/MILITAR'!$E$3:$F2000,""SELECT F WHERE E LIKE '""&amp;'carga de materiais'!E1426&amp;""'""))"),"#REF!")</f>
        <v>#REF!</v>
      </c>
    </row>
    <row r="1426">
      <c r="A1426" s="87" t="str">
        <f>IFERROR(__xludf.DUMMYFUNCTION("TRANSPOSE(QUERY('Cadastro VTR/SEÇÃO/MILITAR'!$E$3:$F2000,""SELECT F WHERE E LIKE '""&amp;'carga de materiais'!E1427&amp;""'""))"),"#REF!")</f>
        <v>#REF!</v>
      </c>
    </row>
    <row r="1427">
      <c r="A1427" s="87" t="str">
        <f>IFERROR(__xludf.DUMMYFUNCTION("TRANSPOSE(QUERY('Cadastro VTR/SEÇÃO/MILITAR'!$E$3:$F2000,""SELECT F WHERE E LIKE '""&amp;'carga de materiais'!E1428&amp;""'""))"),"#REF!")</f>
        <v>#REF!</v>
      </c>
    </row>
    <row r="1428">
      <c r="A1428" s="87" t="str">
        <f>IFERROR(__xludf.DUMMYFUNCTION("TRANSPOSE(QUERY('Cadastro VTR/SEÇÃO/MILITAR'!$E$3:$F2000,""SELECT F WHERE E LIKE '""&amp;'carga de materiais'!E1429&amp;""'""))"),"#REF!")</f>
        <v>#REF!</v>
      </c>
    </row>
    <row r="1429">
      <c r="A1429" s="87" t="str">
        <f>IFERROR(__xludf.DUMMYFUNCTION("TRANSPOSE(QUERY('Cadastro VTR/SEÇÃO/MILITAR'!$E$3:$F2000,""SELECT F WHERE E LIKE '""&amp;'carga de materiais'!E1430&amp;""'""))"),"#REF!")</f>
        <v>#REF!</v>
      </c>
    </row>
    <row r="1430">
      <c r="A1430" s="87" t="str">
        <f>IFERROR(__xludf.DUMMYFUNCTION("TRANSPOSE(QUERY('Cadastro VTR/SEÇÃO/MILITAR'!$E$3:$F2000,""SELECT F WHERE E LIKE '""&amp;'carga de materiais'!E1431&amp;""'""))"),"#REF!")</f>
        <v>#REF!</v>
      </c>
    </row>
    <row r="1431">
      <c r="A1431" s="87" t="str">
        <f>IFERROR(__xludf.DUMMYFUNCTION("TRANSPOSE(QUERY('Cadastro VTR/SEÇÃO/MILITAR'!$E$3:$F2000,""SELECT F WHERE E LIKE '""&amp;'carga de materiais'!E1432&amp;""'""))"),"#REF!")</f>
        <v>#REF!</v>
      </c>
    </row>
    <row r="1432">
      <c r="A1432" s="87" t="str">
        <f>IFERROR(__xludf.DUMMYFUNCTION("TRANSPOSE(QUERY('Cadastro VTR/SEÇÃO/MILITAR'!$E$3:$F2000,""SELECT F WHERE E LIKE '""&amp;'carga de materiais'!E1433&amp;""'""))"),"#REF!")</f>
        <v>#REF!</v>
      </c>
    </row>
    <row r="1433">
      <c r="A1433" s="87" t="str">
        <f>IFERROR(__xludf.DUMMYFUNCTION("TRANSPOSE(QUERY('Cadastro VTR/SEÇÃO/MILITAR'!$E$3:$F2000,""SELECT F WHERE E LIKE '""&amp;'carga de materiais'!E1434&amp;""'""))"),"#REF!")</f>
        <v>#REF!</v>
      </c>
    </row>
    <row r="1434">
      <c r="A1434" s="87" t="str">
        <f>IFERROR(__xludf.DUMMYFUNCTION("TRANSPOSE(QUERY('Cadastro VTR/SEÇÃO/MILITAR'!$E$3:$F2000,""SELECT F WHERE E LIKE '""&amp;'carga de materiais'!E1435&amp;""'""))"),"#REF!")</f>
        <v>#REF!</v>
      </c>
    </row>
    <row r="1435">
      <c r="A1435" s="87" t="str">
        <f>IFERROR(__xludf.DUMMYFUNCTION("TRANSPOSE(QUERY('Cadastro VTR/SEÇÃO/MILITAR'!$E$3:$F2000,""SELECT F WHERE E LIKE '""&amp;'carga de materiais'!E1436&amp;""'""))"),"#REF!")</f>
        <v>#REF!</v>
      </c>
    </row>
    <row r="1436">
      <c r="A1436" s="87" t="str">
        <f>IFERROR(__xludf.DUMMYFUNCTION("TRANSPOSE(QUERY('Cadastro VTR/SEÇÃO/MILITAR'!$E$3:$F2000,""SELECT F WHERE E LIKE '""&amp;'carga de materiais'!E1437&amp;""'""))"),"#REF!")</f>
        <v>#REF!</v>
      </c>
    </row>
    <row r="1437">
      <c r="A1437" s="87" t="str">
        <f>IFERROR(__xludf.DUMMYFUNCTION("TRANSPOSE(QUERY('Cadastro VTR/SEÇÃO/MILITAR'!$E$3:$F2000,""SELECT F WHERE E LIKE '""&amp;'carga de materiais'!E1438&amp;""'""))"),"#REF!")</f>
        <v>#REF!</v>
      </c>
    </row>
    <row r="1438">
      <c r="A1438" s="87" t="str">
        <f>IFERROR(__xludf.DUMMYFUNCTION("TRANSPOSE(QUERY('Cadastro VTR/SEÇÃO/MILITAR'!$E$3:$F2000,""SELECT F WHERE E LIKE '""&amp;'carga de materiais'!E1439&amp;""'""))"),"#REF!")</f>
        <v>#REF!</v>
      </c>
    </row>
    <row r="1439">
      <c r="A1439" s="87" t="str">
        <f>IFERROR(__xludf.DUMMYFUNCTION("TRANSPOSE(QUERY('Cadastro VTR/SEÇÃO/MILITAR'!$E$3:$F2000,""SELECT F WHERE E LIKE '""&amp;'carga de materiais'!E1440&amp;""'""))"),"#REF!")</f>
        <v>#REF!</v>
      </c>
    </row>
    <row r="1440">
      <c r="A1440" s="87" t="str">
        <f>IFERROR(__xludf.DUMMYFUNCTION("TRANSPOSE(QUERY('Cadastro VTR/SEÇÃO/MILITAR'!$E$3:$F2000,""SELECT F WHERE E LIKE '""&amp;'carga de materiais'!E1441&amp;""'""))"),"#REF!")</f>
        <v>#REF!</v>
      </c>
    </row>
    <row r="1441">
      <c r="A1441" s="87" t="str">
        <f>IFERROR(__xludf.DUMMYFUNCTION("TRANSPOSE(QUERY('Cadastro VTR/SEÇÃO/MILITAR'!$E$3:$F2000,""SELECT F WHERE E LIKE '""&amp;'carga de materiais'!E1442&amp;""'""))"),"#REF!")</f>
        <v>#REF!</v>
      </c>
    </row>
    <row r="1442">
      <c r="A1442" s="87" t="str">
        <f>IFERROR(__xludf.DUMMYFUNCTION("TRANSPOSE(QUERY('Cadastro VTR/SEÇÃO/MILITAR'!$E$3:$F2000,""SELECT F WHERE E LIKE '""&amp;'carga de materiais'!E1443&amp;""'""))"),"#REF!")</f>
        <v>#REF!</v>
      </c>
    </row>
    <row r="1443">
      <c r="A1443" s="87" t="str">
        <f>IFERROR(__xludf.DUMMYFUNCTION("TRANSPOSE(QUERY('Cadastro VTR/SEÇÃO/MILITAR'!$E$3:$F2000,""SELECT F WHERE E LIKE '""&amp;'carga de materiais'!E1444&amp;""'""))"),"#REF!")</f>
        <v>#REF!</v>
      </c>
    </row>
    <row r="1444">
      <c r="A1444" s="87" t="str">
        <f>IFERROR(__xludf.DUMMYFUNCTION("TRANSPOSE(QUERY('Cadastro VTR/SEÇÃO/MILITAR'!$E$3:$F2000,""SELECT F WHERE E LIKE '""&amp;'carga de materiais'!E1445&amp;""'""))"),"#REF!")</f>
        <v>#REF!</v>
      </c>
    </row>
    <row r="1445">
      <c r="A1445" s="87" t="str">
        <f>IFERROR(__xludf.DUMMYFUNCTION("TRANSPOSE(QUERY('Cadastro VTR/SEÇÃO/MILITAR'!$E$3:$F2000,""SELECT F WHERE E LIKE '""&amp;'carga de materiais'!E1446&amp;""'""))"),"#REF!")</f>
        <v>#REF!</v>
      </c>
    </row>
    <row r="1446">
      <c r="A1446" s="87" t="str">
        <f>IFERROR(__xludf.DUMMYFUNCTION("TRANSPOSE(QUERY('Cadastro VTR/SEÇÃO/MILITAR'!$E$3:$F2000,""SELECT F WHERE E LIKE '""&amp;'carga de materiais'!E1447&amp;""'""))"),"#REF!")</f>
        <v>#REF!</v>
      </c>
    </row>
    <row r="1447">
      <c r="A1447" s="87" t="str">
        <f>IFERROR(__xludf.DUMMYFUNCTION("TRANSPOSE(QUERY('Cadastro VTR/SEÇÃO/MILITAR'!$E$3:$F2000,""SELECT F WHERE E LIKE '""&amp;'carga de materiais'!E1448&amp;""'""))"),"#REF!")</f>
        <v>#REF!</v>
      </c>
    </row>
    <row r="1448">
      <c r="A1448" s="87" t="str">
        <f>IFERROR(__xludf.DUMMYFUNCTION("TRANSPOSE(QUERY('Cadastro VTR/SEÇÃO/MILITAR'!$E$3:$F2000,""SELECT F WHERE E LIKE '""&amp;'carga de materiais'!E1449&amp;""'""))"),"#REF!")</f>
        <v>#REF!</v>
      </c>
    </row>
    <row r="1449">
      <c r="A1449" s="87" t="str">
        <f>IFERROR(__xludf.DUMMYFUNCTION("TRANSPOSE(QUERY('Cadastro VTR/SEÇÃO/MILITAR'!$E$3:$F2000,""SELECT F WHERE E LIKE '""&amp;'carga de materiais'!E1450&amp;""'""))"),"#REF!")</f>
        <v>#REF!</v>
      </c>
    </row>
    <row r="1450">
      <c r="A1450" s="87" t="str">
        <f>IFERROR(__xludf.DUMMYFUNCTION("TRANSPOSE(QUERY('Cadastro VTR/SEÇÃO/MILITAR'!$E$3:$F2000,""SELECT F WHERE E LIKE '""&amp;'carga de materiais'!E1451&amp;""'""))"),"#REF!")</f>
        <v>#REF!</v>
      </c>
    </row>
    <row r="1451">
      <c r="A1451" s="87" t="str">
        <f>IFERROR(__xludf.DUMMYFUNCTION("TRANSPOSE(QUERY('Cadastro VTR/SEÇÃO/MILITAR'!$E$3:$F2000,""SELECT F WHERE E LIKE '""&amp;'carga de materiais'!E1452&amp;""'""))"),"#REF!")</f>
        <v>#REF!</v>
      </c>
    </row>
    <row r="1452">
      <c r="A1452" s="87" t="str">
        <f>IFERROR(__xludf.DUMMYFUNCTION("TRANSPOSE(QUERY('Cadastro VTR/SEÇÃO/MILITAR'!$E$3:$F2000,""SELECT F WHERE E LIKE '""&amp;'carga de materiais'!E1453&amp;""'""))"),"#REF!")</f>
        <v>#REF!</v>
      </c>
    </row>
    <row r="1453">
      <c r="A1453" s="87" t="str">
        <f>IFERROR(__xludf.DUMMYFUNCTION("TRANSPOSE(QUERY('Cadastro VTR/SEÇÃO/MILITAR'!$E$3:$F2000,""SELECT F WHERE E LIKE '""&amp;'carga de materiais'!E1454&amp;""'""))"),"#REF!")</f>
        <v>#REF!</v>
      </c>
    </row>
    <row r="1454">
      <c r="A1454" s="87" t="str">
        <f>IFERROR(__xludf.DUMMYFUNCTION("TRANSPOSE(QUERY('Cadastro VTR/SEÇÃO/MILITAR'!$E$3:$F2000,""SELECT F WHERE E LIKE '""&amp;'carga de materiais'!E1455&amp;""'""))"),"#REF!")</f>
        <v>#REF!</v>
      </c>
    </row>
    <row r="1455">
      <c r="A1455" s="87" t="str">
        <f>IFERROR(__xludf.DUMMYFUNCTION("TRANSPOSE(QUERY('Cadastro VTR/SEÇÃO/MILITAR'!$E$3:$F2000,""SELECT F WHERE E LIKE '""&amp;'carga de materiais'!E1456&amp;""'""))"),"#REF!")</f>
        <v>#REF!</v>
      </c>
    </row>
    <row r="1456">
      <c r="A1456" s="87" t="str">
        <f>IFERROR(__xludf.DUMMYFUNCTION("TRANSPOSE(QUERY('Cadastro VTR/SEÇÃO/MILITAR'!$E$3:$F2000,""SELECT F WHERE E LIKE '""&amp;'carga de materiais'!E1457&amp;""'""))"),"#REF!")</f>
        <v>#REF!</v>
      </c>
    </row>
    <row r="1457">
      <c r="A1457" s="87" t="str">
        <f>IFERROR(__xludf.DUMMYFUNCTION("TRANSPOSE(QUERY('Cadastro VTR/SEÇÃO/MILITAR'!$E$3:$F2000,""SELECT F WHERE E LIKE '""&amp;'carga de materiais'!E1458&amp;""'""))"),"#REF!")</f>
        <v>#REF!</v>
      </c>
    </row>
    <row r="1458">
      <c r="A1458" s="87" t="str">
        <f>IFERROR(__xludf.DUMMYFUNCTION("TRANSPOSE(QUERY('Cadastro VTR/SEÇÃO/MILITAR'!$E$3:$F2000,""SELECT F WHERE E LIKE '""&amp;'carga de materiais'!E1459&amp;""'""))"),"#REF!")</f>
        <v>#REF!</v>
      </c>
    </row>
    <row r="1459">
      <c r="A1459" s="87" t="str">
        <f>IFERROR(__xludf.DUMMYFUNCTION("TRANSPOSE(QUERY('Cadastro VTR/SEÇÃO/MILITAR'!$E$3:$F2000,""SELECT F WHERE E LIKE '""&amp;'carga de materiais'!E1460&amp;""'""))"),"#REF!")</f>
        <v>#REF!</v>
      </c>
    </row>
    <row r="1460">
      <c r="A1460" s="87" t="str">
        <f>IFERROR(__xludf.DUMMYFUNCTION("TRANSPOSE(QUERY('Cadastro VTR/SEÇÃO/MILITAR'!$E$3:$F2000,""SELECT F WHERE E LIKE '""&amp;'carga de materiais'!E1461&amp;""'""))"),"#REF!")</f>
        <v>#REF!</v>
      </c>
    </row>
    <row r="1461">
      <c r="A1461" s="87" t="str">
        <f>IFERROR(__xludf.DUMMYFUNCTION("TRANSPOSE(QUERY('Cadastro VTR/SEÇÃO/MILITAR'!$E$3:$F2000,""SELECT F WHERE E LIKE '""&amp;'carga de materiais'!E1462&amp;""'""))"),"#REF!")</f>
        <v>#REF!</v>
      </c>
    </row>
    <row r="1462">
      <c r="A1462" s="87" t="str">
        <f>IFERROR(__xludf.DUMMYFUNCTION("TRANSPOSE(QUERY('Cadastro VTR/SEÇÃO/MILITAR'!$E$3:$F2000,""SELECT F WHERE E LIKE '""&amp;'carga de materiais'!E1463&amp;""'""))"),"#REF!")</f>
        <v>#REF!</v>
      </c>
    </row>
    <row r="1463">
      <c r="A1463" s="87" t="str">
        <f>IFERROR(__xludf.DUMMYFUNCTION("TRANSPOSE(QUERY('Cadastro VTR/SEÇÃO/MILITAR'!$E$3:$F2000,""SELECT F WHERE E LIKE '""&amp;'carga de materiais'!E1464&amp;""'""))"),"#REF!")</f>
        <v>#REF!</v>
      </c>
    </row>
    <row r="1464">
      <c r="A1464" s="87" t="str">
        <f>IFERROR(__xludf.DUMMYFUNCTION("TRANSPOSE(QUERY('Cadastro VTR/SEÇÃO/MILITAR'!$E$3:$F2000,""SELECT F WHERE E LIKE '""&amp;'carga de materiais'!E1465&amp;""'""))"),"#REF!")</f>
        <v>#REF!</v>
      </c>
    </row>
    <row r="1465">
      <c r="A1465" s="87" t="str">
        <f>IFERROR(__xludf.DUMMYFUNCTION("TRANSPOSE(QUERY('Cadastro VTR/SEÇÃO/MILITAR'!$E$3:$F2000,""SELECT F WHERE E LIKE '""&amp;'carga de materiais'!E1466&amp;""'""))"),"#REF!")</f>
        <v>#REF!</v>
      </c>
    </row>
    <row r="1466">
      <c r="A1466" s="87" t="str">
        <f>IFERROR(__xludf.DUMMYFUNCTION("TRANSPOSE(QUERY('Cadastro VTR/SEÇÃO/MILITAR'!$E$3:$F2000,""SELECT F WHERE E LIKE '""&amp;'carga de materiais'!E1467&amp;""'""))"),"#REF!")</f>
        <v>#REF!</v>
      </c>
    </row>
    <row r="1467">
      <c r="A1467" s="87" t="str">
        <f>IFERROR(__xludf.DUMMYFUNCTION("TRANSPOSE(QUERY('Cadastro VTR/SEÇÃO/MILITAR'!$E$3:$F2000,""SELECT F WHERE E LIKE '""&amp;'carga de materiais'!E1468&amp;""'""))"),"#REF!")</f>
        <v>#REF!</v>
      </c>
    </row>
    <row r="1468">
      <c r="A1468" s="87" t="str">
        <f>IFERROR(__xludf.DUMMYFUNCTION("TRANSPOSE(QUERY('Cadastro VTR/SEÇÃO/MILITAR'!$E$3:$F2000,""SELECT F WHERE E LIKE '""&amp;'carga de materiais'!E1469&amp;""'""))"),"#REF!")</f>
        <v>#REF!</v>
      </c>
    </row>
    <row r="1469">
      <c r="A1469" s="87" t="str">
        <f>IFERROR(__xludf.DUMMYFUNCTION("TRANSPOSE(QUERY('Cadastro VTR/SEÇÃO/MILITAR'!$E$3:$F2000,""SELECT F WHERE E LIKE '""&amp;'carga de materiais'!E1470&amp;""'""))"),"#REF!")</f>
        <v>#REF!</v>
      </c>
    </row>
    <row r="1470">
      <c r="A1470" s="87" t="str">
        <f>IFERROR(__xludf.DUMMYFUNCTION("TRANSPOSE(QUERY('Cadastro VTR/SEÇÃO/MILITAR'!$E$3:$F2000,""SELECT F WHERE E LIKE '""&amp;'carga de materiais'!E1471&amp;""'""))"),"#REF!")</f>
        <v>#REF!</v>
      </c>
    </row>
    <row r="1471">
      <c r="A1471" s="87" t="str">
        <f>IFERROR(__xludf.DUMMYFUNCTION("TRANSPOSE(QUERY('Cadastro VTR/SEÇÃO/MILITAR'!$E$3:$F2000,""SELECT F WHERE E LIKE '""&amp;'carga de materiais'!E1472&amp;""'""))"),"#REF!")</f>
        <v>#REF!</v>
      </c>
    </row>
    <row r="1472">
      <c r="A1472" s="87" t="str">
        <f>IFERROR(__xludf.DUMMYFUNCTION("TRANSPOSE(QUERY('Cadastro VTR/SEÇÃO/MILITAR'!$E$3:$F2000,""SELECT F WHERE E LIKE '""&amp;'carga de materiais'!E1473&amp;""'""))"),"#REF!")</f>
        <v>#REF!</v>
      </c>
    </row>
    <row r="1473">
      <c r="A1473" s="87" t="str">
        <f>IFERROR(__xludf.DUMMYFUNCTION("TRANSPOSE(QUERY('Cadastro VTR/SEÇÃO/MILITAR'!$E$3:$F2000,""SELECT F WHERE E LIKE '""&amp;'carga de materiais'!E1474&amp;""'""))"),"#REF!")</f>
        <v>#REF!</v>
      </c>
    </row>
    <row r="1474">
      <c r="A1474" s="87" t="str">
        <f>IFERROR(__xludf.DUMMYFUNCTION("TRANSPOSE(QUERY('Cadastro VTR/SEÇÃO/MILITAR'!$E$3:$F2000,""SELECT F WHERE E LIKE '""&amp;'carga de materiais'!E1475&amp;""'""))"),"#REF!")</f>
        <v>#REF!</v>
      </c>
    </row>
    <row r="1475">
      <c r="A1475" s="87" t="str">
        <f>IFERROR(__xludf.DUMMYFUNCTION("TRANSPOSE(QUERY('Cadastro VTR/SEÇÃO/MILITAR'!$E$3:$F2000,""SELECT F WHERE E LIKE '""&amp;'carga de materiais'!E1476&amp;""'""))"),"#REF!")</f>
        <v>#REF!</v>
      </c>
    </row>
    <row r="1476">
      <c r="A1476" s="87" t="str">
        <f>IFERROR(__xludf.DUMMYFUNCTION("TRANSPOSE(QUERY('Cadastro VTR/SEÇÃO/MILITAR'!$E$3:$F2000,""SELECT F WHERE E LIKE '""&amp;'carga de materiais'!E1477&amp;""'""))"),"#REF!")</f>
        <v>#REF!</v>
      </c>
    </row>
    <row r="1477">
      <c r="A1477" s="87" t="str">
        <f>IFERROR(__xludf.DUMMYFUNCTION("TRANSPOSE(QUERY('Cadastro VTR/SEÇÃO/MILITAR'!$E$3:$F2000,""SELECT F WHERE E LIKE '""&amp;'carga de materiais'!E1478&amp;""'""))"),"#REF!")</f>
        <v>#REF!</v>
      </c>
    </row>
    <row r="1478">
      <c r="A1478" s="87" t="str">
        <f>IFERROR(__xludf.DUMMYFUNCTION("TRANSPOSE(QUERY('Cadastro VTR/SEÇÃO/MILITAR'!$E$3:$F2000,""SELECT F WHERE E LIKE '""&amp;'carga de materiais'!E1479&amp;""'""))"),"#REF!")</f>
        <v>#REF!</v>
      </c>
    </row>
    <row r="1479">
      <c r="A1479" s="87" t="str">
        <f>IFERROR(__xludf.DUMMYFUNCTION("TRANSPOSE(QUERY('Cadastro VTR/SEÇÃO/MILITAR'!$E$3:$F2000,""SELECT F WHERE E LIKE '""&amp;'carga de materiais'!E1480&amp;""'""))"),"#REF!")</f>
        <v>#REF!</v>
      </c>
    </row>
    <row r="1480">
      <c r="A1480" s="87" t="str">
        <f>IFERROR(__xludf.DUMMYFUNCTION("TRANSPOSE(QUERY('Cadastro VTR/SEÇÃO/MILITAR'!$E$3:$F2000,""SELECT F WHERE E LIKE '""&amp;'carga de materiais'!E1481&amp;""'""))"),"#REF!")</f>
        <v>#REF!</v>
      </c>
    </row>
    <row r="1481">
      <c r="A1481" s="87" t="str">
        <f>IFERROR(__xludf.DUMMYFUNCTION("TRANSPOSE(QUERY('Cadastro VTR/SEÇÃO/MILITAR'!$E$3:$F2000,""SELECT F WHERE E LIKE '""&amp;'carga de materiais'!E1482&amp;""'""))"),"#REF!")</f>
        <v>#REF!</v>
      </c>
    </row>
    <row r="1482">
      <c r="A1482" s="87" t="str">
        <f>IFERROR(__xludf.DUMMYFUNCTION("TRANSPOSE(QUERY('Cadastro VTR/SEÇÃO/MILITAR'!$E$3:$F2000,""SELECT F WHERE E LIKE '""&amp;'carga de materiais'!E1483&amp;""'""))"),"#REF!")</f>
        <v>#REF!</v>
      </c>
    </row>
    <row r="1483">
      <c r="A1483" s="87" t="str">
        <f>IFERROR(__xludf.DUMMYFUNCTION("TRANSPOSE(QUERY('Cadastro VTR/SEÇÃO/MILITAR'!$E$3:$F2000,""SELECT F WHERE E LIKE '""&amp;'carga de materiais'!E1484&amp;""'""))"),"#REF!")</f>
        <v>#REF!</v>
      </c>
    </row>
    <row r="1484">
      <c r="A1484" s="87" t="str">
        <f>IFERROR(__xludf.DUMMYFUNCTION("TRANSPOSE(QUERY('Cadastro VTR/SEÇÃO/MILITAR'!$E$3:$F2000,""SELECT F WHERE E LIKE '""&amp;'carga de materiais'!E1485&amp;""'""))"),"#REF!")</f>
        <v>#REF!</v>
      </c>
    </row>
    <row r="1485">
      <c r="A1485" s="87" t="str">
        <f>IFERROR(__xludf.DUMMYFUNCTION("TRANSPOSE(QUERY('Cadastro VTR/SEÇÃO/MILITAR'!$E$3:$F2000,""SELECT F WHERE E LIKE '""&amp;'carga de materiais'!E1486&amp;""'""))"),"#REF!")</f>
        <v>#REF!</v>
      </c>
    </row>
    <row r="1486">
      <c r="A1486" s="87" t="str">
        <f>IFERROR(__xludf.DUMMYFUNCTION("TRANSPOSE(QUERY('Cadastro VTR/SEÇÃO/MILITAR'!$E$3:$F2000,""SELECT F WHERE E LIKE '""&amp;'carga de materiais'!E1487&amp;""'""))"),"#REF!")</f>
        <v>#REF!</v>
      </c>
    </row>
    <row r="1487">
      <c r="A1487" s="87" t="str">
        <f>IFERROR(__xludf.DUMMYFUNCTION("TRANSPOSE(QUERY('Cadastro VTR/SEÇÃO/MILITAR'!$E$3:$F2000,""SELECT F WHERE E LIKE '""&amp;'carga de materiais'!E1488&amp;""'""))"),"#REF!")</f>
        <v>#REF!</v>
      </c>
    </row>
    <row r="1488">
      <c r="A1488" s="87" t="str">
        <f>IFERROR(__xludf.DUMMYFUNCTION("TRANSPOSE(QUERY('Cadastro VTR/SEÇÃO/MILITAR'!$E$3:$F2000,""SELECT F WHERE E LIKE '""&amp;'carga de materiais'!E1489&amp;""'""))"),"#REF!")</f>
        <v>#REF!</v>
      </c>
    </row>
    <row r="1489">
      <c r="A1489" s="87" t="str">
        <f>IFERROR(__xludf.DUMMYFUNCTION("TRANSPOSE(QUERY('Cadastro VTR/SEÇÃO/MILITAR'!$E$3:$F2000,""SELECT F WHERE E LIKE '""&amp;'carga de materiais'!E1490&amp;""'""))"),"#REF!")</f>
        <v>#REF!</v>
      </c>
    </row>
    <row r="1490">
      <c r="A1490" s="87" t="str">
        <f>IFERROR(__xludf.DUMMYFUNCTION("TRANSPOSE(QUERY('Cadastro VTR/SEÇÃO/MILITAR'!$E$3:$F2000,""SELECT F WHERE E LIKE '""&amp;'carga de materiais'!E1491&amp;""'""))"),"#REF!")</f>
        <v>#REF!</v>
      </c>
    </row>
    <row r="1491">
      <c r="A1491" s="87" t="str">
        <f>IFERROR(__xludf.DUMMYFUNCTION("TRANSPOSE(QUERY('Cadastro VTR/SEÇÃO/MILITAR'!$E$3:$F2000,""SELECT F WHERE E LIKE '""&amp;'carga de materiais'!E1492&amp;""'""))"),"#REF!")</f>
        <v>#REF!</v>
      </c>
    </row>
    <row r="1492">
      <c r="A1492" s="87" t="str">
        <f>IFERROR(__xludf.DUMMYFUNCTION("TRANSPOSE(QUERY('Cadastro VTR/SEÇÃO/MILITAR'!$E$3:$F2000,""SELECT F WHERE E LIKE '""&amp;'carga de materiais'!E1493&amp;""'""))"),"#REF!")</f>
        <v>#REF!</v>
      </c>
    </row>
    <row r="1493">
      <c r="A1493" s="87" t="str">
        <f>IFERROR(__xludf.DUMMYFUNCTION("TRANSPOSE(QUERY('Cadastro VTR/SEÇÃO/MILITAR'!$E$3:$F2000,""SELECT F WHERE E LIKE '""&amp;'carga de materiais'!E1494&amp;""'""))"),"#REF!")</f>
        <v>#REF!</v>
      </c>
    </row>
    <row r="1494">
      <c r="A1494" s="87" t="str">
        <f>IFERROR(__xludf.DUMMYFUNCTION("TRANSPOSE(QUERY('Cadastro VTR/SEÇÃO/MILITAR'!$E$3:$F2000,""SELECT F WHERE E LIKE '""&amp;'carga de materiais'!E1495&amp;""'""))"),"#REF!")</f>
        <v>#REF!</v>
      </c>
    </row>
    <row r="1495">
      <c r="A1495" s="87" t="str">
        <f>IFERROR(__xludf.DUMMYFUNCTION("TRANSPOSE(QUERY('Cadastro VTR/SEÇÃO/MILITAR'!$E$3:$F2000,""SELECT F WHERE E LIKE '""&amp;'carga de materiais'!E1496&amp;""'""))"),"#REF!")</f>
        <v>#REF!</v>
      </c>
    </row>
    <row r="1496">
      <c r="A1496" s="87" t="str">
        <f>IFERROR(__xludf.DUMMYFUNCTION("TRANSPOSE(QUERY('Cadastro VTR/SEÇÃO/MILITAR'!$E$3:$F2000,""SELECT F WHERE E LIKE '""&amp;'carga de materiais'!E1497&amp;""'""))"),"#REF!")</f>
        <v>#REF!</v>
      </c>
    </row>
    <row r="1497">
      <c r="A1497" s="87" t="str">
        <f>IFERROR(__xludf.DUMMYFUNCTION("TRANSPOSE(QUERY('Cadastro VTR/SEÇÃO/MILITAR'!$E$3:$F2000,""SELECT F WHERE E LIKE '""&amp;'carga de materiais'!E1498&amp;""'""))"),"#REF!")</f>
        <v>#REF!</v>
      </c>
    </row>
    <row r="1498">
      <c r="A1498" s="87" t="str">
        <f>IFERROR(__xludf.DUMMYFUNCTION("TRANSPOSE(QUERY('Cadastro VTR/SEÇÃO/MILITAR'!$E$3:$F2000,""SELECT F WHERE E LIKE '""&amp;'carga de materiais'!E1499&amp;""'""))"),"#REF!")</f>
        <v>#REF!</v>
      </c>
    </row>
    <row r="1499">
      <c r="A1499" s="87" t="str">
        <f>IFERROR(__xludf.DUMMYFUNCTION("TRANSPOSE(QUERY('Cadastro VTR/SEÇÃO/MILITAR'!$E$3:$F2000,""SELECT F WHERE E LIKE '""&amp;'carga de materiais'!E1500&amp;""'""))"),"#REF!")</f>
        <v>#REF!</v>
      </c>
    </row>
    <row r="1500">
      <c r="A1500" s="87" t="str">
        <f>IFERROR(__xludf.DUMMYFUNCTION("TRANSPOSE(QUERY('Cadastro VTR/SEÇÃO/MILITAR'!$E$3:$F2000,""SELECT F WHERE E LIKE '""&amp;'carga de materiais'!E1501&amp;""'""))"),"#REF!")</f>
        <v>#REF!</v>
      </c>
    </row>
    <row r="1501">
      <c r="A1501" s="87" t="str">
        <f>IFERROR(__xludf.DUMMYFUNCTION("TRANSPOSE(QUERY('Cadastro VTR/SEÇÃO/MILITAR'!$E$3:$F2000,""SELECT F WHERE E LIKE '""&amp;'carga de materiais'!E1502&amp;""'""))"),"#REF!")</f>
        <v>#REF!</v>
      </c>
    </row>
    <row r="1502">
      <c r="A1502" s="87" t="str">
        <f>IFERROR(__xludf.DUMMYFUNCTION("TRANSPOSE(QUERY('Cadastro VTR/SEÇÃO/MILITAR'!$E$3:$F2000,""SELECT F WHERE E LIKE '""&amp;'carga de materiais'!E1503&amp;""'""))"),"#REF!")</f>
        <v>#REF!</v>
      </c>
    </row>
    <row r="1503">
      <c r="A1503" s="87" t="str">
        <f>IFERROR(__xludf.DUMMYFUNCTION("TRANSPOSE(QUERY('Cadastro VTR/SEÇÃO/MILITAR'!$E$3:$F2000,""SELECT F WHERE E LIKE '""&amp;'carga de materiais'!E1504&amp;""'""))"),"#REF!")</f>
        <v>#REF!</v>
      </c>
    </row>
    <row r="1504">
      <c r="A1504" s="87" t="str">
        <f>IFERROR(__xludf.DUMMYFUNCTION("TRANSPOSE(QUERY('Cadastro VTR/SEÇÃO/MILITAR'!$E$3:$F2000,""SELECT F WHERE E LIKE '""&amp;'carga de materiais'!E1505&amp;""'""))"),"#REF!")</f>
        <v>#REF!</v>
      </c>
    </row>
    <row r="1505">
      <c r="A1505" s="87" t="str">
        <f>IFERROR(__xludf.DUMMYFUNCTION("TRANSPOSE(QUERY('Cadastro VTR/SEÇÃO/MILITAR'!$E$3:$F2000,""SELECT F WHERE E LIKE '""&amp;'carga de materiais'!E1506&amp;""'""))"),"#REF!")</f>
        <v>#REF!</v>
      </c>
    </row>
    <row r="1506">
      <c r="A1506" s="87" t="str">
        <f>IFERROR(__xludf.DUMMYFUNCTION("TRANSPOSE(QUERY('Cadastro VTR/SEÇÃO/MILITAR'!$E$3:$F2000,""SELECT F WHERE E LIKE '""&amp;'carga de materiais'!E1507&amp;""'""))"),"#REF!")</f>
        <v>#REF!</v>
      </c>
    </row>
    <row r="1507">
      <c r="A1507" s="87" t="str">
        <f>IFERROR(__xludf.DUMMYFUNCTION("TRANSPOSE(QUERY('Cadastro VTR/SEÇÃO/MILITAR'!$E$3:$F2000,""SELECT F WHERE E LIKE '""&amp;'carga de materiais'!E1508&amp;""'""))"),"#REF!")</f>
        <v>#REF!</v>
      </c>
    </row>
    <row r="1508">
      <c r="A1508" s="87" t="str">
        <f>IFERROR(__xludf.DUMMYFUNCTION("TRANSPOSE(QUERY('Cadastro VTR/SEÇÃO/MILITAR'!$E$3:$F2000,""SELECT F WHERE E LIKE '""&amp;'carga de materiais'!E1509&amp;""'""))"),"#REF!")</f>
        <v>#REF!</v>
      </c>
    </row>
    <row r="1509">
      <c r="A1509" s="87" t="str">
        <f>IFERROR(__xludf.DUMMYFUNCTION("TRANSPOSE(QUERY('Cadastro VTR/SEÇÃO/MILITAR'!$E$3:$F2000,""SELECT F WHERE E LIKE '""&amp;'carga de materiais'!E1510&amp;""'""))"),"#REF!")</f>
        <v>#REF!</v>
      </c>
    </row>
    <row r="1510">
      <c r="A1510" s="87" t="str">
        <f>IFERROR(__xludf.DUMMYFUNCTION("TRANSPOSE(QUERY('Cadastro VTR/SEÇÃO/MILITAR'!$E$3:$F2000,""SELECT F WHERE E LIKE '""&amp;'carga de materiais'!E1511&amp;""'""))"),"#REF!")</f>
        <v>#REF!</v>
      </c>
    </row>
    <row r="1511">
      <c r="A1511" s="87" t="str">
        <f>IFERROR(__xludf.DUMMYFUNCTION("TRANSPOSE(QUERY('Cadastro VTR/SEÇÃO/MILITAR'!$E$3:$F2000,""SELECT F WHERE E LIKE '""&amp;'carga de materiais'!E1512&amp;""'""))"),"#REF!")</f>
        <v>#REF!</v>
      </c>
    </row>
    <row r="1512">
      <c r="A1512" s="87" t="str">
        <f>IFERROR(__xludf.DUMMYFUNCTION("TRANSPOSE(QUERY('Cadastro VTR/SEÇÃO/MILITAR'!$E$3:$F2000,""SELECT F WHERE E LIKE '""&amp;'carga de materiais'!E1513&amp;""'""))"),"#REF!")</f>
        <v>#REF!</v>
      </c>
    </row>
    <row r="1513">
      <c r="A1513" s="87" t="str">
        <f>IFERROR(__xludf.DUMMYFUNCTION("TRANSPOSE(QUERY('Cadastro VTR/SEÇÃO/MILITAR'!$E$3:$F2000,""SELECT F WHERE E LIKE '""&amp;'carga de materiais'!E1514&amp;""'""))"),"#REF!")</f>
        <v>#REF!</v>
      </c>
    </row>
    <row r="1514">
      <c r="A1514" s="87" t="str">
        <f>IFERROR(__xludf.DUMMYFUNCTION("TRANSPOSE(QUERY('Cadastro VTR/SEÇÃO/MILITAR'!$E$3:$F2000,""SELECT F WHERE E LIKE '""&amp;'carga de materiais'!E1515&amp;""'""))"),"#REF!")</f>
        <v>#REF!</v>
      </c>
    </row>
    <row r="1515">
      <c r="A1515" s="87" t="str">
        <f>IFERROR(__xludf.DUMMYFUNCTION("TRANSPOSE(QUERY('Cadastro VTR/SEÇÃO/MILITAR'!$E$3:$F2000,""SELECT F WHERE E LIKE '""&amp;'carga de materiais'!E1516&amp;""'""))"),"#REF!")</f>
        <v>#REF!</v>
      </c>
    </row>
    <row r="1516">
      <c r="A1516" s="87" t="str">
        <f>IFERROR(__xludf.DUMMYFUNCTION("TRANSPOSE(QUERY('Cadastro VTR/SEÇÃO/MILITAR'!$E$3:$F2000,""SELECT F WHERE E LIKE '""&amp;'carga de materiais'!E1517&amp;""'""))"),"#REF!")</f>
        <v>#REF!</v>
      </c>
    </row>
    <row r="1517">
      <c r="A1517" s="87" t="str">
        <f>IFERROR(__xludf.DUMMYFUNCTION("TRANSPOSE(QUERY('Cadastro VTR/SEÇÃO/MILITAR'!$E$3:$F2000,""SELECT F WHERE E LIKE '""&amp;'carga de materiais'!E1518&amp;""'""))"),"#REF!")</f>
        <v>#REF!</v>
      </c>
    </row>
    <row r="1518">
      <c r="A1518" s="87" t="str">
        <f>IFERROR(__xludf.DUMMYFUNCTION("TRANSPOSE(QUERY('Cadastro VTR/SEÇÃO/MILITAR'!$E$3:$F2000,""SELECT F WHERE E LIKE '""&amp;'carga de materiais'!E1519&amp;""'""))"),"#REF!")</f>
        <v>#REF!</v>
      </c>
    </row>
    <row r="1519">
      <c r="A1519" s="87" t="str">
        <f>IFERROR(__xludf.DUMMYFUNCTION("TRANSPOSE(QUERY('Cadastro VTR/SEÇÃO/MILITAR'!$E$3:$F2000,""SELECT F WHERE E LIKE '""&amp;'carga de materiais'!E1520&amp;""'""))"),"#REF!")</f>
        <v>#REF!</v>
      </c>
    </row>
    <row r="1520">
      <c r="A1520" s="87" t="str">
        <f>IFERROR(__xludf.DUMMYFUNCTION("TRANSPOSE(QUERY('Cadastro VTR/SEÇÃO/MILITAR'!$E$3:$F2000,""SELECT F WHERE E LIKE '""&amp;'carga de materiais'!E1521&amp;""'""))"),"#REF!")</f>
        <v>#REF!</v>
      </c>
    </row>
    <row r="1521">
      <c r="A1521" s="87" t="str">
        <f>IFERROR(__xludf.DUMMYFUNCTION("TRANSPOSE(QUERY('Cadastro VTR/SEÇÃO/MILITAR'!$E$3:$F2000,""SELECT F WHERE E LIKE '""&amp;'carga de materiais'!E1522&amp;""'""))"),"#REF!")</f>
        <v>#REF!</v>
      </c>
    </row>
    <row r="1522">
      <c r="A1522" s="87" t="str">
        <f>IFERROR(__xludf.DUMMYFUNCTION("TRANSPOSE(QUERY('Cadastro VTR/SEÇÃO/MILITAR'!$E$3:$F2000,""SELECT F WHERE E LIKE '""&amp;'carga de materiais'!E1523&amp;""'""))"),"#REF!")</f>
        <v>#REF!</v>
      </c>
    </row>
    <row r="1523">
      <c r="A1523" s="87" t="str">
        <f>IFERROR(__xludf.DUMMYFUNCTION("TRANSPOSE(QUERY('Cadastro VTR/SEÇÃO/MILITAR'!$E$3:$F2000,""SELECT F WHERE E LIKE '""&amp;'carga de materiais'!E1524&amp;""'""))"),"#REF!")</f>
        <v>#REF!</v>
      </c>
    </row>
    <row r="1524">
      <c r="A1524" s="87" t="str">
        <f>IFERROR(__xludf.DUMMYFUNCTION("TRANSPOSE(QUERY('Cadastro VTR/SEÇÃO/MILITAR'!$E$3:$F2000,""SELECT F WHERE E LIKE '""&amp;'carga de materiais'!E1525&amp;""'""))"),"#REF!")</f>
        <v>#REF!</v>
      </c>
    </row>
    <row r="1525">
      <c r="A1525" s="87" t="str">
        <f>IFERROR(__xludf.DUMMYFUNCTION("TRANSPOSE(QUERY('Cadastro VTR/SEÇÃO/MILITAR'!$E$3:$F2000,""SELECT F WHERE E LIKE '""&amp;'carga de materiais'!E1526&amp;""'""))"),"#REF!")</f>
        <v>#REF!</v>
      </c>
    </row>
    <row r="1526">
      <c r="A1526" s="87" t="str">
        <f>IFERROR(__xludf.DUMMYFUNCTION("TRANSPOSE(QUERY('Cadastro VTR/SEÇÃO/MILITAR'!$E$3:$F2000,""SELECT F WHERE E LIKE '""&amp;'carga de materiais'!E1527&amp;""'""))"),"#REF!")</f>
        <v>#REF!</v>
      </c>
    </row>
    <row r="1527">
      <c r="A1527" s="87" t="str">
        <f>IFERROR(__xludf.DUMMYFUNCTION("TRANSPOSE(QUERY('Cadastro VTR/SEÇÃO/MILITAR'!$E$3:$F2000,""SELECT F WHERE E LIKE '""&amp;'carga de materiais'!E1528&amp;""'""))"),"#REF!")</f>
        <v>#REF!</v>
      </c>
    </row>
    <row r="1528">
      <c r="A1528" s="87" t="str">
        <f>IFERROR(__xludf.DUMMYFUNCTION("TRANSPOSE(QUERY('Cadastro VTR/SEÇÃO/MILITAR'!$E$3:$F2000,""SELECT F WHERE E LIKE '""&amp;'carga de materiais'!E1529&amp;""'""))"),"#REF!")</f>
        <v>#REF!</v>
      </c>
    </row>
    <row r="1529">
      <c r="A1529" s="87" t="str">
        <f>IFERROR(__xludf.DUMMYFUNCTION("TRANSPOSE(QUERY('Cadastro VTR/SEÇÃO/MILITAR'!$E$3:$F2000,""SELECT F WHERE E LIKE '""&amp;'carga de materiais'!E1530&amp;""'""))"),"#REF!")</f>
        <v>#REF!</v>
      </c>
    </row>
    <row r="1530">
      <c r="A1530" s="87" t="str">
        <f>IFERROR(__xludf.DUMMYFUNCTION("TRANSPOSE(QUERY('Cadastro VTR/SEÇÃO/MILITAR'!$E$3:$F2000,""SELECT F WHERE E LIKE '""&amp;'carga de materiais'!E1531&amp;""'""))"),"#REF!")</f>
        <v>#REF!</v>
      </c>
    </row>
    <row r="1531">
      <c r="A1531" s="87" t="str">
        <f>IFERROR(__xludf.DUMMYFUNCTION("TRANSPOSE(QUERY('Cadastro VTR/SEÇÃO/MILITAR'!$E$3:$F2000,""SELECT F WHERE E LIKE '""&amp;'carga de materiais'!E1532&amp;""'""))"),"#REF!")</f>
        <v>#REF!</v>
      </c>
    </row>
    <row r="1532">
      <c r="A1532" s="87" t="str">
        <f>IFERROR(__xludf.DUMMYFUNCTION("TRANSPOSE(QUERY('Cadastro VTR/SEÇÃO/MILITAR'!$E$3:$F2000,""SELECT F WHERE E LIKE '""&amp;'carga de materiais'!E1533&amp;""'""))"),"#REF!")</f>
        <v>#REF!</v>
      </c>
    </row>
    <row r="1533">
      <c r="A1533" s="87" t="str">
        <f>IFERROR(__xludf.DUMMYFUNCTION("TRANSPOSE(QUERY('Cadastro VTR/SEÇÃO/MILITAR'!$E$3:$F2000,""SELECT F WHERE E LIKE '""&amp;'carga de materiais'!E1534&amp;""'""))"),"#REF!")</f>
        <v>#REF!</v>
      </c>
    </row>
    <row r="1534">
      <c r="A1534" s="87" t="str">
        <f>IFERROR(__xludf.DUMMYFUNCTION("TRANSPOSE(QUERY('Cadastro VTR/SEÇÃO/MILITAR'!$E$3:$F2000,""SELECT F WHERE E LIKE '""&amp;'carga de materiais'!E1535&amp;""'""))"),"#REF!")</f>
        <v>#REF!</v>
      </c>
    </row>
    <row r="1535">
      <c r="A1535" s="87" t="str">
        <f>IFERROR(__xludf.DUMMYFUNCTION("TRANSPOSE(QUERY('Cadastro VTR/SEÇÃO/MILITAR'!$E$3:$F2000,""SELECT F WHERE E LIKE '""&amp;'carga de materiais'!E1536&amp;""'""))"),"#REF!")</f>
        <v>#REF!</v>
      </c>
    </row>
    <row r="1536">
      <c r="A1536" s="87" t="str">
        <f>IFERROR(__xludf.DUMMYFUNCTION("TRANSPOSE(QUERY('Cadastro VTR/SEÇÃO/MILITAR'!$E$3:$F2000,""SELECT F WHERE E LIKE '""&amp;'carga de materiais'!E1537&amp;""'""))"),"#REF!")</f>
        <v>#REF!</v>
      </c>
    </row>
    <row r="1537">
      <c r="A1537" s="87" t="str">
        <f>IFERROR(__xludf.DUMMYFUNCTION("TRANSPOSE(QUERY('Cadastro VTR/SEÇÃO/MILITAR'!$E$3:$F2000,""SELECT F WHERE E LIKE '""&amp;'carga de materiais'!E1538&amp;""'""))"),"#REF!")</f>
        <v>#REF!</v>
      </c>
    </row>
    <row r="1538">
      <c r="A1538" s="87" t="str">
        <f>IFERROR(__xludf.DUMMYFUNCTION("TRANSPOSE(QUERY('Cadastro VTR/SEÇÃO/MILITAR'!$E$3:$F2000,""SELECT F WHERE E LIKE '""&amp;'carga de materiais'!E1539&amp;""'""))"),"#REF!")</f>
        <v>#REF!</v>
      </c>
    </row>
    <row r="1539">
      <c r="A1539" s="87" t="str">
        <f>IFERROR(__xludf.DUMMYFUNCTION("TRANSPOSE(QUERY('Cadastro VTR/SEÇÃO/MILITAR'!$E$3:$F2000,""SELECT F WHERE E LIKE '""&amp;'carga de materiais'!E1540&amp;""'""))"),"#REF!")</f>
        <v>#REF!</v>
      </c>
    </row>
    <row r="1540">
      <c r="A1540" s="87" t="str">
        <f>IFERROR(__xludf.DUMMYFUNCTION("TRANSPOSE(QUERY('Cadastro VTR/SEÇÃO/MILITAR'!$E$3:$F2000,""SELECT F WHERE E LIKE '""&amp;'carga de materiais'!E1541&amp;""'""))"),"#REF!")</f>
        <v>#REF!</v>
      </c>
    </row>
    <row r="1541">
      <c r="A1541" s="87" t="str">
        <f>IFERROR(__xludf.DUMMYFUNCTION("TRANSPOSE(QUERY('Cadastro VTR/SEÇÃO/MILITAR'!$E$3:$F2000,""SELECT F WHERE E LIKE '""&amp;'carga de materiais'!E1542&amp;""'""))"),"#REF!")</f>
        <v>#REF!</v>
      </c>
    </row>
    <row r="1542">
      <c r="A1542" s="87" t="str">
        <f>IFERROR(__xludf.DUMMYFUNCTION("TRANSPOSE(QUERY('Cadastro VTR/SEÇÃO/MILITAR'!$E$3:$F2000,""SELECT F WHERE E LIKE '""&amp;'carga de materiais'!E1543&amp;""'""))"),"#REF!")</f>
        <v>#REF!</v>
      </c>
    </row>
    <row r="1543">
      <c r="A1543" s="87" t="str">
        <f>IFERROR(__xludf.DUMMYFUNCTION("TRANSPOSE(QUERY('Cadastro VTR/SEÇÃO/MILITAR'!$E$3:$F2000,""SELECT F WHERE E LIKE '""&amp;'carga de materiais'!E1544&amp;""'""))"),"#REF!")</f>
        <v>#REF!</v>
      </c>
    </row>
    <row r="1544">
      <c r="A1544" s="87" t="str">
        <f>IFERROR(__xludf.DUMMYFUNCTION("TRANSPOSE(QUERY('Cadastro VTR/SEÇÃO/MILITAR'!$E$3:$F2000,""SELECT F WHERE E LIKE '""&amp;'carga de materiais'!E1545&amp;""'""))"),"#REF!")</f>
        <v>#REF!</v>
      </c>
    </row>
    <row r="1545">
      <c r="A1545" s="87" t="str">
        <f>IFERROR(__xludf.DUMMYFUNCTION("TRANSPOSE(QUERY('Cadastro VTR/SEÇÃO/MILITAR'!$E$3:$F2000,""SELECT F WHERE E LIKE '""&amp;'carga de materiais'!E1546&amp;""'""))"),"#REF!")</f>
        <v>#REF!</v>
      </c>
    </row>
    <row r="1546">
      <c r="A1546" s="87" t="str">
        <f>IFERROR(__xludf.DUMMYFUNCTION("TRANSPOSE(QUERY('Cadastro VTR/SEÇÃO/MILITAR'!$E$3:$F2000,""SELECT F WHERE E LIKE '""&amp;'carga de materiais'!E1547&amp;""'""))"),"#REF!")</f>
        <v>#REF!</v>
      </c>
    </row>
    <row r="1547">
      <c r="A1547" s="87" t="str">
        <f>IFERROR(__xludf.DUMMYFUNCTION("TRANSPOSE(QUERY('Cadastro VTR/SEÇÃO/MILITAR'!$E$3:$F2000,""SELECT F WHERE E LIKE '""&amp;'carga de materiais'!E1548&amp;""'""))"),"#REF!")</f>
        <v>#REF!</v>
      </c>
    </row>
    <row r="1548">
      <c r="A1548" s="87" t="str">
        <f>IFERROR(__xludf.DUMMYFUNCTION("TRANSPOSE(QUERY('Cadastro VTR/SEÇÃO/MILITAR'!$E$3:$F2000,""SELECT F WHERE E LIKE '""&amp;'carga de materiais'!E1549&amp;""'""))"),"#REF!")</f>
        <v>#REF!</v>
      </c>
    </row>
    <row r="1549">
      <c r="A1549" s="87" t="str">
        <f>IFERROR(__xludf.DUMMYFUNCTION("TRANSPOSE(QUERY('Cadastro VTR/SEÇÃO/MILITAR'!$E$3:$F2000,""SELECT F WHERE E LIKE '""&amp;'carga de materiais'!E1550&amp;""'""))"),"#REF!")</f>
        <v>#REF!</v>
      </c>
    </row>
    <row r="1550">
      <c r="A1550" s="87" t="str">
        <f>IFERROR(__xludf.DUMMYFUNCTION("TRANSPOSE(QUERY('Cadastro VTR/SEÇÃO/MILITAR'!$E$3:$F2000,""SELECT F WHERE E LIKE '""&amp;'carga de materiais'!E1551&amp;""'""))"),"#REF!")</f>
        <v>#REF!</v>
      </c>
    </row>
    <row r="1551">
      <c r="A1551" s="87" t="str">
        <f>IFERROR(__xludf.DUMMYFUNCTION("TRANSPOSE(QUERY('Cadastro VTR/SEÇÃO/MILITAR'!$E$3:$F2000,""SELECT F WHERE E LIKE '""&amp;'carga de materiais'!E1552&amp;""'""))"),"#REF!")</f>
        <v>#REF!</v>
      </c>
    </row>
    <row r="1552">
      <c r="A1552" s="87" t="str">
        <f>IFERROR(__xludf.DUMMYFUNCTION("TRANSPOSE(QUERY('Cadastro VTR/SEÇÃO/MILITAR'!$E$3:$F2000,""SELECT F WHERE E LIKE '""&amp;'carga de materiais'!E1553&amp;""'""))"),"#REF!")</f>
        <v>#REF!</v>
      </c>
    </row>
    <row r="1553">
      <c r="A1553" s="87" t="str">
        <f>IFERROR(__xludf.DUMMYFUNCTION("TRANSPOSE(QUERY('Cadastro VTR/SEÇÃO/MILITAR'!$E$3:$F2000,""SELECT F WHERE E LIKE '""&amp;'carga de materiais'!E1554&amp;""'""))"),"#REF!")</f>
        <v>#REF!</v>
      </c>
    </row>
    <row r="1554">
      <c r="A1554" s="87" t="str">
        <f>IFERROR(__xludf.DUMMYFUNCTION("TRANSPOSE(QUERY('Cadastro VTR/SEÇÃO/MILITAR'!$E$3:$F2000,""SELECT F WHERE E LIKE '""&amp;'carga de materiais'!E1555&amp;""'""))"),"#REF!")</f>
        <v>#REF!</v>
      </c>
    </row>
    <row r="1555">
      <c r="A1555" s="87" t="str">
        <f>IFERROR(__xludf.DUMMYFUNCTION("TRANSPOSE(QUERY('Cadastro VTR/SEÇÃO/MILITAR'!$E$3:$F2000,""SELECT F WHERE E LIKE '""&amp;'carga de materiais'!E1556&amp;""'""))"),"#REF!")</f>
        <v>#REF!</v>
      </c>
    </row>
    <row r="1556">
      <c r="A1556" s="87" t="str">
        <f>IFERROR(__xludf.DUMMYFUNCTION("TRANSPOSE(QUERY('Cadastro VTR/SEÇÃO/MILITAR'!$E$3:$F2000,""SELECT F WHERE E LIKE '""&amp;'carga de materiais'!E1557&amp;""'""))"),"#REF!")</f>
        <v>#REF!</v>
      </c>
    </row>
    <row r="1557">
      <c r="A1557" s="87" t="str">
        <f>IFERROR(__xludf.DUMMYFUNCTION("TRANSPOSE(QUERY('Cadastro VTR/SEÇÃO/MILITAR'!$E$3:$F2000,""SELECT F WHERE E LIKE '""&amp;'carga de materiais'!E1558&amp;""'""))"),"#REF!")</f>
        <v>#REF!</v>
      </c>
    </row>
    <row r="1558">
      <c r="A1558" s="87" t="str">
        <f>IFERROR(__xludf.DUMMYFUNCTION("TRANSPOSE(QUERY('Cadastro VTR/SEÇÃO/MILITAR'!$E$3:$F2000,""SELECT F WHERE E LIKE '""&amp;'carga de materiais'!E1559&amp;""'""))"),"#REF!")</f>
        <v>#REF!</v>
      </c>
    </row>
    <row r="1559">
      <c r="A1559" s="87" t="str">
        <f>IFERROR(__xludf.DUMMYFUNCTION("TRANSPOSE(QUERY('Cadastro VTR/SEÇÃO/MILITAR'!$E$3:$F2000,""SELECT F WHERE E LIKE '""&amp;'carga de materiais'!E1560&amp;""'""))"),"#REF!")</f>
        <v>#REF!</v>
      </c>
    </row>
    <row r="1560">
      <c r="A1560" s="87" t="str">
        <f>IFERROR(__xludf.DUMMYFUNCTION("TRANSPOSE(QUERY('Cadastro VTR/SEÇÃO/MILITAR'!$E$3:$F2000,""SELECT F WHERE E LIKE '""&amp;'carga de materiais'!E1561&amp;""'""))"),"#REF!")</f>
        <v>#REF!</v>
      </c>
    </row>
    <row r="1561">
      <c r="A1561" s="87" t="str">
        <f>IFERROR(__xludf.DUMMYFUNCTION("TRANSPOSE(QUERY('Cadastro VTR/SEÇÃO/MILITAR'!$E$3:$F2000,""SELECT F WHERE E LIKE '""&amp;'carga de materiais'!E1562&amp;""'""))"),"#REF!")</f>
        <v>#REF!</v>
      </c>
    </row>
    <row r="1562">
      <c r="A1562" s="87" t="str">
        <f>IFERROR(__xludf.DUMMYFUNCTION("TRANSPOSE(QUERY('Cadastro VTR/SEÇÃO/MILITAR'!$E$3:$F2000,""SELECT F WHERE E LIKE '""&amp;'carga de materiais'!E1563&amp;""'""))"),"#REF!")</f>
        <v>#REF!</v>
      </c>
    </row>
    <row r="1563">
      <c r="A1563" s="87" t="str">
        <f>IFERROR(__xludf.DUMMYFUNCTION("TRANSPOSE(QUERY('Cadastro VTR/SEÇÃO/MILITAR'!$E$3:$F2000,""SELECT F WHERE E LIKE '""&amp;'carga de materiais'!E1564&amp;""'""))"),"#REF!")</f>
        <v>#REF!</v>
      </c>
    </row>
    <row r="1564">
      <c r="A1564" s="87" t="str">
        <f>IFERROR(__xludf.DUMMYFUNCTION("TRANSPOSE(QUERY('Cadastro VTR/SEÇÃO/MILITAR'!$E$3:$F2000,""SELECT F WHERE E LIKE '""&amp;'carga de materiais'!E1565&amp;""'""))"),"#REF!")</f>
        <v>#REF!</v>
      </c>
    </row>
    <row r="1565">
      <c r="A1565" s="87" t="str">
        <f>IFERROR(__xludf.DUMMYFUNCTION("TRANSPOSE(QUERY('Cadastro VTR/SEÇÃO/MILITAR'!$E$3:$F2000,""SELECT F WHERE E LIKE '""&amp;'carga de materiais'!E1566&amp;""'""))"),"#REF!")</f>
        <v>#REF!</v>
      </c>
    </row>
    <row r="1566">
      <c r="A1566" s="87" t="str">
        <f>IFERROR(__xludf.DUMMYFUNCTION("TRANSPOSE(QUERY('Cadastro VTR/SEÇÃO/MILITAR'!$E$3:$F2000,""SELECT F WHERE E LIKE '""&amp;'carga de materiais'!E1567&amp;""'""))"),"#REF!")</f>
        <v>#REF!</v>
      </c>
    </row>
    <row r="1567">
      <c r="A1567" s="87" t="str">
        <f>IFERROR(__xludf.DUMMYFUNCTION("TRANSPOSE(QUERY('Cadastro VTR/SEÇÃO/MILITAR'!$E$3:$F2000,""SELECT F WHERE E LIKE '""&amp;'carga de materiais'!E1568&amp;""'""))"),"#REF!")</f>
        <v>#REF!</v>
      </c>
    </row>
    <row r="1568">
      <c r="A1568" s="87" t="str">
        <f>IFERROR(__xludf.DUMMYFUNCTION("TRANSPOSE(QUERY('Cadastro VTR/SEÇÃO/MILITAR'!$E$3:$F2000,""SELECT F WHERE E LIKE '""&amp;'carga de materiais'!E1569&amp;""'""))"),"#REF!")</f>
        <v>#REF!</v>
      </c>
    </row>
    <row r="1569">
      <c r="A1569" s="87" t="str">
        <f>IFERROR(__xludf.DUMMYFUNCTION("TRANSPOSE(QUERY('Cadastro VTR/SEÇÃO/MILITAR'!$E$3:$F2000,""SELECT F WHERE E LIKE '""&amp;'carga de materiais'!E1570&amp;""'""))"),"#REF!")</f>
        <v>#REF!</v>
      </c>
    </row>
    <row r="1570">
      <c r="A1570" s="87" t="str">
        <f>IFERROR(__xludf.DUMMYFUNCTION("TRANSPOSE(QUERY('Cadastro VTR/SEÇÃO/MILITAR'!$E$3:$F2000,""SELECT F WHERE E LIKE '""&amp;'carga de materiais'!E1571&amp;""'""))"),"#REF!")</f>
        <v>#REF!</v>
      </c>
    </row>
    <row r="1571">
      <c r="A1571" s="87" t="str">
        <f>IFERROR(__xludf.DUMMYFUNCTION("TRANSPOSE(QUERY('Cadastro VTR/SEÇÃO/MILITAR'!$E$3:$F2000,""SELECT F WHERE E LIKE '""&amp;'carga de materiais'!E1572&amp;""'""))"),"#REF!")</f>
        <v>#REF!</v>
      </c>
    </row>
    <row r="1572">
      <c r="A1572" s="87" t="str">
        <f>IFERROR(__xludf.DUMMYFUNCTION("TRANSPOSE(QUERY('Cadastro VTR/SEÇÃO/MILITAR'!$E$3:$F2000,""SELECT F WHERE E LIKE '""&amp;'carga de materiais'!E1573&amp;""'""))"),"#REF!")</f>
        <v>#REF!</v>
      </c>
    </row>
    <row r="1573">
      <c r="A1573" s="87" t="str">
        <f>IFERROR(__xludf.DUMMYFUNCTION("TRANSPOSE(QUERY('Cadastro VTR/SEÇÃO/MILITAR'!$E$3:$F2000,""SELECT F WHERE E LIKE '""&amp;'carga de materiais'!E1574&amp;""'""))"),"#REF!")</f>
        <v>#REF!</v>
      </c>
    </row>
    <row r="1574">
      <c r="A1574" s="87" t="str">
        <f>IFERROR(__xludf.DUMMYFUNCTION("TRANSPOSE(QUERY('Cadastro VTR/SEÇÃO/MILITAR'!$E$3:$F2000,""SELECT F WHERE E LIKE '""&amp;'carga de materiais'!E1575&amp;""'""))"),"#REF!")</f>
        <v>#REF!</v>
      </c>
    </row>
    <row r="1575">
      <c r="A1575" s="87" t="str">
        <f>IFERROR(__xludf.DUMMYFUNCTION("TRANSPOSE(QUERY('Cadastro VTR/SEÇÃO/MILITAR'!$E$3:$F2000,""SELECT F WHERE E LIKE '""&amp;'carga de materiais'!E1576&amp;""'""))"),"#REF!")</f>
        <v>#REF!</v>
      </c>
    </row>
    <row r="1576">
      <c r="A1576" s="87" t="str">
        <f>IFERROR(__xludf.DUMMYFUNCTION("TRANSPOSE(QUERY('Cadastro VTR/SEÇÃO/MILITAR'!$E$3:$F2000,""SELECT F WHERE E LIKE '""&amp;'carga de materiais'!E1577&amp;""'""))"),"#REF!")</f>
        <v>#REF!</v>
      </c>
    </row>
    <row r="1577">
      <c r="A1577" s="87" t="str">
        <f>IFERROR(__xludf.DUMMYFUNCTION("TRANSPOSE(QUERY('Cadastro VTR/SEÇÃO/MILITAR'!$E$3:$F2000,""SELECT F WHERE E LIKE '""&amp;'carga de materiais'!E1578&amp;""'""))"),"#REF!")</f>
        <v>#REF!</v>
      </c>
    </row>
    <row r="1578">
      <c r="A1578" s="87" t="str">
        <f>IFERROR(__xludf.DUMMYFUNCTION("TRANSPOSE(QUERY('Cadastro VTR/SEÇÃO/MILITAR'!$E$3:$F2000,""SELECT F WHERE E LIKE '""&amp;'carga de materiais'!E1579&amp;""'""))"),"#REF!")</f>
        <v>#REF!</v>
      </c>
    </row>
    <row r="1579">
      <c r="A1579" s="87" t="str">
        <f>IFERROR(__xludf.DUMMYFUNCTION("TRANSPOSE(QUERY('Cadastro VTR/SEÇÃO/MILITAR'!$E$3:$F2000,""SELECT F WHERE E LIKE '""&amp;'carga de materiais'!E1580&amp;""'""))"),"#REF!")</f>
        <v>#REF!</v>
      </c>
    </row>
    <row r="1580">
      <c r="A1580" s="87" t="str">
        <f>IFERROR(__xludf.DUMMYFUNCTION("TRANSPOSE(QUERY('Cadastro VTR/SEÇÃO/MILITAR'!$E$3:$F2000,""SELECT F WHERE E LIKE '""&amp;'carga de materiais'!E1581&amp;""'""))"),"#REF!")</f>
        <v>#REF!</v>
      </c>
    </row>
    <row r="1581">
      <c r="A1581" s="87" t="str">
        <f>IFERROR(__xludf.DUMMYFUNCTION("TRANSPOSE(QUERY('Cadastro VTR/SEÇÃO/MILITAR'!$E$3:$F2000,""SELECT F WHERE E LIKE '""&amp;'carga de materiais'!E1582&amp;""'""))"),"#REF!")</f>
        <v>#REF!</v>
      </c>
    </row>
    <row r="1582">
      <c r="A1582" s="87" t="str">
        <f>IFERROR(__xludf.DUMMYFUNCTION("TRANSPOSE(QUERY('Cadastro VTR/SEÇÃO/MILITAR'!$E$3:$F2000,""SELECT F WHERE E LIKE '""&amp;'carga de materiais'!E1583&amp;""'""))"),"#REF!")</f>
        <v>#REF!</v>
      </c>
    </row>
    <row r="1583">
      <c r="A1583" s="87" t="str">
        <f>IFERROR(__xludf.DUMMYFUNCTION("TRANSPOSE(QUERY('Cadastro VTR/SEÇÃO/MILITAR'!$E$3:$F2000,""SELECT F WHERE E LIKE '""&amp;'carga de materiais'!E1584&amp;""'""))"),"#REF!")</f>
        <v>#REF!</v>
      </c>
    </row>
    <row r="1584">
      <c r="A1584" s="87" t="str">
        <f>IFERROR(__xludf.DUMMYFUNCTION("TRANSPOSE(QUERY('Cadastro VTR/SEÇÃO/MILITAR'!$E$3:$F2000,""SELECT F WHERE E LIKE '""&amp;'carga de materiais'!E1585&amp;""'""))"),"#REF!")</f>
        <v>#REF!</v>
      </c>
    </row>
    <row r="1585">
      <c r="A1585" s="87" t="str">
        <f>IFERROR(__xludf.DUMMYFUNCTION("TRANSPOSE(QUERY('Cadastro VTR/SEÇÃO/MILITAR'!$E$3:$F2000,""SELECT F WHERE E LIKE '""&amp;'carga de materiais'!E1586&amp;""'""))"),"#REF!")</f>
        <v>#REF!</v>
      </c>
    </row>
    <row r="1586">
      <c r="A1586" s="87" t="str">
        <f>IFERROR(__xludf.DUMMYFUNCTION("TRANSPOSE(QUERY('Cadastro VTR/SEÇÃO/MILITAR'!$E$3:$F2000,""SELECT F WHERE E LIKE '""&amp;'carga de materiais'!E1587&amp;""'""))"),"#REF!")</f>
        <v>#REF!</v>
      </c>
    </row>
    <row r="1587">
      <c r="A1587" s="87" t="str">
        <f>IFERROR(__xludf.DUMMYFUNCTION("TRANSPOSE(QUERY('Cadastro VTR/SEÇÃO/MILITAR'!$E$3:$F2000,""SELECT F WHERE E LIKE '""&amp;'carga de materiais'!E1588&amp;""'""))"),"#REF!")</f>
        <v>#REF!</v>
      </c>
    </row>
    <row r="1588">
      <c r="A1588" s="87" t="str">
        <f>IFERROR(__xludf.DUMMYFUNCTION("TRANSPOSE(QUERY('Cadastro VTR/SEÇÃO/MILITAR'!$E$3:$F2000,""SELECT F WHERE E LIKE '""&amp;'carga de materiais'!E1589&amp;""'""))"),"#REF!")</f>
        <v>#REF!</v>
      </c>
    </row>
    <row r="1589">
      <c r="A1589" s="87" t="str">
        <f>IFERROR(__xludf.DUMMYFUNCTION("TRANSPOSE(QUERY('Cadastro VTR/SEÇÃO/MILITAR'!$E$3:$F2000,""SELECT F WHERE E LIKE '""&amp;'carga de materiais'!E1590&amp;""'""))"),"#REF!")</f>
        <v>#REF!</v>
      </c>
    </row>
    <row r="1590">
      <c r="A1590" s="87" t="str">
        <f>IFERROR(__xludf.DUMMYFUNCTION("TRANSPOSE(QUERY('Cadastro VTR/SEÇÃO/MILITAR'!$E$3:$F2000,""SELECT F WHERE E LIKE '""&amp;'carga de materiais'!E1591&amp;""'""))"),"#REF!")</f>
        <v>#REF!</v>
      </c>
    </row>
    <row r="1591">
      <c r="A1591" s="87" t="str">
        <f>IFERROR(__xludf.DUMMYFUNCTION("TRANSPOSE(QUERY('Cadastro VTR/SEÇÃO/MILITAR'!$E$3:$F2000,""SELECT F WHERE E LIKE '""&amp;'carga de materiais'!E1592&amp;""'""))"),"#REF!")</f>
        <v>#REF!</v>
      </c>
    </row>
    <row r="1592">
      <c r="A1592" s="87" t="str">
        <f>IFERROR(__xludf.DUMMYFUNCTION("TRANSPOSE(QUERY('Cadastro VTR/SEÇÃO/MILITAR'!$E$3:$F2000,""SELECT F WHERE E LIKE '""&amp;'carga de materiais'!E1593&amp;""'""))"),"#REF!")</f>
        <v>#REF!</v>
      </c>
    </row>
    <row r="1593">
      <c r="A1593" s="87" t="str">
        <f>IFERROR(__xludf.DUMMYFUNCTION("TRANSPOSE(QUERY('Cadastro VTR/SEÇÃO/MILITAR'!$E$3:$F2000,""SELECT F WHERE E LIKE '""&amp;'carga de materiais'!E1594&amp;""'""))"),"#REF!")</f>
        <v>#REF!</v>
      </c>
    </row>
    <row r="1594">
      <c r="A1594" s="87" t="str">
        <f>IFERROR(__xludf.DUMMYFUNCTION("TRANSPOSE(QUERY('Cadastro VTR/SEÇÃO/MILITAR'!$E$3:$F2000,""SELECT F WHERE E LIKE '""&amp;'carga de materiais'!E1595&amp;""'""))"),"#REF!")</f>
        <v>#REF!</v>
      </c>
    </row>
    <row r="1595">
      <c r="A1595" s="87" t="str">
        <f>IFERROR(__xludf.DUMMYFUNCTION("TRANSPOSE(QUERY('Cadastro VTR/SEÇÃO/MILITAR'!$E$3:$F2000,""SELECT F WHERE E LIKE '""&amp;'carga de materiais'!E1596&amp;""'""))"),"#REF!")</f>
        <v>#REF!</v>
      </c>
    </row>
    <row r="1596">
      <c r="A1596" s="87" t="str">
        <f>IFERROR(__xludf.DUMMYFUNCTION("TRANSPOSE(QUERY('Cadastro VTR/SEÇÃO/MILITAR'!$E$3:$F2000,""SELECT F WHERE E LIKE '""&amp;'carga de materiais'!E1597&amp;""'""))"),"#REF!")</f>
        <v>#REF!</v>
      </c>
    </row>
    <row r="1597">
      <c r="A1597" s="87" t="str">
        <f>IFERROR(__xludf.DUMMYFUNCTION("TRANSPOSE(QUERY('Cadastro VTR/SEÇÃO/MILITAR'!$E$3:$F2000,""SELECT F WHERE E LIKE '""&amp;'carga de materiais'!E1598&amp;""'""))"),"#REF!")</f>
        <v>#REF!</v>
      </c>
    </row>
    <row r="1598">
      <c r="A1598" s="87" t="str">
        <f>IFERROR(__xludf.DUMMYFUNCTION("TRANSPOSE(QUERY('Cadastro VTR/SEÇÃO/MILITAR'!$E$3:$F2000,""SELECT F WHERE E LIKE '""&amp;'carga de materiais'!E1599&amp;""'""))"),"#REF!")</f>
        <v>#REF!</v>
      </c>
    </row>
    <row r="1599">
      <c r="A1599" s="87" t="str">
        <f>IFERROR(__xludf.DUMMYFUNCTION("TRANSPOSE(QUERY('Cadastro VTR/SEÇÃO/MILITAR'!$E$3:$F2000,""SELECT F WHERE E LIKE '""&amp;'carga de materiais'!E1600&amp;""'""))"),"#REF!")</f>
        <v>#REF!</v>
      </c>
    </row>
    <row r="1600">
      <c r="A1600" s="87" t="str">
        <f>IFERROR(__xludf.DUMMYFUNCTION("TRANSPOSE(QUERY('Cadastro VTR/SEÇÃO/MILITAR'!$E$3:$F2000,""SELECT F WHERE E LIKE '""&amp;'carga de materiais'!E1601&amp;""'""))"),"#REF!")</f>
        <v>#REF!</v>
      </c>
    </row>
    <row r="1601">
      <c r="A1601" s="87" t="str">
        <f>IFERROR(__xludf.DUMMYFUNCTION("TRANSPOSE(QUERY('Cadastro VTR/SEÇÃO/MILITAR'!$E$3:$F2000,""SELECT F WHERE E LIKE '""&amp;'carga de materiais'!E1602&amp;""'""))"),"#REF!")</f>
        <v>#REF!</v>
      </c>
    </row>
    <row r="1602">
      <c r="A1602" s="87" t="str">
        <f>IFERROR(__xludf.DUMMYFUNCTION("TRANSPOSE(QUERY('Cadastro VTR/SEÇÃO/MILITAR'!$E$3:$F2000,""SELECT F WHERE E LIKE '""&amp;'carga de materiais'!E1603&amp;""'""))"),"#REF!")</f>
        <v>#REF!</v>
      </c>
    </row>
    <row r="1603">
      <c r="A1603" s="87" t="str">
        <f>IFERROR(__xludf.DUMMYFUNCTION("TRANSPOSE(QUERY('Cadastro VTR/SEÇÃO/MILITAR'!$E$3:$F2000,""SELECT F WHERE E LIKE '""&amp;'carga de materiais'!E1604&amp;""'""))"),"#REF!")</f>
        <v>#REF!</v>
      </c>
    </row>
    <row r="1604">
      <c r="A1604" s="87" t="str">
        <f>IFERROR(__xludf.DUMMYFUNCTION("TRANSPOSE(QUERY('Cadastro VTR/SEÇÃO/MILITAR'!$E$3:$F2000,""SELECT F WHERE E LIKE '""&amp;'carga de materiais'!E1605&amp;""'""))"),"#REF!")</f>
        <v>#REF!</v>
      </c>
    </row>
    <row r="1605">
      <c r="A1605" s="87" t="str">
        <f>IFERROR(__xludf.DUMMYFUNCTION("TRANSPOSE(QUERY('Cadastro VTR/SEÇÃO/MILITAR'!$E$3:$F2000,""SELECT F WHERE E LIKE '""&amp;'carga de materiais'!E1606&amp;""'""))"),"#REF!")</f>
        <v>#REF!</v>
      </c>
    </row>
    <row r="1606">
      <c r="A1606" s="87" t="str">
        <f>IFERROR(__xludf.DUMMYFUNCTION("TRANSPOSE(QUERY('Cadastro VTR/SEÇÃO/MILITAR'!$E$3:$F2000,""SELECT F WHERE E LIKE '""&amp;'carga de materiais'!E1607&amp;""'""))"),"#REF!")</f>
        <v>#REF!</v>
      </c>
    </row>
    <row r="1607">
      <c r="A1607" s="87" t="str">
        <f>IFERROR(__xludf.DUMMYFUNCTION("TRANSPOSE(QUERY('Cadastro VTR/SEÇÃO/MILITAR'!$E$3:$F2000,""SELECT F WHERE E LIKE '""&amp;'carga de materiais'!E1608&amp;""'""))"),"#REF!")</f>
        <v>#REF!</v>
      </c>
    </row>
    <row r="1608">
      <c r="A1608" s="87" t="str">
        <f>IFERROR(__xludf.DUMMYFUNCTION("TRANSPOSE(QUERY('Cadastro VTR/SEÇÃO/MILITAR'!$E$3:$F2000,""SELECT F WHERE E LIKE '""&amp;'carga de materiais'!E1609&amp;""'""))"),"#REF!")</f>
        <v>#REF!</v>
      </c>
    </row>
    <row r="1609">
      <c r="A1609" s="87" t="str">
        <f>IFERROR(__xludf.DUMMYFUNCTION("TRANSPOSE(QUERY('Cadastro VTR/SEÇÃO/MILITAR'!$E$3:$F2000,""SELECT F WHERE E LIKE '""&amp;'carga de materiais'!E1610&amp;""'""))"),"#REF!")</f>
        <v>#REF!</v>
      </c>
    </row>
    <row r="1610">
      <c r="A1610" s="87" t="str">
        <f>IFERROR(__xludf.DUMMYFUNCTION("TRANSPOSE(QUERY('Cadastro VTR/SEÇÃO/MILITAR'!$E$3:$F2000,""SELECT F WHERE E LIKE '""&amp;'carga de materiais'!E1611&amp;""'""))"),"#REF!")</f>
        <v>#REF!</v>
      </c>
    </row>
    <row r="1611">
      <c r="A1611" s="87" t="str">
        <f>IFERROR(__xludf.DUMMYFUNCTION("TRANSPOSE(QUERY('Cadastro VTR/SEÇÃO/MILITAR'!$E$3:$F2000,""SELECT F WHERE E LIKE '""&amp;'carga de materiais'!E1612&amp;""'""))"),"#REF!")</f>
        <v>#REF!</v>
      </c>
    </row>
    <row r="1612">
      <c r="A1612" s="87" t="str">
        <f>IFERROR(__xludf.DUMMYFUNCTION("TRANSPOSE(QUERY('Cadastro VTR/SEÇÃO/MILITAR'!$E$3:$F2000,""SELECT F WHERE E LIKE '""&amp;'carga de materiais'!E1613&amp;""'""))"),"#REF!")</f>
        <v>#REF!</v>
      </c>
    </row>
    <row r="1613">
      <c r="A1613" s="87" t="str">
        <f>IFERROR(__xludf.DUMMYFUNCTION("TRANSPOSE(QUERY('Cadastro VTR/SEÇÃO/MILITAR'!$E$3:$F2000,""SELECT F WHERE E LIKE '""&amp;'carga de materiais'!E1614&amp;""'""))"),"#REF!")</f>
        <v>#REF!</v>
      </c>
    </row>
    <row r="1614">
      <c r="A1614" s="87" t="str">
        <f>IFERROR(__xludf.DUMMYFUNCTION("TRANSPOSE(QUERY('Cadastro VTR/SEÇÃO/MILITAR'!$E$3:$F2000,""SELECT F WHERE E LIKE '""&amp;'carga de materiais'!E1615&amp;""'""))"),"#REF!")</f>
        <v>#REF!</v>
      </c>
    </row>
    <row r="1615">
      <c r="A1615" s="87" t="str">
        <f>IFERROR(__xludf.DUMMYFUNCTION("TRANSPOSE(QUERY('Cadastro VTR/SEÇÃO/MILITAR'!$E$3:$F2000,""SELECT F WHERE E LIKE '""&amp;'carga de materiais'!E1616&amp;""'""))"),"#REF!")</f>
        <v>#REF!</v>
      </c>
    </row>
    <row r="1616">
      <c r="A1616" s="87" t="str">
        <f>IFERROR(__xludf.DUMMYFUNCTION("TRANSPOSE(QUERY('Cadastro VTR/SEÇÃO/MILITAR'!$E$3:$F2000,""SELECT F WHERE E LIKE '""&amp;'carga de materiais'!E1617&amp;""'""))"),"#REF!")</f>
        <v>#REF!</v>
      </c>
    </row>
    <row r="1617">
      <c r="A1617" s="87" t="str">
        <f>IFERROR(__xludf.DUMMYFUNCTION("TRANSPOSE(QUERY('Cadastro VTR/SEÇÃO/MILITAR'!$E$3:$F2000,""SELECT F WHERE E LIKE '""&amp;'carga de materiais'!E1618&amp;""'""))"),"#REF!")</f>
        <v>#REF!</v>
      </c>
    </row>
    <row r="1618">
      <c r="A1618" s="87" t="str">
        <f>IFERROR(__xludf.DUMMYFUNCTION("TRANSPOSE(QUERY('Cadastro VTR/SEÇÃO/MILITAR'!$E$3:$F2000,""SELECT F WHERE E LIKE '""&amp;'carga de materiais'!E1619&amp;""'""))"),"#REF!")</f>
        <v>#REF!</v>
      </c>
    </row>
    <row r="1619">
      <c r="A1619" s="87" t="str">
        <f>IFERROR(__xludf.DUMMYFUNCTION("TRANSPOSE(QUERY('Cadastro VTR/SEÇÃO/MILITAR'!$E$3:$F2000,""SELECT F WHERE E LIKE '""&amp;'carga de materiais'!E1620&amp;""'""))"),"#REF!")</f>
        <v>#REF!</v>
      </c>
    </row>
    <row r="1620">
      <c r="A1620" s="87" t="str">
        <f>IFERROR(__xludf.DUMMYFUNCTION("TRANSPOSE(QUERY('Cadastro VTR/SEÇÃO/MILITAR'!$E$3:$F2000,""SELECT F WHERE E LIKE '""&amp;'carga de materiais'!E1621&amp;""'""))"),"#REF!")</f>
        <v>#REF!</v>
      </c>
    </row>
    <row r="1621">
      <c r="A1621" s="87" t="str">
        <f>IFERROR(__xludf.DUMMYFUNCTION("TRANSPOSE(QUERY('Cadastro VTR/SEÇÃO/MILITAR'!$E$3:$F2000,""SELECT F WHERE E LIKE '""&amp;'carga de materiais'!E1622&amp;""'""))"),"#REF!")</f>
        <v>#REF!</v>
      </c>
    </row>
    <row r="1622">
      <c r="A1622" s="87" t="str">
        <f>IFERROR(__xludf.DUMMYFUNCTION("TRANSPOSE(QUERY('Cadastro VTR/SEÇÃO/MILITAR'!$E$3:$F2000,""SELECT F WHERE E LIKE '""&amp;'carga de materiais'!E1623&amp;""'""))"),"#REF!")</f>
        <v>#REF!</v>
      </c>
    </row>
    <row r="1623">
      <c r="A1623" s="87" t="str">
        <f>IFERROR(__xludf.DUMMYFUNCTION("TRANSPOSE(QUERY('Cadastro VTR/SEÇÃO/MILITAR'!$E$3:$F2000,""SELECT F WHERE E LIKE '""&amp;'carga de materiais'!E1624&amp;""'""))"),"#REF!")</f>
        <v>#REF!</v>
      </c>
    </row>
    <row r="1624">
      <c r="A1624" s="87" t="str">
        <f>IFERROR(__xludf.DUMMYFUNCTION("TRANSPOSE(QUERY('Cadastro VTR/SEÇÃO/MILITAR'!$E$3:$F2000,""SELECT F WHERE E LIKE '""&amp;'carga de materiais'!E1625&amp;""'""))"),"#REF!")</f>
        <v>#REF!</v>
      </c>
    </row>
    <row r="1625">
      <c r="A1625" s="87" t="str">
        <f>IFERROR(__xludf.DUMMYFUNCTION("TRANSPOSE(QUERY('Cadastro VTR/SEÇÃO/MILITAR'!$E$3:$F2000,""SELECT F WHERE E LIKE '""&amp;'carga de materiais'!E1626&amp;""'""))"),"#REF!")</f>
        <v>#REF!</v>
      </c>
    </row>
    <row r="1626">
      <c r="A1626" s="87" t="str">
        <f>IFERROR(__xludf.DUMMYFUNCTION("TRANSPOSE(QUERY('Cadastro VTR/SEÇÃO/MILITAR'!$E$3:$F2000,""SELECT F WHERE E LIKE '""&amp;'carga de materiais'!E1627&amp;""'""))"),"#REF!")</f>
        <v>#REF!</v>
      </c>
    </row>
    <row r="1627">
      <c r="A1627" s="87" t="str">
        <f>IFERROR(__xludf.DUMMYFUNCTION("TRANSPOSE(QUERY('Cadastro VTR/SEÇÃO/MILITAR'!$E$3:$F2000,""SELECT F WHERE E LIKE '""&amp;'carga de materiais'!E1628&amp;""'""))"),"#REF!")</f>
        <v>#REF!</v>
      </c>
    </row>
    <row r="1628">
      <c r="A1628" s="87" t="str">
        <f>IFERROR(__xludf.DUMMYFUNCTION("TRANSPOSE(QUERY('Cadastro VTR/SEÇÃO/MILITAR'!$E$3:$F2000,""SELECT F WHERE E LIKE '""&amp;'carga de materiais'!E1629&amp;""'""))"),"#REF!")</f>
        <v>#REF!</v>
      </c>
    </row>
    <row r="1629">
      <c r="A1629" s="87" t="str">
        <f>IFERROR(__xludf.DUMMYFUNCTION("TRANSPOSE(QUERY('Cadastro VTR/SEÇÃO/MILITAR'!$E$3:$F2000,""SELECT F WHERE E LIKE '""&amp;'carga de materiais'!E1630&amp;""'""))"),"#REF!")</f>
        <v>#REF!</v>
      </c>
    </row>
    <row r="1630">
      <c r="A1630" s="87" t="str">
        <f>IFERROR(__xludf.DUMMYFUNCTION("TRANSPOSE(QUERY('Cadastro VTR/SEÇÃO/MILITAR'!$E$3:$F2000,""SELECT F WHERE E LIKE '""&amp;'carga de materiais'!E1631&amp;""'""))"),"#REF!")</f>
        <v>#REF!</v>
      </c>
    </row>
    <row r="1631">
      <c r="A1631" s="87" t="str">
        <f>IFERROR(__xludf.DUMMYFUNCTION("TRANSPOSE(QUERY('Cadastro VTR/SEÇÃO/MILITAR'!$E$3:$F2000,""SELECT F WHERE E LIKE '""&amp;'carga de materiais'!E1632&amp;""'""))"),"#REF!")</f>
        <v>#REF!</v>
      </c>
    </row>
    <row r="1632">
      <c r="A1632" s="87" t="str">
        <f>IFERROR(__xludf.DUMMYFUNCTION("TRANSPOSE(QUERY('Cadastro VTR/SEÇÃO/MILITAR'!$E$3:$F2000,""SELECT F WHERE E LIKE '""&amp;'carga de materiais'!E1633&amp;""'""))"),"#REF!")</f>
        <v>#REF!</v>
      </c>
    </row>
    <row r="1633">
      <c r="A1633" s="87" t="str">
        <f>IFERROR(__xludf.DUMMYFUNCTION("TRANSPOSE(QUERY('Cadastro VTR/SEÇÃO/MILITAR'!$E$3:$F2000,""SELECT F WHERE E LIKE '""&amp;'carga de materiais'!E1634&amp;""'""))"),"#REF!")</f>
        <v>#REF!</v>
      </c>
    </row>
    <row r="1634">
      <c r="A1634" s="87" t="str">
        <f>IFERROR(__xludf.DUMMYFUNCTION("TRANSPOSE(QUERY('Cadastro VTR/SEÇÃO/MILITAR'!$E$3:$F2000,""SELECT F WHERE E LIKE '""&amp;'carga de materiais'!E1635&amp;""'""))"),"#REF!")</f>
        <v>#REF!</v>
      </c>
    </row>
    <row r="1635">
      <c r="A1635" s="87" t="str">
        <f>IFERROR(__xludf.DUMMYFUNCTION("TRANSPOSE(QUERY('Cadastro VTR/SEÇÃO/MILITAR'!$E$3:$F2000,""SELECT F WHERE E LIKE '""&amp;'carga de materiais'!E1636&amp;""'""))"),"#REF!")</f>
        <v>#REF!</v>
      </c>
    </row>
    <row r="1636">
      <c r="A1636" s="87" t="str">
        <f>IFERROR(__xludf.DUMMYFUNCTION("TRANSPOSE(QUERY('Cadastro VTR/SEÇÃO/MILITAR'!$E$3:$F2000,""SELECT F WHERE E LIKE '""&amp;'carga de materiais'!E1637&amp;""'""))"),"#REF!")</f>
        <v>#REF!</v>
      </c>
    </row>
    <row r="1637">
      <c r="A1637" s="87" t="str">
        <f>IFERROR(__xludf.DUMMYFUNCTION("TRANSPOSE(QUERY('Cadastro VTR/SEÇÃO/MILITAR'!$E$3:$F2000,""SELECT F WHERE E LIKE '""&amp;'carga de materiais'!E1638&amp;""'""))"),"#REF!")</f>
        <v>#REF!</v>
      </c>
    </row>
    <row r="1638">
      <c r="A1638" s="87" t="str">
        <f>IFERROR(__xludf.DUMMYFUNCTION("TRANSPOSE(QUERY('Cadastro VTR/SEÇÃO/MILITAR'!$E$3:$F2000,""SELECT F WHERE E LIKE '""&amp;'carga de materiais'!E1639&amp;""'""))"),"#REF!")</f>
        <v>#REF!</v>
      </c>
    </row>
    <row r="1639">
      <c r="A1639" s="87" t="str">
        <f>IFERROR(__xludf.DUMMYFUNCTION("TRANSPOSE(QUERY('Cadastro VTR/SEÇÃO/MILITAR'!$E$3:$F2000,""SELECT F WHERE E LIKE '""&amp;'carga de materiais'!E1640&amp;""'""))"),"#REF!")</f>
        <v>#REF!</v>
      </c>
    </row>
    <row r="1640">
      <c r="A1640" s="87" t="str">
        <f>IFERROR(__xludf.DUMMYFUNCTION("TRANSPOSE(QUERY('Cadastro VTR/SEÇÃO/MILITAR'!$E$3:$F2000,""SELECT F WHERE E LIKE '""&amp;'carga de materiais'!E1641&amp;""'""))"),"#REF!")</f>
        <v>#REF!</v>
      </c>
    </row>
    <row r="1641">
      <c r="A1641" s="87" t="str">
        <f>IFERROR(__xludf.DUMMYFUNCTION("TRANSPOSE(QUERY('Cadastro VTR/SEÇÃO/MILITAR'!$E$3:$F2000,""SELECT F WHERE E LIKE '""&amp;'carga de materiais'!E1642&amp;""'""))"),"#REF!")</f>
        <v>#REF!</v>
      </c>
    </row>
    <row r="1642">
      <c r="A1642" s="87" t="str">
        <f>IFERROR(__xludf.DUMMYFUNCTION("TRANSPOSE(QUERY('Cadastro VTR/SEÇÃO/MILITAR'!$E$3:$F2000,""SELECT F WHERE E LIKE '""&amp;'carga de materiais'!E1643&amp;""'""))"),"#REF!")</f>
        <v>#REF!</v>
      </c>
    </row>
    <row r="1643">
      <c r="A1643" s="87" t="str">
        <f>IFERROR(__xludf.DUMMYFUNCTION("TRANSPOSE(QUERY('Cadastro VTR/SEÇÃO/MILITAR'!$E$3:$F2000,""SELECT F WHERE E LIKE '""&amp;'carga de materiais'!E1644&amp;""'""))"),"#REF!")</f>
        <v>#REF!</v>
      </c>
    </row>
    <row r="1644">
      <c r="A1644" s="87" t="str">
        <f>IFERROR(__xludf.DUMMYFUNCTION("TRANSPOSE(QUERY('Cadastro VTR/SEÇÃO/MILITAR'!$E$3:$F2000,""SELECT F WHERE E LIKE '""&amp;'carga de materiais'!E1645&amp;""'""))"),"#REF!")</f>
        <v>#REF!</v>
      </c>
    </row>
    <row r="1645">
      <c r="A1645" s="87" t="str">
        <f>IFERROR(__xludf.DUMMYFUNCTION("TRANSPOSE(QUERY('Cadastro VTR/SEÇÃO/MILITAR'!$E$3:$F2000,""SELECT F WHERE E LIKE '""&amp;'carga de materiais'!E1646&amp;""'""))"),"#REF!")</f>
        <v>#REF!</v>
      </c>
    </row>
    <row r="1646">
      <c r="A1646" s="87" t="str">
        <f>IFERROR(__xludf.DUMMYFUNCTION("TRANSPOSE(QUERY('Cadastro VTR/SEÇÃO/MILITAR'!$E$3:$F2000,""SELECT F WHERE E LIKE '""&amp;'carga de materiais'!E1647&amp;""'""))"),"#REF!")</f>
        <v>#REF!</v>
      </c>
    </row>
    <row r="1647">
      <c r="A1647" s="87" t="str">
        <f>IFERROR(__xludf.DUMMYFUNCTION("TRANSPOSE(QUERY('Cadastro VTR/SEÇÃO/MILITAR'!$E$3:$F2000,""SELECT F WHERE E LIKE '""&amp;'carga de materiais'!E1648&amp;""'""))"),"#REF!")</f>
        <v>#REF!</v>
      </c>
    </row>
    <row r="1648">
      <c r="A1648" s="87" t="str">
        <f>IFERROR(__xludf.DUMMYFUNCTION("TRANSPOSE(QUERY('Cadastro VTR/SEÇÃO/MILITAR'!$E$3:$F2000,""SELECT F WHERE E LIKE '""&amp;'carga de materiais'!E1649&amp;""'""))"),"#REF!")</f>
        <v>#REF!</v>
      </c>
    </row>
    <row r="1649">
      <c r="A1649" s="87" t="str">
        <f>IFERROR(__xludf.DUMMYFUNCTION("TRANSPOSE(QUERY('Cadastro VTR/SEÇÃO/MILITAR'!$E$3:$F2000,""SELECT F WHERE E LIKE '""&amp;'carga de materiais'!E1650&amp;""'""))"),"#REF!")</f>
        <v>#REF!</v>
      </c>
    </row>
    <row r="1650">
      <c r="A1650" s="87" t="str">
        <f>IFERROR(__xludf.DUMMYFUNCTION("TRANSPOSE(QUERY('Cadastro VTR/SEÇÃO/MILITAR'!$E$3:$F2000,""SELECT F WHERE E LIKE '""&amp;'carga de materiais'!E1651&amp;""'""))"),"#REF!")</f>
        <v>#REF!</v>
      </c>
    </row>
    <row r="1651">
      <c r="A1651" s="87" t="str">
        <f>IFERROR(__xludf.DUMMYFUNCTION("TRANSPOSE(QUERY('Cadastro VTR/SEÇÃO/MILITAR'!$E$3:$F2000,""SELECT F WHERE E LIKE '""&amp;'carga de materiais'!E1652&amp;""'""))"),"#REF!")</f>
        <v>#REF!</v>
      </c>
    </row>
    <row r="1652">
      <c r="A1652" s="87" t="str">
        <f>IFERROR(__xludf.DUMMYFUNCTION("TRANSPOSE(QUERY('Cadastro VTR/SEÇÃO/MILITAR'!$E$3:$F2000,""SELECT F WHERE E LIKE '""&amp;'carga de materiais'!E1653&amp;""'""))"),"#REF!")</f>
        <v>#REF!</v>
      </c>
    </row>
    <row r="1653">
      <c r="A1653" s="87" t="str">
        <f>IFERROR(__xludf.DUMMYFUNCTION("TRANSPOSE(QUERY('Cadastro VTR/SEÇÃO/MILITAR'!$E$3:$F2000,""SELECT F WHERE E LIKE '""&amp;'carga de materiais'!E1654&amp;""'""))"),"#REF!")</f>
        <v>#REF!</v>
      </c>
    </row>
    <row r="1654">
      <c r="A1654" s="87" t="str">
        <f>IFERROR(__xludf.DUMMYFUNCTION("TRANSPOSE(QUERY('Cadastro VTR/SEÇÃO/MILITAR'!$E$3:$F2000,""SELECT F WHERE E LIKE '""&amp;'carga de materiais'!E1655&amp;""'""))"),"#REF!")</f>
        <v>#REF!</v>
      </c>
    </row>
    <row r="1655">
      <c r="A1655" s="87" t="str">
        <f>IFERROR(__xludf.DUMMYFUNCTION("TRANSPOSE(QUERY('Cadastro VTR/SEÇÃO/MILITAR'!$E$3:$F2000,""SELECT F WHERE E LIKE '""&amp;'carga de materiais'!E1656&amp;""'""))"),"#REF!")</f>
        <v>#REF!</v>
      </c>
    </row>
    <row r="1656">
      <c r="A1656" s="87" t="str">
        <f>IFERROR(__xludf.DUMMYFUNCTION("TRANSPOSE(QUERY('Cadastro VTR/SEÇÃO/MILITAR'!$E$3:$F2000,""SELECT F WHERE E LIKE '""&amp;'carga de materiais'!E1657&amp;""'""))"),"#REF!")</f>
        <v>#REF!</v>
      </c>
    </row>
    <row r="1657">
      <c r="A1657" s="87" t="str">
        <f>IFERROR(__xludf.DUMMYFUNCTION("TRANSPOSE(QUERY('Cadastro VTR/SEÇÃO/MILITAR'!$E$3:$F2000,""SELECT F WHERE E LIKE '""&amp;'carga de materiais'!E1658&amp;""'""))"),"#REF!")</f>
        <v>#REF!</v>
      </c>
    </row>
    <row r="1658">
      <c r="A1658" s="87" t="str">
        <f>IFERROR(__xludf.DUMMYFUNCTION("TRANSPOSE(QUERY('Cadastro VTR/SEÇÃO/MILITAR'!$E$3:$F2000,""SELECT F WHERE E LIKE '""&amp;'carga de materiais'!E1659&amp;""'""))"),"#REF!")</f>
        <v>#REF!</v>
      </c>
    </row>
    <row r="1659">
      <c r="A1659" s="87" t="str">
        <f>IFERROR(__xludf.DUMMYFUNCTION("TRANSPOSE(QUERY('Cadastro VTR/SEÇÃO/MILITAR'!$E$3:$F2000,""SELECT F WHERE E LIKE '""&amp;'carga de materiais'!E1660&amp;""'""))"),"#REF!")</f>
        <v>#REF!</v>
      </c>
    </row>
    <row r="1660">
      <c r="A1660" s="87" t="str">
        <f>IFERROR(__xludf.DUMMYFUNCTION("TRANSPOSE(QUERY('Cadastro VTR/SEÇÃO/MILITAR'!$E$3:$F2000,""SELECT F WHERE E LIKE '""&amp;'carga de materiais'!E1661&amp;""'""))"),"#REF!")</f>
        <v>#REF!</v>
      </c>
    </row>
    <row r="1661">
      <c r="A1661" s="87" t="str">
        <f>IFERROR(__xludf.DUMMYFUNCTION("TRANSPOSE(QUERY('Cadastro VTR/SEÇÃO/MILITAR'!$E$3:$F2000,""SELECT F WHERE E LIKE '""&amp;'carga de materiais'!E1662&amp;""'""))"),"#REF!")</f>
        <v>#REF!</v>
      </c>
    </row>
    <row r="1662">
      <c r="A1662" s="87" t="str">
        <f>IFERROR(__xludf.DUMMYFUNCTION("TRANSPOSE(QUERY('Cadastro VTR/SEÇÃO/MILITAR'!$E$3:$F2000,""SELECT F WHERE E LIKE '""&amp;'carga de materiais'!E1663&amp;""'""))"),"#REF!")</f>
        <v>#REF!</v>
      </c>
    </row>
    <row r="1663">
      <c r="A1663" s="87" t="str">
        <f>IFERROR(__xludf.DUMMYFUNCTION("TRANSPOSE(QUERY('Cadastro VTR/SEÇÃO/MILITAR'!$E$3:$F2000,""SELECT F WHERE E LIKE '""&amp;'carga de materiais'!E1664&amp;""'""))"),"#REF!")</f>
        <v>#REF!</v>
      </c>
    </row>
    <row r="1664">
      <c r="A1664" s="87" t="str">
        <f>IFERROR(__xludf.DUMMYFUNCTION("TRANSPOSE(QUERY('Cadastro VTR/SEÇÃO/MILITAR'!$E$3:$F2000,""SELECT F WHERE E LIKE '""&amp;'carga de materiais'!E1665&amp;""'""))"),"#REF!")</f>
        <v>#REF!</v>
      </c>
    </row>
    <row r="1665">
      <c r="A1665" s="87" t="str">
        <f>IFERROR(__xludf.DUMMYFUNCTION("TRANSPOSE(QUERY('Cadastro VTR/SEÇÃO/MILITAR'!$E$3:$F2000,""SELECT F WHERE E LIKE '""&amp;'carga de materiais'!E1666&amp;""'""))"),"#REF!")</f>
        <v>#REF!</v>
      </c>
    </row>
    <row r="1666">
      <c r="A1666" s="87" t="str">
        <f>IFERROR(__xludf.DUMMYFUNCTION("TRANSPOSE(QUERY('Cadastro VTR/SEÇÃO/MILITAR'!$E$3:$F2000,""SELECT F WHERE E LIKE '""&amp;'carga de materiais'!E1667&amp;""'""))"),"#REF!")</f>
        <v>#REF!</v>
      </c>
    </row>
    <row r="1667">
      <c r="A1667" s="87" t="str">
        <f>IFERROR(__xludf.DUMMYFUNCTION("TRANSPOSE(QUERY('Cadastro VTR/SEÇÃO/MILITAR'!$E$3:$F2000,""SELECT F WHERE E LIKE '""&amp;'carga de materiais'!E1668&amp;""'""))"),"#REF!")</f>
        <v>#REF!</v>
      </c>
    </row>
    <row r="1668">
      <c r="A1668" s="87" t="str">
        <f>IFERROR(__xludf.DUMMYFUNCTION("TRANSPOSE(QUERY('Cadastro VTR/SEÇÃO/MILITAR'!$E$3:$F2000,""SELECT F WHERE E LIKE '""&amp;'carga de materiais'!E1669&amp;""'""))"),"#REF!")</f>
        <v>#REF!</v>
      </c>
    </row>
    <row r="1669">
      <c r="A1669" s="87" t="str">
        <f>IFERROR(__xludf.DUMMYFUNCTION("TRANSPOSE(QUERY('Cadastro VTR/SEÇÃO/MILITAR'!$E$3:$F2000,""SELECT F WHERE E LIKE '""&amp;'carga de materiais'!E1670&amp;""'""))"),"#REF!")</f>
        <v>#REF!</v>
      </c>
    </row>
    <row r="1670">
      <c r="A1670" s="87" t="str">
        <f>IFERROR(__xludf.DUMMYFUNCTION("TRANSPOSE(QUERY('Cadastro VTR/SEÇÃO/MILITAR'!$E$3:$F2000,""SELECT F WHERE E LIKE '""&amp;'carga de materiais'!E1671&amp;""'""))"),"#REF!")</f>
        <v>#REF!</v>
      </c>
    </row>
    <row r="1671">
      <c r="A1671" s="87" t="str">
        <f>IFERROR(__xludf.DUMMYFUNCTION("TRANSPOSE(QUERY('Cadastro VTR/SEÇÃO/MILITAR'!$E$3:$F2000,""SELECT F WHERE E LIKE '""&amp;'carga de materiais'!E1672&amp;""'""))"),"#REF!")</f>
        <v>#REF!</v>
      </c>
    </row>
    <row r="1672">
      <c r="A1672" s="87" t="str">
        <f>IFERROR(__xludf.DUMMYFUNCTION("TRANSPOSE(QUERY('Cadastro VTR/SEÇÃO/MILITAR'!$E$3:$F2000,""SELECT F WHERE E LIKE '""&amp;'carga de materiais'!E1673&amp;""'""))"),"#REF!")</f>
        <v>#REF!</v>
      </c>
    </row>
    <row r="1673">
      <c r="A1673" s="87" t="str">
        <f>IFERROR(__xludf.DUMMYFUNCTION("TRANSPOSE(QUERY('Cadastro VTR/SEÇÃO/MILITAR'!$E$3:$F2000,""SELECT F WHERE E LIKE '""&amp;'carga de materiais'!E1674&amp;""'""))"),"#REF!")</f>
        <v>#REF!</v>
      </c>
    </row>
    <row r="1674">
      <c r="A1674" s="87" t="str">
        <f>IFERROR(__xludf.DUMMYFUNCTION("TRANSPOSE(QUERY('Cadastro VTR/SEÇÃO/MILITAR'!$E$3:$F2000,""SELECT F WHERE E LIKE '""&amp;'carga de materiais'!E1675&amp;""'""))"),"#REF!")</f>
        <v>#REF!</v>
      </c>
    </row>
    <row r="1675">
      <c r="A1675" s="87" t="str">
        <f>IFERROR(__xludf.DUMMYFUNCTION("TRANSPOSE(QUERY('Cadastro VTR/SEÇÃO/MILITAR'!$E$3:$F2000,""SELECT F WHERE E LIKE '""&amp;'carga de materiais'!E1676&amp;""'""))"),"#REF!")</f>
        <v>#REF!</v>
      </c>
    </row>
    <row r="1676">
      <c r="A1676" s="87" t="str">
        <f>IFERROR(__xludf.DUMMYFUNCTION("TRANSPOSE(QUERY('Cadastro VTR/SEÇÃO/MILITAR'!$E$3:$F2000,""SELECT F WHERE E LIKE '""&amp;'carga de materiais'!E1677&amp;""'""))"),"#REF!")</f>
        <v>#REF!</v>
      </c>
    </row>
    <row r="1677">
      <c r="A1677" s="87" t="str">
        <f>IFERROR(__xludf.DUMMYFUNCTION("TRANSPOSE(QUERY('Cadastro VTR/SEÇÃO/MILITAR'!$E$3:$F2000,""SELECT F WHERE E LIKE '""&amp;'carga de materiais'!E1678&amp;""'""))"),"#REF!")</f>
        <v>#REF!</v>
      </c>
    </row>
    <row r="1678">
      <c r="A1678" s="87" t="str">
        <f>IFERROR(__xludf.DUMMYFUNCTION("TRANSPOSE(QUERY('Cadastro VTR/SEÇÃO/MILITAR'!$E$3:$F2000,""SELECT F WHERE E LIKE '""&amp;'carga de materiais'!E1679&amp;""'""))"),"#REF!")</f>
        <v>#REF!</v>
      </c>
    </row>
    <row r="1679">
      <c r="A1679" s="87" t="str">
        <f>IFERROR(__xludf.DUMMYFUNCTION("TRANSPOSE(QUERY('Cadastro VTR/SEÇÃO/MILITAR'!$E$3:$F2000,""SELECT F WHERE E LIKE '""&amp;'carga de materiais'!E1680&amp;""'""))"),"#REF!")</f>
        <v>#REF!</v>
      </c>
    </row>
    <row r="1680">
      <c r="A1680" s="87" t="str">
        <f>IFERROR(__xludf.DUMMYFUNCTION("TRANSPOSE(QUERY('Cadastro VTR/SEÇÃO/MILITAR'!$E$3:$F2000,""SELECT F WHERE E LIKE '""&amp;'carga de materiais'!E1681&amp;""'""))"),"#REF!")</f>
        <v>#REF!</v>
      </c>
    </row>
    <row r="1681">
      <c r="A1681" s="87" t="str">
        <f>IFERROR(__xludf.DUMMYFUNCTION("TRANSPOSE(QUERY('Cadastro VTR/SEÇÃO/MILITAR'!$E$3:$F2000,""SELECT F WHERE E LIKE '""&amp;'carga de materiais'!E1682&amp;""'""))"),"#REF!")</f>
        <v>#REF!</v>
      </c>
    </row>
    <row r="1682">
      <c r="A1682" s="87" t="str">
        <f>IFERROR(__xludf.DUMMYFUNCTION("TRANSPOSE(QUERY('Cadastro VTR/SEÇÃO/MILITAR'!$E$3:$F2000,""SELECT F WHERE E LIKE '""&amp;'carga de materiais'!E1683&amp;""'""))"),"#REF!")</f>
        <v>#REF!</v>
      </c>
    </row>
    <row r="1683">
      <c r="A1683" s="87" t="str">
        <f>IFERROR(__xludf.DUMMYFUNCTION("TRANSPOSE(QUERY('Cadastro VTR/SEÇÃO/MILITAR'!$E$3:$F2000,""SELECT F WHERE E LIKE '""&amp;'carga de materiais'!E1684&amp;""'""))"),"#REF!")</f>
        <v>#REF!</v>
      </c>
    </row>
    <row r="1684">
      <c r="A1684" s="87" t="str">
        <f>IFERROR(__xludf.DUMMYFUNCTION("TRANSPOSE(QUERY('Cadastro VTR/SEÇÃO/MILITAR'!$E$3:$F2000,""SELECT F WHERE E LIKE '""&amp;'carga de materiais'!E1685&amp;""'""))"),"#REF!")</f>
        <v>#REF!</v>
      </c>
    </row>
    <row r="1685">
      <c r="A1685" s="87" t="str">
        <f>IFERROR(__xludf.DUMMYFUNCTION("TRANSPOSE(QUERY('Cadastro VTR/SEÇÃO/MILITAR'!$E$3:$F2000,""SELECT F WHERE E LIKE '""&amp;'carga de materiais'!E1686&amp;""'""))"),"#REF!")</f>
        <v>#REF!</v>
      </c>
    </row>
    <row r="1686">
      <c r="A1686" s="87" t="str">
        <f>IFERROR(__xludf.DUMMYFUNCTION("TRANSPOSE(QUERY('Cadastro VTR/SEÇÃO/MILITAR'!$E$3:$F2000,""SELECT F WHERE E LIKE '""&amp;'carga de materiais'!E1687&amp;""'""))"),"#REF!")</f>
        <v>#REF!</v>
      </c>
    </row>
    <row r="1687">
      <c r="A1687" s="87" t="str">
        <f>IFERROR(__xludf.DUMMYFUNCTION("TRANSPOSE(QUERY('Cadastro VTR/SEÇÃO/MILITAR'!$E$3:$F2000,""SELECT F WHERE E LIKE '""&amp;'carga de materiais'!E1688&amp;""'""))"),"#REF!")</f>
        <v>#REF!</v>
      </c>
    </row>
    <row r="1688">
      <c r="A1688" s="87" t="str">
        <f>IFERROR(__xludf.DUMMYFUNCTION("TRANSPOSE(QUERY('Cadastro VTR/SEÇÃO/MILITAR'!$E$3:$F2000,""SELECT F WHERE E LIKE '""&amp;'carga de materiais'!E1689&amp;""'""))"),"#REF!")</f>
        <v>#REF!</v>
      </c>
    </row>
    <row r="1689">
      <c r="A1689" s="87" t="str">
        <f>IFERROR(__xludf.DUMMYFUNCTION("TRANSPOSE(QUERY('Cadastro VTR/SEÇÃO/MILITAR'!$E$3:$F2000,""SELECT F WHERE E LIKE '""&amp;'carga de materiais'!E1690&amp;""'""))"),"#REF!")</f>
        <v>#REF!</v>
      </c>
    </row>
    <row r="1690">
      <c r="A1690" s="87" t="str">
        <f>IFERROR(__xludf.DUMMYFUNCTION("TRANSPOSE(QUERY('Cadastro VTR/SEÇÃO/MILITAR'!$E$3:$F2000,""SELECT F WHERE E LIKE '""&amp;'carga de materiais'!E1691&amp;""'""))"),"#REF!")</f>
        <v>#REF!</v>
      </c>
    </row>
    <row r="1691">
      <c r="A1691" s="87" t="str">
        <f>IFERROR(__xludf.DUMMYFUNCTION("TRANSPOSE(QUERY('Cadastro VTR/SEÇÃO/MILITAR'!$E$3:$F2000,""SELECT F WHERE E LIKE '""&amp;'carga de materiais'!E1692&amp;""'""))"),"#REF!")</f>
        <v>#REF!</v>
      </c>
    </row>
    <row r="1692">
      <c r="A1692" s="87" t="str">
        <f>IFERROR(__xludf.DUMMYFUNCTION("TRANSPOSE(QUERY('Cadastro VTR/SEÇÃO/MILITAR'!$E$3:$F2000,""SELECT F WHERE E LIKE '""&amp;'carga de materiais'!E1693&amp;""'""))"),"#REF!")</f>
        <v>#REF!</v>
      </c>
    </row>
    <row r="1693">
      <c r="A1693" s="87" t="str">
        <f>IFERROR(__xludf.DUMMYFUNCTION("TRANSPOSE(QUERY('Cadastro VTR/SEÇÃO/MILITAR'!$E$3:$F2000,""SELECT F WHERE E LIKE '""&amp;'carga de materiais'!E1694&amp;""'""))"),"#REF!")</f>
        <v>#REF!</v>
      </c>
    </row>
    <row r="1694">
      <c r="A1694" s="87" t="str">
        <f>IFERROR(__xludf.DUMMYFUNCTION("TRANSPOSE(QUERY('Cadastro VTR/SEÇÃO/MILITAR'!$E$3:$F2000,""SELECT F WHERE E LIKE '""&amp;'carga de materiais'!E1695&amp;""'""))"),"#REF!")</f>
        <v>#REF!</v>
      </c>
    </row>
    <row r="1695">
      <c r="A1695" s="87" t="str">
        <f>IFERROR(__xludf.DUMMYFUNCTION("TRANSPOSE(QUERY('Cadastro VTR/SEÇÃO/MILITAR'!$E$3:$F2000,""SELECT F WHERE E LIKE '""&amp;'carga de materiais'!E1696&amp;""'""))"),"#REF!")</f>
        <v>#REF!</v>
      </c>
    </row>
    <row r="1696">
      <c r="A1696" s="87" t="str">
        <f>IFERROR(__xludf.DUMMYFUNCTION("TRANSPOSE(QUERY('Cadastro VTR/SEÇÃO/MILITAR'!$E$3:$F2000,""SELECT F WHERE E LIKE '""&amp;'carga de materiais'!E1697&amp;""'""))"),"#REF!")</f>
        <v>#REF!</v>
      </c>
    </row>
    <row r="1697">
      <c r="A1697" s="87" t="str">
        <f>IFERROR(__xludf.DUMMYFUNCTION("TRANSPOSE(QUERY('Cadastro VTR/SEÇÃO/MILITAR'!$E$3:$F2000,""SELECT F WHERE E LIKE '""&amp;'carga de materiais'!E1698&amp;""'""))"),"#REF!")</f>
        <v>#REF!</v>
      </c>
    </row>
    <row r="1698">
      <c r="A1698" s="87" t="str">
        <f>IFERROR(__xludf.DUMMYFUNCTION("TRANSPOSE(QUERY('Cadastro VTR/SEÇÃO/MILITAR'!$E$3:$F2000,""SELECT F WHERE E LIKE '""&amp;'carga de materiais'!E1699&amp;""'""))"),"#REF!")</f>
        <v>#REF!</v>
      </c>
    </row>
    <row r="1699">
      <c r="A1699" s="87" t="str">
        <f>IFERROR(__xludf.DUMMYFUNCTION("TRANSPOSE(QUERY('Cadastro VTR/SEÇÃO/MILITAR'!$E$3:$F2000,""SELECT F WHERE E LIKE '""&amp;'carga de materiais'!E1700&amp;""'""))"),"#REF!")</f>
        <v>#REF!</v>
      </c>
    </row>
    <row r="1700">
      <c r="A1700" s="87" t="str">
        <f>IFERROR(__xludf.DUMMYFUNCTION("TRANSPOSE(QUERY('Cadastro VTR/SEÇÃO/MILITAR'!$E$3:$F2000,""SELECT F WHERE E LIKE '""&amp;'carga de materiais'!E1701&amp;""'""))"),"#REF!")</f>
        <v>#REF!</v>
      </c>
    </row>
    <row r="1701">
      <c r="A1701" s="87" t="str">
        <f>IFERROR(__xludf.DUMMYFUNCTION("TRANSPOSE(QUERY('Cadastro VTR/SEÇÃO/MILITAR'!$E$3:$F2000,""SELECT F WHERE E LIKE '""&amp;'carga de materiais'!E1702&amp;""'""))"),"#REF!")</f>
        <v>#REF!</v>
      </c>
    </row>
    <row r="1702">
      <c r="A1702" s="87" t="str">
        <f>IFERROR(__xludf.DUMMYFUNCTION("TRANSPOSE(QUERY('Cadastro VTR/SEÇÃO/MILITAR'!$E$3:$F2000,""SELECT F WHERE E LIKE '""&amp;'carga de materiais'!E1703&amp;""'""))"),"#REF!")</f>
        <v>#REF!</v>
      </c>
    </row>
    <row r="1703">
      <c r="A1703" s="87" t="str">
        <f>IFERROR(__xludf.DUMMYFUNCTION("TRANSPOSE(QUERY('Cadastro VTR/SEÇÃO/MILITAR'!$E$3:$F2000,""SELECT F WHERE E LIKE '""&amp;'carga de materiais'!E1704&amp;""'""))"),"#REF!")</f>
        <v>#REF!</v>
      </c>
    </row>
    <row r="1704">
      <c r="A1704" s="87" t="str">
        <f>IFERROR(__xludf.DUMMYFUNCTION("TRANSPOSE(QUERY('Cadastro VTR/SEÇÃO/MILITAR'!$E$3:$F2000,""SELECT F WHERE E LIKE '""&amp;'carga de materiais'!E1705&amp;""'""))"),"#REF!")</f>
        <v>#REF!</v>
      </c>
    </row>
    <row r="1705">
      <c r="A1705" s="87" t="str">
        <f>IFERROR(__xludf.DUMMYFUNCTION("TRANSPOSE(QUERY('Cadastro VTR/SEÇÃO/MILITAR'!$E$3:$F2000,""SELECT F WHERE E LIKE '""&amp;'carga de materiais'!E1706&amp;""'""))"),"#REF!")</f>
        <v>#REF!</v>
      </c>
    </row>
    <row r="1706">
      <c r="A1706" s="87" t="str">
        <f>IFERROR(__xludf.DUMMYFUNCTION("TRANSPOSE(QUERY('Cadastro VTR/SEÇÃO/MILITAR'!$E$3:$F2000,""SELECT F WHERE E LIKE '""&amp;'carga de materiais'!E1707&amp;""'""))"),"#REF!")</f>
        <v>#REF!</v>
      </c>
    </row>
    <row r="1707">
      <c r="A1707" s="87" t="str">
        <f>IFERROR(__xludf.DUMMYFUNCTION("TRANSPOSE(QUERY('Cadastro VTR/SEÇÃO/MILITAR'!$E$3:$F2000,""SELECT F WHERE E LIKE '""&amp;'carga de materiais'!E1708&amp;""'""))"),"#REF!")</f>
        <v>#REF!</v>
      </c>
    </row>
    <row r="1708">
      <c r="A1708" s="87" t="str">
        <f>IFERROR(__xludf.DUMMYFUNCTION("TRANSPOSE(QUERY('Cadastro VTR/SEÇÃO/MILITAR'!$E$3:$F2000,""SELECT F WHERE E LIKE '""&amp;'carga de materiais'!E1709&amp;""'""))"),"#REF!")</f>
        <v>#REF!</v>
      </c>
    </row>
    <row r="1709">
      <c r="A1709" s="87" t="str">
        <f>IFERROR(__xludf.DUMMYFUNCTION("TRANSPOSE(QUERY('Cadastro VTR/SEÇÃO/MILITAR'!$E$3:$F2000,""SELECT F WHERE E LIKE '""&amp;'carga de materiais'!E1710&amp;""'""))"),"#REF!")</f>
        <v>#REF!</v>
      </c>
    </row>
    <row r="1710">
      <c r="A1710" s="87" t="str">
        <f>IFERROR(__xludf.DUMMYFUNCTION("TRANSPOSE(QUERY('Cadastro VTR/SEÇÃO/MILITAR'!$E$3:$F2000,""SELECT F WHERE E LIKE '""&amp;'carga de materiais'!E1711&amp;""'""))"),"#REF!")</f>
        <v>#REF!</v>
      </c>
    </row>
    <row r="1711">
      <c r="A1711" s="87" t="str">
        <f>IFERROR(__xludf.DUMMYFUNCTION("TRANSPOSE(QUERY('Cadastro VTR/SEÇÃO/MILITAR'!$E$3:$F2000,""SELECT F WHERE E LIKE '""&amp;'carga de materiais'!E1712&amp;""'""))"),"#REF!")</f>
        <v>#REF!</v>
      </c>
    </row>
    <row r="1712">
      <c r="A1712" s="87" t="str">
        <f>IFERROR(__xludf.DUMMYFUNCTION("TRANSPOSE(QUERY('Cadastro VTR/SEÇÃO/MILITAR'!$E$3:$F2000,""SELECT F WHERE E LIKE '""&amp;'carga de materiais'!E1713&amp;""'""))"),"#REF!")</f>
        <v>#REF!</v>
      </c>
    </row>
    <row r="1713">
      <c r="A1713" s="87" t="str">
        <f>IFERROR(__xludf.DUMMYFUNCTION("TRANSPOSE(QUERY('Cadastro VTR/SEÇÃO/MILITAR'!$E$3:$F2000,""SELECT F WHERE E LIKE '""&amp;'carga de materiais'!E1714&amp;""'""))"),"#REF!")</f>
        <v>#REF!</v>
      </c>
    </row>
    <row r="1714">
      <c r="A1714" s="87" t="str">
        <f>IFERROR(__xludf.DUMMYFUNCTION("TRANSPOSE(QUERY('Cadastro VTR/SEÇÃO/MILITAR'!$E$3:$F2000,""SELECT F WHERE E LIKE '""&amp;'carga de materiais'!E1715&amp;""'""))"),"#REF!")</f>
        <v>#REF!</v>
      </c>
    </row>
    <row r="1715">
      <c r="A1715" s="87" t="str">
        <f>IFERROR(__xludf.DUMMYFUNCTION("TRANSPOSE(QUERY('Cadastro VTR/SEÇÃO/MILITAR'!$E$3:$F2000,""SELECT F WHERE E LIKE '""&amp;'carga de materiais'!E1716&amp;""'""))"),"#REF!")</f>
        <v>#REF!</v>
      </c>
    </row>
    <row r="1716">
      <c r="A1716" s="87" t="str">
        <f>IFERROR(__xludf.DUMMYFUNCTION("TRANSPOSE(QUERY('Cadastro VTR/SEÇÃO/MILITAR'!$E$3:$F2000,""SELECT F WHERE E LIKE '""&amp;'carga de materiais'!E1717&amp;""'""))"),"#REF!")</f>
        <v>#REF!</v>
      </c>
    </row>
    <row r="1717">
      <c r="A1717" s="87" t="str">
        <f>IFERROR(__xludf.DUMMYFUNCTION("TRANSPOSE(QUERY('Cadastro VTR/SEÇÃO/MILITAR'!$E$3:$F2000,""SELECT F WHERE E LIKE '""&amp;'carga de materiais'!E1718&amp;""'""))"),"#REF!")</f>
        <v>#REF!</v>
      </c>
    </row>
    <row r="1718">
      <c r="A1718" s="87" t="str">
        <f>IFERROR(__xludf.DUMMYFUNCTION("TRANSPOSE(QUERY('Cadastro VTR/SEÇÃO/MILITAR'!$E$3:$F2000,""SELECT F WHERE E LIKE '""&amp;'carga de materiais'!E1719&amp;""'""))"),"#REF!")</f>
        <v>#REF!</v>
      </c>
    </row>
    <row r="1719">
      <c r="A1719" s="87" t="str">
        <f>IFERROR(__xludf.DUMMYFUNCTION("TRANSPOSE(QUERY('Cadastro VTR/SEÇÃO/MILITAR'!$E$3:$F2000,""SELECT F WHERE E LIKE '""&amp;'carga de materiais'!E1720&amp;""'""))"),"#REF!")</f>
        <v>#REF!</v>
      </c>
    </row>
    <row r="1720">
      <c r="A1720" s="87" t="str">
        <f>IFERROR(__xludf.DUMMYFUNCTION("TRANSPOSE(QUERY('Cadastro VTR/SEÇÃO/MILITAR'!$E$3:$F2000,""SELECT F WHERE E LIKE '""&amp;'carga de materiais'!E1721&amp;""'""))"),"#REF!")</f>
        <v>#REF!</v>
      </c>
    </row>
    <row r="1721">
      <c r="A1721" s="87" t="str">
        <f>IFERROR(__xludf.DUMMYFUNCTION("TRANSPOSE(QUERY('Cadastro VTR/SEÇÃO/MILITAR'!$E$3:$F2000,""SELECT F WHERE E LIKE '""&amp;'carga de materiais'!E1722&amp;""'""))"),"#REF!")</f>
        <v>#REF!</v>
      </c>
    </row>
    <row r="1722">
      <c r="A1722" s="87" t="str">
        <f>IFERROR(__xludf.DUMMYFUNCTION("TRANSPOSE(QUERY('Cadastro VTR/SEÇÃO/MILITAR'!$E$3:$F2000,""SELECT F WHERE E LIKE '""&amp;'carga de materiais'!E1723&amp;""'""))"),"#REF!")</f>
        <v>#REF!</v>
      </c>
    </row>
    <row r="1723">
      <c r="A1723" s="87" t="str">
        <f>IFERROR(__xludf.DUMMYFUNCTION("TRANSPOSE(QUERY('Cadastro VTR/SEÇÃO/MILITAR'!$E$3:$F2000,""SELECT F WHERE E LIKE '""&amp;'carga de materiais'!E1724&amp;""'""))"),"#REF!")</f>
        <v>#REF!</v>
      </c>
    </row>
    <row r="1724">
      <c r="A1724" s="87" t="str">
        <f>IFERROR(__xludf.DUMMYFUNCTION("TRANSPOSE(QUERY('Cadastro VTR/SEÇÃO/MILITAR'!$E$3:$F2000,""SELECT F WHERE E LIKE '""&amp;'carga de materiais'!E1725&amp;""'""))"),"#REF!")</f>
        <v>#REF!</v>
      </c>
    </row>
    <row r="1725">
      <c r="A1725" s="87" t="str">
        <f>IFERROR(__xludf.DUMMYFUNCTION("TRANSPOSE(QUERY('Cadastro VTR/SEÇÃO/MILITAR'!$E$3:$F2000,""SELECT F WHERE E LIKE '""&amp;'carga de materiais'!E1726&amp;""'""))"),"#REF!")</f>
        <v>#REF!</v>
      </c>
    </row>
    <row r="1726">
      <c r="A1726" s="87" t="str">
        <f>IFERROR(__xludf.DUMMYFUNCTION("TRANSPOSE(QUERY('Cadastro VTR/SEÇÃO/MILITAR'!$E$3:$F2000,""SELECT F WHERE E LIKE '""&amp;'carga de materiais'!E1727&amp;""'""))"),"#REF!")</f>
        <v>#REF!</v>
      </c>
    </row>
    <row r="1727">
      <c r="A1727" s="87" t="str">
        <f>IFERROR(__xludf.DUMMYFUNCTION("TRANSPOSE(QUERY('Cadastro VTR/SEÇÃO/MILITAR'!$E$3:$F2000,""SELECT F WHERE E LIKE '""&amp;'carga de materiais'!E1728&amp;""'""))"),"#REF!")</f>
        <v>#REF!</v>
      </c>
    </row>
    <row r="1728">
      <c r="A1728" s="87" t="str">
        <f>IFERROR(__xludf.DUMMYFUNCTION("TRANSPOSE(QUERY('Cadastro VTR/SEÇÃO/MILITAR'!$E$3:$F2000,""SELECT F WHERE E LIKE '""&amp;'carga de materiais'!E1729&amp;""'""))"),"#REF!")</f>
        <v>#REF!</v>
      </c>
    </row>
    <row r="1729">
      <c r="A1729" s="87" t="str">
        <f>IFERROR(__xludf.DUMMYFUNCTION("TRANSPOSE(QUERY('Cadastro VTR/SEÇÃO/MILITAR'!$E$3:$F2000,""SELECT F WHERE E LIKE '""&amp;'carga de materiais'!E1730&amp;""'""))"),"#REF!")</f>
        <v>#REF!</v>
      </c>
    </row>
    <row r="1730">
      <c r="A1730" s="87" t="str">
        <f>IFERROR(__xludf.DUMMYFUNCTION("TRANSPOSE(QUERY('Cadastro VTR/SEÇÃO/MILITAR'!$E$3:$F2000,""SELECT F WHERE E LIKE '""&amp;'carga de materiais'!E1731&amp;""'""))"),"#REF!")</f>
        <v>#REF!</v>
      </c>
    </row>
    <row r="1731">
      <c r="A1731" s="87" t="str">
        <f>IFERROR(__xludf.DUMMYFUNCTION("TRANSPOSE(QUERY('Cadastro VTR/SEÇÃO/MILITAR'!$E$3:$F2000,""SELECT F WHERE E LIKE '""&amp;'carga de materiais'!E1732&amp;""'""))"),"#REF!")</f>
        <v>#REF!</v>
      </c>
    </row>
    <row r="1732">
      <c r="A1732" s="87" t="str">
        <f>IFERROR(__xludf.DUMMYFUNCTION("TRANSPOSE(QUERY('Cadastro VTR/SEÇÃO/MILITAR'!$E$3:$F2000,""SELECT F WHERE E LIKE '""&amp;'carga de materiais'!E1733&amp;""'""))"),"#REF!")</f>
        <v>#REF!</v>
      </c>
    </row>
    <row r="1733">
      <c r="A1733" s="87" t="str">
        <f>IFERROR(__xludf.DUMMYFUNCTION("TRANSPOSE(QUERY('Cadastro VTR/SEÇÃO/MILITAR'!$E$3:$F2000,""SELECT F WHERE E LIKE '""&amp;'carga de materiais'!E1734&amp;""'""))"),"#REF!")</f>
        <v>#REF!</v>
      </c>
    </row>
    <row r="1734">
      <c r="A1734" s="87" t="str">
        <f>IFERROR(__xludf.DUMMYFUNCTION("TRANSPOSE(QUERY('Cadastro VTR/SEÇÃO/MILITAR'!$E$3:$F2000,""SELECT F WHERE E LIKE '""&amp;'carga de materiais'!E1735&amp;""'""))"),"#REF!")</f>
        <v>#REF!</v>
      </c>
    </row>
    <row r="1735">
      <c r="A1735" s="87" t="str">
        <f>IFERROR(__xludf.DUMMYFUNCTION("TRANSPOSE(QUERY('Cadastro VTR/SEÇÃO/MILITAR'!$E$3:$F2000,""SELECT F WHERE E LIKE '""&amp;'carga de materiais'!E1736&amp;""'""))"),"#REF!")</f>
        <v>#REF!</v>
      </c>
    </row>
    <row r="1736">
      <c r="A1736" s="87" t="str">
        <f>IFERROR(__xludf.DUMMYFUNCTION("TRANSPOSE(QUERY('Cadastro VTR/SEÇÃO/MILITAR'!$E$3:$F2000,""SELECT F WHERE E LIKE '""&amp;'carga de materiais'!E1737&amp;""'""))"),"#REF!")</f>
        <v>#REF!</v>
      </c>
    </row>
    <row r="1737">
      <c r="A1737" s="87" t="str">
        <f>IFERROR(__xludf.DUMMYFUNCTION("TRANSPOSE(QUERY('Cadastro VTR/SEÇÃO/MILITAR'!$E$3:$F2000,""SELECT F WHERE E LIKE '""&amp;'carga de materiais'!E1738&amp;""'""))"),"#REF!")</f>
        <v>#REF!</v>
      </c>
    </row>
    <row r="1738">
      <c r="A1738" s="87" t="str">
        <f>IFERROR(__xludf.DUMMYFUNCTION("TRANSPOSE(QUERY('Cadastro VTR/SEÇÃO/MILITAR'!$E$3:$F2000,""SELECT F WHERE E LIKE '""&amp;'carga de materiais'!E1739&amp;""'""))"),"#REF!")</f>
        <v>#REF!</v>
      </c>
    </row>
    <row r="1739">
      <c r="A1739" s="87" t="str">
        <f>IFERROR(__xludf.DUMMYFUNCTION("TRANSPOSE(QUERY('Cadastro VTR/SEÇÃO/MILITAR'!$E$3:$F2000,""SELECT F WHERE E LIKE '""&amp;'carga de materiais'!E1740&amp;""'""))"),"#REF!")</f>
        <v>#REF!</v>
      </c>
    </row>
    <row r="1740">
      <c r="A1740" s="87" t="str">
        <f>IFERROR(__xludf.DUMMYFUNCTION("TRANSPOSE(QUERY('Cadastro VTR/SEÇÃO/MILITAR'!$E$3:$F2000,""SELECT F WHERE E LIKE '""&amp;'carga de materiais'!E1741&amp;""'""))"),"#REF!")</f>
        <v>#REF!</v>
      </c>
    </row>
    <row r="1741">
      <c r="A1741" s="87" t="str">
        <f>IFERROR(__xludf.DUMMYFUNCTION("TRANSPOSE(QUERY('Cadastro VTR/SEÇÃO/MILITAR'!$E$3:$F2000,""SELECT F WHERE E LIKE '""&amp;'carga de materiais'!E1742&amp;""'""))"),"#REF!")</f>
        <v>#REF!</v>
      </c>
    </row>
    <row r="1742">
      <c r="A1742" s="87" t="str">
        <f>IFERROR(__xludf.DUMMYFUNCTION("TRANSPOSE(QUERY('Cadastro VTR/SEÇÃO/MILITAR'!$E$3:$F2000,""SELECT F WHERE E LIKE '""&amp;'carga de materiais'!E1743&amp;""'""))"),"#REF!")</f>
        <v>#REF!</v>
      </c>
    </row>
    <row r="1743">
      <c r="A1743" s="87" t="str">
        <f>IFERROR(__xludf.DUMMYFUNCTION("TRANSPOSE(QUERY('Cadastro VTR/SEÇÃO/MILITAR'!$E$3:$F2000,""SELECT F WHERE E LIKE '""&amp;'carga de materiais'!E1744&amp;""'""))"),"#REF!")</f>
        <v>#REF!</v>
      </c>
    </row>
    <row r="1744">
      <c r="A1744" s="87" t="str">
        <f>IFERROR(__xludf.DUMMYFUNCTION("TRANSPOSE(QUERY('Cadastro VTR/SEÇÃO/MILITAR'!$E$3:$F2000,""SELECT F WHERE E LIKE '""&amp;'carga de materiais'!E1745&amp;""'""))"),"#REF!")</f>
        <v>#REF!</v>
      </c>
    </row>
    <row r="1745">
      <c r="A1745" s="87" t="str">
        <f>IFERROR(__xludf.DUMMYFUNCTION("TRANSPOSE(QUERY('Cadastro VTR/SEÇÃO/MILITAR'!$E$3:$F2000,""SELECT F WHERE E LIKE '""&amp;'carga de materiais'!E1746&amp;""'""))"),"#REF!")</f>
        <v>#REF!</v>
      </c>
    </row>
    <row r="1746">
      <c r="A1746" s="87" t="str">
        <f>IFERROR(__xludf.DUMMYFUNCTION("TRANSPOSE(QUERY('Cadastro VTR/SEÇÃO/MILITAR'!$E$3:$F2000,""SELECT F WHERE E LIKE '""&amp;'carga de materiais'!E1747&amp;""'""))"),"#REF!")</f>
        <v>#REF!</v>
      </c>
    </row>
    <row r="1747">
      <c r="A1747" s="87" t="str">
        <f>IFERROR(__xludf.DUMMYFUNCTION("TRANSPOSE(QUERY('Cadastro VTR/SEÇÃO/MILITAR'!$E$3:$F2000,""SELECT F WHERE E LIKE '""&amp;'carga de materiais'!E1748&amp;""'""))"),"#REF!")</f>
        <v>#REF!</v>
      </c>
    </row>
    <row r="1748">
      <c r="A1748" s="87" t="str">
        <f>IFERROR(__xludf.DUMMYFUNCTION("TRANSPOSE(QUERY('Cadastro VTR/SEÇÃO/MILITAR'!$E$3:$F2000,""SELECT F WHERE E LIKE '""&amp;'carga de materiais'!E1749&amp;""'""))"),"#REF!")</f>
        <v>#REF!</v>
      </c>
    </row>
    <row r="1749">
      <c r="A1749" s="87" t="str">
        <f>IFERROR(__xludf.DUMMYFUNCTION("TRANSPOSE(QUERY('Cadastro VTR/SEÇÃO/MILITAR'!$E$3:$F2000,""SELECT F WHERE E LIKE '""&amp;'carga de materiais'!E1750&amp;""'""))"),"#REF!")</f>
        <v>#REF!</v>
      </c>
    </row>
    <row r="1750">
      <c r="A1750" s="87" t="str">
        <f>IFERROR(__xludf.DUMMYFUNCTION("TRANSPOSE(QUERY('Cadastro VTR/SEÇÃO/MILITAR'!$E$3:$F2000,""SELECT F WHERE E LIKE '""&amp;'carga de materiais'!E1751&amp;""'""))"),"#REF!")</f>
        <v>#REF!</v>
      </c>
    </row>
    <row r="1751">
      <c r="A1751" s="87" t="str">
        <f>IFERROR(__xludf.DUMMYFUNCTION("TRANSPOSE(QUERY('Cadastro VTR/SEÇÃO/MILITAR'!$E$3:$F2000,""SELECT F WHERE E LIKE '""&amp;'carga de materiais'!E1752&amp;""'""))"),"#REF!")</f>
        <v>#REF!</v>
      </c>
    </row>
    <row r="1752">
      <c r="A1752" s="87" t="str">
        <f>IFERROR(__xludf.DUMMYFUNCTION("TRANSPOSE(QUERY('Cadastro VTR/SEÇÃO/MILITAR'!$E$3:$F2000,""SELECT F WHERE E LIKE '""&amp;'carga de materiais'!E1753&amp;""'""))"),"#REF!")</f>
        <v>#REF!</v>
      </c>
    </row>
    <row r="1753">
      <c r="A1753" s="87" t="str">
        <f>IFERROR(__xludf.DUMMYFUNCTION("TRANSPOSE(QUERY('Cadastro VTR/SEÇÃO/MILITAR'!$E$3:$F2000,""SELECT F WHERE E LIKE '""&amp;'carga de materiais'!E1754&amp;""'""))"),"#REF!")</f>
        <v>#REF!</v>
      </c>
    </row>
    <row r="1754">
      <c r="A1754" s="87" t="str">
        <f>IFERROR(__xludf.DUMMYFUNCTION("TRANSPOSE(QUERY('Cadastro VTR/SEÇÃO/MILITAR'!$E$3:$F2000,""SELECT F WHERE E LIKE '""&amp;'carga de materiais'!E1755&amp;""'""))"),"#REF!")</f>
        <v>#REF!</v>
      </c>
    </row>
    <row r="1755">
      <c r="A1755" s="87" t="str">
        <f>IFERROR(__xludf.DUMMYFUNCTION("TRANSPOSE(QUERY('Cadastro VTR/SEÇÃO/MILITAR'!$E$3:$F2000,""SELECT F WHERE E LIKE '""&amp;'carga de materiais'!E1756&amp;""'""))"),"#REF!")</f>
        <v>#REF!</v>
      </c>
    </row>
    <row r="1756">
      <c r="A1756" s="87" t="str">
        <f>IFERROR(__xludf.DUMMYFUNCTION("TRANSPOSE(QUERY('Cadastro VTR/SEÇÃO/MILITAR'!$E$3:$F2000,""SELECT F WHERE E LIKE '""&amp;'carga de materiais'!E1757&amp;""'""))"),"#REF!")</f>
        <v>#REF!</v>
      </c>
    </row>
    <row r="1757">
      <c r="A1757" s="87" t="str">
        <f>IFERROR(__xludf.DUMMYFUNCTION("TRANSPOSE(QUERY('Cadastro VTR/SEÇÃO/MILITAR'!$E$3:$F2000,""SELECT F WHERE E LIKE '""&amp;'carga de materiais'!E1758&amp;""'""))"),"#REF!")</f>
        <v>#REF!</v>
      </c>
    </row>
    <row r="1758">
      <c r="A1758" s="87" t="str">
        <f>IFERROR(__xludf.DUMMYFUNCTION("TRANSPOSE(QUERY('Cadastro VTR/SEÇÃO/MILITAR'!$E$3:$F2000,""SELECT F WHERE E LIKE '""&amp;'carga de materiais'!E1759&amp;""'""))"),"#REF!")</f>
        <v>#REF!</v>
      </c>
    </row>
    <row r="1759">
      <c r="A1759" s="87" t="str">
        <f>IFERROR(__xludf.DUMMYFUNCTION("TRANSPOSE(QUERY('Cadastro VTR/SEÇÃO/MILITAR'!$E$3:$F2000,""SELECT F WHERE E LIKE '""&amp;'carga de materiais'!E1760&amp;""'""))"),"#REF!")</f>
        <v>#REF!</v>
      </c>
    </row>
    <row r="1760">
      <c r="A1760" s="87" t="str">
        <f>IFERROR(__xludf.DUMMYFUNCTION("TRANSPOSE(QUERY('Cadastro VTR/SEÇÃO/MILITAR'!$E$3:$F2000,""SELECT F WHERE E LIKE '""&amp;'carga de materiais'!E1761&amp;""'""))"),"#REF!")</f>
        <v>#REF!</v>
      </c>
    </row>
    <row r="1761">
      <c r="A1761" s="87" t="str">
        <f>IFERROR(__xludf.DUMMYFUNCTION("TRANSPOSE(QUERY('Cadastro VTR/SEÇÃO/MILITAR'!$E$3:$F2000,""SELECT F WHERE E LIKE '""&amp;'carga de materiais'!E1762&amp;""'""))"),"#REF!")</f>
        <v>#REF!</v>
      </c>
    </row>
    <row r="1762">
      <c r="A1762" s="87" t="str">
        <f>IFERROR(__xludf.DUMMYFUNCTION("TRANSPOSE(QUERY('Cadastro VTR/SEÇÃO/MILITAR'!$E$3:$F2000,""SELECT F WHERE E LIKE '""&amp;'carga de materiais'!E1763&amp;""'""))"),"#REF!")</f>
        <v>#REF!</v>
      </c>
    </row>
    <row r="1763">
      <c r="A1763" s="87" t="str">
        <f>IFERROR(__xludf.DUMMYFUNCTION("TRANSPOSE(QUERY('Cadastro VTR/SEÇÃO/MILITAR'!$E$3:$F2000,""SELECT F WHERE E LIKE '""&amp;'carga de materiais'!E1764&amp;""'""))"),"#REF!")</f>
        <v>#REF!</v>
      </c>
    </row>
    <row r="1764">
      <c r="A1764" s="87" t="str">
        <f>IFERROR(__xludf.DUMMYFUNCTION("TRANSPOSE(QUERY('Cadastro VTR/SEÇÃO/MILITAR'!$E$3:$F2000,""SELECT F WHERE E LIKE '""&amp;'carga de materiais'!E1765&amp;""'""))"),"#REF!")</f>
        <v>#REF!</v>
      </c>
    </row>
    <row r="1765">
      <c r="A1765" s="87" t="str">
        <f>IFERROR(__xludf.DUMMYFUNCTION("TRANSPOSE(QUERY('Cadastro VTR/SEÇÃO/MILITAR'!$E$3:$F2000,""SELECT F WHERE E LIKE '""&amp;'carga de materiais'!E1766&amp;""'""))"),"#REF!")</f>
        <v>#REF!</v>
      </c>
    </row>
    <row r="1766">
      <c r="A1766" s="87" t="str">
        <f>IFERROR(__xludf.DUMMYFUNCTION("TRANSPOSE(QUERY('Cadastro VTR/SEÇÃO/MILITAR'!$E$3:$F2000,""SELECT F WHERE E LIKE '""&amp;'carga de materiais'!E1767&amp;""'""))"),"#REF!")</f>
        <v>#REF!</v>
      </c>
    </row>
    <row r="1767">
      <c r="A1767" s="87" t="str">
        <f>IFERROR(__xludf.DUMMYFUNCTION("TRANSPOSE(QUERY('Cadastro VTR/SEÇÃO/MILITAR'!$E$3:$F2000,""SELECT F WHERE E LIKE '""&amp;'carga de materiais'!E1768&amp;""'""))"),"#REF!")</f>
        <v>#REF!</v>
      </c>
    </row>
    <row r="1768">
      <c r="A1768" s="87" t="str">
        <f>IFERROR(__xludf.DUMMYFUNCTION("TRANSPOSE(QUERY('Cadastro VTR/SEÇÃO/MILITAR'!$E$3:$F2000,""SELECT F WHERE E LIKE '""&amp;'carga de materiais'!E1769&amp;""'""))"),"#REF!")</f>
        <v>#REF!</v>
      </c>
    </row>
    <row r="1769">
      <c r="A1769" s="87" t="str">
        <f>IFERROR(__xludf.DUMMYFUNCTION("TRANSPOSE(QUERY('Cadastro VTR/SEÇÃO/MILITAR'!$E$3:$F2000,""SELECT F WHERE E LIKE '""&amp;'carga de materiais'!E1770&amp;""'""))"),"#REF!")</f>
        <v>#REF!</v>
      </c>
    </row>
    <row r="1770">
      <c r="A1770" s="87" t="str">
        <f>IFERROR(__xludf.DUMMYFUNCTION("TRANSPOSE(QUERY('Cadastro VTR/SEÇÃO/MILITAR'!$E$3:$F2000,""SELECT F WHERE E LIKE '""&amp;'carga de materiais'!E1771&amp;""'""))"),"#REF!")</f>
        <v>#REF!</v>
      </c>
    </row>
    <row r="1771">
      <c r="A1771" s="87" t="str">
        <f>IFERROR(__xludf.DUMMYFUNCTION("TRANSPOSE(QUERY('Cadastro VTR/SEÇÃO/MILITAR'!$E$3:$F2000,""SELECT F WHERE E LIKE '""&amp;'carga de materiais'!E1772&amp;""'""))"),"#REF!")</f>
        <v>#REF!</v>
      </c>
    </row>
    <row r="1772">
      <c r="A1772" s="87" t="str">
        <f>IFERROR(__xludf.DUMMYFUNCTION("TRANSPOSE(QUERY('Cadastro VTR/SEÇÃO/MILITAR'!$E$3:$F2000,""SELECT F WHERE E LIKE '""&amp;'carga de materiais'!E1773&amp;""'""))"),"#REF!")</f>
        <v>#REF!</v>
      </c>
    </row>
    <row r="1773">
      <c r="A1773" s="87" t="str">
        <f>IFERROR(__xludf.DUMMYFUNCTION("TRANSPOSE(QUERY('Cadastro VTR/SEÇÃO/MILITAR'!$E$3:$F2000,""SELECT F WHERE E LIKE '""&amp;'carga de materiais'!E1774&amp;""'""))"),"#REF!")</f>
        <v>#REF!</v>
      </c>
    </row>
    <row r="1774">
      <c r="A1774" s="87" t="str">
        <f>IFERROR(__xludf.DUMMYFUNCTION("TRANSPOSE(QUERY('Cadastro VTR/SEÇÃO/MILITAR'!$E$3:$F2000,""SELECT F WHERE E LIKE '""&amp;'carga de materiais'!E1775&amp;""'""))"),"#REF!")</f>
        <v>#REF!</v>
      </c>
    </row>
    <row r="1775">
      <c r="A1775" s="87" t="str">
        <f>IFERROR(__xludf.DUMMYFUNCTION("TRANSPOSE(QUERY('Cadastro VTR/SEÇÃO/MILITAR'!$E$3:$F2000,""SELECT F WHERE E LIKE '""&amp;'carga de materiais'!E1776&amp;""'""))"),"#REF!")</f>
        <v>#REF!</v>
      </c>
    </row>
    <row r="1776">
      <c r="A1776" s="87" t="str">
        <f>IFERROR(__xludf.DUMMYFUNCTION("TRANSPOSE(QUERY('Cadastro VTR/SEÇÃO/MILITAR'!$E$3:$F2000,""SELECT F WHERE E LIKE '""&amp;'carga de materiais'!E1777&amp;""'""))"),"#REF!")</f>
        <v>#REF!</v>
      </c>
    </row>
    <row r="1777">
      <c r="A1777" s="87" t="str">
        <f>IFERROR(__xludf.DUMMYFUNCTION("TRANSPOSE(QUERY('Cadastro VTR/SEÇÃO/MILITAR'!$E$3:$F2000,""SELECT F WHERE E LIKE '""&amp;'carga de materiais'!E1778&amp;""'""))"),"#REF!")</f>
        <v>#REF!</v>
      </c>
    </row>
    <row r="1778">
      <c r="A1778" s="87" t="str">
        <f>IFERROR(__xludf.DUMMYFUNCTION("TRANSPOSE(QUERY('Cadastro VTR/SEÇÃO/MILITAR'!$E$3:$F2000,""SELECT F WHERE E LIKE '""&amp;'carga de materiais'!E1779&amp;""'""))"),"#REF!")</f>
        <v>#REF!</v>
      </c>
    </row>
    <row r="1779">
      <c r="A1779" s="87" t="str">
        <f>IFERROR(__xludf.DUMMYFUNCTION("TRANSPOSE(QUERY('Cadastro VTR/SEÇÃO/MILITAR'!$E$3:$F2000,""SELECT F WHERE E LIKE '""&amp;'carga de materiais'!E1780&amp;""'""))"),"#REF!")</f>
        <v>#REF!</v>
      </c>
    </row>
    <row r="1780">
      <c r="A1780" s="87" t="str">
        <f>IFERROR(__xludf.DUMMYFUNCTION("TRANSPOSE(QUERY('Cadastro VTR/SEÇÃO/MILITAR'!$E$3:$F2000,""SELECT F WHERE E LIKE '""&amp;'carga de materiais'!E1781&amp;""'""))"),"#REF!")</f>
        <v>#REF!</v>
      </c>
    </row>
    <row r="1781">
      <c r="A1781" s="87" t="str">
        <f>IFERROR(__xludf.DUMMYFUNCTION("TRANSPOSE(QUERY('Cadastro VTR/SEÇÃO/MILITAR'!$E$3:$F2000,""SELECT F WHERE E LIKE '""&amp;'carga de materiais'!E1782&amp;""'""))"),"#REF!")</f>
        <v>#REF!</v>
      </c>
    </row>
    <row r="1782">
      <c r="A1782" s="87" t="str">
        <f>IFERROR(__xludf.DUMMYFUNCTION("TRANSPOSE(QUERY('Cadastro VTR/SEÇÃO/MILITAR'!$E$3:$F2000,""SELECT F WHERE E LIKE '""&amp;'carga de materiais'!E1783&amp;""'""))"),"#REF!")</f>
        <v>#REF!</v>
      </c>
    </row>
    <row r="1783">
      <c r="A1783" s="87" t="str">
        <f>IFERROR(__xludf.DUMMYFUNCTION("TRANSPOSE(QUERY('Cadastro VTR/SEÇÃO/MILITAR'!$E$3:$F2000,""SELECT F WHERE E LIKE '""&amp;'carga de materiais'!E1784&amp;""'""))"),"#REF!")</f>
        <v>#REF!</v>
      </c>
    </row>
    <row r="1784">
      <c r="A1784" s="87" t="str">
        <f>IFERROR(__xludf.DUMMYFUNCTION("TRANSPOSE(QUERY('Cadastro VTR/SEÇÃO/MILITAR'!$E$3:$F2000,""SELECT F WHERE E LIKE '""&amp;'carga de materiais'!E1785&amp;""'""))"),"#REF!")</f>
        <v>#REF!</v>
      </c>
    </row>
    <row r="1785">
      <c r="A1785" s="87" t="str">
        <f>IFERROR(__xludf.DUMMYFUNCTION("TRANSPOSE(QUERY('Cadastro VTR/SEÇÃO/MILITAR'!$E$3:$F2000,""SELECT F WHERE E LIKE '""&amp;'carga de materiais'!E1786&amp;""'""))"),"#REF!")</f>
        <v>#REF!</v>
      </c>
    </row>
    <row r="1786">
      <c r="A1786" s="87" t="str">
        <f>IFERROR(__xludf.DUMMYFUNCTION("TRANSPOSE(QUERY('Cadastro VTR/SEÇÃO/MILITAR'!$E$3:$F2000,""SELECT F WHERE E LIKE '""&amp;'carga de materiais'!E1787&amp;""'""))"),"#REF!")</f>
        <v>#REF!</v>
      </c>
    </row>
    <row r="1787">
      <c r="A1787" s="87" t="str">
        <f>IFERROR(__xludf.DUMMYFUNCTION("TRANSPOSE(QUERY('Cadastro VTR/SEÇÃO/MILITAR'!$E$3:$F2000,""SELECT F WHERE E LIKE '""&amp;'carga de materiais'!E1788&amp;""'""))"),"#REF!")</f>
        <v>#REF!</v>
      </c>
    </row>
    <row r="1788">
      <c r="A1788" s="87" t="str">
        <f>IFERROR(__xludf.DUMMYFUNCTION("TRANSPOSE(QUERY('Cadastro VTR/SEÇÃO/MILITAR'!$E$3:$F2000,""SELECT F WHERE E LIKE '""&amp;'carga de materiais'!E1789&amp;""'""))"),"#REF!")</f>
        <v>#REF!</v>
      </c>
    </row>
    <row r="1789">
      <c r="A1789" s="87" t="str">
        <f>IFERROR(__xludf.DUMMYFUNCTION("TRANSPOSE(QUERY('Cadastro VTR/SEÇÃO/MILITAR'!$E$3:$F2000,""SELECT F WHERE E LIKE '""&amp;'carga de materiais'!E1790&amp;""'""))"),"#REF!")</f>
        <v>#REF!</v>
      </c>
    </row>
    <row r="1790">
      <c r="A1790" s="87" t="str">
        <f>IFERROR(__xludf.DUMMYFUNCTION("TRANSPOSE(QUERY('Cadastro VTR/SEÇÃO/MILITAR'!$E$3:$F2000,""SELECT F WHERE E LIKE '""&amp;'carga de materiais'!E1791&amp;""'""))"),"#REF!")</f>
        <v>#REF!</v>
      </c>
    </row>
    <row r="1791">
      <c r="A1791" s="87" t="str">
        <f>IFERROR(__xludf.DUMMYFUNCTION("TRANSPOSE(QUERY('Cadastro VTR/SEÇÃO/MILITAR'!$E$3:$F2000,""SELECT F WHERE E LIKE '""&amp;'carga de materiais'!E1792&amp;""'""))"),"#REF!")</f>
        <v>#REF!</v>
      </c>
    </row>
    <row r="1792">
      <c r="A1792" s="87" t="str">
        <f>IFERROR(__xludf.DUMMYFUNCTION("TRANSPOSE(QUERY('Cadastro VTR/SEÇÃO/MILITAR'!$E$3:$F2000,""SELECT F WHERE E LIKE '""&amp;'carga de materiais'!E1793&amp;""'""))"),"#REF!")</f>
        <v>#REF!</v>
      </c>
    </row>
    <row r="1793">
      <c r="A1793" s="87" t="str">
        <f>IFERROR(__xludf.DUMMYFUNCTION("TRANSPOSE(QUERY('Cadastro VTR/SEÇÃO/MILITAR'!$E$3:$F2000,""SELECT F WHERE E LIKE '""&amp;'carga de materiais'!E1794&amp;""'""))"),"#REF!")</f>
        <v>#REF!</v>
      </c>
    </row>
    <row r="1794">
      <c r="A1794" s="87" t="str">
        <f>IFERROR(__xludf.DUMMYFUNCTION("TRANSPOSE(QUERY('Cadastro VTR/SEÇÃO/MILITAR'!$E$3:$F2000,""SELECT F WHERE E LIKE '""&amp;'carga de materiais'!E1795&amp;""'""))"),"#REF!")</f>
        <v>#REF!</v>
      </c>
    </row>
    <row r="1795">
      <c r="A1795" s="87" t="str">
        <f>IFERROR(__xludf.DUMMYFUNCTION("TRANSPOSE(QUERY('Cadastro VTR/SEÇÃO/MILITAR'!$E$3:$F2000,""SELECT F WHERE E LIKE '""&amp;'carga de materiais'!E1796&amp;""'""))"),"#REF!")</f>
        <v>#REF!</v>
      </c>
    </row>
    <row r="1796">
      <c r="A1796" s="87" t="str">
        <f>IFERROR(__xludf.DUMMYFUNCTION("TRANSPOSE(QUERY('Cadastro VTR/SEÇÃO/MILITAR'!$E$3:$F2000,""SELECT F WHERE E LIKE '""&amp;'carga de materiais'!E1797&amp;""'""))"),"#REF!")</f>
        <v>#REF!</v>
      </c>
    </row>
    <row r="1797">
      <c r="A1797" s="87" t="str">
        <f>IFERROR(__xludf.DUMMYFUNCTION("TRANSPOSE(QUERY('Cadastro VTR/SEÇÃO/MILITAR'!$E$3:$F2000,""SELECT F WHERE E LIKE '""&amp;'carga de materiais'!E1798&amp;""'""))"),"#REF!")</f>
        <v>#REF!</v>
      </c>
    </row>
    <row r="1798">
      <c r="A1798" s="87" t="str">
        <f>IFERROR(__xludf.DUMMYFUNCTION("TRANSPOSE(QUERY('Cadastro VTR/SEÇÃO/MILITAR'!$E$3:$F2000,""SELECT F WHERE E LIKE '""&amp;'carga de materiais'!E1799&amp;""'""))"),"#REF!")</f>
        <v>#REF!</v>
      </c>
    </row>
    <row r="1799">
      <c r="A1799" s="87" t="str">
        <f>IFERROR(__xludf.DUMMYFUNCTION("TRANSPOSE(QUERY('Cadastro VTR/SEÇÃO/MILITAR'!$E$3:$F2000,""SELECT F WHERE E LIKE '""&amp;'carga de materiais'!E1800&amp;""'""))"),"#REF!")</f>
        <v>#REF!</v>
      </c>
    </row>
    <row r="1800">
      <c r="A1800" s="87" t="str">
        <f>IFERROR(__xludf.DUMMYFUNCTION("TRANSPOSE(QUERY('Cadastro VTR/SEÇÃO/MILITAR'!$E$3:$F2000,""SELECT F WHERE E LIKE '""&amp;'carga de materiais'!E1801&amp;""'""))"),"#REF!")</f>
        <v>#REF!</v>
      </c>
    </row>
    <row r="1801">
      <c r="A1801" s="87" t="str">
        <f>IFERROR(__xludf.DUMMYFUNCTION("TRANSPOSE(QUERY('Cadastro VTR/SEÇÃO/MILITAR'!$E$3:$F2000,""SELECT F WHERE E LIKE '""&amp;'carga de materiais'!E1802&amp;""'""))"),"#REF!")</f>
        <v>#REF!</v>
      </c>
    </row>
    <row r="1802">
      <c r="A1802" s="87" t="str">
        <f>IFERROR(__xludf.DUMMYFUNCTION("TRANSPOSE(QUERY('Cadastro VTR/SEÇÃO/MILITAR'!$E$3:$F2000,""SELECT F WHERE E LIKE '""&amp;'carga de materiais'!E1803&amp;""'""))"),"#REF!")</f>
        <v>#REF!</v>
      </c>
    </row>
    <row r="1803">
      <c r="A1803" s="87" t="str">
        <f>IFERROR(__xludf.DUMMYFUNCTION("TRANSPOSE(QUERY('Cadastro VTR/SEÇÃO/MILITAR'!$E$3:$F2000,""SELECT F WHERE E LIKE '""&amp;'carga de materiais'!E1804&amp;""'""))"),"#REF!")</f>
        <v>#REF!</v>
      </c>
    </row>
    <row r="1804">
      <c r="A1804" s="87" t="str">
        <f>IFERROR(__xludf.DUMMYFUNCTION("TRANSPOSE(QUERY('Cadastro VTR/SEÇÃO/MILITAR'!$E$3:$F2000,""SELECT F WHERE E LIKE '""&amp;'carga de materiais'!E1805&amp;""'""))"),"#REF!")</f>
        <v>#REF!</v>
      </c>
    </row>
    <row r="1805">
      <c r="A1805" s="87" t="str">
        <f>IFERROR(__xludf.DUMMYFUNCTION("TRANSPOSE(QUERY('Cadastro VTR/SEÇÃO/MILITAR'!$E$3:$F2000,""SELECT F WHERE E LIKE '""&amp;'carga de materiais'!E1806&amp;""'""))"),"#REF!")</f>
        <v>#REF!</v>
      </c>
    </row>
    <row r="1806">
      <c r="A1806" s="87" t="str">
        <f>IFERROR(__xludf.DUMMYFUNCTION("TRANSPOSE(QUERY('Cadastro VTR/SEÇÃO/MILITAR'!$E$3:$F2000,""SELECT F WHERE E LIKE '""&amp;'carga de materiais'!E1807&amp;""'""))"),"#REF!")</f>
        <v>#REF!</v>
      </c>
    </row>
    <row r="1807">
      <c r="A1807" s="87" t="str">
        <f>IFERROR(__xludf.DUMMYFUNCTION("TRANSPOSE(QUERY('Cadastro VTR/SEÇÃO/MILITAR'!$E$3:$F2000,""SELECT F WHERE E LIKE '""&amp;'carga de materiais'!E1808&amp;""'""))"),"#REF!")</f>
        <v>#REF!</v>
      </c>
    </row>
    <row r="1808">
      <c r="A1808" s="87" t="str">
        <f>IFERROR(__xludf.DUMMYFUNCTION("TRANSPOSE(QUERY('Cadastro VTR/SEÇÃO/MILITAR'!$E$3:$F2000,""SELECT F WHERE E LIKE '""&amp;'carga de materiais'!E1809&amp;""'""))"),"#REF!")</f>
        <v>#REF!</v>
      </c>
    </row>
    <row r="1809">
      <c r="A1809" s="87" t="str">
        <f>IFERROR(__xludf.DUMMYFUNCTION("TRANSPOSE(QUERY('Cadastro VTR/SEÇÃO/MILITAR'!$E$3:$F2000,""SELECT F WHERE E LIKE '""&amp;'carga de materiais'!E1810&amp;""'""))"),"#REF!")</f>
        <v>#REF!</v>
      </c>
    </row>
    <row r="1810">
      <c r="A1810" s="87" t="str">
        <f>IFERROR(__xludf.DUMMYFUNCTION("TRANSPOSE(QUERY('Cadastro VTR/SEÇÃO/MILITAR'!$E$3:$F2000,""SELECT F WHERE E LIKE '""&amp;'carga de materiais'!E1811&amp;""'""))"),"#REF!")</f>
        <v>#REF!</v>
      </c>
    </row>
    <row r="1811">
      <c r="A1811" s="87" t="str">
        <f>IFERROR(__xludf.DUMMYFUNCTION("TRANSPOSE(QUERY('Cadastro VTR/SEÇÃO/MILITAR'!$E$3:$F2000,""SELECT F WHERE E LIKE '""&amp;'carga de materiais'!E1812&amp;""'""))"),"#REF!")</f>
        <v>#REF!</v>
      </c>
    </row>
    <row r="1812">
      <c r="A1812" s="87" t="str">
        <f>IFERROR(__xludf.DUMMYFUNCTION("TRANSPOSE(QUERY('Cadastro VTR/SEÇÃO/MILITAR'!$E$3:$F2000,""SELECT F WHERE E LIKE '""&amp;'carga de materiais'!E1813&amp;""'""))"),"#REF!")</f>
        <v>#REF!</v>
      </c>
    </row>
    <row r="1813">
      <c r="A1813" s="87" t="str">
        <f>IFERROR(__xludf.DUMMYFUNCTION("TRANSPOSE(QUERY('Cadastro VTR/SEÇÃO/MILITAR'!$E$3:$F2000,""SELECT F WHERE E LIKE '""&amp;'carga de materiais'!E1814&amp;""'""))"),"#REF!")</f>
        <v>#REF!</v>
      </c>
    </row>
    <row r="1814">
      <c r="A1814" s="87" t="str">
        <f>IFERROR(__xludf.DUMMYFUNCTION("TRANSPOSE(QUERY('Cadastro VTR/SEÇÃO/MILITAR'!$E$3:$F2000,""SELECT F WHERE E LIKE '""&amp;'carga de materiais'!E1815&amp;""'""))"),"#REF!")</f>
        <v>#REF!</v>
      </c>
    </row>
    <row r="1815">
      <c r="A1815" s="87" t="str">
        <f>IFERROR(__xludf.DUMMYFUNCTION("TRANSPOSE(QUERY('Cadastro VTR/SEÇÃO/MILITAR'!$E$3:$F2000,""SELECT F WHERE E LIKE '""&amp;'carga de materiais'!E1816&amp;""'""))"),"#REF!")</f>
        <v>#REF!</v>
      </c>
    </row>
    <row r="1816">
      <c r="A1816" s="87" t="str">
        <f>IFERROR(__xludf.DUMMYFUNCTION("TRANSPOSE(QUERY('Cadastro VTR/SEÇÃO/MILITAR'!$E$3:$F2000,""SELECT F WHERE E LIKE '""&amp;'carga de materiais'!E1817&amp;""'""))"),"#REF!")</f>
        <v>#REF!</v>
      </c>
    </row>
    <row r="1817">
      <c r="A1817" s="87" t="str">
        <f>IFERROR(__xludf.DUMMYFUNCTION("TRANSPOSE(QUERY('Cadastro VTR/SEÇÃO/MILITAR'!$E$3:$F2000,""SELECT F WHERE E LIKE '""&amp;'carga de materiais'!E1818&amp;""'""))"),"#REF!")</f>
        <v>#REF!</v>
      </c>
    </row>
    <row r="1818">
      <c r="A1818" s="87" t="str">
        <f>IFERROR(__xludf.DUMMYFUNCTION("TRANSPOSE(QUERY('Cadastro VTR/SEÇÃO/MILITAR'!$E$3:$F2000,""SELECT F WHERE E LIKE '""&amp;'carga de materiais'!E1819&amp;""'""))"),"#REF!")</f>
        <v>#REF!</v>
      </c>
    </row>
    <row r="1819">
      <c r="A1819" s="87" t="str">
        <f>IFERROR(__xludf.DUMMYFUNCTION("TRANSPOSE(QUERY('Cadastro VTR/SEÇÃO/MILITAR'!$E$3:$F2000,""SELECT F WHERE E LIKE '""&amp;'carga de materiais'!E1820&amp;""'""))"),"#REF!")</f>
        <v>#REF!</v>
      </c>
    </row>
    <row r="1820">
      <c r="A1820" s="87" t="str">
        <f>IFERROR(__xludf.DUMMYFUNCTION("TRANSPOSE(QUERY('Cadastro VTR/SEÇÃO/MILITAR'!$E$3:$F2000,""SELECT F WHERE E LIKE '""&amp;'carga de materiais'!E1821&amp;""'""))"),"#REF!")</f>
        <v>#REF!</v>
      </c>
    </row>
    <row r="1821">
      <c r="A1821" s="87" t="str">
        <f>IFERROR(__xludf.DUMMYFUNCTION("TRANSPOSE(QUERY('Cadastro VTR/SEÇÃO/MILITAR'!$E$3:$F2000,""SELECT F WHERE E LIKE '""&amp;'carga de materiais'!E1822&amp;""'""))"),"#REF!")</f>
        <v>#REF!</v>
      </c>
    </row>
    <row r="1822">
      <c r="A1822" s="87" t="str">
        <f>IFERROR(__xludf.DUMMYFUNCTION("TRANSPOSE(QUERY('Cadastro VTR/SEÇÃO/MILITAR'!$E$3:$F2000,""SELECT F WHERE E LIKE '""&amp;'carga de materiais'!E1823&amp;""'""))"),"#REF!")</f>
        <v>#REF!</v>
      </c>
    </row>
    <row r="1823">
      <c r="A1823" s="87" t="str">
        <f>IFERROR(__xludf.DUMMYFUNCTION("TRANSPOSE(QUERY('Cadastro VTR/SEÇÃO/MILITAR'!$E$3:$F2000,""SELECT F WHERE E LIKE '""&amp;'carga de materiais'!E1824&amp;""'""))"),"#REF!")</f>
        <v>#REF!</v>
      </c>
    </row>
    <row r="1824">
      <c r="A1824" s="87" t="str">
        <f>IFERROR(__xludf.DUMMYFUNCTION("TRANSPOSE(QUERY('Cadastro VTR/SEÇÃO/MILITAR'!$E$3:$F2000,""SELECT F WHERE E LIKE '""&amp;'carga de materiais'!E1825&amp;""'""))"),"#REF!")</f>
        <v>#REF!</v>
      </c>
    </row>
    <row r="1825">
      <c r="A1825" s="87" t="str">
        <f>IFERROR(__xludf.DUMMYFUNCTION("TRANSPOSE(QUERY('Cadastro VTR/SEÇÃO/MILITAR'!$E$3:$F2000,""SELECT F WHERE E LIKE '""&amp;'carga de materiais'!E1826&amp;""'""))"),"#REF!")</f>
        <v>#REF!</v>
      </c>
    </row>
    <row r="1826">
      <c r="A1826" s="87" t="str">
        <f>IFERROR(__xludf.DUMMYFUNCTION("TRANSPOSE(QUERY('Cadastro VTR/SEÇÃO/MILITAR'!$E$3:$F2000,""SELECT F WHERE E LIKE '""&amp;'carga de materiais'!E1827&amp;""'""))"),"#REF!")</f>
        <v>#REF!</v>
      </c>
    </row>
    <row r="1827">
      <c r="A1827" s="87" t="str">
        <f>IFERROR(__xludf.DUMMYFUNCTION("TRANSPOSE(QUERY('Cadastro VTR/SEÇÃO/MILITAR'!$E$3:$F2000,""SELECT F WHERE E LIKE '""&amp;'carga de materiais'!E1828&amp;""'""))"),"#REF!")</f>
        <v>#REF!</v>
      </c>
    </row>
    <row r="1828">
      <c r="A1828" s="87" t="str">
        <f>IFERROR(__xludf.DUMMYFUNCTION("TRANSPOSE(QUERY('Cadastro VTR/SEÇÃO/MILITAR'!$E$3:$F2000,""SELECT F WHERE E LIKE '""&amp;'carga de materiais'!E1829&amp;""'""))"),"#REF!")</f>
        <v>#REF!</v>
      </c>
    </row>
    <row r="1829">
      <c r="A1829" s="87" t="str">
        <f>IFERROR(__xludf.DUMMYFUNCTION("TRANSPOSE(QUERY('Cadastro VTR/SEÇÃO/MILITAR'!$E$3:$F2000,""SELECT F WHERE E LIKE '""&amp;'carga de materiais'!E1830&amp;""'""))"),"#REF!")</f>
        <v>#REF!</v>
      </c>
    </row>
    <row r="1830">
      <c r="A1830" s="87" t="str">
        <f>IFERROR(__xludf.DUMMYFUNCTION("TRANSPOSE(QUERY('Cadastro VTR/SEÇÃO/MILITAR'!$E$3:$F2000,""SELECT F WHERE E LIKE '""&amp;'carga de materiais'!E1831&amp;""'""))"),"#REF!")</f>
        <v>#REF!</v>
      </c>
    </row>
    <row r="1831">
      <c r="A1831" s="87" t="str">
        <f>IFERROR(__xludf.DUMMYFUNCTION("TRANSPOSE(QUERY('Cadastro VTR/SEÇÃO/MILITAR'!$E$3:$F2000,""SELECT F WHERE E LIKE '""&amp;'carga de materiais'!E1832&amp;""'""))"),"#REF!")</f>
        <v>#REF!</v>
      </c>
    </row>
    <row r="1832">
      <c r="A1832" s="87" t="str">
        <f>IFERROR(__xludf.DUMMYFUNCTION("TRANSPOSE(QUERY('Cadastro VTR/SEÇÃO/MILITAR'!$E$3:$F2000,""SELECT F WHERE E LIKE '""&amp;'carga de materiais'!E1833&amp;""'""))"),"#REF!")</f>
        <v>#REF!</v>
      </c>
    </row>
    <row r="1833">
      <c r="A1833" s="87" t="str">
        <f>IFERROR(__xludf.DUMMYFUNCTION("TRANSPOSE(QUERY('Cadastro VTR/SEÇÃO/MILITAR'!$E$3:$F2000,""SELECT F WHERE E LIKE '""&amp;'carga de materiais'!E1834&amp;""'""))"),"#REF!")</f>
        <v>#REF!</v>
      </c>
    </row>
    <row r="1834">
      <c r="A1834" s="87" t="str">
        <f>IFERROR(__xludf.DUMMYFUNCTION("TRANSPOSE(QUERY('Cadastro VTR/SEÇÃO/MILITAR'!$E$3:$F2000,""SELECT F WHERE E LIKE '""&amp;'carga de materiais'!E1835&amp;""'""))"),"#REF!")</f>
        <v>#REF!</v>
      </c>
    </row>
    <row r="1835">
      <c r="A1835" s="87" t="str">
        <f>IFERROR(__xludf.DUMMYFUNCTION("TRANSPOSE(QUERY('Cadastro VTR/SEÇÃO/MILITAR'!$E$3:$F2000,""SELECT F WHERE E LIKE '""&amp;'carga de materiais'!E1836&amp;""'""))"),"#REF!")</f>
        <v>#REF!</v>
      </c>
    </row>
    <row r="1836">
      <c r="A1836" s="87" t="str">
        <f>IFERROR(__xludf.DUMMYFUNCTION("TRANSPOSE(QUERY('Cadastro VTR/SEÇÃO/MILITAR'!$E$3:$F2000,""SELECT F WHERE E LIKE '""&amp;'carga de materiais'!E1837&amp;""'""))"),"#REF!")</f>
        <v>#REF!</v>
      </c>
    </row>
    <row r="1837">
      <c r="A1837" s="87" t="str">
        <f>IFERROR(__xludf.DUMMYFUNCTION("TRANSPOSE(QUERY('Cadastro VTR/SEÇÃO/MILITAR'!$E$3:$F2000,""SELECT F WHERE E LIKE '""&amp;'carga de materiais'!E1838&amp;""'""))"),"#REF!")</f>
        <v>#REF!</v>
      </c>
    </row>
    <row r="1838">
      <c r="A1838" s="87" t="str">
        <f>IFERROR(__xludf.DUMMYFUNCTION("TRANSPOSE(QUERY('Cadastro VTR/SEÇÃO/MILITAR'!$E$3:$F2000,""SELECT F WHERE E LIKE '""&amp;'carga de materiais'!E1839&amp;""'""))"),"#REF!")</f>
        <v>#REF!</v>
      </c>
    </row>
    <row r="1839">
      <c r="A1839" s="87" t="str">
        <f>IFERROR(__xludf.DUMMYFUNCTION("TRANSPOSE(QUERY('Cadastro VTR/SEÇÃO/MILITAR'!$E$3:$F2000,""SELECT F WHERE E LIKE '""&amp;'carga de materiais'!E1840&amp;""'""))"),"#REF!")</f>
        <v>#REF!</v>
      </c>
    </row>
    <row r="1840">
      <c r="A1840" s="87" t="str">
        <f>IFERROR(__xludf.DUMMYFUNCTION("TRANSPOSE(QUERY('Cadastro VTR/SEÇÃO/MILITAR'!$E$3:$F2000,""SELECT F WHERE E LIKE '""&amp;'carga de materiais'!E1841&amp;""'""))"),"#REF!")</f>
        <v>#REF!</v>
      </c>
    </row>
    <row r="1841">
      <c r="A1841" s="87" t="str">
        <f>IFERROR(__xludf.DUMMYFUNCTION("TRANSPOSE(QUERY('Cadastro VTR/SEÇÃO/MILITAR'!$E$3:$F2000,""SELECT F WHERE E LIKE '""&amp;'carga de materiais'!E1842&amp;""'""))"),"#REF!")</f>
        <v>#REF!</v>
      </c>
    </row>
    <row r="1842">
      <c r="A1842" s="87" t="str">
        <f>IFERROR(__xludf.DUMMYFUNCTION("TRANSPOSE(QUERY('Cadastro VTR/SEÇÃO/MILITAR'!$E$3:$F2000,""SELECT F WHERE E LIKE '""&amp;'carga de materiais'!E1843&amp;""'""))"),"#REF!")</f>
        <v>#REF!</v>
      </c>
    </row>
    <row r="1843">
      <c r="A1843" s="87" t="str">
        <f>IFERROR(__xludf.DUMMYFUNCTION("TRANSPOSE(QUERY('Cadastro VTR/SEÇÃO/MILITAR'!$E$3:$F2000,""SELECT F WHERE E LIKE '""&amp;'carga de materiais'!E1844&amp;""'""))"),"#REF!")</f>
        <v>#REF!</v>
      </c>
    </row>
    <row r="1844">
      <c r="A1844" s="87" t="str">
        <f>IFERROR(__xludf.DUMMYFUNCTION("TRANSPOSE(QUERY('Cadastro VTR/SEÇÃO/MILITAR'!$E$3:$F2000,""SELECT F WHERE E LIKE '""&amp;'carga de materiais'!E1845&amp;""'""))"),"#REF!")</f>
        <v>#REF!</v>
      </c>
    </row>
    <row r="1845">
      <c r="A1845" s="87" t="str">
        <f>IFERROR(__xludf.DUMMYFUNCTION("TRANSPOSE(QUERY('Cadastro VTR/SEÇÃO/MILITAR'!$E$3:$F2000,""SELECT F WHERE E LIKE '""&amp;'carga de materiais'!E1846&amp;""'""))"),"#REF!")</f>
        <v>#REF!</v>
      </c>
    </row>
    <row r="1846">
      <c r="A1846" s="87" t="str">
        <f>IFERROR(__xludf.DUMMYFUNCTION("TRANSPOSE(QUERY('Cadastro VTR/SEÇÃO/MILITAR'!$E$3:$F2000,""SELECT F WHERE E LIKE '""&amp;'carga de materiais'!E1847&amp;""'""))"),"#REF!")</f>
        <v>#REF!</v>
      </c>
    </row>
    <row r="1847">
      <c r="A1847" s="87" t="str">
        <f>IFERROR(__xludf.DUMMYFUNCTION("TRANSPOSE(QUERY('Cadastro VTR/SEÇÃO/MILITAR'!$E$3:$F2000,""SELECT F WHERE E LIKE '""&amp;'carga de materiais'!E1848&amp;""'""))"),"#REF!")</f>
        <v>#REF!</v>
      </c>
    </row>
    <row r="1848">
      <c r="A1848" s="87" t="str">
        <f>IFERROR(__xludf.DUMMYFUNCTION("TRANSPOSE(QUERY('Cadastro VTR/SEÇÃO/MILITAR'!$E$3:$F2000,""SELECT F WHERE E LIKE '""&amp;'carga de materiais'!E1849&amp;""'""))"),"#REF!")</f>
        <v>#REF!</v>
      </c>
    </row>
    <row r="1849">
      <c r="A1849" s="87" t="str">
        <f>IFERROR(__xludf.DUMMYFUNCTION("TRANSPOSE(QUERY('Cadastro VTR/SEÇÃO/MILITAR'!$E$3:$F2000,""SELECT F WHERE E LIKE '""&amp;'carga de materiais'!E1850&amp;""'""))"),"#REF!")</f>
        <v>#REF!</v>
      </c>
    </row>
    <row r="1850">
      <c r="A1850" s="87" t="str">
        <f>IFERROR(__xludf.DUMMYFUNCTION("TRANSPOSE(QUERY('Cadastro VTR/SEÇÃO/MILITAR'!$E$3:$F2000,""SELECT F WHERE E LIKE '""&amp;'carga de materiais'!E1851&amp;""'""))"),"#REF!")</f>
        <v>#REF!</v>
      </c>
    </row>
    <row r="1851">
      <c r="A1851" s="87" t="str">
        <f>IFERROR(__xludf.DUMMYFUNCTION("TRANSPOSE(QUERY('Cadastro VTR/SEÇÃO/MILITAR'!$E$3:$F2000,""SELECT F WHERE E LIKE '""&amp;'carga de materiais'!E1852&amp;""'""))"),"#REF!")</f>
        <v>#REF!</v>
      </c>
    </row>
    <row r="1852">
      <c r="A1852" s="87" t="str">
        <f>IFERROR(__xludf.DUMMYFUNCTION("TRANSPOSE(QUERY('Cadastro VTR/SEÇÃO/MILITAR'!$E$3:$F2000,""SELECT F WHERE E LIKE '""&amp;'carga de materiais'!E1853&amp;""'""))"),"#REF!")</f>
        <v>#REF!</v>
      </c>
    </row>
    <row r="1853">
      <c r="A1853" s="87" t="str">
        <f>IFERROR(__xludf.DUMMYFUNCTION("TRANSPOSE(QUERY('Cadastro VTR/SEÇÃO/MILITAR'!$E$3:$F2000,""SELECT F WHERE E LIKE '""&amp;'carga de materiais'!E1854&amp;""'""))"),"#REF!")</f>
        <v>#REF!</v>
      </c>
    </row>
    <row r="1854">
      <c r="A1854" s="87" t="str">
        <f>IFERROR(__xludf.DUMMYFUNCTION("TRANSPOSE(QUERY('Cadastro VTR/SEÇÃO/MILITAR'!$E$3:$F2000,""SELECT F WHERE E LIKE '""&amp;'carga de materiais'!E1855&amp;""'""))"),"#REF!")</f>
        <v>#REF!</v>
      </c>
    </row>
    <row r="1855">
      <c r="A1855" s="87" t="str">
        <f>IFERROR(__xludf.DUMMYFUNCTION("TRANSPOSE(QUERY('Cadastro VTR/SEÇÃO/MILITAR'!$E$3:$F2000,""SELECT F WHERE E LIKE '""&amp;'carga de materiais'!E1856&amp;""'""))"),"#REF!")</f>
        <v>#REF!</v>
      </c>
    </row>
    <row r="1856">
      <c r="A1856" s="87" t="str">
        <f>IFERROR(__xludf.DUMMYFUNCTION("TRANSPOSE(QUERY('Cadastro VTR/SEÇÃO/MILITAR'!$E$3:$F2000,""SELECT F WHERE E LIKE '""&amp;'carga de materiais'!E1857&amp;""'""))"),"#REF!")</f>
        <v>#REF!</v>
      </c>
    </row>
    <row r="1857">
      <c r="A1857" s="87" t="str">
        <f>IFERROR(__xludf.DUMMYFUNCTION("TRANSPOSE(QUERY('Cadastro VTR/SEÇÃO/MILITAR'!$E$3:$F2000,""SELECT F WHERE E LIKE '""&amp;'carga de materiais'!E1858&amp;""'""))"),"#REF!")</f>
        <v>#REF!</v>
      </c>
    </row>
    <row r="1858">
      <c r="A1858" s="87" t="str">
        <f>IFERROR(__xludf.DUMMYFUNCTION("TRANSPOSE(QUERY('Cadastro VTR/SEÇÃO/MILITAR'!$E$3:$F2000,""SELECT F WHERE E LIKE '""&amp;'carga de materiais'!E1859&amp;""'""))"),"#REF!")</f>
        <v>#REF!</v>
      </c>
    </row>
    <row r="1859">
      <c r="A1859" s="87" t="str">
        <f>IFERROR(__xludf.DUMMYFUNCTION("TRANSPOSE(QUERY('Cadastro VTR/SEÇÃO/MILITAR'!$E$3:$F2000,""SELECT F WHERE E LIKE '""&amp;'carga de materiais'!E1860&amp;""'""))"),"#REF!")</f>
        <v>#REF!</v>
      </c>
    </row>
    <row r="1860">
      <c r="A1860" s="87" t="str">
        <f>IFERROR(__xludf.DUMMYFUNCTION("TRANSPOSE(QUERY('Cadastro VTR/SEÇÃO/MILITAR'!$E$3:$F2000,""SELECT F WHERE E LIKE '""&amp;'carga de materiais'!E1861&amp;""'""))"),"#REF!")</f>
        <v>#REF!</v>
      </c>
    </row>
    <row r="1861">
      <c r="A1861" s="87" t="str">
        <f>IFERROR(__xludf.DUMMYFUNCTION("TRANSPOSE(QUERY('Cadastro VTR/SEÇÃO/MILITAR'!$E$3:$F2000,""SELECT F WHERE E LIKE '""&amp;'carga de materiais'!E1862&amp;""'""))"),"#REF!")</f>
        <v>#REF!</v>
      </c>
    </row>
    <row r="1862">
      <c r="A1862" s="87" t="str">
        <f>IFERROR(__xludf.DUMMYFUNCTION("TRANSPOSE(QUERY('Cadastro VTR/SEÇÃO/MILITAR'!$E$3:$F2000,""SELECT F WHERE E LIKE '""&amp;'carga de materiais'!E1863&amp;""'""))"),"#REF!")</f>
        <v>#REF!</v>
      </c>
    </row>
    <row r="1863">
      <c r="A1863" s="87" t="str">
        <f>IFERROR(__xludf.DUMMYFUNCTION("TRANSPOSE(QUERY('Cadastro VTR/SEÇÃO/MILITAR'!$E$3:$F2000,""SELECT F WHERE E LIKE '""&amp;'carga de materiais'!E1864&amp;""'""))"),"#REF!")</f>
        <v>#REF!</v>
      </c>
    </row>
    <row r="1864">
      <c r="A1864" s="87" t="str">
        <f>IFERROR(__xludf.DUMMYFUNCTION("TRANSPOSE(QUERY('Cadastro VTR/SEÇÃO/MILITAR'!$E$3:$F2000,""SELECT F WHERE E LIKE '""&amp;'carga de materiais'!E1865&amp;""'""))"),"#REF!")</f>
        <v>#REF!</v>
      </c>
    </row>
    <row r="1865">
      <c r="A1865" s="87" t="str">
        <f>IFERROR(__xludf.DUMMYFUNCTION("TRANSPOSE(QUERY('Cadastro VTR/SEÇÃO/MILITAR'!$E$3:$F2000,""SELECT F WHERE E LIKE '""&amp;'carga de materiais'!E1866&amp;""'""))"),"#REF!")</f>
        <v>#REF!</v>
      </c>
    </row>
    <row r="1866">
      <c r="A1866" s="87" t="str">
        <f>IFERROR(__xludf.DUMMYFUNCTION("TRANSPOSE(QUERY('Cadastro VTR/SEÇÃO/MILITAR'!$E$3:$F2000,""SELECT F WHERE E LIKE '""&amp;'carga de materiais'!E1867&amp;""'""))"),"#REF!")</f>
        <v>#REF!</v>
      </c>
    </row>
    <row r="1867">
      <c r="A1867" s="87" t="str">
        <f>IFERROR(__xludf.DUMMYFUNCTION("TRANSPOSE(QUERY('Cadastro VTR/SEÇÃO/MILITAR'!$E$3:$F2000,""SELECT F WHERE E LIKE '""&amp;'carga de materiais'!E1868&amp;""'""))"),"#REF!")</f>
        <v>#REF!</v>
      </c>
    </row>
    <row r="1868">
      <c r="A1868" s="87" t="str">
        <f>IFERROR(__xludf.DUMMYFUNCTION("TRANSPOSE(QUERY('Cadastro VTR/SEÇÃO/MILITAR'!$E$3:$F2000,""SELECT F WHERE E LIKE '""&amp;'carga de materiais'!E1869&amp;""'""))"),"#REF!")</f>
        <v>#REF!</v>
      </c>
    </row>
    <row r="1869">
      <c r="A1869" s="87" t="str">
        <f>IFERROR(__xludf.DUMMYFUNCTION("TRANSPOSE(QUERY('Cadastro VTR/SEÇÃO/MILITAR'!$E$3:$F2000,""SELECT F WHERE E LIKE '""&amp;'carga de materiais'!E1870&amp;""'""))"),"#REF!")</f>
        <v>#REF!</v>
      </c>
    </row>
    <row r="1870">
      <c r="A1870" s="87" t="str">
        <f>IFERROR(__xludf.DUMMYFUNCTION("TRANSPOSE(QUERY('Cadastro VTR/SEÇÃO/MILITAR'!$E$3:$F2000,""SELECT F WHERE E LIKE '""&amp;'carga de materiais'!E1871&amp;""'""))"),"#REF!")</f>
        <v>#REF!</v>
      </c>
    </row>
    <row r="1871">
      <c r="A1871" s="87" t="str">
        <f>IFERROR(__xludf.DUMMYFUNCTION("TRANSPOSE(QUERY('Cadastro VTR/SEÇÃO/MILITAR'!$E$3:$F2000,""SELECT F WHERE E LIKE '""&amp;'carga de materiais'!E1872&amp;""'""))"),"#REF!")</f>
        <v>#REF!</v>
      </c>
    </row>
    <row r="1872">
      <c r="A1872" s="87" t="str">
        <f>IFERROR(__xludf.DUMMYFUNCTION("TRANSPOSE(QUERY('Cadastro VTR/SEÇÃO/MILITAR'!$E$3:$F2000,""SELECT F WHERE E LIKE '""&amp;'carga de materiais'!E1873&amp;""'""))"),"#REF!")</f>
        <v>#REF!</v>
      </c>
    </row>
    <row r="1873">
      <c r="A1873" s="87" t="str">
        <f>IFERROR(__xludf.DUMMYFUNCTION("TRANSPOSE(QUERY('Cadastro VTR/SEÇÃO/MILITAR'!$E$3:$F2000,""SELECT F WHERE E LIKE '""&amp;'carga de materiais'!E1874&amp;""'""))"),"#REF!")</f>
        <v>#REF!</v>
      </c>
    </row>
    <row r="1874">
      <c r="A1874" s="87" t="str">
        <f>IFERROR(__xludf.DUMMYFUNCTION("TRANSPOSE(QUERY('Cadastro VTR/SEÇÃO/MILITAR'!$E$3:$F2000,""SELECT F WHERE E LIKE '""&amp;'carga de materiais'!E1875&amp;""'""))"),"#REF!")</f>
        <v>#REF!</v>
      </c>
    </row>
    <row r="1875">
      <c r="A1875" s="87" t="str">
        <f>IFERROR(__xludf.DUMMYFUNCTION("TRANSPOSE(QUERY('Cadastro VTR/SEÇÃO/MILITAR'!$E$3:$F2000,""SELECT F WHERE E LIKE '""&amp;'carga de materiais'!E1876&amp;""'""))"),"#REF!")</f>
        <v>#REF!</v>
      </c>
    </row>
    <row r="1876">
      <c r="A1876" s="87" t="str">
        <f>IFERROR(__xludf.DUMMYFUNCTION("TRANSPOSE(QUERY('Cadastro VTR/SEÇÃO/MILITAR'!$E$3:$F2000,""SELECT F WHERE E LIKE '""&amp;'carga de materiais'!E1877&amp;""'""))"),"#REF!")</f>
        <v>#REF!</v>
      </c>
    </row>
    <row r="1877">
      <c r="A1877" s="87" t="str">
        <f>IFERROR(__xludf.DUMMYFUNCTION("TRANSPOSE(QUERY('Cadastro VTR/SEÇÃO/MILITAR'!$E$3:$F2000,""SELECT F WHERE E LIKE '""&amp;'carga de materiais'!E1878&amp;""'""))"),"#REF!")</f>
        <v>#REF!</v>
      </c>
    </row>
    <row r="1878">
      <c r="A1878" s="87" t="str">
        <f>IFERROR(__xludf.DUMMYFUNCTION("TRANSPOSE(QUERY('Cadastro VTR/SEÇÃO/MILITAR'!$E$3:$F2000,""SELECT F WHERE E LIKE '""&amp;'carga de materiais'!E1879&amp;""'""))"),"#REF!")</f>
        <v>#REF!</v>
      </c>
    </row>
    <row r="1879">
      <c r="A1879" s="87" t="str">
        <f>IFERROR(__xludf.DUMMYFUNCTION("TRANSPOSE(QUERY('Cadastro VTR/SEÇÃO/MILITAR'!$E$3:$F2000,""SELECT F WHERE E LIKE '""&amp;'carga de materiais'!E1880&amp;""'""))"),"#REF!")</f>
        <v>#REF!</v>
      </c>
    </row>
    <row r="1880">
      <c r="A1880" s="87" t="str">
        <f>IFERROR(__xludf.DUMMYFUNCTION("TRANSPOSE(QUERY('Cadastro VTR/SEÇÃO/MILITAR'!$E$3:$F2000,""SELECT F WHERE E LIKE '""&amp;'carga de materiais'!E1881&amp;""'""))"),"#REF!")</f>
        <v>#REF!</v>
      </c>
    </row>
    <row r="1881">
      <c r="A1881" s="87" t="str">
        <f>IFERROR(__xludf.DUMMYFUNCTION("TRANSPOSE(QUERY('Cadastro VTR/SEÇÃO/MILITAR'!$E$3:$F2000,""SELECT F WHERE E LIKE '""&amp;'carga de materiais'!E1882&amp;""'""))"),"#REF!")</f>
        <v>#REF!</v>
      </c>
    </row>
    <row r="1882">
      <c r="A1882" s="87" t="str">
        <f>IFERROR(__xludf.DUMMYFUNCTION("TRANSPOSE(QUERY('Cadastro VTR/SEÇÃO/MILITAR'!$E$3:$F2000,""SELECT F WHERE E LIKE '""&amp;'carga de materiais'!E1883&amp;""'""))"),"#REF!")</f>
        <v>#REF!</v>
      </c>
    </row>
    <row r="1883">
      <c r="A1883" s="87" t="str">
        <f>IFERROR(__xludf.DUMMYFUNCTION("TRANSPOSE(QUERY('Cadastro VTR/SEÇÃO/MILITAR'!$E$3:$F2000,""SELECT F WHERE E LIKE '""&amp;'carga de materiais'!E1884&amp;""'""))"),"#REF!")</f>
        <v>#REF!</v>
      </c>
    </row>
    <row r="1884">
      <c r="A1884" s="87" t="str">
        <f>IFERROR(__xludf.DUMMYFUNCTION("TRANSPOSE(QUERY('Cadastro VTR/SEÇÃO/MILITAR'!$E$3:$F2000,""SELECT F WHERE E LIKE '""&amp;'carga de materiais'!E1885&amp;""'""))"),"#REF!")</f>
        <v>#REF!</v>
      </c>
    </row>
    <row r="1885">
      <c r="A1885" s="87" t="str">
        <f>IFERROR(__xludf.DUMMYFUNCTION("TRANSPOSE(QUERY('Cadastro VTR/SEÇÃO/MILITAR'!$E$3:$F2000,""SELECT F WHERE E LIKE '""&amp;'carga de materiais'!E1886&amp;""'""))"),"#REF!")</f>
        <v>#REF!</v>
      </c>
    </row>
    <row r="1886">
      <c r="A1886" s="87" t="str">
        <f>IFERROR(__xludf.DUMMYFUNCTION("TRANSPOSE(QUERY('Cadastro VTR/SEÇÃO/MILITAR'!$E$3:$F2000,""SELECT F WHERE E LIKE '""&amp;'carga de materiais'!E1887&amp;""'""))"),"#REF!")</f>
        <v>#REF!</v>
      </c>
    </row>
    <row r="1887">
      <c r="A1887" s="87" t="str">
        <f>IFERROR(__xludf.DUMMYFUNCTION("TRANSPOSE(QUERY('Cadastro VTR/SEÇÃO/MILITAR'!$E$3:$F2000,""SELECT F WHERE E LIKE '""&amp;'carga de materiais'!E1888&amp;""'""))"),"#REF!")</f>
        <v>#REF!</v>
      </c>
    </row>
    <row r="1888">
      <c r="A1888" s="87" t="str">
        <f>IFERROR(__xludf.DUMMYFUNCTION("TRANSPOSE(QUERY('Cadastro VTR/SEÇÃO/MILITAR'!$E$3:$F2000,""SELECT F WHERE E LIKE '""&amp;'carga de materiais'!E1889&amp;""'""))"),"#REF!")</f>
        <v>#REF!</v>
      </c>
    </row>
    <row r="1889">
      <c r="A1889" s="87" t="str">
        <f>IFERROR(__xludf.DUMMYFUNCTION("TRANSPOSE(QUERY('Cadastro VTR/SEÇÃO/MILITAR'!$E$3:$F2000,""SELECT F WHERE E LIKE '""&amp;'carga de materiais'!E1890&amp;""'""))"),"#REF!")</f>
        <v>#REF!</v>
      </c>
    </row>
    <row r="1890">
      <c r="A1890" s="87" t="str">
        <f>IFERROR(__xludf.DUMMYFUNCTION("TRANSPOSE(QUERY('Cadastro VTR/SEÇÃO/MILITAR'!$E$3:$F2000,""SELECT F WHERE E LIKE '""&amp;'carga de materiais'!E1891&amp;""'""))"),"#REF!")</f>
        <v>#REF!</v>
      </c>
    </row>
    <row r="1891">
      <c r="A1891" s="87" t="str">
        <f>IFERROR(__xludf.DUMMYFUNCTION("TRANSPOSE(QUERY('Cadastro VTR/SEÇÃO/MILITAR'!$E$3:$F2000,""SELECT F WHERE E LIKE '""&amp;'carga de materiais'!E1892&amp;""'""))"),"#REF!")</f>
        <v>#REF!</v>
      </c>
    </row>
    <row r="1892">
      <c r="A1892" s="87" t="str">
        <f>IFERROR(__xludf.DUMMYFUNCTION("TRANSPOSE(QUERY('Cadastro VTR/SEÇÃO/MILITAR'!$E$3:$F2000,""SELECT F WHERE E LIKE '""&amp;'carga de materiais'!E1893&amp;""'""))"),"#REF!")</f>
        <v>#REF!</v>
      </c>
    </row>
    <row r="1893">
      <c r="A1893" s="87" t="str">
        <f>IFERROR(__xludf.DUMMYFUNCTION("TRANSPOSE(QUERY('Cadastro VTR/SEÇÃO/MILITAR'!$E$3:$F2000,""SELECT F WHERE E LIKE '""&amp;'carga de materiais'!E1894&amp;""'""))"),"#REF!")</f>
        <v>#REF!</v>
      </c>
    </row>
    <row r="1894">
      <c r="A1894" s="87" t="str">
        <f>IFERROR(__xludf.DUMMYFUNCTION("TRANSPOSE(QUERY('Cadastro VTR/SEÇÃO/MILITAR'!$E$3:$F2000,""SELECT F WHERE E LIKE '""&amp;'carga de materiais'!E1895&amp;""'""))"),"#REF!")</f>
        <v>#REF!</v>
      </c>
    </row>
    <row r="1895">
      <c r="A1895" s="87" t="str">
        <f>IFERROR(__xludf.DUMMYFUNCTION("TRANSPOSE(QUERY('Cadastro VTR/SEÇÃO/MILITAR'!$E$3:$F2000,""SELECT F WHERE E LIKE '""&amp;'carga de materiais'!E1896&amp;""'""))"),"#REF!")</f>
        <v>#REF!</v>
      </c>
    </row>
    <row r="1896">
      <c r="A1896" s="87" t="str">
        <f>IFERROR(__xludf.DUMMYFUNCTION("TRANSPOSE(QUERY('Cadastro VTR/SEÇÃO/MILITAR'!$E$3:$F2000,""SELECT F WHERE E LIKE '""&amp;'carga de materiais'!E1897&amp;""'""))"),"#REF!")</f>
        <v>#REF!</v>
      </c>
    </row>
    <row r="1897">
      <c r="A1897" s="87" t="str">
        <f>IFERROR(__xludf.DUMMYFUNCTION("TRANSPOSE(QUERY('Cadastro VTR/SEÇÃO/MILITAR'!$E$3:$F2000,""SELECT F WHERE E LIKE '""&amp;'carga de materiais'!E1898&amp;""'""))"),"#REF!")</f>
        <v>#REF!</v>
      </c>
    </row>
    <row r="1898">
      <c r="A1898" s="87" t="str">
        <f>IFERROR(__xludf.DUMMYFUNCTION("TRANSPOSE(QUERY('Cadastro VTR/SEÇÃO/MILITAR'!$E$3:$F2000,""SELECT F WHERE E LIKE '""&amp;'carga de materiais'!E1899&amp;""'""))"),"#REF!")</f>
        <v>#REF!</v>
      </c>
    </row>
    <row r="1899">
      <c r="A1899" s="87" t="str">
        <f>IFERROR(__xludf.DUMMYFUNCTION("TRANSPOSE(QUERY('Cadastro VTR/SEÇÃO/MILITAR'!$E$3:$F2000,""SELECT F WHERE E LIKE '""&amp;'carga de materiais'!E1900&amp;""'""))"),"#REF!")</f>
        <v>#REF!</v>
      </c>
    </row>
    <row r="1900">
      <c r="A1900" s="87" t="str">
        <f>IFERROR(__xludf.DUMMYFUNCTION("TRANSPOSE(QUERY('Cadastro VTR/SEÇÃO/MILITAR'!$E$3:$F2000,""SELECT F WHERE E LIKE '""&amp;'carga de materiais'!E1901&amp;""'""))"),"#REF!")</f>
        <v>#REF!</v>
      </c>
    </row>
    <row r="1901">
      <c r="A1901" s="87" t="str">
        <f>IFERROR(__xludf.DUMMYFUNCTION("TRANSPOSE(QUERY('Cadastro VTR/SEÇÃO/MILITAR'!$E$3:$F2000,""SELECT F WHERE E LIKE '""&amp;'carga de materiais'!E1902&amp;""'""))"),"#REF!")</f>
        <v>#REF!</v>
      </c>
    </row>
    <row r="1902">
      <c r="A1902" s="87" t="str">
        <f>IFERROR(__xludf.DUMMYFUNCTION("TRANSPOSE(QUERY('Cadastro VTR/SEÇÃO/MILITAR'!$E$3:$F2000,""SELECT F WHERE E LIKE '""&amp;'carga de materiais'!E1903&amp;""'""))"),"#REF!")</f>
        <v>#REF!</v>
      </c>
    </row>
    <row r="1903">
      <c r="A1903" s="87" t="str">
        <f>IFERROR(__xludf.DUMMYFUNCTION("TRANSPOSE(QUERY('Cadastro VTR/SEÇÃO/MILITAR'!$E$3:$F2000,""SELECT F WHERE E LIKE '""&amp;'carga de materiais'!E1904&amp;""'""))"),"#REF!")</f>
        <v>#REF!</v>
      </c>
    </row>
    <row r="1904">
      <c r="A1904" s="87" t="str">
        <f>IFERROR(__xludf.DUMMYFUNCTION("TRANSPOSE(QUERY('Cadastro VTR/SEÇÃO/MILITAR'!$E$3:$F2000,""SELECT F WHERE E LIKE '""&amp;'carga de materiais'!E1905&amp;""'""))"),"#REF!")</f>
        <v>#REF!</v>
      </c>
    </row>
    <row r="1905">
      <c r="A1905" s="87" t="str">
        <f>IFERROR(__xludf.DUMMYFUNCTION("TRANSPOSE(QUERY('Cadastro VTR/SEÇÃO/MILITAR'!$E$3:$F2000,""SELECT F WHERE E LIKE '""&amp;'carga de materiais'!E1906&amp;""'""))"),"#REF!")</f>
        <v>#REF!</v>
      </c>
    </row>
    <row r="1906">
      <c r="A1906" s="87" t="str">
        <f>IFERROR(__xludf.DUMMYFUNCTION("TRANSPOSE(QUERY('Cadastro VTR/SEÇÃO/MILITAR'!$E$3:$F2000,""SELECT F WHERE E LIKE '""&amp;'carga de materiais'!E1907&amp;""'""))"),"#REF!")</f>
        <v>#REF!</v>
      </c>
    </row>
    <row r="1907">
      <c r="A1907" s="87" t="str">
        <f>IFERROR(__xludf.DUMMYFUNCTION("TRANSPOSE(QUERY('Cadastro VTR/SEÇÃO/MILITAR'!$E$3:$F2000,""SELECT F WHERE E LIKE '""&amp;'carga de materiais'!E1908&amp;""'""))"),"#REF!")</f>
        <v>#REF!</v>
      </c>
    </row>
    <row r="1908">
      <c r="A1908" s="87" t="str">
        <f>IFERROR(__xludf.DUMMYFUNCTION("TRANSPOSE(QUERY('Cadastro VTR/SEÇÃO/MILITAR'!$E$3:$F2000,""SELECT F WHERE E LIKE '""&amp;'carga de materiais'!E1909&amp;""'""))"),"#REF!")</f>
        <v>#REF!</v>
      </c>
    </row>
    <row r="1909">
      <c r="A1909" s="87" t="str">
        <f>IFERROR(__xludf.DUMMYFUNCTION("TRANSPOSE(QUERY('Cadastro VTR/SEÇÃO/MILITAR'!$E$3:$F2000,""SELECT F WHERE E LIKE '""&amp;'carga de materiais'!E1910&amp;""'""))"),"#REF!")</f>
        <v>#REF!</v>
      </c>
    </row>
    <row r="1910">
      <c r="A1910" s="87" t="str">
        <f>IFERROR(__xludf.DUMMYFUNCTION("TRANSPOSE(QUERY('Cadastro VTR/SEÇÃO/MILITAR'!$E$3:$F2000,""SELECT F WHERE E LIKE '""&amp;'carga de materiais'!E1911&amp;""'""))"),"#REF!")</f>
        <v>#REF!</v>
      </c>
    </row>
    <row r="1911">
      <c r="A1911" s="87" t="str">
        <f>IFERROR(__xludf.DUMMYFUNCTION("TRANSPOSE(QUERY('Cadastro VTR/SEÇÃO/MILITAR'!$E$3:$F2000,""SELECT F WHERE E LIKE '""&amp;'carga de materiais'!E1912&amp;""'""))"),"#REF!")</f>
        <v>#REF!</v>
      </c>
    </row>
    <row r="1912">
      <c r="A1912" s="87" t="str">
        <f>IFERROR(__xludf.DUMMYFUNCTION("TRANSPOSE(QUERY('Cadastro VTR/SEÇÃO/MILITAR'!$E$3:$F2000,""SELECT F WHERE E LIKE '""&amp;'carga de materiais'!E1913&amp;""'""))"),"#REF!")</f>
        <v>#REF!</v>
      </c>
    </row>
    <row r="1913">
      <c r="A1913" s="87" t="str">
        <f>IFERROR(__xludf.DUMMYFUNCTION("TRANSPOSE(QUERY('Cadastro VTR/SEÇÃO/MILITAR'!$E$3:$F2000,""SELECT F WHERE E LIKE '""&amp;'carga de materiais'!E1914&amp;""'""))"),"#REF!")</f>
        <v>#REF!</v>
      </c>
    </row>
    <row r="1914">
      <c r="A1914" s="87" t="str">
        <f>IFERROR(__xludf.DUMMYFUNCTION("TRANSPOSE(QUERY('Cadastro VTR/SEÇÃO/MILITAR'!$E$3:$F2000,""SELECT F WHERE E LIKE '""&amp;'carga de materiais'!E1915&amp;""'""))"),"#REF!")</f>
        <v>#REF!</v>
      </c>
    </row>
    <row r="1915">
      <c r="A1915" s="87" t="str">
        <f>IFERROR(__xludf.DUMMYFUNCTION("TRANSPOSE(QUERY('Cadastro VTR/SEÇÃO/MILITAR'!$E$3:$F2000,""SELECT F WHERE E LIKE '""&amp;'carga de materiais'!E1916&amp;""'""))"),"#REF!")</f>
        <v>#REF!</v>
      </c>
    </row>
    <row r="1916">
      <c r="A1916" s="87" t="str">
        <f>IFERROR(__xludf.DUMMYFUNCTION("TRANSPOSE(QUERY('Cadastro VTR/SEÇÃO/MILITAR'!$E$3:$F2000,""SELECT F WHERE E LIKE '""&amp;'carga de materiais'!E1917&amp;""'""))"),"#REF!")</f>
        <v>#REF!</v>
      </c>
    </row>
    <row r="1917">
      <c r="A1917" s="87" t="str">
        <f>IFERROR(__xludf.DUMMYFUNCTION("TRANSPOSE(QUERY('Cadastro VTR/SEÇÃO/MILITAR'!$E$3:$F2000,""SELECT F WHERE E LIKE '""&amp;'carga de materiais'!E1918&amp;""'""))"),"#REF!")</f>
        <v>#REF!</v>
      </c>
    </row>
    <row r="1918">
      <c r="A1918" s="87" t="str">
        <f>IFERROR(__xludf.DUMMYFUNCTION("TRANSPOSE(QUERY('Cadastro VTR/SEÇÃO/MILITAR'!$E$3:$F2000,""SELECT F WHERE E LIKE '""&amp;'carga de materiais'!E1919&amp;""'""))"),"#REF!")</f>
        <v>#REF!</v>
      </c>
    </row>
    <row r="1919">
      <c r="A1919" s="87" t="str">
        <f>IFERROR(__xludf.DUMMYFUNCTION("TRANSPOSE(QUERY('Cadastro VTR/SEÇÃO/MILITAR'!$E$3:$F2000,""SELECT F WHERE E LIKE '""&amp;'carga de materiais'!E1920&amp;""'""))"),"#REF!")</f>
        <v>#REF!</v>
      </c>
    </row>
    <row r="1920">
      <c r="A1920" s="87" t="str">
        <f>IFERROR(__xludf.DUMMYFUNCTION("TRANSPOSE(QUERY('Cadastro VTR/SEÇÃO/MILITAR'!$E$3:$F2000,""SELECT F WHERE E LIKE '""&amp;'carga de materiais'!E1921&amp;""'""))"),"#REF!")</f>
        <v>#REF!</v>
      </c>
    </row>
    <row r="1921">
      <c r="A1921" s="87" t="str">
        <f>IFERROR(__xludf.DUMMYFUNCTION("TRANSPOSE(QUERY('Cadastro VTR/SEÇÃO/MILITAR'!$E$3:$F2000,""SELECT F WHERE E LIKE '""&amp;'carga de materiais'!E1922&amp;""'""))"),"#REF!")</f>
        <v>#REF!</v>
      </c>
    </row>
    <row r="1922">
      <c r="A1922" s="87" t="str">
        <f>IFERROR(__xludf.DUMMYFUNCTION("TRANSPOSE(QUERY('Cadastro VTR/SEÇÃO/MILITAR'!$E$3:$F2000,""SELECT F WHERE E LIKE '""&amp;'carga de materiais'!E1923&amp;""'""))"),"#REF!")</f>
        <v>#REF!</v>
      </c>
    </row>
    <row r="1923">
      <c r="A1923" s="87" t="str">
        <f>IFERROR(__xludf.DUMMYFUNCTION("TRANSPOSE(QUERY('Cadastro VTR/SEÇÃO/MILITAR'!$E$3:$F2000,""SELECT F WHERE E LIKE '""&amp;'carga de materiais'!E1924&amp;""'""))"),"#REF!")</f>
        <v>#REF!</v>
      </c>
    </row>
    <row r="1924">
      <c r="A1924" s="87" t="str">
        <f>IFERROR(__xludf.DUMMYFUNCTION("TRANSPOSE(QUERY('Cadastro VTR/SEÇÃO/MILITAR'!$E$3:$F2000,""SELECT F WHERE E LIKE '""&amp;'carga de materiais'!E1925&amp;""'""))"),"#REF!")</f>
        <v>#REF!</v>
      </c>
    </row>
    <row r="1925">
      <c r="A1925" s="87" t="str">
        <f>IFERROR(__xludf.DUMMYFUNCTION("TRANSPOSE(QUERY('Cadastro VTR/SEÇÃO/MILITAR'!$E$3:$F2000,""SELECT F WHERE E LIKE '""&amp;'carga de materiais'!E1926&amp;""'""))"),"#REF!")</f>
        <v>#REF!</v>
      </c>
    </row>
    <row r="1926">
      <c r="A1926" s="87" t="str">
        <f>IFERROR(__xludf.DUMMYFUNCTION("TRANSPOSE(QUERY('Cadastro VTR/SEÇÃO/MILITAR'!$E$3:$F2000,""SELECT F WHERE E LIKE '""&amp;'carga de materiais'!E1927&amp;""'""))"),"#REF!")</f>
        <v>#REF!</v>
      </c>
    </row>
    <row r="1927">
      <c r="A1927" s="87" t="str">
        <f>IFERROR(__xludf.DUMMYFUNCTION("TRANSPOSE(QUERY('Cadastro VTR/SEÇÃO/MILITAR'!$E$3:$F2000,""SELECT F WHERE E LIKE '""&amp;'carga de materiais'!E1928&amp;""'""))"),"#REF!")</f>
        <v>#REF!</v>
      </c>
    </row>
    <row r="1928">
      <c r="A1928" s="87" t="str">
        <f>IFERROR(__xludf.DUMMYFUNCTION("TRANSPOSE(QUERY('Cadastro VTR/SEÇÃO/MILITAR'!$E$3:$F2000,""SELECT F WHERE E LIKE '""&amp;'carga de materiais'!E1929&amp;""'""))"),"#REF!")</f>
        <v>#REF!</v>
      </c>
    </row>
    <row r="1929">
      <c r="A1929" s="87" t="str">
        <f>IFERROR(__xludf.DUMMYFUNCTION("TRANSPOSE(QUERY('Cadastro VTR/SEÇÃO/MILITAR'!$E$3:$F2000,""SELECT F WHERE E LIKE '""&amp;'carga de materiais'!E1930&amp;""'""))"),"#REF!")</f>
        <v>#REF!</v>
      </c>
    </row>
    <row r="1930">
      <c r="A1930" s="87" t="str">
        <f>IFERROR(__xludf.DUMMYFUNCTION("TRANSPOSE(QUERY('Cadastro VTR/SEÇÃO/MILITAR'!$E$3:$F2000,""SELECT F WHERE E LIKE '""&amp;'carga de materiais'!E1931&amp;""'""))"),"#REF!")</f>
        <v>#REF!</v>
      </c>
    </row>
    <row r="1931">
      <c r="A1931" s="87" t="str">
        <f>IFERROR(__xludf.DUMMYFUNCTION("TRANSPOSE(QUERY('Cadastro VTR/SEÇÃO/MILITAR'!$E$3:$F2000,""SELECT F WHERE E LIKE '""&amp;'carga de materiais'!E1932&amp;""'""))"),"#REF!")</f>
        <v>#REF!</v>
      </c>
    </row>
    <row r="1932">
      <c r="A1932" s="87" t="str">
        <f>IFERROR(__xludf.DUMMYFUNCTION("TRANSPOSE(QUERY('Cadastro VTR/SEÇÃO/MILITAR'!$E$3:$F2000,""SELECT F WHERE E LIKE '""&amp;'carga de materiais'!E1933&amp;""'""))"),"#REF!")</f>
        <v>#REF!</v>
      </c>
    </row>
    <row r="1933">
      <c r="A1933" s="87" t="str">
        <f>IFERROR(__xludf.DUMMYFUNCTION("TRANSPOSE(QUERY('Cadastro VTR/SEÇÃO/MILITAR'!$E$3:$F2000,""SELECT F WHERE E LIKE '""&amp;'carga de materiais'!E1934&amp;""'""))"),"#REF!")</f>
        <v>#REF!</v>
      </c>
    </row>
    <row r="1934">
      <c r="A1934" s="87" t="str">
        <f>IFERROR(__xludf.DUMMYFUNCTION("TRANSPOSE(QUERY('Cadastro VTR/SEÇÃO/MILITAR'!$E$3:$F2000,""SELECT F WHERE E LIKE '""&amp;'carga de materiais'!E1935&amp;""'""))"),"#REF!")</f>
        <v>#REF!</v>
      </c>
    </row>
    <row r="1935">
      <c r="A1935" s="87" t="str">
        <f>IFERROR(__xludf.DUMMYFUNCTION("TRANSPOSE(QUERY('Cadastro VTR/SEÇÃO/MILITAR'!$E$3:$F2000,""SELECT F WHERE E LIKE '""&amp;'carga de materiais'!E1936&amp;""'""))"),"#REF!")</f>
        <v>#REF!</v>
      </c>
    </row>
    <row r="1936">
      <c r="A1936" s="87" t="str">
        <f>IFERROR(__xludf.DUMMYFUNCTION("TRANSPOSE(QUERY('Cadastro VTR/SEÇÃO/MILITAR'!$E$3:$F2000,""SELECT F WHERE E LIKE '""&amp;'carga de materiais'!E1937&amp;""'""))"),"#REF!")</f>
        <v>#REF!</v>
      </c>
    </row>
    <row r="1937">
      <c r="A1937" s="87" t="str">
        <f>IFERROR(__xludf.DUMMYFUNCTION("TRANSPOSE(QUERY('Cadastro VTR/SEÇÃO/MILITAR'!$E$3:$F2000,""SELECT F WHERE E LIKE '""&amp;'carga de materiais'!E1938&amp;""'""))"),"#REF!")</f>
        <v>#REF!</v>
      </c>
    </row>
    <row r="1938">
      <c r="A1938" s="87" t="str">
        <f>IFERROR(__xludf.DUMMYFUNCTION("TRANSPOSE(QUERY('Cadastro VTR/SEÇÃO/MILITAR'!$E$3:$F2000,""SELECT F WHERE E LIKE '""&amp;'carga de materiais'!E1939&amp;""'""))"),"#REF!")</f>
        <v>#REF!</v>
      </c>
    </row>
    <row r="1939">
      <c r="A1939" s="87" t="str">
        <f>IFERROR(__xludf.DUMMYFUNCTION("TRANSPOSE(QUERY('Cadastro VTR/SEÇÃO/MILITAR'!$E$3:$F2000,""SELECT F WHERE E LIKE '""&amp;'carga de materiais'!E1940&amp;""'""))"),"#REF!")</f>
        <v>#REF!</v>
      </c>
    </row>
    <row r="1940">
      <c r="A1940" s="87" t="str">
        <f>IFERROR(__xludf.DUMMYFUNCTION("TRANSPOSE(QUERY('Cadastro VTR/SEÇÃO/MILITAR'!$E$3:$F2000,""SELECT F WHERE E LIKE '""&amp;'carga de materiais'!E1941&amp;""'""))"),"#REF!")</f>
        <v>#REF!</v>
      </c>
    </row>
    <row r="1941">
      <c r="A1941" s="87" t="str">
        <f>IFERROR(__xludf.DUMMYFUNCTION("TRANSPOSE(QUERY('Cadastro VTR/SEÇÃO/MILITAR'!$E$3:$F2000,""SELECT F WHERE E LIKE '""&amp;'carga de materiais'!E1942&amp;""'""))"),"#REF!")</f>
        <v>#REF!</v>
      </c>
    </row>
    <row r="1942">
      <c r="A1942" s="87" t="str">
        <f>IFERROR(__xludf.DUMMYFUNCTION("TRANSPOSE(QUERY('Cadastro VTR/SEÇÃO/MILITAR'!$E$3:$F2000,""SELECT F WHERE E LIKE '""&amp;'carga de materiais'!E1943&amp;""'""))"),"#REF!")</f>
        <v>#REF!</v>
      </c>
    </row>
    <row r="1943">
      <c r="A1943" s="87" t="str">
        <f>IFERROR(__xludf.DUMMYFUNCTION("TRANSPOSE(QUERY('Cadastro VTR/SEÇÃO/MILITAR'!$E$3:$F2000,""SELECT F WHERE E LIKE '""&amp;'carga de materiais'!E1944&amp;""'""))"),"#REF!")</f>
        <v>#REF!</v>
      </c>
    </row>
    <row r="1944">
      <c r="A1944" s="87" t="str">
        <f>IFERROR(__xludf.DUMMYFUNCTION("TRANSPOSE(QUERY('Cadastro VTR/SEÇÃO/MILITAR'!$E$3:$F2000,""SELECT F WHERE E LIKE '""&amp;'carga de materiais'!E1945&amp;""'""))"),"#REF!")</f>
        <v>#REF!</v>
      </c>
    </row>
    <row r="1945">
      <c r="A1945" s="87" t="str">
        <f>IFERROR(__xludf.DUMMYFUNCTION("TRANSPOSE(QUERY('Cadastro VTR/SEÇÃO/MILITAR'!$E$3:$F2000,""SELECT F WHERE E LIKE '""&amp;'carga de materiais'!E1946&amp;""'""))"),"#REF!")</f>
        <v>#REF!</v>
      </c>
    </row>
    <row r="1946">
      <c r="A1946" s="87" t="str">
        <f>IFERROR(__xludf.DUMMYFUNCTION("TRANSPOSE(QUERY('Cadastro VTR/SEÇÃO/MILITAR'!$E$3:$F2000,""SELECT F WHERE E LIKE '""&amp;'carga de materiais'!E1947&amp;""'""))"),"#REF!")</f>
        <v>#REF!</v>
      </c>
    </row>
    <row r="1947">
      <c r="A1947" s="87" t="str">
        <f>IFERROR(__xludf.DUMMYFUNCTION("TRANSPOSE(QUERY('Cadastro VTR/SEÇÃO/MILITAR'!$E$3:$F2000,""SELECT F WHERE E LIKE '""&amp;'carga de materiais'!E1948&amp;""'""))"),"#REF!")</f>
        <v>#REF!</v>
      </c>
    </row>
    <row r="1948">
      <c r="A1948" s="87" t="str">
        <f>IFERROR(__xludf.DUMMYFUNCTION("TRANSPOSE(QUERY('Cadastro VTR/SEÇÃO/MILITAR'!$E$3:$F2000,""SELECT F WHERE E LIKE '""&amp;'carga de materiais'!E1949&amp;""'""))"),"#REF!")</f>
        <v>#REF!</v>
      </c>
    </row>
    <row r="1949">
      <c r="A1949" s="87" t="str">
        <f>IFERROR(__xludf.DUMMYFUNCTION("TRANSPOSE(QUERY('Cadastro VTR/SEÇÃO/MILITAR'!$E$3:$F2000,""SELECT F WHERE E LIKE '""&amp;'carga de materiais'!E1950&amp;""'""))"),"#REF!")</f>
        <v>#REF!</v>
      </c>
    </row>
    <row r="1950">
      <c r="A1950" s="87" t="str">
        <f>IFERROR(__xludf.DUMMYFUNCTION("TRANSPOSE(QUERY('Cadastro VTR/SEÇÃO/MILITAR'!$E$3:$F2000,""SELECT F WHERE E LIKE '""&amp;'carga de materiais'!E1951&amp;""'""))"),"#REF!")</f>
        <v>#REF!</v>
      </c>
    </row>
    <row r="1951">
      <c r="A1951" s="87" t="str">
        <f>IFERROR(__xludf.DUMMYFUNCTION("TRANSPOSE(QUERY('Cadastro VTR/SEÇÃO/MILITAR'!$E$3:$F2000,""SELECT F WHERE E LIKE '""&amp;'carga de materiais'!E1952&amp;""'""))"),"#REF!")</f>
        <v>#REF!</v>
      </c>
    </row>
    <row r="1952">
      <c r="A1952" s="87" t="str">
        <f>IFERROR(__xludf.DUMMYFUNCTION("TRANSPOSE(QUERY('Cadastro VTR/SEÇÃO/MILITAR'!$E$3:$F2000,""SELECT F WHERE E LIKE '""&amp;'carga de materiais'!E1953&amp;""'""))"),"#REF!")</f>
        <v>#REF!</v>
      </c>
    </row>
    <row r="1953">
      <c r="A1953" s="87" t="str">
        <f>IFERROR(__xludf.DUMMYFUNCTION("TRANSPOSE(QUERY('Cadastro VTR/SEÇÃO/MILITAR'!$E$3:$F2000,""SELECT F WHERE E LIKE '""&amp;'carga de materiais'!E1954&amp;""'""))"),"#REF!")</f>
        <v>#REF!</v>
      </c>
    </row>
    <row r="1954">
      <c r="A1954" s="87" t="str">
        <f>IFERROR(__xludf.DUMMYFUNCTION("TRANSPOSE(QUERY('Cadastro VTR/SEÇÃO/MILITAR'!$E$3:$F2000,""SELECT F WHERE E LIKE '""&amp;'carga de materiais'!E1955&amp;""'""))"),"#REF!")</f>
        <v>#REF!</v>
      </c>
    </row>
    <row r="1955">
      <c r="A1955" s="87" t="str">
        <f>IFERROR(__xludf.DUMMYFUNCTION("TRANSPOSE(QUERY('Cadastro VTR/SEÇÃO/MILITAR'!$E$3:$F2000,""SELECT F WHERE E LIKE '""&amp;'carga de materiais'!E1956&amp;""'""))"),"#REF!")</f>
        <v>#REF!</v>
      </c>
    </row>
    <row r="1956">
      <c r="A1956" s="87" t="str">
        <f>IFERROR(__xludf.DUMMYFUNCTION("TRANSPOSE(QUERY('Cadastro VTR/SEÇÃO/MILITAR'!$E$3:$F2000,""SELECT F WHERE E LIKE '""&amp;'carga de materiais'!E1957&amp;""'""))"),"#REF!")</f>
        <v>#REF!</v>
      </c>
    </row>
    <row r="1957">
      <c r="A1957" s="87" t="str">
        <f>IFERROR(__xludf.DUMMYFUNCTION("TRANSPOSE(QUERY('Cadastro VTR/SEÇÃO/MILITAR'!$E$3:$F2000,""SELECT F WHERE E LIKE '""&amp;'carga de materiais'!E1958&amp;""'""))"),"#REF!")</f>
        <v>#REF!</v>
      </c>
    </row>
    <row r="1958">
      <c r="A1958" s="87" t="str">
        <f>IFERROR(__xludf.DUMMYFUNCTION("TRANSPOSE(QUERY('Cadastro VTR/SEÇÃO/MILITAR'!$E$3:$F2000,""SELECT F WHERE E LIKE '""&amp;'carga de materiais'!E1959&amp;""'""))"),"#REF!")</f>
        <v>#REF!</v>
      </c>
    </row>
    <row r="1959">
      <c r="A1959" s="87" t="str">
        <f>IFERROR(__xludf.DUMMYFUNCTION("TRANSPOSE(QUERY('Cadastro VTR/SEÇÃO/MILITAR'!$E$3:$F2000,""SELECT F WHERE E LIKE '""&amp;'carga de materiais'!E1960&amp;""'""))"),"#REF!")</f>
        <v>#REF!</v>
      </c>
    </row>
    <row r="1960">
      <c r="A1960" s="87" t="str">
        <f>IFERROR(__xludf.DUMMYFUNCTION("TRANSPOSE(QUERY('Cadastro VTR/SEÇÃO/MILITAR'!$E$3:$F2000,""SELECT F WHERE E LIKE '""&amp;'carga de materiais'!E1961&amp;""'""))"),"#REF!")</f>
        <v>#REF!</v>
      </c>
    </row>
    <row r="1961">
      <c r="A1961" s="87" t="str">
        <f>IFERROR(__xludf.DUMMYFUNCTION("TRANSPOSE(QUERY('Cadastro VTR/SEÇÃO/MILITAR'!$E$3:$F2000,""SELECT F WHERE E LIKE '""&amp;'carga de materiais'!E1962&amp;""'""))"),"#REF!")</f>
        <v>#REF!</v>
      </c>
    </row>
    <row r="1962">
      <c r="A1962" s="87" t="str">
        <f>IFERROR(__xludf.DUMMYFUNCTION("TRANSPOSE(QUERY('Cadastro VTR/SEÇÃO/MILITAR'!$E$3:$F2000,""SELECT F WHERE E LIKE '""&amp;'carga de materiais'!E1963&amp;""'""))"),"#REF!")</f>
        <v>#REF!</v>
      </c>
    </row>
    <row r="1963">
      <c r="A1963" s="87" t="str">
        <f>IFERROR(__xludf.DUMMYFUNCTION("TRANSPOSE(QUERY('Cadastro VTR/SEÇÃO/MILITAR'!$E$3:$F2000,""SELECT F WHERE E LIKE '""&amp;'carga de materiais'!E1964&amp;""'""))"),"#REF!")</f>
        <v>#REF!</v>
      </c>
    </row>
    <row r="1964">
      <c r="A1964" s="87" t="str">
        <f>IFERROR(__xludf.DUMMYFUNCTION("TRANSPOSE(QUERY('Cadastro VTR/SEÇÃO/MILITAR'!$E$3:$F2000,""SELECT F WHERE E LIKE '""&amp;'carga de materiais'!E1965&amp;""'""))"),"#REF!")</f>
        <v>#REF!</v>
      </c>
    </row>
    <row r="1965">
      <c r="A1965" s="87" t="str">
        <f>IFERROR(__xludf.DUMMYFUNCTION("TRANSPOSE(QUERY('Cadastro VTR/SEÇÃO/MILITAR'!$E$3:$F2000,""SELECT F WHERE E LIKE '""&amp;'carga de materiais'!E1966&amp;""'""))"),"#REF!")</f>
        <v>#REF!</v>
      </c>
    </row>
    <row r="1966">
      <c r="A1966" s="87" t="str">
        <f>IFERROR(__xludf.DUMMYFUNCTION("TRANSPOSE(QUERY('Cadastro VTR/SEÇÃO/MILITAR'!$E$3:$F2000,""SELECT F WHERE E LIKE '""&amp;'carga de materiais'!E1967&amp;""'""))"),"#REF!")</f>
        <v>#REF!</v>
      </c>
    </row>
    <row r="1967">
      <c r="A1967" s="87" t="str">
        <f>IFERROR(__xludf.DUMMYFUNCTION("TRANSPOSE(QUERY('Cadastro VTR/SEÇÃO/MILITAR'!$E$3:$F2000,""SELECT F WHERE E LIKE '""&amp;'carga de materiais'!E1968&amp;""'""))"),"#REF!")</f>
        <v>#REF!</v>
      </c>
    </row>
    <row r="1968">
      <c r="A1968" s="87" t="str">
        <f>IFERROR(__xludf.DUMMYFUNCTION("TRANSPOSE(QUERY('Cadastro VTR/SEÇÃO/MILITAR'!$E$3:$F2000,""SELECT F WHERE E LIKE '""&amp;'carga de materiais'!E1969&amp;""'""))"),"#REF!")</f>
        <v>#REF!</v>
      </c>
    </row>
    <row r="1969">
      <c r="A1969" s="87" t="str">
        <f>IFERROR(__xludf.DUMMYFUNCTION("TRANSPOSE(QUERY('Cadastro VTR/SEÇÃO/MILITAR'!$E$3:$F2000,""SELECT F WHERE E LIKE '""&amp;'carga de materiais'!E1970&amp;""'""))"),"#REF!")</f>
        <v>#REF!</v>
      </c>
    </row>
    <row r="1970">
      <c r="A1970" s="87" t="str">
        <f>IFERROR(__xludf.DUMMYFUNCTION("TRANSPOSE(QUERY('Cadastro VTR/SEÇÃO/MILITAR'!$E$3:$F2000,""SELECT F WHERE E LIKE '""&amp;'carga de materiais'!E1971&amp;""'""))"),"#REF!")</f>
        <v>#REF!</v>
      </c>
    </row>
    <row r="1971">
      <c r="A1971" s="87" t="str">
        <f>IFERROR(__xludf.DUMMYFUNCTION("TRANSPOSE(QUERY('Cadastro VTR/SEÇÃO/MILITAR'!$E$3:$F2000,""SELECT F WHERE E LIKE '""&amp;'carga de materiais'!E1972&amp;""'""))"),"#REF!")</f>
        <v>#REF!</v>
      </c>
    </row>
    <row r="1972">
      <c r="A1972" s="87" t="str">
        <f>IFERROR(__xludf.DUMMYFUNCTION("TRANSPOSE(QUERY('Cadastro VTR/SEÇÃO/MILITAR'!$E$3:$F2000,""SELECT F WHERE E LIKE '""&amp;'carga de materiais'!E1973&amp;""'""))"),"#REF!")</f>
        <v>#REF!</v>
      </c>
    </row>
    <row r="1973">
      <c r="A1973" s="87" t="str">
        <f>IFERROR(__xludf.DUMMYFUNCTION("TRANSPOSE(QUERY('Cadastro VTR/SEÇÃO/MILITAR'!$E$3:$F2000,""SELECT F WHERE E LIKE '""&amp;'carga de materiais'!E1974&amp;""'""))"),"#REF!")</f>
        <v>#REF!</v>
      </c>
    </row>
    <row r="1974">
      <c r="A1974" s="87" t="str">
        <f>IFERROR(__xludf.DUMMYFUNCTION("TRANSPOSE(QUERY('Cadastro VTR/SEÇÃO/MILITAR'!$E$3:$F2000,""SELECT F WHERE E LIKE '""&amp;'carga de materiais'!E1975&amp;""'""))"),"#REF!")</f>
        <v>#REF!</v>
      </c>
    </row>
    <row r="1975">
      <c r="A1975" s="87" t="str">
        <f>IFERROR(__xludf.DUMMYFUNCTION("TRANSPOSE(QUERY('Cadastro VTR/SEÇÃO/MILITAR'!$E$3:$F2000,""SELECT F WHERE E LIKE '""&amp;'carga de materiais'!E1976&amp;""'""))"),"#REF!")</f>
        <v>#REF!</v>
      </c>
    </row>
    <row r="1976">
      <c r="A1976" s="87" t="str">
        <f>IFERROR(__xludf.DUMMYFUNCTION("TRANSPOSE(QUERY('Cadastro VTR/SEÇÃO/MILITAR'!$E$3:$F2000,""SELECT F WHERE E LIKE '""&amp;'carga de materiais'!E1977&amp;""'""))"),"#REF!")</f>
        <v>#REF!</v>
      </c>
    </row>
    <row r="1977">
      <c r="A1977" s="87" t="str">
        <f>IFERROR(__xludf.DUMMYFUNCTION("TRANSPOSE(QUERY('Cadastro VTR/SEÇÃO/MILITAR'!$E$3:$F2000,""SELECT F WHERE E LIKE '""&amp;'carga de materiais'!E1978&amp;""'""))"),"#REF!")</f>
        <v>#REF!</v>
      </c>
    </row>
    <row r="1978">
      <c r="A1978" s="87" t="str">
        <f>IFERROR(__xludf.DUMMYFUNCTION("TRANSPOSE(QUERY('Cadastro VTR/SEÇÃO/MILITAR'!$E$3:$F2000,""SELECT F WHERE E LIKE '""&amp;'carga de materiais'!E1979&amp;""'""))"),"#REF!")</f>
        <v>#REF!</v>
      </c>
    </row>
    <row r="1979">
      <c r="A1979" s="87" t="str">
        <f>IFERROR(__xludf.DUMMYFUNCTION("TRANSPOSE(QUERY('Cadastro VTR/SEÇÃO/MILITAR'!$E$3:$F2000,""SELECT F WHERE E LIKE '""&amp;'carga de materiais'!E1980&amp;""'""))"),"#REF!")</f>
        <v>#REF!</v>
      </c>
    </row>
    <row r="1980">
      <c r="A1980" s="87" t="str">
        <f>IFERROR(__xludf.DUMMYFUNCTION("TRANSPOSE(QUERY('Cadastro VTR/SEÇÃO/MILITAR'!$E$3:$F2000,""SELECT F WHERE E LIKE '""&amp;'carga de materiais'!E1981&amp;""'""))"),"#REF!")</f>
        <v>#REF!</v>
      </c>
    </row>
    <row r="1981">
      <c r="A1981" s="87" t="str">
        <f>IFERROR(__xludf.DUMMYFUNCTION("TRANSPOSE(QUERY('Cadastro VTR/SEÇÃO/MILITAR'!$E$3:$F2000,""SELECT F WHERE E LIKE '""&amp;'carga de materiais'!E1982&amp;""'""))"),"#REF!")</f>
        <v>#REF!</v>
      </c>
    </row>
    <row r="1982">
      <c r="A1982" s="87" t="str">
        <f>IFERROR(__xludf.DUMMYFUNCTION("TRANSPOSE(QUERY('Cadastro VTR/SEÇÃO/MILITAR'!$E$3:$F2000,""SELECT F WHERE E LIKE '""&amp;'carga de materiais'!E1983&amp;""'""))"),"#REF!")</f>
        <v>#REF!</v>
      </c>
    </row>
    <row r="1983">
      <c r="A1983" s="87" t="str">
        <f>IFERROR(__xludf.DUMMYFUNCTION("TRANSPOSE(QUERY('Cadastro VTR/SEÇÃO/MILITAR'!$E$3:$F2000,""SELECT F WHERE E LIKE '""&amp;'carga de materiais'!E1984&amp;""'""))"),"#REF!")</f>
        <v>#REF!</v>
      </c>
    </row>
    <row r="1984">
      <c r="A1984" s="87" t="str">
        <f>IFERROR(__xludf.DUMMYFUNCTION("TRANSPOSE(QUERY('Cadastro VTR/SEÇÃO/MILITAR'!$E$3:$F2000,""SELECT F WHERE E LIKE '""&amp;'carga de materiais'!E1985&amp;""'""))"),"#REF!")</f>
        <v>#REF!</v>
      </c>
    </row>
    <row r="1985">
      <c r="A1985" s="87" t="str">
        <f>IFERROR(__xludf.DUMMYFUNCTION("TRANSPOSE(QUERY('Cadastro VTR/SEÇÃO/MILITAR'!$E$3:$F2000,""SELECT F WHERE E LIKE '""&amp;'carga de materiais'!E1986&amp;""'""))"),"#REF!")</f>
        <v>#REF!</v>
      </c>
    </row>
    <row r="1986">
      <c r="A1986" s="87" t="str">
        <f>IFERROR(__xludf.DUMMYFUNCTION("TRANSPOSE(QUERY('Cadastro VTR/SEÇÃO/MILITAR'!$E$3:$F2000,""SELECT F WHERE E LIKE '""&amp;'carga de materiais'!E1987&amp;""'""))"),"#REF!")</f>
        <v>#REF!</v>
      </c>
    </row>
    <row r="1987">
      <c r="A1987" s="87" t="str">
        <f>IFERROR(__xludf.DUMMYFUNCTION("TRANSPOSE(QUERY('Cadastro VTR/SEÇÃO/MILITAR'!$E$3:$F2000,""SELECT F WHERE E LIKE '""&amp;'carga de materiais'!E1988&amp;""'""))"),"#REF!")</f>
        <v>#REF!</v>
      </c>
    </row>
    <row r="1988">
      <c r="A1988" s="87" t="str">
        <f>IFERROR(__xludf.DUMMYFUNCTION("TRANSPOSE(QUERY('Cadastro VTR/SEÇÃO/MILITAR'!$E$3:$F2000,""SELECT F WHERE E LIKE '""&amp;'carga de materiais'!E1989&amp;""'""))"),"#REF!")</f>
        <v>#REF!</v>
      </c>
    </row>
    <row r="1989">
      <c r="A1989" s="87" t="str">
        <f>IFERROR(__xludf.DUMMYFUNCTION("TRANSPOSE(QUERY('Cadastro VTR/SEÇÃO/MILITAR'!$E$3:$F2000,""SELECT F WHERE E LIKE '""&amp;'carga de materiais'!E1990&amp;""'""))"),"#REF!")</f>
        <v>#REF!</v>
      </c>
    </row>
    <row r="1990">
      <c r="A1990" s="87" t="str">
        <f>IFERROR(__xludf.DUMMYFUNCTION("TRANSPOSE(QUERY('Cadastro VTR/SEÇÃO/MILITAR'!$E$3:$F2000,""SELECT F WHERE E LIKE '""&amp;'carga de materiais'!E1991&amp;""'""))"),"#REF!")</f>
        <v>#REF!</v>
      </c>
    </row>
    <row r="1991">
      <c r="A1991" s="87" t="str">
        <f>IFERROR(__xludf.DUMMYFUNCTION("TRANSPOSE(QUERY('Cadastro VTR/SEÇÃO/MILITAR'!$E$3:$F2000,""SELECT F WHERE E LIKE '""&amp;'carga de materiais'!E1992&amp;""'""))"),"#REF!")</f>
        <v>#REF!</v>
      </c>
    </row>
    <row r="1992">
      <c r="A1992" s="87" t="str">
        <f>IFERROR(__xludf.DUMMYFUNCTION("TRANSPOSE(QUERY('Cadastro VTR/SEÇÃO/MILITAR'!$E$3:$F2000,""SELECT F WHERE E LIKE '""&amp;'carga de materiais'!E1993&amp;""'""))"),"#REF!")</f>
        <v>#REF!</v>
      </c>
    </row>
    <row r="1993">
      <c r="A1993" s="87" t="str">
        <f>IFERROR(__xludf.DUMMYFUNCTION("TRANSPOSE(QUERY('Cadastro VTR/SEÇÃO/MILITAR'!$E$3:$F2000,""SELECT F WHERE E LIKE '""&amp;'carga de materiais'!E1994&amp;""'""))"),"#REF!")</f>
        <v>#REF!</v>
      </c>
    </row>
    <row r="1994">
      <c r="A1994" s="87" t="str">
        <f>IFERROR(__xludf.DUMMYFUNCTION("TRANSPOSE(QUERY('Cadastro VTR/SEÇÃO/MILITAR'!$E$3:$F2000,""SELECT F WHERE E LIKE '""&amp;'carga de materiais'!E1995&amp;""'""))"),"#REF!")</f>
        <v>#REF!</v>
      </c>
    </row>
    <row r="1995">
      <c r="A1995" s="87" t="str">
        <f>IFERROR(__xludf.DUMMYFUNCTION("TRANSPOSE(QUERY('Cadastro VTR/SEÇÃO/MILITAR'!$E$3:$F2000,""SELECT F WHERE E LIKE '""&amp;'carga de materiais'!E1996&amp;""'""))"),"#REF!")</f>
        <v>#REF!</v>
      </c>
    </row>
    <row r="1996">
      <c r="A1996" s="87" t="str">
        <f>IFERROR(__xludf.DUMMYFUNCTION("TRANSPOSE(QUERY('Cadastro VTR/SEÇÃO/MILITAR'!$E$3:$F2000,""SELECT F WHERE E LIKE '""&amp;'carga de materiais'!E1997&amp;""'""))"),"#REF!")</f>
        <v>#REF!</v>
      </c>
    </row>
    <row r="1997">
      <c r="A1997" s="87" t="str">
        <f>IFERROR(__xludf.DUMMYFUNCTION("TRANSPOSE(QUERY('Cadastro VTR/SEÇÃO/MILITAR'!$E$3:$F2000,""SELECT F WHERE E LIKE '""&amp;'carga de materiais'!E1998&amp;""'""))"),"#REF!")</f>
        <v>#REF!</v>
      </c>
    </row>
    <row r="1998">
      <c r="A1998" s="87" t="str">
        <f>IFERROR(__xludf.DUMMYFUNCTION("TRANSPOSE(QUERY('Cadastro VTR/SEÇÃO/MILITAR'!$E$3:$F2000,""SELECT F WHERE E LIKE '""&amp;'carga de materiais'!E1999&amp;""'""))"),"#REF!")</f>
        <v>#REF!</v>
      </c>
    </row>
    <row r="1999">
      <c r="A1999" s="87" t="str">
        <f>IFERROR(__xludf.DUMMYFUNCTION("TRANSPOSE(QUERY('Cadastro VTR/SEÇÃO/MILITAR'!$E$3:$F2000,""SELECT F WHERE E LIKE '""&amp;'carga de materiais'!E2000&amp;""'""))"),"#REF!")</f>
        <v>#REF!</v>
      </c>
    </row>
    <row r="2000">
      <c r="A2000" s="87" t="str">
        <f>IFERROR(__xludf.DUMMYFUNCTION("TRANSPOSE(QUERY('Cadastro VTR/SEÇÃO/MILITAR'!$E$3:$F2000,""SELECT F WHERE E LIKE '""&amp;'carga de materiais'!E2001&amp;""'""))"),"#REF!")</f>
        <v>#REF!</v>
      </c>
    </row>
  </sheetData>
  <drawing r:id="rId1"/>
</worksheet>
</file>